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always" codeName="ThisWorkbook" defaultThemeVersion="166925"/>
  <mc:AlternateContent xmlns:mc="http://schemas.openxmlformats.org/markup-compatibility/2006">
    <mc:Choice Requires="x15">
      <x15ac:absPath xmlns:x15ac="http://schemas.microsoft.com/office/spreadsheetml/2010/11/ac" url="https://nicsonline-my.sharepoint.com/personal/peter_keys_health-ni_gov_uk/Documents/Documents/PKeys/Workings/"/>
    </mc:Choice>
  </mc:AlternateContent>
  <xr:revisionPtr revIDLastSave="0" documentId="8_{443CEED8-F7BD-4AD8-8F7D-18CF7CB61C6A}" xr6:coauthVersionLast="47" xr6:coauthVersionMax="47" xr10:uidLastSave="{00000000-0000-0000-0000-000000000000}"/>
  <workbookProtection workbookAlgorithmName="SHA-512" workbookHashValue="nd5knRtkyJ4NuYmwdKTIaQnp8ytS3YNh8tPMhKwbZzqJhJXsAyhBZTR1ec5ebhR9w1KaKJrKbvreJ+AcZRyNRw==" workbookSaltValue="HW3j0Iilcy2TFWHyhTiFhg==" workbookSpinCount="100000" lockStructure="1"/>
  <bookViews>
    <workbookView xWindow="22932" yWindow="-1776" windowWidth="30936" windowHeight="16776" tabRatio="790" firstSheet="52" activeTab="52" xr2:uid="{00000000-000D-0000-FFFF-FFFF00000000}"/>
  </bookViews>
  <sheets>
    <sheet name="Update" sheetId="9" state="hidden" r:id="rId1"/>
    <sheet name="SOAS" sheetId="129" state="hidden" r:id="rId2"/>
    <sheet name="SOAS 1.1" sheetId="130" state="hidden" r:id="rId3"/>
    <sheet name="SOAS 1.2" sheetId="131" state="hidden" r:id="rId4"/>
    <sheet name="SoAS 2" sheetId="132" state="hidden" r:id="rId5"/>
    <sheet name="SoAS 3" sheetId="133" state="hidden" r:id="rId6"/>
    <sheet name="SoAS 3-Core and agencies only" sheetId="17" state="hidden" r:id="rId7"/>
    <sheet name="SoAS 4" sheetId="134" state="hidden" r:id="rId8"/>
    <sheet name="Contents" sheetId="2" state="hidden" r:id="rId9"/>
    <sheet name="Guide" sheetId="3" state="hidden" r:id="rId10"/>
    <sheet name="A - Compensation packages" sheetId="53" state="hidden" r:id="rId11"/>
    <sheet name="A - Losses &amp; special payments" sheetId="50" state="hidden" r:id="rId12"/>
    <sheet name="A1 - Staff Report" sheetId="120" state="hidden" r:id="rId13"/>
    <sheet name="Staff Data" sheetId="12" state="hidden" r:id="rId14"/>
    <sheet name="CHECK 1" sheetId="60" state="hidden" r:id="rId15"/>
    <sheet name="CHECK 2" sheetId="6" state="hidden" r:id="rId16"/>
    <sheet name="Note 7 Impair Check" sheetId="59" state="hidden" r:id="rId17"/>
    <sheet name="Hot review checklist" sheetId="138" state="hidden" r:id="rId18"/>
    <sheet name="GIA" sheetId="61" state="hidden" r:id="rId19"/>
    <sheet name="SCNE" sheetId="20" state="hidden" r:id="rId20"/>
    <sheet name="SFP" sheetId="21" state="hidden" r:id="rId21"/>
    <sheet name="SCF" sheetId="22" state="hidden" r:id="rId22"/>
    <sheet name="TE" sheetId="23" state="hidden" r:id="rId23"/>
    <sheet name="Note 2" sheetId="24" state="hidden" r:id="rId24"/>
    <sheet name="Note 2.1" sheetId="25" state="hidden" r:id="rId25"/>
    <sheet name="Note 3a" sheetId="26" state="hidden" r:id="rId26"/>
    <sheet name="Note 3b &amp; 3c" sheetId="27" state="hidden" r:id="rId27"/>
    <sheet name="Note 4" sheetId="28" state="hidden" r:id="rId28"/>
    <sheet name="Note 5" sheetId="29" state="hidden" r:id="rId29"/>
    <sheet name="Note 5 (C&amp;A)" sheetId="135" state="hidden" r:id="rId30"/>
    <sheet name="Note 5.4" sheetId="30" state="hidden" r:id="rId31"/>
    <sheet name="Note 5.4 (C&amp;A)" sheetId="136" state="hidden" r:id="rId32"/>
    <sheet name="Note 6" sheetId="31" state="hidden" r:id="rId33"/>
    <sheet name="Note 6 (C&amp;A)" sheetId="137" state="hidden" r:id="rId34"/>
    <sheet name="Note 7" sheetId="32" state="hidden" r:id="rId35"/>
    <sheet name="Notes 8 &amp; 9" sheetId="33" state="hidden" r:id="rId36"/>
    <sheet name="Notes 10 &amp; 11" sheetId="34" state="hidden" r:id="rId37"/>
    <sheet name="Note 12" sheetId="35" state="hidden" r:id="rId38"/>
    <sheet name="Note 13" sheetId="36" state="hidden" r:id="rId39"/>
    <sheet name="Note 14" sheetId="37" state="hidden" r:id="rId40"/>
    <sheet name="Note 15" sheetId="47" state="hidden" r:id="rId41"/>
    <sheet name="Note 16" sheetId="141" state="hidden" r:id="rId42"/>
    <sheet name="Note 17" sheetId="39" state="hidden" r:id="rId43"/>
    <sheet name="Note 18" sheetId="40" state="hidden" r:id="rId44"/>
    <sheet name="Note 19" sheetId="41" state="hidden" r:id="rId45"/>
    <sheet name="Note 21" sheetId="49" state="hidden" r:id="rId46"/>
    <sheet name="LOSS-PROFIT ON DISPOSAL" sheetId="42" state="hidden" r:id="rId47"/>
    <sheet name="Consol Note 22 - RRL &amp; CRL" sheetId="146" state="hidden" r:id="rId48"/>
    <sheet name="CFER RECONCILIATION" sheetId="43" state="hidden" r:id="rId49"/>
    <sheet name="-------ALB to the right--------" sheetId="115" state="hidden" r:id="rId50"/>
    <sheet name="Index" sheetId="142" state="hidden" r:id="rId51"/>
    <sheet name="MAP" sheetId="1" state="hidden" r:id="rId52"/>
    <sheet name="alb Instructions" sheetId="63" r:id="rId53"/>
    <sheet name="alb Narrative" sheetId="64" r:id="rId54"/>
    <sheet name="alb Assurance" sheetId="128" r:id="rId55"/>
    <sheet name="alb A - Losses &amp; special pay" sheetId="68" r:id="rId56"/>
    <sheet name="alb A - Staff Report" sheetId="119" r:id="rId57"/>
    <sheet name="alb A - Staff data" sheetId="73" r:id="rId58"/>
    <sheet name="alb A - Compensation packages" sheetId="70" r:id="rId59"/>
    <sheet name="alb SoCNE" sheetId="74" r:id="rId60"/>
    <sheet name="alb SFP" sheetId="75" r:id="rId61"/>
    <sheet name="alb SCF" sheetId="77" r:id="rId62"/>
    <sheet name="alb SoCITE" sheetId="76" r:id="rId63"/>
    <sheet name="alb Note 3 &amp; 3.1 - Expenditure" sheetId="79" r:id="rId64"/>
    <sheet name="alb Note 4 - Income" sheetId="80" r:id="rId65"/>
    <sheet name="alb Note 5.1 -PP&amp;E - CY" sheetId="81" r:id="rId66"/>
    <sheet name="alb Note 5.2 -  PP&amp;E - PY" sheetId="82" r:id="rId67"/>
    <sheet name="alb Note 5.3 -Asset held resale" sheetId="87" r:id="rId68"/>
    <sheet name="alb Note 6.1 -  Intangibles CY" sheetId="83" r:id="rId69"/>
    <sheet name="alb Note 6.2 -  Intangibles PY" sheetId="84" r:id="rId70"/>
    <sheet name="alb Note 7 - Impairments" sheetId="86" r:id="rId71"/>
    <sheet name="alb Note 8 - Fin instruments" sheetId="85" r:id="rId72"/>
    <sheet name="alb Note 9 - Investments" sheetId="117" r:id="rId73"/>
    <sheet name="alb Note 10 - Inventories" sheetId="88" r:id="rId74"/>
    <sheet name="alb Note 11 - Cash" sheetId="89" r:id="rId75"/>
    <sheet name="alb Note 12 Trade Receivables" sheetId="92" r:id="rId76"/>
    <sheet name="alb Note 13.1 Trade payables" sheetId="93" r:id="rId77"/>
    <sheet name="alb Note 14 - Provisions CY" sheetId="96" r:id="rId78"/>
    <sheet name="alb Note 14 - Provisions PY" sheetId="97" r:id="rId79"/>
    <sheet name="NIFRS NILGOSC scheme liability" sheetId="144" r:id="rId80"/>
    <sheet name="NIFRS FF scheme liability" sheetId="145" r:id="rId81"/>
    <sheet name="alb Note 15 - Cont liab" sheetId="106" r:id="rId82"/>
    <sheet name="alb Note 15.1- Financial Guar" sheetId="107" r:id="rId83"/>
    <sheet name="alb Note 16  Leases" sheetId="102" r:id="rId84"/>
    <sheet name="alb Note 17 - Commitments PFI" sheetId="104" r:id="rId85"/>
    <sheet name="alb Note 18 - Capital commits" sheetId="98" r:id="rId86"/>
    <sheet name="alb Note 18.2 - Other fin comm" sheetId="105" r:id="rId87"/>
    <sheet name="alb Note 20 Third Party Assets" sheetId="109" r:id="rId88"/>
    <sheet name="alb Note 21 - Post Bal sheet" sheetId="113" r:id="rId89"/>
    <sheet name="alb Note 22 - RRL &amp; CRL" sheetId="143" r:id="rId90"/>
    <sheet name="alb Interco" sheetId="67" r:id="rId91"/>
    <sheet name="alb Check Sheet" sheetId="71" r:id="rId92"/>
  </sheets>
  <definedNames>
    <definedName name="_xlnm._FilterDatabase" localSheetId="91" hidden="1">'alb Check Sheet'!$A$2:$F$2</definedName>
    <definedName name="_xlnm._FilterDatabase" localSheetId="9" hidden="1">Guide!$A$4:$E$4</definedName>
    <definedName name="_xlnm._FilterDatabase" localSheetId="51" hidden="1">MAP!$A$4:$CK$2128</definedName>
    <definedName name="CBAL" localSheetId="80">#REF!</definedName>
    <definedName name="Index_Sheet_Kutools" localSheetId="80">#REF!</definedName>
    <definedName name="Index_Sheet_Kutools" localSheetId="79">#REF!</definedName>
    <definedName name="Index_Sheet_Kutools">Index!$A$1</definedName>
    <definedName name="OBAL" localSheetId="80">#REF!</definedName>
    <definedName name="_xlnm.Print_Area" localSheetId="11">'A - Losses &amp; special payments'!$A$1:$J$48,'A - Losses &amp; special payments'!$A$51:$J$113</definedName>
    <definedName name="_xlnm.Print_Area" localSheetId="57">'alb A - Staff data'!$A$1:$E$47</definedName>
    <definedName name="_xlnm.Print_Area" localSheetId="91">'alb Check Sheet'!$A$67:$E$100</definedName>
    <definedName name="_xlnm.Print_Area" localSheetId="73">'alb Note 10 - Inventories'!$A$1:$C$15</definedName>
    <definedName name="_xlnm.Print_Area" localSheetId="74">'alb Note 11 - Cash'!$A$1:$C$22</definedName>
    <definedName name="_xlnm.Print_Area" localSheetId="75">'alb Note 12 Trade Receivables'!$A$1:$C$45</definedName>
    <definedName name="_xlnm.Print_Area" localSheetId="76">'alb Note 13.1 Trade payables'!$A$1:$C$51</definedName>
    <definedName name="_xlnm.Print_Area" localSheetId="77">'alb Note 14 - Provisions CY'!$A$1:$H$55</definedName>
    <definedName name="_xlnm.Print_Area" localSheetId="78">'alb Note 14 - Provisions PY'!$A$1:$H$39</definedName>
    <definedName name="_xlnm.Print_Area" localSheetId="82">'alb Note 15.1- Financial Guar'!$A$1:$F$30</definedName>
    <definedName name="_xlnm.Print_Area" localSheetId="85">'alb Note 18 - Capital commits'!$A$1:$C$15</definedName>
    <definedName name="_xlnm.Print_Area" localSheetId="88">'alb Note 21 - Post Bal sheet'!$A$1:$E$14</definedName>
    <definedName name="_xlnm.Print_Area" localSheetId="63">'alb Note 3 &amp; 3.1 - Expenditure'!$A$1:$D$49</definedName>
    <definedName name="_xlnm.Print_Area" localSheetId="64">'alb Note 4 - Income'!$A$1:$C$38</definedName>
    <definedName name="_xlnm.Print_Area" localSheetId="65">'alb Note 5.1 -PP&amp;E - CY'!$A$1:$J$58</definedName>
    <definedName name="_xlnm.Print_Area" localSheetId="68">'alb Note 6.1 -  Intangibles CY'!$A$1:$J$57</definedName>
    <definedName name="_xlnm.Print_Area" localSheetId="69">'alb Note 6.2 -  Intangibles PY'!$A$1:$J$51</definedName>
    <definedName name="_xlnm.Print_Area" localSheetId="70">'alb Note 7 - Impairments'!$A$1:$H$22</definedName>
    <definedName name="_xlnm.Print_Area" localSheetId="72">'alb Note 9 - Investments'!$A$1:$K$7</definedName>
    <definedName name="_xlnm.Print_Area" localSheetId="61">'alb SCF'!$A$1:$D$67</definedName>
    <definedName name="_xlnm.Print_Area" localSheetId="62">'alb SoCITE'!$A$1:$F$67</definedName>
    <definedName name="_xlnm.Print_Area" localSheetId="59">'alb SoCNE'!$A$1:$D$74</definedName>
    <definedName name="_xlnm.Print_Area" localSheetId="80">'NIFRS FF scheme liability'!#REF!</definedName>
    <definedName name="_xlnm.Print_Area" localSheetId="79">'NIFRS NILGOSC scheme liability'!$A$2:$B$31</definedName>
    <definedName name="_xlnm.Print_Area" localSheetId="37">'Note 12'!$A$1:$I$58</definedName>
    <definedName name="_xlnm.Print_Area" localSheetId="38">'Note 13'!$A$1:$I$60</definedName>
    <definedName name="_xlnm.Print_Area" localSheetId="39">'Note 14'!$A$1:$AC$29</definedName>
    <definedName name="_xlnm.Print_Area" localSheetId="40">'Note 15'!$A$1:$F$21</definedName>
    <definedName name="_xlnm.Print_Area" localSheetId="41">'Note 16'!$A$1:$F$32</definedName>
    <definedName name="_xlnm.Print_Area" localSheetId="42">'Note 17'!$A$1:$S$36,'Note 17'!$A$39:$G$92</definedName>
    <definedName name="_xlnm.Print_Area" localSheetId="43">'Note 18'!$A$1:$G$72</definedName>
    <definedName name="_xlnm.Print_Area" localSheetId="44">'Note 19'!$A$1:$I$36</definedName>
    <definedName name="_xlnm.Print_Area" localSheetId="23">'Note 2'!$A$1:$H$61</definedName>
    <definedName name="_xlnm.Print_Area" localSheetId="24">'Note 2.1'!$A$1:$G$49</definedName>
    <definedName name="_xlnm.Print_Area" localSheetId="45">'Note 21'!$A$1:$G$18</definedName>
    <definedName name="_xlnm.Print_Area" localSheetId="25">'Note 3a'!$A$2:$F$35</definedName>
    <definedName name="_xlnm.Print_Area" localSheetId="26">'Note 3b &amp; 3c'!$A$1:$M$45,'Note 3b &amp; 3c'!$A$69:$M$107</definedName>
    <definedName name="_xlnm.Print_Area" localSheetId="27">'Note 4'!$A$1:$I$32</definedName>
    <definedName name="_xlnm.Print_Area" localSheetId="28">'Note 5'!$A$1:$K$53,'Note 5'!$A$57:$K$112,'Note 5'!$A$114:$K$129</definedName>
    <definedName name="_xlnm.Print_Area" localSheetId="29">'Note 5 (C&amp;A)'!$A$1:$L$126</definedName>
    <definedName name="_xlnm.Print_Area" localSheetId="30">'Note 5.4'!$A$1:$N$22</definedName>
    <definedName name="_xlnm.Print_Area" localSheetId="31">'Note 5.4 (C&amp;A)'!$A$1:$M$22</definedName>
    <definedName name="_xlnm.Print_Area" localSheetId="32">'Note 6'!$A$1:$K$51,'Note 6'!$A$53:$K$122</definedName>
    <definedName name="_xlnm.Print_Area" localSheetId="33">'Note 6 (C&amp;A)'!$A$1:$K$51,'Note 6 (C&amp;A)'!$A$53:$K$121</definedName>
    <definedName name="_xlnm.Print_Area" localSheetId="34">'Note 7'!$A$1:$K$13</definedName>
    <definedName name="_xlnm.Print_Area" localSheetId="16">'Note 7 Impair Check'!$B$1:$L$32</definedName>
    <definedName name="_xlnm.Print_Area" localSheetId="36">'Notes 10 &amp; 11'!$A$1:$I$62</definedName>
    <definedName name="_xlnm.Print_Area" localSheetId="35">'Notes 8 &amp; 9'!$A$1:$L$70</definedName>
    <definedName name="_xlnm.Print_Area" localSheetId="21">SCF!$B$1:$F$68</definedName>
    <definedName name="_xlnm.Print_Area" localSheetId="19">SCNE!$B$1:$M$76</definedName>
    <definedName name="_xlnm.Print_Area" localSheetId="20">SFP!$B$1:$M$63</definedName>
    <definedName name="_xlnm.Print_Area" localSheetId="1">SOAS!$B$1:$M$64</definedName>
    <definedName name="_xlnm.Print_Area" localSheetId="2">'SOAS 1.1'!$B$1:$N$79</definedName>
    <definedName name="_xlnm.Print_Area" localSheetId="3">'SOAS 1.2'!$B$1:$J$77</definedName>
    <definedName name="_xlnm.Print_Area" localSheetId="4">'SoAS 2'!$B$1:$E$25</definedName>
    <definedName name="_xlnm.Print_Area" localSheetId="5">'SoAS 3'!$B$1:$F$39</definedName>
    <definedName name="_xlnm.Print_Area" localSheetId="7">'SoAS 4'!$B$1:$G$24</definedName>
    <definedName name="_xlnm.Print_Area" localSheetId="22">TE!$A$1:$L$76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63" l="1"/>
  <c r="L424" i="1"/>
  <c r="A1854" i="1"/>
  <c r="A1855" i="1" s="1"/>
  <c r="K1887" i="1"/>
  <c r="L1726" i="1"/>
  <c r="A1857" i="1" l="1"/>
  <c r="A1856" i="1"/>
  <c r="C98" i="71"/>
  <c r="A1858" i="1" l="1"/>
  <c r="A1859" i="1" l="1"/>
  <c r="A1860" i="1" l="1"/>
  <c r="A1861" i="1" l="1"/>
  <c r="A1862" i="1" l="1"/>
  <c r="A1863" i="1" l="1"/>
  <c r="A1864" i="1" l="1"/>
  <c r="A1865" i="1"/>
  <c r="A1866" i="1" s="1"/>
  <c r="A1867" i="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E94" i="50" l="1"/>
  <c r="J39" i="130"/>
  <c r="J25" i="130"/>
  <c r="J22" i="130"/>
  <c r="J21" i="130"/>
  <c r="J19" i="130"/>
  <c r="J18" i="130"/>
  <c r="J17" i="130"/>
  <c r="J16" i="130"/>
  <c r="J15" i="130"/>
  <c r="E43" i="17"/>
  <c r="E11" i="17"/>
  <c r="E14" i="133"/>
  <c r="E25" i="133" l="1"/>
  <c r="D51" i="146" l="1"/>
  <c r="D61" i="146"/>
  <c r="H57" i="129" l="1"/>
  <c r="H45" i="129"/>
  <c r="D57" i="129"/>
  <c r="D45" i="129"/>
  <c r="B2" i="129"/>
  <c r="G9" i="61"/>
  <c r="B2" i="25"/>
  <c r="B1" i="25"/>
  <c r="P118" i="6" l="1"/>
  <c r="Q118" i="6"/>
  <c r="R118" i="6"/>
  <c r="S118" i="6"/>
  <c r="T118" i="6"/>
  <c r="U118" i="6"/>
  <c r="V118" i="6"/>
  <c r="W118" i="6"/>
  <c r="X118" i="6"/>
  <c r="Y118" i="6"/>
  <c r="Z118" i="6"/>
  <c r="AA118" i="6"/>
  <c r="AB118" i="6"/>
  <c r="AC118" i="6"/>
  <c r="AD118" i="6"/>
  <c r="AE118" i="6"/>
  <c r="AF118" i="6"/>
  <c r="AG118" i="6"/>
  <c r="AH118" i="6"/>
  <c r="AI118" i="6"/>
  <c r="AJ118" i="6"/>
  <c r="AK118" i="6"/>
  <c r="AL118" i="6"/>
  <c r="AM118" i="6"/>
  <c r="N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J1695" i="1"/>
  <c r="G1695" i="1"/>
  <c r="E1695" i="1"/>
  <c r="BJ1694" i="1"/>
  <c r="BI1694" i="1"/>
  <c r="BH1694" i="1"/>
  <c r="BG1694" i="1"/>
  <c r="BF1694" i="1"/>
  <c r="BE1694" i="1"/>
  <c r="R1694" i="1"/>
  <c r="Q1694" i="1"/>
  <c r="P1694" i="1"/>
  <c r="O1694" i="1"/>
  <c r="J1694" i="1"/>
  <c r="G1694" i="1"/>
  <c r="E1694" i="1"/>
  <c r="BJ1676" i="1"/>
  <c r="BI1676" i="1"/>
  <c r="BH1676" i="1"/>
  <c r="BG1676" i="1"/>
  <c r="BF1676" i="1"/>
  <c r="BE1676" i="1"/>
  <c r="R1676" i="1"/>
  <c r="Q1676" i="1"/>
  <c r="P1676" i="1"/>
  <c r="O1676" i="1"/>
  <c r="J1676" i="1"/>
  <c r="G1676" i="1"/>
  <c r="E1676" i="1"/>
  <c r="BJ1658" i="1"/>
  <c r="BI1658" i="1"/>
  <c r="BH1658" i="1"/>
  <c r="BG1658" i="1"/>
  <c r="BF1658" i="1"/>
  <c r="BE1658" i="1"/>
  <c r="R1658" i="1"/>
  <c r="Q1658" i="1"/>
  <c r="P1658" i="1"/>
  <c r="O1658" i="1"/>
  <c r="J1658" i="1"/>
  <c r="G1658" i="1"/>
  <c r="E1658" i="1"/>
  <c r="BJ1640" i="1"/>
  <c r="BI1640" i="1"/>
  <c r="BH1640" i="1"/>
  <c r="BG1640" i="1"/>
  <c r="BF1640" i="1"/>
  <c r="BE1640" i="1"/>
  <c r="R1640" i="1"/>
  <c r="Q1640" i="1"/>
  <c r="P1640" i="1"/>
  <c r="O1640" i="1"/>
  <c r="J1640" i="1"/>
  <c r="G1640" i="1"/>
  <c r="E1640" i="1"/>
  <c r="BJ1622" i="1"/>
  <c r="BI1622" i="1"/>
  <c r="BH1622" i="1"/>
  <c r="BG1622" i="1"/>
  <c r="BF1622" i="1"/>
  <c r="BE1622" i="1"/>
  <c r="R1622" i="1"/>
  <c r="Q1622" i="1"/>
  <c r="P1622" i="1"/>
  <c r="O1622" i="1"/>
  <c r="J1622" i="1"/>
  <c r="G1622" i="1"/>
  <c r="E1622" i="1"/>
  <c r="BJ1604" i="1"/>
  <c r="BI1604" i="1"/>
  <c r="BH1604" i="1"/>
  <c r="BG1604" i="1"/>
  <c r="BF1604" i="1"/>
  <c r="BE1604" i="1"/>
  <c r="R1604" i="1"/>
  <c r="Q1604" i="1"/>
  <c r="P1604" i="1"/>
  <c r="O1604" i="1"/>
  <c r="J1604" i="1"/>
  <c r="G1604" i="1"/>
  <c r="E1604" i="1"/>
  <c r="G1586" i="1"/>
  <c r="J1586" i="1"/>
  <c r="BE1586" i="1"/>
  <c r="BF1586" i="1"/>
  <c r="BG1586" i="1"/>
  <c r="BH1586" i="1"/>
  <c r="BI1586" i="1"/>
  <c r="BJ1586" i="1"/>
  <c r="R1586" i="1"/>
  <c r="Q1586" i="1"/>
  <c r="P1586" i="1"/>
  <c r="O1586" i="1"/>
  <c r="E1586" i="1"/>
  <c r="B119" i="6"/>
  <c r="R1695" i="1" l="1"/>
  <c r="J119" i="6" s="1"/>
  <c r="P1695" i="1"/>
  <c r="H119" i="6" s="1"/>
  <c r="O1695" i="1"/>
  <c r="G119" i="6" s="1"/>
  <c r="Q1695" i="1"/>
  <c r="I119" i="6" s="1"/>
  <c r="V402" i="1"/>
  <c r="G11" i="49"/>
  <c r="F11" i="49"/>
  <c r="D119" i="31" l="1"/>
  <c r="C119" i="31"/>
  <c r="D100" i="31"/>
  <c r="D92" i="31"/>
  <c r="C92" i="31"/>
  <c r="D73" i="31"/>
  <c r="D58" i="31"/>
  <c r="C58" i="31"/>
  <c r="D107" i="29"/>
  <c r="D108" i="29"/>
  <c r="C107" i="29"/>
  <c r="C108" i="29"/>
  <c r="G77" i="29"/>
  <c r="D77" i="29"/>
  <c r="C77" i="29"/>
  <c r="G62" i="29"/>
  <c r="G61" i="29"/>
  <c r="D61" i="29"/>
  <c r="C61" i="29"/>
  <c r="G107" i="29"/>
  <c r="H99" i="29"/>
  <c r="G99" i="29"/>
  <c r="F99" i="29"/>
  <c r="E99" i="29"/>
  <c r="D99" i="29"/>
  <c r="C99" i="29"/>
  <c r="H77" i="29"/>
  <c r="E77" i="29"/>
  <c r="F61" i="29"/>
  <c r="K62" i="135"/>
  <c r="K61" i="135"/>
  <c r="K62" i="29" l="1"/>
  <c r="K61" i="29"/>
  <c r="G47" i="25" l="1"/>
  <c r="G45" i="25"/>
  <c r="G43" i="25"/>
  <c r="G42" i="25"/>
  <c r="G41" i="25"/>
  <c r="G40" i="25"/>
  <c r="G39" i="25"/>
  <c r="G38" i="25"/>
  <c r="G37" i="25"/>
  <c r="G36" i="25"/>
  <c r="G35" i="25"/>
  <c r="G34" i="25"/>
  <c r="G33" i="25"/>
  <c r="L13" i="23"/>
  <c r="G13" i="23"/>
  <c r="G59" i="12"/>
  <c r="D100" i="146" l="1"/>
  <c r="D80" i="146"/>
  <c r="D71" i="146"/>
  <c r="D82" i="146" s="1"/>
  <c r="D32" i="146"/>
  <c r="D20" i="146"/>
  <c r="D10" i="146"/>
  <c r="C10" i="146"/>
  <c r="C61" i="146" s="1"/>
  <c r="A3" i="146"/>
  <c r="A1" i="146"/>
  <c r="D34" i="146" l="1"/>
  <c r="D53" i="146"/>
  <c r="D55" i="146" s="1"/>
  <c r="D102" i="146"/>
  <c r="J1777" i="1" l="1"/>
  <c r="J1778" i="1"/>
  <c r="J1779" i="1"/>
  <c r="J1780" i="1"/>
  <c r="J1776" i="1"/>
  <c r="J1773" i="1"/>
  <c r="J1772" i="1"/>
  <c r="K1830" i="1"/>
  <c r="K1829" i="1"/>
  <c r="D97" i="143"/>
  <c r="T1823" i="1"/>
  <c r="N1823" i="1" s="1"/>
  <c r="T1824" i="1"/>
  <c r="N1824" i="1" s="1"/>
  <c r="K1823" i="1"/>
  <c r="K1824" i="1"/>
  <c r="J1811" i="1"/>
  <c r="J1812" i="1"/>
  <c r="J1813" i="1"/>
  <c r="J1814" i="1"/>
  <c r="J1810" i="1"/>
  <c r="J1806" i="1"/>
  <c r="J1805" i="1"/>
  <c r="K1795" i="1"/>
  <c r="E1796" i="1"/>
  <c r="A168" i="60" l="1"/>
  <c r="A167" i="60"/>
  <c r="BK44" i="1"/>
  <c r="BD44" i="1" s="1"/>
  <c r="S44" i="1" s="1"/>
  <c r="AY44" i="1"/>
  <c r="U44" i="1"/>
  <c r="C44" i="1"/>
  <c r="U11" i="37"/>
  <c r="AB17" i="37"/>
  <c r="W17" i="37"/>
  <c r="S17" i="37"/>
  <c r="E31" i="96"/>
  <c r="F37" i="97"/>
  <c r="F22" i="97"/>
  <c r="F12" i="96" s="1"/>
  <c r="F24" i="96" s="1"/>
  <c r="F54" i="96"/>
  <c r="J78" i="23"/>
  <c r="J77" i="23"/>
  <c r="J18" i="37" l="1"/>
  <c r="C30" i="37"/>
  <c r="H30" i="37"/>
  <c r="I30" i="37"/>
  <c r="C44" i="37"/>
  <c r="D44" i="37"/>
  <c r="E44" i="37"/>
  <c r="F44" i="37"/>
  <c r="G44" i="37"/>
  <c r="H44" i="37"/>
  <c r="I44" i="37"/>
  <c r="J44" i="37"/>
  <c r="K44" i="37"/>
  <c r="O90" i="37"/>
  <c r="C104" i="37"/>
  <c r="D104" i="37"/>
  <c r="E104" i="37"/>
  <c r="F104" i="37"/>
  <c r="G104" i="37"/>
  <c r="H104" i="37"/>
  <c r="I104" i="37"/>
  <c r="K104" i="37"/>
  <c r="E20" i="47"/>
  <c r="J104" i="37" l="1"/>
  <c r="L104" i="37"/>
  <c r="L44" i="37"/>
  <c r="L55" i="37" s="1"/>
  <c r="L105" i="37"/>
  <c r="K101" i="29"/>
  <c r="K100" i="29"/>
  <c r="K99" i="29"/>
  <c r="H119" i="29"/>
  <c r="L79" i="37" l="1"/>
  <c r="K103" i="29"/>
  <c r="E12" i="25" l="1"/>
  <c r="Q901" i="1"/>
  <c r="U1839" i="1" l="1"/>
  <c r="M134" i="6" s="1"/>
  <c r="N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F10" i="6" l="1"/>
  <c r="M167" i="138" l="1"/>
  <c r="N195" i="138" l="1"/>
  <c r="H174" i="138"/>
  <c r="U19" i="1"/>
  <c r="U96" i="1"/>
  <c r="U1271" i="1" l="1"/>
  <c r="V441" i="1" l="1"/>
  <c r="V459" i="1" s="1"/>
  <c r="U441" i="1"/>
  <c r="S31" i="36" l="1"/>
  <c r="R31" i="36"/>
  <c r="K92" i="60" l="1"/>
  <c r="I32" i="36" l="1"/>
  <c r="P441" i="1" l="1"/>
  <c r="P459" i="1" s="1"/>
  <c r="Q441" i="1"/>
  <c r="Q459" i="1" s="1"/>
  <c r="R441" i="1"/>
  <c r="R459" i="1" s="1"/>
  <c r="O441" i="1"/>
  <c r="O459" i="1" s="1"/>
  <c r="K71" i="60" l="1"/>
  <c r="K1801" i="1" l="1"/>
  <c r="K1802" i="1"/>
  <c r="K1803" i="1"/>
  <c r="K1804" i="1"/>
  <c r="K1805" i="1"/>
  <c r="K1806" i="1"/>
  <c r="K1808" i="1"/>
  <c r="K1809" i="1"/>
  <c r="K1810" i="1"/>
  <c r="K1811" i="1"/>
  <c r="K1812" i="1"/>
  <c r="K1813" i="1"/>
  <c r="K1814" i="1"/>
  <c r="K1817" i="1"/>
  <c r="K1819" i="1"/>
  <c r="K1820" i="1"/>
  <c r="K1821" i="1"/>
  <c r="K1822" i="1"/>
  <c r="K1825" i="1"/>
  <c r="K1800" i="1"/>
  <c r="K1768" i="1"/>
  <c r="K1769" i="1"/>
  <c r="K1770" i="1"/>
  <c r="K1771" i="1"/>
  <c r="K1772" i="1"/>
  <c r="K1773" i="1"/>
  <c r="K1775" i="1"/>
  <c r="K1776" i="1"/>
  <c r="K1777" i="1"/>
  <c r="K1778" i="1"/>
  <c r="K1779" i="1"/>
  <c r="K1780" i="1"/>
  <c r="K1783" i="1"/>
  <c r="K1785" i="1"/>
  <c r="K1786" i="1"/>
  <c r="K1787" i="1"/>
  <c r="K1788" i="1"/>
  <c r="K1793" i="1"/>
  <c r="K1794" i="1"/>
  <c r="K1796" i="1"/>
  <c r="K1767" i="1"/>
  <c r="BJ372" i="1" l="1"/>
  <c r="E6" i="145" l="1"/>
  <c r="C6" i="145"/>
  <c r="A2" i="145"/>
  <c r="C7" i="144"/>
  <c r="B7" i="144"/>
  <c r="A5" i="144"/>
  <c r="A1" i="144"/>
  <c r="A3" i="144"/>
  <c r="A65" i="145"/>
  <c r="A54" i="145"/>
  <c r="K1530" i="1" s="1"/>
  <c r="A43" i="145"/>
  <c r="A32" i="145"/>
  <c r="K1516" i="1" s="1"/>
  <c r="A20" i="145"/>
  <c r="K1504" i="1" s="1"/>
  <c r="A9" i="145"/>
  <c r="K1506" i="1" s="1"/>
  <c r="A28" i="144"/>
  <c r="A11" i="144"/>
  <c r="K1532" i="1"/>
  <c r="K1520" i="1"/>
  <c r="K1509" i="1"/>
  <c r="K1513" i="1" l="1"/>
  <c r="K1512" i="1"/>
  <c r="K1514" i="1"/>
  <c r="K1518" i="1"/>
  <c r="K1521" i="1"/>
  <c r="K1507" i="1"/>
  <c r="K1524" i="1"/>
  <c r="K1525" i="1"/>
  <c r="K1526" i="1"/>
  <c r="K1502" i="1"/>
  <c r="K1503" i="1"/>
  <c r="K1515" i="1"/>
  <c r="K1527" i="1"/>
  <c r="K1528" i="1"/>
  <c r="K1501" i="1"/>
  <c r="K1505" i="1"/>
  <c r="K1517" i="1"/>
  <c r="K1529" i="1"/>
  <c r="E59" i="145"/>
  <c r="E65" i="145" s="1"/>
  <c r="C54" i="145" s="1"/>
  <c r="C59" i="145"/>
  <c r="E37" i="145"/>
  <c r="E43" i="145" s="1"/>
  <c r="C32" i="145" s="1"/>
  <c r="C37" i="145"/>
  <c r="E14" i="145"/>
  <c r="E20" i="145" s="1"/>
  <c r="C9" i="145" s="1"/>
  <c r="C14" i="145"/>
  <c r="E29" i="145"/>
  <c r="C51" i="145"/>
  <c r="C28" i="144"/>
  <c r="B11" i="144" s="1"/>
  <c r="F56" i="138"/>
  <c r="U8" i="1" l="1"/>
  <c r="K1522" i="1"/>
  <c r="K1510" i="1"/>
  <c r="K1535" i="1"/>
  <c r="K1541" i="1"/>
  <c r="K1539" i="1"/>
  <c r="K1538" i="1"/>
  <c r="K1537" i="1"/>
  <c r="K1536" i="1"/>
  <c r="K1540" i="1"/>
  <c r="C43" i="145"/>
  <c r="B28" i="144"/>
  <c r="C65" i="145"/>
  <c r="C20" i="145"/>
  <c r="C29" i="145"/>
  <c r="E51" i="145"/>
  <c r="B9" i="2" a="1"/>
  <c r="B3" i="3" a="1"/>
  <c r="B3" i="3" l="1"/>
  <c r="B9" i="2"/>
  <c r="J1686" i="1"/>
  <c r="J1677" i="1"/>
  <c r="J1668" i="1"/>
  <c r="J1659" i="1"/>
  <c r="J1650" i="1"/>
  <c r="J1641" i="1"/>
  <c r="J1632" i="1"/>
  <c r="J1623" i="1"/>
  <c r="J1614" i="1"/>
  <c r="J1605" i="1"/>
  <c r="J1596" i="1"/>
  <c r="J1587" i="1"/>
  <c r="J1578" i="1"/>
  <c r="J1693" i="1"/>
  <c r="J1685" i="1"/>
  <c r="J1675" i="1"/>
  <c r="J1667" i="1"/>
  <c r="J1657" i="1"/>
  <c r="J1649" i="1"/>
  <c r="J1639" i="1"/>
  <c r="J1631" i="1"/>
  <c r="J1621" i="1"/>
  <c r="J1613" i="1"/>
  <c r="J1603" i="1"/>
  <c r="J1595" i="1"/>
  <c r="J1585" i="1"/>
  <c r="J1577" i="1"/>
  <c r="G1577" i="1"/>
  <c r="E7" i="42" l="1"/>
  <c r="G32" i="36" l="1"/>
  <c r="I18" i="35"/>
  <c r="G18" i="35"/>
  <c r="L45" i="23" l="1"/>
  <c r="L44" i="23"/>
  <c r="L43" i="23"/>
  <c r="L42" i="23"/>
  <c r="L41" i="23"/>
  <c r="L40" i="23"/>
  <c r="L39" i="23"/>
  <c r="L38" i="23"/>
  <c r="L37" i="23"/>
  <c r="L36" i="23"/>
  <c r="L35" i="23"/>
  <c r="L34" i="23"/>
  <c r="L33" i="23"/>
  <c r="L32" i="23"/>
  <c r="L31" i="23"/>
  <c r="L30" i="23"/>
  <c r="L29" i="23"/>
  <c r="G45" i="23"/>
  <c r="G44" i="23"/>
  <c r="G43" i="23"/>
  <c r="G42" i="23"/>
  <c r="G41" i="23"/>
  <c r="G40" i="23"/>
  <c r="G39" i="23"/>
  <c r="G38" i="23"/>
  <c r="G37" i="23"/>
  <c r="G36" i="23"/>
  <c r="G35" i="23"/>
  <c r="G34" i="23"/>
  <c r="G33" i="23"/>
  <c r="G32" i="23"/>
  <c r="G31" i="23"/>
  <c r="G30" i="23"/>
  <c r="G29" i="23"/>
  <c r="L20" i="23"/>
  <c r="L21" i="23"/>
  <c r="L22" i="23"/>
  <c r="L23" i="23"/>
  <c r="L24" i="23"/>
  <c r="L25" i="23"/>
  <c r="L26" i="23"/>
  <c r="L27" i="23"/>
  <c r="L19" i="23"/>
  <c r="G20" i="23"/>
  <c r="G21" i="23"/>
  <c r="G22" i="23"/>
  <c r="G23" i="23"/>
  <c r="G24" i="23"/>
  <c r="G25" i="23"/>
  <c r="G26" i="23"/>
  <c r="G27" i="23"/>
  <c r="CP99" i="1" l="1"/>
  <c r="CP106" i="1"/>
  <c r="CP391" i="1"/>
  <c r="CP1313" i="1"/>
  <c r="CP2124" i="1"/>
  <c r="CP2125" i="1"/>
  <c r="CP2126" i="1"/>
  <c r="CP2127" i="1"/>
  <c r="CP2128" i="1"/>
  <c r="CP2129" i="1"/>
  <c r="CP2130" i="1"/>
  <c r="CP2131" i="1"/>
  <c r="CP2132" i="1"/>
  <c r="CP2133" i="1"/>
  <c r="CP2134" i="1"/>
  <c r="CP2135" i="1"/>
  <c r="CP2136" i="1"/>
  <c r="CP2137" i="1"/>
  <c r="CP2138" i="1"/>
  <c r="CP2139" i="1"/>
  <c r="CP2140" i="1"/>
  <c r="CP2141" i="1"/>
  <c r="CP2142" i="1"/>
  <c r="CP2143" i="1"/>
  <c r="CP2144" i="1"/>
  <c r="CP2145" i="1"/>
  <c r="CP2146" i="1"/>
  <c r="CP2147" i="1"/>
  <c r="CP2148" i="1"/>
  <c r="CP2149" i="1"/>
  <c r="CP2150" i="1"/>
  <c r="CP2151" i="1"/>
  <c r="CP2152" i="1"/>
  <c r="CP2153" i="1"/>
  <c r="CP2154" i="1"/>
  <c r="CP2155" i="1"/>
  <c r="CP2156" i="1"/>
  <c r="CP2157" i="1"/>
  <c r="CP2158" i="1"/>
  <c r="CP2159" i="1"/>
  <c r="CP2160" i="1"/>
  <c r="CP2161" i="1"/>
  <c r="CP2162" i="1"/>
  <c r="CP2163" i="1"/>
  <c r="CP2164" i="1"/>
  <c r="CP2165" i="1"/>
  <c r="CP2166" i="1"/>
  <c r="CP2167" i="1"/>
  <c r="CP2168" i="1"/>
  <c r="CP2169" i="1"/>
  <c r="CP2170" i="1"/>
  <c r="CP2171" i="1"/>
  <c r="CP2172" i="1"/>
  <c r="CP2173" i="1"/>
  <c r="CP2174" i="1"/>
  <c r="CP2175" i="1"/>
  <c r="CP2176" i="1"/>
  <c r="CP2177" i="1"/>
  <c r="CP2178" i="1"/>
  <c r="CP2179" i="1"/>
  <c r="CP2180" i="1"/>
  <c r="CP2181" i="1"/>
  <c r="CP2182" i="1"/>
  <c r="CP2183" i="1"/>
  <c r="CP2184" i="1"/>
  <c r="CP2185" i="1"/>
  <c r="CP2186" i="1"/>
  <c r="CP2187" i="1"/>
  <c r="CP2188" i="1"/>
  <c r="CP2189" i="1"/>
  <c r="CP2190" i="1"/>
  <c r="CP2191" i="1"/>
  <c r="CP2192" i="1"/>
  <c r="CP2193" i="1"/>
  <c r="CP2194" i="1"/>
  <c r="CP2195" i="1"/>
  <c r="CP2196" i="1"/>
  <c r="CP2197" i="1"/>
  <c r="CP2198" i="1"/>
  <c r="CP2199" i="1"/>
  <c r="CP2200" i="1"/>
  <c r="CP2201" i="1"/>
  <c r="CP2202" i="1"/>
  <c r="CP2203" i="1"/>
  <c r="CP2204" i="1"/>
  <c r="CP2205" i="1"/>
  <c r="CP2206" i="1"/>
  <c r="CP2207" i="1"/>
  <c r="CP2208" i="1"/>
  <c r="CP2209" i="1"/>
  <c r="CP2210" i="1"/>
  <c r="CP2211" i="1"/>
  <c r="CP2212" i="1"/>
  <c r="CP2213" i="1"/>
  <c r="CP2214" i="1"/>
  <c r="CP2215" i="1"/>
  <c r="CP2216" i="1"/>
  <c r="CP2217" i="1"/>
  <c r="CP2218" i="1"/>
  <c r="CP2219" i="1"/>
  <c r="CP2220" i="1"/>
  <c r="CP2221" i="1"/>
  <c r="CP2222" i="1"/>
  <c r="CP2223" i="1"/>
  <c r="CP2224" i="1"/>
  <c r="CP2225" i="1"/>
  <c r="CP2226" i="1"/>
  <c r="CP2227" i="1"/>
  <c r="CP2228" i="1"/>
  <c r="CP2229" i="1"/>
  <c r="CP2230" i="1"/>
  <c r="CP2231" i="1"/>
  <c r="CP2232" i="1"/>
  <c r="CP2233" i="1"/>
  <c r="CP2234" i="1"/>
  <c r="CP2235" i="1"/>
  <c r="CP2236" i="1"/>
  <c r="CP2237" i="1"/>
  <c r="CP2238" i="1"/>
  <c r="CP2239" i="1"/>
  <c r="CP2240" i="1"/>
  <c r="CP2241" i="1"/>
  <c r="CP2242" i="1"/>
  <c r="CP2243" i="1"/>
  <c r="CP2244" i="1"/>
  <c r="CP2245" i="1"/>
  <c r="CP2246" i="1"/>
  <c r="CP2247" i="1"/>
  <c r="CP2248" i="1"/>
  <c r="CP2249" i="1"/>
  <c r="CP2250" i="1"/>
  <c r="CP2251" i="1"/>
  <c r="CP2252" i="1"/>
  <c r="CP2253" i="1"/>
  <c r="CP2254" i="1"/>
  <c r="CP2255" i="1"/>
  <c r="CP2256" i="1"/>
  <c r="CP2257" i="1"/>
  <c r="CP2258" i="1"/>
  <c r="CP2259" i="1"/>
  <c r="CP2260" i="1"/>
  <c r="CP2261" i="1"/>
  <c r="CP2262" i="1"/>
  <c r="CP2263" i="1"/>
  <c r="CP2264" i="1"/>
  <c r="CP2265" i="1"/>
  <c r="CP2266" i="1"/>
  <c r="CP2267" i="1"/>
  <c r="CP2268" i="1"/>
  <c r="CP2269" i="1"/>
  <c r="CP2270" i="1"/>
  <c r="CP2271" i="1"/>
  <c r="CP2272" i="1"/>
  <c r="CP2273" i="1"/>
  <c r="CP2274" i="1"/>
  <c r="CP2275" i="1"/>
  <c r="CP2276" i="1"/>
  <c r="CP2277" i="1"/>
  <c r="CP2278" i="1"/>
  <c r="CP2279" i="1"/>
  <c r="CP2280" i="1"/>
  <c r="CP2281" i="1"/>
  <c r="CP2282" i="1"/>
  <c r="CP2283" i="1"/>
  <c r="CP2284" i="1"/>
  <c r="CP2285" i="1"/>
  <c r="CP2286" i="1"/>
  <c r="CP2287" i="1"/>
  <c r="CP2288" i="1"/>
  <c r="CP2289" i="1"/>
  <c r="CP2290" i="1"/>
  <c r="CP2291" i="1"/>
  <c r="CP2292" i="1"/>
  <c r="CP2293" i="1"/>
  <c r="CP2294" i="1"/>
  <c r="CP2295" i="1"/>
  <c r="CP2296" i="1"/>
  <c r="CP2297" i="1"/>
  <c r="CP2298" i="1"/>
  <c r="CP2299" i="1"/>
  <c r="CP2300" i="1"/>
  <c r="CP2301" i="1"/>
  <c r="CP2302" i="1"/>
  <c r="CP2303" i="1"/>
  <c r="CP2304" i="1"/>
  <c r="CP2305" i="1"/>
  <c r="CP2306" i="1"/>
  <c r="CP2307" i="1"/>
  <c r="CP2308" i="1"/>
  <c r="CP2309" i="1"/>
  <c r="CP2310" i="1"/>
  <c r="CP2311" i="1"/>
  <c r="CP2312" i="1"/>
  <c r="CP2313" i="1"/>
  <c r="CP2314" i="1"/>
  <c r="CP2315" i="1"/>
  <c r="CP2316" i="1"/>
  <c r="CP2317" i="1"/>
  <c r="CP2318" i="1"/>
  <c r="CP2319" i="1"/>
  <c r="CP2320" i="1"/>
  <c r="CP2321" i="1"/>
  <c r="CP2322" i="1"/>
  <c r="CP2323" i="1"/>
  <c r="CP2324" i="1"/>
  <c r="CP2325" i="1"/>
  <c r="CP2326" i="1"/>
  <c r="CP2327" i="1"/>
  <c r="CP2328" i="1"/>
  <c r="CP2329" i="1"/>
  <c r="CP2330" i="1"/>
  <c r="CP2331" i="1"/>
  <c r="CP2332" i="1"/>
  <c r="CP2333" i="1"/>
  <c r="CP2334" i="1"/>
  <c r="CP2335" i="1"/>
  <c r="CP2336" i="1"/>
  <c r="CP2337" i="1"/>
  <c r="CP2338" i="1"/>
  <c r="CP2339" i="1"/>
  <c r="CP2340" i="1"/>
  <c r="CP2341" i="1"/>
  <c r="CP2342" i="1"/>
  <c r="CP2343" i="1"/>
  <c r="CP2344" i="1"/>
  <c r="CP2345" i="1"/>
  <c r="CP2346" i="1"/>
  <c r="CP2347" i="1"/>
  <c r="CP2348" i="1"/>
  <c r="CP2349" i="1"/>
  <c r="CP2350" i="1"/>
  <c r="CP2351" i="1"/>
  <c r="CP2352" i="1"/>
  <c r="CP2353" i="1"/>
  <c r="CP2354" i="1"/>
  <c r="CP2355" i="1"/>
  <c r="CP2356" i="1"/>
  <c r="CP2357" i="1"/>
  <c r="CP2358" i="1"/>
  <c r="CP2359" i="1"/>
  <c r="CP2360" i="1"/>
  <c r="CP2361" i="1"/>
  <c r="CP2362" i="1"/>
  <c r="CP2363" i="1"/>
  <c r="CP2364" i="1"/>
  <c r="CP2365" i="1"/>
  <c r="CP2366" i="1"/>
  <c r="CP2367" i="1"/>
  <c r="CP2368" i="1"/>
  <c r="CP2369" i="1"/>
  <c r="CP2370" i="1"/>
  <c r="CP2371" i="1"/>
  <c r="CP2372" i="1"/>
  <c r="CP2373" i="1"/>
  <c r="CP2374" i="1"/>
  <c r="CP2375" i="1"/>
  <c r="CP2376" i="1"/>
  <c r="CP2377" i="1"/>
  <c r="CP2378" i="1"/>
  <c r="CP2379" i="1"/>
  <c r="CP2380" i="1"/>
  <c r="CP2381" i="1"/>
  <c r="CP2382" i="1"/>
  <c r="CP2383" i="1"/>
  <c r="CP2384" i="1"/>
  <c r="CP2385" i="1"/>
  <c r="CP2386" i="1"/>
  <c r="CP2387" i="1"/>
  <c r="CP2388" i="1"/>
  <c r="CP2389" i="1"/>
  <c r="CP2390" i="1"/>
  <c r="CP2391" i="1"/>
  <c r="CP2392" i="1"/>
  <c r="CP2393" i="1"/>
  <c r="CP2394" i="1"/>
  <c r="CP2395" i="1"/>
  <c r="CP2396" i="1"/>
  <c r="CP2397" i="1"/>
  <c r="CP2398" i="1"/>
  <c r="CP2399" i="1"/>
  <c r="CP2400" i="1"/>
  <c r="CP2401" i="1"/>
  <c r="CP2402" i="1"/>
  <c r="CP2403" i="1"/>
  <c r="CP2404" i="1"/>
  <c r="U27" i="1"/>
  <c r="V27" i="1"/>
  <c r="CM2121" i="1"/>
  <c r="CP2121" i="1" s="1"/>
  <c r="CM2120" i="1"/>
  <c r="CP2120" i="1" s="1"/>
  <c r="CM2118" i="1"/>
  <c r="CP2118" i="1" s="1"/>
  <c r="CM2117" i="1"/>
  <c r="CP2117" i="1" s="1"/>
  <c r="CM2116" i="1"/>
  <c r="CP2116" i="1" s="1"/>
  <c r="CM2115" i="1"/>
  <c r="CP2115" i="1" s="1"/>
  <c r="CM2114" i="1"/>
  <c r="CP2114" i="1" s="1"/>
  <c r="CM2113" i="1"/>
  <c r="CP2113" i="1" s="1"/>
  <c r="CM2112" i="1"/>
  <c r="CP2112" i="1" s="1"/>
  <c r="CM2111" i="1"/>
  <c r="CP2111" i="1" s="1"/>
  <c r="CM2110" i="1"/>
  <c r="CP2110" i="1" s="1"/>
  <c r="CM2109" i="1"/>
  <c r="CP2109" i="1" s="1"/>
  <c r="CM2108" i="1"/>
  <c r="CP2108" i="1" s="1"/>
  <c r="CM2107" i="1"/>
  <c r="CP2107" i="1" s="1"/>
  <c r="CM2106" i="1"/>
  <c r="CP2106" i="1" s="1"/>
  <c r="CM2105" i="1"/>
  <c r="CP2105" i="1" s="1"/>
  <c r="CM2104" i="1"/>
  <c r="CP2104" i="1" s="1"/>
  <c r="CM2103" i="1"/>
  <c r="CP2103" i="1" s="1"/>
  <c r="CM2102" i="1"/>
  <c r="CP2102" i="1" s="1"/>
  <c r="CM2101" i="1"/>
  <c r="CP2101" i="1" s="1"/>
  <c r="CM2100" i="1"/>
  <c r="CP2100" i="1" s="1"/>
  <c r="CM2099" i="1"/>
  <c r="CP2099" i="1" s="1"/>
  <c r="CM2098" i="1"/>
  <c r="CP2098" i="1" s="1"/>
  <c r="CM2097" i="1"/>
  <c r="CP2097" i="1" s="1"/>
  <c r="CM2096" i="1"/>
  <c r="CP2096" i="1" s="1"/>
  <c r="CM2095" i="1"/>
  <c r="CP2095" i="1" s="1"/>
  <c r="CM2094" i="1"/>
  <c r="CP2094" i="1" s="1"/>
  <c r="CM2093" i="1"/>
  <c r="CP2093" i="1" s="1"/>
  <c r="CM2092" i="1"/>
  <c r="CP2092" i="1" s="1"/>
  <c r="CM2091" i="1"/>
  <c r="CP2091" i="1" s="1"/>
  <c r="CM2090" i="1"/>
  <c r="CP2090" i="1" s="1"/>
  <c r="CM2089" i="1"/>
  <c r="CP2089" i="1" s="1"/>
  <c r="CM2088" i="1"/>
  <c r="CP2088" i="1" s="1"/>
  <c r="CM2087" i="1"/>
  <c r="CP2087" i="1" s="1"/>
  <c r="CM2086" i="1"/>
  <c r="CP2086" i="1" s="1"/>
  <c r="CM2085" i="1"/>
  <c r="CP2085" i="1" s="1"/>
  <c r="CM2084" i="1"/>
  <c r="CP2084" i="1" s="1"/>
  <c r="CM2083" i="1"/>
  <c r="CP2083" i="1" s="1"/>
  <c r="CM2082" i="1"/>
  <c r="CP2082" i="1" s="1"/>
  <c r="CM2081" i="1"/>
  <c r="CP2081" i="1" s="1"/>
  <c r="CM2080" i="1"/>
  <c r="CP2080" i="1" s="1"/>
  <c r="CM2079" i="1"/>
  <c r="CP2079" i="1" s="1"/>
  <c r="CM2078" i="1"/>
  <c r="CP2078" i="1" s="1"/>
  <c r="CM2077" i="1"/>
  <c r="CP2077" i="1" s="1"/>
  <c r="CM2076" i="1"/>
  <c r="CP2076" i="1" s="1"/>
  <c r="CM2075" i="1"/>
  <c r="CP2075" i="1" s="1"/>
  <c r="CM2074" i="1"/>
  <c r="CP2074" i="1" s="1"/>
  <c r="CM2073" i="1"/>
  <c r="CP2073" i="1" s="1"/>
  <c r="CM2072" i="1"/>
  <c r="CP2072" i="1" s="1"/>
  <c r="CM2071" i="1"/>
  <c r="CP2071" i="1" s="1"/>
  <c r="CM2070" i="1"/>
  <c r="CP2070" i="1" s="1"/>
  <c r="CM2069" i="1"/>
  <c r="CP2069" i="1" s="1"/>
  <c r="CM2068" i="1"/>
  <c r="CP2068" i="1" s="1"/>
  <c r="CM2067" i="1"/>
  <c r="CP2067" i="1" s="1"/>
  <c r="CM2066" i="1"/>
  <c r="CP2066" i="1" s="1"/>
  <c r="CM2065" i="1"/>
  <c r="CP2065" i="1" s="1"/>
  <c r="CM2064" i="1"/>
  <c r="CP2064" i="1" s="1"/>
  <c r="CM2063" i="1"/>
  <c r="CP2063" i="1" s="1"/>
  <c r="CM2062" i="1"/>
  <c r="CP2062" i="1" s="1"/>
  <c r="CM2061" i="1"/>
  <c r="CP2061" i="1" s="1"/>
  <c r="CM2060" i="1"/>
  <c r="CP2060" i="1" s="1"/>
  <c r="CM2059" i="1"/>
  <c r="CP2059" i="1" s="1"/>
  <c r="CM2058" i="1"/>
  <c r="CP2058" i="1" s="1"/>
  <c r="CM2057" i="1"/>
  <c r="CP2057" i="1" s="1"/>
  <c r="CM2056" i="1"/>
  <c r="CP2056" i="1" s="1"/>
  <c r="CM2055" i="1"/>
  <c r="CP2055" i="1" s="1"/>
  <c r="CM2054" i="1"/>
  <c r="CP2054" i="1" s="1"/>
  <c r="CM2053" i="1"/>
  <c r="CP2053" i="1" s="1"/>
  <c r="CM2052" i="1"/>
  <c r="CP2052" i="1" s="1"/>
  <c r="CM2051" i="1"/>
  <c r="CP2051" i="1" s="1"/>
  <c r="CM2050" i="1"/>
  <c r="CP2050" i="1" s="1"/>
  <c r="CM2049" i="1"/>
  <c r="CP2049" i="1" s="1"/>
  <c r="CM2048" i="1"/>
  <c r="CP2048" i="1" s="1"/>
  <c r="CM2047" i="1"/>
  <c r="CP2047" i="1" s="1"/>
  <c r="CM2046" i="1"/>
  <c r="CP2046" i="1" s="1"/>
  <c r="CM2045" i="1"/>
  <c r="CP2045" i="1" s="1"/>
  <c r="CM2044" i="1"/>
  <c r="CP2044" i="1" s="1"/>
  <c r="CM2043" i="1"/>
  <c r="CP2043" i="1" s="1"/>
  <c r="CM2042" i="1"/>
  <c r="CP2042" i="1" s="1"/>
  <c r="CM2041" i="1"/>
  <c r="CP2041" i="1" s="1"/>
  <c r="CM2040" i="1"/>
  <c r="CP2040" i="1" s="1"/>
  <c r="CM2039" i="1"/>
  <c r="CP2039" i="1" s="1"/>
  <c r="CM2038" i="1"/>
  <c r="CP2038" i="1" s="1"/>
  <c r="CM2037" i="1"/>
  <c r="CP2037" i="1" s="1"/>
  <c r="CM2036" i="1"/>
  <c r="CP2036" i="1" s="1"/>
  <c r="CM2035" i="1"/>
  <c r="CP2035" i="1" s="1"/>
  <c r="CM2034" i="1"/>
  <c r="CP2034" i="1" s="1"/>
  <c r="CM2033" i="1"/>
  <c r="CP2033" i="1" s="1"/>
  <c r="CM2032" i="1"/>
  <c r="CP2032" i="1" s="1"/>
  <c r="CM2031" i="1"/>
  <c r="CP2031" i="1" s="1"/>
  <c r="CM2030" i="1"/>
  <c r="CP2030" i="1" s="1"/>
  <c r="CM2029" i="1"/>
  <c r="CP2029" i="1" s="1"/>
  <c r="CM2028" i="1"/>
  <c r="CP2028" i="1" s="1"/>
  <c r="CM2027" i="1"/>
  <c r="CP2027" i="1" s="1"/>
  <c r="CM2026" i="1"/>
  <c r="CP2026" i="1" s="1"/>
  <c r="CM2025" i="1"/>
  <c r="CP2025" i="1" s="1"/>
  <c r="CM2024" i="1"/>
  <c r="CP2024" i="1" s="1"/>
  <c r="CM2023" i="1"/>
  <c r="CP2023" i="1" s="1"/>
  <c r="CM2022" i="1"/>
  <c r="CP2022" i="1" s="1"/>
  <c r="CM2021" i="1"/>
  <c r="CP2021" i="1" s="1"/>
  <c r="CM2020" i="1"/>
  <c r="CP2020" i="1" s="1"/>
  <c r="CM2019" i="1"/>
  <c r="CP2019" i="1" s="1"/>
  <c r="CM2018" i="1"/>
  <c r="CP2018" i="1" s="1"/>
  <c r="CM2017" i="1"/>
  <c r="CP2017" i="1" s="1"/>
  <c r="CM2016" i="1"/>
  <c r="CP2016" i="1" s="1"/>
  <c r="CM2015" i="1"/>
  <c r="CP2015" i="1" s="1"/>
  <c r="CM2014" i="1"/>
  <c r="CP2014" i="1" s="1"/>
  <c r="CM2013" i="1"/>
  <c r="CP2013" i="1" s="1"/>
  <c r="CM2012" i="1"/>
  <c r="CP2012" i="1" s="1"/>
  <c r="CM2011" i="1"/>
  <c r="CP2011" i="1" s="1"/>
  <c r="CM2010" i="1"/>
  <c r="CP2010" i="1" s="1"/>
  <c r="CM2009" i="1"/>
  <c r="CP2009" i="1" s="1"/>
  <c r="CM2008" i="1"/>
  <c r="CP2008" i="1" s="1"/>
  <c r="CM2007" i="1"/>
  <c r="CP2007" i="1" s="1"/>
  <c r="CM2006" i="1"/>
  <c r="CP2006" i="1" s="1"/>
  <c r="CM2005" i="1"/>
  <c r="CP2005" i="1" s="1"/>
  <c r="CM2004" i="1"/>
  <c r="CP2004" i="1" s="1"/>
  <c r="CM2003" i="1"/>
  <c r="CP2003" i="1" s="1"/>
  <c r="CM2002" i="1"/>
  <c r="CP2002" i="1" s="1"/>
  <c r="CM2001" i="1"/>
  <c r="CP2001" i="1" s="1"/>
  <c r="CM2000" i="1"/>
  <c r="CP2000" i="1" s="1"/>
  <c r="CM1999" i="1"/>
  <c r="CP1999" i="1" s="1"/>
  <c r="CM1998" i="1"/>
  <c r="CP1998" i="1" s="1"/>
  <c r="CM1997" i="1"/>
  <c r="CP1997" i="1" s="1"/>
  <c r="CM1996" i="1"/>
  <c r="CP1996" i="1" s="1"/>
  <c r="CM1995" i="1"/>
  <c r="CP1995" i="1" s="1"/>
  <c r="CM1994" i="1"/>
  <c r="CP1994" i="1" s="1"/>
  <c r="CM1993" i="1"/>
  <c r="CP1993" i="1" s="1"/>
  <c r="CM1992" i="1"/>
  <c r="CP1992" i="1" s="1"/>
  <c r="CM1991" i="1"/>
  <c r="CP1991" i="1" s="1"/>
  <c r="CM1990" i="1"/>
  <c r="CP1990" i="1" s="1"/>
  <c r="CM1989" i="1"/>
  <c r="CP1989" i="1" s="1"/>
  <c r="CM1988" i="1"/>
  <c r="CP1988" i="1" s="1"/>
  <c r="CM1987" i="1"/>
  <c r="CP1987" i="1" s="1"/>
  <c r="CM1986" i="1"/>
  <c r="CP1986" i="1" s="1"/>
  <c r="CM1985" i="1"/>
  <c r="CP1985" i="1" s="1"/>
  <c r="CM1984" i="1"/>
  <c r="CP1984" i="1" s="1"/>
  <c r="CM1983" i="1"/>
  <c r="CP1983" i="1" s="1"/>
  <c r="CM1982" i="1"/>
  <c r="CP1982" i="1" s="1"/>
  <c r="CM1981" i="1"/>
  <c r="CP1981" i="1" s="1"/>
  <c r="CM1980" i="1"/>
  <c r="CP1980" i="1" s="1"/>
  <c r="CM1979" i="1"/>
  <c r="CP1979" i="1" s="1"/>
  <c r="CM1978" i="1"/>
  <c r="CP1978" i="1" s="1"/>
  <c r="CM1976" i="1"/>
  <c r="CP1976" i="1" s="1"/>
  <c r="CM1975" i="1"/>
  <c r="CP1975" i="1" s="1"/>
  <c r="CM1974" i="1"/>
  <c r="CP1974" i="1" s="1"/>
  <c r="CM1973" i="1"/>
  <c r="CP1973" i="1" s="1"/>
  <c r="CM1972" i="1"/>
  <c r="CP1972" i="1" s="1"/>
  <c r="CM1971" i="1"/>
  <c r="CP1971" i="1" s="1"/>
  <c r="CM1970" i="1"/>
  <c r="CP1970" i="1" s="1"/>
  <c r="CM1969" i="1"/>
  <c r="CP1969" i="1" s="1"/>
  <c r="CM1968" i="1"/>
  <c r="CP1968" i="1" s="1"/>
  <c r="CM1967" i="1"/>
  <c r="CP1967" i="1" s="1"/>
  <c r="CM1966" i="1"/>
  <c r="CP1966" i="1" s="1"/>
  <c r="CM1965" i="1"/>
  <c r="CP1965" i="1" s="1"/>
  <c r="CM1964" i="1"/>
  <c r="CP1964" i="1" s="1"/>
  <c r="CM1963" i="1"/>
  <c r="CP1963" i="1" s="1"/>
  <c r="CM1962" i="1"/>
  <c r="CP1962" i="1" s="1"/>
  <c r="CM1961" i="1"/>
  <c r="CP1961" i="1" s="1"/>
  <c r="CM1960" i="1"/>
  <c r="CP1960" i="1" s="1"/>
  <c r="CM1959" i="1"/>
  <c r="CP1959" i="1" s="1"/>
  <c r="CM1958" i="1"/>
  <c r="CP1958" i="1" s="1"/>
  <c r="CM1957" i="1"/>
  <c r="CP1957" i="1" s="1"/>
  <c r="CM1956" i="1"/>
  <c r="CP1956" i="1" s="1"/>
  <c r="CM1955" i="1"/>
  <c r="CP1955" i="1" s="1"/>
  <c r="CM1954" i="1"/>
  <c r="CP1954" i="1" s="1"/>
  <c r="CM1953" i="1"/>
  <c r="CP1953" i="1" s="1"/>
  <c r="CM1952" i="1"/>
  <c r="CP1952" i="1" s="1"/>
  <c r="CM1951" i="1"/>
  <c r="CP1951" i="1" s="1"/>
  <c r="CM1950" i="1"/>
  <c r="CP1950" i="1" s="1"/>
  <c r="CM1949" i="1"/>
  <c r="CP1949" i="1" s="1"/>
  <c r="CM1948" i="1"/>
  <c r="CP1948" i="1" s="1"/>
  <c r="CM1947" i="1"/>
  <c r="CP1947" i="1" s="1"/>
  <c r="CM1946" i="1"/>
  <c r="CP1946" i="1" s="1"/>
  <c r="CM1945" i="1"/>
  <c r="CP1945" i="1" s="1"/>
  <c r="CM1944" i="1"/>
  <c r="CP1944" i="1" s="1"/>
  <c r="CM1943" i="1"/>
  <c r="CP1943" i="1" s="1"/>
  <c r="CM1942" i="1"/>
  <c r="CP1942" i="1" s="1"/>
  <c r="CM1941" i="1"/>
  <c r="CP1941" i="1" s="1"/>
  <c r="CM1940" i="1"/>
  <c r="CP1940" i="1" s="1"/>
  <c r="CM1939" i="1"/>
  <c r="CP1939" i="1" s="1"/>
  <c r="CM1938" i="1"/>
  <c r="CP1938" i="1" s="1"/>
  <c r="CM1937" i="1"/>
  <c r="CP1937" i="1" s="1"/>
  <c r="CM1936" i="1"/>
  <c r="CP1936" i="1" s="1"/>
  <c r="CM1935" i="1"/>
  <c r="CP1935" i="1" s="1"/>
  <c r="CM1934" i="1"/>
  <c r="CP1934" i="1" s="1"/>
  <c r="CM1933" i="1"/>
  <c r="CP1933" i="1" s="1"/>
  <c r="CM1932" i="1"/>
  <c r="CP1932" i="1" s="1"/>
  <c r="CM1931" i="1"/>
  <c r="CP1931" i="1" s="1"/>
  <c r="CM1930" i="1"/>
  <c r="CP1930" i="1" s="1"/>
  <c r="CM1929" i="1"/>
  <c r="CP1929" i="1" s="1"/>
  <c r="CM1928" i="1"/>
  <c r="CP1928" i="1" s="1"/>
  <c r="CM1927" i="1"/>
  <c r="CP1927" i="1" s="1"/>
  <c r="CM1926" i="1"/>
  <c r="CP1926" i="1" s="1"/>
  <c r="CM1925" i="1"/>
  <c r="CP1925" i="1" s="1"/>
  <c r="CM1924" i="1"/>
  <c r="CP1924" i="1" s="1"/>
  <c r="CM1923" i="1"/>
  <c r="CP1923" i="1" s="1"/>
  <c r="CM1922" i="1"/>
  <c r="CP1922" i="1" s="1"/>
  <c r="CM1921" i="1"/>
  <c r="CP1921" i="1" s="1"/>
  <c r="CM1920" i="1"/>
  <c r="CP1920" i="1" s="1"/>
  <c r="CM1919" i="1"/>
  <c r="CP1919" i="1" s="1"/>
  <c r="CM1918" i="1"/>
  <c r="CP1918" i="1" s="1"/>
  <c r="CM1917" i="1"/>
  <c r="CP1917" i="1" s="1"/>
  <c r="CM1916" i="1"/>
  <c r="CP1916" i="1" s="1"/>
  <c r="CM1915" i="1"/>
  <c r="CP1915" i="1" s="1"/>
  <c r="CM1914" i="1"/>
  <c r="CP1914" i="1" s="1"/>
  <c r="CM1913" i="1"/>
  <c r="CP1913" i="1" s="1"/>
  <c r="CM1912" i="1"/>
  <c r="CP1912" i="1" s="1"/>
  <c r="CM1911" i="1"/>
  <c r="CP1911" i="1" s="1"/>
  <c r="CM1910" i="1"/>
  <c r="CP1910" i="1" s="1"/>
  <c r="CM1909" i="1"/>
  <c r="CP1909" i="1" s="1"/>
  <c r="CM1908" i="1"/>
  <c r="CP1908" i="1" s="1"/>
  <c r="CM1907" i="1"/>
  <c r="CP1907" i="1" s="1"/>
  <c r="CM1906" i="1"/>
  <c r="CP1906" i="1" s="1"/>
  <c r="CM1905" i="1"/>
  <c r="CP1905" i="1" s="1"/>
  <c r="CM1904" i="1"/>
  <c r="CP1904" i="1" s="1"/>
  <c r="CM1903" i="1"/>
  <c r="CP1903" i="1" s="1"/>
  <c r="CM1902" i="1"/>
  <c r="CP1902" i="1" s="1"/>
  <c r="CM1901" i="1"/>
  <c r="CP1901" i="1" s="1"/>
  <c r="CM1900" i="1"/>
  <c r="CP1900" i="1" s="1"/>
  <c r="CM1899" i="1"/>
  <c r="CP1899" i="1" s="1"/>
  <c r="CM1898" i="1"/>
  <c r="CP1898" i="1" s="1"/>
  <c r="CM1897" i="1"/>
  <c r="CP1897" i="1" s="1"/>
  <c r="CM1896" i="1"/>
  <c r="CP1896" i="1" s="1"/>
  <c r="CM1895" i="1"/>
  <c r="CP1895" i="1" s="1"/>
  <c r="CM1894" i="1"/>
  <c r="CP1894" i="1" s="1"/>
  <c r="CM1893" i="1"/>
  <c r="CP1893" i="1" s="1"/>
  <c r="CM1892" i="1"/>
  <c r="CP1892" i="1" s="1"/>
  <c r="CM1891" i="1"/>
  <c r="CP1891" i="1" s="1"/>
  <c r="CM1890" i="1"/>
  <c r="CP1890" i="1" s="1"/>
  <c r="CM1889" i="1"/>
  <c r="CP1889" i="1" s="1"/>
  <c r="CM1888" i="1"/>
  <c r="CP1888" i="1" s="1"/>
  <c r="CM1887" i="1"/>
  <c r="CP1887" i="1" s="1"/>
  <c r="CM1886" i="1"/>
  <c r="CP1886" i="1" s="1"/>
  <c r="CM1885" i="1"/>
  <c r="CP1885" i="1" s="1"/>
  <c r="CM1884" i="1"/>
  <c r="CP1884" i="1" s="1"/>
  <c r="CM1883" i="1"/>
  <c r="CP1883" i="1" s="1"/>
  <c r="CM1882" i="1"/>
  <c r="CP1882" i="1" s="1"/>
  <c r="CM1881" i="1"/>
  <c r="CP1881" i="1" s="1"/>
  <c r="CM1880" i="1"/>
  <c r="CP1880" i="1" s="1"/>
  <c r="CM1879" i="1"/>
  <c r="CP1879" i="1" s="1"/>
  <c r="CM1878" i="1"/>
  <c r="CP1878" i="1" s="1"/>
  <c r="CM1877" i="1"/>
  <c r="CP1877" i="1" s="1"/>
  <c r="CM1876" i="1"/>
  <c r="CP1876" i="1" s="1"/>
  <c r="CM1875" i="1"/>
  <c r="CP1875" i="1" s="1"/>
  <c r="CP1832" i="1"/>
  <c r="CM1831" i="1"/>
  <c r="CP1831" i="1" s="1"/>
  <c r="CM1830" i="1"/>
  <c r="CP1830" i="1" s="1"/>
  <c r="CM1829" i="1"/>
  <c r="CP1829" i="1" s="1"/>
  <c r="CM1828" i="1"/>
  <c r="CP1828" i="1" s="1"/>
  <c r="CM1827" i="1"/>
  <c r="CP1827" i="1" s="1"/>
  <c r="CM1826" i="1"/>
  <c r="CP1826" i="1" s="1"/>
  <c r="CM1825" i="1"/>
  <c r="CP1825" i="1" s="1"/>
  <c r="CM1822" i="1"/>
  <c r="CP1822" i="1" s="1"/>
  <c r="CM1821" i="1"/>
  <c r="CP1821" i="1" s="1"/>
  <c r="CM1820" i="1"/>
  <c r="CP1820" i="1" s="1"/>
  <c r="CM1819" i="1"/>
  <c r="CP1819" i="1" s="1"/>
  <c r="CM1818" i="1"/>
  <c r="CP1818" i="1" s="1"/>
  <c r="CM1817" i="1"/>
  <c r="CP1817" i="1" s="1"/>
  <c r="CM1816" i="1"/>
  <c r="CP1816" i="1" s="1"/>
  <c r="CM1815" i="1"/>
  <c r="CP1815" i="1" s="1"/>
  <c r="CM1814" i="1"/>
  <c r="CP1814" i="1" s="1"/>
  <c r="CM1813" i="1"/>
  <c r="CP1813" i="1" s="1"/>
  <c r="CM1812" i="1"/>
  <c r="CP1812" i="1" s="1"/>
  <c r="CM1811" i="1"/>
  <c r="CP1811" i="1" s="1"/>
  <c r="CM1810" i="1"/>
  <c r="CP1810" i="1" s="1"/>
  <c r="CM1809" i="1"/>
  <c r="CP1809" i="1" s="1"/>
  <c r="CM1808" i="1"/>
  <c r="CP1808" i="1" s="1"/>
  <c r="CM1806" i="1"/>
  <c r="CP1806" i="1" s="1"/>
  <c r="CM1805" i="1"/>
  <c r="CP1805" i="1" s="1"/>
  <c r="CM1804" i="1"/>
  <c r="CP1804" i="1" s="1"/>
  <c r="CM1803" i="1"/>
  <c r="CP1803" i="1" s="1"/>
  <c r="CM1802" i="1"/>
  <c r="CP1802" i="1" s="1"/>
  <c r="CM1801" i="1"/>
  <c r="CP1801" i="1" s="1"/>
  <c r="CM1800" i="1"/>
  <c r="CP1800" i="1" s="1"/>
  <c r="CM1792" i="1"/>
  <c r="CP1792" i="1" s="1"/>
  <c r="CM1791" i="1"/>
  <c r="CP1791" i="1" s="1"/>
  <c r="CM1790" i="1"/>
  <c r="CP1790" i="1" s="1"/>
  <c r="CM1789" i="1"/>
  <c r="CP1789" i="1" s="1"/>
  <c r="CM1788" i="1"/>
  <c r="CP1788" i="1" s="1"/>
  <c r="CM1787" i="1"/>
  <c r="CP1787" i="1" s="1"/>
  <c r="CM1786" i="1"/>
  <c r="CP1786" i="1" s="1"/>
  <c r="CM1785" i="1"/>
  <c r="CP1785" i="1" s="1"/>
  <c r="CM1784" i="1"/>
  <c r="CP1784" i="1" s="1"/>
  <c r="CM1783" i="1"/>
  <c r="CP1783" i="1" s="1"/>
  <c r="CM1782" i="1"/>
  <c r="CP1782" i="1" s="1"/>
  <c r="CM1781" i="1"/>
  <c r="CP1781" i="1" s="1"/>
  <c r="CM1780" i="1"/>
  <c r="CP1780" i="1" s="1"/>
  <c r="CM1779" i="1"/>
  <c r="CP1779" i="1" s="1"/>
  <c r="CM1778" i="1"/>
  <c r="CP1778" i="1" s="1"/>
  <c r="CM1777" i="1"/>
  <c r="CP1777" i="1" s="1"/>
  <c r="CM1776" i="1"/>
  <c r="CP1776" i="1" s="1"/>
  <c r="CM1766" i="1"/>
  <c r="CP1766" i="1" s="1"/>
  <c r="CM1760" i="1"/>
  <c r="CP1760" i="1" s="1"/>
  <c r="CM1755" i="1"/>
  <c r="CP1755" i="1" s="1"/>
  <c r="CM1749" i="1"/>
  <c r="CP1749" i="1" s="1"/>
  <c r="CM1745" i="1"/>
  <c r="CP1745" i="1" s="1"/>
  <c r="CM1744" i="1"/>
  <c r="CP1744" i="1" s="1"/>
  <c r="CM1729" i="1"/>
  <c r="CP1729" i="1" s="1"/>
  <c r="CM1722" i="1"/>
  <c r="CP1722" i="1" s="1"/>
  <c r="CM1721" i="1"/>
  <c r="CP1721" i="1" s="1"/>
  <c r="CM1719" i="1"/>
  <c r="CP1719" i="1" s="1"/>
  <c r="CM1714" i="1"/>
  <c r="CP1714" i="1" s="1"/>
  <c r="CM1703" i="1"/>
  <c r="CP1703" i="1" s="1"/>
  <c r="CM1568" i="1"/>
  <c r="CP1568" i="1" s="1"/>
  <c r="CM1554" i="1"/>
  <c r="CP1554" i="1" s="1"/>
  <c r="CM1543" i="1"/>
  <c r="CP1543" i="1" s="1"/>
  <c r="CM1533" i="1"/>
  <c r="CP1533" i="1" s="1"/>
  <c r="CM1532" i="1"/>
  <c r="CP1532" i="1" s="1"/>
  <c r="CM1531" i="1"/>
  <c r="CP1531" i="1" s="1"/>
  <c r="CM1530" i="1"/>
  <c r="CP1530" i="1" s="1"/>
  <c r="CM1529" i="1"/>
  <c r="CP1529" i="1" s="1"/>
  <c r="CM1528" i="1"/>
  <c r="CP1528" i="1" s="1"/>
  <c r="CM1527" i="1"/>
  <c r="CP1527" i="1" s="1"/>
  <c r="CM1526" i="1"/>
  <c r="CP1526" i="1" s="1"/>
  <c r="CM1525" i="1"/>
  <c r="CP1525" i="1" s="1"/>
  <c r="CM1524" i="1"/>
  <c r="CP1524" i="1" s="1"/>
  <c r="CM1523" i="1"/>
  <c r="CP1523" i="1" s="1"/>
  <c r="CM1522" i="1"/>
  <c r="CP1522" i="1" s="1"/>
  <c r="CM1521" i="1"/>
  <c r="CP1521" i="1" s="1"/>
  <c r="CM1520" i="1"/>
  <c r="CP1520" i="1" s="1"/>
  <c r="CM1519" i="1"/>
  <c r="CP1519" i="1" s="1"/>
  <c r="CM1518" i="1"/>
  <c r="CP1518" i="1" s="1"/>
  <c r="CM1517" i="1"/>
  <c r="CP1517" i="1" s="1"/>
  <c r="CM1516" i="1"/>
  <c r="CP1516" i="1" s="1"/>
  <c r="CM1515" i="1"/>
  <c r="CP1515" i="1" s="1"/>
  <c r="CM1514" i="1"/>
  <c r="CP1514" i="1" s="1"/>
  <c r="CM1513" i="1"/>
  <c r="CP1513" i="1" s="1"/>
  <c r="CM1512" i="1"/>
  <c r="CP1512" i="1" s="1"/>
  <c r="CM1511" i="1"/>
  <c r="CP1511" i="1" s="1"/>
  <c r="CM1510" i="1"/>
  <c r="CP1510" i="1" s="1"/>
  <c r="CM1509" i="1"/>
  <c r="CP1509" i="1" s="1"/>
  <c r="CM1508" i="1"/>
  <c r="CP1508" i="1" s="1"/>
  <c r="CM1507" i="1"/>
  <c r="CP1507" i="1" s="1"/>
  <c r="CM1506" i="1"/>
  <c r="CP1506" i="1" s="1"/>
  <c r="CM1505" i="1"/>
  <c r="CP1505" i="1" s="1"/>
  <c r="CM1504" i="1"/>
  <c r="CP1504" i="1" s="1"/>
  <c r="CM1503" i="1"/>
  <c r="CP1503" i="1" s="1"/>
  <c r="CM1502" i="1"/>
  <c r="CP1502" i="1" s="1"/>
  <c r="CM1501" i="1"/>
  <c r="CP1501" i="1" s="1"/>
  <c r="CM1500" i="1"/>
  <c r="CP1500" i="1" s="1"/>
  <c r="CM1499" i="1"/>
  <c r="CP1499" i="1" s="1"/>
  <c r="CM1498" i="1"/>
  <c r="CP1498" i="1" s="1"/>
  <c r="CM1497" i="1"/>
  <c r="CP1497" i="1" s="1"/>
  <c r="CM1496" i="1"/>
  <c r="CP1496" i="1" s="1"/>
  <c r="CM1495" i="1"/>
  <c r="CP1495" i="1" s="1"/>
  <c r="CM1494" i="1"/>
  <c r="CP1494" i="1" s="1"/>
  <c r="CM1493" i="1"/>
  <c r="CP1493" i="1" s="1"/>
  <c r="CM1492" i="1"/>
  <c r="CP1492" i="1" s="1"/>
  <c r="CM1491" i="1"/>
  <c r="CP1491" i="1" s="1"/>
  <c r="CM1490" i="1"/>
  <c r="CP1490" i="1" s="1"/>
  <c r="CM1489" i="1"/>
  <c r="CP1489" i="1" s="1"/>
  <c r="CM1488" i="1"/>
  <c r="CP1488" i="1" s="1"/>
  <c r="CM1487" i="1"/>
  <c r="CP1487" i="1" s="1"/>
  <c r="CM1486" i="1"/>
  <c r="CP1486" i="1" s="1"/>
  <c r="CM1485" i="1"/>
  <c r="CP1485" i="1" s="1"/>
  <c r="CM1484" i="1"/>
  <c r="CP1484" i="1" s="1"/>
  <c r="CM1483" i="1"/>
  <c r="CP1483" i="1" s="1"/>
  <c r="CM1482" i="1"/>
  <c r="CP1482" i="1" s="1"/>
  <c r="CM1481" i="1"/>
  <c r="CP1481" i="1" s="1"/>
  <c r="CM1480" i="1"/>
  <c r="CP1480" i="1" s="1"/>
  <c r="CM1479" i="1"/>
  <c r="CP1479" i="1" s="1"/>
  <c r="CM1478" i="1"/>
  <c r="CP1478" i="1" s="1"/>
  <c r="CM1477" i="1"/>
  <c r="CP1477" i="1" s="1"/>
  <c r="CM1476" i="1"/>
  <c r="CP1476" i="1" s="1"/>
  <c r="CM1475" i="1"/>
  <c r="CP1475" i="1" s="1"/>
  <c r="CM1474" i="1"/>
  <c r="CP1474" i="1" s="1"/>
  <c r="CM1473" i="1"/>
  <c r="CP1473" i="1" s="1"/>
  <c r="CM1472" i="1"/>
  <c r="CP1472" i="1" s="1"/>
  <c r="CM1471" i="1"/>
  <c r="CP1471" i="1" s="1"/>
  <c r="CM1470" i="1"/>
  <c r="CP1470" i="1" s="1"/>
  <c r="CM1469" i="1"/>
  <c r="CP1469" i="1" s="1"/>
  <c r="CM1468" i="1"/>
  <c r="CP1468" i="1" s="1"/>
  <c r="CM1467" i="1"/>
  <c r="CP1467" i="1" s="1"/>
  <c r="CM1466" i="1"/>
  <c r="CP1466" i="1" s="1"/>
  <c r="CM1465" i="1"/>
  <c r="CP1465" i="1" s="1"/>
  <c r="CM1464" i="1"/>
  <c r="CP1464" i="1" s="1"/>
  <c r="CM1463" i="1"/>
  <c r="CP1463" i="1" s="1"/>
  <c r="CM1462" i="1"/>
  <c r="CP1462" i="1" s="1"/>
  <c r="CM1461" i="1"/>
  <c r="CP1461" i="1" s="1"/>
  <c r="CM1460" i="1"/>
  <c r="CP1460" i="1" s="1"/>
  <c r="CM1459" i="1"/>
  <c r="CP1459" i="1" s="1"/>
  <c r="CM1458" i="1"/>
  <c r="CP1458" i="1" s="1"/>
  <c r="CM1457" i="1"/>
  <c r="CP1457" i="1" s="1"/>
  <c r="CM1456" i="1"/>
  <c r="CP1456" i="1" s="1"/>
  <c r="CM1455" i="1"/>
  <c r="CP1455" i="1" s="1"/>
  <c r="CM1454" i="1"/>
  <c r="CP1454" i="1" s="1"/>
  <c r="CM1453" i="1"/>
  <c r="CP1453" i="1" s="1"/>
  <c r="CM1452" i="1"/>
  <c r="CP1452" i="1" s="1"/>
  <c r="CM1451" i="1"/>
  <c r="CP1451" i="1" s="1"/>
  <c r="CM1450" i="1"/>
  <c r="CP1450" i="1" s="1"/>
  <c r="CM1449" i="1"/>
  <c r="CP1449" i="1" s="1"/>
  <c r="CM1448" i="1"/>
  <c r="CP1448" i="1" s="1"/>
  <c r="CM1447" i="1"/>
  <c r="CP1447" i="1" s="1"/>
  <c r="CM1446" i="1"/>
  <c r="CP1446" i="1" s="1"/>
  <c r="CM1445" i="1"/>
  <c r="CP1445" i="1" s="1"/>
  <c r="CM1444" i="1"/>
  <c r="CP1444" i="1" s="1"/>
  <c r="CM1443" i="1"/>
  <c r="CP1443" i="1" s="1"/>
  <c r="CM1442" i="1"/>
  <c r="CP1442" i="1" s="1"/>
  <c r="CM1441" i="1"/>
  <c r="CP1441" i="1" s="1"/>
  <c r="CM1440" i="1"/>
  <c r="CP1440" i="1" s="1"/>
  <c r="CM1439" i="1"/>
  <c r="CP1439" i="1" s="1"/>
  <c r="CM1438" i="1"/>
  <c r="CP1438" i="1" s="1"/>
  <c r="CM1437" i="1"/>
  <c r="CP1437" i="1" s="1"/>
  <c r="CM1436" i="1"/>
  <c r="CP1436" i="1" s="1"/>
  <c r="CM1435" i="1"/>
  <c r="CP1435" i="1" s="1"/>
  <c r="CM1434" i="1"/>
  <c r="CP1434" i="1" s="1"/>
  <c r="CM1433" i="1"/>
  <c r="CP1433" i="1" s="1"/>
  <c r="CM1432" i="1"/>
  <c r="CP1432" i="1" s="1"/>
  <c r="CM1431" i="1"/>
  <c r="CP1431" i="1" s="1"/>
  <c r="CM1430" i="1"/>
  <c r="CP1430" i="1" s="1"/>
  <c r="CM1429" i="1"/>
  <c r="CP1429" i="1" s="1"/>
  <c r="CM1428" i="1"/>
  <c r="CP1428" i="1" s="1"/>
  <c r="CM1427" i="1"/>
  <c r="CP1427" i="1" s="1"/>
  <c r="CM1426" i="1"/>
  <c r="CP1426" i="1" s="1"/>
  <c r="CM1425" i="1"/>
  <c r="CP1425" i="1" s="1"/>
  <c r="CM1424" i="1"/>
  <c r="CP1424" i="1" s="1"/>
  <c r="CM1423" i="1"/>
  <c r="CP1423" i="1" s="1"/>
  <c r="CM1422" i="1"/>
  <c r="CP1422" i="1" s="1"/>
  <c r="CM1421" i="1"/>
  <c r="CP1421" i="1" s="1"/>
  <c r="CM1420" i="1"/>
  <c r="CP1420" i="1" s="1"/>
  <c r="CM1419" i="1"/>
  <c r="CP1419" i="1" s="1"/>
  <c r="CM1418" i="1"/>
  <c r="CP1418" i="1" s="1"/>
  <c r="CM1417" i="1"/>
  <c r="CP1417" i="1" s="1"/>
  <c r="CM1416" i="1"/>
  <c r="CP1416" i="1" s="1"/>
  <c r="CM1415" i="1"/>
  <c r="CP1415" i="1" s="1"/>
  <c r="CM1414" i="1"/>
  <c r="CP1414" i="1" s="1"/>
  <c r="CM1413" i="1"/>
  <c r="CP1413" i="1" s="1"/>
  <c r="CM1412" i="1"/>
  <c r="CP1412" i="1" s="1"/>
  <c r="CM1411" i="1"/>
  <c r="CP1411" i="1" s="1"/>
  <c r="CP1312" i="1"/>
  <c r="CP1269" i="1"/>
  <c r="CP1235" i="1"/>
  <c r="CP1216" i="1"/>
  <c r="CP1200" i="1"/>
  <c r="CP1192" i="1"/>
  <c r="CP1161" i="1"/>
  <c r="CP1160" i="1"/>
  <c r="CP1158" i="1"/>
  <c r="CP1147" i="1"/>
  <c r="CP1146" i="1"/>
  <c r="CP1145" i="1"/>
  <c r="CP1144" i="1"/>
  <c r="CP1143" i="1"/>
  <c r="CP1142" i="1"/>
  <c r="CP1141" i="1"/>
  <c r="CP1140" i="1"/>
  <c r="CP1139" i="1"/>
  <c r="CP1138" i="1"/>
  <c r="CP1137" i="1"/>
  <c r="CP846" i="1"/>
  <c r="CP845" i="1"/>
  <c r="CP844" i="1"/>
  <c r="CP842" i="1"/>
  <c r="CP841" i="1"/>
  <c r="CP840" i="1"/>
  <c r="CP839" i="1"/>
  <c r="CP838" i="1"/>
  <c r="CP807" i="1"/>
  <c r="CP492" i="1"/>
  <c r="CP491" i="1"/>
  <c r="CP485" i="1"/>
  <c r="CP461" i="1"/>
  <c r="CP460" i="1"/>
  <c r="CP407" i="1"/>
  <c r="CP390" i="1"/>
  <c r="CP389" i="1"/>
  <c r="CP373" i="1"/>
  <c r="CP359" i="1"/>
  <c r="CP358" i="1"/>
  <c r="CP343" i="1"/>
  <c r="CP328" i="1"/>
  <c r="CP311" i="1"/>
  <c r="CP294" i="1"/>
  <c r="CP293" i="1"/>
  <c r="CP287" i="1"/>
  <c r="CP178" i="1"/>
  <c r="CP147" i="1"/>
  <c r="CP146" i="1"/>
  <c r="CP145" i="1"/>
  <c r="CP133" i="1"/>
  <c r="CP120" i="1"/>
  <c r="CP95" i="1"/>
  <c r="CP94" i="1"/>
  <c r="CP88" i="1"/>
  <c r="CP86" i="1"/>
  <c r="CP84" i="1"/>
  <c r="CP73" i="1"/>
  <c r="CP71" i="1"/>
  <c r="CP62" i="1"/>
  <c r="CP60" i="1"/>
  <c r="CP50" i="1"/>
  <c r="CP42" i="1"/>
  <c r="CP41" i="1"/>
  <c r="CP40" i="1"/>
  <c r="CP35" i="1"/>
  <c r="CP30" i="1"/>
  <c r="CP28" i="1"/>
  <c r="CP26" i="1"/>
  <c r="CP25" i="1"/>
  <c r="CP23" i="1"/>
  <c r="CP12" i="1"/>
  <c r="BK480" i="1" l="1"/>
  <c r="D94" i="143" l="1"/>
  <c r="D93" i="143"/>
  <c r="D92" i="143"/>
  <c r="C94" i="143"/>
  <c r="K1828" i="1" s="1"/>
  <c r="C93" i="143"/>
  <c r="K1827" i="1" s="1"/>
  <c r="C92" i="143"/>
  <c r="K1826" i="1" l="1"/>
  <c r="A1" i="143"/>
  <c r="A3" i="143"/>
  <c r="C10" i="143"/>
  <c r="C58" i="143" s="1"/>
  <c r="D58" i="143" s="1"/>
  <c r="D10" i="143"/>
  <c r="C20" i="143"/>
  <c r="K1774" i="1" s="1"/>
  <c r="D20" i="143"/>
  <c r="C29" i="143"/>
  <c r="K1781" i="1" s="1"/>
  <c r="D29" i="143"/>
  <c r="C68" i="143"/>
  <c r="D68" i="143"/>
  <c r="C77" i="143"/>
  <c r="K1815" i="1" s="1"/>
  <c r="D77" i="143"/>
  <c r="D31" i="143" l="1"/>
  <c r="C79" i="143"/>
  <c r="K1816" i="1" s="1"/>
  <c r="K1807" i="1"/>
  <c r="D79" i="143"/>
  <c r="C31" i="143"/>
  <c r="K1782" i="1" s="1"/>
  <c r="H196" i="138" l="1"/>
  <c r="H195" i="138"/>
  <c r="H194" i="138"/>
  <c r="H192" i="138"/>
  <c r="H188" i="138"/>
  <c r="J128" i="138" l="1"/>
  <c r="H124" i="138"/>
  <c r="H122" i="138"/>
  <c r="H121" i="138"/>
  <c r="G28" i="138" l="1"/>
  <c r="G27" i="138"/>
  <c r="G26" i="138"/>
  <c r="G25" i="138"/>
  <c r="J105" i="138"/>
  <c r="J103" i="138"/>
  <c r="J102" i="138"/>
  <c r="J98" i="138"/>
  <c r="I86" i="138"/>
  <c r="F65" i="138"/>
  <c r="F67" i="138" s="1"/>
  <c r="H38" i="138"/>
  <c r="H29" i="138"/>
  <c r="BK2123" i="1" l="1"/>
  <c r="BD2123" i="1" s="1"/>
  <c r="V2123" i="1"/>
  <c r="U2123" i="1"/>
  <c r="BK2122" i="1"/>
  <c r="BD2122" i="1" s="1"/>
  <c r="V2122" i="1"/>
  <c r="U2122" i="1"/>
  <c r="K2122" i="1"/>
  <c r="W2123" i="1"/>
  <c r="W2122" i="1"/>
  <c r="CM2122" i="1" l="1"/>
  <c r="CP2122" i="1" s="1"/>
  <c r="CM2123" i="1"/>
  <c r="CP2123" i="1" s="1"/>
  <c r="T2122" i="1"/>
  <c r="N2122" i="1" s="1"/>
  <c r="T2123" i="1"/>
  <c r="N2123" i="1" s="1"/>
  <c r="B31" i="141"/>
  <c r="E17" i="42" l="1"/>
  <c r="L43" i="59"/>
  <c r="M42" i="23" l="1"/>
  <c r="F19" i="134" l="1"/>
  <c r="L54" i="130"/>
  <c r="H54" i="130"/>
  <c r="I54" i="130" s="1"/>
  <c r="H49" i="131"/>
  <c r="H50" i="131"/>
  <c r="H51" i="131"/>
  <c r="E49" i="131"/>
  <c r="E50" i="131"/>
  <c r="E51" i="131"/>
  <c r="I51" i="131" l="1"/>
  <c r="I49" i="131"/>
  <c r="I50" i="131"/>
  <c r="M54" i="130"/>
  <c r="F26" i="61"/>
  <c r="H26" i="61"/>
  <c r="I26" i="61"/>
  <c r="K26" i="61"/>
  <c r="L26" i="61"/>
  <c r="M26" i="61"/>
  <c r="N26" i="61"/>
  <c r="O26" i="61"/>
  <c r="P26" i="61"/>
  <c r="Q26" i="61"/>
  <c r="R26" i="61"/>
  <c r="S26" i="61"/>
  <c r="T26" i="61"/>
  <c r="U26" i="61"/>
  <c r="K150" i="60"/>
  <c r="I39" i="36" l="1"/>
  <c r="I55" i="36" l="1"/>
  <c r="C47" i="34" l="1"/>
  <c r="C57" i="34" s="1"/>
  <c r="E17" i="132" l="1"/>
  <c r="L52" i="130"/>
  <c r="H52" i="130"/>
  <c r="E52" i="130"/>
  <c r="I52" i="130" l="1"/>
  <c r="M52" i="130"/>
  <c r="N40" i="37"/>
  <c r="B1" i="37" l="1"/>
  <c r="B2" i="37"/>
  <c r="D7" i="37"/>
  <c r="D57" i="37" s="1"/>
  <c r="B11" i="37"/>
  <c r="B17" i="37"/>
  <c r="B28" i="37" s="1"/>
  <c r="B78" i="37" s="1"/>
  <c r="D33" i="37"/>
  <c r="D84" i="37" s="1"/>
  <c r="B38" i="37"/>
  <c r="B61" i="37"/>
  <c r="B67" i="37"/>
  <c r="B87" i="37"/>
  <c r="B93" i="37"/>
  <c r="B104" i="37" s="1"/>
  <c r="B44" i="37" l="1"/>
  <c r="B54" i="37" s="1"/>
  <c r="E137" i="6" l="1"/>
  <c r="T1808" i="1" l="1"/>
  <c r="N1808" i="1" s="1"/>
  <c r="T1809" i="1"/>
  <c r="N1809" i="1" s="1"/>
  <c r="T1810" i="1"/>
  <c r="N1810" i="1" s="1"/>
  <c r="T1811" i="1"/>
  <c r="N1811" i="1" s="1"/>
  <c r="T1812" i="1"/>
  <c r="N1812" i="1" s="1"/>
  <c r="T1813" i="1"/>
  <c r="N1813" i="1" s="1"/>
  <c r="T1814" i="1"/>
  <c r="N1814" i="1" s="1"/>
  <c r="T1815" i="1"/>
  <c r="N1815" i="1" s="1"/>
  <c r="T1816" i="1"/>
  <c r="N1816" i="1" s="1"/>
  <c r="T1817" i="1"/>
  <c r="N1817" i="1" s="1"/>
  <c r="T1818" i="1"/>
  <c r="N1818" i="1" s="1"/>
  <c r="T1819" i="1"/>
  <c r="N1819" i="1" s="1"/>
  <c r="T1820" i="1"/>
  <c r="N1820" i="1" s="1"/>
  <c r="T1821" i="1"/>
  <c r="N1821" i="1" s="1"/>
  <c r="T1822" i="1"/>
  <c r="N1822" i="1" s="1"/>
  <c r="T1825" i="1"/>
  <c r="N1825" i="1" s="1"/>
  <c r="T1826" i="1"/>
  <c r="N1826" i="1" s="1"/>
  <c r="T1827" i="1"/>
  <c r="N1827" i="1" s="1"/>
  <c r="T1828" i="1"/>
  <c r="N1828" i="1" s="1"/>
  <c r="T1829" i="1"/>
  <c r="N1829" i="1" s="1"/>
  <c r="T1830" i="1"/>
  <c r="N1830" i="1" s="1"/>
  <c r="T1831" i="1"/>
  <c r="N1831" i="1" s="1"/>
  <c r="T1800" i="1"/>
  <c r="N1800" i="1" s="1"/>
  <c r="T1801" i="1"/>
  <c r="N1801" i="1" s="1"/>
  <c r="T1802" i="1"/>
  <c r="N1802" i="1" s="1"/>
  <c r="T1803" i="1"/>
  <c r="N1803" i="1" s="1"/>
  <c r="T1804" i="1"/>
  <c r="N1804" i="1" s="1"/>
  <c r="T1805" i="1"/>
  <c r="N1805" i="1" s="1"/>
  <c r="T1806" i="1"/>
  <c r="N1806" i="1" s="1"/>
  <c r="O32" i="22" l="1"/>
  <c r="O57" i="22"/>
  <c r="O48" i="22"/>
  <c r="O60" i="22" l="1"/>
  <c r="O64" i="22" s="1"/>
  <c r="O67" i="22" s="1"/>
  <c r="BG99" i="1" l="1"/>
  <c r="J26" i="61" l="1"/>
  <c r="H17" i="61" l="1"/>
  <c r="N139" i="6" l="1"/>
  <c r="G108" i="6"/>
  <c r="H108" i="6"/>
  <c r="I108" i="6"/>
  <c r="J108" i="6"/>
  <c r="N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F51" i="6"/>
  <c r="N11" i="6"/>
  <c r="J11" i="6"/>
  <c r="I11" i="6"/>
  <c r="H11" i="6"/>
  <c r="G11" i="6"/>
  <c r="Y11" i="6"/>
  <c r="Z11" i="6"/>
  <c r="AA11" i="6"/>
  <c r="AB11" i="6"/>
  <c r="AC11" i="6"/>
  <c r="AD11" i="6"/>
  <c r="AE11" i="6"/>
  <c r="AF11" i="6"/>
  <c r="AG11" i="6"/>
  <c r="AH11" i="6"/>
  <c r="AI11" i="6"/>
  <c r="AJ11" i="6"/>
  <c r="AK11" i="6"/>
  <c r="AL11" i="6"/>
  <c r="AM11" i="6"/>
  <c r="P11" i="6"/>
  <c r="Q11" i="6"/>
  <c r="R11" i="6"/>
  <c r="S11" i="6"/>
  <c r="T11" i="6"/>
  <c r="U11" i="6"/>
  <c r="V11" i="6"/>
  <c r="W11" i="6"/>
  <c r="X11" i="6"/>
  <c r="E1830" i="1" l="1"/>
  <c r="P8" i="6" l="1"/>
  <c r="Q8" i="6"/>
  <c r="R8" i="6"/>
  <c r="S8" i="6"/>
  <c r="T8" i="6"/>
  <c r="U8" i="6"/>
  <c r="V8" i="6"/>
  <c r="W8" i="6"/>
  <c r="X8" i="6"/>
  <c r="Y8" i="6"/>
  <c r="Z8" i="6"/>
  <c r="AA8" i="6"/>
  <c r="AB8" i="6"/>
  <c r="AC8" i="6"/>
  <c r="AD8" i="6"/>
  <c r="AE8" i="6"/>
  <c r="AF8" i="6"/>
  <c r="AG8" i="6"/>
  <c r="AH8" i="6"/>
  <c r="AI8" i="6"/>
  <c r="AJ8" i="6"/>
  <c r="AK8" i="6"/>
  <c r="AL8" i="6"/>
  <c r="AM8" i="6"/>
  <c r="H25" i="129" l="1"/>
  <c r="H26" i="129"/>
  <c r="G26" i="129"/>
  <c r="G25" i="129"/>
  <c r="C194" i="71"/>
  <c r="C173" i="71"/>
  <c r="V26" i="61" l="1"/>
  <c r="E31" i="141"/>
  <c r="I22" i="35"/>
  <c r="D89" i="137"/>
  <c r="E89" i="137"/>
  <c r="F89" i="137"/>
  <c r="G89" i="137"/>
  <c r="H89" i="137"/>
  <c r="I89" i="137"/>
  <c r="J89" i="137"/>
  <c r="C89" i="137"/>
  <c r="D95" i="135"/>
  <c r="E95" i="135"/>
  <c r="E96" i="135" s="1"/>
  <c r="F95" i="135"/>
  <c r="F96" i="135" s="1"/>
  <c r="G95" i="135"/>
  <c r="G96" i="135" s="1"/>
  <c r="H95" i="135"/>
  <c r="H96" i="135" s="1"/>
  <c r="I95" i="135"/>
  <c r="I96" i="135" s="1"/>
  <c r="J95" i="135"/>
  <c r="J96" i="135" s="1"/>
  <c r="C95" i="135"/>
  <c r="C96" i="135" s="1"/>
  <c r="D95" i="29"/>
  <c r="D96" i="29" s="1"/>
  <c r="E95" i="29"/>
  <c r="E96" i="29" s="1"/>
  <c r="F95" i="29"/>
  <c r="G95" i="29"/>
  <c r="G96" i="29" s="1"/>
  <c r="H95" i="29"/>
  <c r="H96" i="29" s="1"/>
  <c r="I95" i="29"/>
  <c r="I96" i="29" s="1"/>
  <c r="J95" i="29"/>
  <c r="J96" i="29" s="1"/>
  <c r="C95" i="29"/>
  <c r="C96" i="29" s="1"/>
  <c r="C59" i="24"/>
  <c r="E59" i="24"/>
  <c r="K95" i="29" l="1"/>
  <c r="K95" i="135"/>
  <c r="F96" i="29"/>
  <c r="D96" i="135"/>
  <c r="G59" i="24"/>
  <c r="G63" i="12" l="1"/>
  <c r="I80" i="12" s="1"/>
  <c r="D268" i="60" s="1"/>
  <c r="L51" i="130" l="1"/>
  <c r="L50" i="130"/>
  <c r="L49" i="130"/>
  <c r="L48" i="130"/>
  <c r="L47" i="130"/>
  <c r="L46" i="130"/>
  <c r="L45" i="130"/>
  <c r="L44" i="130"/>
  <c r="L43" i="130"/>
  <c r="L42" i="130"/>
  <c r="L41" i="130"/>
  <c r="L40" i="130"/>
  <c r="L39" i="130"/>
  <c r="H51" i="130"/>
  <c r="H50" i="130"/>
  <c r="H49" i="130"/>
  <c r="H48" i="130"/>
  <c r="H47" i="130"/>
  <c r="H46" i="130"/>
  <c r="H45" i="130"/>
  <c r="H44" i="130"/>
  <c r="H43" i="130"/>
  <c r="H42" i="130"/>
  <c r="H41" i="130"/>
  <c r="H40" i="130"/>
  <c r="H39" i="130"/>
  <c r="E51" i="130"/>
  <c r="E50" i="130"/>
  <c r="E49" i="130"/>
  <c r="E48" i="130"/>
  <c r="E47" i="130"/>
  <c r="E46" i="130"/>
  <c r="E45" i="130"/>
  <c r="E44" i="130"/>
  <c r="E43" i="130"/>
  <c r="E42" i="130"/>
  <c r="E41" i="130"/>
  <c r="E40" i="130"/>
  <c r="E39" i="130"/>
  <c r="I46" i="130" l="1"/>
  <c r="I39" i="130"/>
  <c r="I42" i="130"/>
  <c r="I47" i="130"/>
  <c r="I40" i="130"/>
  <c r="I48" i="130"/>
  <c r="I43" i="130"/>
  <c r="I50" i="130"/>
  <c r="I51" i="130"/>
  <c r="I44" i="130"/>
  <c r="I45" i="130"/>
  <c r="I41" i="130"/>
  <c r="I49" i="130"/>
  <c r="C211" i="71"/>
  <c r="C210" i="71"/>
  <c r="C190" i="71"/>
  <c r="C189" i="71"/>
  <c r="C208" i="71"/>
  <c r="C197" i="71"/>
  <c r="D190" i="71" l="1"/>
  <c r="D211" i="71"/>
  <c r="C187" i="71"/>
  <c r="E1810" i="1" l="1"/>
  <c r="E1812" i="1"/>
  <c r="E1814" i="1"/>
  <c r="C1799" i="1"/>
  <c r="C1800" i="1" s="1"/>
  <c r="C1801" i="1" s="1"/>
  <c r="C1802" i="1" s="1"/>
  <c r="C1803" i="1" s="1"/>
  <c r="C1804" i="1" s="1"/>
  <c r="C1805" i="1" s="1"/>
  <c r="C1806" i="1" s="1"/>
  <c r="BK1799" i="1"/>
  <c r="BD1799" i="1" s="1"/>
  <c r="S1799" i="1" s="1"/>
  <c r="W1799" i="1"/>
  <c r="U1799" i="1"/>
  <c r="CM1799" i="1" s="1"/>
  <c r="CP1799" i="1" s="1"/>
  <c r="T1785" i="1"/>
  <c r="N1785" i="1" s="1"/>
  <c r="E1795" i="1"/>
  <c r="C1807" i="1" l="1"/>
  <c r="C1808" i="1" s="1"/>
  <c r="C1809" i="1" s="1"/>
  <c r="C1810" i="1" s="1"/>
  <c r="C1811" i="1" s="1"/>
  <c r="C1812" i="1" s="1"/>
  <c r="C1813" i="1" s="1"/>
  <c r="C1814" i="1" s="1"/>
  <c r="T1799" i="1"/>
  <c r="N1799" i="1" s="1"/>
  <c r="E1813" i="1"/>
  <c r="E1809" i="1"/>
  <c r="E1811" i="1"/>
  <c r="E1804" i="1"/>
  <c r="E1806" i="1"/>
  <c r="E1805" i="1"/>
  <c r="U1796" i="1"/>
  <c r="CM1796" i="1" s="1"/>
  <c r="CP1796" i="1" s="1"/>
  <c r="W1796" i="1"/>
  <c r="BK1796" i="1"/>
  <c r="BD1796" i="1" s="1"/>
  <c r="S1796" i="1" s="1"/>
  <c r="C1815" i="1" l="1"/>
  <c r="C1816" i="1" s="1"/>
  <c r="C1817" i="1" s="1"/>
  <c r="C1818" i="1" s="1"/>
  <c r="C1819" i="1" s="1"/>
  <c r="C1820" i="1" s="1"/>
  <c r="C1821" i="1" s="1"/>
  <c r="C1822" i="1" s="1"/>
  <c r="T1796" i="1"/>
  <c r="N1796" i="1" s="1"/>
  <c r="C1825" i="1" l="1"/>
  <c r="C1826" i="1" s="1"/>
  <c r="C1827" i="1" s="1"/>
  <c r="C1828" i="1" s="1"/>
  <c r="C1831" i="1" s="1"/>
  <c r="C1823" i="1"/>
  <c r="C1824" i="1" s="1"/>
  <c r="T1787" i="1"/>
  <c r="N1787" i="1" s="1"/>
  <c r="T1788" i="1"/>
  <c r="N1788" i="1" s="1"/>
  <c r="T1789" i="1"/>
  <c r="N1789" i="1" s="1"/>
  <c r="T1790" i="1"/>
  <c r="N1790" i="1" s="1"/>
  <c r="T1791" i="1"/>
  <c r="N1791" i="1" s="1"/>
  <c r="T1792" i="1"/>
  <c r="N1792" i="1" s="1"/>
  <c r="T1786" i="1"/>
  <c r="N1786" i="1" s="1"/>
  <c r="T1784" i="1"/>
  <c r="N1784" i="1" s="1"/>
  <c r="T1783" i="1"/>
  <c r="N1783" i="1" s="1"/>
  <c r="T1780" i="1"/>
  <c r="N1780" i="1" s="1"/>
  <c r="T1779" i="1"/>
  <c r="N1779" i="1" s="1"/>
  <c r="T1778" i="1"/>
  <c r="N1778" i="1" s="1"/>
  <c r="T1777" i="1"/>
  <c r="N1777" i="1" s="1"/>
  <c r="T1776" i="1"/>
  <c r="N1776" i="1" s="1"/>
  <c r="R1781" i="1"/>
  <c r="R1782" i="1" s="1"/>
  <c r="Q1781" i="1"/>
  <c r="Q1782" i="1" s="1"/>
  <c r="P1781" i="1"/>
  <c r="P1782" i="1" s="1"/>
  <c r="O1781" i="1"/>
  <c r="O1782" i="1" s="1"/>
  <c r="BK1775" i="1"/>
  <c r="BD1775" i="1" s="1"/>
  <c r="S1775" i="1" s="1"/>
  <c r="S1781" i="1" s="1"/>
  <c r="W1775" i="1"/>
  <c r="U1775" i="1"/>
  <c r="CM1775" i="1" s="1"/>
  <c r="CP1775" i="1" s="1"/>
  <c r="BK1772" i="1"/>
  <c r="BD1772" i="1" s="1"/>
  <c r="S1772" i="1" s="1"/>
  <c r="W1772" i="1"/>
  <c r="U1772" i="1"/>
  <c r="CM1772" i="1" s="1"/>
  <c r="CP1772" i="1" s="1"/>
  <c r="C1829" i="1" l="1"/>
  <c r="C1830" i="1" s="1"/>
  <c r="T1775" i="1"/>
  <c r="T1772" i="1"/>
  <c r="N1772" i="1" s="1"/>
  <c r="E1771" i="1"/>
  <c r="E1775" i="1"/>
  <c r="E1773" i="1"/>
  <c r="E1779" i="1"/>
  <c r="E1778" i="1"/>
  <c r="E1777" i="1"/>
  <c r="E1776" i="1"/>
  <c r="E1780" i="1"/>
  <c r="E1772" i="1"/>
  <c r="N1775" i="1" l="1"/>
  <c r="N1781" i="1" s="1"/>
  <c r="T1781" i="1"/>
  <c r="C98" i="119" l="1"/>
  <c r="C50" i="119"/>
  <c r="C51" i="119"/>
  <c r="C52" i="119"/>
  <c r="C53" i="119"/>
  <c r="C54" i="119"/>
  <c r="C55" i="119"/>
  <c r="C56" i="119"/>
  <c r="C57" i="119"/>
  <c r="C58" i="119"/>
  <c r="C59" i="119"/>
  <c r="C60" i="119"/>
  <c r="C61" i="119"/>
  <c r="C62" i="119"/>
  <c r="C63" i="119"/>
  <c r="C64" i="119"/>
  <c r="C65" i="119"/>
  <c r="C66" i="119"/>
  <c r="C67" i="119"/>
  <c r="C68" i="119"/>
  <c r="C69" i="119"/>
  <c r="C70" i="119"/>
  <c r="C71" i="119"/>
  <c r="C72" i="119"/>
  <c r="C73" i="119"/>
  <c r="C74" i="119"/>
  <c r="C75" i="119"/>
  <c r="C76" i="119"/>
  <c r="C77" i="119"/>
  <c r="C78" i="119"/>
  <c r="C79" i="119"/>
  <c r="C80" i="119"/>
  <c r="C81" i="119"/>
  <c r="C82" i="119"/>
  <c r="C83" i="119"/>
  <c r="C84" i="119"/>
  <c r="C85" i="119"/>
  <c r="C86" i="119"/>
  <c r="C87" i="119"/>
  <c r="C88" i="119"/>
  <c r="C89" i="119"/>
  <c r="C90" i="119"/>
  <c r="C91" i="119"/>
  <c r="C92" i="119"/>
  <c r="C93" i="119"/>
  <c r="C94" i="119"/>
  <c r="C95" i="119"/>
  <c r="C96" i="119"/>
  <c r="C97" i="119"/>
  <c r="C99" i="119"/>
  <c r="C100" i="119"/>
  <c r="C101" i="119"/>
  <c r="C102" i="119"/>
  <c r="C103" i="119"/>
  <c r="C104" i="119"/>
  <c r="C105" i="119"/>
  <c r="C106" i="119"/>
  <c r="C49" i="119"/>
  <c r="G44" i="119"/>
  <c r="F44" i="119"/>
  <c r="G42" i="119"/>
  <c r="F42" i="119"/>
  <c r="G41" i="119"/>
  <c r="F41" i="119"/>
  <c r="G39" i="119"/>
  <c r="F39" i="119"/>
  <c r="G38" i="119"/>
  <c r="F38" i="119"/>
  <c r="G37" i="119"/>
  <c r="F37" i="119"/>
  <c r="G35" i="119"/>
  <c r="F35" i="119"/>
  <c r="G31" i="119"/>
  <c r="F31" i="119"/>
  <c r="G30" i="119"/>
  <c r="F30" i="119"/>
  <c r="G29" i="119"/>
  <c r="F29" i="119"/>
  <c r="G28" i="119"/>
  <c r="F28" i="119"/>
  <c r="G27" i="119"/>
  <c r="F27" i="119"/>
  <c r="G26" i="119"/>
  <c r="F26" i="119"/>
  <c r="G25" i="119"/>
  <c r="F25" i="119"/>
  <c r="G20" i="119"/>
  <c r="F20" i="119"/>
  <c r="G14" i="119"/>
  <c r="F14" i="119"/>
  <c r="G15" i="119"/>
  <c r="F15" i="119"/>
  <c r="F8" i="119"/>
  <c r="E8" i="119"/>
  <c r="F7" i="119"/>
  <c r="E7" i="119"/>
  <c r="F9" i="119"/>
  <c r="E9" i="119"/>
  <c r="H73" i="68"/>
  <c r="G73" i="68"/>
  <c r="H72" i="68"/>
  <c r="G72" i="68"/>
  <c r="I79" i="68"/>
  <c r="H79" i="68"/>
  <c r="G79" i="68"/>
  <c r="I53" i="68"/>
  <c r="H53" i="68"/>
  <c r="G53" i="68"/>
  <c r="I50" i="68"/>
  <c r="H50" i="68"/>
  <c r="G50" i="68"/>
  <c r="I48" i="68"/>
  <c r="H48" i="68"/>
  <c r="G48" i="68"/>
  <c r="I45" i="68"/>
  <c r="H45" i="68"/>
  <c r="G45" i="68"/>
  <c r="I44" i="68"/>
  <c r="H44" i="68"/>
  <c r="G44" i="68"/>
  <c r="I43" i="68"/>
  <c r="H43" i="68"/>
  <c r="G43" i="68"/>
  <c r="I42" i="68"/>
  <c r="H42" i="68"/>
  <c r="G42" i="68"/>
  <c r="H34" i="68"/>
  <c r="G34" i="68"/>
  <c r="H33" i="68"/>
  <c r="G33" i="68"/>
  <c r="I25" i="68"/>
  <c r="H25" i="68"/>
  <c r="G25" i="68"/>
  <c r="I23" i="68"/>
  <c r="H23" i="68"/>
  <c r="G23" i="68"/>
  <c r="I21" i="68"/>
  <c r="H21" i="68"/>
  <c r="G21" i="68"/>
  <c r="I19" i="68"/>
  <c r="H19" i="68"/>
  <c r="G19" i="68"/>
  <c r="I17" i="68"/>
  <c r="H17" i="68"/>
  <c r="G17" i="68"/>
  <c r="H11" i="68"/>
  <c r="G11" i="68"/>
  <c r="H10" i="68"/>
  <c r="G10" i="68"/>
  <c r="K1701" i="1" l="1"/>
  <c r="K1700" i="1"/>
  <c r="K1699" i="1"/>
  <c r="K1698" i="1"/>
  <c r="K1697" i="1"/>
  <c r="BK1699" i="1"/>
  <c r="BD1699" i="1" s="1"/>
  <c r="S1699" i="1" s="1"/>
  <c r="BK1698" i="1"/>
  <c r="BD1698" i="1" s="1"/>
  <c r="S1698" i="1" s="1"/>
  <c r="BK1697" i="1"/>
  <c r="BD1697" i="1" s="1"/>
  <c r="S1697" i="1" s="1"/>
  <c r="W1701" i="1"/>
  <c r="W1700" i="1"/>
  <c r="W1699" i="1"/>
  <c r="W1698" i="1"/>
  <c r="W1697" i="1"/>
  <c r="K1696" i="1"/>
  <c r="U1698" i="1"/>
  <c r="CM1698" i="1" s="1"/>
  <c r="CP1698" i="1" s="1"/>
  <c r="U1699" i="1"/>
  <c r="CM1699" i="1" s="1"/>
  <c r="CP1699" i="1" s="1"/>
  <c r="U1700" i="1"/>
  <c r="CM1700" i="1" s="1"/>
  <c r="CP1700" i="1" s="1"/>
  <c r="BK1700" i="1"/>
  <c r="BD1700" i="1" s="1"/>
  <c r="S1700" i="1" s="1"/>
  <c r="U1701" i="1"/>
  <c r="CM1701" i="1" s="1"/>
  <c r="CP1701" i="1" s="1"/>
  <c r="BK1701" i="1"/>
  <c r="BD1701" i="1" s="1"/>
  <c r="S1701" i="1" s="1"/>
  <c r="U1697" i="1"/>
  <c r="CM1697" i="1" s="1"/>
  <c r="CP1697" i="1" s="1"/>
  <c r="J1569" i="1"/>
  <c r="N30" i="102"/>
  <c r="O30" i="102"/>
  <c r="P30" i="102"/>
  <c r="Q30" i="102"/>
  <c r="R30" i="102"/>
  <c r="N20" i="102"/>
  <c r="O20" i="102"/>
  <c r="P20" i="102"/>
  <c r="Q20" i="102"/>
  <c r="Q31" i="102" s="1"/>
  <c r="R20" i="102"/>
  <c r="W12" i="102"/>
  <c r="X12" i="102"/>
  <c r="Y12" i="102"/>
  <c r="Z12" i="102"/>
  <c r="AA12" i="102"/>
  <c r="W13" i="102"/>
  <c r="X13" i="102"/>
  <c r="Y13" i="102"/>
  <c r="Z13" i="102"/>
  <c r="AA13" i="102"/>
  <c r="W14" i="102"/>
  <c r="X14" i="102"/>
  <c r="Y14" i="102"/>
  <c r="Z14" i="102"/>
  <c r="AA14" i="102"/>
  <c r="W15" i="102"/>
  <c r="X15" i="102"/>
  <c r="Y15" i="102"/>
  <c r="Z15" i="102"/>
  <c r="AA15" i="102"/>
  <c r="W16" i="102"/>
  <c r="X16" i="102"/>
  <c r="Y16" i="102"/>
  <c r="Z16" i="102"/>
  <c r="AA16" i="102"/>
  <c r="W17" i="102"/>
  <c r="X17" i="102"/>
  <c r="Y17" i="102"/>
  <c r="Z17" i="102"/>
  <c r="AA17" i="102"/>
  <c r="W18" i="102"/>
  <c r="X18" i="102"/>
  <c r="Y18" i="102"/>
  <c r="Z18" i="102"/>
  <c r="AA18" i="102"/>
  <c r="W19" i="102"/>
  <c r="X19" i="102"/>
  <c r="Y19" i="102"/>
  <c r="Z19" i="102"/>
  <c r="AA19" i="102"/>
  <c r="W23" i="102"/>
  <c r="X23" i="102"/>
  <c r="Y23" i="102"/>
  <c r="Z23" i="102"/>
  <c r="AA23" i="102"/>
  <c r="W24" i="102"/>
  <c r="X24" i="102"/>
  <c r="Y24" i="102"/>
  <c r="Z24" i="102"/>
  <c r="AA24" i="102"/>
  <c r="W25" i="102"/>
  <c r="X25" i="102"/>
  <c r="Y25" i="102"/>
  <c r="Z25" i="102"/>
  <c r="AA25" i="102"/>
  <c r="W26" i="102"/>
  <c r="X26" i="102"/>
  <c r="Y26" i="102"/>
  <c r="Z26" i="102"/>
  <c r="AA26" i="102"/>
  <c r="W27" i="102"/>
  <c r="X27" i="102"/>
  <c r="Y27" i="102"/>
  <c r="Z27" i="102"/>
  <c r="AA27" i="102"/>
  <c r="W28" i="102"/>
  <c r="X28" i="102"/>
  <c r="Y28" i="102"/>
  <c r="Z28" i="102"/>
  <c r="AA28" i="102"/>
  <c r="W29" i="102"/>
  <c r="X29" i="102"/>
  <c r="Y29" i="102"/>
  <c r="Z29" i="102"/>
  <c r="AA29" i="102"/>
  <c r="D30" i="102"/>
  <c r="E30" i="102"/>
  <c r="F30" i="102"/>
  <c r="G30" i="102"/>
  <c r="Z30" i="102" s="1"/>
  <c r="H30" i="102"/>
  <c r="AA30" i="102" s="1"/>
  <c r="D20" i="102"/>
  <c r="E20" i="102"/>
  <c r="F20" i="102"/>
  <c r="G20" i="102"/>
  <c r="Z20" i="102" s="1"/>
  <c r="H20" i="102"/>
  <c r="BK1666" i="1"/>
  <c r="BD1666" i="1" s="1"/>
  <c r="S1666" i="1" s="1"/>
  <c r="BK1665" i="1"/>
  <c r="BD1665" i="1" s="1"/>
  <c r="S1665" i="1" s="1"/>
  <c r="BK1664" i="1"/>
  <c r="BD1664" i="1" s="1"/>
  <c r="S1664" i="1" s="1"/>
  <c r="BK1663" i="1"/>
  <c r="BD1663" i="1" s="1"/>
  <c r="S1663" i="1" s="1"/>
  <c r="BK1662" i="1"/>
  <c r="BD1662" i="1" s="1"/>
  <c r="S1662" i="1" s="1"/>
  <c r="BK1661" i="1"/>
  <c r="BD1661" i="1" s="1"/>
  <c r="S1661" i="1" s="1"/>
  <c r="BK1660" i="1"/>
  <c r="BD1660" i="1" s="1"/>
  <c r="S1660" i="1" s="1"/>
  <c r="W1666" i="1"/>
  <c r="W1665" i="1"/>
  <c r="W1664" i="1"/>
  <c r="W1663" i="1"/>
  <c r="W1662" i="1"/>
  <c r="W1661" i="1"/>
  <c r="W1660" i="1"/>
  <c r="BK1648" i="1"/>
  <c r="BD1648" i="1" s="1"/>
  <c r="S1648" i="1" s="1"/>
  <c r="BK1647" i="1"/>
  <c r="BD1647" i="1" s="1"/>
  <c r="S1647" i="1" s="1"/>
  <c r="BK1646" i="1"/>
  <c r="BD1646" i="1" s="1"/>
  <c r="S1646" i="1" s="1"/>
  <c r="BK1645" i="1"/>
  <c r="BD1645" i="1" s="1"/>
  <c r="S1645" i="1" s="1"/>
  <c r="BK1644" i="1"/>
  <c r="BD1644" i="1" s="1"/>
  <c r="S1644" i="1" s="1"/>
  <c r="BK1643" i="1"/>
  <c r="BD1643" i="1" s="1"/>
  <c r="S1643" i="1" s="1"/>
  <c r="BK1642" i="1"/>
  <c r="BD1642" i="1" s="1"/>
  <c r="S1642" i="1" s="1"/>
  <c r="W1648" i="1"/>
  <c r="W1647" i="1"/>
  <c r="W1646" i="1"/>
  <c r="W1645" i="1"/>
  <c r="W1644" i="1"/>
  <c r="W1643" i="1"/>
  <c r="W1642" i="1"/>
  <c r="BK1630" i="1"/>
  <c r="BD1630" i="1" s="1"/>
  <c r="S1630" i="1" s="1"/>
  <c r="BK1629" i="1"/>
  <c r="BD1629" i="1" s="1"/>
  <c r="S1629" i="1" s="1"/>
  <c r="BK1628" i="1"/>
  <c r="BD1628" i="1" s="1"/>
  <c r="S1628" i="1" s="1"/>
  <c r="BK1627" i="1"/>
  <c r="BD1627" i="1" s="1"/>
  <c r="S1627" i="1" s="1"/>
  <c r="BK1626" i="1"/>
  <c r="BD1626" i="1" s="1"/>
  <c r="S1626" i="1" s="1"/>
  <c r="BK1625" i="1"/>
  <c r="BD1625" i="1" s="1"/>
  <c r="S1625" i="1" s="1"/>
  <c r="BK1624" i="1"/>
  <c r="BD1624" i="1" s="1"/>
  <c r="S1624" i="1" s="1"/>
  <c r="W1630" i="1"/>
  <c r="W1629" i="1"/>
  <c r="W1628" i="1"/>
  <c r="W1627" i="1"/>
  <c r="W1626" i="1"/>
  <c r="W1625" i="1"/>
  <c r="W1624" i="1"/>
  <c r="BK1612" i="1"/>
  <c r="BD1612" i="1" s="1"/>
  <c r="S1612" i="1" s="1"/>
  <c r="BK1611" i="1"/>
  <c r="BD1611" i="1" s="1"/>
  <c r="S1611" i="1" s="1"/>
  <c r="BK1610" i="1"/>
  <c r="BD1610" i="1" s="1"/>
  <c r="S1610" i="1" s="1"/>
  <c r="BK1609" i="1"/>
  <c r="BD1609" i="1" s="1"/>
  <c r="S1609" i="1" s="1"/>
  <c r="BK1608" i="1"/>
  <c r="BD1608" i="1" s="1"/>
  <c r="S1608" i="1" s="1"/>
  <c r="BK1607" i="1"/>
  <c r="BD1607" i="1" s="1"/>
  <c r="S1607" i="1" s="1"/>
  <c r="BK1606" i="1"/>
  <c r="BD1606" i="1" s="1"/>
  <c r="S1606" i="1" s="1"/>
  <c r="W1612" i="1"/>
  <c r="W1611" i="1"/>
  <c r="W1610" i="1"/>
  <c r="W1609" i="1"/>
  <c r="W1608" i="1"/>
  <c r="W1607" i="1"/>
  <c r="W1606" i="1"/>
  <c r="BK1594" i="1"/>
  <c r="BD1594" i="1" s="1"/>
  <c r="S1594" i="1" s="1"/>
  <c r="BK1593" i="1"/>
  <c r="BD1593" i="1" s="1"/>
  <c r="S1593" i="1" s="1"/>
  <c r="BK1592" i="1"/>
  <c r="BD1592" i="1" s="1"/>
  <c r="S1592" i="1" s="1"/>
  <c r="BK1591" i="1"/>
  <c r="BD1591" i="1" s="1"/>
  <c r="S1591" i="1" s="1"/>
  <c r="BK1590" i="1"/>
  <c r="BD1590" i="1" s="1"/>
  <c r="S1590" i="1" s="1"/>
  <c r="BK1589" i="1"/>
  <c r="BD1589" i="1" s="1"/>
  <c r="S1589" i="1" s="1"/>
  <c r="BK1588" i="1"/>
  <c r="BD1588" i="1" s="1"/>
  <c r="S1588" i="1" s="1"/>
  <c r="W1594" i="1"/>
  <c r="W1593" i="1"/>
  <c r="W1592" i="1"/>
  <c r="W1591" i="1"/>
  <c r="W1590" i="1"/>
  <c r="W1589" i="1"/>
  <c r="W1588" i="1"/>
  <c r="E1686" i="1"/>
  <c r="E1677" i="1"/>
  <c r="E1668" i="1"/>
  <c r="E1650" i="1"/>
  <c r="E1632" i="1"/>
  <c r="E1623" i="1"/>
  <c r="E1614" i="1"/>
  <c r="G1605" i="1"/>
  <c r="E1605" i="1"/>
  <c r="E1596" i="1"/>
  <c r="G1596" i="1"/>
  <c r="G1587" i="1"/>
  <c r="E1587" i="1"/>
  <c r="E1578" i="1"/>
  <c r="G1578" i="1"/>
  <c r="G1693" i="1"/>
  <c r="G1686" i="1"/>
  <c r="G1685" i="1"/>
  <c r="G1677" i="1"/>
  <c r="G1675" i="1"/>
  <c r="G1668" i="1"/>
  <c r="G1667" i="1"/>
  <c r="G1659" i="1"/>
  <c r="G1657" i="1"/>
  <c r="G1650" i="1"/>
  <c r="G1649" i="1"/>
  <c r="G1641" i="1"/>
  <c r="G1639" i="1"/>
  <c r="G1632" i="1"/>
  <c r="G1631" i="1"/>
  <c r="G1623" i="1"/>
  <c r="G1621" i="1"/>
  <c r="G1614" i="1"/>
  <c r="G1613" i="1"/>
  <c r="G1603" i="1"/>
  <c r="G1595" i="1"/>
  <c r="G1585" i="1"/>
  <c r="G1569" i="1"/>
  <c r="U1675" i="1"/>
  <c r="CM1675" i="1" s="1"/>
  <c r="CP1675" i="1" s="1"/>
  <c r="E1675" i="1"/>
  <c r="U1674" i="1"/>
  <c r="CM1674" i="1" s="1"/>
  <c r="CP1674" i="1" s="1"/>
  <c r="U1673" i="1"/>
  <c r="CM1673" i="1" s="1"/>
  <c r="CP1673" i="1" s="1"/>
  <c r="U1672" i="1"/>
  <c r="CM1672" i="1" s="1"/>
  <c r="CP1672" i="1" s="1"/>
  <c r="U1671" i="1"/>
  <c r="CM1671" i="1" s="1"/>
  <c r="CP1671" i="1" s="1"/>
  <c r="U1670" i="1"/>
  <c r="CM1670" i="1" s="1"/>
  <c r="CP1670" i="1" s="1"/>
  <c r="U1669" i="1"/>
  <c r="CM1669" i="1" s="1"/>
  <c r="CP1669" i="1" s="1"/>
  <c r="U1668" i="1"/>
  <c r="CM1668" i="1" s="1"/>
  <c r="CP1668" i="1" s="1"/>
  <c r="U1667" i="1"/>
  <c r="E1667" i="1"/>
  <c r="U1666" i="1"/>
  <c r="CM1666" i="1" s="1"/>
  <c r="CP1666" i="1" s="1"/>
  <c r="U1665" i="1"/>
  <c r="CM1665" i="1" s="1"/>
  <c r="CP1665" i="1" s="1"/>
  <c r="U1664" i="1"/>
  <c r="CM1664" i="1" s="1"/>
  <c r="CP1664" i="1" s="1"/>
  <c r="U1663" i="1"/>
  <c r="CM1663" i="1" s="1"/>
  <c r="CP1663" i="1" s="1"/>
  <c r="U1662" i="1"/>
  <c r="CM1662" i="1" s="1"/>
  <c r="CP1662" i="1" s="1"/>
  <c r="U1661" i="1"/>
  <c r="CM1661" i="1" s="1"/>
  <c r="CP1661" i="1" s="1"/>
  <c r="U1660" i="1"/>
  <c r="CM1660" i="1" s="1"/>
  <c r="CP1660" i="1" s="1"/>
  <c r="U1659" i="1"/>
  <c r="CM1659" i="1" s="1"/>
  <c r="CP1659" i="1" s="1"/>
  <c r="E1659" i="1"/>
  <c r="U1657" i="1"/>
  <c r="CM1657" i="1" s="1"/>
  <c r="CP1657" i="1" s="1"/>
  <c r="E1657" i="1"/>
  <c r="U1656" i="1"/>
  <c r="CM1656" i="1" s="1"/>
  <c r="CP1656" i="1" s="1"/>
  <c r="U1655" i="1"/>
  <c r="CM1655" i="1" s="1"/>
  <c r="CP1655" i="1" s="1"/>
  <c r="U1654" i="1"/>
  <c r="CM1654" i="1" s="1"/>
  <c r="CP1654" i="1" s="1"/>
  <c r="U1653" i="1"/>
  <c r="CM1653" i="1" s="1"/>
  <c r="CP1653" i="1" s="1"/>
  <c r="U1652" i="1"/>
  <c r="CM1652" i="1" s="1"/>
  <c r="CP1652" i="1" s="1"/>
  <c r="U1651" i="1"/>
  <c r="CM1651" i="1" s="1"/>
  <c r="CP1651" i="1" s="1"/>
  <c r="U1650" i="1"/>
  <c r="CM1650" i="1" s="1"/>
  <c r="CP1650" i="1" s="1"/>
  <c r="U1649" i="1"/>
  <c r="E1649" i="1"/>
  <c r="U1648" i="1"/>
  <c r="CM1648" i="1" s="1"/>
  <c r="CP1648" i="1" s="1"/>
  <c r="U1647" i="1"/>
  <c r="CM1647" i="1" s="1"/>
  <c r="CP1647" i="1" s="1"/>
  <c r="U1646" i="1"/>
  <c r="CM1646" i="1" s="1"/>
  <c r="CP1646" i="1" s="1"/>
  <c r="U1645" i="1"/>
  <c r="CM1645" i="1" s="1"/>
  <c r="CP1645" i="1" s="1"/>
  <c r="U1644" i="1"/>
  <c r="CM1644" i="1" s="1"/>
  <c r="CP1644" i="1" s="1"/>
  <c r="U1643" i="1"/>
  <c r="CM1643" i="1" s="1"/>
  <c r="CP1643" i="1" s="1"/>
  <c r="U1642" i="1"/>
  <c r="CM1642" i="1" s="1"/>
  <c r="CP1642" i="1" s="1"/>
  <c r="U1641" i="1"/>
  <c r="CM1641" i="1" s="1"/>
  <c r="CP1641" i="1" s="1"/>
  <c r="E1641" i="1"/>
  <c r="U1639" i="1"/>
  <c r="CM1639" i="1" s="1"/>
  <c r="CP1639" i="1" s="1"/>
  <c r="E1639" i="1"/>
  <c r="U1638" i="1"/>
  <c r="CM1638" i="1" s="1"/>
  <c r="CP1638" i="1" s="1"/>
  <c r="U1637" i="1"/>
  <c r="CM1637" i="1" s="1"/>
  <c r="CP1637" i="1" s="1"/>
  <c r="U1636" i="1"/>
  <c r="CM1636" i="1" s="1"/>
  <c r="CP1636" i="1" s="1"/>
  <c r="U1635" i="1"/>
  <c r="CM1635" i="1" s="1"/>
  <c r="CP1635" i="1" s="1"/>
  <c r="U1634" i="1"/>
  <c r="CM1634" i="1" s="1"/>
  <c r="CP1634" i="1" s="1"/>
  <c r="U1633" i="1"/>
  <c r="CM1633" i="1" s="1"/>
  <c r="CP1633" i="1" s="1"/>
  <c r="U1632" i="1"/>
  <c r="CM1632" i="1" s="1"/>
  <c r="CP1632" i="1" s="1"/>
  <c r="U1631" i="1"/>
  <c r="E1631" i="1"/>
  <c r="U1630" i="1"/>
  <c r="CM1630" i="1" s="1"/>
  <c r="CP1630" i="1" s="1"/>
  <c r="U1629" i="1"/>
  <c r="CM1629" i="1" s="1"/>
  <c r="CP1629" i="1" s="1"/>
  <c r="U1628" i="1"/>
  <c r="CM1628" i="1" s="1"/>
  <c r="CP1628" i="1" s="1"/>
  <c r="U1627" i="1"/>
  <c r="CM1627" i="1" s="1"/>
  <c r="CP1627" i="1" s="1"/>
  <c r="U1626" i="1"/>
  <c r="CM1626" i="1" s="1"/>
  <c r="CP1626" i="1" s="1"/>
  <c r="U1625" i="1"/>
  <c r="CM1625" i="1" s="1"/>
  <c r="CP1625" i="1" s="1"/>
  <c r="U1624" i="1"/>
  <c r="CM1624" i="1" s="1"/>
  <c r="CP1624" i="1" s="1"/>
  <c r="U1623" i="1"/>
  <c r="CM1623" i="1" s="1"/>
  <c r="CP1623" i="1" s="1"/>
  <c r="U1621" i="1"/>
  <c r="CM1621" i="1" s="1"/>
  <c r="CP1621" i="1" s="1"/>
  <c r="E1621" i="1"/>
  <c r="U1620" i="1"/>
  <c r="CM1620" i="1" s="1"/>
  <c r="CP1620" i="1" s="1"/>
  <c r="U1619" i="1"/>
  <c r="CM1619" i="1" s="1"/>
  <c r="CP1619" i="1" s="1"/>
  <c r="U1618" i="1"/>
  <c r="CM1618" i="1" s="1"/>
  <c r="CP1618" i="1" s="1"/>
  <c r="U1617" i="1"/>
  <c r="CM1617" i="1" s="1"/>
  <c r="CP1617" i="1" s="1"/>
  <c r="U1616" i="1"/>
  <c r="CM1616" i="1" s="1"/>
  <c r="CP1616" i="1" s="1"/>
  <c r="U1615" i="1"/>
  <c r="CM1615" i="1" s="1"/>
  <c r="CP1615" i="1" s="1"/>
  <c r="U1614" i="1"/>
  <c r="CM1614" i="1" s="1"/>
  <c r="CP1614" i="1" s="1"/>
  <c r="U1613" i="1"/>
  <c r="E1613" i="1"/>
  <c r="U1612" i="1"/>
  <c r="CM1612" i="1" s="1"/>
  <c r="CP1612" i="1" s="1"/>
  <c r="U1611" i="1"/>
  <c r="CM1611" i="1" s="1"/>
  <c r="CP1611" i="1" s="1"/>
  <c r="U1610" i="1"/>
  <c r="CM1610" i="1" s="1"/>
  <c r="CP1610" i="1" s="1"/>
  <c r="U1609" i="1"/>
  <c r="CM1609" i="1" s="1"/>
  <c r="CP1609" i="1" s="1"/>
  <c r="U1608" i="1"/>
  <c r="CM1608" i="1" s="1"/>
  <c r="CP1608" i="1" s="1"/>
  <c r="U1607" i="1"/>
  <c r="CM1607" i="1" s="1"/>
  <c r="CP1607" i="1" s="1"/>
  <c r="U1606" i="1"/>
  <c r="CM1606" i="1" s="1"/>
  <c r="CP1606" i="1" s="1"/>
  <c r="U1605" i="1"/>
  <c r="CM1605" i="1" s="1"/>
  <c r="CP1605" i="1" s="1"/>
  <c r="U1603" i="1"/>
  <c r="CM1603" i="1" s="1"/>
  <c r="CP1603" i="1" s="1"/>
  <c r="E1603" i="1"/>
  <c r="U1602" i="1"/>
  <c r="CM1602" i="1" s="1"/>
  <c r="CP1602" i="1" s="1"/>
  <c r="U1601" i="1"/>
  <c r="CM1601" i="1" s="1"/>
  <c r="CP1601" i="1" s="1"/>
  <c r="U1600" i="1"/>
  <c r="CM1600" i="1" s="1"/>
  <c r="CP1600" i="1" s="1"/>
  <c r="U1599" i="1"/>
  <c r="CM1599" i="1" s="1"/>
  <c r="CP1599" i="1" s="1"/>
  <c r="U1598" i="1"/>
  <c r="CM1598" i="1" s="1"/>
  <c r="CP1598" i="1" s="1"/>
  <c r="U1597" i="1"/>
  <c r="CM1597" i="1" s="1"/>
  <c r="CP1597" i="1" s="1"/>
  <c r="U1596" i="1"/>
  <c r="CM1596" i="1" s="1"/>
  <c r="CP1596" i="1" s="1"/>
  <c r="U1595" i="1"/>
  <c r="E1595" i="1"/>
  <c r="U1594" i="1"/>
  <c r="CM1594" i="1" s="1"/>
  <c r="CP1594" i="1" s="1"/>
  <c r="U1593" i="1"/>
  <c r="CM1593" i="1" s="1"/>
  <c r="CP1593" i="1" s="1"/>
  <c r="U1592" i="1"/>
  <c r="CM1592" i="1" s="1"/>
  <c r="CP1592" i="1" s="1"/>
  <c r="U1591" i="1"/>
  <c r="CM1591" i="1" s="1"/>
  <c r="CP1591" i="1" s="1"/>
  <c r="U1590" i="1"/>
  <c r="CM1590" i="1" s="1"/>
  <c r="CP1590" i="1" s="1"/>
  <c r="U1589" i="1"/>
  <c r="CM1589" i="1" s="1"/>
  <c r="CP1589" i="1" s="1"/>
  <c r="U1588" i="1"/>
  <c r="CM1588" i="1" s="1"/>
  <c r="CP1588" i="1" s="1"/>
  <c r="U1587" i="1"/>
  <c r="CM1587" i="1" s="1"/>
  <c r="CP1587" i="1" s="1"/>
  <c r="CM1649" i="1" l="1"/>
  <c r="CP1649" i="1" s="1"/>
  <c r="U1658" i="1"/>
  <c r="CM1631" i="1"/>
  <c r="CP1631" i="1" s="1"/>
  <c r="U1640" i="1"/>
  <c r="CM1667" i="1"/>
  <c r="CP1667" i="1" s="1"/>
  <c r="U1676" i="1"/>
  <c r="CM1613" i="1"/>
  <c r="CP1613" i="1" s="1"/>
  <c r="U1622" i="1"/>
  <c r="CM1595" i="1"/>
  <c r="CP1595" i="1" s="1"/>
  <c r="U1604" i="1"/>
  <c r="W1605" i="1"/>
  <c r="T1605" i="1" s="1"/>
  <c r="BK1587" i="1"/>
  <c r="BD1587" i="1" s="1"/>
  <c r="S1587" i="1" s="1"/>
  <c r="W1587" i="1"/>
  <c r="T1587" i="1" s="1"/>
  <c r="W1641" i="1"/>
  <c r="T1641" i="1" s="1"/>
  <c r="BK1641" i="1"/>
  <c r="BD1641" i="1" s="1"/>
  <c r="S1641" i="1" s="1"/>
  <c r="W1623" i="1"/>
  <c r="T1623" i="1" s="1"/>
  <c r="BK1659" i="1"/>
  <c r="BD1659" i="1" s="1"/>
  <c r="S1659" i="1" s="1"/>
  <c r="W1659" i="1"/>
  <c r="T1659" i="1" s="1"/>
  <c r="BK1605" i="1"/>
  <c r="BD1605" i="1" s="1"/>
  <c r="S1605" i="1" s="1"/>
  <c r="BK1623" i="1"/>
  <c r="BD1623" i="1" s="1"/>
  <c r="S1623" i="1" s="1"/>
  <c r="F25" i="39"/>
  <c r="F26" i="39"/>
  <c r="E31" i="102"/>
  <c r="R31" i="102"/>
  <c r="P31" i="102"/>
  <c r="D31" i="102"/>
  <c r="F31" i="102"/>
  <c r="Y31" i="102" s="1"/>
  <c r="W30" i="102"/>
  <c r="W20" i="102"/>
  <c r="Y20" i="102"/>
  <c r="O31" i="102"/>
  <c r="X20" i="102"/>
  <c r="N31" i="102"/>
  <c r="H31" i="102"/>
  <c r="AA31" i="102" s="1"/>
  <c r="AA20" i="102"/>
  <c r="T1591" i="1"/>
  <c r="D17" i="39" s="1"/>
  <c r="T1644" i="1"/>
  <c r="G16" i="39" s="1"/>
  <c r="T1697" i="1"/>
  <c r="D35" i="39" s="1"/>
  <c r="T1594" i="1"/>
  <c r="D20" i="39" s="1"/>
  <c r="T1607" i="1"/>
  <c r="E15" i="39" s="1"/>
  <c r="T1628" i="1"/>
  <c r="T1700" i="1"/>
  <c r="G35" i="39" s="1"/>
  <c r="T1701" i="1"/>
  <c r="T1699" i="1"/>
  <c r="T1698" i="1"/>
  <c r="T1625" i="1"/>
  <c r="F15" i="39" s="1"/>
  <c r="T1609" i="1"/>
  <c r="T1643" i="1"/>
  <c r="G15" i="39" s="1"/>
  <c r="T1661" i="1"/>
  <c r="H15" i="39" s="1"/>
  <c r="T1662" i="1"/>
  <c r="T1645" i="1"/>
  <c r="G17" i="39" s="1"/>
  <c r="T1612" i="1"/>
  <c r="E20" i="39" s="1"/>
  <c r="T1664" i="1"/>
  <c r="T1630" i="1"/>
  <c r="T1647" i="1"/>
  <c r="G19" i="39" s="1"/>
  <c r="T1648" i="1"/>
  <c r="G20" i="39" s="1"/>
  <c r="T1666" i="1"/>
  <c r="H20" i="39" s="1"/>
  <c r="Y30" i="102"/>
  <c r="X30" i="102"/>
  <c r="G31" i="102"/>
  <c r="Z31" i="102" s="1"/>
  <c r="T1610" i="1"/>
  <c r="T1663" i="1"/>
  <c r="T1626" i="1"/>
  <c r="F27" i="39" s="1"/>
  <c r="T1627" i="1"/>
  <c r="F28" i="39" s="1"/>
  <c r="T1642" i="1"/>
  <c r="T1665" i="1"/>
  <c r="T1660" i="1"/>
  <c r="T1646" i="1"/>
  <c r="T1593" i="1"/>
  <c r="T1629" i="1"/>
  <c r="T1611" i="1"/>
  <c r="T1624" i="1"/>
  <c r="T1608" i="1"/>
  <c r="T1606" i="1"/>
  <c r="T1588" i="1"/>
  <c r="T1589" i="1"/>
  <c r="T1590" i="1"/>
  <c r="T1592" i="1"/>
  <c r="C33" i="34"/>
  <c r="BK1209" i="1"/>
  <c r="BD1209" i="1" s="1"/>
  <c r="S1209" i="1" s="1"/>
  <c r="U1209" i="1"/>
  <c r="N7" i="6"/>
  <c r="B32" i="39"/>
  <c r="B52" i="29"/>
  <c r="B21" i="39"/>
  <c r="B31" i="39" s="1"/>
  <c r="B23" i="29"/>
  <c r="B13" i="39"/>
  <c r="B24" i="39" s="1"/>
  <c r="B10" i="135"/>
  <c r="W31" i="102" l="1"/>
  <c r="F24" i="39"/>
  <c r="X31" i="102"/>
  <c r="F30" i="39"/>
  <c r="F19" i="39"/>
  <c r="F18" i="39"/>
  <c r="F29" i="39"/>
  <c r="T1209" i="1"/>
  <c r="N1209" i="1" s="1"/>
  <c r="E33" i="34" s="1"/>
  <c r="CP1209" i="1"/>
  <c r="N1591" i="1"/>
  <c r="M17" i="39" s="1"/>
  <c r="H13" i="39"/>
  <c r="F13" i="39"/>
  <c r="E13" i="39"/>
  <c r="N1607" i="1"/>
  <c r="N15" i="39" s="1"/>
  <c r="N1594" i="1"/>
  <c r="M20" i="39" s="1"/>
  <c r="N1644" i="1"/>
  <c r="P16" i="39" s="1"/>
  <c r="N1700" i="1"/>
  <c r="P35" i="39" s="1"/>
  <c r="N1628" i="1"/>
  <c r="O18" i="39" s="1"/>
  <c r="N1697" i="1"/>
  <c r="M35" i="39" s="1"/>
  <c r="N1625" i="1"/>
  <c r="O15" i="39" s="1"/>
  <c r="N1623" i="1"/>
  <c r="O13" i="39" s="1"/>
  <c r="N1647" i="1"/>
  <c r="P19" i="39" s="1"/>
  <c r="N1666" i="1"/>
  <c r="Q20" i="39" s="1"/>
  <c r="N1612" i="1"/>
  <c r="N20" i="39" s="1"/>
  <c r="N1643" i="1"/>
  <c r="P15" i="39" s="1"/>
  <c r="N1588" i="1"/>
  <c r="M14" i="39" s="1"/>
  <c r="D14" i="39"/>
  <c r="N1629" i="1"/>
  <c r="O19" i="39" s="1"/>
  <c r="N1660" i="1"/>
  <c r="Q14" i="39" s="1"/>
  <c r="H14" i="39"/>
  <c r="N1648" i="1"/>
  <c r="P20" i="39" s="1"/>
  <c r="N1606" i="1"/>
  <c r="N14" i="39" s="1"/>
  <c r="E14" i="39"/>
  <c r="N1627" i="1"/>
  <c r="O17" i="39" s="1"/>
  <c r="F17" i="39"/>
  <c r="N1641" i="1"/>
  <c r="P13" i="39" s="1"/>
  <c r="G13" i="39"/>
  <c r="N1626" i="1"/>
  <c r="O16" i="39" s="1"/>
  <c r="F16" i="39"/>
  <c r="N1701" i="1"/>
  <c r="Q35" i="39" s="1"/>
  <c r="H35" i="39"/>
  <c r="N1608" i="1"/>
  <c r="N16" i="39" s="1"/>
  <c r="E16" i="39"/>
  <c r="N1661" i="1"/>
  <c r="Q15" i="39" s="1"/>
  <c r="N1659" i="1"/>
  <c r="Q13" i="39" s="1"/>
  <c r="N1663" i="1"/>
  <c r="Q17" i="39" s="1"/>
  <c r="H17" i="39"/>
  <c r="N1630" i="1"/>
  <c r="O20" i="39" s="1"/>
  <c r="F20" i="39"/>
  <c r="N1609" i="1"/>
  <c r="N17" i="39" s="1"/>
  <c r="E17" i="39"/>
  <c r="N1699" i="1"/>
  <c r="O35" i="39" s="1"/>
  <c r="F35" i="39"/>
  <c r="N1646" i="1"/>
  <c r="P18" i="39" s="1"/>
  <c r="G18" i="39"/>
  <c r="N1665" i="1"/>
  <c r="Q19" i="39" s="1"/>
  <c r="H19" i="39"/>
  <c r="N1610" i="1"/>
  <c r="N18" i="39" s="1"/>
  <c r="E18" i="39"/>
  <c r="N1592" i="1"/>
  <c r="M18" i="39" s="1"/>
  <c r="D18" i="39"/>
  <c r="N1662" i="1"/>
  <c r="Q16" i="39" s="1"/>
  <c r="H16" i="39"/>
  <c r="N1698" i="1"/>
  <c r="N35" i="39" s="1"/>
  <c r="E35" i="39"/>
  <c r="N1593" i="1"/>
  <c r="M19" i="39" s="1"/>
  <c r="D19" i="39"/>
  <c r="N1645" i="1"/>
  <c r="P17" i="39" s="1"/>
  <c r="N1590" i="1"/>
  <c r="M16" i="39" s="1"/>
  <c r="D16" i="39"/>
  <c r="N1624" i="1"/>
  <c r="O14" i="39" s="1"/>
  <c r="F14" i="39"/>
  <c r="N1664" i="1"/>
  <c r="Q18" i="39" s="1"/>
  <c r="H18" i="39"/>
  <c r="N1587" i="1"/>
  <c r="M13" i="39" s="1"/>
  <c r="D13" i="39"/>
  <c r="N1589" i="1"/>
  <c r="M15" i="39" s="1"/>
  <c r="D15" i="39"/>
  <c r="N1611" i="1"/>
  <c r="N19" i="39" s="1"/>
  <c r="E19" i="39"/>
  <c r="N1642" i="1"/>
  <c r="P14" i="39" s="1"/>
  <c r="G14" i="39"/>
  <c r="N1605" i="1"/>
  <c r="N13" i="39" s="1"/>
  <c r="F70" i="102"/>
  <c r="F84" i="102" s="1"/>
  <c r="D70" i="102"/>
  <c r="D84" i="102" s="1"/>
  <c r="F40" i="102"/>
  <c r="F69" i="102" s="1"/>
  <c r="D40" i="102"/>
  <c r="M12" i="39" l="1"/>
  <c r="S12" i="39" s="1"/>
  <c r="H21" i="39"/>
  <c r="N21" i="39"/>
  <c r="M21" i="39"/>
  <c r="E21" i="39"/>
  <c r="Q21" i="39"/>
  <c r="G21" i="39"/>
  <c r="D21" i="39"/>
  <c r="P21" i="39"/>
  <c r="O21" i="39"/>
  <c r="H1551" i="1"/>
  <c r="H1400" i="1"/>
  <c r="H1356" i="1"/>
  <c r="I1156" i="1"/>
  <c r="H1156" i="1"/>
  <c r="H1153" i="1"/>
  <c r="H825" i="1"/>
  <c r="H491" i="1"/>
  <c r="H488" i="1"/>
  <c r="H2000" i="1" l="1"/>
  <c r="H2112" i="1"/>
  <c r="H1994" i="1"/>
  <c r="H1991" i="1"/>
  <c r="H1999" i="1"/>
  <c r="H1992" i="1"/>
  <c r="H1997" i="1"/>
  <c r="H2002" i="1"/>
  <c r="H1742" i="1"/>
  <c r="H1996" i="1"/>
  <c r="I681" i="1"/>
  <c r="H215" i="1"/>
  <c r="H237" i="1"/>
  <c r="H1993" i="1"/>
  <c r="H1995" i="1"/>
  <c r="H1998" i="1"/>
  <c r="H1567" i="1"/>
  <c r="I132" i="1"/>
  <c r="I139" i="1"/>
  <c r="I162" i="1"/>
  <c r="I187" i="1"/>
  <c r="I215" i="1"/>
  <c r="I237" i="1"/>
  <c r="H357" i="1"/>
  <c r="I27" i="1"/>
  <c r="H1977" i="1"/>
  <c r="CP27" i="1" l="1"/>
  <c r="B1" i="134"/>
  <c r="B1" i="133"/>
  <c r="B1" i="130"/>
  <c r="B1" i="131" s="1"/>
  <c r="B1" i="132" s="1"/>
  <c r="G47" i="24" l="1"/>
  <c r="G19" i="25"/>
  <c r="C29" i="24"/>
  <c r="U53" i="1" l="1"/>
  <c r="K2047" i="1" l="1"/>
  <c r="C26" i="74" l="1"/>
  <c r="M51" i="130" l="1"/>
  <c r="M50" i="130"/>
  <c r="M49" i="130"/>
  <c r="M48" i="130"/>
  <c r="M47" i="130"/>
  <c r="M46" i="130"/>
  <c r="M45" i="130"/>
  <c r="M44" i="130"/>
  <c r="M43" i="130"/>
  <c r="M42" i="130"/>
  <c r="M41" i="130"/>
  <c r="M40" i="130"/>
  <c r="M39" i="130"/>
  <c r="F25" i="133" l="1"/>
  <c r="J66" i="131"/>
  <c r="G66" i="131"/>
  <c r="F66" i="131"/>
  <c r="D66" i="131"/>
  <c r="C66" i="131"/>
  <c r="H64" i="131"/>
  <c r="H66" i="131" s="1"/>
  <c r="E64" i="131"/>
  <c r="E66" i="131" s="1"/>
  <c r="D79" i="131" s="1"/>
  <c r="F287" i="60" s="1"/>
  <c r="J61" i="131"/>
  <c r="G61" i="131"/>
  <c r="F61" i="131"/>
  <c r="D61" i="131"/>
  <c r="C61" i="131"/>
  <c r="H59" i="131"/>
  <c r="E59" i="131"/>
  <c r="E58" i="131"/>
  <c r="H57" i="131"/>
  <c r="E57" i="131"/>
  <c r="H56" i="131"/>
  <c r="E56" i="131"/>
  <c r="H48" i="131"/>
  <c r="E48" i="131"/>
  <c r="H47" i="131"/>
  <c r="E47" i="131"/>
  <c r="H46" i="131"/>
  <c r="E46" i="131"/>
  <c r="H45" i="131"/>
  <c r="E45" i="131"/>
  <c r="H44" i="131"/>
  <c r="E44" i="131"/>
  <c r="H43" i="131"/>
  <c r="E43" i="131"/>
  <c r="H42" i="131"/>
  <c r="E42" i="131"/>
  <c r="H41" i="131"/>
  <c r="E41" i="131"/>
  <c r="H40" i="131"/>
  <c r="E40" i="131"/>
  <c r="H39" i="131"/>
  <c r="E39" i="131"/>
  <c r="H38" i="131"/>
  <c r="E38" i="131"/>
  <c r="J32" i="131"/>
  <c r="G32" i="131"/>
  <c r="F32" i="131"/>
  <c r="D32" i="131"/>
  <c r="C32" i="131"/>
  <c r="H30" i="131"/>
  <c r="E30" i="131"/>
  <c r="H29" i="131"/>
  <c r="E29" i="131"/>
  <c r="E32" i="131" s="1"/>
  <c r="J26" i="131"/>
  <c r="G26" i="131"/>
  <c r="D26" i="131"/>
  <c r="C26" i="131"/>
  <c r="H24" i="131"/>
  <c r="E24" i="131"/>
  <c r="H23" i="131"/>
  <c r="E23" i="131"/>
  <c r="H22" i="131"/>
  <c r="E22" i="131"/>
  <c r="H21" i="131"/>
  <c r="E21" i="131"/>
  <c r="H20" i="131"/>
  <c r="E20" i="131"/>
  <c r="E19" i="131"/>
  <c r="H18" i="131"/>
  <c r="E18" i="131"/>
  <c r="H17" i="131"/>
  <c r="E17" i="131"/>
  <c r="H16" i="131"/>
  <c r="E16" i="131"/>
  <c r="H15" i="131"/>
  <c r="E15" i="131"/>
  <c r="H14" i="131"/>
  <c r="E14" i="131"/>
  <c r="E14" i="129" l="1"/>
  <c r="E26" i="129" s="1"/>
  <c r="D78" i="131"/>
  <c r="F284" i="60" s="1"/>
  <c r="I14" i="131"/>
  <c r="I42" i="131"/>
  <c r="I48" i="131"/>
  <c r="I39" i="131"/>
  <c r="I29" i="131"/>
  <c r="G68" i="131"/>
  <c r="I44" i="131"/>
  <c r="F68" i="131"/>
  <c r="E26" i="131"/>
  <c r="I23" i="131"/>
  <c r="I57" i="131"/>
  <c r="J34" i="131"/>
  <c r="M14" i="129" s="1"/>
  <c r="I41" i="131"/>
  <c r="I20" i="131"/>
  <c r="I46" i="131"/>
  <c r="D68" i="131"/>
  <c r="I17" i="131"/>
  <c r="C34" i="131"/>
  <c r="I22" i="131"/>
  <c r="I43" i="131"/>
  <c r="I59" i="131"/>
  <c r="I40" i="131"/>
  <c r="I47" i="131"/>
  <c r="E61" i="131"/>
  <c r="I64" i="131"/>
  <c r="I66" i="131" s="1"/>
  <c r="I16" i="131"/>
  <c r="G34" i="131"/>
  <c r="I56" i="131"/>
  <c r="C68" i="131"/>
  <c r="I24" i="131"/>
  <c r="I21" i="131"/>
  <c r="I38" i="131"/>
  <c r="I45" i="131"/>
  <c r="H61" i="131"/>
  <c r="H68" i="131" s="1"/>
  <c r="D34" i="131"/>
  <c r="I30" i="131"/>
  <c r="J68" i="131"/>
  <c r="M20" i="129" s="1"/>
  <c r="H32" i="131"/>
  <c r="I15" i="131"/>
  <c r="I18" i="131"/>
  <c r="M26" i="129" l="1"/>
  <c r="D14" i="129"/>
  <c r="F26" i="138" s="1"/>
  <c r="H26" i="138" s="1"/>
  <c r="I32" i="131"/>
  <c r="C72" i="131"/>
  <c r="E34" i="131"/>
  <c r="J72" i="131"/>
  <c r="G72" i="131"/>
  <c r="I61" i="131"/>
  <c r="I68" i="131" s="1"/>
  <c r="D72" i="131"/>
  <c r="E68" i="131"/>
  <c r="D20" i="129"/>
  <c r="D26" i="129" l="1"/>
  <c r="F28" i="138"/>
  <c r="H28" i="138" s="1"/>
  <c r="C79" i="131"/>
  <c r="F286" i="60" s="1"/>
  <c r="C78" i="131"/>
  <c r="F283" i="60" s="1"/>
  <c r="E72" i="131"/>
  <c r="D11" i="133" s="1"/>
  <c r="L31" i="130"/>
  <c r="D33" i="130"/>
  <c r="E31" i="130"/>
  <c r="B10" i="29" l="1"/>
  <c r="H57" i="34" l="1"/>
  <c r="C29" i="25" l="1"/>
  <c r="C8" i="25"/>
  <c r="C12" i="25"/>
  <c r="E15" i="24"/>
  <c r="C15" i="24"/>
  <c r="D119" i="29"/>
  <c r="Z17" i="37" l="1"/>
  <c r="AA11" i="37" l="1"/>
  <c r="AC11" i="37" s="1"/>
  <c r="U180" i="1" l="1"/>
  <c r="U179" i="1"/>
  <c r="E28" i="133" l="1"/>
  <c r="W200" i="1" l="1"/>
  <c r="R206" i="1" l="1"/>
  <c r="R215" i="1"/>
  <c r="R237" i="1"/>
  <c r="R254" i="1"/>
  <c r="R261" i="1" s="1"/>
  <c r="R270" i="1" s="1"/>
  <c r="R277" i="1"/>
  <c r="R310" i="1"/>
  <c r="R327" i="1"/>
  <c r="R342" i="1"/>
  <c r="R357" i="1"/>
  <c r="R372" i="1"/>
  <c r="R387" i="1"/>
  <c r="R406" i="1"/>
  <c r="R425" i="1"/>
  <c r="R429" i="1"/>
  <c r="R469" i="1"/>
  <c r="R478" i="1"/>
  <c r="R497" i="1"/>
  <c r="R508" i="1" s="1"/>
  <c r="R512" i="1"/>
  <c r="R522" i="1" s="1"/>
  <c r="R530" i="1"/>
  <c r="R534" i="1"/>
  <c r="R545" i="1" s="1"/>
  <c r="R549" i="1"/>
  <c r="R559" i="1" s="1"/>
  <c r="R567" i="1"/>
  <c r="R572" i="1"/>
  <c r="R583" i="1" s="1"/>
  <c r="R587" i="1"/>
  <c r="R597" i="1" s="1"/>
  <c r="R605" i="1"/>
  <c r="R610" i="1"/>
  <c r="R637" i="1" s="1"/>
  <c r="R625" i="1"/>
  <c r="R635" i="1" s="1"/>
  <c r="R643" i="1"/>
  <c r="R648" i="1"/>
  <c r="R659" i="1" s="1"/>
  <c r="R663" i="1"/>
  <c r="R673" i="1" s="1"/>
  <c r="R681" i="1"/>
  <c r="R686" i="1"/>
  <c r="R713" i="1" s="1"/>
  <c r="R701" i="1"/>
  <c r="R711" i="1" s="1"/>
  <c r="R719" i="1"/>
  <c r="R724" i="1"/>
  <c r="R751" i="1" s="1"/>
  <c r="R739" i="1"/>
  <c r="R749" i="1" s="1"/>
  <c r="R757" i="1"/>
  <c r="R762" i="1"/>
  <c r="R773" i="1" s="1"/>
  <c r="R777" i="1"/>
  <c r="R787" i="1" s="1"/>
  <c r="R795" i="1"/>
  <c r="R813" i="1"/>
  <c r="R819" i="1"/>
  <c r="R831" i="1"/>
  <c r="R837" i="1"/>
  <c r="R843" i="1"/>
  <c r="R851" i="1"/>
  <c r="R861" i="1" s="1"/>
  <c r="R865" i="1"/>
  <c r="R875" i="1" s="1"/>
  <c r="R877" i="1"/>
  <c r="R883" i="1"/>
  <c r="R887" i="1"/>
  <c r="R897" i="1" s="1"/>
  <c r="R901" i="1"/>
  <c r="R911" i="1" s="1"/>
  <c r="R913" i="1"/>
  <c r="R919" i="1"/>
  <c r="R923" i="1"/>
  <c r="R933" i="1" s="1"/>
  <c r="R937" i="1"/>
  <c r="R947" i="1" s="1"/>
  <c r="R949" i="1"/>
  <c r="R955" i="1"/>
  <c r="R959" i="1"/>
  <c r="R969" i="1" s="1"/>
  <c r="R973" i="1"/>
  <c r="R983" i="1" s="1"/>
  <c r="R985" i="1"/>
  <c r="R991" i="1"/>
  <c r="R995" i="1"/>
  <c r="R1005" i="1" s="1"/>
  <c r="R1009" i="1"/>
  <c r="R1019" i="1" s="1"/>
  <c r="R1021" i="1"/>
  <c r="R1027" i="1"/>
  <c r="R1031" i="1"/>
  <c r="R1041" i="1" s="1"/>
  <c r="R1045" i="1"/>
  <c r="R1055" i="1" s="1"/>
  <c r="R1057" i="1"/>
  <c r="R1063" i="1"/>
  <c r="R1067" i="1"/>
  <c r="R1077" i="1" s="1"/>
  <c r="R1081" i="1"/>
  <c r="R1091" i="1" s="1"/>
  <c r="R1093" i="1"/>
  <c r="R1099" i="1"/>
  <c r="R1103" i="1"/>
  <c r="R1113" i="1" s="1"/>
  <c r="R1117" i="1"/>
  <c r="R1127" i="1" s="1"/>
  <c r="R1129" i="1"/>
  <c r="R1135" i="1"/>
  <c r="R1150" i="1"/>
  <c r="R1153" i="1"/>
  <c r="R1156" i="1"/>
  <c r="R1169" i="1"/>
  <c r="R1177" i="1"/>
  <c r="R1185" i="1"/>
  <c r="R1199" i="1"/>
  <c r="R1203" i="1"/>
  <c r="R1211" i="1"/>
  <c r="R1248" i="1"/>
  <c r="R1253" i="1"/>
  <c r="R1259" i="1"/>
  <c r="R1263" i="1"/>
  <c r="R1293" i="1"/>
  <c r="R1298" i="1"/>
  <c r="R1303" i="1"/>
  <c r="R1307" i="1"/>
  <c r="R1321" i="1"/>
  <c r="R1328" i="1"/>
  <c r="R1342" i="1"/>
  <c r="R1349" i="1"/>
  <c r="R1356" i="1"/>
  <c r="R1363" i="1"/>
  <c r="R1370" i="1"/>
  <c r="R1375" i="1"/>
  <c r="R1380" i="1"/>
  <c r="R1385" i="1"/>
  <c r="R1390" i="1"/>
  <c r="R1395" i="1"/>
  <c r="R1400" i="1"/>
  <c r="R1405" i="1"/>
  <c r="R1410" i="1"/>
  <c r="R1551" i="1"/>
  <c r="R1567" i="1"/>
  <c r="R1735" i="1"/>
  <c r="R1737" i="1" s="1"/>
  <c r="R1742" i="1"/>
  <c r="R1748" i="1"/>
  <c r="R1754" i="1"/>
  <c r="R1765" i="1"/>
  <c r="R1977" i="1"/>
  <c r="R621" i="1" l="1"/>
  <c r="R636" i="1" s="1"/>
  <c r="R426" i="1"/>
  <c r="R431" i="1" s="1"/>
  <c r="R948" i="1"/>
  <c r="R524" i="1"/>
  <c r="R1264" i="1"/>
  <c r="R1265" i="1"/>
  <c r="R675" i="1"/>
  <c r="R388" i="1"/>
  <c r="R735" i="1"/>
  <c r="R750" i="1" s="1"/>
  <c r="R876" i="1"/>
  <c r="R1309" i="1"/>
  <c r="R479" i="1"/>
  <c r="R286" i="1"/>
  <c r="R1020" i="1"/>
  <c r="R789" i="1"/>
  <c r="R788" i="1"/>
  <c r="R1128" i="1"/>
  <c r="R1056" i="1"/>
  <c r="R674" i="1"/>
  <c r="R598" i="1"/>
  <c r="R523" i="1"/>
  <c r="R1092" i="1"/>
  <c r="R984" i="1"/>
  <c r="R1310" i="1"/>
  <c r="R1157" i="1"/>
  <c r="R560" i="1"/>
  <c r="R228" i="1"/>
  <c r="R250" i="1" s="1"/>
  <c r="R912" i="1"/>
  <c r="R697" i="1"/>
  <c r="R712" i="1" s="1"/>
  <c r="R561" i="1"/>
  <c r="R599" i="1"/>
  <c r="R1311" i="1" l="1"/>
  <c r="R1266" i="1"/>
  <c r="R1136" i="1"/>
  <c r="R796" i="1"/>
  <c r="J118" i="6" s="1"/>
  <c r="U444" i="1"/>
  <c r="CP444" i="1" s="1"/>
  <c r="BK444" i="1"/>
  <c r="BD444" i="1" s="1"/>
  <c r="S444" i="1" s="1"/>
  <c r="U424" i="1" l="1"/>
  <c r="G32" i="79"/>
  <c r="AD32" i="79" s="1"/>
  <c r="T424" i="1" l="1"/>
  <c r="D33" i="27" s="1"/>
  <c r="CP424" i="1"/>
  <c r="AC32" i="79"/>
  <c r="S27" i="1" l="1"/>
  <c r="H14" i="96" l="1"/>
  <c r="O14" i="96" s="1"/>
  <c r="N28" i="83"/>
  <c r="N38" i="83" s="1"/>
  <c r="O28" i="83"/>
  <c r="O38" i="83" s="1"/>
  <c r="P28" i="83"/>
  <c r="P38" i="83" s="1"/>
  <c r="Q28" i="83"/>
  <c r="Q38" i="83" s="1"/>
  <c r="R28" i="83"/>
  <c r="R38" i="83" s="1"/>
  <c r="S28" i="83"/>
  <c r="S38" i="83" s="1"/>
  <c r="T28" i="83"/>
  <c r="T38" i="83" s="1"/>
  <c r="M28" i="83"/>
  <c r="M38" i="83" s="1"/>
  <c r="AD27" i="83"/>
  <c r="AC27" i="83"/>
  <c r="AB27" i="83"/>
  <c r="AA27" i="83"/>
  <c r="Z27" i="83"/>
  <c r="Y27" i="83"/>
  <c r="X27" i="83"/>
  <c r="W27" i="83"/>
  <c r="L27" i="83"/>
  <c r="J27" i="83"/>
  <c r="AD11" i="83"/>
  <c r="AC11" i="83"/>
  <c r="AB11" i="83"/>
  <c r="AA11" i="83"/>
  <c r="Z11" i="83"/>
  <c r="Y11" i="83"/>
  <c r="X11" i="83"/>
  <c r="W11" i="83"/>
  <c r="L11" i="83"/>
  <c r="L12" i="83"/>
  <c r="J11" i="83"/>
  <c r="AE11" i="83" s="1"/>
  <c r="AG27" i="83" l="1"/>
  <c r="AG11" i="83"/>
  <c r="AE27" i="83"/>
  <c r="AF27" i="83"/>
  <c r="J14" i="96"/>
  <c r="N14" i="96" s="1"/>
  <c r="V27" i="83"/>
  <c r="V11" i="83"/>
  <c r="AF11" i="83"/>
  <c r="N46" i="81" l="1"/>
  <c r="O46" i="81"/>
  <c r="P46" i="81"/>
  <c r="Q46" i="81"/>
  <c r="R46" i="81"/>
  <c r="S46" i="81"/>
  <c r="T46" i="81"/>
  <c r="M46" i="81"/>
  <c r="L12" i="81" l="1"/>
  <c r="L46" i="81" s="1"/>
  <c r="AD11" i="81"/>
  <c r="AC11" i="81"/>
  <c r="AB11" i="81"/>
  <c r="AA11" i="81"/>
  <c r="Z11" i="81"/>
  <c r="Y11" i="81"/>
  <c r="X11" i="81"/>
  <c r="W11" i="81"/>
  <c r="L11" i="81"/>
  <c r="J11" i="81"/>
  <c r="AG11" i="81" l="1"/>
  <c r="V11" i="81"/>
  <c r="AE11" i="81"/>
  <c r="AF11" i="81"/>
  <c r="J50" i="81" l="1"/>
  <c r="C63" i="71" s="1"/>
  <c r="M41" i="81" l="1"/>
  <c r="N41" i="81"/>
  <c r="O41" i="81"/>
  <c r="P41" i="81"/>
  <c r="Q41" i="81"/>
  <c r="R41" i="81"/>
  <c r="S41" i="81"/>
  <c r="T41" i="81"/>
  <c r="AD29" i="81"/>
  <c r="AC29" i="81"/>
  <c r="AB29" i="81"/>
  <c r="AA29" i="81"/>
  <c r="Z29" i="81"/>
  <c r="Y29" i="81"/>
  <c r="X29" i="81"/>
  <c r="W29" i="81"/>
  <c r="L29" i="81"/>
  <c r="J29" i="81"/>
  <c r="J773" i="1"/>
  <c r="J757" i="1"/>
  <c r="J681" i="1"/>
  <c r="J675" i="1"/>
  <c r="J674" i="1"/>
  <c r="J673" i="1"/>
  <c r="J659" i="1"/>
  <c r="J637" i="1"/>
  <c r="J636" i="1"/>
  <c r="J635" i="1"/>
  <c r="J621" i="1"/>
  <c r="J605" i="1"/>
  <c r="J583" i="1"/>
  <c r="J567" i="1"/>
  <c r="M25" i="81"/>
  <c r="N25" i="81"/>
  <c r="O25" i="81"/>
  <c r="P25" i="81"/>
  <c r="Q25" i="81"/>
  <c r="R25" i="81"/>
  <c r="S25" i="81"/>
  <c r="T25" i="81"/>
  <c r="AG29" i="81" l="1"/>
  <c r="V29" i="81"/>
  <c r="AE29" i="81"/>
  <c r="AF29" i="81"/>
  <c r="L9" i="39" l="1"/>
  <c r="C9" i="39"/>
  <c r="C17" i="40"/>
  <c r="J23" i="39"/>
  <c r="K1702" i="1"/>
  <c r="W1702" i="1"/>
  <c r="W1696" i="1"/>
  <c r="U1702" i="1"/>
  <c r="CM1702" i="1" s="1"/>
  <c r="CP1702" i="1" s="1"/>
  <c r="U1696" i="1"/>
  <c r="CM1696" i="1" s="1"/>
  <c r="CP1696" i="1" s="1"/>
  <c r="BK1679" i="1"/>
  <c r="BD1679" i="1" s="1"/>
  <c r="S1679" i="1" s="1"/>
  <c r="B23" i="102"/>
  <c r="B12" i="102"/>
  <c r="B20" i="102"/>
  <c r="J34" i="102"/>
  <c r="B31" i="102"/>
  <c r="S30" i="102"/>
  <c r="M30" i="102"/>
  <c r="I30" i="102"/>
  <c r="C30" i="102"/>
  <c r="B30" i="102"/>
  <c r="AB29" i="102"/>
  <c r="V29" i="102"/>
  <c r="L29" i="102"/>
  <c r="J29" i="102"/>
  <c r="AB28" i="102"/>
  <c r="V28" i="102"/>
  <c r="L28" i="102"/>
  <c r="J28" i="102"/>
  <c r="AB27" i="102"/>
  <c r="V27" i="102"/>
  <c r="L27" i="102"/>
  <c r="J27" i="102"/>
  <c r="AB26" i="102"/>
  <c r="V26" i="102"/>
  <c r="L26" i="102"/>
  <c r="J26" i="102"/>
  <c r="AB25" i="102"/>
  <c r="V25" i="102"/>
  <c r="L25" i="102"/>
  <c r="J25" i="102"/>
  <c r="AB24" i="102"/>
  <c r="V24" i="102"/>
  <c r="L24" i="102"/>
  <c r="J24" i="102"/>
  <c r="AB23" i="102"/>
  <c r="V23" i="102"/>
  <c r="L23" i="102"/>
  <c r="J23" i="102"/>
  <c r="J22" i="102"/>
  <c r="S20" i="102"/>
  <c r="M20" i="102"/>
  <c r="M31" i="102" s="1"/>
  <c r="I20" i="102"/>
  <c r="C20" i="102"/>
  <c r="AB19" i="102"/>
  <c r="V19" i="102"/>
  <c r="L19" i="102"/>
  <c r="J19" i="102"/>
  <c r="AB18" i="102"/>
  <c r="V18" i="102"/>
  <c r="L18" i="102"/>
  <c r="J18" i="102"/>
  <c r="AB17" i="102"/>
  <c r="V17" i="102"/>
  <c r="L17" i="102"/>
  <c r="J17" i="102"/>
  <c r="AB16" i="102"/>
  <c r="V16" i="102"/>
  <c r="L16" i="102"/>
  <c r="J16" i="102"/>
  <c r="AB15" i="102"/>
  <c r="V15" i="102"/>
  <c r="L15" i="102"/>
  <c r="J15" i="102"/>
  <c r="AB14" i="102"/>
  <c r="V14" i="102"/>
  <c r="L14" i="102"/>
  <c r="J14" i="102"/>
  <c r="AB13" i="102"/>
  <c r="V13" i="102"/>
  <c r="L13" i="102"/>
  <c r="J13" i="102"/>
  <c r="AB12" i="102"/>
  <c r="V12" i="102"/>
  <c r="L12" i="102"/>
  <c r="J12" i="102"/>
  <c r="W1684" i="1"/>
  <c r="U1679" i="1"/>
  <c r="CM1679" i="1" s="1"/>
  <c r="CP1679" i="1" s="1"/>
  <c r="U1680" i="1"/>
  <c r="CM1680" i="1" s="1"/>
  <c r="CP1680" i="1" s="1"/>
  <c r="U1681" i="1"/>
  <c r="CM1681" i="1" s="1"/>
  <c r="CP1681" i="1" s="1"/>
  <c r="U1682" i="1"/>
  <c r="CM1682" i="1" s="1"/>
  <c r="CP1682" i="1" s="1"/>
  <c r="U1683" i="1"/>
  <c r="CM1683" i="1" s="1"/>
  <c r="CP1683" i="1" s="1"/>
  <c r="U1684" i="1"/>
  <c r="CM1684" i="1" s="1"/>
  <c r="CP1684" i="1" s="1"/>
  <c r="E1585" i="1"/>
  <c r="E1577" i="1"/>
  <c r="E1569" i="1"/>
  <c r="D12" i="75" l="1"/>
  <c r="L1674" i="1"/>
  <c r="K1675" i="1"/>
  <c r="L1650" i="1"/>
  <c r="K1651" i="1"/>
  <c r="L1634" i="1"/>
  <c r="K1635" i="1"/>
  <c r="L1618" i="1"/>
  <c r="K1619" i="1"/>
  <c r="L1602" i="1"/>
  <c r="K1603" i="1"/>
  <c r="L1673" i="1"/>
  <c r="K1674" i="1"/>
  <c r="L1657" i="1"/>
  <c r="K1650" i="1"/>
  <c r="L1633" i="1"/>
  <c r="K1634" i="1"/>
  <c r="L1617" i="1"/>
  <c r="K1618" i="1"/>
  <c r="L1601" i="1"/>
  <c r="K1602" i="1"/>
  <c r="L1672" i="1"/>
  <c r="K1673" i="1"/>
  <c r="L1656" i="1"/>
  <c r="K1657" i="1"/>
  <c r="L1632" i="1"/>
  <c r="K1633" i="1"/>
  <c r="L1616" i="1"/>
  <c r="K1617" i="1"/>
  <c r="L1600" i="1"/>
  <c r="K1601" i="1"/>
  <c r="L1670" i="1"/>
  <c r="K1671" i="1"/>
  <c r="L1654" i="1"/>
  <c r="L1614" i="1"/>
  <c r="K1615" i="1"/>
  <c r="L1598" i="1"/>
  <c r="K1599" i="1"/>
  <c r="L1671" i="1"/>
  <c r="K1672" i="1"/>
  <c r="L1655" i="1"/>
  <c r="K1656" i="1"/>
  <c r="L1639" i="1"/>
  <c r="K1632" i="1"/>
  <c r="L1615" i="1"/>
  <c r="K1616" i="1"/>
  <c r="L1599" i="1"/>
  <c r="K1600" i="1"/>
  <c r="K1655" i="1"/>
  <c r="L1638" i="1"/>
  <c r="K1639" i="1"/>
  <c r="L1669" i="1"/>
  <c r="K1670" i="1"/>
  <c r="L1653" i="1"/>
  <c r="K1654" i="1"/>
  <c r="L1637" i="1"/>
  <c r="K1638" i="1"/>
  <c r="L1621" i="1"/>
  <c r="K1614" i="1"/>
  <c r="L1597" i="1"/>
  <c r="K1598" i="1"/>
  <c r="L1635" i="1"/>
  <c r="K1636" i="1"/>
  <c r="L1619" i="1"/>
  <c r="K1620" i="1"/>
  <c r="K1596" i="1"/>
  <c r="L1668" i="1"/>
  <c r="K1669" i="1"/>
  <c r="L1652" i="1"/>
  <c r="K1653" i="1"/>
  <c r="L1636" i="1"/>
  <c r="K1637" i="1"/>
  <c r="L1620" i="1"/>
  <c r="K1621" i="1"/>
  <c r="L1596" i="1"/>
  <c r="K1597" i="1"/>
  <c r="L1675" i="1"/>
  <c r="K1668" i="1"/>
  <c r="L1651" i="1"/>
  <c r="K1652" i="1"/>
  <c r="L1603" i="1"/>
  <c r="L1666" i="1"/>
  <c r="K1667" i="1"/>
  <c r="K1676" i="1" s="1"/>
  <c r="K1659" i="1"/>
  <c r="L1642" i="1"/>
  <c r="K1643" i="1"/>
  <c r="L1626" i="1"/>
  <c r="K1627" i="1"/>
  <c r="L1610" i="1"/>
  <c r="K1611" i="1"/>
  <c r="L1594" i="1"/>
  <c r="K1595" i="1"/>
  <c r="K1587" i="1"/>
  <c r="L1665" i="1"/>
  <c r="K1666" i="1"/>
  <c r="L1649" i="1"/>
  <c r="L1641" i="1"/>
  <c r="K1642" i="1"/>
  <c r="L1625" i="1"/>
  <c r="K1626" i="1"/>
  <c r="L1609" i="1"/>
  <c r="K1610" i="1"/>
  <c r="L1593" i="1"/>
  <c r="K1594" i="1"/>
  <c r="L1664" i="1"/>
  <c r="K1665" i="1"/>
  <c r="L1648" i="1"/>
  <c r="K1649" i="1"/>
  <c r="K1658" i="1" s="1"/>
  <c r="K1641" i="1"/>
  <c r="L1624" i="1"/>
  <c r="K1625" i="1"/>
  <c r="L1608" i="1"/>
  <c r="K1609" i="1"/>
  <c r="L1592" i="1"/>
  <c r="K1593" i="1"/>
  <c r="K1647" i="1"/>
  <c r="L1630" i="1"/>
  <c r="K1631" i="1"/>
  <c r="K1640" i="1" s="1"/>
  <c r="L1663" i="1"/>
  <c r="K1664" i="1"/>
  <c r="L1647" i="1"/>
  <c r="K1648" i="1"/>
  <c r="L1631" i="1"/>
  <c r="L1640" i="1" s="1"/>
  <c r="L1623" i="1"/>
  <c r="K1624" i="1"/>
  <c r="L1607" i="1"/>
  <c r="K1608" i="1"/>
  <c r="L1591" i="1"/>
  <c r="K1592" i="1"/>
  <c r="L1662" i="1"/>
  <c r="K1663" i="1"/>
  <c r="L1646" i="1"/>
  <c r="K1623" i="1"/>
  <c r="L1606" i="1"/>
  <c r="K1607" i="1"/>
  <c r="L1590" i="1"/>
  <c r="K1591" i="1"/>
  <c r="L1661" i="1"/>
  <c r="K1662" i="1"/>
  <c r="L1645" i="1"/>
  <c r="K1646" i="1"/>
  <c r="L1629" i="1"/>
  <c r="K1630" i="1"/>
  <c r="L1613" i="1"/>
  <c r="L1622" i="1" s="1"/>
  <c r="L1605" i="1"/>
  <c r="K1606" i="1"/>
  <c r="L1589" i="1"/>
  <c r="K1590" i="1"/>
  <c r="L1667" i="1"/>
  <c r="L1676" i="1" s="1"/>
  <c r="L1659" i="1"/>
  <c r="K1660" i="1"/>
  <c r="L1643" i="1"/>
  <c r="K1612" i="1"/>
  <c r="L1595" i="1"/>
  <c r="L1604" i="1" s="1"/>
  <c r="L1660" i="1"/>
  <c r="K1661" i="1"/>
  <c r="L1644" i="1"/>
  <c r="K1645" i="1"/>
  <c r="L1628" i="1"/>
  <c r="K1629" i="1"/>
  <c r="L1612" i="1"/>
  <c r="K1613" i="1"/>
  <c r="K1622" i="1" s="1"/>
  <c r="K1605" i="1"/>
  <c r="L1588" i="1"/>
  <c r="K1589" i="1"/>
  <c r="K1644" i="1"/>
  <c r="L1627" i="1"/>
  <c r="K1628" i="1"/>
  <c r="L1611" i="1"/>
  <c r="L1587" i="1"/>
  <c r="K1588" i="1"/>
  <c r="S31" i="102"/>
  <c r="AC15" i="102"/>
  <c r="AD17" i="102"/>
  <c r="AD19" i="102"/>
  <c r="K1681" i="1"/>
  <c r="L30" i="102"/>
  <c r="AD14" i="102"/>
  <c r="V30" i="102"/>
  <c r="K1572" i="1"/>
  <c r="L1687" i="1"/>
  <c r="L1576" i="1"/>
  <c r="L1684" i="1"/>
  <c r="V20" i="102"/>
  <c r="L1680" i="1"/>
  <c r="AC24" i="102"/>
  <c r="AC26" i="102"/>
  <c r="L1678" i="1"/>
  <c r="K1677" i="1"/>
  <c r="L1572" i="1"/>
  <c r="AB30" i="102"/>
  <c r="K1573" i="1"/>
  <c r="K1583" i="1"/>
  <c r="K1682" i="1"/>
  <c r="K1690" i="1"/>
  <c r="L1571" i="1"/>
  <c r="L1579" i="1"/>
  <c r="L1685" i="1"/>
  <c r="L1686" i="1"/>
  <c r="L1693" i="1"/>
  <c r="K1582" i="1"/>
  <c r="K1689" i="1"/>
  <c r="L1580" i="1"/>
  <c r="U23" i="102"/>
  <c r="AC25" i="102"/>
  <c r="AD27" i="102"/>
  <c r="AD29" i="102"/>
  <c r="K1570" i="1"/>
  <c r="K1581" i="1"/>
  <c r="K1680" i="1"/>
  <c r="K1688" i="1"/>
  <c r="L1573" i="1"/>
  <c r="L1581" i="1"/>
  <c r="L1683" i="1"/>
  <c r="L1692" i="1"/>
  <c r="K1571" i="1"/>
  <c r="K1580" i="1"/>
  <c r="K1679" i="1"/>
  <c r="K1687" i="1"/>
  <c r="L1574" i="1"/>
  <c r="L1582" i="1"/>
  <c r="L1682" i="1"/>
  <c r="L1691" i="1"/>
  <c r="K1579" i="1"/>
  <c r="K1678" i="1"/>
  <c r="L1575" i="1"/>
  <c r="L1583" i="1"/>
  <c r="L1681" i="1"/>
  <c r="L1690" i="1"/>
  <c r="K1686" i="1"/>
  <c r="L1584" i="1"/>
  <c r="L1689" i="1"/>
  <c r="K1569" i="1"/>
  <c r="K1578" i="1"/>
  <c r="K1684" i="1"/>
  <c r="K1692" i="1"/>
  <c r="L1569" i="1"/>
  <c r="L1577" i="1"/>
  <c r="L1585" i="1"/>
  <c r="L1679" i="1"/>
  <c r="L1688" i="1"/>
  <c r="K1576" i="1"/>
  <c r="K1584" i="1"/>
  <c r="K1683" i="1"/>
  <c r="K1691" i="1"/>
  <c r="L1570" i="1"/>
  <c r="L1578" i="1"/>
  <c r="L1677" i="1"/>
  <c r="I31" i="102"/>
  <c r="AB31" i="102" s="1"/>
  <c r="K1585" i="1"/>
  <c r="K1693" i="1"/>
  <c r="AC14" i="102"/>
  <c r="K1577" i="1"/>
  <c r="K1685" i="1"/>
  <c r="U16" i="102"/>
  <c r="T1702" i="1"/>
  <c r="T1696" i="1"/>
  <c r="C35" i="39" s="1"/>
  <c r="T1684" i="1"/>
  <c r="I20" i="39" s="1"/>
  <c r="AD13" i="102"/>
  <c r="K1575" i="1"/>
  <c r="K1574" i="1"/>
  <c r="AD24" i="102"/>
  <c r="AC23" i="102"/>
  <c r="AD26" i="102"/>
  <c r="U24" i="102"/>
  <c r="U15" i="102"/>
  <c r="U13" i="102"/>
  <c r="AC17" i="102"/>
  <c r="U25" i="102"/>
  <c r="U14" i="102"/>
  <c r="AC16" i="102"/>
  <c r="AD15" i="102"/>
  <c r="AB20" i="102"/>
  <c r="AD16" i="102"/>
  <c r="AC27" i="102"/>
  <c r="U29" i="102"/>
  <c r="AD12" i="102"/>
  <c r="AD18" i="102"/>
  <c r="AD28" i="102"/>
  <c r="U12" i="102"/>
  <c r="AD25" i="102"/>
  <c r="J30" i="102"/>
  <c r="AC13" i="102"/>
  <c r="U18" i="102"/>
  <c r="L20" i="102"/>
  <c r="AD23" i="102"/>
  <c r="U27" i="102"/>
  <c r="C31" i="102"/>
  <c r="V31" i="102" s="1"/>
  <c r="AC12" i="102"/>
  <c r="U17" i="102"/>
  <c r="U26" i="102"/>
  <c r="AC29" i="102"/>
  <c r="AC19" i="102"/>
  <c r="AC28" i="102"/>
  <c r="U19" i="102"/>
  <c r="J20" i="102"/>
  <c r="U28" i="102"/>
  <c r="AC18" i="102"/>
  <c r="BK1683" i="1"/>
  <c r="BD1683" i="1" s="1"/>
  <c r="S1683" i="1" s="1"/>
  <c r="W1682" i="1"/>
  <c r="T1682" i="1" s="1"/>
  <c r="I18" i="39" s="1"/>
  <c r="W1681" i="1"/>
  <c r="T1681" i="1" s="1"/>
  <c r="I17" i="39" s="1"/>
  <c r="BK1680" i="1"/>
  <c r="BD1680" i="1" s="1"/>
  <c r="S1680" i="1" s="1"/>
  <c r="BK1682" i="1"/>
  <c r="BD1682" i="1" s="1"/>
  <c r="S1682" i="1" s="1"/>
  <c r="BK1681" i="1"/>
  <c r="BD1681" i="1" s="1"/>
  <c r="S1681" i="1" s="1"/>
  <c r="BK1684" i="1"/>
  <c r="BD1684" i="1" s="1"/>
  <c r="S1684" i="1" s="1"/>
  <c r="W1683" i="1"/>
  <c r="T1683" i="1" s="1"/>
  <c r="I19" i="39" s="1"/>
  <c r="W1680" i="1"/>
  <c r="T1680" i="1" s="1"/>
  <c r="W1679" i="1"/>
  <c r="T1679" i="1" s="1"/>
  <c r="U439" i="1"/>
  <c r="CP439" i="1" s="1"/>
  <c r="BK439" i="1"/>
  <c r="BD439" i="1" s="1"/>
  <c r="S439" i="1" s="1"/>
  <c r="C19" i="79"/>
  <c r="K1604" i="1" l="1"/>
  <c r="K1694" i="1"/>
  <c r="L1658" i="1"/>
  <c r="L1694" i="1"/>
  <c r="L1586" i="1"/>
  <c r="K1586" i="1"/>
  <c r="K1695" i="1" s="1"/>
  <c r="L31" i="102"/>
  <c r="I35" i="39"/>
  <c r="N1684" i="1"/>
  <c r="R20" i="39" s="1"/>
  <c r="N1679" i="1"/>
  <c r="R15" i="39" s="1"/>
  <c r="I15" i="39"/>
  <c r="N1680" i="1"/>
  <c r="R16" i="39" s="1"/>
  <c r="I16" i="39"/>
  <c r="N1683" i="1"/>
  <c r="R19" i="39" s="1"/>
  <c r="N1681" i="1"/>
  <c r="R17" i="39" s="1"/>
  <c r="U30" i="102"/>
  <c r="AD30" i="102"/>
  <c r="AC30" i="102"/>
  <c r="AD20" i="102"/>
  <c r="U20" i="102"/>
  <c r="J31" i="102"/>
  <c r="AC20" i="102"/>
  <c r="N1682" i="1"/>
  <c r="R18" i="39" s="1"/>
  <c r="B15" i="141"/>
  <c r="B2" i="141"/>
  <c r="B1" i="141"/>
  <c r="L1695" i="1" l="1"/>
  <c r="C12" i="75"/>
  <c r="C64" i="71"/>
  <c r="J35" i="39"/>
  <c r="J32" i="102"/>
  <c r="AD31" i="102"/>
  <c r="AC31" i="102"/>
  <c r="U31" i="102"/>
  <c r="E64" i="71" l="1"/>
  <c r="D63" i="71"/>
  <c r="I54" i="34"/>
  <c r="I44" i="34"/>
  <c r="D1229" i="1"/>
  <c r="D1223" i="1"/>
  <c r="D1217" i="1"/>
  <c r="C44" i="34"/>
  <c r="C1217" i="1"/>
  <c r="C1218" i="1" s="1"/>
  <c r="C1219" i="1" s="1"/>
  <c r="C1220" i="1" s="1"/>
  <c r="C1221" i="1" s="1"/>
  <c r="C1222" i="1" s="1"/>
  <c r="C1223" i="1" s="1"/>
  <c r="C1224" i="1" s="1"/>
  <c r="C1225" i="1" s="1"/>
  <c r="C1226" i="1" s="1"/>
  <c r="C1227" i="1" s="1"/>
  <c r="C1228" i="1" s="1"/>
  <c r="C1229" i="1" s="1"/>
  <c r="C1230" i="1" s="1"/>
  <c r="C1231" i="1" s="1"/>
  <c r="C1232" i="1" s="1"/>
  <c r="C1233" i="1" s="1"/>
  <c r="C1234" i="1" s="1"/>
  <c r="K1234" i="1"/>
  <c r="K1233" i="1"/>
  <c r="K1232" i="1"/>
  <c r="K1230" i="1"/>
  <c r="K1229" i="1"/>
  <c r="K1228" i="1"/>
  <c r="K1227" i="1"/>
  <c r="K1226" i="1"/>
  <c r="K1224" i="1"/>
  <c r="K1223" i="1"/>
  <c r="W1230" i="1"/>
  <c r="W1227" i="1"/>
  <c r="W1225" i="1"/>
  <c r="W1224" i="1"/>
  <c r="G33" i="89"/>
  <c r="F33" i="89"/>
  <c r="E33" i="89"/>
  <c r="H31" i="89"/>
  <c r="H30" i="89"/>
  <c r="D33" i="89"/>
  <c r="C33" i="89"/>
  <c r="H29" i="89"/>
  <c r="BK1224" i="1"/>
  <c r="BK1225" i="1"/>
  <c r="BK1226" i="1"/>
  <c r="BK1227" i="1"/>
  <c r="BK1228" i="1"/>
  <c r="BK1229" i="1"/>
  <c r="BK1230" i="1"/>
  <c r="S1224" i="1"/>
  <c r="U1224" i="1"/>
  <c r="CP1224" i="1" s="1"/>
  <c r="S1225" i="1"/>
  <c r="U1225" i="1"/>
  <c r="CP1225" i="1" s="1"/>
  <c r="S1226" i="1"/>
  <c r="U1226" i="1"/>
  <c r="CP1226" i="1" s="1"/>
  <c r="S1227" i="1"/>
  <c r="U1227" i="1"/>
  <c r="CP1227" i="1" s="1"/>
  <c r="S1228" i="1"/>
  <c r="U1228" i="1"/>
  <c r="CP1228" i="1" s="1"/>
  <c r="S1229" i="1"/>
  <c r="U1229" i="1"/>
  <c r="CP1229" i="1" s="1"/>
  <c r="S1230" i="1"/>
  <c r="U1230" i="1"/>
  <c r="CP1230" i="1" s="1"/>
  <c r="S1223" i="1"/>
  <c r="U1223" i="1"/>
  <c r="CP1223" i="1" s="1"/>
  <c r="BK1223" i="1"/>
  <c r="S1217" i="1"/>
  <c r="U1217" i="1"/>
  <c r="CP1217" i="1" s="1"/>
  <c r="BK1217" i="1"/>
  <c r="H33" i="89" l="1"/>
  <c r="T1230" i="1"/>
  <c r="T1227" i="1"/>
  <c r="T1224" i="1"/>
  <c r="W1223" i="1"/>
  <c r="W1229" i="1"/>
  <c r="B33" i="89"/>
  <c r="T1225" i="1"/>
  <c r="D37" i="74"/>
  <c r="C37" i="74"/>
  <c r="U397" i="1"/>
  <c r="CP397" i="1" s="1"/>
  <c r="G18" i="79"/>
  <c r="AC18" i="79" s="1"/>
  <c r="U367" i="1"/>
  <c r="CP367" i="1" s="1"/>
  <c r="T1229" i="1" l="1"/>
  <c r="N1229" i="1" s="1"/>
  <c r="C59" i="34" s="1"/>
  <c r="T1223" i="1"/>
  <c r="C48" i="34" s="1"/>
  <c r="AD18" i="79"/>
  <c r="N1225" i="1"/>
  <c r="E58" i="34" s="1"/>
  <c r="E48" i="34"/>
  <c r="N1224" i="1"/>
  <c r="D58" i="34" s="1"/>
  <c r="D48" i="34"/>
  <c r="N1227" i="1"/>
  <c r="G58" i="34" s="1"/>
  <c r="G48" i="34"/>
  <c r="N1230" i="1"/>
  <c r="D59" i="34" s="1"/>
  <c r="D49" i="34"/>
  <c r="N1223" i="1" l="1"/>
  <c r="C58" i="34" s="1"/>
  <c r="C49" i="34"/>
  <c r="AA16" i="37"/>
  <c r="AC16" i="37" s="1"/>
  <c r="AA15" i="37"/>
  <c r="AC15" i="37" s="1"/>
  <c r="AA14" i="37"/>
  <c r="AC14" i="37" s="1"/>
  <c r="AA13" i="37"/>
  <c r="AC13" i="37" s="1"/>
  <c r="AA12" i="37"/>
  <c r="AC12" i="37" s="1"/>
  <c r="AC17" i="37" l="1"/>
  <c r="K118" i="137"/>
  <c r="K119" i="137"/>
  <c r="K101" i="137"/>
  <c r="K102" i="137"/>
  <c r="K103" i="137"/>
  <c r="F104" i="137"/>
  <c r="K93" i="137"/>
  <c r="K94" i="137"/>
  <c r="K95" i="137"/>
  <c r="D96" i="137"/>
  <c r="E96" i="137"/>
  <c r="F96" i="137"/>
  <c r="G96" i="137"/>
  <c r="H96" i="137"/>
  <c r="I96" i="137"/>
  <c r="J96" i="137"/>
  <c r="C96" i="137"/>
  <c r="D104" i="31"/>
  <c r="D105" i="31" s="1"/>
  <c r="E104" i="31"/>
  <c r="F104" i="31"/>
  <c r="G104" i="31"/>
  <c r="H104" i="31"/>
  <c r="I104" i="31"/>
  <c r="J104" i="31"/>
  <c r="K101" i="31"/>
  <c r="K102" i="31"/>
  <c r="K103" i="31"/>
  <c r="K100" i="31"/>
  <c r="C104" i="31"/>
  <c r="K93" i="31"/>
  <c r="K94" i="31"/>
  <c r="K95" i="31"/>
  <c r="D96" i="31"/>
  <c r="E96" i="31"/>
  <c r="F96" i="31"/>
  <c r="G96" i="31"/>
  <c r="H96" i="31"/>
  <c r="I96" i="31"/>
  <c r="J96" i="31"/>
  <c r="C96" i="31"/>
  <c r="U699" i="1"/>
  <c r="CP699" i="1" s="1"/>
  <c r="U547" i="1"/>
  <c r="CP547" i="1" s="1"/>
  <c r="C103" i="29"/>
  <c r="I103" i="29"/>
  <c r="H103" i="29"/>
  <c r="G103" i="29"/>
  <c r="F103" i="29"/>
  <c r="E103" i="29"/>
  <c r="D103" i="29"/>
  <c r="B103" i="29"/>
  <c r="K77" i="29"/>
  <c r="K107" i="29" s="1"/>
  <c r="K78" i="29"/>
  <c r="K83" i="29"/>
  <c r="K68" i="29"/>
  <c r="O134" i="22"/>
  <c r="M134" i="22"/>
  <c r="O131" i="22"/>
  <c r="M131" i="22"/>
  <c r="O124" i="22"/>
  <c r="O123" i="22"/>
  <c r="O122" i="22"/>
  <c r="O121" i="22"/>
  <c r="O120" i="22"/>
  <c r="M123" i="22"/>
  <c r="M124" i="22"/>
  <c r="M121" i="22"/>
  <c r="M122" i="22"/>
  <c r="M120" i="22"/>
  <c r="O99" i="22"/>
  <c r="M99" i="22"/>
  <c r="O98" i="22"/>
  <c r="M98" i="22"/>
  <c r="O97" i="22"/>
  <c r="M97" i="22"/>
  <c r="O96" i="22"/>
  <c r="M96" i="22"/>
  <c r="O95" i="22"/>
  <c r="M95" i="22"/>
  <c r="O94" i="22"/>
  <c r="M94" i="22"/>
  <c r="O93" i="22"/>
  <c r="M93" i="22"/>
  <c r="O92" i="22"/>
  <c r="M92" i="22"/>
  <c r="O90" i="22"/>
  <c r="M90" i="22"/>
  <c r="O89" i="22"/>
  <c r="M89" i="22"/>
  <c r="O88" i="22"/>
  <c r="M88" i="22"/>
  <c r="O86" i="22"/>
  <c r="M86" i="22"/>
  <c r="O85" i="22"/>
  <c r="M85" i="22"/>
  <c r="O84" i="22"/>
  <c r="M84" i="22"/>
  <c r="M47" i="20"/>
  <c r="K47" i="20"/>
  <c r="K96" i="29" l="1"/>
  <c r="O125" i="22"/>
  <c r="K104" i="31"/>
  <c r="BI179" i="1"/>
  <c r="BI153" i="1"/>
  <c r="BI163" i="1" s="1"/>
  <c r="BI14" i="1" l="1"/>
  <c r="BI188" i="1"/>
  <c r="W26" i="61"/>
  <c r="F16" i="133" l="1"/>
  <c r="M8" i="129" l="1"/>
  <c r="D8" i="129"/>
  <c r="C12" i="24"/>
  <c r="K2079" i="1" l="1"/>
  <c r="K2080" i="1"/>
  <c r="K2081" i="1"/>
  <c r="K2082" i="1"/>
  <c r="K2078" i="1"/>
  <c r="U1807" i="1" l="1"/>
  <c r="CM1807" i="1" s="1"/>
  <c r="CP1807" i="1" s="1"/>
  <c r="CP1798" i="1"/>
  <c r="U1797" i="1"/>
  <c r="CM1797" i="1" s="1"/>
  <c r="CP1797" i="1" s="1"/>
  <c r="U1795" i="1"/>
  <c r="CM1795" i="1" s="1"/>
  <c r="CP1795" i="1" s="1"/>
  <c r="U1794" i="1"/>
  <c r="CM1794" i="1" s="1"/>
  <c r="CP1794" i="1" s="1"/>
  <c r="U1793" i="1"/>
  <c r="CM1793" i="1" s="1"/>
  <c r="CP1793" i="1" s="1"/>
  <c r="U1774" i="1"/>
  <c r="CM1774" i="1" s="1"/>
  <c r="CP1774" i="1" s="1"/>
  <c r="U1773" i="1"/>
  <c r="CM1773" i="1" s="1"/>
  <c r="CP1773" i="1" s="1"/>
  <c r="U1771" i="1"/>
  <c r="CM1771" i="1" s="1"/>
  <c r="CP1771" i="1" s="1"/>
  <c r="U1770" i="1"/>
  <c r="CM1770" i="1" s="1"/>
  <c r="CP1770" i="1" s="1"/>
  <c r="U1769" i="1"/>
  <c r="CM1769" i="1" s="1"/>
  <c r="CP1769" i="1" s="1"/>
  <c r="U1768" i="1"/>
  <c r="CM1768" i="1" s="1"/>
  <c r="CP1768" i="1" s="1"/>
  <c r="U1767" i="1"/>
  <c r="CM1767" i="1" s="1"/>
  <c r="CP1767" i="1" s="1"/>
  <c r="U1764" i="1"/>
  <c r="CM1764" i="1" s="1"/>
  <c r="CP1764" i="1" s="1"/>
  <c r="U1763" i="1"/>
  <c r="CM1763" i="1" s="1"/>
  <c r="CP1763" i="1" s="1"/>
  <c r="U1762" i="1"/>
  <c r="CM1762" i="1" s="1"/>
  <c r="CP1762" i="1" s="1"/>
  <c r="U1761" i="1"/>
  <c r="CM1761" i="1" s="1"/>
  <c r="CP1761" i="1" s="1"/>
  <c r="U1759" i="1"/>
  <c r="CM1759" i="1" s="1"/>
  <c r="CP1759" i="1" s="1"/>
  <c r="U1758" i="1"/>
  <c r="CM1758" i="1" s="1"/>
  <c r="CP1758" i="1" s="1"/>
  <c r="U1757" i="1"/>
  <c r="CM1757" i="1" s="1"/>
  <c r="CP1757" i="1" s="1"/>
  <c r="U1756" i="1"/>
  <c r="CM1756" i="1" s="1"/>
  <c r="CP1756" i="1" s="1"/>
  <c r="U1750" i="1"/>
  <c r="CM1750" i="1" s="1"/>
  <c r="CP1750" i="1" s="1"/>
  <c r="W1768" i="1"/>
  <c r="W1769" i="1"/>
  <c r="W1770" i="1"/>
  <c r="W1771" i="1"/>
  <c r="W1773" i="1"/>
  <c r="W1774" i="1"/>
  <c r="W1793" i="1"/>
  <c r="W1794" i="1"/>
  <c r="W1795" i="1"/>
  <c r="W1797" i="1"/>
  <c r="W1807" i="1"/>
  <c r="BK1768" i="1"/>
  <c r="BD1768" i="1" s="1"/>
  <c r="S1768" i="1" s="1"/>
  <c r="BK1769" i="1"/>
  <c r="BD1769" i="1" s="1"/>
  <c r="S1769" i="1" s="1"/>
  <c r="BK1770" i="1"/>
  <c r="BD1770" i="1" s="1"/>
  <c r="S1770" i="1" s="1"/>
  <c r="BK1771" i="1"/>
  <c r="BD1771" i="1" s="1"/>
  <c r="S1771" i="1" s="1"/>
  <c r="BK1773" i="1"/>
  <c r="BD1773" i="1" s="1"/>
  <c r="S1773" i="1" s="1"/>
  <c r="BK1774" i="1"/>
  <c r="BD1774" i="1" s="1"/>
  <c r="S1774" i="1" s="1"/>
  <c r="S1782" i="1" s="1"/>
  <c r="BK1793" i="1"/>
  <c r="BD1793" i="1" s="1"/>
  <c r="S1793" i="1" s="1"/>
  <c r="BK1794" i="1"/>
  <c r="BD1794" i="1" s="1"/>
  <c r="S1794" i="1" s="1"/>
  <c r="BK1795" i="1"/>
  <c r="BD1795" i="1" s="1"/>
  <c r="S1795" i="1" s="1"/>
  <c r="BK1797" i="1"/>
  <c r="BD1797" i="1" s="1"/>
  <c r="S1797" i="1" s="1"/>
  <c r="BK1807" i="1"/>
  <c r="BD1807" i="1" s="1"/>
  <c r="S1807" i="1" s="1"/>
  <c r="BK1767" i="1"/>
  <c r="BD1767" i="1" s="1"/>
  <c r="S1767" i="1" s="1"/>
  <c r="W1767" i="1"/>
  <c r="C1767" i="1"/>
  <c r="C1768" i="1" s="1"/>
  <c r="C1769" i="1" s="1"/>
  <c r="C1770" i="1" s="1"/>
  <c r="C1771" i="1" s="1"/>
  <c r="T1807" i="1" l="1"/>
  <c r="N1807" i="1" s="1"/>
  <c r="C1773" i="1"/>
  <c r="C1774" i="1" s="1"/>
  <c r="C1772" i="1"/>
  <c r="T1773" i="1"/>
  <c r="N1773" i="1" s="1"/>
  <c r="T1767" i="1"/>
  <c r="N1767" i="1" s="1"/>
  <c r="T1774" i="1"/>
  <c r="T1768" i="1"/>
  <c r="N1768" i="1" s="1"/>
  <c r="T1794" i="1"/>
  <c r="T1770" i="1"/>
  <c r="N1770" i="1" s="1"/>
  <c r="T1771" i="1"/>
  <c r="N1771" i="1" s="1"/>
  <c r="T1793" i="1"/>
  <c r="T1769" i="1"/>
  <c r="N1769" i="1" s="1"/>
  <c r="T1795" i="1"/>
  <c r="T1797" i="1"/>
  <c r="U1765" i="1"/>
  <c r="N1793" i="1" l="1"/>
  <c r="N1795" i="1"/>
  <c r="D12" i="132" s="1"/>
  <c r="N1794" i="1"/>
  <c r="N1774" i="1"/>
  <c r="N1782" i="1" s="1"/>
  <c r="T1782" i="1"/>
  <c r="C1775" i="1"/>
  <c r="K1720" i="1"/>
  <c r="K1718" i="1"/>
  <c r="K1717" i="1"/>
  <c r="K1716" i="1"/>
  <c r="K1715" i="1"/>
  <c r="K1713" i="1"/>
  <c r="K1712" i="1"/>
  <c r="K1709" i="1"/>
  <c r="K1710" i="1"/>
  <c r="K1711" i="1"/>
  <c r="K1708" i="1"/>
  <c r="K1705" i="1"/>
  <c r="K1706" i="1"/>
  <c r="K1707" i="1"/>
  <c r="K1704" i="1"/>
  <c r="D54" i="102"/>
  <c r="D56" i="102" s="1"/>
  <c r="D46" i="102"/>
  <c r="D48" i="102" s="1"/>
  <c r="H86" i="102"/>
  <c r="AE86" i="102" s="1"/>
  <c r="H78" i="102"/>
  <c r="AD78" i="102" s="1"/>
  <c r="H76" i="102"/>
  <c r="AD76" i="102" s="1"/>
  <c r="H74" i="102"/>
  <c r="AE74" i="102" s="1"/>
  <c r="H72" i="102"/>
  <c r="AE72" i="102" s="1"/>
  <c r="H62" i="102"/>
  <c r="AE62" i="102" s="1"/>
  <c r="H60" i="102"/>
  <c r="AE60" i="102" s="1"/>
  <c r="H55" i="102"/>
  <c r="AD55" i="102" s="1"/>
  <c r="AC54" i="102"/>
  <c r="AC56" i="102" s="1"/>
  <c r="AB54" i="102"/>
  <c r="AB56" i="102" s="1"/>
  <c r="AA54" i="102"/>
  <c r="AA56" i="102" s="1"/>
  <c r="Z54" i="102"/>
  <c r="Z56" i="102" s="1"/>
  <c r="Y54" i="102"/>
  <c r="Y56" i="102" s="1"/>
  <c r="X54" i="102"/>
  <c r="X56" i="102" s="1"/>
  <c r="W54" i="102"/>
  <c r="W56" i="102" s="1"/>
  <c r="V54" i="102"/>
  <c r="V56" i="102" s="1"/>
  <c r="U54" i="102"/>
  <c r="U56" i="102" s="1"/>
  <c r="T54" i="102"/>
  <c r="T56" i="102" s="1"/>
  <c r="S54" i="102"/>
  <c r="S56" i="102" s="1"/>
  <c r="R54" i="102"/>
  <c r="R56" i="102" s="1"/>
  <c r="Q54" i="102"/>
  <c r="Q56" i="102" s="1"/>
  <c r="P54" i="102"/>
  <c r="P56" i="102" s="1"/>
  <c r="O54" i="102"/>
  <c r="O56" i="102" s="1"/>
  <c r="N54" i="102"/>
  <c r="N56" i="102" s="1"/>
  <c r="M54" i="102"/>
  <c r="M56" i="102" s="1"/>
  <c r="L54" i="102"/>
  <c r="L56" i="102" s="1"/>
  <c r="K54" i="102"/>
  <c r="K56" i="102" s="1"/>
  <c r="J54" i="102"/>
  <c r="J56" i="102" s="1"/>
  <c r="I54" i="102"/>
  <c r="I56" i="102" s="1"/>
  <c r="F54" i="102"/>
  <c r="F56" i="102" s="1"/>
  <c r="H53" i="102"/>
  <c r="AD53" i="102" s="1"/>
  <c r="H52" i="102"/>
  <c r="AD52" i="102" s="1"/>
  <c r="H51" i="102"/>
  <c r="L1708" i="1" s="1"/>
  <c r="H47" i="102"/>
  <c r="AE47" i="102" s="1"/>
  <c r="AC46" i="102"/>
  <c r="AC48" i="102" s="1"/>
  <c r="AB46" i="102"/>
  <c r="AB48" i="102" s="1"/>
  <c r="AA46" i="102"/>
  <c r="AA48" i="102" s="1"/>
  <c r="Z46" i="102"/>
  <c r="Z48" i="102" s="1"/>
  <c r="Y46" i="102"/>
  <c r="Y48" i="102" s="1"/>
  <c r="X46" i="102"/>
  <c r="X48" i="102" s="1"/>
  <c r="W46" i="102"/>
  <c r="W48" i="102" s="1"/>
  <c r="V46" i="102"/>
  <c r="V48" i="102" s="1"/>
  <c r="U46" i="102"/>
  <c r="U48" i="102" s="1"/>
  <c r="T46" i="102"/>
  <c r="T48" i="102" s="1"/>
  <c r="S46" i="102"/>
  <c r="S48" i="102" s="1"/>
  <c r="R46" i="102"/>
  <c r="R48" i="102" s="1"/>
  <c r="Q46" i="102"/>
  <c r="Q48" i="102" s="1"/>
  <c r="P46" i="102"/>
  <c r="P48" i="102" s="1"/>
  <c r="O46" i="102"/>
  <c r="O48" i="102" s="1"/>
  <c r="N46" i="102"/>
  <c r="N48" i="102" s="1"/>
  <c r="M46" i="102"/>
  <c r="M48" i="102" s="1"/>
  <c r="L46" i="102"/>
  <c r="K46" i="102"/>
  <c r="K48" i="102" s="1"/>
  <c r="J46" i="102"/>
  <c r="J48" i="102" s="1"/>
  <c r="I46" i="102"/>
  <c r="I48" i="102" s="1"/>
  <c r="F46" i="102"/>
  <c r="F48" i="102" s="1"/>
  <c r="H45" i="102"/>
  <c r="AD45" i="102" s="1"/>
  <c r="H44" i="102"/>
  <c r="AD44" i="102" s="1"/>
  <c r="H43" i="102"/>
  <c r="AD43" i="102" s="1"/>
  <c r="G89" i="39"/>
  <c r="F89" i="39"/>
  <c r="D89" i="39"/>
  <c r="C89" i="39"/>
  <c r="G88" i="39"/>
  <c r="F88" i="39"/>
  <c r="D88" i="39"/>
  <c r="C88" i="39"/>
  <c r="G73" i="39"/>
  <c r="F73" i="39"/>
  <c r="D73" i="39"/>
  <c r="C73" i="39"/>
  <c r="G72" i="39"/>
  <c r="F72" i="39"/>
  <c r="D72" i="39"/>
  <c r="C72" i="39"/>
  <c r="U1712" i="1"/>
  <c r="CM1712" i="1" s="1"/>
  <c r="CP1712" i="1" s="1"/>
  <c r="U1716" i="1"/>
  <c r="CM1716" i="1" s="1"/>
  <c r="CP1716" i="1" s="1"/>
  <c r="U1713" i="1"/>
  <c r="CM1713" i="1" s="1"/>
  <c r="CP1713" i="1" s="1"/>
  <c r="C7" i="32"/>
  <c r="C6" i="32"/>
  <c r="B24" i="31"/>
  <c r="B58" i="31"/>
  <c r="D13" i="132" l="1"/>
  <c r="N1797" i="1"/>
  <c r="C1776" i="1"/>
  <c r="C1777" i="1" s="1"/>
  <c r="C1778" i="1" s="1"/>
  <c r="C1779" i="1" s="1"/>
  <c r="C1780" i="1" s="1"/>
  <c r="C1781" i="1" s="1"/>
  <c r="C1782" i="1" s="1"/>
  <c r="C1783" i="1" s="1"/>
  <c r="C1784" i="1" s="1"/>
  <c r="C1785" i="1" s="1"/>
  <c r="C1786" i="1" s="1"/>
  <c r="AC58" i="102"/>
  <c r="L1706" i="1"/>
  <c r="L1715" i="1"/>
  <c r="M58" i="102"/>
  <c r="L1718" i="1"/>
  <c r="L1720" i="1"/>
  <c r="L48" i="102"/>
  <c r="L58" i="102" s="1"/>
  <c r="L1716" i="1"/>
  <c r="AB58" i="102"/>
  <c r="L1704" i="1"/>
  <c r="T58" i="102"/>
  <c r="L1709" i="1"/>
  <c r="L1711" i="1"/>
  <c r="L1713" i="1"/>
  <c r="AE76" i="102"/>
  <c r="L1710" i="1"/>
  <c r="L1707" i="1"/>
  <c r="L1705" i="1"/>
  <c r="L1717" i="1"/>
  <c r="L1712" i="1"/>
  <c r="W58" i="102"/>
  <c r="U58" i="102"/>
  <c r="H54" i="102"/>
  <c r="AE45" i="102"/>
  <c r="AE44" i="102"/>
  <c r="AD46" i="102"/>
  <c r="V58" i="102"/>
  <c r="AD47" i="102"/>
  <c r="AE52" i="102"/>
  <c r="AD60" i="102"/>
  <c r="O58" i="102"/>
  <c r="AE43" i="102"/>
  <c r="N58" i="102"/>
  <c r="H46" i="102"/>
  <c r="H48" i="102" s="1"/>
  <c r="P58" i="102"/>
  <c r="X58" i="102"/>
  <c r="F58" i="102"/>
  <c r="F64" i="102" s="1"/>
  <c r="AE55" i="102"/>
  <c r="AD62" i="102"/>
  <c r="K58" i="102"/>
  <c r="S58" i="102"/>
  <c r="AA58" i="102"/>
  <c r="R58" i="102"/>
  <c r="I58" i="102"/>
  <c r="Q58" i="102"/>
  <c r="Y58" i="102"/>
  <c r="J58" i="102"/>
  <c r="Z58" i="102"/>
  <c r="D58" i="102"/>
  <c r="AE78" i="102"/>
  <c r="AD51" i="102"/>
  <c r="AD54" i="102" s="1"/>
  <c r="AD56" i="102" s="1"/>
  <c r="AD74" i="102"/>
  <c r="AE51" i="102"/>
  <c r="AE53" i="102"/>
  <c r="AD72" i="102"/>
  <c r="AD86" i="102"/>
  <c r="D64" i="102" l="1"/>
  <c r="I30" i="89"/>
  <c r="C1787" i="1"/>
  <c r="C1788" i="1" s="1"/>
  <c r="C1789" i="1" s="1"/>
  <c r="C1790" i="1" s="1"/>
  <c r="C1791" i="1" s="1"/>
  <c r="C1792" i="1" s="1"/>
  <c r="C1793" i="1" s="1"/>
  <c r="C1794" i="1" s="1"/>
  <c r="C1795" i="1" s="1"/>
  <c r="AD48" i="102"/>
  <c r="H56" i="102"/>
  <c r="AE56" i="102" s="1"/>
  <c r="W1713" i="1"/>
  <c r="W1712" i="1"/>
  <c r="U1693" i="1"/>
  <c r="CM1693" i="1" s="1"/>
  <c r="CP1693" i="1" s="1"/>
  <c r="U1692" i="1"/>
  <c r="CM1692" i="1" s="1"/>
  <c r="CP1692" i="1" s="1"/>
  <c r="U1691" i="1"/>
  <c r="CM1691" i="1" s="1"/>
  <c r="CP1691" i="1" s="1"/>
  <c r="U1690" i="1"/>
  <c r="CM1690" i="1" s="1"/>
  <c r="CP1690" i="1" s="1"/>
  <c r="U1689" i="1"/>
  <c r="CM1689" i="1" s="1"/>
  <c r="CP1689" i="1" s="1"/>
  <c r="U1688" i="1"/>
  <c r="CM1688" i="1" s="1"/>
  <c r="CP1688" i="1" s="1"/>
  <c r="U1687" i="1"/>
  <c r="CM1687" i="1" s="1"/>
  <c r="CP1687" i="1" s="1"/>
  <c r="U1686" i="1"/>
  <c r="CM1686" i="1" s="1"/>
  <c r="CP1686" i="1" s="1"/>
  <c r="U1685" i="1"/>
  <c r="U1678" i="1"/>
  <c r="CM1678" i="1" s="1"/>
  <c r="CP1678" i="1" s="1"/>
  <c r="U1677" i="1"/>
  <c r="CM1677" i="1" s="1"/>
  <c r="CP1677" i="1" s="1"/>
  <c r="U1585" i="1"/>
  <c r="CM1585" i="1" s="1"/>
  <c r="CP1585" i="1" s="1"/>
  <c r="U1584" i="1"/>
  <c r="CM1584" i="1" s="1"/>
  <c r="CP1584" i="1" s="1"/>
  <c r="U1583" i="1"/>
  <c r="CM1583" i="1" s="1"/>
  <c r="CP1583" i="1" s="1"/>
  <c r="U1582" i="1"/>
  <c r="CM1582" i="1" s="1"/>
  <c r="CP1582" i="1" s="1"/>
  <c r="U1581" i="1"/>
  <c r="CM1581" i="1" s="1"/>
  <c r="CP1581" i="1" s="1"/>
  <c r="U1580" i="1"/>
  <c r="CM1580" i="1" s="1"/>
  <c r="CP1580" i="1" s="1"/>
  <c r="U1579" i="1"/>
  <c r="CM1579" i="1" s="1"/>
  <c r="CP1579" i="1" s="1"/>
  <c r="U1578" i="1"/>
  <c r="CM1578" i="1" s="1"/>
  <c r="CP1578" i="1" s="1"/>
  <c r="U1577" i="1"/>
  <c r="U1576" i="1"/>
  <c r="CM1576" i="1" s="1"/>
  <c r="CP1576" i="1" s="1"/>
  <c r="U1575" i="1"/>
  <c r="CM1575" i="1" s="1"/>
  <c r="CP1575" i="1" s="1"/>
  <c r="U1574" i="1"/>
  <c r="CM1574" i="1" s="1"/>
  <c r="CP1574" i="1" s="1"/>
  <c r="U1573" i="1"/>
  <c r="CM1573" i="1" s="1"/>
  <c r="CP1573" i="1" s="1"/>
  <c r="U1570" i="1"/>
  <c r="CM1570" i="1" s="1"/>
  <c r="CP1570" i="1" s="1"/>
  <c r="U1571" i="1"/>
  <c r="CM1571" i="1" s="1"/>
  <c r="CP1571" i="1" s="1"/>
  <c r="U1572" i="1"/>
  <c r="CM1572" i="1" s="1"/>
  <c r="CP1572" i="1" s="1"/>
  <c r="U1569" i="1"/>
  <c r="CM1569" i="1" s="1"/>
  <c r="CP1569" i="1" s="1"/>
  <c r="C1569" i="1"/>
  <c r="C1570" i="1" s="1"/>
  <c r="C1571" i="1" s="1"/>
  <c r="C1572" i="1" s="1"/>
  <c r="C1573" i="1" s="1"/>
  <c r="C1574" i="1" s="1"/>
  <c r="C1575" i="1" s="1"/>
  <c r="C1576" i="1" s="1"/>
  <c r="C1577" i="1" s="1"/>
  <c r="C1578" i="1" s="1"/>
  <c r="C1579" i="1" s="1"/>
  <c r="C1580" i="1" s="1"/>
  <c r="C1581" i="1" s="1"/>
  <c r="C1582" i="1" s="1"/>
  <c r="C1583" i="1" s="1"/>
  <c r="C1584" i="1" s="1"/>
  <c r="C1585" i="1" s="1"/>
  <c r="C1586" i="1" s="1"/>
  <c r="BK1568" i="1"/>
  <c r="BD1568" i="1" s="1"/>
  <c r="S1568" i="1" s="1"/>
  <c r="T1568" i="1"/>
  <c r="CM1685" i="1" l="1"/>
  <c r="CP1685" i="1" s="1"/>
  <c r="U1694" i="1"/>
  <c r="CM1577" i="1"/>
  <c r="CP1577" i="1" s="1"/>
  <c r="U1586" i="1"/>
  <c r="C1797" i="1"/>
  <c r="C1796" i="1"/>
  <c r="C1677" i="1"/>
  <c r="C1678" i="1" s="1"/>
  <c r="C1685" i="1" s="1"/>
  <c r="C1686" i="1" s="1"/>
  <c r="C1687" i="1" s="1"/>
  <c r="C1688" i="1" s="1"/>
  <c r="C1689" i="1" s="1"/>
  <c r="C1690" i="1" s="1"/>
  <c r="C1691" i="1" s="1"/>
  <c r="C1692" i="1" s="1"/>
  <c r="C1693" i="1" s="1"/>
  <c r="C1587" i="1"/>
  <c r="C1588" i="1" s="1"/>
  <c r="C1589" i="1" s="1"/>
  <c r="C1590" i="1" s="1"/>
  <c r="C1591" i="1" s="1"/>
  <c r="C1592" i="1" s="1"/>
  <c r="C1593" i="1" s="1"/>
  <c r="C1594" i="1" s="1"/>
  <c r="C1595" i="1" s="1"/>
  <c r="C1596" i="1" s="1"/>
  <c r="C1597" i="1" s="1"/>
  <c r="C1598" i="1" s="1"/>
  <c r="C1599" i="1" s="1"/>
  <c r="C1600" i="1" s="1"/>
  <c r="C1601" i="1" s="1"/>
  <c r="C1602" i="1" s="1"/>
  <c r="C1603" i="1" s="1"/>
  <c r="H58" i="102"/>
  <c r="AD58" i="102"/>
  <c r="N1568" i="1"/>
  <c r="U1695" i="1" l="1"/>
  <c r="M119" i="6" s="1"/>
  <c r="C1696" i="1"/>
  <c r="C1694" i="1"/>
  <c r="C1605" i="1"/>
  <c r="C1606" i="1" s="1"/>
  <c r="C1607" i="1" s="1"/>
  <c r="C1608" i="1" s="1"/>
  <c r="C1609" i="1" s="1"/>
  <c r="C1610" i="1" s="1"/>
  <c r="C1611" i="1" s="1"/>
  <c r="C1612" i="1" s="1"/>
  <c r="C1613" i="1" s="1"/>
  <c r="C1614" i="1" s="1"/>
  <c r="C1615" i="1" s="1"/>
  <c r="C1616" i="1" s="1"/>
  <c r="C1617" i="1" s="1"/>
  <c r="C1618" i="1" s="1"/>
  <c r="C1619" i="1" s="1"/>
  <c r="C1620" i="1" s="1"/>
  <c r="C1621" i="1" s="1"/>
  <c r="C1604" i="1"/>
  <c r="C1702" i="1"/>
  <c r="C1697" i="1"/>
  <c r="C1698" i="1" s="1"/>
  <c r="C1699" i="1" s="1"/>
  <c r="C1700" i="1" s="1"/>
  <c r="C1701" i="1" s="1"/>
  <c r="C1679" i="1"/>
  <c r="C1680" i="1" s="1"/>
  <c r="C1681" i="1" s="1"/>
  <c r="C1682" i="1" s="1"/>
  <c r="C1683" i="1" s="1"/>
  <c r="C1684" i="1" s="1"/>
  <c r="O1185" i="1"/>
  <c r="P1185" i="1"/>
  <c r="Q1185" i="1"/>
  <c r="AX1185" i="1"/>
  <c r="BA1185" i="1"/>
  <c r="BE1185" i="1"/>
  <c r="BF1185" i="1"/>
  <c r="BG1185" i="1"/>
  <c r="BI1185" i="1"/>
  <c r="BJ1185" i="1"/>
  <c r="C1623" i="1" l="1"/>
  <c r="C1624" i="1" s="1"/>
  <c r="C1625" i="1" s="1"/>
  <c r="C1626" i="1" s="1"/>
  <c r="C1627" i="1" s="1"/>
  <c r="C1628" i="1" s="1"/>
  <c r="C1629" i="1" s="1"/>
  <c r="C1630" i="1" s="1"/>
  <c r="C1631" i="1" s="1"/>
  <c r="C1632" i="1" s="1"/>
  <c r="C1633" i="1" s="1"/>
  <c r="C1634" i="1" s="1"/>
  <c r="C1635" i="1" s="1"/>
  <c r="C1636" i="1" s="1"/>
  <c r="C1637" i="1" s="1"/>
  <c r="C1638" i="1" s="1"/>
  <c r="C1639" i="1" s="1"/>
  <c r="C1622" i="1"/>
  <c r="L13" i="81"/>
  <c r="G66" i="75"/>
  <c r="G56" i="75"/>
  <c r="G42" i="75"/>
  <c r="G30" i="75"/>
  <c r="G18" i="75"/>
  <c r="G9" i="75"/>
  <c r="C98" i="1"/>
  <c r="W98" i="1"/>
  <c r="BK98" i="1"/>
  <c r="BD98" i="1" s="1"/>
  <c r="S98" i="1" s="1"/>
  <c r="U98" i="1"/>
  <c r="CP98" i="1" s="1"/>
  <c r="C1641" i="1" l="1"/>
  <c r="C1642" i="1" s="1"/>
  <c r="C1643" i="1" s="1"/>
  <c r="C1644" i="1" s="1"/>
  <c r="C1645" i="1" s="1"/>
  <c r="C1646" i="1" s="1"/>
  <c r="C1647" i="1" s="1"/>
  <c r="C1648" i="1" s="1"/>
  <c r="C1649" i="1" s="1"/>
  <c r="C1650" i="1" s="1"/>
  <c r="C1651" i="1" s="1"/>
  <c r="C1652" i="1" s="1"/>
  <c r="C1653" i="1" s="1"/>
  <c r="C1654" i="1" s="1"/>
  <c r="C1655" i="1" s="1"/>
  <c r="C1656" i="1" s="1"/>
  <c r="C1657" i="1" s="1"/>
  <c r="C1640" i="1"/>
  <c r="N98" i="1"/>
  <c r="G32" i="75"/>
  <c r="G44" i="75" s="1"/>
  <c r="G58" i="75" s="1"/>
  <c r="T98" i="1"/>
  <c r="U414" i="1"/>
  <c r="CP414" i="1" s="1"/>
  <c r="U415" i="1"/>
  <c r="CP415" i="1" s="1"/>
  <c r="U416" i="1"/>
  <c r="CP416" i="1" s="1"/>
  <c r="G37" i="79"/>
  <c r="AD37" i="79" s="1"/>
  <c r="G38" i="79"/>
  <c r="AD38" i="79" s="1"/>
  <c r="G39" i="79"/>
  <c r="AC39" i="79" s="1"/>
  <c r="C1659" i="1" l="1"/>
  <c r="C1660" i="1" s="1"/>
  <c r="C1661" i="1" s="1"/>
  <c r="C1662" i="1" s="1"/>
  <c r="C1663" i="1" s="1"/>
  <c r="C1664" i="1" s="1"/>
  <c r="C1665" i="1" s="1"/>
  <c r="C1666" i="1" s="1"/>
  <c r="C1667" i="1" s="1"/>
  <c r="C1668" i="1" s="1"/>
  <c r="C1669" i="1" s="1"/>
  <c r="C1670" i="1" s="1"/>
  <c r="C1671" i="1" s="1"/>
  <c r="C1672" i="1" s="1"/>
  <c r="C1673" i="1" s="1"/>
  <c r="C1674" i="1" s="1"/>
  <c r="C1675" i="1" s="1"/>
  <c r="C1676" i="1" s="1"/>
  <c r="C1658" i="1"/>
  <c r="AC38" i="79"/>
  <c r="AD39" i="79"/>
  <c r="AC37" i="79"/>
  <c r="E1531" i="1" l="1"/>
  <c r="E1523" i="1"/>
  <c r="E1519" i="1"/>
  <c r="E1511" i="1"/>
  <c r="E1508" i="1"/>
  <c r="E1500" i="1"/>
  <c r="J1500" i="1"/>
  <c r="K1500" i="1" s="1"/>
  <c r="J1511" i="1"/>
  <c r="K1511" i="1" s="1"/>
  <c r="J1523" i="1"/>
  <c r="K1523" i="1" s="1"/>
  <c r="J1531" i="1"/>
  <c r="K1531" i="1" s="1"/>
  <c r="J1519" i="1"/>
  <c r="K1519" i="1" s="1"/>
  <c r="J1508" i="1"/>
  <c r="K1508" i="1" s="1"/>
  <c r="U1536" i="1"/>
  <c r="BK1536" i="1"/>
  <c r="BD1536" i="1" s="1"/>
  <c r="S1536" i="1" s="1"/>
  <c r="U1537" i="1"/>
  <c r="BK1537" i="1"/>
  <c r="BD1537" i="1" s="1"/>
  <c r="S1537" i="1" s="1"/>
  <c r="U1538" i="1"/>
  <c r="BK1538" i="1"/>
  <c r="BD1538" i="1" s="1"/>
  <c r="S1538" i="1" s="1"/>
  <c r="U1539" i="1"/>
  <c r="BK1539" i="1"/>
  <c r="BD1539" i="1" s="1"/>
  <c r="S1539" i="1" s="1"/>
  <c r="U1540" i="1"/>
  <c r="BK1540" i="1"/>
  <c r="BD1540" i="1" s="1"/>
  <c r="S1540" i="1" s="1"/>
  <c r="U1541" i="1"/>
  <c r="BK1541" i="1"/>
  <c r="BD1541" i="1" s="1"/>
  <c r="S1541" i="1" s="1"/>
  <c r="T1541" i="1" l="1"/>
  <c r="N1541" i="1" s="1"/>
  <c r="CM1541" i="1"/>
  <c r="CP1541" i="1" s="1"/>
  <c r="T1537" i="1"/>
  <c r="N1537" i="1" s="1"/>
  <c r="CM1537" i="1"/>
  <c r="CP1537" i="1" s="1"/>
  <c r="T1536" i="1"/>
  <c r="N1536" i="1" s="1"/>
  <c r="CM1536" i="1"/>
  <c r="CP1536" i="1" s="1"/>
  <c r="T1539" i="1"/>
  <c r="N1539" i="1" s="1"/>
  <c r="CM1539" i="1"/>
  <c r="CP1539" i="1" s="1"/>
  <c r="T1540" i="1"/>
  <c r="N1540" i="1" s="1"/>
  <c r="CM1540" i="1"/>
  <c r="CP1540" i="1" s="1"/>
  <c r="T1538" i="1"/>
  <c r="N1538" i="1" s="1"/>
  <c r="CM1538" i="1"/>
  <c r="CP1538" i="1" s="1"/>
  <c r="Q2" i="37" l="1"/>
  <c r="Q1" i="37"/>
  <c r="X17" i="37"/>
  <c r="Y17" i="37"/>
  <c r="AA17" i="37"/>
  <c r="V17" i="37"/>
  <c r="T17" i="37"/>
  <c r="R17" i="37"/>
  <c r="U12" i="37"/>
  <c r="U13" i="37"/>
  <c r="U14" i="37"/>
  <c r="U15" i="37"/>
  <c r="U16" i="37"/>
  <c r="Q23" i="37"/>
  <c r="Q27" i="37" s="1"/>
  <c r="Q17" i="37"/>
  <c r="Q11" i="37"/>
  <c r="U17" i="37" l="1"/>
  <c r="C43" i="74"/>
  <c r="U442" i="1"/>
  <c r="CP442" i="1" s="1"/>
  <c r="D62" i="79"/>
  <c r="C62" i="79"/>
  <c r="D68" i="79"/>
  <c r="D88" i="79" s="1"/>
  <c r="C68" i="79"/>
  <c r="W460" i="1"/>
  <c r="W437" i="1"/>
  <c r="W436" i="1"/>
  <c r="W435" i="1"/>
  <c r="W434" i="1"/>
  <c r="W433" i="1"/>
  <c r="W432" i="1"/>
  <c r="U438" i="1"/>
  <c r="CP438" i="1" s="1"/>
  <c r="U432" i="1"/>
  <c r="CP432" i="1" s="1"/>
  <c r="M82" i="27"/>
  <c r="M102" i="27" s="1"/>
  <c r="K82" i="27"/>
  <c r="K102" i="27" s="1"/>
  <c r="K76" i="27"/>
  <c r="M76" i="27" s="1"/>
  <c r="D76" i="27"/>
  <c r="M75" i="27"/>
  <c r="K75" i="27"/>
  <c r="F75" i="27"/>
  <c r="D75" i="27"/>
  <c r="U440" i="1"/>
  <c r="CP440" i="1" s="1"/>
  <c r="BK440" i="1"/>
  <c r="BD440" i="1" s="1"/>
  <c r="S440" i="1" s="1"/>
  <c r="CP441" i="1"/>
  <c r="BK441" i="1"/>
  <c r="BD441" i="1" s="1"/>
  <c r="S441" i="1" s="1"/>
  <c r="BK442" i="1"/>
  <c r="BD442" i="1" s="1"/>
  <c r="S442" i="1" s="1"/>
  <c r="U443" i="1"/>
  <c r="CP443" i="1" s="1"/>
  <c r="BK443" i="1"/>
  <c r="BD443" i="1" s="1"/>
  <c r="S443" i="1" s="1"/>
  <c r="U445" i="1"/>
  <c r="CP445" i="1" s="1"/>
  <c r="BK445" i="1"/>
  <c r="BD445" i="1" s="1"/>
  <c r="S445" i="1" s="1"/>
  <c r="U446" i="1"/>
  <c r="CP446" i="1" s="1"/>
  <c r="BK446" i="1"/>
  <c r="BD446" i="1" s="1"/>
  <c r="S446" i="1" s="1"/>
  <c r="U447" i="1"/>
  <c r="CP447" i="1" s="1"/>
  <c r="BK447" i="1"/>
  <c r="BD447" i="1" s="1"/>
  <c r="S447" i="1" s="1"/>
  <c r="U448" i="1"/>
  <c r="CP448" i="1" s="1"/>
  <c r="BK448" i="1"/>
  <c r="BD448" i="1" s="1"/>
  <c r="S448" i="1" s="1"/>
  <c r="U449" i="1"/>
  <c r="CP449" i="1" s="1"/>
  <c r="BK449" i="1"/>
  <c r="BD449" i="1" s="1"/>
  <c r="S449" i="1" s="1"/>
  <c r="U450" i="1"/>
  <c r="CP450" i="1" s="1"/>
  <c r="BK450" i="1"/>
  <c r="BD450" i="1" s="1"/>
  <c r="S450" i="1" s="1"/>
  <c r="U451" i="1"/>
  <c r="CP451" i="1" s="1"/>
  <c r="BK451" i="1"/>
  <c r="BD451" i="1" s="1"/>
  <c r="S451" i="1" s="1"/>
  <c r="U452" i="1"/>
  <c r="CP452" i="1" s="1"/>
  <c r="BK452" i="1"/>
  <c r="BD452" i="1" s="1"/>
  <c r="S452" i="1" s="1"/>
  <c r="U453" i="1"/>
  <c r="CP453" i="1" s="1"/>
  <c r="BK453" i="1"/>
  <c r="BD453" i="1" s="1"/>
  <c r="S453" i="1" s="1"/>
  <c r="U454" i="1"/>
  <c r="CP454" i="1" s="1"/>
  <c r="BK454" i="1"/>
  <c r="BD454" i="1" s="1"/>
  <c r="S454" i="1" s="1"/>
  <c r="U455" i="1"/>
  <c r="CP455" i="1" s="1"/>
  <c r="BK455" i="1"/>
  <c r="BD455" i="1" s="1"/>
  <c r="S455" i="1" s="1"/>
  <c r="U456" i="1"/>
  <c r="CP456" i="1" s="1"/>
  <c r="BK456" i="1"/>
  <c r="BD456" i="1" s="1"/>
  <c r="S456" i="1" s="1"/>
  <c r="U457" i="1"/>
  <c r="CP457" i="1" s="1"/>
  <c r="BK457" i="1"/>
  <c r="BD457" i="1" s="1"/>
  <c r="S457" i="1" s="1"/>
  <c r="U458" i="1"/>
  <c r="CP458" i="1" s="1"/>
  <c r="BK458" i="1"/>
  <c r="BD458" i="1" s="1"/>
  <c r="S458" i="1" s="1"/>
  <c r="U459" i="1"/>
  <c r="CP459" i="1" s="1"/>
  <c r="BK459" i="1"/>
  <c r="BD459" i="1" s="1"/>
  <c r="S459" i="1" s="1"/>
  <c r="BK438" i="1"/>
  <c r="BD438" i="1" s="1"/>
  <c r="S438" i="1" s="1"/>
  <c r="C437" i="1"/>
  <c r="J437" i="1"/>
  <c r="K437" i="1"/>
  <c r="S437" i="1"/>
  <c r="U437" i="1"/>
  <c r="CP437" i="1" s="1"/>
  <c r="BK437" i="1"/>
  <c r="C88" i="79" l="1"/>
  <c r="C30" i="79" s="1"/>
  <c r="D41" i="74"/>
  <c r="D30" i="79"/>
  <c r="C439" i="1"/>
  <c r="C444" i="1"/>
  <c r="C443" i="1"/>
  <c r="B437" i="1"/>
  <c r="C438" i="1"/>
  <c r="C441" i="1"/>
  <c r="C458" i="1"/>
  <c r="C445" i="1"/>
  <c r="C450" i="1"/>
  <c r="C456" i="1"/>
  <c r="C452" i="1"/>
  <c r="C446" i="1"/>
  <c r="C459" i="1"/>
  <c r="C457" i="1"/>
  <c r="C448" i="1"/>
  <c r="C442" i="1"/>
  <c r="C454" i="1"/>
  <c r="C451" i="1"/>
  <c r="C449" i="1"/>
  <c r="C453" i="1"/>
  <c r="C440" i="1"/>
  <c r="T437" i="1"/>
  <c r="N437" i="1"/>
  <c r="C455" i="1"/>
  <c r="C447" i="1"/>
  <c r="C41" i="74" l="1"/>
  <c r="W2078" i="1"/>
  <c r="T2078" i="1" s="1"/>
  <c r="N2078" i="1" s="1"/>
  <c r="BK2078" i="1"/>
  <c r="W2079" i="1"/>
  <c r="T2079" i="1" s="1"/>
  <c r="N2079" i="1" s="1"/>
  <c r="BK2079" i="1"/>
  <c r="W2080" i="1"/>
  <c r="T2080" i="1" s="1"/>
  <c r="N2080" i="1" s="1"/>
  <c r="BK2080" i="1"/>
  <c r="W2081" i="1"/>
  <c r="T2081" i="1" s="1"/>
  <c r="N2081" i="1" s="1"/>
  <c r="BK2081" i="1"/>
  <c r="W2082" i="1"/>
  <c r="T2082" i="1" s="1"/>
  <c r="N2082" i="1" s="1"/>
  <c r="BK2082" i="1"/>
  <c r="W2083" i="1"/>
  <c r="T2083" i="1" s="1"/>
  <c r="N2083" i="1" s="1"/>
  <c r="BK2083" i="1"/>
  <c r="W2084" i="1"/>
  <c r="T2084" i="1" s="1"/>
  <c r="N2084" i="1" s="1"/>
  <c r="BK2084" i="1"/>
  <c r="W2085" i="1"/>
  <c r="T2085" i="1" s="1"/>
  <c r="N2085" i="1" s="1"/>
  <c r="BK2085" i="1"/>
  <c r="K2083" i="1" l="1"/>
  <c r="K2084" i="1"/>
  <c r="K2085" i="1"/>
  <c r="F118" i="68"/>
  <c r="F117" i="68"/>
  <c r="F116" i="68"/>
  <c r="F115" i="68"/>
  <c r="F114" i="68"/>
  <c r="F113" i="68"/>
  <c r="F112" i="68"/>
  <c r="F111" i="68"/>
  <c r="F108" i="68"/>
  <c r="F107" i="68"/>
  <c r="F106" i="68"/>
  <c r="F105" i="68"/>
  <c r="F104" i="68"/>
  <c r="F103" i="68"/>
  <c r="F102" i="68"/>
  <c r="F101" i="68"/>
  <c r="W2072" i="1"/>
  <c r="T2072" i="1" s="1"/>
  <c r="N2072" i="1" s="1"/>
  <c r="E89" i="50" s="1"/>
  <c r="W2073" i="1"/>
  <c r="T2073" i="1" s="1"/>
  <c r="N2073" i="1" s="1"/>
  <c r="E90" i="50" s="1"/>
  <c r="W2074" i="1"/>
  <c r="T2074" i="1" s="1"/>
  <c r="N2074" i="1" s="1"/>
  <c r="E91" i="50" s="1"/>
  <c r="W2075" i="1"/>
  <c r="T2075" i="1" s="1"/>
  <c r="N2075" i="1" s="1"/>
  <c r="E92" i="50" s="1"/>
  <c r="W2076" i="1"/>
  <c r="T2076" i="1" s="1"/>
  <c r="N2076" i="1" s="1"/>
  <c r="E93" i="50" s="1"/>
  <c r="W2077" i="1"/>
  <c r="T2077" i="1" s="1"/>
  <c r="N2077" i="1" s="1"/>
  <c r="W2071" i="1"/>
  <c r="T2071" i="1" s="1"/>
  <c r="N2071" i="1" s="1"/>
  <c r="E88" i="50" s="1"/>
  <c r="F106" i="50" l="1"/>
  <c r="F107" i="50"/>
  <c r="F108" i="50"/>
  <c r="F109" i="50"/>
  <c r="F110" i="50"/>
  <c r="F111" i="50"/>
  <c r="F112" i="50"/>
  <c r="F105" i="50"/>
  <c r="F89" i="50"/>
  <c r="F101" i="50"/>
  <c r="F102" i="50"/>
  <c r="F88" i="50"/>
  <c r="F103" i="50"/>
  <c r="F100" i="50"/>
  <c r="F104" i="50"/>
  <c r="F98" i="50"/>
  <c r="F99" i="50"/>
  <c r="F90" i="50"/>
  <c r="F93" i="50"/>
  <c r="F92" i="50"/>
  <c r="F91" i="50"/>
  <c r="F94" i="50"/>
  <c r="F97" i="50"/>
  <c r="A5" i="97"/>
  <c r="A5" i="96"/>
  <c r="A5" i="84"/>
  <c r="A5" i="83"/>
  <c r="A5" i="82"/>
  <c r="A5" i="81"/>
  <c r="B438" i="1" l="1"/>
  <c r="A5" i="26"/>
  <c r="A5" i="27"/>
  <c r="B358" i="1"/>
  <c r="B440" i="1" l="1"/>
  <c r="B441" i="1" s="1"/>
  <c r="B442" i="1" s="1"/>
  <c r="B443" i="1" s="1"/>
  <c r="B439" i="1"/>
  <c r="C34" i="77"/>
  <c r="B445" i="1" l="1"/>
  <c r="B446" i="1" s="1"/>
  <c r="B447" i="1" s="1"/>
  <c r="B448" i="1" s="1"/>
  <c r="B449" i="1" s="1"/>
  <c r="B450" i="1" s="1"/>
  <c r="B451" i="1" s="1"/>
  <c r="B452" i="1" s="1"/>
  <c r="B453" i="1" s="1"/>
  <c r="B454" i="1" s="1"/>
  <c r="B455" i="1" s="1"/>
  <c r="B456" i="1" s="1"/>
  <c r="B457" i="1" s="1"/>
  <c r="B458" i="1" s="1"/>
  <c r="B459" i="1" s="1"/>
  <c r="B444" i="1"/>
  <c r="N42" i="73"/>
  <c r="N46" i="73" s="1"/>
  <c r="M42" i="73"/>
  <c r="I42" i="73"/>
  <c r="I46" i="73" s="1"/>
  <c r="B42" i="73"/>
  <c r="B46" i="73" s="1"/>
  <c r="BK27" i="1" l="1"/>
  <c r="BE27" i="1"/>
  <c r="BF27" i="1"/>
  <c r="BG27" i="1"/>
  <c r="BH27" i="1"/>
  <c r="BI27" i="1"/>
  <c r="BJ27" i="1"/>
  <c r="BD26" i="1"/>
  <c r="BD25" i="1"/>
  <c r="W28" i="1"/>
  <c r="W1231" i="1"/>
  <c r="BD27" i="1" l="1"/>
  <c r="D43" i="74" l="1"/>
  <c r="D45" i="74" s="1"/>
  <c r="C45" i="74" l="1"/>
  <c r="D47" i="17" l="1"/>
  <c r="E63" i="17"/>
  <c r="E62" i="17"/>
  <c r="E61" i="17"/>
  <c r="E60" i="17"/>
  <c r="E59" i="17"/>
  <c r="E54" i="17"/>
  <c r="E53" i="17"/>
  <c r="D7" i="17"/>
  <c r="E56" i="17" l="1"/>
  <c r="E65" i="17"/>
  <c r="U1846" i="1" l="1"/>
  <c r="U1845" i="1"/>
  <c r="U1843" i="1"/>
  <c r="CP1843" i="1" s="1"/>
  <c r="U1842" i="1"/>
  <c r="CP1842" i="1" s="1"/>
  <c r="U1841" i="1"/>
  <c r="CP1841" i="1" s="1"/>
  <c r="U1840" i="1"/>
  <c r="CP1840" i="1" s="1"/>
  <c r="M132" i="6" l="1"/>
  <c r="CM1845" i="1"/>
  <c r="CP1845" i="1" s="1"/>
  <c r="M135" i="6"/>
  <c r="CM1846" i="1"/>
  <c r="CP1846" i="1" s="1"/>
  <c r="G135" i="6"/>
  <c r="H135" i="6"/>
  <c r="I135" i="6"/>
  <c r="J135" i="6"/>
  <c r="N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G134" i="6"/>
  <c r="H134" i="6"/>
  <c r="I134" i="6"/>
  <c r="J134" i="6"/>
  <c r="G131" i="6"/>
  <c r="H131" i="6"/>
  <c r="I131" i="6"/>
  <c r="J131" i="6"/>
  <c r="N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G132" i="6"/>
  <c r="H132" i="6"/>
  <c r="I132" i="6"/>
  <c r="J132" i="6"/>
  <c r="N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G133" i="6"/>
  <c r="H133" i="6"/>
  <c r="I133" i="6"/>
  <c r="J133" i="6"/>
  <c r="N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G136" i="6" l="1"/>
  <c r="H136" i="6"/>
  <c r="I136" i="6"/>
  <c r="J136" i="6"/>
  <c r="N136" i="6"/>
  <c r="N138" i="6" s="1"/>
  <c r="P136" i="6"/>
  <c r="P138" i="6" s="1"/>
  <c r="Q136" i="6"/>
  <c r="Q138" i="6" s="1"/>
  <c r="R136" i="6"/>
  <c r="R138" i="6" s="1"/>
  <c r="S136" i="6"/>
  <c r="S138" i="6" s="1"/>
  <c r="T136" i="6"/>
  <c r="T138" i="6" s="1"/>
  <c r="U136" i="6"/>
  <c r="U138" i="6" s="1"/>
  <c r="V136" i="6"/>
  <c r="V138" i="6" s="1"/>
  <c r="W136" i="6"/>
  <c r="W138" i="6" s="1"/>
  <c r="X136" i="6"/>
  <c r="X138" i="6" s="1"/>
  <c r="Y136" i="6"/>
  <c r="Y138" i="6" s="1"/>
  <c r="Z136" i="6"/>
  <c r="Z138" i="6" s="1"/>
  <c r="AA136" i="6"/>
  <c r="AA138" i="6" s="1"/>
  <c r="AB136" i="6"/>
  <c r="AB138" i="6" s="1"/>
  <c r="AC136" i="6"/>
  <c r="AC138" i="6" s="1"/>
  <c r="AD136" i="6"/>
  <c r="AD138" i="6" s="1"/>
  <c r="AE136" i="6"/>
  <c r="AE138" i="6" s="1"/>
  <c r="AF136" i="6"/>
  <c r="AF138" i="6" s="1"/>
  <c r="AG136" i="6"/>
  <c r="AG138" i="6" s="1"/>
  <c r="AH136" i="6"/>
  <c r="AH138" i="6" s="1"/>
  <c r="AI136" i="6"/>
  <c r="AI138" i="6" s="1"/>
  <c r="AJ136" i="6"/>
  <c r="AJ138" i="6" s="1"/>
  <c r="AK136" i="6"/>
  <c r="AK138" i="6" s="1"/>
  <c r="AL136" i="6"/>
  <c r="AL138" i="6" s="1"/>
  <c r="AM136" i="6"/>
  <c r="AM138" i="6" s="1"/>
  <c r="T139" i="6" l="1"/>
  <c r="BK1847" i="1" l="1"/>
  <c r="BD1847" i="1" s="1"/>
  <c r="BK1848" i="1"/>
  <c r="BD1848" i="1" s="1"/>
  <c r="BK1849" i="1"/>
  <c r="BD1849" i="1" s="1"/>
  <c r="BK1850" i="1"/>
  <c r="BD1850" i="1" s="1"/>
  <c r="BK1851" i="1"/>
  <c r="BD1851" i="1" s="1"/>
  <c r="BK1852" i="1"/>
  <c r="BD1852" i="1" s="1"/>
  <c r="BK1853" i="1"/>
  <c r="BD1853" i="1" s="1"/>
  <c r="BG63" i="1"/>
  <c r="AM19" i="6" l="1"/>
  <c r="AL19" i="6"/>
  <c r="AK19" i="6"/>
  <c r="AJ19" i="6"/>
  <c r="AI19" i="6"/>
  <c r="AH19" i="6"/>
  <c r="AG19" i="6"/>
  <c r="AF19" i="6"/>
  <c r="AE19" i="6"/>
  <c r="AD19" i="6"/>
  <c r="AC19" i="6"/>
  <c r="AB19" i="6"/>
  <c r="AA19" i="6"/>
  <c r="Z19" i="6"/>
  <c r="Y19" i="6"/>
  <c r="X19" i="6"/>
  <c r="W19" i="6"/>
  <c r="V19" i="6"/>
  <c r="U19" i="6"/>
  <c r="T19" i="6"/>
  <c r="S19" i="6"/>
  <c r="Q19" i="6"/>
  <c r="P19" i="6"/>
  <c r="N19" i="6"/>
  <c r="J19" i="6"/>
  <c r="I19" i="6"/>
  <c r="H19" i="6"/>
  <c r="G19" i="6"/>
  <c r="R19" i="6"/>
  <c r="R45" i="35" l="1"/>
  <c r="P45" i="35"/>
  <c r="P43" i="35"/>
  <c r="R15" i="35"/>
  <c r="R22" i="35" s="1"/>
  <c r="R43" i="35" s="1"/>
  <c r="R47" i="35" l="1"/>
  <c r="P47" i="35"/>
  <c r="R8" i="35"/>
  <c r="P8" i="35"/>
  <c r="R7" i="35"/>
  <c r="P7" i="35"/>
  <c r="C137" i="1" l="1"/>
  <c r="BK137" i="1"/>
  <c r="R137" i="1"/>
  <c r="U137" i="1"/>
  <c r="V137" i="1"/>
  <c r="C160" i="1"/>
  <c r="U160" i="1"/>
  <c r="CP160" i="1" s="1"/>
  <c r="B27" i="61"/>
  <c r="CP137" i="1" l="1"/>
  <c r="BK160" i="1"/>
  <c r="BD160" i="1" s="1"/>
  <c r="S160" i="1" s="1"/>
  <c r="BD137" i="1"/>
  <c r="S137" i="1" s="1"/>
  <c r="K117" i="31"/>
  <c r="K118" i="31"/>
  <c r="C120" i="31"/>
  <c r="D46" i="60" l="1"/>
  <c r="I16" i="136" l="1"/>
  <c r="F16" i="136"/>
  <c r="J120" i="137"/>
  <c r="I120" i="137"/>
  <c r="H120" i="137"/>
  <c r="G120" i="137"/>
  <c r="F120" i="137"/>
  <c r="E120" i="137"/>
  <c r="D120" i="137"/>
  <c r="C120" i="137"/>
  <c r="K117" i="137"/>
  <c r="J112" i="137"/>
  <c r="I112" i="137"/>
  <c r="H112" i="137"/>
  <c r="G112" i="137"/>
  <c r="F112" i="137"/>
  <c r="E112" i="137"/>
  <c r="D112" i="137"/>
  <c r="C112" i="137"/>
  <c r="B104" i="137"/>
  <c r="B96" i="137"/>
  <c r="B89" i="137"/>
  <c r="B87" i="137"/>
  <c r="K84" i="137"/>
  <c r="K83" i="137"/>
  <c r="K82" i="137"/>
  <c r="K81" i="137"/>
  <c r="K80" i="137"/>
  <c r="K79" i="137"/>
  <c r="K78" i="137"/>
  <c r="K77" i="137"/>
  <c r="K76" i="137"/>
  <c r="J75" i="137"/>
  <c r="I75" i="137"/>
  <c r="I85" i="137" s="1"/>
  <c r="H75" i="137"/>
  <c r="H85" i="137" s="1"/>
  <c r="G75" i="137"/>
  <c r="F75" i="137"/>
  <c r="E75" i="137"/>
  <c r="E85" i="137" s="1"/>
  <c r="D75" i="137"/>
  <c r="C75" i="137"/>
  <c r="C85" i="137" s="1"/>
  <c r="B75" i="137"/>
  <c r="K74" i="137"/>
  <c r="K73" i="137"/>
  <c r="B70" i="137"/>
  <c r="B85" i="137" s="1"/>
  <c r="K69" i="137"/>
  <c r="K68" i="137"/>
  <c r="K67" i="137"/>
  <c r="K66" i="137"/>
  <c r="K65" i="137"/>
  <c r="K64" i="137"/>
  <c r="K63" i="137"/>
  <c r="K62" i="137"/>
  <c r="K61" i="137"/>
  <c r="J60" i="137"/>
  <c r="J70" i="137" s="1"/>
  <c r="I60" i="137"/>
  <c r="H60" i="137"/>
  <c r="G60" i="137"/>
  <c r="F60" i="137"/>
  <c r="E60" i="137"/>
  <c r="E70" i="137" s="1"/>
  <c r="D60" i="137"/>
  <c r="D70" i="137" s="1"/>
  <c r="C60" i="137"/>
  <c r="K59" i="137"/>
  <c r="K58" i="137"/>
  <c r="B58" i="137"/>
  <c r="B73" i="137" s="1"/>
  <c r="B53" i="137"/>
  <c r="B50" i="137"/>
  <c r="B114" i="137" s="1"/>
  <c r="B43" i="137"/>
  <c r="B120" i="137" s="1"/>
  <c r="B41" i="137"/>
  <c r="B39" i="137"/>
  <c r="B27" i="137"/>
  <c r="B24" i="137"/>
  <c r="B12" i="137"/>
  <c r="B6" i="137"/>
  <c r="B2" i="137"/>
  <c r="B1" i="137"/>
  <c r="N20" i="136"/>
  <c r="G20" i="136"/>
  <c r="D20" i="136"/>
  <c r="M17" i="136"/>
  <c r="M16" i="136"/>
  <c r="M15" i="136"/>
  <c r="M14" i="136"/>
  <c r="D10" i="136"/>
  <c r="G10" i="136" s="1"/>
  <c r="M10" i="136" s="1"/>
  <c r="C10" i="136"/>
  <c r="F10" i="136" s="1"/>
  <c r="L10" i="136" s="1"/>
  <c r="B2" i="136"/>
  <c r="B1" i="136"/>
  <c r="J125" i="135"/>
  <c r="I125" i="135"/>
  <c r="H125" i="135"/>
  <c r="G125" i="135"/>
  <c r="F125" i="135"/>
  <c r="E125" i="135"/>
  <c r="D125" i="135"/>
  <c r="C125" i="135"/>
  <c r="B125" i="135"/>
  <c r="K124" i="135"/>
  <c r="K123" i="135"/>
  <c r="K122" i="135"/>
  <c r="J117" i="135"/>
  <c r="I117" i="135"/>
  <c r="H117" i="135"/>
  <c r="G117" i="135"/>
  <c r="F117" i="135"/>
  <c r="E117" i="135"/>
  <c r="D117" i="135"/>
  <c r="C117" i="135"/>
  <c r="B110" i="135"/>
  <c r="B103" i="135"/>
  <c r="K102" i="135"/>
  <c r="K101" i="135"/>
  <c r="K100" i="135"/>
  <c r="B95" i="135"/>
  <c r="K88" i="135"/>
  <c r="K87" i="135"/>
  <c r="K86" i="135"/>
  <c r="K85" i="135"/>
  <c r="K84" i="135"/>
  <c r="K82" i="135"/>
  <c r="K81" i="135"/>
  <c r="K80" i="135"/>
  <c r="J79" i="135"/>
  <c r="J89" i="135" s="1"/>
  <c r="I79" i="135"/>
  <c r="I89" i="135" s="1"/>
  <c r="H79" i="135"/>
  <c r="H89" i="135" s="1"/>
  <c r="G79" i="135"/>
  <c r="G89" i="135" s="1"/>
  <c r="F79" i="135"/>
  <c r="E79" i="135"/>
  <c r="E89" i="135" s="1"/>
  <c r="D79" i="135"/>
  <c r="D89" i="135" s="1"/>
  <c r="C79" i="135"/>
  <c r="K78" i="135"/>
  <c r="K77" i="135"/>
  <c r="B74" i="135"/>
  <c r="B89" i="135" s="1"/>
  <c r="B92" i="135" s="1"/>
  <c r="K73" i="135"/>
  <c r="K72" i="135"/>
  <c r="K71" i="135"/>
  <c r="K70" i="135"/>
  <c r="K69" i="135"/>
  <c r="K67" i="135"/>
  <c r="K66" i="135"/>
  <c r="K65" i="135"/>
  <c r="K64" i="135"/>
  <c r="J63" i="135"/>
  <c r="I63" i="135"/>
  <c r="H63" i="135"/>
  <c r="G63" i="135"/>
  <c r="F63" i="135"/>
  <c r="E63" i="135"/>
  <c r="D63" i="135"/>
  <c r="C63" i="135"/>
  <c r="B61" i="135"/>
  <c r="B77" i="135" s="1"/>
  <c r="B57" i="135"/>
  <c r="B52" i="135"/>
  <c r="B119" i="135" s="1"/>
  <c r="B44" i="135"/>
  <c r="B41" i="135"/>
  <c r="B26" i="135"/>
  <c r="B23" i="135"/>
  <c r="B38" i="135" s="1"/>
  <c r="B6" i="135"/>
  <c r="B2" i="135"/>
  <c r="B1" i="135"/>
  <c r="G7" i="43"/>
  <c r="E7" i="43"/>
  <c r="G19" i="134"/>
  <c r="G24" i="134" s="1"/>
  <c r="E34" i="133"/>
  <c r="F24" i="133"/>
  <c r="F21" i="133"/>
  <c r="F17" i="133"/>
  <c r="F14" i="133"/>
  <c r="N75" i="130"/>
  <c r="K75" i="130"/>
  <c r="J75" i="130"/>
  <c r="G75" i="130"/>
  <c r="F75" i="130"/>
  <c r="D75" i="130"/>
  <c r="C75" i="130"/>
  <c r="L73" i="130"/>
  <c r="L75" i="130" s="1"/>
  <c r="H73" i="130"/>
  <c r="H75" i="130" s="1"/>
  <c r="E73" i="130"/>
  <c r="E75" i="130" s="1"/>
  <c r="N69" i="130"/>
  <c r="K69" i="130"/>
  <c r="J69" i="130"/>
  <c r="G69" i="130"/>
  <c r="F69" i="130"/>
  <c r="D69" i="130"/>
  <c r="C69" i="130"/>
  <c r="L67" i="130"/>
  <c r="H67" i="130"/>
  <c r="H69" i="130" s="1"/>
  <c r="E67" i="130"/>
  <c r="N64" i="130"/>
  <c r="K64" i="130"/>
  <c r="J64" i="130"/>
  <c r="G64" i="130"/>
  <c r="F64" i="130"/>
  <c r="D64" i="130"/>
  <c r="C64" i="130"/>
  <c r="L62" i="130"/>
  <c r="H62" i="130"/>
  <c r="E62" i="130"/>
  <c r="L61" i="130"/>
  <c r="H61" i="130"/>
  <c r="E61" i="130"/>
  <c r="L60" i="130"/>
  <c r="H60" i="130"/>
  <c r="E60" i="130"/>
  <c r="L59" i="130"/>
  <c r="H59" i="130"/>
  <c r="E59" i="130"/>
  <c r="N33" i="130"/>
  <c r="K33" i="130"/>
  <c r="J33" i="130"/>
  <c r="C33" i="130"/>
  <c r="L30" i="130"/>
  <c r="E30" i="130"/>
  <c r="N27" i="130"/>
  <c r="K27" i="130"/>
  <c r="J27" i="130"/>
  <c r="G27" i="130"/>
  <c r="F27" i="130"/>
  <c r="D27" i="130"/>
  <c r="C27" i="130"/>
  <c r="L25" i="130"/>
  <c r="H25" i="130"/>
  <c r="E25" i="130"/>
  <c r="L24" i="130"/>
  <c r="H24" i="130"/>
  <c r="E24" i="130"/>
  <c r="L23" i="130"/>
  <c r="H23" i="130"/>
  <c r="E23" i="130"/>
  <c r="L22" i="130"/>
  <c r="H22" i="130"/>
  <c r="E22" i="130"/>
  <c r="L21" i="130"/>
  <c r="H21" i="130"/>
  <c r="E21" i="130"/>
  <c r="L20" i="130"/>
  <c r="H20" i="130"/>
  <c r="E20" i="130"/>
  <c r="L19" i="130"/>
  <c r="H19" i="130"/>
  <c r="E19" i="130"/>
  <c r="L18" i="130"/>
  <c r="H18" i="130"/>
  <c r="E18" i="130"/>
  <c r="L17" i="130"/>
  <c r="H17" i="130"/>
  <c r="E17" i="130"/>
  <c r="L16" i="130"/>
  <c r="H16" i="130"/>
  <c r="E16" i="130"/>
  <c r="L15" i="130"/>
  <c r="H15" i="130"/>
  <c r="E15" i="130"/>
  <c r="H34" i="129"/>
  <c r="G34" i="129"/>
  <c r="E34" i="129"/>
  <c r="D34" i="129"/>
  <c r="J32" i="129"/>
  <c r="I32" i="129"/>
  <c r="F32" i="129"/>
  <c r="J31" i="129"/>
  <c r="I31" i="129"/>
  <c r="F31" i="129"/>
  <c r="H28" i="129"/>
  <c r="G28" i="129"/>
  <c r="G36" i="129" s="1"/>
  <c r="J26" i="129"/>
  <c r="I26" i="129"/>
  <c r="F26" i="129"/>
  <c r="I25" i="129"/>
  <c r="H22" i="129"/>
  <c r="G22" i="129"/>
  <c r="E22" i="129"/>
  <c r="I20" i="129"/>
  <c r="I19" i="129"/>
  <c r="H16" i="129"/>
  <c r="G16" i="129"/>
  <c r="I14" i="129"/>
  <c r="I13" i="129"/>
  <c r="C111" i="135" l="1"/>
  <c r="I25" i="130"/>
  <c r="G25" i="134"/>
  <c r="I18" i="130"/>
  <c r="M18" i="130" s="1"/>
  <c r="K96" i="135"/>
  <c r="L69" i="130"/>
  <c r="H36" i="129"/>
  <c r="C35" i="130"/>
  <c r="C77" i="130" s="1"/>
  <c r="I16" i="130"/>
  <c r="M16" i="130" s="1"/>
  <c r="N71" i="130"/>
  <c r="M19" i="129" s="1"/>
  <c r="M22" i="129" s="1"/>
  <c r="I67" i="130"/>
  <c r="I69" i="130" s="1"/>
  <c r="D71" i="130"/>
  <c r="I61" i="130"/>
  <c r="M61" i="130" s="1"/>
  <c r="F71" i="130"/>
  <c r="K26" i="129"/>
  <c r="C104" i="137"/>
  <c r="C105" i="137" s="1"/>
  <c r="K32" i="129"/>
  <c r="M25" i="130"/>
  <c r="C71" i="130"/>
  <c r="K35" i="130"/>
  <c r="K77" i="130" s="1"/>
  <c r="I10" i="136"/>
  <c r="K120" i="137"/>
  <c r="I34" i="129"/>
  <c r="I16" i="129"/>
  <c r="J34" i="129"/>
  <c r="I17" i="130"/>
  <c r="M17" i="130" s="1"/>
  <c r="I20" i="130"/>
  <c r="M20" i="130" s="1"/>
  <c r="I59" i="130"/>
  <c r="M59" i="130" s="1"/>
  <c r="I22" i="130"/>
  <c r="M22" i="130" s="1"/>
  <c r="I62" i="130"/>
  <c r="M62" i="130" s="1"/>
  <c r="D104" i="137"/>
  <c r="I23" i="130"/>
  <c r="M23" i="130" s="1"/>
  <c r="N35" i="130"/>
  <c r="D111" i="135"/>
  <c r="I21" i="130"/>
  <c r="M21" i="130" s="1"/>
  <c r="K79" i="135"/>
  <c r="K89" i="135" s="1"/>
  <c r="E69" i="130"/>
  <c r="G81" i="130" s="1"/>
  <c r="F281" i="60" s="1"/>
  <c r="I19" i="130"/>
  <c r="M19" i="130" s="1"/>
  <c r="I24" i="130"/>
  <c r="M24" i="130" s="1"/>
  <c r="F74" i="135"/>
  <c r="M75" i="137"/>
  <c r="I28" i="129"/>
  <c r="I15" i="130"/>
  <c r="M15" i="130" s="1"/>
  <c r="H27" i="130"/>
  <c r="E64" i="130"/>
  <c r="F34" i="129"/>
  <c r="L27" i="130"/>
  <c r="J35" i="130"/>
  <c r="J77" i="130" s="1"/>
  <c r="H64" i="130"/>
  <c r="F85" i="137"/>
  <c r="L64" i="130"/>
  <c r="G71" i="130"/>
  <c r="J111" i="135"/>
  <c r="K75" i="137"/>
  <c r="K85" i="137" s="1"/>
  <c r="J71" i="130"/>
  <c r="F111" i="135"/>
  <c r="D35" i="130"/>
  <c r="D77" i="130" s="1"/>
  <c r="I60" i="130"/>
  <c r="M60" i="130" s="1"/>
  <c r="K71" i="130"/>
  <c r="K112" i="137"/>
  <c r="K117" i="135"/>
  <c r="K113" i="137"/>
  <c r="G104" i="137"/>
  <c r="F70" i="137"/>
  <c r="I70" i="137"/>
  <c r="I87" i="137" s="1"/>
  <c r="G70" i="137"/>
  <c r="J104" i="137"/>
  <c r="K125" i="135"/>
  <c r="F89" i="135"/>
  <c r="L79" i="135"/>
  <c r="C89" i="135"/>
  <c r="I111" i="135"/>
  <c r="C74" i="135"/>
  <c r="D74" i="135"/>
  <c r="D92" i="135" s="1"/>
  <c r="D103" i="135" s="1"/>
  <c r="D104" i="135" s="1"/>
  <c r="I74" i="135"/>
  <c r="I92" i="135" s="1"/>
  <c r="I103" i="135" s="1"/>
  <c r="I104" i="135" s="1"/>
  <c r="E121" i="137"/>
  <c r="E87" i="137"/>
  <c r="K60" i="137"/>
  <c r="I121" i="137"/>
  <c r="E104" i="137"/>
  <c r="J74" i="135"/>
  <c r="J92" i="135" s="1"/>
  <c r="E111" i="135"/>
  <c r="J10" i="136"/>
  <c r="M60" i="137"/>
  <c r="H70" i="137"/>
  <c r="G85" i="137"/>
  <c r="G111" i="135"/>
  <c r="E74" i="135"/>
  <c r="E92" i="135" s="1"/>
  <c r="H111" i="135"/>
  <c r="C70" i="137"/>
  <c r="J85" i="137"/>
  <c r="J87" i="137" s="1"/>
  <c r="I104" i="137"/>
  <c r="K63" i="135"/>
  <c r="G74" i="135"/>
  <c r="G92" i="135" s="1"/>
  <c r="D85" i="137"/>
  <c r="D87" i="137" s="1"/>
  <c r="L63" i="135"/>
  <c r="H74" i="135"/>
  <c r="H92" i="135" s="1"/>
  <c r="F31" i="133"/>
  <c r="L33" i="130"/>
  <c r="E33" i="130"/>
  <c r="E27" i="130"/>
  <c r="I22" i="129"/>
  <c r="K31" i="129"/>
  <c r="K34" i="129" s="1"/>
  <c r="I73" i="130"/>
  <c r="H71" i="130" l="1"/>
  <c r="N77" i="130"/>
  <c r="E10" i="132" s="1"/>
  <c r="E20" i="132" s="1"/>
  <c r="E22" i="132" s="1"/>
  <c r="M13" i="129"/>
  <c r="L71" i="130"/>
  <c r="M67" i="130"/>
  <c r="M69" i="130" s="1"/>
  <c r="L35" i="130"/>
  <c r="L77" i="130" s="1"/>
  <c r="I36" i="129"/>
  <c r="F92" i="135"/>
  <c r="F103" i="135" s="1"/>
  <c r="F104" i="135" s="1"/>
  <c r="H104" i="137"/>
  <c r="H105" i="137" s="1"/>
  <c r="F105" i="137"/>
  <c r="I105" i="137"/>
  <c r="F87" i="137"/>
  <c r="J14" i="129"/>
  <c r="I64" i="130"/>
  <c r="D19" i="129" s="1"/>
  <c r="F27" i="138" s="1"/>
  <c r="H27" i="138" s="1"/>
  <c r="D105" i="137"/>
  <c r="I27" i="130"/>
  <c r="D13" i="129" s="1"/>
  <c r="E35" i="130"/>
  <c r="E77" i="130" s="1"/>
  <c r="M64" i="130"/>
  <c r="G121" i="137"/>
  <c r="E71" i="130"/>
  <c r="G105" i="137"/>
  <c r="J105" i="137"/>
  <c r="J121" i="137"/>
  <c r="F121" i="137"/>
  <c r="E105" i="137"/>
  <c r="G87" i="137"/>
  <c r="C92" i="135"/>
  <c r="C87" i="137"/>
  <c r="G103" i="135"/>
  <c r="G104" i="135" s="1"/>
  <c r="D121" i="137"/>
  <c r="K107" i="135"/>
  <c r="K110" i="135" s="1"/>
  <c r="K111" i="135" s="1"/>
  <c r="K74" i="135"/>
  <c r="I97" i="137"/>
  <c r="E97" i="137"/>
  <c r="E103" i="135"/>
  <c r="E104" i="135" s="1"/>
  <c r="J103" i="135"/>
  <c r="J104" i="135" s="1"/>
  <c r="H103" i="135"/>
  <c r="H104" i="135" s="1"/>
  <c r="K100" i="137"/>
  <c r="K104" i="137" s="1"/>
  <c r="H121" i="137"/>
  <c r="H87" i="137"/>
  <c r="K70" i="137"/>
  <c r="K87" i="137" s="1"/>
  <c r="K89" i="137"/>
  <c r="I75" i="130"/>
  <c r="M73" i="130"/>
  <c r="M75" i="130" s="1"/>
  <c r="M27" i="130"/>
  <c r="F81" i="130" l="1"/>
  <c r="F280" i="60" s="1"/>
  <c r="M25" i="129"/>
  <c r="M28" i="129" s="1"/>
  <c r="M36" i="129" s="1"/>
  <c r="M39" i="129" s="1"/>
  <c r="M16" i="129"/>
  <c r="J13" i="129"/>
  <c r="J16" i="129" s="1"/>
  <c r="F25" i="138"/>
  <c r="H25" i="138" s="1"/>
  <c r="D61" i="129"/>
  <c r="F61" i="129" s="1"/>
  <c r="F80" i="130"/>
  <c r="F277" i="60" s="1"/>
  <c r="F19" i="129"/>
  <c r="H81" i="130" s="1"/>
  <c r="F282" i="60" s="1"/>
  <c r="D25" i="129"/>
  <c r="M71" i="130"/>
  <c r="C103" i="135"/>
  <c r="C104" i="135" s="1"/>
  <c r="I71" i="130"/>
  <c r="D16" i="129"/>
  <c r="F14" i="129"/>
  <c r="F20" i="129"/>
  <c r="G97" i="137"/>
  <c r="D97" i="137"/>
  <c r="J97" i="137"/>
  <c r="F97" i="137"/>
  <c r="K105" i="137"/>
  <c r="K92" i="135"/>
  <c r="K127" i="135" s="1"/>
  <c r="H97" i="137"/>
  <c r="K99" i="135"/>
  <c r="K103" i="135" s="1"/>
  <c r="C121" i="137"/>
  <c r="K92" i="137"/>
  <c r="J19" i="129"/>
  <c r="K20" i="129" l="1"/>
  <c r="E79" i="131"/>
  <c r="F288" i="60" s="1"/>
  <c r="K14" i="129"/>
  <c r="E78" i="131"/>
  <c r="F285" i="60" s="1"/>
  <c r="J25" i="129"/>
  <c r="J28" i="129" s="1"/>
  <c r="J36" i="129" s="1"/>
  <c r="D28" i="129"/>
  <c r="D36" i="129" s="1"/>
  <c r="J20" i="129"/>
  <c r="J22" i="129" s="1"/>
  <c r="K96" i="137"/>
  <c r="K121" i="137" s="1"/>
  <c r="D22" i="129"/>
  <c r="K104" i="135"/>
  <c r="C97" i="137"/>
  <c r="F22" i="129"/>
  <c r="K19" i="129"/>
  <c r="K22" i="129" s="1"/>
  <c r="K97" i="137" l="1"/>
  <c r="B13" i="23"/>
  <c r="BI136" i="1" l="1"/>
  <c r="BI96" i="1" l="1"/>
  <c r="BK1763" i="1" l="1"/>
  <c r="BD1763" i="1" s="1"/>
  <c r="BK1231" i="1"/>
  <c r="BK1185" i="1"/>
  <c r="BK254" i="1" l="1"/>
  <c r="BK270" i="1"/>
  <c r="BK261" i="1"/>
  <c r="BK2127" i="1"/>
  <c r="BK2126" i="1"/>
  <c r="BK2125" i="1"/>
  <c r="BK2124" i="1"/>
  <c r="BK2121" i="1"/>
  <c r="BK2120" i="1"/>
  <c r="BK2119" i="1"/>
  <c r="BD2119" i="1" s="1"/>
  <c r="BK2118" i="1"/>
  <c r="BD2118" i="1" s="1"/>
  <c r="BK2117" i="1"/>
  <c r="BD2117" i="1" s="1"/>
  <c r="BK2116" i="1"/>
  <c r="BD2116" i="1" s="1"/>
  <c r="BK2115" i="1"/>
  <c r="BD2115" i="1" s="1"/>
  <c r="BK2114" i="1"/>
  <c r="BD2114" i="1" s="1"/>
  <c r="BK2113" i="1"/>
  <c r="BD2113" i="1" s="1"/>
  <c r="BK2112" i="1"/>
  <c r="BD2112" i="1" s="1"/>
  <c r="BK2111" i="1"/>
  <c r="BD2111" i="1" s="1"/>
  <c r="BK2110" i="1"/>
  <c r="BD2110" i="1" s="1"/>
  <c r="BK2109" i="1"/>
  <c r="BD2109" i="1" s="1"/>
  <c r="BK2108" i="1"/>
  <c r="BD2108" i="1" s="1"/>
  <c r="BK2107" i="1"/>
  <c r="BD2107" i="1" s="1"/>
  <c r="BK2106" i="1"/>
  <c r="BD2106" i="1" s="1"/>
  <c r="BK2105" i="1"/>
  <c r="BD2105" i="1" s="1"/>
  <c r="BK2104" i="1"/>
  <c r="BD2104" i="1" s="1"/>
  <c r="BK2103" i="1"/>
  <c r="BD2103" i="1" s="1"/>
  <c r="BK2102" i="1"/>
  <c r="BD2102" i="1" s="1"/>
  <c r="BK2101" i="1"/>
  <c r="BD2101" i="1" s="1"/>
  <c r="BK2100" i="1"/>
  <c r="BD2100" i="1" s="1"/>
  <c r="BK2099" i="1"/>
  <c r="BD2099" i="1" s="1"/>
  <c r="BK2098" i="1"/>
  <c r="BD2098" i="1" s="1"/>
  <c r="BK2097" i="1"/>
  <c r="BK2096" i="1"/>
  <c r="BK2095" i="1"/>
  <c r="BK2094" i="1"/>
  <c r="BK2093" i="1"/>
  <c r="BK2092" i="1"/>
  <c r="BK2091" i="1"/>
  <c r="BK2090" i="1"/>
  <c r="BK2089" i="1"/>
  <c r="BK2088" i="1"/>
  <c r="BK2087" i="1"/>
  <c r="BK2086" i="1"/>
  <c r="BK2077" i="1"/>
  <c r="BK2076" i="1"/>
  <c r="BK2075" i="1"/>
  <c r="BK2074" i="1"/>
  <c r="BK2073" i="1"/>
  <c r="BK2072" i="1"/>
  <c r="BK2071" i="1"/>
  <c r="BK2070" i="1"/>
  <c r="BK2069" i="1"/>
  <c r="BK2068" i="1"/>
  <c r="BK2067" i="1"/>
  <c r="BK2066" i="1"/>
  <c r="BK2065" i="1"/>
  <c r="BK2064" i="1"/>
  <c r="BK2063" i="1"/>
  <c r="BK2062" i="1"/>
  <c r="BK2061" i="1"/>
  <c r="BK2060" i="1"/>
  <c r="BK2059" i="1"/>
  <c r="BK2058" i="1"/>
  <c r="BK2057" i="1"/>
  <c r="BK2056" i="1"/>
  <c r="BK2055" i="1"/>
  <c r="BK2054" i="1"/>
  <c r="BK2053" i="1"/>
  <c r="BK2052" i="1"/>
  <c r="BK2051" i="1"/>
  <c r="BK2050" i="1"/>
  <c r="BK2049" i="1"/>
  <c r="BK2048" i="1"/>
  <c r="BK2047" i="1"/>
  <c r="BK2046" i="1"/>
  <c r="BK2045" i="1"/>
  <c r="BK2044" i="1"/>
  <c r="BK2043" i="1"/>
  <c r="BK2042" i="1"/>
  <c r="BK2041" i="1"/>
  <c r="BK2040" i="1"/>
  <c r="BK2039" i="1"/>
  <c r="BK2038" i="1"/>
  <c r="BK2037" i="1"/>
  <c r="BK2036" i="1"/>
  <c r="BK2035" i="1"/>
  <c r="BK2034" i="1"/>
  <c r="BK2033" i="1"/>
  <c r="BK2032" i="1"/>
  <c r="BK2031" i="1"/>
  <c r="BK2030" i="1"/>
  <c r="BK2029" i="1"/>
  <c r="BK2028" i="1"/>
  <c r="BK2027" i="1"/>
  <c r="BK2026" i="1"/>
  <c r="BK2025" i="1"/>
  <c r="BK2024" i="1"/>
  <c r="BK2023" i="1"/>
  <c r="BK2022" i="1"/>
  <c r="BK2021" i="1"/>
  <c r="BK2020" i="1"/>
  <c r="BK2019" i="1"/>
  <c r="BK2018" i="1"/>
  <c r="BK2017" i="1"/>
  <c r="BK2016" i="1"/>
  <c r="BK2015" i="1"/>
  <c r="BK2014" i="1"/>
  <c r="BK2013" i="1"/>
  <c r="BK2012" i="1"/>
  <c r="BK2011" i="1"/>
  <c r="BK2010" i="1"/>
  <c r="BK2009" i="1"/>
  <c r="BK2008" i="1"/>
  <c r="BK2007" i="1"/>
  <c r="BK2006" i="1"/>
  <c r="BK2005" i="1"/>
  <c r="BK2004" i="1"/>
  <c r="BK2003" i="1"/>
  <c r="BK2002" i="1"/>
  <c r="BK2001" i="1"/>
  <c r="BK2000" i="1"/>
  <c r="BK1999" i="1"/>
  <c r="BK1998" i="1"/>
  <c r="BK1997" i="1"/>
  <c r="BK1996" i="1"/>
  <c r="BK1995" i="1"/>
  <c r="BK1994" i="1"/>
  <c r="BK1993" i="1"/>
  <c r="BK1992" i="1"/>
  <c r="BK1991" i="1"/>
  <c r="BK1990" i="1"/>
  <c r="BK1989" i="1"/>
  <c r="BK1988" i="1"/>
  <c r="BK1987" i="1"/>
  <c r="BK1986" i="1"/>
  <c r="BK1985" i="1"/>
  <c r="BK1984" i="1"/>
  <c r="BK1983" i="1"/>
  <c r="BK1982" i="1"/>
  <c r="BK1981" i="1"/>
  <c r="BK1980" i="1"/>
  <c r="BK1979" i="1"/>
  <c r="BK1978" i="1"/>
  <c r="BK1977" i="1"/>
  <c r="BK1976" i="1"/>
  <c r="BK1975" i="1"/>
  <c r="BK1974" i="1"/>
  <c r="BK1973" i="1"/>
  <c r="BK1972" i="1"/>
  <c r="BK1971" i="1"/>
  <c r="BK1970" i="1"/>
  <c r="BK1969" i="1"/>
  <c r="BK1968" i="1"/>
  <c r="BK1967" i="1"/>
  <c r="BK1966" i="1"/>
  <c r="BK1965" i="1"/>
  <c r="BK1964" i="1"/>
  <c r="BK1963" i="1"/>
  <c r="BK1962" i="1"/>
  <c r="BK1961" i="1"/>
  <c r="BK1960" i="1"/>
  <c r="BK1959" i="1"/>
  <c r="BK1958" i="1"/>
  <c r="BK1957" i="1"/>
  <c r="BK1956" i="1"/>
  <c r="BK1955" i="1"/>
  <c r="BK1954" i="1"/>
  <c r="BK1953" i="1"/>
  <c r="BK1952" i="1"/>
  <c r="BK1951" i="1"/>
  <c r="BK1950" i="1"/>
  <c r="BK1949" i="1"/>
  <c r="BK1948" i="1"/>
  <c r="BK1947" i="1"/>
  <c r="BK1946" i="1"/>
  <c r="BK1945" i="1"/>
  <c r="BK1944" i="1"/>
  <c r="BK1943" i="1"/>
  <c r="BK1942" i="1"/>
  <c r="BK1941" i="1"/>
  <c r="BK1940" i="1"/>
  <c r="BK1939" i="1"/>
  <c r="BK1938" i="1"/>
  <c r="BK1937" i="1"/>
  <c r="BK1936" i="1"/>
  <c r="BK1935" i="1"/>
  <c r="BK1934" i="1"/>
  <c r="BK1933" i="1"/>
  <c r="BK1932" i="1"/>
  <c r="BK1931" i="1"/>
  <c r="BK1930" i="1"/>
  <c r="BK1929" i="1"/>
  <c r="BK1928" i="1"/>
  <c r="BK1927" i="1"/>
  <c r="BK1926" i="1"/>
  <c r="BK1925" i="1"/>
  <c r="BK1924" i="1"/>
  <c r="BK1923" i="1"/>
  <c r="BK1922" i="1"/>
  <c r="BK1921" i="1"/>
  <c r="BK1920" i="1"/>
  <c r="BK1919" i="1"/>
  <c r="BK1918" i="1"/>
  <c r="BK1917" i="1"/>
  <c r="BK1916" i="1"/>
  <c r="BK1915" i="1"/>
  <c r="BK1914" i="1"/>
  <c r="BK1913" i="1"/>
  <c r="BK1912" i="1"/>
  <c r="BK1911" i="1"/>
  <c r="BK1910" i="1"/>
  <c r="BK1909" i="1"/>
  <c r="BK1908" i="1"/>
  <c r="BK1907" i="1"/>
  <c r="BK1906" i="1"/>
  <c r="BK1905" i="1"/>
  <c r="BK1904" i="1"/>
  <c r="BK1903" i="1"/>
  <c r="BK1902" i="1"/>
  <c r="BK1901" i="1"/>
  <c r="BK1900" i="1"/>
  <c r="BK1899" i="1"/>
  <c r="BK1898" i="1"/>
  <c r="BK1897" i="1"/>
  <c r="BK1896" i="1"/>
  <c r="BK1895" i="1"/>
  <c r="BK1894" i="1"/>
  <c r="BK1893" i="1"/>
  <c r="BK1892" i="1"/>
  <c r="BK1891" i="1"/>
  <c r="BK1890" i="1"/>
  <c r="BK1889" i="1"/>
  <c r="BK1888" i="1"/>
  <c r="BK1887" i="1"/>
  <c r="BK1886" i="1"/>
  <c r="BK1885" i="1"/>
  <c r="BK1884" i="1"/>
  <c r="BK1883" i="1"/>
  <c r="BK1882" i="1"/>
  <c r="BK1881" i="1"/>
  <c r="BK1880" i="1"/>
  <c r="BK1879" i="1"/>
  <c r="BK1878" i="1"/>
  <c r="BK1877" i="1"/>
  <c r="BK1876" i="1"/>
  <c r="BK1875" i="1"/>
  <c r="BK1874" i="1"/>
  <c r="BK1873" i="1"/>
  <c r="BK1872" i="1"/>
  <c r="BK1871" i="1"/>
  <c r="BK1870" i="1"/>
  <c r="BK1869" i="1"/>
  <c r="BK1868" i="1"/>
  <c r="BK1867" i="1"/>
  <c r="BK1866" i="1"/>
  <c r="BK1865" i="1"/>
  <c r="BK1864" i="1"/>
  <c r="BK1863" i="1"/>
  <c r="BK1862" i="1"/>
  <c r="BK1861" i="1"/>
  <c r="BK1860" i="1"/>
  <c r="BK1859" i="1"/>
  <c r="BK1858" i="1"/>
  <c r="BK1857" i="1"/>
  <c r="BK1856" i="1"/>
  <c r="BK1855" i="1"/>
  <c r="BK1854" i="1"/>
  <c r="BK1846" i="1"/>
  <c r="BK1845" i="1"/>
  <c r="BK1844" i="1"/>
  <c r="BK1843" i="1"/>
  <c r="BK1842" i="1"/>
  <c r="BK1841" i="1"/>
  <c r="BK1840" i="1"/>
  <c r="BK1837" i="1"/>
  <c r="BK1832" i="1"/>
  <c r="BK1765" i="1"/>
  <c r="BK1764" i="1"/>
  <c r="BK1762" i="1"/>
  <c r="BK1761" i="1"/>
  <c r="BK1760" i="1"/>
  <c r="BK1759" i="1"/>
  <c r="BK1758" i="1"/>
  <c r="BK1757" i="1"/>
  <c r="BK1756" i="1"/>
  <c r="BK1755" i="1"/>
  <c r="BK1750" i="1"/>
  <c r="BK1749" i="1"/>
  <c r="BK1745" i="1"/>
  <c r="BK1744" i="1"/>
  <c r="BK1743" i="1"/>
  <c r="BK1742" i="1"/>
  <c r="BK1741" i="1"/>
  <c r="BK1740" i="1"/>
  <c r="BK1739" i="1"/>
  <c r="BK1738" i="1"/>
  <c r="BK1737" i="1"/>
  <c r="BK1736" i="1"/>
  <c r="BK1735" i="1"/>
  <c r="BK1734" i="1"/>
  <c r="BK1733" i="1"/>
  <c r="BK1732" i="1"/>
  <c r="BK1731" i="1"/>
  <c r="BK1730" i="1"/>
  <c r="BK1729" i="1"/>
  <c r="BK1728" i="1"/>
  <c r="BK1727" i="1"/>
  <c r="BK1726" i="1"/>
  <c r="BK1725" i="1"/>
  <c r="BK1724" i="1"/>
  <c r="BK1723" i="1"/>
  <c r="BK1722" i="1"/>
  <c r="BK1721" i="1"/>
  <c r="BK1719" i="1"/>
  <c r="BK1714" i="1"/>
  <c r="BK1703" i="1"/>
  <c r="BK1567" i="1"/>
  <c r="BK1566" i="1"/>
  <c r="BK1565" i="1"/>
  <c r="BK1563" i="1"/>
  <c r="BK1562" i="1"/>
  <c r="BK1561" i="1"/>
  <c r="BK1559" i="1"/>
  <c r="BK1558" i="1"/>
  <c r="BK1557" i="1"/>
  <c r="BK1555" i="1"/>
  <c r="BK1554" i="1"/>
  <c r="BK1553" i="1"/>
  <c r="BK1552" i="1"/>
  <c r="BK1551" i="1"/>
  <c r="BK1550" i="1"/>
  <c r="BK1549" i="1"/>
  <c r="BK1548" i="1"/>
  <c r="BK1547" i="1"/>
  <c r="BK1546" i="1"/>
  <c r="BK1545" i="1"/>
  <c r="BK1544" i="1"/>
  <c r="BK1543" i="1"/>
  <c r="BK1542" i="1"/>
  <c r="BK1535" i="1"/>
  <c r="BK1534" i="1"/>
  <c r="BK1533" i="1"/>
  <c r="BK1532" i="1"/>
  <c r="BK1531" i="1"/>
  <c r="BK1530" i="1"/>
  <c r="BK1529" i="1"/>
  <c r="BK1528" i="1"/>
  <c r="BK1527" i="1"/>
  <c r="BK1526" i="1"/>
  <c r="BK1525" i="1"/>
  <c r="BK1524" i="1"/>
  <c r="BK1523" i="1"/>
  <c r="BK1522" i="1"/>
  <c r="BK1521" i="1"/>
  <c r="BK1520" i="1"/>
  <c r="BK1519" i="1"/>
  <c r="BK1518" i="1"/>
  <c r="BK1517" i="1"/>
  <c r="BK1516" i="1"/>
  <c r="BK1515" i="1"/>
  <c r="BK1514" i="1"/>
  <c r="BK1513" i="1"/>
  <c r="BK1512" i="1"/>
  <c r="BK1511" i="1"/>
  <c r="BK1510" i="1"/>
  <c r="BK1509" i="1"/>
  <c r="BK1508" i="1"/>
  <c r="BK1507" i="1"/>
  <c r="BK1506" i="1"/>
  <c r="BK1505" i="1"/>
  <c r="BK1504" i="1"/>
  <c r="BK1503" i="1"/>
  <c r="BK1502" i="1"/>
  <c r="BK1501" i="1"/>
  <c r="BK1500" i="1"/>
  <c r="BK1499" i="1"/>
  <c r="BK1498" i="1"/>
  <c r="BK1497" i="1"/>
  <c r="BK1496" i="1"/>
  <c r="BK1495" i="1"/>
  <c r="BK1494" i="1"/>
  <c r="BK1493" i="1"/>
  <c r="BK1492" i="1"/>
  <c r="BK1491" i="1"/>
  <c r="BK1490" i="1"/>
  <c r="BK1489" i="1"/>
  <c r="BK1488" i="1"/>
  <c r="BK1487" i="1"/>
  <c r="BK1486" i="1"/>
  <c r="BK1485" i="1"/>
  <c r="BK1484" i="1"/>
  <c r="BK1483" i="1"/>
  <c r="BK1482" i="1"/>
  <c r="BK1481" i="1"/>
  <c r="BK1480" i="1"/>
  <c r="BK1479" i="1"/>
  <c r="BK1478" i="1"/>
  <c r="BK1477" i="1"/>
  <c r="BK1476" i="1"/>
  <c r="BK1475" i="1"/>
  <c r="BK1474" i="1"/>
  <c r="BK1473" i="1"/>
  <c r="BK1472" i="1"/>
  <c r="BK1471" i="1"/>
  <c r="BK1470" i="1"/>
  <c r="BK1469" i="1"/>
  <c r="BK1468" i="1"/>
  <c r="BK1467" i="1"/>
  <c r="BK1466" i="1"/>
  <c r="BK1465" i="1"/>
  <c r="BK1464" i="1"/>
  <c r="BK1463" i="1"/>
  <c r="BK1462" i="1"/>
  <c r="BK1461" i="1"/>
  <c r="BK1460" i="1"/>
  <c r="BK1459" i="1"/>
  <c r="BK1458" i="1"/>
  <c r="BK1457" i="1"/>
  <c r="BK1456" i="1"/>
  <c r="BK1455" i="1"/>
  <c r="BK1454" i="1"/>
  <c r="BK1453" i="1"/>
  <c r="BK1452" i="1"/>
  <c r="BK1451" i="1"/>
  <c r="BK1450" i="1"/>
  <c r="BK1449" i="1"/>
  <c r="BK1448" i="1"/>
  <c r="BK1447" i="1"/>
  <c r="BK1446" i="1"/>
  <c r="BK1445" i="1"/>
  <c r="BK1444" i="1"/>
  <c r="BK1443" i="1"/>
  <c r="BK1442" i="1"/>
  <c r="BK1441" i="1"/>
  <c r="BK1440" i="1"/>
  <c r="BK1439" i="1"/>
  <c r="BK1438" i="1"/>
  <c r="BK1437" i="1"/>
  <c r="BK1436" i="1"/>
  <c r="BK1435" i="1"/>
  <c r="BK1434" i="1"/>
  <c r="BK1433" i="1"/>
  <c r="BK1432" i="1"/>
  <c r="BK1431" i="1"/>
  <c r="BK1430" i="1"/>
  <c r="BK1429" i="1"/>
  <c r="BK1428" i="1"/>
  <c r="BK1427" i="1"/>
  <c r="BK1426" i="1"/>
  <c r="BK1425" i="1"/>
  <c r="BK1424" i="1"/>
  <c r="BK1423" i="1"/>
  <c r="BK1422" i="1"/>
  <c r="BK1421" i="1"/>
  <c r="BK1420" i="1"/>
  <c r="BK1419" i="1"/>
  <c r="BK1418" i="1"/>
  <c r="BK1417" i="1"/>
  <c r="BK1416" i="1"/>
  <c r="BK1415" i="1"/>
  <c r="BK1414" i="1"/>
  <c r="BK1413" i="1"/>
  <c r="BK1412" i="1"/>
  <c r="BK1411" i="1"/>
  <c r="BK1410" i="1"/>
  <c r="BK1409" i="1"/>
  <c r="BK1408" i="1"/>
  <c r="BK1407" i="1"/>
  <c r="BK1406" i="1"/>
  <c r="BK1405" i="1"/>
  <c r="BK1404" i="1"/>
  <c r="BK1403" i="1"/>
  <c r="BK1402" i="1"/>
  <c r="BK1401" i="1"/>
  <c r="BK1400" i="1"/>
  <c r="BK1399" i="1"/>
  <c r="BK1398" i="1"/>
  <c r="BK1397" i="1"/>
  <c r="BK1396" i="1"/>
  <c r="BK1395" i="1"/>
  <c r="BK1394" i="1"/>
  <c r="BK1393" i="1"/>
  <c r="BK1392" i="1"/>
  <c r="BK1391" i="1"/>
  <c r="BK1390" i="1"/>
  <c r="BK1389" i="1"/>
  <c r="BK1388" i="1"/>
  <c r="BK1387" i="1"/>
  <c r="BK1386" i="1"/>
  <c r="BK1385" i="1"/>
  <c r="BK1384" i="1"/>
  <c r="BK1383" i="1"/>
  <c r="BK1382" i="1"/>
  <c r="BK1381" i="1"/>
  <c r="BK1376" i="1"/>
  <c r="BK1375" i="1"/>
  <c r="BK1374" i="1"/>
  <c r="BK1373" i="1"/>
  <c r="BK1372" i="1"/>
  <c r="BK1371" i="1"/>
  <c r="BK1370" i="1"/>
  <c r="BK1369" i="1"/>
  <c r="BK1368" i="1"/>
  <c r="BK1367" i="1"/>
  <c r="BK1366" i="1"/>
  <c r="BK1365" i="1"/>
  <c r="BK1364" i="1"/>
  <c r="BK1363" i="1"/>
  <c r="BK1362" i="1"/>
  <c r="BK1361" i="1"/>
  <c r="BK1360" i="1"/>
  <c r="BK1359" i="1"/>
  <c r="BK1358" i="1"/>
  <c r="BK1357" i="1"/>
  <c r="BK1356" i="1"/>
  <c r="BK1355" i="1"/>
  <c r="BK1354" i="1"/>
  <c r="BK1353" i="1"/>
  <c r="BK1352" i="1"/>
  <c r="BK1351" i="1"/>
  <c r="BK1350" i="1"/>
  <c r="BK1349" i="1"/>
  <c r="BK1348" i="1"/>
  <c r="BK1347" i="1"/>
  <c r="BK1346" i="1"/>
  <c r="BK1345" i="1"/>
  <c r="BK1344" i="1"/>
  <c r="BK1343" i="1"/>
  <c r="BK1342" i="1"/>
  <c r="BK1341" i="1"/>
  <c r="BK1340" i="1"/>
  <c r="BK1339" i="1"/>
  <c r="BK1338" i="1"/>
  <c r="BK1337" i="1"/>
  <c r="BK1336" i="1"/>
  <c r="BK1335" i="1"/>
  <c r="BK1334" i="1"/>
  <c r="BK1333" i="1"/>
  <c r="BK1332" i="1"/>
  <c r="BK1331" i="1"/>
  <c r="BK1330" i="1"/>
  <c r="BK1329" i="1"/>
  <c r="BK1321" i="1"/>
  <c r="BK1320" i="1"/>
  <c r="BK1319" i="1"/>
  <c r="BK1318" i="1"/>
  <c r="BK1317" i="1"/>
  <c r="BK1316" i="1"/>
  <c r="BK1315" i="1"/>
  <c r="BK1314" i="1"/>
  <c r="BK1313" i="1"/>
  <c r="BK1312" i="1"/>
  <c r="BK1308" i="1"/>
  <c r="BK1270" i="1"/>
  <c r="BK1269" i="1"/>
  <c r="BK1267" i="1"/>
  <c r="BK1254" i="1"/>
  <c r="BK1236" i="1"/>
  <c r="BK1235" i="1"/>
  <c r="BK1234" i="1"/>
  <c r="BK1233" i="1"/>
  <c r="BK1232" i="1"/>
  <c r="BK1222" i="1"/>
  <c r="BK1221" i="1"/>
  <c r="BK1220" i="1"/>
  <c r="BK1219" i="1"/>
  <c r="BK1218" i="1"/>
  <c r="BK1216" i="1"/>
  <c r="BK1215" i="1"/>
  <c r="BK1214" i="1"/>
  <c r="BK1213" i="1"/>
  <c r="BK1212" i="1"/>
  <c r="BK1211" i="1"/>
  <c r="BK1210" i="1"/>
  <c r="BK1208" i="1"/>
  <c r="BK1207" i="1"/>
  <c r="BK1206" i="1"/>
  <c r="BK1205" i="1"/>
  <c r="BK1204" i="1"/>
  <c r="BK1203" i="1"/>
  <c r="BK1202" i="1"/>
  <c r="BK1201" i="1"/>
  <c r="BK1200" i="1"/>
  <c r="BK1199" i="1"/>
  <c r="BK1198" i="1"/>
  <c r="BK1197" i="1"/>
  <c r="BK1196" i="1"/>
  <c r="BK1195" i="1"/>
  <c r="BK1194" i="1"/>
  <c r="BK1193" i="1"/>
  <c r="BK1192" i="1"/>
  <c r="BK1191" i="1"/>
  <c r="BK1190" i="1"/>
  <c r="BK1189" i="1"/>
  <c r="BK1188" i="1"/>
  <c r="BK1187" i="1"/>
  <c r="BK1186" i="1"/>
  <c r="BK1184" i="1"/>
  <c r="BK1183" i="1"/>
  <c r="BK1182" i="1"/>
  <c r="BK1181" i="1"/>
  <c r="BK1180" i="1"/>
  <c r="BK1179" i="1"/>
  <c r="BK1178" i="1"/>
  <c r="BK1177" i="1"/>
  <c r="BK1176" i="1"/>
  <c r="BK1175" i="1"/>
  <c r="BK1174" i="1"/>
  <c r="BK1173" i="1"/>
  <c r="BK1172" i="1"/>
  <c r="BK1171" i="1"/>
  <c r="BK1170" i="1"/>
  <c r="BK1169" i="1"/>
  <c r="BK1168" i="1"/>
  <c r="BK1167" i="1"/>
  <c r="BK1166" i="1"/>
  <c r="BK1165" i="1"/>
  <c r="BK1164" i="1"/>
  <c r="BK1163" i="1"/>
  <c r="BK1162" i="1"/>
  <c r="BK1161" i="1"/>
  <c r="BK1160" i="1"/>
  <c r="BK1159" i="1"/>
  <c r="BK1158" i="1"/>
  <c r="BK1155" i="1"/>
  <c r="BK1154" i="1"/>
  <c r="BK1153" i="1"/>
  <c r="BK1152" i="1"/>
  <c r="BK1151" i="1"/>
  <c r="BK1147" i="1"/>
  <c r="BK1146" i="1"/>
  <c r="BK1145" i="1"/>
  <c r="BK1144" i="1"/>
  <c r="BK1143" i="1"/>
  <c r="BK1142" i="1"/>
  <c r="BK1141" i="1"/>
  <c r="BK1140" i="1"/>
  <c r="BK1139" i="1"/>
  <c r="BK1138" i="1"/>
  <c r="BK1137" i="1"/>
  <c r="BK1136" i="1"/>
  <c r="BK1130" i="1"/>
  <c r="BK1114" i="1"/>
  <c r="BK1100" i="1"/>
  <c r="BK1094" i="1"/>
  <c r="BK1078" i="1"/>
  <c r="BK1064" i="1"/>
  <c r="BK1058" i="1"/>
  <c r="BK1042" i="1"/>
  <c r="BK1028" i="1"/>
  <c r="BK1022" i="1"/>
  <c r="BK1006" i="1"/>
  <c r="BK992" i="1"/>
  <c r="BK986" i="1"/>
  <c r="BK970" i="1"/>
  <c r="BK956" i="1"/>
  <c r="BK950" i="1"/>
  <c r="BK934" i="1"/>
  <c r="BK920" i="1"/>
  <c r="BK914" i="1"/>
  <c r="BK898" i="1"/>
  <c r="BK884" i="1"/>
  <c r="BK878" i="1"/>
  <c r="BK862" i="1"/>
  <c r="BK848" i="1"/>
  <c r="BK847" i="1"/>
  <c r="BK846" i="1"/>
  <c r="BK845" i="1"/>
  <c r="BK844" i="1"/>
  <c r="BK843" i="1"/>
  <c r="BK842" i="1"/>
  <c r="BK841" i="1"/>
  <c r="BK840" i="1"/>
  <c r="BK839" i="1"/>
  <c r="BK838" i="1"/>
  <c r="BK837" i="1"/>
  <c r="BK836" i="1"/>
  <c r="BK835" i="1"/>
  <c r="BK834" i="1"/>
  <c r="BK833" i="1"/>
  <c r="BK832" i="1"/>
  <c r="BK831" i="1"/>
  <c r="BK830" i="1"/>
  <c r="BK829" i="1"/>
  <c r="BK828" i="1"/>
  <c r="BK827" i="1"/>
  <c r="BK826" i="1"/>
  <c r="BK825" i="1"/>
  <c r="BK824" i="1"/>
  <c r="BK823" i="1"/>
  <c r="BK822" i="1"/>
  <c r="BK821" i="1"/>
  <c r="BK820" i="1"/>
  <c r="BK819" i="1"/>
  <c r="BK818" i="1"/>
  <c r="BK817" i="1"/>
  <c r="BK816" i="1"/>
  <c r="BK815" i="1"/>
  <c r="BK814" i="1"/>
  <c r="BK813" i="1"/>
  <c r="BK812" i="1"/>
  <c r="BK811" i="1"/>
  <c r="BK810" i="1"/>
  <c r="BK809" i="1"/>
  <c r="BK808" i="1"/>
  <c r="BK807" i="1"/>
  <c r="BK806" i="1"/>
  <c r="BK805" i="1"/>
  <c r="BK804" i="1"/>
  <c r="BK803" i="1"/>
  <c r="BK802" i="1"/>
  <c r="BK801" i="1"/>
  <c r="BK800" i="1"/>
  <c r="BK799" i="1"/>
  <c r="BK798" i="1"/>
  <c r="BK797" i="1"/>
  <c r="BK796" i="1"/>
  <c r="BK790" i="1"/>
  <c r="BK759" i="1"/>
  <c r="BK758" i="1"/>
  <c r="BK752" i="1"/>
  <c r="BK721" i="1"/>
  <c r="BK720" i="1"/>
  <c r="BK714" i="1"/>
  <c r="BK683" i="1"/>
  <c r="BK682" i="1"/>
  <c r="BK676" i="1"/>
  <c r="BK645" i="1"/>
  <c r="BK644" i="1"/>
  <c r="BK638" i="1"/>
  <c r="BK607" i="1"/>
  <c r="BK606" i="1"/>
  <c r="BK600" i="1"/>
  <c r="BK569" i="1"/>
  <c r="BK568" i="1"/>
  <c r="BK562" i="1"/>
  <c r="BK531" i="1"/>
  <c r="BK525" i="1"/>
  <c r="BK494" i="1"/>
  <c r="BK493" i="1"/>
  <c r="BK492" i="1"/>
  <c r="BK491" i="1"/>
  <c r="BK490" i="1"/>
  <c r="BK489" i="1"/>
  <c r="BK488" i="1"/>
  <c r="BK487" i="1"/>
  <c r="BK486" i="1"/>
  <c r="BK485" i="1"/>
  <c r="BK484" i="1"/>
  <c r="BK483" i="1"/>
  <c r="BK482" i="1"/>
  <c r="BK481" i="1"/>
  <c r="BK470" i="1"/>
  <c r="BK461" i="1"/>
  <c r="BK460" i="1"/>
  <c r="BK436" i="1"/>
  <c r="BK435" i="1"/>
  <c r="BK434" i="1"/>
  <c r="BK433" i="1"/>
  <c r="BK432" i="1"/>
  <c r="BK430" i="1"/>
  <c r="BK427" i="1"/>
  <c r="BK407" i="1"/>
  <c r="BK391" i="1"/>
  <c r="BK390" i="1"/>
  <c r="BK389" i="1"/>
  <c r="BK373" i="1"/>
  <c r="BK359" i="1"/>
  <c r="BK358" i="1"/>
  <c r="BK357" i="1"/>
  <c r="BK356" i="1"/>
  <c r="BK355" i="1"/>
  <c r="BK354" i="1"/>
  <c r="BK353" i="1"/>
  <c r="BK352" i="1"/>
  <c r="BK351" i="1"/>
  <c r="BK350" i="1"/>
  <c r="BK349" i="1"/>
  <c r="BK348" i="1"/>
  <c r="BK347" i="1"/>
  <c r="BK346" i="1"/>
  <c r="BK345" i="1"/>
  <c r="BK344" i="1"/>
  <c r="BK343" i="1"/>
  <c r="BK342" i="1"/>
  <c r="BK341" i="1"/>
  <c r="BK340" i="1"/>
  <c r="BK339" i="1"/>
  <c r="BK338" i="1"/>
  <c r="BK337" i="1"/>
  <c r="BK336" i="1"/>
  <c r="BK335" i="1"/>
  <c r="BK334" i="1"/>
  <c r="BK333" i="1"/>
  <c r="BK332" i="1"/>
  <c r="BK331" i="1"/>
  <c r="BK330" i="1"/>
  <c r="BK329" i="1"/>
  <c r="BK328" i="1"/>
  <c r="BK327" i="1"/>
  <c r="BK326" i="1"/>
  <c r="BK325" i="1"/>
  <c r="BK324" i="1"/>
  <c r="BK323" i="1"/>
  <c r="BK322" i="1"/>
  <c r="BK321" i="1"/>
  <c r="BK320" i="1"/>
  <c r="BK319" i="1"/>
  <c r="BK318" i="1"/>
  <c r="BK317" i="1"/>
  <c r="BK316" i="1"/>
  <c r="BK315" i="1"/>
  <c r="BK314" i="1"/>
  <c r="BK313" i="1"/>
  <c r="BK312" i="1"/>
  <c r="BK311" i="1"/>
  <c r="BK310" i="1"/>
  <c r="BK309" i="1"/>
  <c r="BK308" i="1"/>
  <c r="BK307" i="1"/>
  <c r="BK306" i="1"/>
  <c r="BK305" i="1"/>
  <c r="BK304" i="1"/>
  <c r="BK303" i="1"/>
  <c r="BK302" i="1"/>
  <c r="BK301" i="1"/>
  <c r="BK300" i="1"/>
  <c r="BK299" i="1"/>
  <c r="BK298" i="1"/>
  <c r="BK297" i="1"/>
  <c r="BK296" i="1"/>
  <c r="BK295" i="1"/>
  <c r="BK294" i="1"/>
  <c r="BK293" i="1"/>
  <c r="BK292" i="1"/>
  <c r="BK291" i="1"/>
  <c r="BK290" i="1"/>
  <c r="BK289" i="1"/>
  <c r="BK288" i="1"/>
  <c r="BK287" i="1"/>
  <c r="BK286" i="1"/>
  <c r="BK285" i="1"/>
  <c r="BK284" i="1"/>
  <c r="BK283" i="1"/>
  <c r="BK282" i="1"/>
  <c r="BK281" i="1"/>
  <c r="BK280" i="1"/>
  <c r="BK279" i="1"/>
  <c r="BK278" i="1"/>
  <c r="BK277" i="1"/>
  <c r="BK276" i="1"/>
  <c r="BK275" i="1"/>
  <c r="BK274" i="1"/>
  <c r="BK273" i="1"/>
  <c r="BK272" i="1"/>
  <c r="BK271" i="1"/>
  <c r="BK269" i="1"/>
  <c r="BK268" i="1"/>
  <c r="BK267" i="1"/>
  <c r="BK266" i="1"/>
  <c r="BK265" i="1"/>
  <c r="BK264" i="1"/>
  <c r="BK263" i="1"/>
  <c r="BK262" i="1"/>
  <c r="BK260" i="1"/>
  <c r="BK259" i="1"/>
  <c r="BK258" i="1"/>
  <c r="BK257" i="1"/>
  <c r="BK256" i="1"/>
  <c r="BK255" i="1"/>
  <c r="BK253" i="1"/>
  <c r="BK252" i="1"/>
  <c r="BK251" i="1"/>
  <c r="BK207" i="1"/>
  <c r="BK202" i="1"/>
  <c r="BK178" i="1"/>
  <c r="BK164" i="1"/>
  <c r="BK152" i="1"/>
  <c r="BK147" i="1"/>
  <c r="BK146" i="1"/>
  <c r="BK133" i="1"/>
  <c r="BK120" i="1"/>
  <c r="BK95" i="1"/>
  <c r="BK94" i="1"/>
  <c r="BK93" i="1"/>
  <c r="BK88" i="1"/>
  <c r="BK87" i="1"/>
  <c r="BK86" i="1"/>
  <c r="BK84" i="1"/>
  <c r="BK73" i="1"/>
  <c r="BK71" i="1"/>
  <c r="BK62" i="1"/>
  <c r="BK60" i="1"/>
  <c r="BK50" i="1"/>
  <c r="BK42" i="1"/>
  <c r="BK41" i="1"/>
  <c r="BK35" i="1"/>
  <c r="BK31" i="1"/>
  <c r="BK30" i="1"/>
  <c r="BK23" i="1"/>
  <c r="BK12" i="1"/>
  <c r="H20" i="61" l="1"/>
  <c r="G21" i="61"/>
  <c r="W1860" i="1" l="1"/>
  <c r="N1860" i="1" s="1"/>
  <c r="BD1860" i="1"/>
  <c r="H37" i="73"/>
  <c r="D37" i="73"/>
  <c r="W2104" i="1"/>
  <c r="T2104" i="1" s="1"/>
  <c r="N2104" i="1" s="1"/>
  <c r="C54" i="12" s="1"/>
  <c r="L38" i="87"/>
  <c r="L37" i="87"/>
  <c r="K38" i="87"/>
  <c r="K37" i="87"/>
  <c r="I40" i="87"/>
  <c r="I15" i="87" s="1"/>
  <c r="H40" i="87"/>
  <c r="H15" i="87" s="1"/>
  <c r="F40" i="87"/>
  <c r="F15" i="87" s="1"/>
  <c r="E40" i="87"/>
  <c r="E15" i="87" s="1"/>
  <c r="C40" i="87"/>
  <c r="C15" i="87" s="1"/>
  <c r="B40" i="87"/>
  <c r="B15" i="87" s="1"/>
  <c r="AE37" i="73" l="1"/>
  <c r="AD37" i="73"/>
  <c r="K40" i="87"/>
  <c r="U1860" i="1"/>
  <c r="L40" i="87"/>
  <c r="K15" i="87"/>
  <c r="T1860" i="1" l="1"/>
  <c r="D54" i="12" s="1"/>
  <c r="F54" i="12" s="1"/>
  <c r="CM1860" i="1"/>
  <c r="CP1860" i="1" s="1"/>
  <c r="C8" i="117"/>
  <c r="R106" i="1" l="1"/>
  <c r="D62" i="74" l="1"/>
  <c r="C62" i="74"/>
  <c r="L36" i="81"/>
  <c r="L52" i="81"/>
  <c r="L51" i="81"/>
  <c r="L50" i="81"/>
  <c r="L39" i="81"/>
  <c r="L38" i="81"/>
  <c r="L37" i="81"/>
  <c r="L35" i="81"/>
  <c r="L34" i="81"/>
  <c r="L33" i="81"/>
  <c r="L32" i="81"/>
  <c r="L31" i="81"/>
  <c r="L22" i="81"/>
  <c r="L21" i="81"/>
  <c r="L20" i="81"/>
  <c r="L19" i="81"/>
  <c r="L18" i="81"/>
  <c r="L17" i="81"/>
  <c r="L16" i="81"/>
  <c r="L15" i="81"/>
  <c r="L14" i="81"/>
  <c r="J52" i="81"/>
  <c r="J51" i="81"/>
  <c r="J32" i="81"/>
  <c r="J33" i="81"/>
  <c r="J34" i="81"/>
  <c r="J35" i="81"/>
  <c r="J36" i="81"/>
  <c r="J37" i="81"/>
  <c r="J38" i="81"/>
  <c r="J39" i="81"/>
  <c r="J31" i="81"/>
  <c r="J22" i="81"/>
  <c r="J13" i="81"/>
  <c r="J14" i="81"/>
  <c r="J15" i="81"/>
  <c r="J16" i="81"/>
  <c r="J17" i="81"/>
  <c r="J18" i="81"/>
  <c r="J19" i="81"/>
  <c r="J20" i="81"/>
  <c r="J21" i="81"/>
  <c r="J48" i="82"/>
  <c r="J47" i="82"/>
  <c r="J46" i="82"/>
  <c r="J27" i="82"/>
  <c r="J28" i="82"/>
  <c r="J29" i="82"/>
  <c r="J30" i="82"/>
  <c r="J31" i="82"/>
  <c r="J32" i="82"/>
  <c r="J33" i="82"/>
  <c r="J34" i="82"/>
  <c r="J35" i="82"/>
  <c r="J26" i="82"/>
  <c r="J11" i="82"/>
  <c r="J12" i="82"/>
  <c r="J13" i="82"/>
  <c r="J14" i="82"/>
  <c r="J15" i="82"/>
  <c r="J16" i="82"/>
  <c r="J17" i="82"/>
  <c r="J18" i="82"/>
  <c r="J19" i="82"/>
  <c r="J20" i="82"/>
  <c r="J10" i="82"/>
  <c r="C175" i="71" l="1"/>
  <c r="L25" i="81"/>
  <c r="L41" i="81"/>
  <c r="V13" i="81"/>
  <c r="AG13" i="81"/>
  <c r="AF13" i="81"/>
  <c r="B20" i="86"/>
  <c r="B10" i="86"/>
  <c r="B19" i="86"/>
  <c r="B11" i="86"/>
  <c r="J37" i="82"/>
  <c r="J23" i="82"/>
  <c r="J40" i="82" l="1"/>
  <c r="I18" i="28"/>
  <c r="G18" i="28"/>
  <c r="S2064" i="1" l="1"/>
  <c r="S2065" i="1"/>
  <c r="S2066" i="1"/>
  <c r="S2067" i="1"/>
  <c r="S2068" i="1"/>
  <c r="S2069" i="1"/>
  <c r="W2069" i="1"/>
  <c r="T2069" i="1" s="1"/>
  <c r="K2049" i="1"/>
  <c r="W2049" i="1"/>
  <c r="T2049" i="1" s="1"/>
  <c r="K2048" i="1"/>
  <c r="W2048" i="1"/>
  <c r="T2048" i="1" s="1"/>
  <c r="BJ2048" i="1"/>
  <c r="BJ2049" i="1" s="1"/>
  <c r="BI2048" i="1"/>
  <c r="BI2049" i="1" s="1"/>
  <c r="BH2048" i="1"/>
  <c r="BH2049" i="1" s="1"/>
  <c r="BG2048" i="1"/>
  <c r="BG2049" i="1" s="1"/>
  <c r="BF2048" i="1"/>
  <c r="BF2049" i="1" s="1"/>
  <c r="BE2048" i="1"/>
  <c r="BE2049" i="1" s="1"/>
  <c r="BA2048" i="1"/>
  <c r="BA2049" i="1" s="1"/>
  <c r="AX2048" i="1"/>
  <c r="K2064" i="1"/>
  <c r="K2065" i="1"/>
  <c r="K2066" i="1"/>
  <c r="K2067" i="1"/>
  <c r="K2068" i="1"/>
  <c r="W2064" i="1"/>
  <c r="T2064" i="1" s="1"/>
  <c r="W2065" i="1"/>
  <c r="T2065" i="1" s="1"/>
  <c r="W2066" i="1"/>
  <c r="T2066" i="1" s="1"/>
  <c r="W2067" i="1"/>
  <c r="T2067" i="1" s="1"/>
  <c r="N2067" i="1" s="1"/>
  <c r="W2068" i="1"/>
  <c r="T2068" i="1" s="1"/>
  <c r="K2063" i="1"/>
  <c r="K2062" i="1"/>
  <c r="K2061" i="1"/>
  <c r="K2060" i="1"/>
  <c r="K2059" i="1"/>
  <c r="K2058" i="1"/>
  <c r="K2057" i="1"/>
  <c r="K2056" i="1"/>
  <c r="K2055" i="1"/>
  <c r="K2054" i="1"/>
  <c r="K2053" i="1"/>
  <c r="K2052" i="1"/>
  <c r="K2051" i="1"/>
  <c r="W2063" i="1"/>
  <c r="T2063" i="1" s="1"/>
  <c r="W2062" i="1"/>
  <c r="T2062" i="1" s="1"/>
  <c r="J44" i="50" s="1"/>
  <c r="W2061" i="1"/>
  <c r="T2061" i="1" s="1"/>
  <c r="J41" i="50" s="1"/>
  <c r="W2060" i="1"/>
  <c r="T2060" i="1" s="1"/>
  <c r="J39" i="50" s="1"/>
  <c r="W2059" i="1"/>
  <c r="T2059" i="1" s="1"/>
  <c r="J36" i="50" s="1"/>
  <c r="W2058" i="1"/>
  <c r="T2058" i="1" s="1"/>
  <c r="J35" i="50" s="1"/>
  <c r="W2057" i="1"/>
  <c r="T2057" i="1" s="1"/>
  <c r="J34" i="50" s="1"/>
  <c r="W2056" i="1"/>
  <c r="T2056" i="1" s="1"/>
  <c r="W2055" i="1"/>
  <c r="T2055" i="1" s="1"/>
  <c r="W2054" i="1"/>
  <c r="T2054" i="1" s="1"/>
  <c r="W2053" i="1"/>
  <c r="T2053" i="1" s="1"/>
  <c r="W2052" i="1"/>
  <c r="T2052" i="1" s="1"/>
  <c r="J19" i="50" s="1"/>
  <c r="W2051" i="1"/>
  <c r="T2051" i="1" s="1"/>
  <c r="J18" i="50" s="1"/>
  <c r="BJ2063" i="1"/>
  <c r="BI2063" i="1"/>
  <c r="BH2063" i="1"/>
  <c r="BG2063" i="1"/>
  <c r="BF2063" i="1"/>
  <c r="BE2063" i="1"/>
  <c r="BA2063" i="1"/>
  <c r="AX2063" i="1"/>
  <c r="BD2062" i="1"/>
  <c r="S2062" i="1" s="1"/>
  <c r="BD2061" i="1"/>
  <c r="S2061" i="1" s="1"/>
  <c r="BD2060" i="1"/>
  <c r="S2060" i="1" s="1"/>
  <c r="BD2059" i="1"/>
  <c r="S2059" i="1" s="1"/>
  <c r="BD2058" i="1"/>
  <c r="S2058" i="1" s="1"/>
  <c r="BD2057" i="1"/>
  <c r="S2057" i="1" s="1"/>
  <c r="BD2056" i="1"/>
  <c r="S2056" i="1" s="1"/>
  <c r="BD2055" i="1"/>
  <c r="S2055" i="1" s="1"/>
  <c r="BD2054" i="1"/>
  <c r="S2054" i="1" s="1"/>
  <c r="BD2053" i="1"/>
  <c r="S2053" i="1" s="1"/>
  <c r="BD2052" i="1"/>
  <c r="S2052" i="1" s="1"/>
  <c r="BD2051" i="1"/>
  <c r="S2051" i="1" s="1"/>
  <c r="K2046" i="1"/>
  <c r="W2046" i="1"/>
  <c r="T2046" i="1" s="1"/>
  <c r="BD2050" i="1"/>
  <c r="S2050" i="1" s="1"/>
  <c r="N2050" i="1" s="1"/>
  <c r="BD2047" i="1"/>
  <c r="S2047" i="1" s="1"/>
  <c r="BD2046" i="1"/>
  <c r="S2046" i="1" s="1"/>
  <c r="W2111" i="1"/>
  <c r="W2102" i="1"/>
  <c r="W2113" i="1"/>
  <c r="W2109" i="1"/>
  <c r="N2068" i="1" l="1"/>
  <c r="N2069" i="1"/>
  <c r="AX2049" i="1"/>
  <c r="BD2048" i="1"/>
  <c r="S2048" i="1" s="1"/>
  <c r="N2048" i="1" s="1"/>
  <c r="BD2049" i="1"/>
  <c r="S2049" i="1" s="1"/>
  <c r="N2049" i="1" s="1"/>
  <c r="J23" i="50"/>
  <c r="J66" i="50"/>
  <c r="N2066" i="1"/>
  <c r="J37" i="50"/>
  <c r="N2065" i="1"/>
  <c r="F60" i="50" s="1"/>
  <c r="J60" i="50"/>
  <c r="J59" i="50"/>
  <c r="N2064" i="1"/>
  <c r="F59" i="50" s="1"/>
  <c r="N2055" i="1"/>
  <c r="N2054" i="1"/>
  <c r="N2059" i="1"/>
  <c r="N2057" i="1"/>
  <c r="N2058" i="1"/>
  <c r="N2051" i="1"/>
  <c r="F18" i="50" s="1"/>
  <c r="BD2063" i="1"/>
  <c r="S2063" i="1" s="1"/>
  <c r="N2063" i="1" s="1"/>
  <c r="N2052" i="1"/>
  <c r="N2060" i="1"/>
  <c r="N2061" i="1"/>
  <c r="F41" i="50" s="1"/>
  <c r="N2053" i="1"/>
  <c r="N2062" i="1"/>
  <c r="F44" i="50" s="1"/>
  <c r="N2056" i="1"/>
  <c r="N2046" i="1"/>
  <c r="F66" i="50" l="1"/>
  <c r="F68" i="50" s="1"/>
  <c r="BI469" i="1"/>
  <c r="BH469" i="1"/>
  <c r="BF469" i="1"/>
  <c r="BE469" i="1"/>
  <c r="AX469" i="1"/>
  <c r="BA469" i="1"/>
  <c r="V469" i="1"/>
  <c r="Q469" i="1"/>
  <c r="P469" i="1"/>
  <c r="O469" i="1"/>
  <c r="C18" i="80"/>
  <c r="B18" i="80"/>
  <c r="F18" i="80"/>
  <c r="G18" i="80"/>
  <c r="H18" i="80"/>
  <c r="I18" i="80"/>
  <c r="J18" i="80"/>
  <c r="K18" i="80"/>
  <c r="L18" i="80"/>
  <c r="M18" i="80"/>
  <c r="N18" i="80"/>
  <c r="O18" i="80"/>
  <c r="P18" i="80"/>
  <c r="Q18" i="80"/>
  <c r="R18" i="80"/>
  <c r="S18" i="80"/>
  <c r="T18" i="80"/>
  <c r="U18" i="80"/>
  <c r="V18" i="80"/>
  <c r="W18" i="80"/>
  <c r="X18" i="80"/>
  <c r="Y18" i="80"/>
  <c r="Z18" i="80"/>
  <c r="E12" i="80"/>
  <c r="AA12" i="80" s="1"/>
  <c r="D12" i="80" l="1"/>
  <c r="H18" i="61" l="1"/>
  <c r="C34" i="76" l="1"/>
  <c r="F34" i="76" s="1"/>
  <c r="C23" i="76"/>
  <c r="F23" i="76" s="1"/>
  <c r="G33" i="79" l="1"/>
  <c r="AC33" i="79" s="1"/>
  <c r="G34" i="79"/>
  <c r="G35" i="79"/>
  <c r="G36" i="79"/>
  <c r="AD33" i="79" l="1"/>
  <c r="W1846" i="1" l="1"/>
  <c r="O135" i="6" s="1"/>
  <c r="S1847" i="1"/>
  <c r="S1848" i="1"/>
  <c r="S1849" i="1"/>
  <c r="S1850" i="1"/>
  <c r="S1851" i="1"/>
  <c r="S1852" i="1"/>
  <c r="BD1846" i="1"/>
  <c r="S1846" i="1" s="1"/>
  <c r="U1852" i="1"/>
  <c r="W1851" i="1"/>
  <c r="U1851" i="1"/>
  <c r="CM1851" i="1" s="1"/>
  <c r="CP1851" i="1" s="1"/>
  <c r="G1851" i="1"/>
  <c r="U1850" i="1"/>
  <c r="CM1850" i="1" s="1"/>
  <c r="CP1850" i="1" s="1"/>
  <c r="U1849" i="1"/>
  <c r="CM1849" i="1" s="1"/>
  <c r="CP1849" i="1" s="1"/>
  <c r="U1848" i="1"/>
  <c r="CM1848" i="1" s="1"/>
  <c r="CP1848" i="1" s="1"/>
  <c r="U1847" i="1"/>
  <c r="CM1847" i="1" s="1"/>
  <c r="CP1847" i="1" s="1"/>
  <c r="W1874" i="1"/>
  <c r="W1873" i="1"/>
  <c r="W1872" i="1"/>
  <c r="W1871" i="1"/>
  <c r="W1870" i="1"/>
  <c r="W1869" i="1"/>
  <c r="W1867" i="1"/>
  <c r="W1866" i="1"/>
  <c r="N1866" i="1" s="1"/>
  <c r="W1864" i="1"/>
  <c r="N1864" i="1" s="1"/>
  <c r="W1863" i="1"/>
  <c r="N1863" i="1" s="1"/>
  <c r="W1862" i="1"/>
  <c r="N1862" i="1" s="1"/>
  <c r="W1861" i="1"/>
  <c r="N1861" i="1" s="1"/>
  <c r="W1859" i="1"/>
  <c r="N1859" i="1" s="1"/>
  <c r="W1857" i="1"/>
  <c r="N1857" i="1" s="1"/>
  <c r="W1856" i="1"/>
  <c r="N1856" i="1" s="1"/>
  <c r="W1855" i="1"/>
  <c r="N1855" i="1" s="1"/>
  <c r="W1854" i="1"/>
  <c r="N1854" i="1" s="1"/>
  <c r="W1853" i="1"/>
  <c r="W1844" i="1"/>
  <c r="W1750" i="1"/>
  <c r="W1743" i="1"/>
  <c r="W1734" i="1"/>
  <c r="W1728" i="1"/>
  <c r="W1727" i="1"/>
  <c r="W1720" i="1"/>
  <c r="W1553" i="1"/>
  <c r="W1552" i="1"/>
  <c r="W1550" i="1"/>
  <c r="W1549" i="1"/>
  <c r="W1548" i="1"/>
  <c r="W1547" i="1"/>
  <c r="W1546" i="1"/>
  <c r="W1545" i="1"/>
  <c r="W1544" i="1"/>
  <c r="W1409" i="1"/>
  <c r="W1408" i="1"/>
  <c r="W1407" i="1"/>
  <c r="W1404" i="1"/>
  <c r="W1403" i="1"/>
  <c r="W1402" i="1"/>
  <c r="W1399" i="1"/>
  <c r="W1398" i="1"/>
  <c r="W1397" i="1"/>
  <c r="W1369" i="1"/>
  <c r="W1368" i="1"/>
  <c r="W1367" i="1"/>
  <c r="W1366" i="1"/>
  <c r="W1365" i="1"/>
  <c r="W1364" i="1"/>
  <c r="W1362" i="1"/>
  <c r="W1361" i="1"/>
  <c r="W1360" i="1"/>
  <c r="W1359" i="1"/>
  <c r="W1358" i="1"/>
  <c r="W1357" i="1"/>
  <c r="W1355" i="1"/>
  <c r="W1354" i="1"/>
  <c r="W1353" i="1"/>
  <c r="W1352" i="1"/>
  <c r="W1351" i="1"/>
  <c r="W1350" i="1"/>
  <c r="W1215" i="1"/>
  <c r="W1214" i="1"/>
  <c r="W1213" i="1"/>
  <c r="W1206" i="1"/>
  <c r="W1205" i="1"/>
  <c r="W1204" i="1"/>
  <c r="W1155" i="1"/>
  <c r="W1154" i="1"/>
  <c r="W1152" i="1"/>
  <c r="W1151" i="1"/>
  <c r="W956" i="1"/>
  <c r="W842" i="1"/>
  <c r="W841" i="1"/>
  <c r="W840" i="1"/>
  <c r="W839" i="1"/>
  <c r="W838" i="1"/>
  <c r="W837" i="1"/>
  <c r="U837" i="1" s="1"/>
  <c r="CP837" i="1" s="1"/>
  <c r="W836" i="1"/>
  <c r="W835" i="1"/>
  <c r="W834" i="1"/>
  <c r="W833" i="1"/>
  <c r="W832" i="1"/>
  <c r="W830" i="1"/>
  <c r="W829" i="1"/>
  <c r="W828" i="1"/>
  <c r="W827" i="1"/>
  <c r="W826" i="1"/>
  <c r="W825" i="1"/>
  <c r="W824" i="1"/>
  <c r="W823" i="1"/>
  <c r="W822" i="1"/>
  <c r="W821" i="1"/>
  <c r="W820" i="1"/>
  <c r="W819" i="1"/>
  <c r="W813" i="1"/>
  <c r="M133" i="6" l="1"/>
  <c r="CM1852" i="1"/>
  <c r="CP1852" i="1" s="1"/>
  <c r="N1851" i="1"/>
  <c r="K135" i="6"/>
  <c r="N1846" i="1"/>
  <c r="F135" i="6" s="1"/>
  <c r="K133" i="6"/>
  <c r="T1846" i="1"/>
  <c r="L135" i="6" s="1"/>
  <c r="W1153" i="1"/>
  <c r="W1156" i="1"/>
  <c r="W831" i="1"/>
  <c r="T1851" i="1"/>
  <c r="W843" i="1"/>
  <c r="W1356" i="1"/>
  <c r="W1400" i="1"/>
  <c r="W1551" i="1"/>
  <c r="W1370" i="1"/>
  <c r="W1363" i="1"/>
  <c r="W1410" i="1"/>
  <c r="W1405" i="1"/>
  <c r="W357" i="1"/>
  <c r="W285" i="1"/>
  <c r="W284" i="1"/>
  <c r="W283" i="1"/>
  <c r="W282" i="1"/>
  <c r="W281" i="1"/>
  <c r="W280" i="1"/>
  <c r="W279" i="1"/>
  <c r="W278" i="1"/>
  <c r="W276" i="1"/>
  <c r="W275" i="1"/>
  <c r="W274" i="1"/>
  <c r="W273" i="1"/>
  <c r="W272" i="1"/>
  <c r="W271" i="1"/>
  <c r="W269" i="1"/>
  <c r="W268" i="1"/>
  <c r="W267" i="1"/>
  <c r="W266" i="1"/>
  <c r="W265" i="1"/>
  <c r="W264" i="1"/>
  <c r="W263" i="1"/>
  <c r="W262" i="1"/>
  <c r="E135" i="6" l="1"/>
  <c r="W277" i="1"/>
  <c r="W260" i="1"/>
  <c r="W259" i="1"/>
  <c r="W258" i="1"/>
  <c r="W257" i="1"/>
  <c r="W256" i="1"/>
  <c r="W255" i="1"/>
  <c r="W253" i="1"/>
  <c r="W252" i="1"/>
  <c r="W251" i="1"/>
  <c r="W254" i="1" l="1"/>
  <c r="W261" i="1" s="1"/>
  <c r="W270" i="1" s="1"/>
  <c r="W286" i="1" s="1"/>
  <c r="W164" i="1"/>
  <c r="G22" i="35" l="1"/>
  <c r="BD2043" i="1" l="1"/>
  <c r="S2043" i="1" s="1"/>
  <c r="BD2044" i="1"/>
  <c r="S2044" i="1" s="1"/>
  <c r="BD2039" i="1" l="1"/>
  <c r="S2039" i="1" s="1"/>
  <c r="BD2040" i="1"/>
  <c r="S2040" i="1" s="1"/>
  <c r="BD2041" i="1"/>
  <c r="S2041" i="1" s="1"/>
  <c r="BD2042" i="1"/>
  <c r="S2042" i="1" s="1"/>
  <c r="BD2045" i="1"/>
  <c r="S2045" i="1" s="1"/>
  <c r="W2045" i="1"/>
  <c r="T2045" i="1" s="1"/>
  <c r="J68" i="50"/>
  <c r="J56" i="50"/>
  <c r="J64" i="50" s="1"/>
  <c r="H56" i="50"/>
  <c r="H64" i="50" s="1"/>
  <c r="F56" i="50"/>
  <c r="F64" i="50" s="1"/>
  <c r="D56" i="50"/>
  <c r="D64" i="50" s="1"/>
  <c r="K2042" i="1"/>
  <c r="K2041" i="1"/>
  <c r="K2040" i="1"/>
  <c r="K2039" i="1"/>
  <c r="F70" i="68"/>
  <c r="E70" i="68"/>
  <c r="F81" i="68"/>
  <c r="E81" i="68"/>
  <c r="K2044" i="1" s="1"/>
  <c r="D81" i="68"/>
  <c r="K2043" i="1" s="1"/>
  <c r="W2041" i="1"/>
  <c r="T2041" i="1" s="1"/>
  <c r="H66" i="50" s="1"/>
  <c r="H68" i="50" s="1"/>
  <c r="W2042" i="1"/>
  <c r="T2042" i="1" s="1"/>
  <c r="I66" i="50" s="1"/>
  <c r="I68" i="50" s="1"/>
  <c r="W2039" i="1"/>
  <c r="T2039" i="1" s="1"/>
  <c r="W2040" i="1"/>
  <c r="T2040" i="1" s="1"/>
  <c r="N2045" i="1" l="1"/>
  <c r="N2040" i="1"/>
  <c r="N2039" i="1"/>
  <c r="N2041" i="1"/>
  <c r="N2042" i="1"/>
  <c r="E66" i="50" s="1"/>
  <c r="W2032" i="1"/>
  <c r="W2019" i="1"/>
  <c r="W2038" i="1"/>
  <c r="W2037" i="1"/>
  <c r="W2031" i="1"/>
  <c r="W2030" i="1"/>
  <c r="W2029" i="1"/>
  <c r="W2028" i="1"/>
  <c r="W2027" i="1"/>
  <c r="W2026" i="1"/>
  <c r="W2025" i="1"/>
  <c r="W2024" i="1"/>
  <c r="W2023" i="1"/>
  <c r="W2022" i="1"/>
  <c r="W2021" i="1"/>
  <c r="W2020" i="1"/>
  <c r="W2018" i="1"/>
  <c r="W2017" i="1"/>
  <c r="W2016" i="1"/>
  <c r="W2015" i="1"/>
  <c r="W2014" i="1"/>
  <c r="W2013" i="1"/>
  <c r="W2012" i="1"/>
  <c r="W2008" i="1"/>
  <c r="W2009" i="1"/>
  <c r="W2010" i="1"/>
  <c r="W2011" i="1"/>
  <c r="W2007" i="1"/>
  <c r="K2004" i="1"/>
  <c r="E68" i="50" l="1"/>
  <c r="D66" i="50"/>
  <c r="D68" i="50" s="1"/>
  <c r="O115" i="22"/>
  <c r="O114" i="22"/>
  <c r="O113" i="22"/>
  <c r="O112" i="22"/>
  <c r="O111" i="22"/>
  <c r="O110" i="22"/>
  <c r="O109" i="22"/>
  <c r="O106" i="22"/>
  <c r="O105" i="22"/>
  <c r="M115" i="22"/>
  <c r="M114" i="22"/>
  <c r="M113" i="22"/>
  <c r="M112" i="22"/>
  <c r="M111" i="22"/>
  <c r="M110" i="22"/>
  <c r="M109" i="22"/>
  <c r="M106" i="22"/>
  <c r="M105" i="22"/>
  <c r="O100" i="22"/>
  <c r="M100" i="22"/>
  <c r="CM135" i="22"/>
  <c r="CL135" i="22"/>
  <c r="CJ135" i="22"/>
  <c r="CI135" i="22"/>
  <c r="CH135" i="22"/>
  <c r="CG135" i="22"/>
  <c r="CF135" i="22"/>
  <c r="CM134" i="22"/>
  <c r="CL134" i="22"/>
  <c r="CJ134" i="22"/>
  <c r="CI134" i="22"/>
  <c r="CH134" i="22"/>
  <c r="CG134" i="22"/>
  <c r="CF134" i="22"/>
  <c r="CM133" i="22"/>
  <c r="CL133" i="22"/>
  <c r="CK133" i="22"/>
  <c r="CJ133" i="22"/>
  <c r="CI133" i="22"/>
  <c r="CH133" i="22"/>
  <c r="CG133" i="22"/>
  <c r="CF133" i="22"/>
  <c r="CM132" i="22"/>
  <c r="CL132" i="22"/>
  <c r="CJ132" i="22"/>
  <c r="CI132" i="22"/>
  <c r="CH132" i="22"/>
  <c r="CG132" i="22"/>
  <c r="CF132" i="22"/>
  <c r="CM131" i="22"/>
  <c r="CL131" i="22"/>
  <c r="CJ131" i="22"/>
  <c r="CI131" i="22"/>
  <c r="CH131" i="22"/>
  <c r="CG131" i="22"/>
  <c r="CF131" i="22"/>
  <c r="CM130" i="22"/>
  <c r="CL130" i="22"/>
  <c r="CK130" i="22"/>
  <c r="CJ130" i="22"/>
  <c r="CI130" i="22"/>
  <c r="CH130" i="22"/>
  <c r="CG130" i="22"/>
  <c r="CF130" i="22"/>
  <c r="CM129" i="22"/>
  <c r="CL129" i="22"/>
  <c r="CK129" i="22"/>
  <c r="CJ129" i="22"/>
  <c r="CI129" i="22"/>
  <c r="CH129" i="22"/>
  <c r="CG129" i="22"/>
  <c r="CF129" i="22"/>
  <c r="CM128" i="22"/>
  <c r="CL128" i="22"/>
  <c r="CJ128" i="22"/>
  <c r="CI128" i="22"/>
  <c r="CH128" i="22"/>
  <c r="CG128" i="22"/>
  <c r="CF128" i="22"/>
  <c r="CM127" i="22"/>
  <c r="CL127" i="22"/>
  <c r="CK127" i="22"/>
  <c r="CJ127" i="22"/>
  <c r="CI127" i="22"/>
  <c r="CH127" i="22"/>
  <c r="CG127" i="22"/>
  <c r="CF127" i="22"/>
  <c r="CM126" i="22"/>
  <c r="CL126" i="22"/>
  <c r="CK126" i="22"/>
  <c r="CJ126" i="22"/>
  <c r="CI126" i="22"/>
  <c r="CH126" i="22"/>
  <c r="CG126" i="22"/>
  <c r="CF126" i="22"/>
  <c r="CM125" i="22"/>
  <c r="CL125" i="22"/>
  <c r="CJ125" i="22"/>
  <c r="CI125" i="22"/>
  <c r="CH125" i="22"/>
  <c r="CG125" i="22"/>
  <c r="CF125" i="22"/>
  <c r="M125" i="22"/>
  <c r="CM124" i="22"/>
  <c r="CL124" i="22"/>
  <c r="CJ124" i="22"/>
  <c r="CI124" i="22"/>
  <c r="CH124" i="22"/>
  <c r="CG124" i="22"/>
  <c r="CF124" i="22"/>
  <c r="CM123" i="22"/>
  <c r="CL123" i="22"/>
  <c r="CJ123" i="22"/>
  <c r="CI123" i="22"/>
  <c r="CH123" i="22"/>
  <c r="CG123" i="22"/>
  <c r="CF123" i="22"/>
  <c r="CM121" i="22"/>
  <c r="CL121" i="22"/>
  <c r="CJ121" i="22"/>
  <c r="CI121" i="22"/>
  <c r="CH121" i="22"/>
  <c r="CG121" i="22"/>
  <c r="CF121" i="22"/>
  <c r="CM120" i="22"/>
  <c r="CL120" i="22"/>
  <c r="CJ120" i="22"/>
  <c r="CI120" i="22"/>
  <c r="CH120" i="22"/>
  <c r="CG120" i="22"/>
  <c r="CF120" i="22"/>
  <c r="CM119" i="22"/>
  <c r="CL119" i="22"/>
  <c r="CK119" i="22"/>
  <c r="CJ119" i="22"/>
  <c r="CI119" i="22"/>
  <c r="CH119" i="22"/>
  <c r="CG119" i="22"/>
  <c r="CF119" i="22"/>
  <c r="CM118" i="22"/>
  <c r="CL118" i="22"/>
  <c r="CK118" i="22"/>
  <c r="CJ118" i="22"/>
  <c r="CI118" i="22"/>
  <c r="CH118" i="22"/>
  <c r="CG118" i="22"/>
  <c r="CF118" i="22"/>
  <c r="CM117" i="22"/>
  <c r="CL117" i="22"/>
  <c r="CK117" i="22"/>
  <c r="CJ117" i="22"/>
  <c r="CI117" i="22"/>
  <c r="CH117" i="22"/>
  <c r="CG117" i="22"/>
  <c r="CF117" i="22"/>
  <c r="CM116" i="22"/>
  <c r="CL116" i="22"/>
  <c r="CJ116" i="22"/>
  <c r="CI116" i="22"/>
  <c r="CH116" i="22"/>
  <c r="CG116" i="22"/>
  <c r="CF116" i="22"/>
  <c r="CM115" i="22"/>
  <c r="CL115" i="22"/>
  <c r="CJ115" i="22"/>
  <c r="CI115" i="22"/>
  <c r="CH115" i="22"/>
  <c r="CG115" i="22"/>
  <c r="CF115" i="22"/>
  <c r="CM114" i="22"/>
  <c r="CL114" i="22"/>
  <c r="CJ114" i="22"/>
  <c r="CI114" i="22"/>
  <c r="CH114" i="22"/>
  <c r="CG114" i="22"/>
  <c r="CF114" i="22"/>
  <c r="CM113" i="22"/>
  <c r="CL113" i="22"/>
  <c r="CJ113" i="22"/>
  <c r="CI113" i="22"/>
  <c r="CH113" i="22"/>
  <c r="CG113" i="22"/>
  <c r="CF113" i="22"/>
  <c r="CM112" i="22"/>
  <c r="CL112" i="22"/>
  <c r="CJ112" i="22"/>
  <c r="CI112" i="22"/>
  <c r="CH112" i="22"/>
  <c r="CG112" i="22"/>
  <c r="CF112" i="22"/>
  <c r="CM111" i="22"/>
  <c r="CL111" i="22"/>
  <c r="CJ111" i="22"/>
  <c r="CI111" i="22"/>
  <c r="CH111" i="22"/>
  <c r="CG111" i="22"/>
  <c r="CF111" i="22"/>
  <c r="CM110" i="22"/>
  <c r="CL110" i="22"/>
  <c r="CJ110" i="22"/>
  <c r="CI110" i="22"/>
  <c r="CH110" i="22"/>
  <c r="CG110" i="22"/>
  <c r="CF110" i="22"/>
  <c r="CM108" i="22"/>
  <c r="CL108" i="22"/>
  <c r="CJ108" i="22"/>
  <c r="CI108" i="22"/>
  <c r="CH108" i="22"/>
  <c r="CG108" i="22"/>
  <c r="CF108" i="22"/>
  <c r="CM107" i="22"/>
  <c r="CL107" i="22"/>
  <c r="CJ107" i="22"/>
  <c r="CI107" i="22"/>
  <c r="CH107" i="22"/>
  <c r="CG107" i="22"/>
  <c r="CF107" i="22"/>
  <c r="CM106" i="22"/>
  <c r="CL106" i="22"/>
  <c r="CJ106" i="22"/>
  <c r="CI106" i="22"/>
  <c r="CH106" i="22"/>
  <c r="CG106" i="22"/>
  <c r="CF106" i="22"/>
  <c r="CM109" i="22"/>
  <c r="CL109" i="22"/>
  <c r="CJ109" i="22"/>
  <c r="CI109" i="22"/>
  <c r="CH109" i="22"/>
  <c r="CG109" i="22"/>
  <c r="CF109" i="22"/>
  <c r="CM105" i="22"/>
  <c r="CL105" i="22"/>
  <c r="CJ105" i="22"/>
  <c r="CI105" i="22"/>
  <c r="CH105" i="22"/>
  <c r="CG105" i="22"/>
  <c r="CF105" i="22"/>
  <c r="CM104" i="22"/>
  <c r="CL104" i="22"/>
  <c r="CK104" i="22"/>
  <c r="CJ104" i="22"/>
  <c r="CI104" i="22"/>
  <c r="CH104" i="22"/>
  <c r="CG104" i="22"/>
  <c r="CF104" i="22"/>
  <c r="CM103" i="22"/>
  <c r="CL103" i="22"/>
  <c r="CK103" i="22"/>
  <c r="CJ103" i="22"/>
  <c r="CI103" i="22"/>
  <c r="CH103" i="22"/>
  <c r="CG103" i="22"/>
  <c r="CF103" i="22"/>
  <c r="CM102" i="22"/>
  <c r="CL102" i="22"/>
  <c r="CK102" i="22"/>
  <c r="CJ102" i="22"/>
  <c r="CI102" i="22"/>
  <c r="CH102" i="22"/>
  <c r="CG102" i="22"/>
  <c r="CF102" i="22"/>
  <c r="CM101" i="22"/>
  <c r="CL101" i="22"/>
  <c r="CJ101" i="22"/>
  <c r="CI101" i="22"/>
  <c r="CH101" i="22"/>
  <c r="CG101" i="22"/>
  <c r="CF101" i="22"/>
  <c r="CM100" i="22"/>
  <c r="CL100" i="22"/>
  <c r="CJ100" i="22"/>
  <c r="CI100" i="22"/>
  <c r="CH100" i="22"/>
  <c r="CG100" i="22"/>
  <c r="CF100" i="22"/>
  <c r="CM99" i="22"/>
  <c r="CL99" i="22"/>
  <c r="CJ99" i="22"/>
  <c r="CI99" i="22"/>
  <c r="CH99" i="22"/>
  <c r="CG99" i="22"/>
  <c r="CF99" i="22"/>
  <c r="CM98" i="22"/>
  <c r="CL98" i="22"/>
  <c r="CJ98" i="22"/>
  <c r="CI98" i="22"/>
  <c r="CH98" i="22"/>
  <c r="CG98" i="22"/>
  <c r="CF98" i="22"/>
  <c r="CM97" i="22"/>
  <c r="CL97" i="22"/>
  <c r="CJ97" i="22"/>
  <c r="CI97" i="22"/>
  <c r="CH97" i="22"/>
  <c r="CG97" i="22"/>
  <c r="CF97" i="22"/>
  <c r="CM96" i="22"/>
  <c r="CL96" i="22"/>
  <c r="CJ96" i="22"/>
  <c r="CI96" i="22"/>
  <c r="CH96" i="22"/>
  <c r="CG96" i="22"/>
  <c r="CF96" i="22"/>
  <c r="CM95" i="22"/>
  <c r="CL95" i="22"/>
  <c r="CJ95" i="22"/>
  <c r="CI95" i="22"/>
  <c r="CH95" i="22"/>
  <c r="CG95" i="22"/>
  <c r="CF95" i="22"/>
  <c r="CM94" i="22"/>
  <c r="CL94" i="22"/>
  <c r="CJ94" i="22"/>
  <c r="CI94" i="22"/>
  <c r="CH94" i="22"/>
  <c r="CG94" i="22"/>
  <c r="CF94" i="22"/>
  <c r="CM93" i="22"/>
  <c r="CL93" i="22"/>
  <c r="CJ93" i="22"/>
  <c r="CI93" i="22"/>
  <c r="CH93" i="22"/>
  <c r="CG93" i="22"/>
  <c r="CF93" i="22"/>
  <c r="CM92" i="22"/>
  <c r="CL92" i="22"/>
  <c r="CJ92" i="22"/>
  <c r="CI92" i="22"/>
  <c r="CH92" i="22"/>
  <c r="CG92" i="22"/>
  <c r="CF92" i="22"/>
  <c r="CM91" i="22"/>
  <c r="CL91" i="22"/>
  <c r="CJ91" i="22"/>
  <c r="CI91" i="22"/>
  <c r="CH91" i="22"/>
  <c r="CG91" i="22"/>
  <c r="CF91" i="22"/>
  <c r="CM90" i="22"/>
  <c r="CL90" i="22"/>
  <c r="CJ90" i="22"/>
  <c r="CI90" i="22"/>
  <c r="CH90" i="22"/>
  <c r="CG90" i="22"/>
  <c r="CF90" i="22"/>
  <c r="CM89" i="22"/>
  <c r="CL89" i="22"/>
  <c r="CJ89" i="22"/>
  <c r="CI89" i="22"/>
  <c r="CH89" i="22"/>
  <c r="CG89" i="22"/>
  <c r="CF89" i="22"/>
  <c r="CM88" i="22"/>
  <c r="CL88" i="22"/>
  <c r="CJ88" i="22"/>
  <c r="CI88" i="22"/>
  <c r="CH88" i="22"/>
  <c r="CG88" i="22"/>
  <c r="CF88" i="22"/>
  <c r="CM87" i="22"/>
  <c r="CL87" i="22"/>
  <c r="CK87" i="22"/>
  <c r="CJ87" i="22"/>
  <c r="CI87" i="22"/>
  <c r="CH87" i="22"/>
  <c r="CG87" i="22"/>
  <c r="CF87" i="22"/>
  <c r="CM86" i="22"/>
  <c r="CL86" i="22"/>
  <c r="CJ86" i="22"/>
  <c r="CI86" i="22"/>
  <c r="CH86" i="22"/>
  <c r="CG86" i="22"/>
  <c r="CF86" i="22"/>
  <c r="CM85" i="22"/>
  <c r="CL85" i="22"/>
  <c r="CJ85" i="22"/>
  <c r="CI85" i="22"/>
  <c r="CH85" i="22"/>
  <c r="CG85" i="22"/>
  <c r="CF85" i="22"/>
  <c r="CC84" i="22"/>
  <c r="CB84" i="22"/>
  <c r="CA84" i="22"/>
  <c r="BZ84" i="22"/>
  <c r="BY84" i="22"/>
  <c r="BX84" i="22"/>
  <c r="BW84" i="22"/>
  <c r="BV84" i="22"/>
  <c r="BU84" i="22"/>
  <c r="BT84" i="22"/>
  <c r="BS84" i="22"/>
  <c r="BR84" i="22"/>
  <c r="BQ84" i="22"/>
  <c r="BP84" i="22"/>
  <c r="BO84" i="22"/>
  <c r="BN84" i="22"/>
  <c r="BM84" i="22"/>
  <c r="BL84" i="22"/>
  <c r="BK84" i="22"/>
  <c r="BJ84" i="22"/>
  <c r="BH84" i="22"/>
  <c r="CM84" i="22" s="1"/>
  <c r="BD84" i="22"/>
  <c r="CI84" i="22" s="1"/>
  <c r="BC84" i="22"/>
  <c r="CH84" i="22" s="1"/>
  <c r="BB84" i="22"/>
  <c r="CG84" i="22" s="1"/>
  <c r="BA84" i="22"/>
  <c r="CF84" i="22" s="1"/>
  <c r="DH80" i="22"/>
  <c r="DG80" i="22"/>
  <c r="DF80" i="22"/>
  <c r="DE80" i="22"/>
  <c r="DD80" i="22"/>
  <c r="DC80" i="22"/>
  <c r="DB80" i="22"/>
  <c r="DA80" i="22"/>
  <c r="CZ80" i="22"/>
  <c r="CY80" i="22"/>
  <c r="CX80" i="22"/>
  <c r="CW80" i="22"/>
  <c r="CV80" i="22"/>
  <c r="CU80" i="22"/>
  <c r="CT80" i="22"/>
  <c r="CS80" i="22"/>
  <c r="CR80" i="22"/>
  <c r="CQ80" i="22"/>
  <c r="CP80" i="22"/>
  <c r="CO80" i="22"/>
  <c r="CN80" i="22"/>
  <c r="CK80" i="22"/>
  <c r="CE80" i="22"/>
  <c r="CC80" i="22"/>
  <c r="CB80" i="22"/>
  <c r="CA80" i="22"/>
  <c r="BZ80" i="22"/>
  <c r="BY80" i="22"/>
  <c r="BX80" i="22"/>
  <c r="BW80" i="22"/>
  <c r="BV80" i="22"/>
  <c r="BU80" i="22"/>
  <c r="BT80" i="22"/>
  <c r="BS80" i="22"/>
  <c r="BR80" i="22"/>
  <c r="BQ80" i="22"/>
  <c r="BP80" i="22"/>
  <c r="BO80" i="22"/>
  <c r="BN80" i="22"/>
  <c r="BM80" i="22"/>
  <c r="BL80" i="22"/>
  <c r="BK80" i="22"/>
  <c r="BJ80" i="22"/>
  <c r="BI80" i="22"/>
  <c r="BF80" i="22"/>
  <c r="AZ80" i="22"/>
  <c r="AX80" i="22"/>
  <c r="AW80" i="22"/>
  <c r="AV80" i="22"/>
  <c r="AU80" i="22"/>
  <c r="AT80" i="22"/>
  <c r="AS80" i="22"/>
  <c r="AR80" i="22"/>
  <c r="AQ80" i="22"/>
  <c r="AP80" i="22"/>
  <c r="AO80" i="22"/>
  <c r="AN80" i="22"/>
  <c r="AM80" i="22"/>
  <c r="AL80" i="22"/>
  <c r="AK80" i="22"/>
  <c r="AJ80" i="22"/>
  <c r="AI80" i="22"/>
  <c r="AH80" i="22"/>
  <c r="AG80" i="22"/>
  <c r="AF80" i="22"/>
  <c r="AE80" i="22"/>
  <c r="AD80" i="22"/>
  <c r="AA80" i="22"/>
  <c r="U80" i="22"/>
  <c r="Q80" i="22"/>
  <c r="S80" i="22" s="1"/>
  <c r="M80" i="22"/>
  <c r="O80" i="22" s="1"/>
  <c r="D80" i="22"/>
  <c r="F80" i="22" s="1"/>
  <c r="AX79" i="22"/>
  <c r="AW79" i="22"/>
  <c r="AV79" i="22"/>
  <c r="AU79" i="22"/>
  <c r="AT79" i="22"/>
  <c r="AS79" i="22"/>
  <c r="AR79" i="22"/>
  <c r="AQ79" i="22"/>
  <c r="AP79" i="22"/>
  <c r="AO79" i="22"/>
  <c r="AN79" i="22"/>
  <c r="AM79" i="22"/>
  <c r="AL79" i="22"/>
  <c r="AK79" i="22"/>
  <c r="AJ79" i="22"/>
  <c r="AI79" i="22"/>
  <c r="AH79" i="22"/>
  <c r="AG79" i="22"/>
  <c r="AF79" i="22"/>
  <c r="AE79" i="22"/>
  <c r="S79" i="22"/>
  <c r="Q79" i="22"/>
  <c r="O79" i="22"/>
  <c r="M79" i="22"/>
  <c r="F79" i="22"/>
  <c r="D79" i="22"/>
  <c r="B79" i="22"/>
  <c r="M116" i="22" l="1"/>
  <c r="O116" i="22"/>
  <c r="M101" i="22"/>
  <c r="O101" i="22"/>
  <c r="O128" i="22" l="1"/>
  <c r="O132" i="22" s="1"/>
  <c r="O135" i="22" s="1"/>
  <c r="M128" i="22"/>
  <c r="M132" i="22" s="1"/>
  <c r="M135" i="22" s="1"/>
  <c r="Z31" i="80"/>
  <c r="Y31" i="80"/>
  <c r="X31" i="80"/>
  <c r="W31" i="80"/>
  <c r="V31" i="80"/>
  <c r="U31" i="80"/>
  <c r="T31" i="80"/>
  <c r="S31" i="80"/>
  <c r="R31" i="80"/>
  <c r="Q31" i="80"/>
  <c r="P31" i="80"/>
  <c r="O31" i="80"/>
  <c r="N31" i="80"/>
  <c r="M31" i="80"/>
  <c r="L31" i="80"/>
  <c r="K31" i="80"/>
  <c r="J31" i="80"/>
  <c r="I31" i="80"/>
  <c r="H31" i="80"/>
  <c r="G31" i="80"/>
  <c r="F31" i="80"/>
  <c r="C31" i="80"/>
  <c r="B31" i="80"/>
  <c r="E30" i="80" l="1"/>
  <c r="D30" i="80" s="1"/>
  <c r="I28" i="28"/>
  <c r="G28" i="28"/>
  <c r="E14" i="80"/>
  <c r="D14" i="80" s="1"/>
  <c r="G40" i="35"/>
  <c r="I40" i="35"/>
  <c r="I27" i="35"/>
  <c r="G27" i="35"/>
  <c r="I35" i="34"/>
  <c r="G35" i="34"/>
  <c r="AA14" i="80" l="1"/>
  <c r="AA30" i="80"/>
  <c r="B104" i="31" l="1"/>
  <c r="B96" i="31"/>
  <c r="B89" i="31"/>
  <c r="B87" i="31"/>
  <c r="B70" i="31"/>
  <c r="B74" i="29"/>
  <c r="B61" i="29"/>
  <c r="K102" i="29"/>
  <c r="K88" i="29"/>
  <c r="K81" i="29"/>
  <c r="G44" i="12" l="1"/>
  <c r="U40" i="35" l="1"/>
  <c r="U27" i="35"/>
  <c r="H49" i="60"/>
  <c r="H50" i="60"/>
  <c r="H48" i="60"/>
  <c r="F49" i="60"/>
  <c r="F50" i="60"/>
  <c r="F48" i="60"/>
  <c r="H44" i="60"/>
  <c r="F44" i="60"/>
  <c r="H40" i="60"/>
  <c r="H42" i="60"/>
  <c r="H43" i="60"/>
  <c r="F40" i="60"/>
  <c r="F41" i="60"/>
  <c r="F42" i="60"/>
  <c r="F43" i="60"/>
  <c r="D40" i="60"/>
  <c r="D43" i="60"/>
  <c r="H33" i="60"/>
  <c r="H36" i="60"/>
  <c r="H37" i="60"/>
  <c r="H32" i="60"/>
  <c r="F33" i="60"/>
  <c r="F34" i="60"/>
  <c r="F35" i="60"/>
  <c r="F36" i="60"/>
  <c r="F37" i="60"/>
  <c r="F32" i="60"/>
  <c r="J57" i="23" l="1"/>
  <c r="F57" i="23"/>
  <c r="E57" i="23"/>
  <c r="J28" i="23"/>
  <c r="E28" i="23"/>
  <c r="J112" i="31" l="1"/>
  <c r="I112" i="31"/>
  <c r="H112" i="31"/>
  <c r="G112" i="31"/>
  <c r="F112" i="31"/>
  <c r="E112" i="31"/>
  <c r="D112" i="31"/>
  <c r="C112" i="31"/>
  <c r="W2119" i="1" l="1"/>
  <c r="W2118" i="1"/>
  <c r="W2117" i="1"/>
  <c r="W2116" i="1"/>
  <c r="W2115" i="1"/>
  <c r="W2114" i="1"/>
  <c r="W2112" i="1"/>
  <c r="C77" i="12" s="1"/>
  <c r="W2110" i="1"/>
  <c r="W2108" i="1"/>
  <c r="W2107" i="1"/>
  <c r="W2106" i="1"/>
  <c r="W2105" i="1"/>
  <c r="W2103" i="1"/>
  <c r="W2101" i="1"/>
  <c r="W2100" i="1"/>
  <c r="W2099" i="1"/>
  <c r="W2098" i="1"/>
  <c r="W2005" i="1"/>
  <c r="W2004" i="1"/>
  <c r="W152" i="1"/>
  <c r="W23" i="1"/>
  <c r="E1350" i="1" l="1"/>
  <c r="BD1868" i="1" l="1"/>
  <c r="BD1867" i="1"/>
  <c r="BD1866" i="1"/>
  <c r="BD1865" i="1"/>
  <c r="BD1864" i="1"/>
  <c r="BD1863" i="1"/>
  <c r="BD1862" i="1"/>
  <c r="BD1861" i="1"/>
  <c r="BD1859" i="1"/>
  <c r="BD1858" i="1"/>
  <c r="BD1857" i="1"/>
  <c r="BD1856" i="1"/>
  <c r="BD1855" i="1"/>
  <c r="BD1854" i="1"/>
  <c r="BD1190" i="1"/>
  <c r="BD1189" i="1"/>
  <c r="BD1188" i="1"/>
  <c r="BD1187" i="1"/>
  <c r="D1499" i="1" l="1"/>
  <c r="D1500" i="1" s="1"/>
  <c r="B107" i="119" l="1"/>
  <c r="D35" i="120"/>
  <c r="BD1899" i="1"/>
  <c r="S1899" i="1" s="1"/>
  <c r="BD1900" i="1"/>
  <c r="S1900" i="1" s="1"/>
  <c r="BD1901" i="1"/>
  <c r="S1901" i="1" s="1"/>
  <c r="BD1902" i="1"/>
  <c r="S1902" i="1" s="1"/>
  <c r="BD1903" i="1"/>
  <c r="S1903" i="1" s="1"/>
  <c r="BD1904" i="1"/>
  <c r="S1904" i="1" s="1"/>
  <c r="BD1905" i="1"/>
  <c r="S1905" i="1" s="1"/>
  <c r="E34" i="119"/>
  <c r="D34" i="119"/>
  <c r="BD1893" i="1" l="1"/>
  <c r="S1893" i="1" s="1"/>
  <c r="BD1894" i="1"/>
  <c r="S1894" i="1" s="1"/>
  <c r="BD1895" i="1"/>
  <c r="S1895" i="1" s="1"/>
  <c r="K1757" i="1" l="1"/>
  <c r="U1853" i="1" l="1"/>
  <c r="CM1853" i="1" s="1"/>
  <c r="CP1853" i="1" s="1"/>
  <c r="H29" i="41" l="1"/>
  <c r="G29" i="41"/>
  <c r="T1853" i="1"/>
  <c r="U1355" i="1"/>
  <c r="CM1355" i="1" s="1"/>
  <c r="CP1355" i="1" s="1"/>
  <c r="U1354" i="1"/>
  <c r="CM1354" i="1" s="1"/>
  <c r="CP1354" i="1" s="1"/>
  <c r="U1353" i="1"/>
  <c r="CM1353" i="1" s="1"/>
  <c r="CP1353" i="1" s="1"/>
  <c r="U1352" i="1"/>
  <c r="CM1352" i="1" s="1"/>
  <c r="CP1352" i="1" s="1"/>
  <c r="U1351" i="1"/>
  <c r="CM1351" i="1" s="1"/>
  <c r="CP1351" i="1" s="1"/>
  <c r="U1350" i="1"/>
  <c r="U1348" i="1"/>
  <c r="CM1348" i="1" s="1"/>
  <c r="CP1348" i="1" s="1"/>
  <c r="U1347" i="1"/>
  <c r="CM1347" i="1" s="1"/>
  <c r="CP1347" i="1" s="1"/>
  <c r="U1346" i="1"/>
  <c r="CM1346" i="1" s="1"/>
  <c r="CP1346" i="1" s="1"/>
  <c r="U1345" i="1"/>
  <c r="CM1345" i="1" s="1"/>
  <c r="CP1345" i="1" s="1"/>
  <c r="U1344" i="1"/>
  <c r="CP1344" i="1" s="1"/>
  <c r="U1343" i="1"/>
  <c r="CP1343" i="1" s="1"/>
  <c r="U1341" i="1"/>
  <c r="CM1341" i="1" s="1"/>
  <c r="CP1341" i="1" s="1"/>
  <c r="U1340" i="1"/>
  <c r="CM1340" i="1" s="1"/>
  <c r="CP1340" i="1" s="1"/>
  <c r="U1339" i="1"/>
  <c r="CM1339" i="1" s="1"/>
  <c r="CP1339" i="1" s="1"/>
  <c r="U1338" i="1"/>
  <c r="CM1338" i="1" s="1"/>
  <c r="CP1338" i="1" s="1"/>
  <c r="U1337" i="1"/>
  <c r="CM1337" i="1" s="1"/>
  <c r="CP1337" i="1" s="1"/>
  <c r="U1334" i="1"/>
  <c r="CM1334" i="1" s="1"/>
  <c r="CP1334" i="1" s="1"/>
  <c r="U1333" i="1"/>
  <c r="CM1333" i="1" s="1"/>
  <c r="CP1333" i="1" s="1"/>
  <c r="U1332" i="1"/>
  <c r="CM1332" i="1" s="1"/>
  <c r="CP1332" i="1" s="1"/>
  <c r="U1331" i="1"/>
  <c r="CM1331" i="1" s="1"/>
  <c r="CP1331" i="1" s="1"/>
  <c r="U1330" i="1"/>
  <c r="CM1330" i="1" s="1"/>
  <c r="CP1330" i="1" s="1"/>
  <c r="U1320" i="1"/>
  <c r="CM1320" i="1" s="1"/>
  <c r="CP1320" i="1" s="1"/>
  <c r="U1319" i="1"/>
  <c r="CM1319" i="1" s="1"/>
  <c r="CP1319" i="1" s="1"/>
  <c r="U1317" i="1"/>
  <c r="CM1317" i="1" s="1"/>
  <c r="CP1317" i="1" s="1"/>
  <c r="U1316" i="1"/>
  <c r="CM1316" i="1" s="1"/>
  <c r="CP1316" i="1" s="1"/>
  <c r="U1314" i="1"/>
  <c r="CM1314" i="1" s="1"/>
  <c r="CP1314" i="1" s="1"/>
  <c r="U1318" i="1"/>
  <c r="CM1318" i="1" s="1"/>
  <c r="CP1318" i="1" s="1"/>
  <c r="U1329" i="1"/>
  <c r="CM1329" i="1" s="1"/>
  <c r="CP1329" i="1" s="1"/>
  <c r="U1308" i="1"/>
  <c r="CP1308" i="1" s="1"/>
  <c r="U1267" i="1"/>
  <c r="CP1267" i="1" s="1"/>
  <c r="T1350" i="1" l="1"/>
  <c r="CM1350" i="1"/>
  <c r="CP1350" i="1" s="1"/>
  <c r="U1336" i="1"/>
  <c r="CM1336" i="1" s="1"/>
  <c r="CP1336" i="1" s="1"/>
  <c r="U1315" i="1"/>
  <c r="CM1315" i="1" s="1"/>
  <c r="CP1315" i="1" s="1"/>
  <c r="U1837" i="1"/>
  <c r="G899" i="1"/>
  <c r="G1115" i="1"/>
  <c r="G1101" i="1"/>
  <c r="G1079" i="1"/>
  <c r="G1065" i="1"/>
  <c r="G1043" i="1"/>
  <c r="G1029" i="1"/>
  <c r="G1007" i="1"/>
  <c r="G993" i="1"/>
  <c r="G971" i="1"/>
  <c r="G957" i="1"/>
  <c r="G935" i="1"/>
  <c r="G921" i="1"/>
  <c r="G885" i="1"/>
  <c r="G863" i="1"/>
  <c r="G849" i="1"/>
  <c r="M136" i="6" l="1"/>
  <c r="CP1837" i="1"/>
  <c r="U813" i="1"/>
  <c r="CP813" i="1" s="1"/>
  <c r="W1990" i="1"/>
  <c r="W1988" i="1"/>
  <c r="W1987" i="1"/>
  <c r="W1986" i="1"/>
  <c r="W1985" i="1"/>
  <c r="W1984" i="1"/>
  <c r="W1983" i="1"/>
  <c r="W1982" i="1"/>
  <c r="W1981" i="1"/>
  <c r="W1980" i="1"/>
  <c r="W1979" i="1"/>
  <c r="W1978" i="1"/>
  <c r="W1976" i="1"/>
  <c r="W1975" i="1"/>
  <c r="W1974" i="1"/>
  <c r="W1973" i="1"/>
  <c r="W1972" i="1"/>
  <c r="W1971" i="1"/>
  <c r="W1970" i="1"/>
  <c r="W1969" i="1"/>
  <c r="W1968" i="1"/>
  <c r="W1967" i="1"/>
  <c r="W1886" i="1"/>
  <c r="W1882" i="1"/>
  <c r="W1837" i="1"/>
  <c r="O136" i="6" s="1"/>
  <c r="W1741" i="1"/>
  <c r="W1740" i="1"/>
  <c r="W1739" i="1"/>
  <c r="W1738" i="1"/>
  <c r="W1736" i="1"/>
  <c r="W1733" i="1"/>
  <c r="W1732" i="1"/>
  <c r="W1731" i="1"/>
  <c r="W1726" i="1"/>
  <c r="W1725" i="1"/>
  <c r="W1724" i="1"/>
  <c r="W1723" i="1"/>
  <c r="W1718" i="1"/>
  <c r="W1717" i="1"/>
  <c r="W1716" i="1"/>
  <c r="W1715" i="1"/>
  <c r="W1711" i="1"/>
  <c r="W1710" i="1"/>
  <c r="W1709" i="1"/>
  <c r="W1708" i="1"/>
  <c r="W1707" i="1"/>
  <c r="W1706" i="1"/>
  <c r="W1705" i="1"/>
  <c r="W1704" i="1"/>
  <c r="W1566" i="1"/>
  <c r="W1565" i="1"/>
  <c r="BK1564" i="1"/>
  <c r="W1564" i="1"/>
  <c r="W1563" i="1"/>
  <c r="W1562" i="1"/>
  <c r="W1561" i="1"/>
  <c r="BK1560" i="1"/>
  <c r="W1560" i="1"/>
  <c r="W1559" i="1"/>
  <c r="W1558" i="1"/>
  <c r="W1557" i="1"/>
  <c r="BK1556" i="1"/>
  <c r="W1556" i="1"/>
  <c r="W1555" i="1"/>
  <c r="W1306" i="1"/>
  <c r="W1305" i="1"/>
  <c r="BK1302" i="1"/>
  <c r="W1302" i="1"/>
  <c r="BK1301" i="1"/>
  <c r="W1301" i="1"/>
  <c r="BK1299" i="1"/>
  <c r="W1299" i="1"/>
  <c r="BK1297" i="1"/>
  <c r="W1297" i="1"/>
  <c r="BK1296" i="1"/>
  <c r="W1296" i="1"/>
  <c r="W1295" i="1"/>
  <c r="W1292" i="1"/>
  <c r="W1290" i="1"/>
  <c r="BK1288" i="1"/>
  <c r="W1288" i="1"/>
  <c r="BK1287" i="1"/>
  <c r="W1287" i="1"/>
  <c r="W1286" i="1"/>
  <c r="BK1285" i="1"/>
  <c r="W1285" i="1"/>
  <c r="W1284" i="1"/>
  <c r="W1282" i="1"/>
  <c r="W1280" i="1"/>
  <c r="BK1277" i="1"/>
  <c r="W1277" i="1"/>
  <c r="BK1272" i="1"/>
  <c r="W1272" i="1"/>
  <c r="W1268" i="1"/>
  <c r="W1262" i="1"/>
  <c r="BK1261" i="1"/>
  <c r="W1261" i="1"/>
  <c r="W1258" i="1"/>
  <c r="BK1252" i="1"/>
  <c r="W1252" i="1"/>
  <c r="BK1251" i="1"/>
  <c r="W1251" i="1"/>
  <c r="W1245" i="1"/>
  <c r="BK1244" i="1"/>
  <c r="W1244" i="1"/>
  <c r="BK1243" i="1"/>
  <c r="W1243" i="1"/>
  <c r="W1242" i="1"/>
  <c r="W1241" i="1"/>
  <c r="W1234" i="1"/>
  <c r="W1233" i="1"/>
  <c r="W1232" i="1"/>
  <c r="W1221" i="1"/>
  <c r="W1220" i="1"/>
  <c r="W1210" i="1"/>
  <c r="W1188" i="1"/>
  <c r="W1187" i="1"/>
  <c r="W1186" i="1"/>
  <c r="W1176" i="1"/>
  <c r="W1175" i="1"/>
  <c r="W1174" i="1"/>
  <c r="W1173" i="1"/>
  <c r="W1172" i="1"/>
  <c r="W1171" i="1"/>
  <c r="W1168" i="1"/>
  <c r="W1167" i="1"/>
  <c r="W1166" i="1"/>
  <c r="W1165" i="1"/>
  <c r="W1164" i="1"/>
  <c r="W1163" i="1"/>
  <c r="W1160" i="1"/>
  <c r="N1160" i="1" s="1"/>
  <c r="W1159" i="1"/>
  <c r="W989" i="1"/>
  <c r="W988" i="1"/>
  <c r="BK794" i="1"/>
  <c r="W794" i="1"/>
  <c r="BK793" i="1"/>
  <c r="W793" i="1"/>
  <c r="BK792" i="1"/>
  <c r="W792" i="1"/>
  <c r="BK756" i="1"/>
  <c r="W756" i="1"/>
  <c r="BK755" i="1"/>
  <c r="W755" i="1"/>
  <c r="BK754" i="1"/>
  <c r="W754" i="1"/>
  <c r="BK718" i="1"/>
  <c r="W718" i="1"/>
  <c r="BK717" i="1"/>
  <c r="W717" i="1"/>
  <c r="BK716" i="1"/>
  <c r="W716" i="1"/>
  <c r="BK680" i="1"/>
  <c r="W680" i="1"/>
  <c r="BK679" i="1"/>
  <c r="W679" i="1"/>
  <c r="BK678" i="1"/>
  <c r="W678" i="1"/>
  <c r="BK642" i="1"/>
  <c r="W642" i="1"/>
  <c r="N642" i="1" s="1"/>
  <c r="BK641" i="1"/>
  <c r="W641" i="1"/>
  <c r="BK640" i="1"/>
  <c r="W640" i="1"/>
  <c r="BK604" i="1"/>
  <c r="W604" i="1"/>
  <c r="BK603" i="1"/>
  <c r="W603" i="1"/>
  <c r="BK602" i="1"/>
  <c r="W602" i="1"/>
  <c r="BK566" i="1"/>
  <c r="W566" i="1"/>
  <c r="BK565" i="1"/>
  <c r="W565" i="1"/>
  <c r="BK564" i="1"/>
  <c r="W564" i="1"/>
  <c r="BK529" i="1"/>
  <c r="W529" i="1"/>
  <c r="BK528" i="1"/>
  <c r="W528" i="1"/>
  <c r="BK527" i="1"/>
  <c r="W527" i="1"/>
  <c r="W356" i="1"/>
  <c r="W355" i="1"/>
  <c r="W354" i="1"/>
  <c r="W353" i="1"/>
  <c r="W352" i="1"/>
  <c r="W351" i="1"/>
  <c r="W350" i="1"/>
  <c r="W349" i="1"/>
  <c r="W348" i="1"/>
  <c r="W347" i="1"/>
  <c r="W346" i="1"/>
  <c r="W345" i="1"/>
  <c r="W344" i="1"/>
  <c r="W340" i="1"/>
  <c r="W339" i="1"/>
  <c r="W338" i="1"/>
  <c r="W337" i="1"/>
  <c r="W336" i="1"/>
  <c r="W335" i="1"/>
  <c r="W334" i="1"/>
  <c r="W333" i="1"/>
  <c r="W332" i="1"/>
  <c r="W331" i="1"/>
  <c r="W330" i="1"/>
  <c r="W329" i="1"/>
  <c r="W326" i="1"/>
  <c r="W323" i="1"/>
  <c r="W322" i="1"/>
  <c r="W321" i="1"/>
  <c r="W320" i="1"/>
  <c r="W319" i="1"/>
  <c r="W318" i="1"/>
  <c r="W317" i="1"/>
  <c r="W316" i="1"/>
  <c r="W315" i="1"/>
  <c r="W314" i="1"/>
  <c r="W313" i="1"/>
  <c r="W312" i="1"/>
  <c r="W306" i="1"/>
  <c r="W296" i="1"/>
  <c r="W295" i="1"/>
  <c r="BK249" i="1"/>
  <c r="W249" i="1"/>
  <c r="BK248" i="1"/>
  <c r="W248" i="1"/>
  <c r="BK247" i="1"/>
  <c r="W247" i="1"/>
  <c r="BK246" i="1"/>
  <c r="W246" i="1"/>
  <c r="BK245" i="1"/>
  <c r="W245" i="1"/>
  <c r="BK244" i="1"/>
  <c r="W243" i="1"/>
  <c r="BK242" i="1"/>
  <c r="W242" i="1"/>
  <c r="BK241" i="1"/>
  <c r="W241" i="1"/>
  <c r="BK240" i="1"/>
  <c r="W240" i="1"/>
  <c r="BK239" i="1"/>
  <c r="W239" i="1"/>
  <c r="BK236" i="1"/>
  <c r="W236" i="1"/>
  <c r="BK235" i="1"/>
  <c r="W235" i="1"/>
  <c r="BK234" i="1"/>
  <c r="W234" i="1"/>
  <c r="BK233" i="1"/>
  <c r="W233" i="1"/>
  <c r="BK232" i="1"/>
  <c r="W232" i="1"/>
  <c r="BK231" i="1"/>
  <c r="W231" i="1"/>
  <c r="BK230" i="1"/>
  <c r="W230" i="1"/>
  <c r="W229" i="1"/>
  <c r="BK227" i="1"/>
  <c r="W227" i="1"/>
  <c r="BK226" i="1"/>
  <c r="W226" i="1"/>
  <c r="BK225" i="1"/>
  <c r="W225" i="1"/>
  <c r="BK224" i="1"/>
  <c r="W224" i="1"/>
  <c r="BK223" i="1"/>
  <c r="W223" i="1"/>
  <c r="BK222" i="1"/>
  <c r="BK221" i="1"/>
  <c r="W221" i="1"/>
  <c r="BK220" i="1"/>
  <c r="W220" i="1"/>
  <c r="BK219" i="1"/>
  <c r="W219" i="1"/>
  <c r="BK218" i="1"/>
  <c r="W218" i="1"/>
  <c r="W217" i="1"/>
  <c r="BK214" i="1"/>
  <c r="W214" i="1"/>
  <c r="BK213" i="1"/>
  <c r="W213" i="1"/>
  <c r="BK212" i="1"/>
  <c r="W212" i="1"/>
  <c r="BK211" i="1"/>
  <c r="W211" i="1"/>
  <c r="BK210" i="1"/>
  <c r="W210" i="1"/>
  <c r="BK209" i="1"/>
  <c r="W209" i="1"/>
  <c r="W208" i="1"/>
  <c r="BK205" i="1"/>
  <c r="W205" i="1"/>
  <c r="BK204" i="1"/>
  <c r="W204" i="1"/>
  <c r="BK200" i="1"/>
  <c r="BK199" i="1"/>
  <c r="W199" i="1"/>
  <c r="BK198" i="1"/>
  <c r="W198" i="1"/>
  <c r="BK197" i="1"/>
  <c r="W197" i="1"/>
  <c r="BK196" i="1"/>
  <c r="W196" i="1"/>
  <c r="BK195" i="1"/>
  <c r="BK194" i="1"/>
  <c r="BK193" i="1"/>
  <c r="W193" i="1"/>
  <c r="BK192" i="1"/>
  <c r="BK191" i="1"/>
  <c r="BK190" i="1"/>
  <c r="W190" i="1"/>
  <c r="BK189" i="1"/>
  <c r="W189" i="1"/>
  <c r="BK186" i="1"/>
  <c r="BK185" i="1"/>
  <c r="BK184" i="1"/>
  <c r="BK183" i="1"/>
  <c r="BK182" i="1"/>
  <c r="BK181" i="1"/>
  <c r="W181" i="1"/>
  <c r="BK180" i="1"/>
  <c r="W179" i="1"/>
  <c r="V179" i="1" s="1"/>
  <c r="BK176" i="1"/>
  <c r="W176" i="1"/>
  <c r="BK175" i="1"/>
  <c r="W175" i="1"/>
  <c r="BK174" i="1"/>
  <c r="W174" i="1"/>
  <c r="BK173" i="1"/>
  <c r="W173" i="1"/>
  <c r="BK172" i="1"/>
  <c r="W172" i="1"/>
  <c r="BK171" i="1"/>
  <c r="W171" i="1"/>
  <c r="BK170" i="1"/>
  <c r="BK168" i="1"/>
  <c r="W168" i="1"/>
  <c r="BK167" i="1"/>
  <c r="BK166" i="1"/>
  <c r="BK165" i="1"/>
  <c r="W165" i="1"/>
  <c r="BK161" i="1"/>
  <c r="W161" i="1"/>
  <c r="BK159" i="1"/>
  <c r="BK158" i="1"/>
  <c r="W158" i="1"/>
  <c r="BK157" i="1"/>
  <c r="BK156" i="1"/>
  <c r="BK155" i="1"/>
  <c r="BK154" i="1"/>
  <c r="W153" i="1"/>
  <c r="BK150" i="1"/>
  <c r="W150" i="1"/>
  <c r="BK149" i="1"/>
  <c r="W149" i="1"/>
  <c r="BK142" i="1"/>
  <c r="BK141" i="1"/>
  <c r="W141" i="1"/>
  <c r="BK138" i="1"/>
  <c r="BK136" i="1"/>
  <c r="BD136" i="1" s="1"/>
  <c r="W136" i="1"/>
  <c r="BK134" i="1"/>
  <c r="BK131" i="1"/>
  <c r="W131" i="1"/>
  <c r="BK130" i="1"/>
  <c r="W130" i="1"/>
  <c r="BK129" i="1"/>
  <c r="BK128" i="1"/>
  <c r="W128" i="1"/>
  <c r="BK127" i="1"/>
  <c r="BK126" i="1"/>
  <c r="W126" i="1"/>
  <c r="BK124" i="1"/>
  <c r="BK123" i="1"/>
  <c r="BK122" i="1"/>
  <c r="BK121" i="1"/>
  <c r="BK118" i="1"/>
  <c r="BK117" i="1"/>
  <c r="W117" i="1"/>
  <c r="BK113" i="1"/>
  <c r="W113" i="1"/>
  <c r="BK108" i="1"/>
  <c r="W108" i="1"/>
  <c r="BK107" i="1"/>
  <c r="W107" i="1"/>
  <c r="BK105" i="1"/>
  <c r="BK100" i="1"/>
  <c r="W100" i="1"/>
  <c r="BK91" i="1"/>
  <c r="W91" i="1"/>
  <c r="BK82" i="1"/>
  <c r="W82" i="1"/>
  <c r="BK80" i="1"/>
  <c r="W80" i="1"/>
  <c r="BK79" i="1"/>
  <c r="W79" i="1"/>
  <c r="W78" i="1"/>
  <c r="BK77" i="1"/>
  <c r="W77" i="1"/>
  <c r="BK76" i="1"/>
  <c r="W76" i="1"/>
  <c r="BK75" i="1"/>
  <c r="W75" i="1"/>
  <c r="BK69" i="1"/>
  <c r="W69" i="1"/>
  <c r="BK68" i="1"/>
  <c r="W68" i="1"/>
  <c r="BK67" i="1"/>
  <c r="W67" i="1"/>
  <c r="BK64" i="1"/>
  <c r="W64" i="1"/>
  <c r="BK58" i="1"/>
  <c r="W58" i="1"/>
  <c r="BK57" i="1"/>
  <c r="BK56" i="1"/>
  <c r="W56" i="1"/>
  <c r="W54" i="1"/>
  <c r="BK52" i="1"/>
  <c r="BK51" i="1"/>
  <c r="BK46" i="1"/>
  <c r="W38" i="1"/>
  <c r="W37" i="1"/>
  <c r="W36" i="1"/>
  <c r="W34" i="1"/>
  <c r="O19" i="6" s="1"/>
  <c r="W18" i="1"/>
  <c r="W17" i="1"/>
  <c r="W10" i="1"/>
  <c r="W9" i="1"/>
  <c r="V134" i="1" l="1"/>
  <c r="V180" i="1"/>
  <c r="V136" i="1" s="1"/>
  <c r="CP179" i="1"/>
  <c r="V153" i="1"/>
  <c r="R153" i="1" s="1"/>
  <c r="BK215" i="1"/>
  <c r="BK208" i="1"/>
  <c r="BK237" i="1"/>
  <c r="BK229" i="1"/>
  <c r="BK243" i="1"/>
  <c r="BK187" i="1"/>
  <c r="BK179" i="1"/>
  <c r="BK162" i="1"/>
  <c r="BK153" i="1"/>
  <c r="BK169" i="1"/>
  <c r="BK217" i="1"/>
  <c r="BK135" i="1"/>
  <c r="BK54" i="1"/>
  <c r="BK78" i="1"/>
  <c r="BK132" i="1"/>
  <c r="BK125" i="1"/>
  <c r="BK38" i="1"/>
  <c r="BK10" i="1"/>
  <c r="BK34" i="1"/>
  <c r="BK40" i="1"/>
  <c r="BK17" i="1"/>
  <c r="BK18" i="1"/>
  <c r="BK36" i="1"/>
  <c r="BK9" i="1"/>
  <c r="BK37" i="1"/>
  <c r="W1742" i="1"/>
  <c r="W1735" i="1"/>
  <c r="W1737" i="1" s="1"/>
  <c r="W1567" i="1"/>
  <c r="W237" i="1"/>
  <c r="W215" i="1"/>
  <c r="U1299" i="1"/>
  <c r="CP1299" i="1" s="1"/>
  <c r="BK1268" i="1"/>
  <c r="U249" i="1"/>
  <c r="CP249" i="1" s="1"/>
  <c r="U248" i="1"/>
  <c r="CP248" i="1" s="1"/>
  <c r="U247" i="1"/>
  <c r="CP247" i="1" s="1"/>
  <c r="U246" i="1"/>
  <c r="CP246" i="1" s="1"/>
  <c r="U244" i="1"/>
  <c r="CP244" i="1" s="1"/>
  <c r="U243" i="1"/>
  <c r="CP243" i="1" s="1"/>
  <c r="U242" i="1"/>
  <c r="CP242" i="1" s="1"/>
  <c r="U241" i="1"/>
  <c r="CP241" i="1" s="1"/>
  <c r="U240" i="1"/>
  <c r="CP240" i="1" s="1"/>
  <c r="U239" i="1"/>
  <c r="CP239" i="1" s="1"/>
  <c r="U235" i="1"/>
  <c r="CP235" i="1" s="1"/>
  <c r="U234" i="1"/>
  <c r="CP234" i="1" s="1"/>
  <c r="U233" i="1"/>
  <c r="CP233" i="1" s="1"/>
  <c r="U232" i="1"/>
  <c r="CP232" i="1" s="1"/>
  <c r="U231" i="1"/>
  <c r="CP231" i="1" s="1"/>
  <c r="U230" i="1"/>
  <c r="CP230" i="1" s="1"/>
  <c r="U229" i="1"/>
  <c r="CP229" i="1" s="1"/>
  <c r="U227" i="1"/>
  <c r="CP227" i="1" s="1"/>
  <c r="U226" i="1"/>
  <c r="CP226" i="1" s="1"/>
  <c r="U225" i="1"/>
  <c r="CP225" i="1" s="1"/>
  <c r="U224" i="1"/>
  <c r="CP224" i="1" s="1"/>
  <c r="U222" i="1"/>
  <c r="CP222" i="1" s="1"/>
  <c r="U221" i="1"/>
  <c r="CP221" i="1" s="1"/>
  <c r="U220" i="1"/>
  <c r="CP220" i="1" s="1"/>
  <c r="U219" i="1"/>
  <c r="CP219" i="1" s="1"/>
  <c r="U218" i="1"/>
  <c r="CP218" i="1" s="1"/>
  <c r="U217" i="1"/>
  <c r="CP217" i="1" s="1"/>
  <c r="U214" i="1"/>
  <c r="CP214" i="1" s="1"/>
  <c r="U213" i="1"/>
  <c r="CP213" i="1" s="1"/>
  <c r="U212" i="1"/>
  <c r="CP212" i="1" s="1"/>
  <c r="U211" i="1"/>
  <c r="CP211" i="1" s="1"/>
  <c r="U209" i="1"/>
  <c r="CP209" i="1" s="1"/>
  <c r="U208" i="1"/>
  <c r="CP208" i="1" s="1"/>
  <c r="U205" i="1"/>
  <c r="CP205" i="1" s="1"/>
  <c r="U204" i="1"/>
  <c r="CP204" i="1" s="1"/>
  <c r="U185" i="1"/>
  <c r="CP185" i="1" s="1"/>
  <c r="U184" i="1"/>
  <c r="CP184" i="1" s="1"/>
  <c r="U182" i="1"/>
  <c r="CP182" i="1" s="1"/>
  <c r="U181" i="1"/>
  <c r="CP181" i="1" s="1"/>
  <c r="U176" i="1"/>
  <c r="CP176" i="1" s="1"/>
  <c r="U175" i="1"/>
  <c r="CP175" i="1" s="1"/>
  <c r="U174" i="1"/>
  <c r="CP174" i="1" s="1"/>
  <c r="U173" i="1"/>
  <c r="CP173" i="1" s="1"/>
  <c r="U172" i="1"/>
  <c r="CP172" i="1" s="1"/>
  <c r="U171" i="1"/>
  <c r="CP171" i="1" s="1"/>
  <c r="U170" i="1"/>
  <c r="CP170" i="1" s="1"/>
  <c r="U168" i="1"/>
  <c r="CP168" i="1" s="1"/>
  <c r="U167" i="1"/>
  <c r="CP167" i="1" s="1"/>
  <c r="U166" i="1"/>
  <c r="CP166" i="1" s="1"/>
  <c r="U165" i="1"/>
  <c r="CP165" i="1" s="1"/>
  <c r="U159" i="1"/>
  <c r="CP159" i="1" s="1"/>
  <c r="U158" i="1"/>
  <c r="CP158" i="1" s="1"/>
  <c r="U157" i="1"/>
  <c r="CP157" i="1" s="1"/>
  <c r="U156" i="1"/>
  <c r="CP156" i="1" s="1"/>
  <c r="U155" i="1"/>
  <c r="CP155" i="1" s="1"/>
  <c r="U154" i="1"/>
  <c r="U153" i="1"/>
  <c r="U150" i="1"/>
  <c r="CP150" i="1" s="1"/>
  <c r="U149" i="1"/>
  <c r="CP149" i="1" s="1"/>
  <c r="U356" i="1"/>
  <c r="CP356" i="1" s="1"/>
  <c r="U355" i="1"/>
  <c r="CP355" i="1" s="1"/>
  <c r="U354" i="1"/>
  <c r="CP354" i="1" s="1"/>
  <c r="U353" i="1"/>
  <c r="CP353" i="1" s="1"/>
  <c r="U352" i="1"/>
  <c r="CP352" i="1" s="1"/>
  <c r="U351" i="1"/>
  <c r="CP351" i="1" s="1"/>
  <c r="U350" i="1"/>
  <c r="CP350" i="1" s="1"/>
  <c r="U349" i="1"/>
  <c r="CP349" i="1" s="1"/>
  <c r="U348" i="1"/>
  <c r="CP348" i="1" s="1"/>
  <c r="U347" i="1"/>
  <c r="CP347" i="1" s="1"/>
  <c r="U346" i="1"/>
  <c r="CP346" i="1" s="1"/>
  <c r="U345" i="1"/>
  <c r="CP345" i="1" s="1"/>
  <c r="U344" i="1"/>
  <c r="CP344" i="1" s="1"/>
  <c r="U341" i="1"/>
  <c r="CP341" i="1" s="1"/>
  <c r="U340" i="1"/>
  <c r="CP340" i="1" s="1"/>
  <c r="U339" i="1"/>
  <c r="CP339" i="1" s="1"/>
  <c r="U338" i="1"/>
  <c r="CP338" i="1" s="1"/>
  <c r="U337" i="1"/>
  <c r="CP337" i="1" s="1"/>
  <c r="U336" i="1"/>
  <c r="CP336" i="1" s="1"/>
  <c r="U335" i="1"/>
  <c r="CP335" i="1" s="1"/>
  <c r="U334" i="1"/>
  <c r="CP334" i="1" s="1"/>
  <c r="U333" i="1"/>
  <c r="CP333" i="1" s="1"/>
  <c r="U332" i="1"/>
  <c r="CP332" i="1" s="1"/>
  <c r="U331" i="1"/>
  <c r="CP331" i="1" s="1"/>
  <c r="U330" i="1"/>
  <c r="CP330" i="1" s="1"/>
  <c r="U329" i="1"/>
  <c r="CP329" i="1" s="1"/>
  <c r="U326" i="1"/>
  <c r="CP326" i="1" s="1"/>
  <c r="U325" i="1"/>
  <c r="CP325" i="1" s="1"/>
  <c r="U324" i="1"/>
  <c r="CP324" i="1" s="1"/>
  <c r="U323" i="1"/>
  <c r="CP323" i="1" s="1"/>
  <c r="U322" i="1"/>
  <c r="CP322" i="1" s="1"/>
  <c r="U321" i="1"/>
  <c r="CP321" i="1" s="1"/>
  <c r="U320" i="1"/>
  <c r="CP320" i="1" s="1"/>
  <c r="U319" i="1"/>
  <c r="CP319" i="1" s="1"/>
  <c r="U318" i="1"/>
  <c r="CP318" i="1" s="1"/>
  <c r="U317" i="1"/>
  <c r="CP317" i="1" s="1"/>
  <c r="U316" i="1"/>
  <c r="CP316" i="1" s="1"/>
  <c r="U315" i="1"/>
  <c r="CP315" i="1" s="1"/>
  <c r="U314" i="1"/>
  <c r="CP314" i="1" s="1"/>
  <c r="U313" i="1"/>
  <c r="CP313" i="1" s="1"/>
  <c r="U312" i="1"/>
  <c r="CP312" i="1" s="1"/>
  <c r="U309" i="1"/>
  <c r="CP309" i="1" s="1"/>
  <c r="U308" i="1"/>
  <c r="CP308" i="1" s="1"/>
  <c r="U307" i="1"/>
  <c r="CP307" i="1" s="1"/>
  <c r="U306" i="1"/>
  <c r="CP306" i="1" s="1"/>
  <c r="U305" i="1"/>
  <c r="CP305" i="1" s="1"/>
  <c r="U304" i="1"/>
  <c r="CP304" i="1" s="1"/>
  <c r="U303" i="1"/>
  <c r="CP303" i="1" s="1"/>
  <c r="U302" i="1"/>
  <c r="CP302" i="1" s="1"/>
  <c r="U301" i="1"/>
  <c r="CP301" i="1" s="1"/>
  <c r="U300" i="1"/>
  <c r="CP300" i="1" s="1"/>
  <c r="U299" i="1"/>
  <c r="CP299" i="1" s="1"/>
  <c r="U298" i="1"/>
  <c r="CP298" i="1" s="1"/>
  <c r="U297" i="1"/>
  <c r="CP297" i="1" s="1"/>
  <c r="U296" i="1"/>
  <c r="CP296" i="1" s="1"/>
  <c r="U295" i="1"/>
  <c r="CP295" i="1" s="1"/>
  <c r="U207" i="1"/>
  <c r="T178" i="1"/>
  <c r="U285" i="1"/>
  <c r="CP285" i="1" s="1"/>
  <c r="U284" i="1"/>
  <c r="CP284" i="1" s="1"/>
  <c r="U283" i="1"/>
  <c r="CP283" i="1" s="1"/>
  <c r="U282" i="1"/>
  <c r="U281" i="1"/>
  <c r="CP281" i="1" s="1"/>
  <c r="U280" i="1"/>
  <c r="CP280" i="1" s="1"/>
  <c r="U279" i="1"/>
  <c r="CP279" i="1" s="1"/>
  <c r="U278" i="1"/>
  <c r="CP278" i="1" s="1"/>
  <c r="U276" i="1"/>
  <c r="CP276" i="1" s="1"/>
  <c r="U275" i="1"/>
  <c r="CP275" i="1" s="1"/>
  <c r="U274" i="1"/>
  <c r="CP274" i="1" s="1"/>
  <c r="U273" i="1"/>
  <c r="CP273" i="1" s="1"/>
  <c r="U272" i="1"/>
  <c r="CP272" i="1" s="1"/>
  <c r="U271" i="1"/>
  <c r="CP271" i="1" s="1"/>
  <c r="U269" i="1"/>
  <c r="CP269" i="1" s="1"/>
  <c r="U268" i="1"/>
  <c r="CP268" i="1" s="1"/>
  <c r="U267" i="1"/>
  <c r="CP267" i="1" s="1"/>
  <c r="U266" i="1"/>
  <c r="CP266" i="1" s="1"/>
  <c r="U265" i="1"/>
  <c r="CP265" i="1" s="1"/>
  <c r="U264" i="1"/>
  <c r="CP264" i="1" s="1"/>
  <c r="U263" i="1"/>
  <c r="CP263" i="1" s="1"/>
  <c r="U262" i="1"/>
  <c r="CP262" i="1" s="1"/>
  <c r="U260" i="1"/>
  <c r="CP260" i="1" s="1"/>
  <c r="U259" i="1"/>
  <c r="CP259" i="1" s="1"/>
  <c r="U258" i="1"/>
  <c r="CP258" i="1" s="1"/>
  <c r="U257" i="1"/>
  <c r="CP257" i="1" s="1"/>
  <c r="U256" i="1"/>
  <c r="CP256" i="1" s="1"/>
  <c r="U255" i="1"/>
  <c r="CP255" i="1" s="1"/>
  <c r="U253" i="1"/>
  <c r="CP253" i="1" s="1"/>
  <c r="U252" i="1"/>
  <c r="CP252" i="1" s="1"/>
  <c r="U251" i="1"/>
  <c r="CP251" i="1" s="1"/>
  <c r="U245" i="1"/>
  <c r="CP245" i="1" s="1"/>
  <c r="U236" i="1"/>
  <c r="CP236" i="1" s="1"/>
  <c r="U223" i="1"/>
  <c r="CP223" i="1" s="1"/>
  <c r="U210" i="1"/>
  <c r="CP210" i="1" s="1"/>
  <c r="U183" i="1"/>
  <c r="CP183" i="1" s="1"/>
  <c r="U169" i="1"/>
  <c r="CP169" i="1" s="1"/>
  <c r="U164" i="1"/>
  <c r="CP164" i="1" s="1"/>
  <c r="U161" i="1"/>
  <c r="CP161" i="1" s="1"/>
  <c r="U152" i="1"/>
  <c r="CP152" i="1" s="1"/>
  <c r="T133" i="1"/>
  <c r="BJ132" i="1"/>
  <c r="BI132" i="1"/>
  <c r="BH132" i="1"/>
  <c r="BG132" i="1"/>
  <c r="BF132" i="1"/>
  <c r="BE132" i="1"/>
  <c r="BI70" i="1"/>
  <c r="BH70" i="1"/>
  <c r="BF70" i="1"/>
  <c r="BJ83" i="1"/>
  <c r="BI83" i="1"/>
  <c r="BH83" i="1"/>
  <c r="BG83" i="1"/>
  <c r="BF83" i="1"/>
  <c r="T50" i="1"/>
  <c r="T30" i="1"/>
  <c r="T12" i="1"/>
  <c r="T23" i="1"/>
  <c r="CP282" i="1" l="1"/>
  <c r="T282" i="1"/>
  <c r="T207" i="1"/>
  <c r="CP207" i="1"/>
  <c r="R180" i="1"/>
  <c r="CP180" i="1"/>
  <c r="CP153" i="1"/>
  <c r="V154" i="1"/>
  <c r="R179" i="1"/>
  <c r="BK139" i="1"/>
  <c r="U1288" i="1"/>
  <c r="CP1288" i="1" s="1"/>
  <c r="U1272" i="1"/>
  <c r="U1251" i="1"/>
  <c r="CP1251" i="1" s="1"/>
  <c r="U1285" i="1"/>
  <c r="CP1285" i="1" s="1"/>
  <c r="U1261" i="1"/>
  <c r="CP1261" i="1" s="1"/>
  <c r="U1244" i="1"/>
  <c r="CP1244" i="1" s="1"/>
  <c r="U1287" i="1"/>
  <c r="CP1287" i="1" s="1"/>
  <c r="U1302" i="1"/>
  <c r="CP1302" i="1" s="1"/>
  <c r="U1277" i="1"/>
  <c r="CP1277" i="1" s="1"/>
  <c r="U1296" i="1"/>
  <c r="CP1296" i="1" s="1"/>
  <c r="U1243" i="1"/>
  <c r="CP1243" i="1" s="1"/>
  <c r="U1252" i="1"/>
  <c r="CP1252" i="1" s="1"/>
  <c r="U1301" i="1"/>
  <c r="CP1301" i="1" s="1"/>
  <c r="U1297" i="1"/>
  <c r="CP1297" i="1" s="1"/>
  <c r="T245" i="1"/>
  <c r="T253" i="1"/>
  <c r="T263" i="1"/>
  <c r="T272" i="1"/>
  <c r="T285" i="1"/>
  <c r="T255" i="1"/>
  <c r="T259" i="1"/>
  <c r="T264" i="1"/>
  <c r="T268" i="1"/>
  <c r="T273" i="1"/>
  <c r="T278" i="1"/>
  <c r="T258" i="1"/>
  <c r="T267" i="1"/>
  <c r="T276" i="1"/>
  <c r="T281" i="1"/>
  <c r="T260" i="1"/>
  <c r="T265" i="1"/>
  <c r="T279" i="1"/>
  <c r="T283" i="1"/>
  <c r="T252" i="1"/>
  <c r="T257" i="1"/>
  <c r="T256" i="1"/>
  <c r="T262" i="1"/>
  <c r="T266" i="1"/>
  <c r="T271" i="1"/>
  <c r="T275" i="1"/>
  <c r="T280" i="1"/>
  <c r="T284" i="1"/>
  <c r="T274" i="1"/>
  <c r="T251" i="1"/>
  <c r="T269" i="1"/>
  <c r="T337" i="1"/>
  <c r="T332" i="1"/>
  <c r="T349" i="1"/>
  <c r="T333" i="1"/>
  <c r="T339" i="1"/>
  <c r="T345" i="1"/>
  <c r="T350" i="1"/>
  <c r="T346" i="1"/>
  <c r="T353" i="1"/>
  <c r="T331" i="1"/>
  <c r="T335" i="1"/>
  <c r="T236" i="1"/>
  <c r="T153" i="1"/>
  <c r="T172" i="1"/>
  <c r="T164" i="1"/>
  <c r="T336" i="1"/>
  <c r="T223" i="1"/>
  <c r="T243" i="1"/>
  <c r="T150" i="1"/>
  <c r="T158" i="1"/>
  <c r="T165" i="1"/>
  <c r="T171" i="1"/>
  <c r="T173" i="1"/>
  <c r="T175" i="1"/>
  <c r="T179" i="1"/>
  <c r="T181" i="1"/>
  <c r="T204" i="1"/>
  <c r="T212" i="1"/>
  <c r="T214" i="1"/>
  <c r="T219" i="1"/>
  <c r="T221" i="1"/>
  <c r="T225" i="1"/>
  <c r="T227" i="1"/>
  <c r="T230" i="1"/>
  <c r="T232" i="1"/>
  <c r="T234" i="1"/>
  <c r="T239" i="1"/>
  <c r="T241" i="1"/>
  <c r="T247" i="1"/>
  <c r="T249" i="1"/>
  <c r="T210" i="1"/>
  <c r="T161" i="1"/>
  <c r="T208" i="1"/>
  <c r="T217" i="1"/>
  <c r="T226" i="1"/>
  <c r="T149" i="1"/>
  <c r="T168" i="1"/>
  <c r="T174" i="1"/>
  <c r="T176" i="1"/>
  <c r="T205" i="1"/>
  <c r="T211" i="1"/>
  <c r="T213" i="1"/>
  <c r="T218" i="1"/>
  <c r="T224" i="1"/>
  <c r="T229" i="1"/>
  <c r="T231" i="1"/>
  <c r="T233" i="1"/>
  <c r="T235" i="1"/>
  <c r="T240" i="1"/>
  <c r="T242" i="1"/>
  <c r="T246" i="1"/>
  <c r="T248" i="1"/>
  <c r="T209" i="1"/>
  <c r="T220" i="1"/>
  <c r="T152" i="1"/>
  <c r="T344" i="1"/>
  <c r="T340" i="1"/>
  <c r="T352" i="1"/>
  <c r="T330" i="1"/>
  <c r="T334" i="1"/>
  <c r="T338" i="1"/>
  <c r="T347" i="1"/>
  <c r="T351" i="1"/>
  <c r="T355" i="1"/>
  <c r="T329" i="1"/>
  <c r="T354" i="1"/>
  <c r="T348" i="1"/>
  <c r="T356" i="1"/>
  <c r="R187" i="1" l="1"/>
  <c r="T1272" i="1"/>
  <c r="CP1272" i="1"/>
  <c r="R134" i="1"/>
  <c r="R154" i="1"/>
  <c r="R162" i="1" s="1"/>
  <c r="CP154" i="1"/>
  <c r="R136" i="1"/>
  <c r="U1268" i="1"/>
  <c r="CP1268" i="1" s="1"/>
  <c r="T42" i="1"/>
  <c r="U1874" i="1" l="1"/>
  <c r="CM1874" i="1" s="1"/>
  <c r="CP1874" i="1" s="1"/>
  <c r="U1873" i="1"/>
  <c r="CM1873" i="1" s="1"/>
  <c r="CP1873" i="1" s="1"/>
  <c r="U1872" i="1"/>
  <c r="CM1872" i="1" s="1"/>
  <c r="CP1872" i="1" s="1"/>
  <c r="U1871" i="1"/>
  <c r="CM1871" i="1" s="1"/>
  <c r="CP1871" i="1" s="1"/>
  <c r="U1870" i="1"/>
  <c r="CM1870" i="1" s="1"/>
  <c r="CP1870" i="1" s="1"/>
  <c r="U1869" i="1"/>
  <c r="CM1869" i="1" s="1"/>
  <c r="CP1869" i="1" s="1"/>
  <c r="U1868" i="1"/>
  <c r="CM1868" i="1" s="1"/>
  <c r="CP1868" i="1" s="1"/>
  <c r="U1867" i="1"/>
  <c r="CM1867" i="1" s="1"/>
  <c r="CP1867" i="1" s="1"/>
  <c r="U1866" i="1"/>
  <c r="CM1866" i="1" s="1"/>
  <c r="CP1866" i="1" s="1"/>
  <c r="U1865" i="1"/>
  <c r="CM1865" i="1" s="1"/>
  <c r="CP1865" i="1" s="1"/>
  <c r="U1864" i="1"/>
  <c r="CM1864" i="1" s="1"/>
  <c r="CP1864" i="1" s="1"/>
  <c r="U1863" i="1"/>
  <c r="CM1863" i="1" s="1"/>
  <c r="CP1863" i="1" s="1"/>
  <c r="U1862" i="1"/>
  <c r="CM1862" i="1" s="1"/>
  <c r="CP1862" i="1" s="1"/>
  <c r="U1861" i="1"/>
  <c r="CM1861" i="1" s="1"/>
  <c r="CP1861" i="1" s="1"/>
  <c r="U1859" i="1"/>
  <c r="CM1859" i="1" s="1"/>
  <c r="CP1859" i="1" s="1"/>
  <c r="U1858" i="1"/>
  <c r="CM1858" i="1" s="1"/>
  <c r="CP1858" i="1" s="1"/>
  <c r="U1857" i="1"/>
  <c r="CM1857" i="1" s="1"/>
  <c r="CP1857" i="1" s="1"/>
  <c r="U1856" i="1"/>
  <c r="CM1856" i="1" s="1"/>
  <c r="CP1856" i="1" s="1"/>
  <c r="U1855" i="1"/>
  <c r="CM1855" i="1" s="1"/>
  <c r="CP1855" i="1" s="1"/>
  <c r="U1854" i="1"/>
  <c r="CM1854" i="1" s="1"/>
  <c r="CP1854" i="1" s="1"/>
  <c r="U1844" i="1"/>
  <c r="CP1844" i="1" s="1"/>
  <c r="U1743" i="1"/>
  <c r="CM1743" i="1" s="1"/>
  <c r="CP1743" i="1" s="1"/>
  <c r="U1741" i="1"/>
  <c r="CM1741" i="1" s="1"/>
  <c r="CP1741" i="1" s="1"/>
  <c r="U1740" i="1"/>
  <c r="CM1740" i="1" s="1"/>
  <c r="CP1740" i="1" s="1"/>
  <c r="U1739" i="1"/>
  <c r="CM1739" i="1" s="1"/>
  <c r="CP1739" i="1" s="1"/>
  <c r="U1738" i="1"/>
  <c r="CM1738" i="1" s="1"/>
  <c r="CP1738" i="1" s="1"/>
  <c r="U1736" i="1"/>
  <c r="CM1736" i="1" s="1"/>
  <c r="CP1736" i="1" s="1"/>
  <c r="U1734" i="1"/>
  <c r="CM1734" i="1" s="1"/>
  <c r="CP1734" i="1" s="1"/>
  <c r="U1733" i="1"/>
  <c r="CM1733" i="1" s="1"/>
  <c r="CP1733" i="1" s="1"/>
  <c r="U1732" i="1"/>
  <c r="CM1732" i="1" s="1"/>
  <c r="CP1732" i="1" s="1"/>
  <c r="U1731" i="1"/>
  <c r="CM1731" i="1" s="1"/>
  <c r="CP1731" i="1" s="1"/>
  <c r="U1730" i="1"/>
  <c r="CM1730" i="1" s="1"/>
  <c r="CP1730" i="1" s="1"/>
  <c r="U1728" i="1"/>
  <c r="CM1728" i="1" s="1"/>
  <c r="CP1728" i="1" s="1"/>
  <c r="U1727" i="1"/>
  <c r="CM1727" i="1" s="1"/>
  <c r="CP1727" i="1" s="1"/>
  <c r="U1726" i="1"/>
  <c r="CM1726" i="1" s="1"/>
  <c r="CP1726" i="1" s="1"/>
  <c r="U1725" i="1"/>
  <c r="CM1725" i="1" s="1"/>
  <c r="CP1725" i="1" s="1"/>
  <c r="U1724" i="1"/>
  <c r="CM1724" i="1" s="1"/>
  <c r="CP1724" i="1" s="1"/>
  <c r="U1723" i="1"/>
  <c r="CM1723" i="1" s="1"/>
  <c r="CP1723" i="1" s="1"/>
  <c r="U1720" i="1"/>
  <c r="CM1720" i="1" s="1"/>
  <c r="CP1720" i="1" s="1"/>
  <c r="U1566" i="1"/>
  <c r="CM1566" i="1" s="1"/>
  <c r="CP1566" i="1" s="1"/>
  <c r="U1565" i="1"/>
  <c r="CM1565" i="1" s="1"/>
  <c r="CP1565" i="1" s="1"/>
  <c r="U1564" i="1"/>
  <c r="CM1564" i="1" s="1"/>
  <c r="CP1564" i="1" s="1"/>
  <c r="U1563" i="1"/>
  <c r="CM1563" i="1" s="1"/>
  <c r="CP1563" i="1" s="1"/>
  <c r="U1562" i="1"/>
  <c r="CM1562" i="1" s="1"/>
  <c r="CP1562" i="1" s="1"/>
  <c r="U1561" i="1"/>
  <c r="CM1561" i="1" s="1"/>
  <c r="CP1561" i="1" s="1"/>
  <c r="U1560" i="1"/>
  <c r="CM1560" i="1" s="1"/>
  <c r="CP1560" i="1" s="1"/>
  <c r="U1559" i="1"/>
  <c r="CM1559" i="1" s="1"/>
  <c r="CP1559" i="1" s="1"/>
  <c r="U1558" i="1"/>
  <c r="CM1558" i="1" s="1"/>
  <c r="CP1558" i="1" s="1"/>
  <c r="U1557" i="1"/>
  <c r="CM1557" i="1" s="1"/>
  <c r="CP1557" i="1" s="1"/>
  <c r="U1556" i="1"/>
  <c r="CM1556" i="1" s="1"/>
  <c r="CP1556" i="1" s="1"/>
  <c r="U1555" i="1"/>
  <c r="CM1555" i="1" s="1"/>
  <c r="CP1555" i="1" s="1"/>
  <c r="U1553" i="1"/>
  <c r="CM1553" i="1" s="1"/>
  <c r="CP1553" i="1" s="1"/>
  <c r="U1552" i="1"/>
  <c r="CM1552" i="1" s="1"/>
  <c r="CP1552" i="1" s="1"/>
  <c r="U1550" i="1"/>
  <c r="CM1550" i="1" s="1"/>
  <c r="CP1550" i="1" s="1"/>
  <c r="U1549" i="1"/>
  <c r="CM1549" i="1" s="1"/>
  <c r="CP1549" i="1" s="1"/>
  <c r="U1548" i="1"/>
  <c r="CM1548" i="1" s="1"/>
  <c r="CP1548" i="1" s="1"/>
  <c r="U1547" i="1"/>
  <c r="CM1547" i="1" s="1"/>
  <c r="CP1547" i="1" s="1"/>
  <c r="U1546" i="1"/>
  <c r="CM1546" i="1" s="1"/>
  <c r="CP1546" i="1" s="1"/>
  <c r="U1545" i="1"/>
  <c r="CM1545" i="1" s="1"/>
  <c r="CP1545" i="1" s="1"/>
  <c r="U1544" i="1"/>
  <c r="CM1544" i="1" s="1"/>
  <c r="CP1544" i="1" s="1"/>
  <c r="U1542" i="1"/>
  <c r="CM1542" i="1" s="1"/>
  <c r="CP1542" i="1" s="1"/>
  <c r="U1535" i="1"/>
  <c r="CM1535" i="1" s="1"/>
  <c r="CP1535" i="1" s="1"/>
  <c r="U1534" i="1"/>
  <c r="CM1534" i="1" s="1"/>
  <c r="CP1534" i="1" s="1"/>
  <c r="U1409" i="1"/>
  <c r="CM1409" i="1" s="1"/>
  <c r="CP1409" i="1" s="1"/>
  <c r="U1408" i="1"/>
  <c r="CM1408" i="1" s="1"/>
  <c r="CP1408" i="1" s="1"/>
  <c r="U1407" i="1"/>
  <c r="CM1407" i="1" s="1"/>
  <c r="CP1407" i="1" s="1"/>
  <c r="U1406" i="1"/>
  <c r="CM1406" i="1" s="1"/>
  <c r="CP1406" i="1" s="1"/>
  <c r="U1404" i="1"/>
  <c r="CM1404" i="1" s="1"/>
  <c r="CP1404" i="1" s="1"/>
  <c r="U1403" i="1"/>
  <c r="CM1403" i="1" s="1"/>
  <c r="CP1403" i="1" s="1"/>
  <c r="U1402" i="1"/>
  <c r="CM1402" i="1" s="1"/>
  <c r="CP1402" i="1" s="1"/>
  <c r="U1401" i="1"/>
  <c r="CM1401" i="1" s="1"/>
  <c r="CP1401" i="1" s="1"/>
  <c r="U1399" i="1"/>
  <c r="CM1399" i="1" s="1"/>
  <c r="CP1399" i="1" s="1"/>
  <c r="U1398" i="1"/>
  <c r="CM1398" i="1" s="1"/>
  <c r="CP1398" i="1" s="1"/>
  <c r="U1397" i="1"/>
  <c r="CM1397" i="1" s="1"/>
  <c r="CP1397" i="1" s="1"/>
  <c r="U1396" i="1"/>
  <c r="CM1396" i="1" s="1"/>
  <c r="CP1396" i="1" s="1"/>
  <c r="U1394" i="1"/>
  <c r="CM1394" i="1" s="1"/>
  <c r="CP1394" i="1" s="1"/>
  <c r="U1393" i="1"/>
  <c r="CM1393" i="1" s="1"/>
  <c r="CP1393" i="1" s="1"/>
  <c r="U1392" i="1"/>
  <c r="CM1392" i="1" s="1"/>
  <c r="CP1392" i="1" s="1"/>
  <c r="U1391" i="1"/>
  <c r="CM1391" i="1" s="1"/>
  <c r="CP1391" i="1" s="1"/>
  <c r="U1389" i="1"/>
  <c r="CM1389" i="1" s="1"/>
  <c r="CP1389" i="1" s="1"/>
  <c r="U1388" i="1"/>
  <c r="CM1388" i="1" s="1"/>
  <c r="CP1388" i="1" s="1"/>
  <c r="U1387" i="1"/>
  <c r="CM1387" i="1" s="1"/>
  <c r="CP1387" i="1" s="1"/>
  <c r="U1386" i="1"/>
  <c r="CM1386" i="1" s="1"/>
  <c r="CP1386" i="1" s="1"/>
  <c r="U1384" i="1"/>
  <c r="CM1384" i="1" s="1"/>
  <c r="CP1384" i="1" s="1"/>
  <c r="U1383" i="1"/>
  <c r="CM1383" i="1" s="1"/>
  <c r="CP1383" i="1" s="1"/>
  <c r="U1382" i="1"/>
  <c r="CM1382" i="1" s="1"/>
  <c r="CP1382" i="1" s="1"/>
  <c r="U1381" i="1"/>
  <c r="CM1381" i="1" s="1"/>
  <c r="CP1381" i="1" s="1"/>
  <c r="U1376" i="1"/>
  <c r="CM1376" i="1" s="1"/>
  <c r="CP1376" i="1" s="1"/>
  <c r="U1374" i="1"/>
  <c r="CM1374" i="1" s="1"/>
  <c r="CP1374" i="1" s="1"/>
  <c r="U1373" i="1"/>
  <c r="CM1373" i="1" s="1"/>
  <c r="CP1373" i="1" s="1"/>
  <c r="U1372" i="1"/>
  <c r="CM1372" i="1" s="1"/>
  <c r="CP1372" i="1" s="1"/>
  <c r="U1371" i="1"/>
  <c r="CM1371" i="1" s="1"/>
  <c r="CP1371" i="1" s="1"/>
  <c r="U1369" i="1"/>
  <c r="CM1369" i="1" s="1"/>
  <c r="CP1369" i="1" s="1"/>
  <c r="U1368" i="1"/>
  <c r="CM1368" i="1" s="1"/>
  <c r="CP1368" i="1" s="1"/>
  <c r="U1367" i="1"/>
  <c r="CM1367" i="1" s="1"/>
  <c r="CP1367" i="1" s="1"/>
  <c r="U1366" i="1"/>
  <c r="CM1366" i="1" s="1"/>
  <c r="CP1366" i="1" s="1"/>
  <c r="U1365" i="1"/>
  <c r="CM1365" i="1" s="1"/>
  <c r="CP1365" i="1" s="1"/>
  <c r="U1364" i="1"/>
  <c r="CM1364" i="1" s="1"/>
  <c r="CP1364" i="1" s="1"/>
  <c r="U1362" i="1"/>
  <c r="CM1362" i="1" s="1"/>
  <c r="CP1362" i="1" s="1"/>
  <c r="U1361" i="1"/>
  <c r="CM1361" i="1" s="1"/>
  <c r="CP1361" i="1" s="1"/>
  <c r="U1360" i="1"/>
  <c r="CM1360" i="1" s="1"/>
  <c r="CP1360" i="1" s="1"/>
  <c r="U1359" i="1"/>
  <c r="CM1359" i="1" s="1"/>
  <c r="CP1359" i="1" s="1"/>
  <c r="U1358" i="1"/>
  <c r="CM1358" i="1" s="1"/>
  <c r="CP1358" i="1" s="1"/>
  <c r="U1357" i="1"/>
  <c r="CM1357" i="1" s="1"/>
  <c r="CP1357" i="1" s="1"/>
  <c r="U1270" i="1"/>
  <c r="CP1270" i="1" s="1"/>
  <c r="U1254" i="1"/>
  <c r="CP1254" i="1" s="1"/>
  <c r="U1236" i="1"/>
  <c r="CP1236" i="1" s="1"/>
  <c r="U1234" i="1"/>
  <c r="CP1234" i="1" s="1"/>
  <c r="U1233" i="1"/>
  <c r="CP1233" i="1" s="1"/>
  <c r="U1232" i="1"/>
  <c r="CP1232" i="1" s="1"/>
  <c r="U1231" i="1"/>
  <c r="CP1231" i="1" s="1"/>
  <c r="U1222" i="1"/>
  <c r="CP1222" i="1" s="1"/>
  <c r="U1221" i="1"/>
  <c r="CP1221" i="1" s="1"/>
  <c r="U1220" i="1"/>
  <c r="CP1220" i="1" s="1"/>
  <c r="U1219" i="1"/>
  <c r="CP1219" i="1" s="1"/>
  <c r="U1218" i="1"/>
  <c r="CP1218" i="1" s="1"/>
  <c r="U1215" i="1"/>
  <c r="CP1215" i="1" s="1"/>
  <c r="U1214" i="1"/>
  <c r="CP1214" i="1" s="1"/>
  <c r="U1213" i="1"/>
  <c r="CP1213" i="1" s="1"/>
  <c r="U1212" i="1"/>
  <c r="CP1212" i="1" s="1"/>
  <c r="U1210" i="1"/>
  <c r="CP1210" i="1" s="1"/>
  <c r="U1208" i="1"/>
  <c r="CP1208" i="1" s="1"/>
  <c r="U1207" i="1"/>
  <c r="CP1207" i="1" s="1"/>
  <c r="U1206" i="1"/>
  <c r="CP1206" i="1" s="1"/>
  <c r="U1205" i="1"/>
  <c r="CP1205" i="1" s="1"/>
  <c r="U1204" i="1"/>
  <c r="CP1204" i="1" s="1"/>
  <c r="U1202" i="1"/>
  <c r="CP1202" i="1" s="1"/>
  <c r="U1201" i="1"/>
  <c r="CP1201" i="1" s="1"/>
  <c r="U1198" i="1"/>
  <c r="CP1198" i="1" s="1"/>
  <c r="U1197" i="1"/>
  <c r="CP1197" i="1" s="1"/>
  <c r="U1196" i="1"/>
  <c r="CP1196" i="1" s="1"/>
  <c r="U1195" i="1"/>
  <c r="CP1195" i="1" s="1"/>
  <c r="U1194" i="1"/>
  <c r="CP1194" i="1" s="1"/>
  <c r="U1193" i="1"/>
  <c r="CP1193" i="1" s="1"/>
  <c r="U1191" i="1"/>
  <c r="CP1191" i="1" s="1"/>
  <c r="U1190" i="1"/>
  <c r="CP1190" i="1" s="1"/>
  <c r="U1189" i="1"/>
  <c r="CP1189" i="1" s="1"/>
  <c r="U1188" i="1"/>
  <c r="CP1188" i="1" s="1"/>
  <c r="U1187" i="1"/>
  <c r="CP1187" i="1" s="1"/>
  <c r="U1186" i="1"/>
  <c r="CP1186" i="1" s="1"/>
  <c r="U1184" i="1"/>
  <c r="CP1184" i="1" s="1"/>
  <c r="U1183" i="1"/>
  <c r="CP1183" i="1" s="1"/>
  <c r="U1182" i="1"/>
  <c r="CP1182" i="1" s="1"/>
  <c r="U1181" i="1"/>
  <c r="CP1181" i="1" s="1"/>
  <c r="U1180" i="1"/>
  <c r="CP1180" i="1" s="1"/>
  <c r="U1179" i="1"/>
  <c r="CP1179" i="1" s="1"/>
  <c r="U1178" i="1"/>
  <c r="CP1178" i="1" s="1"/>
  <c r="U1176" i="1"/>
  <c r="CP1176" i="1" s="1"/>
  <c r="U1175" i="1"/>
  <c r="CP1175" i="1" s="1"/>
  <c r="U1174" i="1"/>
  <c r="CP1174" i="1" s="1"/>
  <c r="U1173" i="1"/>
  <c r="CP1173" i="1" s="1"/>
  <c r="U1172" i="1"/>
  <c r="CP1172" i="1" s="1"/>
  <c r="U1171" i="1"/>
  <c r="CP1171" i="1" s="1"/>
  <c r="U1170" i="1"/>
  <c r="CP1170" i="1" s="1"/>
  <c r="U1168" i="1"/>
  <c r="CP1168" i="1" s="1"/>
  <c r="U1167" i="1"/>
  <c r="CP1167" i="1" s="1"/>
  <c r="U1166" i="1"/>
  <c r="CP1166" i="1" s="1"/>
  <c r="U1165" i="1"/>
  <c r="CP1165" i="1" s="1"/>
  <c r="U1164" i="1"/>
  <c r="CP1164" i="1" s="1"/>
  <c r="U1163" i="1"/>
  <c r="CP1163" i="1" s="1"/>
  <c r="U1162" i="1"/>
  <c r="CP1162" i="1" s="1"/>
  <c r="U1159" i="1"/>
  <c r="CP1159" i="1" s="1"/>
  <c r="U1155" i="1"/>
  <c r="CP1155" i="1" s="1"/>
  <c r="U1154" i="1"/>
  <c r="CP1154" i="1" s="1"/>
  <c r="U1152" i="1"/>
  <c r="CP1152" i="1" s="1"/>
  <c r="U1151" i="1"/>
  <c r="CP1151" i="1" s="1"/>
  <c r="U1133" i="1"/>
  <c r="CP1133" i="1" s="1"/>
  <c r="U1132" i="1"/>
  <c r="CP1132" i="1" s="1"/>
  <c r="U1131" i="1"/>
  <c r="CP1131" i="1" s="1"/>
  <c r="U1130" i="1"/>
  <c r="CP1130" i="1" s="1"/>
  <c r="U1114" i="1"/>
  <c r="CP1114" i="1" s="1"/>
  <c r="U1100" i="1"/>
  <c r="CP1100" i="1" s="1"/>
  <c r="U1097" i="1"/>
  <c r="CP1097" i="1" s="1"/>
  <c r="U1096" i="1"/>
  <c r="CP1096" i="1" s="1"/>
  <c r="U1095" i="1"/>
  <c r="CP1095" i="1" s="1"/>
  <c r="U1094" i="1"/>
  <c r="CP1094" i="1" s="1"/>
  <c r="U1078" i="1"/>
  <c r="CP1078" i="1" s="1"/>
  <c r="U1064" i="1"/>
  <c r="CP1064" i="1" s="1"/>
  <c r="U1061" i="1"/>
  <c r="CP1061" i="1" s="1"/>
  <c r="U1060" i="1"/>
  <c r="CP1060" i="1" s="1"/>
  <c r="U1059" i="1"/>
  <c r="CP1059" i="1" s="1"/>
  <c r="U1058" i="1"/>
  <c r="CP1058" i="1" s="1"/>
  <c r="U1042" i="1"/>
  <c r="CP1042" i="1" s="1"/>
  <c r="U1028" i="1"/>
  <c r="CP1028" i="1" s="1"/>
  <c r="U1025" i="1"/>
  <c r="CP1025" i="1" s="1"/>
  <c r="U1024" i="1"/>
  <c r="CP1024" i="1" s="1"/>
  <c r="U1023" i="1"/>
  <c r="CP1023" i="1" s="1"/>
  <c r="U1022" i="1"/>
  <c r="CP1022" i="1" s="1"/>
  <c r="U1006" i="1"/>
  <c r="CP1006" i="1" s="1"/>
  <c r="U992" i="1"/>
  <c r="CP992" i="1" s="1"/>
  <c r="U989" i="1"/>
  <c r="CP989" i="1" s="1"/>
  <c r="U988" i="1"/>
  <c r="CP988" i="1" s="1"/>
  <c r="U987" i="1"/>
  <c r="CP987" i="1" s="1"/>
  <c r="U986" i="1"/>
  <c r="CP986" i="1" s="1"/>
  <c r="U970" i="1"/>
  <c r="CP970" i="1" s="1"/>
  <c r="U956" i="1"/>
  <c r="U953" i="1"/>
  <c r="CP953" i="1" s="1"/>
  <c r="U952" i="1"/>
  <c r="CP952" i="1" s="1"/>
  <c r="U951" i="1"/>
  <c r="CP951" i="1" s="1"/>
  <c r="U950" i="1"/>
  <c r="CP950" i="1" s="1"/>
  <c r="U934" i="1"/>
  <c r="CP934" i="1" s="1"/>
  <c r="U920" i="1"/>
  <c r="CP920" i="1" s="1"/>
  <c r="U917" i="1"/>
  <c r="CP917" i="1" s="1"/>
  <c r="U916" i="1"/>
  <c r="CP916" i="1" s="1"/>
  <c r="U915" i="1"/>
  <c r="CP915" i="1" s="1"/>
  <c r="U914" i="1"/>
  <c r="CP914" i="1" s="1"/>
  <c r="U898" i="1"/>
  <c r="CP898" i="1" s="1"/>
  <c r="U884" i="1"/>
  <c r="CP884" i="1" s="1"/>
  <c r="U881" i="1"/>
  <c r="CP881" i="1" s="1"/>
  <c r="U880" i="1"/>
  <c r="CP880" i="1" s="1"/>
  <c r="U879" i="1"/>
  <c r="CP879" i="1" s="1"/>
  <c r="U878" i="1"/>
  <c r="CP878" i="1" s="1"/>
  <c r="U862" i="1"/>
  <c r="CP862" i="1" s="1"/>
  <c r="U848" i="1"/>
  <c r="CP848" i="1" s="1"/>
  <c r="U847" i="1"/>
  <c r="CP847" i="1" s="1"/>
  <c r="U836" i="1"/>
  <c r="CP836" i="1" s="1"/>
  <c r="U835" i="1"/>
  <c r="CP835" i="1" s="1"/>
  <c r="U834" i="1"/>
  <c r="CP834" i="1" s="1"/>
  <c r="U833" i="1"/>
  <c r="CP833" i="1" s="1"/>
  <c r="U832" i="1"/>
  <c r="CP832" i="1" s="1"/>
  <c r="U830" i="1"/>
  <c r="CP830" i="1" s="1"/>
  <c r="U829" i="1"/>
  <c r="CP829" i="1" s="1"/>
  <c r="U828" i="1"/>
  <c r="CP828" i="1" s="1"/>
  <c r="U827" i="1"/>
  <c r="CP827" i="1" s="1"/>
  <c r="U826" i="1"/>
  <c r="CP826" i="1" s="1"/>
  <c r="U825" i="1"/>
  <c r="CP825" i="1" s="1"/>
  <c r="U824" i="1"/>
  <c r="CP824" i="1" s="1"/>
  <c r="U823" i="1"/>
  <c r="CP823" i="1" s="1"/>
  <c r="U822" i="1"/>
  <c r="CP822" i="1" s="1"/>
  <c r="U821" i="1"/>
  <c r="CP821" i="1" s="1"/>
  <c r="U820" i="1"/>
  <c r="CP820" i="1" s="1"/>
  <c r="U819" i="1"/>
  <c r="CP819" i="1" s="1"/>
  <c r="U818" i="1"/>
  <c r="CP818" i="1" s="1"/>
  <c r="U817" i="1"/>
  <c r="CP817" i="1" s="1"/>
  <c r="U816" i="1"/>
  <c r="CP816" i="1" s="1"/>
  <c r="U815" i="1"/>
  <c r="CP815" i="1" s="1"/>
  <c r="U814" i="1"/>
  <c r="CP814" i="1" s="1"/>
  <c r="U812" i="1"/>
  <c r="CP812" i="1" s="1"/>
  <c r="U811" i="1"/>
  <c r="CP811" i="1" s="1"/>
  <c r="U810" i="1"/>
  <c r="CP810" i="1" s="1"/>
  <c r="U809" i="1"/>
  <c r="CP809" i="1" s="1"/>
  <c r="U808" i="1"/>
  <c r="CP808" i="1" s="1"/>
  <c r="U806" i="1"/>
  <c r="CP806" i="1" s="1"/>
  <c r="U805" i="1"/>
  <c r="CP805" i="1" s="1"/>
  <c r="U804" i="1"/>
  <c r="CP804" i="1" s="1"/>
  <c r="U803" i="1"/>
  <c r="CP803" i="1" s="1"/>
  <c r="U802" i="1"/>
  <c r="CP802" i="1" s="1"/>
  <c r="U801" i="1"/>
  <c r="CP801" i="1" s="1"/>
  <c r="U800" i="1"/>
  <c r="CP800" i="1" s="1"/>
  <c r="U799" i="1"/>
  <c r="CP799" i="1" s="1"/>
  <c r="U798" i="1"/>
  <c r="CP798" i="1" s="1"/>
  <c r="U797" i="1"/>
  <c r="U794" i="1"/>
  <c r="CP794" i="1" s="1"/>
  <c r="U793" i="1"/>
  <c r="CP793" i="1" s="1"/>
  <c r="U792" i="1"/>
  <c r="CP792" i="1" s="1"/>
  <c r="U790" i="1"/>
  <c r="CP790" i="1" s="1"/>
  <c r="U759" i="1"/>
  <c r="CP759" i="1" s="1"/>
  <c r="U758" i="1"/>
  <c r="CP758" i="1" s="1"/>
  <c r="U756" i="1"/>
  <c r="CP756" i="1" s="1"/>
  <c r="U755" i="1"/>
  <c r="CP755" i="1" s="1"/>
  <c r="U754" i="1"/>
  <c r="CP754" i="1" s="1"/>
  <c r="U752" i="1"/>
  <c r="CP752" i="1" s="1"/>
  <c r="U721" i="1"/>
  <c r="CP721" i="1" s="1"/>
  <c r="U720" i="1"/>
  <c r="CP720" i="1" s="1"/>
  <c r="U718" i="1"/>
  <c r="CP718" i="1" s="1"/>
  <c r="U717" i="1"/>
  <c r="CP717" i="1" s="1"/>
  <c r="U716" i="1"/>
  <c r="CP716" i="1" s="1"/>
  <c r="U714" i="1"/>
  <c r="CP714" i="1" s="1"/>
  <c r="U683" i="1"/>
  <c r="CP683" i="1" s="1"/>
  <c r="U682" i="1"/>
  <c r="CP682" i="1" s="1"/>
  <c r="U680" i="1"/>
  <c r="CP680" i="1" s="1"/>
  <c r="U679" i="1"/>
  <c r="CP679" i="1" s="1"/>
  <c r="U678" i="1"/>
  <c r="CP678" i="1" s="1"/>
  <c r="U676" i="1"/>
  <c r="CP676" i="1" s="1"/>
  <c r="U645" i="1"/>
  <c r="CP645" i="1" s="1"/>
  <c r="U644" i="1"/>
  <c r="CP644" i="1" s="1"/>
  <c r="U642" i="1"/>
  <c r="CP642" i="1" s="1"/>
  <c r="U641" i="1"/>
  <c r="CP641" i="1" s="1"/>
  <c r="U640" i="1"/>
  <c r="CP640" i="1" s="1"/>
  <c r="U638" i="1"/>
  <c r="CP638" i="1" s="1"/>
  <c r="U607" i="1"/>
  <c r="CP607" i="1" s="1"/>
  <c r="U606" i="1"/>
  <c r="CP606" i="1" s="1"/>
  <c r="U604" i="1"/>
  <c r="CP604" i="1" s="1"/>
  <c r="U603" i="1"/>
  <c r="CP603" i="1" s="1"/>
  <c r="U602" i="1"/>
  <c r="CP602" i="1" s="1"/>
  <c r="U600" i="1"/>
  <c r="CP600" i="1" s="1"/>
  <c r="U569" i="1"/>
  <c r="CP569" i="1" s="1"/>
  <c r="U568" i="1"/>
  <c r="CP568" i="1" s="1"/>
  <c r="U566" i="1"/>
  <c r="CP566" i="1" s="1"/>
  <c r="U565" i="1"/>
  <c r="CP565" i="1" s="1"/>
  <c r="U564" i="1"/>
  <c r="CP564" i="1" s="1"/>
  <c r="U562" i="1"/>
  <c r="CP562" i="1" s="1"/>
  <c r="U531" i="1"/>
  <c r="CP531" i="1" s="1"/>
  <c r="U529" i="1"/>
  <c r="CP529" i="1" s="1"/>
  <c r="U528" i="1"/>
  <c r="CP528" i="1" s="1"/>
  <c r="U527" i="1"/>
  <c r="CP527" i="1" s="1"/>
  <c r="U525" i="1"/>
  <c r="CP525" i="1" s="1"/>
  <c r="U494" i="1"/>
  <c r="CP494" i="1" s="1"/>
  <c r="U493" i="1"/>
  <c r="CP493" i="1" s="1"/>
  <c r="U490" i="1"/>
  <c r="CP490" i="1" s="1"/>
  <c r="U489" i="1"/>
  <c r="CP489" i="1" s="1"/>
  <c r="U487" i="1"/>
  <c r="CP487" i="1" s="1"/>
  <c r="U486" i="1"/>
  <c r="CP486" i="1" s="1"/>
  <c r="U484" i="1"/>
  <c r="CP484" i="1" s="1"/>
  <c r="U483" i="1"/>
  <c r="CP483" i="1" s="1"/>
  <c r="U482" i="1"/>
  <c r="CP482" i="1" s="1"/>
  <c r="U481" i="1"/>
  <c r="CP481" i="1" s="1"/>
  <c r="U470" i="1"/>
  <c r="CP470" i="1" s="1"/>
  <c r="U436" i="1"/>
  <c r="CP436" i="1" s="1"/>
  <c r="U435" i="1"/>
  <c r="CP435" i="1" s="1"/>
  <c r="U434" i="1"/>
  <c r="CP434" i="1" s="1"/>
  <c r="U433" i="1"/>
  <c r="CP433" i="1" s="1"/>
  <c r="U430" i="1"/>
  <c r="CP430" i="1" s="1"/>
  <c r="U427" i="1"/>
  <c r="CP427" i="1" s="1"/>
  <c r="U357" i="1"/>
  <c r="U292" i="1"/>
  <c r="U291" i="1"/>
  <c r="U290" i="1"/>
  <c r="U289" i="1"/>
  <c r="U288" i="1"/>
  <c r="U202" i="1"/>
  <c r="CP202" i="1" s="1"/>
  <c r="BK1156" i="1"/>
  <c r="CP797" i="1" l="1"/>
  <c r="CP288" i="1"/>
  <c r="T288" i="1"/>
  <c r="CP290" i="1"/>
  <c r="T290" i="1"/>
  <c r="CP291" i="1"/>
  <c r="T291" i="1"/>
  <c r="CP292" i="1"/>
  <c r="T292" i="1"/>
  <c r="CP289" i="1"/>
  <c r="T289" i="1"/>
  <c r="T956" i="1"/>
  <c r="CP956" i="1"/>
  <c r="U200" i="1"/>
  <c r="U199" i="1"/>
  <c r="U198" i="1"/>
  <c r="U197" i="1"/>
  <c r="U196" i="1"/>
  <c r="U195" i="1"/>
  <c r="CP195" i="1" s="1"/>
  <c r="U194" i="1"/>
  <c r="CP194" i="1" s="1"/>
  <c r="U193" i="1"/>
  <c r="U192" i="1"/>
  <c r="CP192" i="1" s="1"/>
  <c r="U191" i="1"/>
  <c r="CP191" i="1" s="1"/>
  <c r="U190" i="1"/>
  <c r="U189" i="1"/>
  <c r="U186" i="1"/>
  <c r="CP186" i="1" s="1"/>
  <c r="U142" i="1"/>
  <c r="CP142" i="1" s="1"/>
  <c r="U141" i="1"/>
  <c r="U138" i="1"/>
  <c r="CP138" i="1" s="1"/>
  <c r="U136" i="1"/>
  <c r="CP136" i="1" s="1"/>
  <c r="U135" i="1"/>
  <c r="CP135" i="1" s="1"/>
  <c r="U131" i="1"/>
  <c r="CP131" i="1" s="1"/>
  <c r="U130" i="1"/>
  <c r="CP130" i="1" s="1"/>
  <c r="U129" i="1"/>
  <c r="CP129" i="1" s="1"/>
  <c r="U128" i="1"/>
  <c r="CP128" i="1" s="1"/>
  <c r="U127" i="1"/>
  <c r="CP127" i="1" s="1"/>
  <c r="U126" i="1"/>
  <c r="U125" i="1"/>
  <c r="CP125" i="1" s="1"/>
  <c r="U124" i="1"/>
  <c r="CP124" i="1" s="1"/>
  <c r="U123" i="1"/>
  <c r="CP123" i="1" s="1"/>
  <c r="U122" i="1"/>
  <c r="CP122" i="1" s="1"/>
  <c r="U118" i="1"/>
  <c r="CP118" i="1" s="1"/>
  <c r="U117" i="1"/>
  <c r="U113" i="1"/>
  <c r="CP113" i="1" s="1"/>
  <c r="U108" i="1"/>
  <c r="CP108" i="1" s="1"/>
  <c r="U107" i="1"/>
  <c r="U105" i="1"/>
  <c r="CP105" i="1" s="1"/>
  <c r="U100" i="1"/>
  <c r="CP100" i="1" s="1"/>
  <c r="U91" i="1"/>
  <c r="U82" i="1"/>
  <c r="U80" i="1"/>
  <c r="U79" i="1"/>
  <c r="U78" i="1"/>
  <c r="U77" i="1"/>
  <c r="U76" i="1"/>
  <c r="U75" i="1"/>
  <c r="U58" i="1"/>
  <c r="U57" i="1"/>
  <c r="CP57" i="1" s="1"/>
  <c r="U56" i="1"/>
  <c r="U54" i="1"/>
  <c r="U52" i="1"/>
  <c r="CP52" i="1" s="1"/>
  <c r="U46" i="1"/>
  <c r="CP46" i="1" s="1"/>
  <c r="T190" i="1" l="1"/>
  <c r="CP190" i="1"/>
  <c r="T82" i="1"/>
  <c r="CP82" i="1"/>
  <c r="T196" i="1"/>
  <c r="CP196" i="1"/>
  <c r="T189" i="1"/>
  <c r="CP189" i="1"/>
  <c r="T199" i="1"/>
  <c r="CP199" i="1"/>
  <c r="T56" i="1"/>
  <c r="CP56" i="1"/>
  <c r="T197" i="1"/>
  <c r="CP197" i="1"/>
  <c r="T75" i="1"/>
  <c r="CP75" i="1"/>
  <c r="T76" i="1"/>
  <c r="CP76" i="1"/>
  <c r="T107" i="1"/>
  <c r="CP107" i="1"/>
  <c r="T200" i="1"/>
  <c r="CP200" i="1"/>
  <c r="T80" i="1"/>
  <c r="CP80" i="1"/>
  <c r="T117" i="1"/>
  <c r="CP117" i="1"/>
  <c r="T77" i="1"/>
  <c r="CP77" i="1"/>
  <c r="T78" i="1"/>
  <c r="CP78" i="1"/>
  <c r="T126" i="1"/>
  <c r="CP126" i="1"/>
  <c r="T193" i="1"/>
  <c r="CP193" i="1"/>
  <c r="T58" i="1"/>
  <c r="CP58" i="1"/>
  <c r="T91" i="1"/>
  <c r="CP91" i="1"/>
  <c r="T198" i="1"/>
  <c r="CP198" i="1"/>
  <c r="T54" i="1"/>
  <c r="CP54" i="1"/>
  <c r="T79" i="1"/>
  <c r="CP79" i="1"/>
  <c r="T141" i="1"/>
  <c r="CP141" i="1"/>
  <c r="T108" i="1"/>
  <c r="T130" i="1"/>
  <c r="T100" i="1"/>
  <c r="T113" i="1"/>
  <c r="T131" i="1"/>
  <c r="T128" i="1"/>
  <c r="T136" i="1"/>
  <c r="U51" i="1"/>
  <c r="CP51" i="1" s="1"/>
  <c r="U67" i="1"/>
  <c r="U121" i="1"/>
  <c r="CP121" i="1" s="1"/>
  <c r="U64" i="1"/>
  <c r="U68" i="1"/>
  <c r="U69" i="1"/>
  <c r="U134" i="1"/>
  <c r="CP134" i="1" s="1"/>
  <c r="U36" i="1"/>
  <c r="U37" i="1"/>
  <c r="U38" i="1"/>
  <c r="U34" i="1"/>
  <c r="CP34" i="1" s="1"/>
  <c r="U18" i="1"/>
  <c r="U17" i="1"/>
  <c r="U9" i="1"/>
  <c r="U10" i="1"/>
  <c r="T38" i="1" l="1"/>
  <c r="CP38" i="1"/>
  <c r="T10" i="1"/>
  <c r="CP10" i="1"/>
  <c r="T36" i="1"/>
  <c r="CP36" i="1"/>
  <c r="T69" i="1"/>
  <c r="CP69" i="1"/>
  <c r="T67" i="1"/>
  <c r="CP67" i="1"/>
  <c r="T37" i="1"/>
  <c r="CP37" i="1"/>
  <c r="T9" i="1"/>
  <c r="CP9" i="1"/>
  <c r="T17" i="1"/>
  <c r="CP17" i="1"/>
  <c r="T68" i="1"/>
  <c r="CP68" i="1"/>
  <c r="T18" i="1"/>
  <c r="CP18" i="1"/>
  <c r="T64" i="1"/>
  <c r="CP64" i="1"/>
  <c r="T34" i="1"/>
  <c r="M19" i="6"/>
  <c r="T318" i="1"/>
  <c r="T321" i="1"/>
  <c r="T314" i="1"/>
  <c r="T326" i="1"/>
  <c r="T315" i="1"/>
  <c r="T319" i="1"/>
  <c r="T323" i="1"/>
  <c r="T313" i="1"/>
  <c r="T317" i="1"/>
  <c r="T322" i="1"/>
  <c r="T312" i="1"/>
  <c r="T316" i="1"/>
  <c r="T320" i="1"/>
  <c r="T306" i="1"/>
  <c r="T295" i="1"/>
  <c r="T296" i="1"/>
  <c r="C37" i="24"/>
  <c r="D7" i="22"/>
  <c r="Z16" i="105" l="1"/>
  <c r="Y16" i="105"/>
  <c r="X16" i="105"/>
  <c r="W16" i="105"/>
  <c r="V16" i="105"/>
  <c r="U16" i="105"/>
  <c r="T16" i="105"/>
  <c r="S16" i="105"/>
  <c r="R16" i="105"/>
  <c r="Q16" i="105"/>
  <c r="P16" i="105"/>
  <c r="O16" i="105"/>
  <c r="N16" i="105"/>
  <c r="M16" i="105"/>
  <c r="L16" i="105"/>
  <c r="K16" i="105"/>
  <c r="J16" i="105"/>
  <c r="I16" i="105"/>
  <c r="H16" i="105"/>
  <c r="G16" i="105"/>
  <c r="F16" i="105"/>
  <c r="C16" i="105"/>
  <c r="B16" i="105"/>
  <c r="E14" i="105"/>
  <c r="AB14" i="105" s="1"/>
  <c r="E13" i="105"/>
  <c r="E12" i="105"/>
  <c r="AB12" i="105" s="1"/>
  <c r="C10" i="105"/>
  <c r="E12" i="141" s="1"/>
  <c r="B10" i="105"/>
  <c r="C12" i="141" s="1"/>
  <c r="AA14" i="105" l="1"/>
  <c r="E16" i="105"/>
  <c r="AB16" i="105" s="1"/>
  <c r="AA13" i="105"/>
  <c r="AA12" i="105"/>
  <c r="AB13" i="105"/>
  <c r="AA16" i="105" l="1"/>
  <c r="C48" i="33" l="1"/>
  <c r="I48" i="33" s="1"/>
  <c r="I67" i="33"/>
  <c r="J67" i="33"/>
  <c r="L66" i="33"/>
  <c r="F66" i="33"/>
  <c r="L65" i="33"/>
  <c r="K67" i="33"/>
  <c r="E67" i="33"/>
  <c r="D67" i="33"/>
  <c r="F65" i="33"/>
  <c r="L57" i="33"/>
  <c r="F57" i="33"/>
  <c r="L56" i="33"/>
  <c r="F56" i="33"/>
  <c r="L55" i="33"/>
  <c r="F55" i="33"/>
  <c r="L54" i="33"/>
  <c r="F54" i="33"/>
  <c r="L53" i="33"/>
  <c r="F53" i="33"/>
  <c r="L52" i="33"/>
  <c r="F52" i="33"/>
  <c r="K58" i="33"/>
  <c r="J58" i="33"/>
  <c r="L51" i="33"/>
  <c r="E58" i="33"/>
  <c r="D58" i="33"/>
  <c r="F51" i="33"/>
  <c r="J69" i="33" l="1"/>
  <c r="K69" i="33"/>
  <c r="F58" i="33"/>
  <c r="L67" i="33"/>
  <c r="D69" i="33"/>
  <c r="E69" i="33"/>
  <c r="F67" i="33"/>
  <c r="L58" i="33"/>
  <c r="C58" i="33"/>
  <c r="C67" i="33"/>
  <c r="I58" i="33"/>
  <c r="I69" i="33" s="1"/>
  <c r="L69" i="33" l="1"/>
  <c r="F69" i="33"/>
  <c r="C69" i="33"/>
  <c r="I53" i="36" l="1"/>
  <c r="G53" i="36"/>
  <c r="G39" i="36"/>
  <c r="K80" i="31" l="1"/>
  <c r="K78" i="31"/>
  <c r="K64" i="31"/>
  <c r="K124" i="29"/>
  <c r="K42" i="27" l="1"/>
  <c r="E2" i="71" l="1"/>
  <c r="D2" i="71"/>
  <c r="C2" i="71"/>
  <c r="BI1248" i="1" l="1"/>
  <c r="BH1248" i="1"/>
  <c r="BG1248" i="1"/>
  <c r="BF1248" i="1"/>
  <c r="BE1248" i="1"/>
  <c r="BC1248" i="1"/>
  <c r="BA1248" i="1"/>
  <c r="AX1248" i="1"/>
  <c r="Q1248" i="1"/>
  <c r="P1248" i="1"/>
  <c r="O1248" i="1"/>
  <c r="E12" i="92"/>
  <c r="AB12" i="92" s="1"/>
  <c r="A266" i="71"/>
  <c r="A264" i="71"/>
  <c r="A263" i="71"/>
  <c r="A262" i="71"/>
  <c r="A261" i="71"/>
  <c r="A260" i="71"/>
  <c r="A259" i="71"/>
  <c r="A258" i="71"/>
  <c r="A257" i="71"/>
  <c r="A256" i="71"/>
  <c r="A255" i="71"/>
  <c r="A254" i="71"/>
  <c r="A253" i="71"/>
  <c r="A252" i="71"/>
  <c r="A250" i="71"/>
  <c r="A249" i="71"/>
  <c r="A248" i="71"/>
  <c r="A247" i="71"/>
  <c r="A246" i="71"/>
  <c r="A245" i="71"/>
  <c r="A244" i="71"/>
  <c r="A243" i="71"/>
  <c r="A242" i="71"/>
  <c r="A241" i="71"/>
  <c r="G14" i="79"/>
  <c r="AD14" i="79" s="1"/>
  <c r="D245" i="71" s="1"/>
  <c r="AC14" i="79" l="1"/>
  <c r="AA12" i="92"/>
  <c r="D238" i="71"/>
  <c r="J11" i="117" l="1"/>
  <c r="S1190" i="1" l="1"/>
  <c r="S1189" i="1"/>
  <c r="S1188" i="1"/>
  <c r="N1188" i="1" s="1"/>
  <c r="S1187" i="1"/>
  <c r="N1187" i="1" s="1"/>
  <c r="T1188" i="1"/>
  <c r="E40" i="33" s="1"/>
  <c r="T1187" i="1"/>
  <c r="D40" i="33" s="1"/>
  <c r="K1188" i="1"/>
  <c r="K1187" i="1"/>
  <c r="K1186" i="1"/>
  <c r="K1160" i="1"/>
  <c r="K1159" i="1"/>
  <c r="I9" i="33"/>
  <c r="J25" i="117"/>
  <c r="I25" i="117"/>
  <c r="H25" i="117"/>
  <c r="G25" i="117"/>
  <c r="E25" i="117"/>
  <c r="D25" i="117"/>
  <c r="C25" i="117"/>
  <c r="B25" i="117"/>
  <c r="C24" i="117"/>
  <c r="D1163" i="1"/>
  <c r="J18" i="117"/>
  <c r="J17" i="117"/>
  <c r="J16" i="117"/>
  <c r="J15" i="117"/>
  <c r="J14" i="117"/>
  <c r="J13" i="117"/>
  <c r="J27" i="117"/>
  <c r="D27" i="75" s="1"/>
  <c r="E27" i="117"/>
  <c r="C27" i="75" s="1"/>
  <c r="E18" i="117"/>
  <c r="E17" i="117"/>
  <c r="E16" i="117"/>
  <c r="E15" i="117"/>
  <c r="E14" i="117"/>
  <c r="E13" i="117"/>
  <c r="D10" i="33"/>
  <c r="C23" i="33"/>
  <c r="I23" i="33" s="1"/>
  <c r="C10" i="33"/>
  <c r="J10" i="33"/>
  <c r="I10" i="33"/>
  <c r="J40" i="33" l="1"/>
  <c r="K40" i="33"/>
  <c r="J20" i="117"/>
  <c r="J29" i="117" s="1"/>
  <c r="K1183" i="1"/>
  <c r="K1173" i="1"/>
  <c r="K1184" i="1"/>
  <c r="K1182" i="1"/>
  <c r="K1180" i="1"/>
  <c r="K1179" i="1"/>
  <c r="K1176" i="1"/>
  <c r="K1175" i="1"/>
  <c r="K1174" i="1"/>
  <c r="K1172" i="1"/>
  <c r="K1171" i="1"/>
  <c r="K1165" i="1"/>
  <c r="K1164" i="1"/>
  <c r="K1163" i="1"/>
  <c r="C1159" i="1"/>
  <c r="C1160" i="1" s="1"/>
  <c r="D10" i="85"/>
  <c r="B10" i="85"/>
  <c r="BD1952" i="1"/>
  <c r="S1952" i="1" s="1"/>
  <c r="BD1951" i="1"/>
  <c r="S1951" i="1" s="1"/>
  <c r="BD1950" i="1"/>
  <c r="S1950" i="1" s="1"/>
  <c r="BD1949" i="1"/>
  <c r="S1949" i="1" s="1"/>
  <c r="BD1948" i="1"/>
  <c r="S1948" i="1" s="1"/>
  <c r="BD1947" i="1"/>
  <c r="S1947" i="1" s="1"/>
  <c r="BD1946" i="1"/>
  <c r="S1946" i="1" s="1"/>
  <c r="BD1962" i="1"/>
  <c r="S1962" i="1" s="1"/>
  <c r="BD1961" i="1"/>
  <c r="S1961" i="1" s="1"/>
  <c r="BD1960" i="1"/>
  <c r="S1960" i="1" s="1"/>
  <c r="BD1959" i="1"/>
  <c r="S1959" i="1" s="1"/>
  <c r="BD1958" i="1"/>
  <c r="S1958" i="1" s="1"/>
  <c r="BD1957" i="1"/>
  <c r="S1957" i="1" s="1"/>
  <c r="BD1956" i="1"/>
  <c r="S1956" i="1" s="1"/>
  <c r="BD1955" i="1"/>
  <c r="S1955" i="1" s="1"/>
  <c r="BD1954" i="1"/>
  <c r="S1954" i="1" s="1"/>
  <c r="BD1953" i="1"/>
  <c r="S1953" i="1" s="1"/>
  <c r="BD1945" i="1"/>
  <c r="S1945" i="1" s="1"/>
  <c r="K1181" i="1" l="1"/>
  <c r="K1166" i="1"/>
  <c r="K1168" i="1" l="1"/>
  <c r="K1167" i="1"/>
  <c r="S1917" i="1" l="1"/>
  <c r="BD1916" i="1"/>
  <c r="S1916" i="1" s="1"/>
  <c r="BD1915" i="1"/>
  <c r="S1915" i="1" s="1"/>
  <c r="BD1914" i="1"/>
  <c r="S1914" i="1" s="1"/>
  <c r="BD1913" i="1"/>
  <c r="S1913" i="1" s="1"/>
  <c r="BD1912" i="1"/>
  <c r="S1912" i="1" s="1"/>
  <c r="BD1911" i="1"/>
  <c r="S1911" i="1" s="1"/>
  <c r="BD1910" i="1"/>
  <c r="S1910" i="1" s="1"/>
  <c r="BD1909" i="1"/>
  <c r="S1909" i="1" s="1"/>
  <c r="BD1908" i="1"/>
  <c r="S1908" i="1" s="1"/>
  <c r="BD1907" i="1"/>
  <c r="S1907" i="1" s="1"/>
  <c r="BD1155" i="1"/>
  <c r="S1155" i="1" s="1"/>
  <c r="N1155" i="1" s="1"/>
  <c r="T1155" i="1"/>
  <c r="BD1154" i="1"/>
  <c r="S1154" i="1" s="1"/>
  <c r="N1154" i="1" s="1"/>
  <c r="T1154" i="1"/>
  <c r="R11" i="86"/>
  <c r="R10" i="86"/>
  <c r="M13" i="86"/>
  <c r="D28" i="79"/>
  <c r="C28" i="79"/>
  <c r="F22" i="86"/>
  <c r="F13" i="86" l="1"/>
  <c r="R13" i="86" s="1"/>
  <c r="G28" i="79"/>
  <c r="AD28" i="79" s="1"/>
  <c r="D258" i="71" s="1"/>
  <c r="AC28" i="79" l="1"/>
  <c r="D44" i="73" l="1"/>
  <c r="D43" i="73"/>
  <c r="E32" i="76" l="1"/>
  <c r="E21" i="76"/>
  <c r="Q56" i="1" l="1"/>
  <c r="H47" i="60"/>
  <c r="H46" i="60"/>
  <c r="H45" i="60"/>
  <c r="F47" i="60"/>
  <c r="F45" i="60"/>
  <c r="D47" i="60"/>
  <c r="V1377" i="1"/>
  <c r="V1378" i="1" s="1"/>
  <c r="U35" i="35" l="1"/>
  <c r="U22" i="35"/>
  <c r="P18" i="28"/>
  <c r="P30" i="28" s="1"/>
  <c r="T31" i="26"/>
  <c r="T19" i="26"/>
  <c r="T33" i="26" l="1"/>
  <c r="U43" i="35"/>
  <c r="U45" i="35"/>
  <c r="H30" i="60"/>
  <c r="H29" i="60"/>
  <c r="H27" i="60"/>
  <c r="F30" i="60"/>
  <c r="F29" i="60"/>
  <c r="F28" i="60"/>
  <c r="F27" i="60"/>
  <c r="H26" i="60"/>
  <c r="F26" i="60"/>
  <c r="U47" i="35" l="1"/>
  <c r="S20" i="27" l="1"/>
  <c r="S42" i="27"/>
  <c r="T41" i="27"/>
  <c r="S23" i="27" l="1"/>
  <c r="S44" i="27" l="1"/>
  <c r="G70" i="23" l="1"/>
  <c r="G68" i="23"/>
  <c r="B5" i="21"/>
  <c r="BD2097" i="1" l="1"/>
  <c r="BD2096" i="1"/>
  <c r="BD2095" i="1"/>
  <c r="BD2094" i="1"/>
  <c r="BD2093" i="1"/>
  <c r="BD2092" i="1"/>
  <c r="BD2091" i="1"/>
  <c r="BD2090" i="1"/>
  <c r="BD2089" i="1"/>
  <c r="BD2088" i="1"/>
  <c r="BD2087" i="1"/>
  <c r="BD2086" i="1"/>
  <c r="BD2070" i="1"/>
  <c r="BD2038" i="1"/>
  <c r="BD2037" i="1"/>
  <c r="BD2036" i="1"/>
  <c r="BD2035" i="1"/>
  <c r="BD2034" i="1"/>
  <c r="BD2033" i="1"/>
  <c r="BJ2032" i="1"/>
  <c r="BI2032" i="1"/>
  <c r="BH2032" i="1"/>
  <c r="BG2032" i="1"/>
  <c r="BF2032" i="1"/>
  <c r="BE2032" i="1"/>
  <c r="BD2031" i="1"/>
  <c r="BD2030" i="1"/>
  <c r="BD2029" i="1"/>
  <c r="BD2028" i="1"/>
  <c r="BD2027" i="1"/>
  <c r="BD2026" i="1"/>
  <c r="BD2025" i="1"/>
  <c r="BD2024" i="1"/>
  <c r="BD2023" i="1"/>
  <c r="BD2022" i="1"/>
  <c r="BD2021" i="1"/>
  <c r="BD2020" i="1"/>
  <c r="BJ2019" i="1"/>
  <c r="BI2019" i="1"/>
  <c r="BH2019" i="1"/>
  <c r="BG2019" i="1"/>
  <c r="BF2019" i="1"/>
  <c r="BE2019" i="1"/>
  <c r="BD2018" i="1"/>
  <c r="BD2017" i="1"/>
  <c r="BD2016" i="1"/>
  <c r="BD2015" i="1"/>
  <c r="BD2014" i="1"/>
  <c r="BD2013" i="1"/>
  <c r="BD2012" i="1"/>
  <c r="BD2011" i="1"/>
  <c r="BD2010" i="1"/>
  <c r="BD2009" i="1"/>
  <c r="BD2008" i="1"/>
  <c r="BD2007" i="1"/>
  <c r="BD2006" i="1"/>
  <c r="BD2005" i="1"/>
  <c r="BD2004" i="1"/>
  <c r="BD2003" i="1"/>
  <c r="BD2002" i="1"/>
  <c r="BD2001" i="1"/>
  <c r="BD2000" i="1"/>
  <c r="BD1999" i="1"/>
  <c r="BD1998" i="1"/>
  <c r="BD1997" i="1"/>
  <c r="BD1996" i="1"/>
  <c r="BD1995" i="1"/>
  <c r="BD1994" i="1"/>
  <c r="BD1993" i="1"/>
  <c r="BD1992" i="1"/>
  <c r="BD1991" i="1"/>
  <c r="BD1990" i="1"/>
  <c r="BD1989" i="1"/>
  <c r="BD1988" i="1"/>
  <c r="BD1987" i="1"/>
  <c r="BD1986" i="1"/>
  <c r="BD1985" i="1"/>
  <c r="BD1984" i="1"/>
  <c r="BD1983" i="1"/>
  <c r="BD1982" i="1"/>
  <c r="BD1981" i="1"/>
  <c r="BD1980" i="1"/>
  <c r="BD1979" i="1"/>
  <c r="BD1978" i="1"/>
  <c r="BJ1977" i="1"/>
  <c r="BI1977" i="1"/>
  <c r="BH1977" i="1"/>
  <c r="BG1977" i="1"/>
  <c r="BF1977" i="1"/>
  <c r="BE1977" i="1"/>
  <c r="BD1976" i="1"/>
  <c r="BD1975" i="1"/>
  <c r="BD1974" i="1"/>
  <c r="BD1973" i="1"/>
  <c r="BD1972" i="1"/>
  <c r="BD1971" i="1"/>
  <c r="BD1970" i="1"/>
  <c r="BD1969" i="1"/>
  <c r="BD1968" i="1"/>
  <c r="BD1967" i="1"/>
  <c r="BD1966" i="1"/>
  <c r="BD1965" i="1"/>
  <c r="BD1964" i="1"/>
  <c r="BD1963" i="1"/>
  <c r="BD1944" i="1"/>
  <c r="BD1943" i="1"/>
  <c r="BD1942" i="1"/>
  <c r="BD1941" i="1"/>
  <c r="BD1940" i="1"/>
  <c r="BD1939" i="1"/>
  <c r="BD1938" i="1"/>
  <c r="BD1937" i="1"/>
  <c r="BD1936" i="1"/>
  <c r="BD1935" i="1"/>
  <c r="BD1934" i="1"/>
  <c r="BD1933" i="1"/>
  <c r="BD1932" i="1"/>
  <c r="BD1931" i="1"/>
  <c r="BD1930" i="1"/>
  <c r="BD1929" i="1"/>
  <c r="BD1928" i="1"/>
  <c r="BD1927" i="1"/>
  <c r="BD1926" i="1"/>
  <c r="BD1925" i="1"/>
  <c r="BD1924" i="1"/>
  <c r="BD1923" i="1"/>
  <c r="BD1922" i="1"/>
  <c r="BD1921" i="1"/>
  <c r="BD1920" i="1"/>
  <c r="BD1919" i="1"/>
  <c r="BD1918" i="1"/>
  <c r="BD1906" i="1"/>
  <c r="BD1898" i="1"/>
  <c r="BD1897" i="1"/>
  <c r="BD1896" i="1"/>
  <c r="BD1892" i="1"/>
  <c r="BD1889" i="1"/>
  <c r="BD1888" i="1"/>
  <c r="BD1887" i="1"/>
  <c r="BD1886" i="1"/>
  <c r="BD1885" i="1"/>
  <c r="BD1884" i="1"/>
  <c r="BD1883" i="1"/>
  <c r="BD1882" i="1"/>
  <c r="BD1881" i="1"/>
  <c r="BD1880" i="1"/>
  <c r="BD1879" i="1"/>
  <c r="BD1878" i="1"/>
  <c r="BD1877" i="1"/>
  <c r="BD1876" i="1"/>
  <c r="BD1875" i="1"/>
  <c r="S1853" i="1"/>
  <c r="N1853" i="1" s="1"/>
  <c r="BD1845" i="1"/>
  <c r="BD1844" i="1"/>
  <c r="BD1843" i="1"/>
  <c r="BD1842" i="1"/>
  <c r="BD1841" i="1"/>
  <c r="BD1840" i="1"/>
  <c r="BD1837" i="1"/>
  <c r="BD1832" i="1"/>
  <c r="BJ1765" i="1"/>
  <c r="BI1765" i="1"/>
  <c r="BH1765" i="1"/>
  <c r="BG1765" i="1"/>
  <c r="BF1765" i="1"/>
  <c r="BE1765" i="1"/>
  <c r="BD1764" i="1"/>
  <c r="BD1762" i="1"/>
  <c r="BD1761" i="1"/>
  <c r="BD1760" i="1"/>
  <c r="BD1759" i="1"/>
  <c r="BD1758" i="1"/>
  <c r="BD1757" i="1"/>
  <c r="BD1756" i="1"/>
  <c r="BD1755" i="1"/>
  <c r="BD1532" i="1"/>
  <c r="BD1531" i="1"/>
  <c r="BD1530" i="1"/>
  <c r="BD1529" i="1"/>
  <c r="BD1528" i="1"/>
  <c r="BD1527" i="1"/>
  <c r="BD1526" i="1"/>
  <c r="BD1525" i="1"/>
  <c r="BD1524" i="1"/>
  <c r="BD1523" i="1"/>
  <c r="BD1522" i="1"/>
  <c r="BD1521" i="1"/>
  <c r="BD1520" i="1"/>
  <c r="BD1519" i="1"/>
  <c r="BD1518" i="1"/>
  <c r="BD1517" i="1"/>
  <c r="BD1516" i="1"/>
  <c r="BD1515" i="1"/>
  <c r="BD1514" i="1"/>
  <c r="BD1513" i="1"/>
  <c r="BD1512" i="1"/>
  <c r="BD1511" i="1"/>
  <c r="BD1510" i="1"/>
  <c r="BD1509" i="1"/>
  <c r="BD1508" i="1"/>
  <c r="BD1507" i="1"/>
  <c r="BD1506" i="1"/>
  <c r="BD1505" i="1"/>
  <c r="BD1504" i="1"/>
  <c r="BD1503" i="1"/>
  <c r="BD1502" i="1"/>
  <c r="BD1501" i="1"/>
  <c r="BD1500" i="1"/>
  <c r="BD1499" i="1"/>
  <c r="BD1498" i="1"/>
  <c r="BD1497" i="1"/>
  <c r="BD1496" i="1"/>
  <c r="BD1495" i="1"/>
  <c r="BD1494" i="1"/>
  <c r="BD1493" i="1"/>
  <c r="BD1492" i="1"/>
  <c r="BD1491" i="1"/>
  <c r="BD1490" i="1"/>
  <c r="BD1489" i="1"/>
  <c r="BD1488" i="1"/>
  <c r="BD1487" i="1"/>
  <c r="BD1486" i="1"/>
  <c r="BD1485" i="1"/>
  <c r="BD1484" i="1"/>
  <c r="BD1483" i="1"/>
  <c r="BD1482" i="1"/>
  <c r="BD1481" i="1"/>
  <c r="BD1480" i="1"/>
  <c r="BD1479" i="1"/>
  <c r="BD1478" i="1"/>
  <c r="BD1477" i="1"/>
  <c r="BD1476" i="1"/>
  <c r="BD1475" i="1"/>
  <c r="BD1474" i="1"/>
  <c r="BD1473" i="1"/>
  <c r="BD1472" i="1"/>
  <c r="BD1471" i="1"/>
  <c r="BD1470" i="1"/>
  <c r="BD1469" i="1"/>
  <c r="BD1468" i="1"/>
  <c r="BD1467" i="1"/>
  <c r="BD1466" i="1"/>
  <c r="BD1465" i="1"/>
  <c r="BD1464" i="1"/>
  <c r="BD1463" i="1"/>
  <c r="BD1462" i="1"/>
  <c r="BD1461" i="1"/>
  <c r="BD1460" i="1"/>
  <c r="BD1459" i="1"/>
  <c r="BD1458" i="1"/>
  <c r="BD1457" i="1"/>
  <c r="BD1456" i="1"/>
  <c r="BD1455" i="1"/>
  <c r="BD1454" i="1"/>
  <c r="BD1453" i="1"/>
  <c r="BD1452" i="1"/>
  <c r="BD1451" i="1"/>
  <c r="BD1450" i="1"/>
  <c r="BD1449" i="1"/>
  <c r="BD1448" i="1"/>
  <c r="BD1447" i="1"/>
  <c r="BD1446" i="1"/>
  <c r="BD1445" i="1"/>
  <c r="BD1444" i="1"/>
  <c r="BD1443" i="1"/>
  <c r="BD1442" i="1"/>
  <c r="BD1441" i="1"/>
  <c r="BD1440" i="1"/>
  <c r="BD1439" i="1"/>
  <c r="BD1438" i="1"/>
  <c r="BD1437" i="1"/>
  <c r="BD1436" i="1"/>
  <c r="BD1435" i="1"/>
  <c r="BD1434" i="1"/>
  <c r="BD1433" i="1"/>
  <c r="BD1432" i="1"/>
  <c r="BD1431" i="1"/>
  <c r="BD1430" i="1"/>
  <c r="BD1429" i="1"/>
  <c r="BD1428" i="1"/>
  <c r="BD1427" i="1"/>
  <c r="BD1426" i="1"/>
  <c r="BD1425" i="1"/>
  <c r="BD1424" i="1"/>
  <c r="BD1423" i="1"/>
  <c r="BD1422" i="1"/>
  <c r="BD1421" i="1"/>
  <c r="BD1420" i="1"/>
  <c r="BD1419" i="1"/>
  <c r="BD1418" i="1"/>
  <c r="BD1417" i="1"/>
  <c r="BD1416" i="1"/>
  <c r="BD1415" i="1"/>
  <c r="BD1414" i="1"/>
  <c r="BD1413" i="1"/>
  <c r="BD1412" i="1"/>
  <c r="BD1411" i="1"/>
  <c r="BJ1754" i="1"/>
  <c r="BI1754" i="1"/>
  <c r="BH1754" i="1"/>
  <c r="BG1754" i="1"/>
  <c r="BF1754" i="1"/>
  <c r="BE1754" i="1"/>
  <c r="BD1750" i="1"/>
  <c r="BD1749" i="1"/>
  <c r="BJ1748" i="1"/>
  <c r="BI1748" i="1"/>
  <c r="BH1748" i="1"/>
  <c r="BG1748" i="1"/>
  <c r="BF1748" i="1"/>
  <c r="BE1748" i="1"/>
  <c r="BD1745" i="1"/>
  <c r="BD1744" i="1"/>
  <c r="BJ1742" i="1"/>
  <c r="BI1742" i="1"/>
  <c r="BH1742" i="1"/>
  <c r="BG1742" i="1"/>
  <c r="BF1742" i="1"/>
  <c r="BE1742" i="1"/>
  <c r="BD1741" i="1"/>
  <c r="BD1740" i="1"/>
  <c r="BD1739" i="1"/>
  <c r="BD1738" i="1"/>
  <c r="BD1736" i="1"/>
  <c r="BJ1735" i="1"/>
  <c r="BJ1737" i="1" s="1"/>
  <c r="BI1735" i="1"/>
  <c r="BI1737" i="1" s="1"/>
  <c r="BH1735" i="1"/>
  <c r="BH1737" i="1" s="1"/>
  <c r="BG1735" i="1"/>
  <c r="BG1737" i="1" s="1"/>
  <c r="BF1735" i="1"/>
  <c r="BF1737" i="1" s="1"/>
  <c r="BE1735" i="1"/>
  <c r="BE1737" i="1" s="1"/>
  <c r="BD1734" i="1"/>
  <c r="BD1733" i="1"/>
  <c r="BD1732" i="1"/>
  <c r="BD1731" i="1"/>
  <c r="BD1730" i="1"/>
  <c r="BD1729" i="1"/>
  <c r="BD1728" i="1"/>
  <c r="BD1727" i="1"/>
  <c r="BD1726" i="1"/>
  <c r="BD1725" i="1"/>
  <c r="BD1724" i="1"/>
  <c r="BD1723" i="1"/>
  <c r="BD1722" i="1"/>
  <c r="BD1721" i="1"/>
  <c r="BD1719" i="1"/>
  <c r="BD1714" i="1"/>
  <c r="BD1703" i="1"/>
  <c r="BJ1567" i="1"/>
  <c r="BI1567" i="1"/>
  <c r="BH1567" i="1"/>
  <c r="BG1567" i="1"/>
  <c r="BF1567" i="1"/>
  <c r="BE1567" i="1"/>
  <c r="BD1566" i="1"/>
  <c r="BD1565" i="1"/>
  <c r="BD1564" i="1"/>
  <c r="BD1563" i="1"/>
  <c r="BD1562" i="1"/>
  <c r="BD1561" i="1"/>
  <c r="BD1560" i="1"/>
  <c r="BD1559" i="1"/>
  <c r="BD1558" i="1"/>
  <c r="BD1557" i="1"/>
  <c r="BD1556" i="1"/>
  <c r="BD1555" i="1"/>
  <c r="BD1554" i="1"/>
  <c r="BD1553" i="1"/>
  <c r="BD1552" i="1"/>
  <c r="BJ1551" i="1"/>
  <c r="BI1551" i="1"/>
  <c r="BH1551" i="1"/>
  <c r="BG1551" i="1"/>
  <c r="BF1551" i="1"/>
  <c r="BE1551" i="1"/>
  <c r="BD1550" i="1"/>
  <c r="BD1549" i="1"/>
  <c r="BD1548" i="1"/>
  <c r="BD1547" i="1"/>
  <c r="BD1546" i="1"/>
  <c r="BD1545" i="1"/>
  <c r="BD1544" i="1"/>
  <c r="BD1543" i="1"/>
  <c r="BD1542" i="1"/>
  <c r="BD1535" i="1"/>
  <c r="BD1534" i="1"/>
  <c r="BD1533" i="1"/>
  <c r="BJ1410" i="1"/>
  <c r="BI1410" i="1"/>
  <c r="BH1410" i="1"/>
  <c r="BG1410" i="1"/>
  <c r="BF1410" i="1"/>
  <c r="BE1410" i="1"/>
  <c r="BD1409" i="1"/>
  <c r="BD1408" i="1"/>
  <c r="BD1407" i="1"/>
  <c r="BD1406" i="1"/>
  <c r="BJ1405" i="1"/>
  <c r="BI1405" i="1"/>
  <c r="BH1405" i="1"/>
  <c r="BG1405" i="1"/>
  <c r="BF1405" i="1"/>
  <c r="BE1405" i="1"/>
  <c r="BD1404" i="1"/>
  <c r="BD1403" i="1"/>
  <c r="BD1402" i="1"/>
  <c r="BD1401" i="1"/>
  <c r="BJ1400" i="1"/>
  <c r="BI1400" i="1"/>
  <c r="BH1400" i="1"/>
  <c r="BG1400" i="1"/>
  <c r="BF1400" i="1"/>
  <c r="BE1400" i="1"/>
  <c r="BD1399" i="1"/>
  <c r="BD1398" i="1"/>
  <c r="BD1397" i="1"/>
  <c r="BD1396" i="1"/>
  <c r="BJ1395" i="1"/>
  <c r="BI1395" i="1"/>
  <c r="BH1395" i="1"/>
  <c r="BG1395" i="1"/>
  <c r="BF1395" i="1"/>
  <c r="BE1395" i="1"/>
  <c r="BD1394" i="1"/>
  <c r="BD1393" i="1"/>
  <c r="BD1392" i="1"/>
  <c r="BD1391" i="1"/>
  <c r="BJ1390" i="1"/>
  <c r="BI1390" i="1"/>
  <c r="BH1390" i="1"/>
  <c r="BG1390" i="1"/>
  <c r="BF1390" i="1"/>
  <c r="BE1390" i="1"/>
  <c r="BD1389" i="1"/>
  <c r="BD1388" i="1"/>
  <c r="BD1387" i="1"/>
  <c r="BD1386" i="1"/>
  <c r="BJ1385" i="1"/>
  <c r="BI1385" i="1"/>
  <c r="BH1385" i="1"/>
  <c r="BG1385" i="1"/>
  <c r="BF1385" i="1"/>
  <c r="BE1385" i="1"/>
  <c r="BD1384" i="1"/>
  <c r="BD1383" i="1"/>
  <c r="BD1382" i="1"/>
  <c r="BD1381" i="1"/>
  <c r="BJ1380" i="1"/>
  <c r="BI1380" i="1"/>
  <c r="BH1380" i="1"/>
  <c r="BG1380" i="1"/>
  <c r="BF1380" i="1"/>
  <c r="BE1380" i="1"/>
  <c r="BD1376" i="1"/>
  <c r="BD1375" i="1"/>
  <c r="BD1374" i="1"/>
  <c r="BD1373" i="1"/>
  <c r="BD1372" i="1"/>
  <c r="BD1371" i="1"/>
  <c r="BJ1370" i="1"/>
  <c r="BI1370" i="1"/>
  <c r="BH1370" i="1"/>
  <c r="BG1370" i="1"/>
  <c r="BF1370" i="1"/>
  <c r="BE1370" i="1"/>
  <c r="BD1369" i="1"/>
  <c r="BD1368" i="1"/>
  <c r="BD1367" i="1"/>
  <c r="BD1366" i="1"/>
  <c r="BD1365" i="1"/>
  <c r="BD1364" i="1"/>
  <c r="BJ1363" i="1"/>
  <c r="BI1363" i="1"/>
  <c r="BH1363" i="1"/>
  <c r="BG1363" i="1"/>
  <c r="BF1363" i="1"/>
  <c r="BE1363" i="1"/>
  <c r="BD1362" i="1"/>
  <c r="BD1361" i="1"/>
  <c r="BD1360" i="1"/>
  <c r="BD1359" i="1"/>
  <c r="BD1358" i="1"/>
  <c r="BD1357" i="1"/>
  <c r="BJ1356" i="1"/>
  <c r="BI1356" i="1"/>
  <c r="BH1356" i="1"/>
  <c r="BG1356" i="1"/>
  <c r="BF1356" i="1"/>
  <c r="BE1356" i="1"/>
  <c r="BD1355" i="1"/>
  <c r="BD1354" i="1"/>
  <c r="BD1353" i="1"/>
  <c r="BD1352" i="1"/>
  <c r="BD1351" i="1"/>
  <c r="BD1350" i="1"/>
  <c r="BJ1349" i="1"/>
  <c r="BI1349" i="1"/>
  <c r="BH1349" i="1"/>
  <c r="BG1349" i="1"/>
  <c r="BF1349" i="1"/>
  <c r="BE1349" i="1"/>
  <c r="BD1348" i="1"/>
  <c r="BD1347" i="1"/>
  <c r="BD1346" i="1"/>
  <c r="BD1345" i="1"/>
  <c r="BD1344" i="1"/>
  <c r="BD1343" i="1"/>
  <c r="BJ1342" i="1"/>
  <c r="BI1342" i="1"/>
  <c r="BH1342" i="1"/>
  <c r="BG1342" i="1"/>
  <c r="BF1342" i="1"/>
  <c r="BE1342" i="1"/>
  <c r="BD1341" i="1"/>
  <c r="BD1340" i="1"/>
  <c r="BD1339" i="1"/>
  <c r="BD1338" i="1"/>
  <c r="BD1337" i="1"/>
  <c r="BD1336" i="1"/>
  <c r="BD1335" i="1"/>
  <c r="BD1334" i="1"/>
  <c r="BD1333" i="1"/>
  <c r="BD1332" i="1"/>
  <c r="BD1331" i="1"/>
  <c r="BD1330" i="1"/>
  <c r="BD1329" i="1"/>
  <c r="BJ1328" i="1"/>
  <c r="BI1328" i="1"/>
  <c r="BH1328" i="1"/>
  <c r="BG1328" i="1"/>
  <c r="BF1328" i="1"/>
  <c r="BE1328" i="1"/>
  <c r="BJ1321" i="1"/>
  <c r="BI1321" i="1"/>
  <c r="BH1321" i="1"/>
  <c r="BG1321" i="1"/>
  <c r="BF1321" i="1"/>
  <c r="BE1321" i="1"/>
  <c r="BD1320" i="1"/>
  <c r="BD1319" i="1"/>
  <c r="BD1318" i="1"/>
  <c r="BD1317" i="1"/>
  <c r="BD1316" i="1"/>
  <c r="BD1315" i="1"/>
  <c r="BD1314" i="1"/>
  <c r="BD1313" i="1"/>
  <c r="BD1312" i="1"/>
  <c r="BD1308" i="1"/>
  <c r="BJ1307" i="1"/>
  <c r="BI1307" i="1"/>
  <c r="BH1307" i="1"/>
  <c r="BG1307" i="1"/>
  <c r="BF1307" i="1"/>
  <c r="BE1307" i="1"/>
  <c r="BJ1303" i="1"/>
  <c r="BI1303" i="1"/>
  <c r="BH1303" i="1"/>
  <c r="BG1303" i="1"/>
  <c r="BF1303" i="1"/>
  <c r="BE1303" i="1"/>
  <c r="BD1302" i="1"/>
  <c r="BD1301" i="1"/>
  <c r="BD1299" i="1"/>
  <c r="BJ1298" i="1"/>
  <c r="BI1298" i="1"/>
  <c r="BH1298" i="1"/>
  <c r="BG1298" i="1"/>
  <c r="BF1298" i="1"/>
  <c r="BE1298" i="1"/>
  <c r="BD1297" i="1"/>
  <c r="BD1296" i="1"/>
  <c r="BI1293" i="1"/>
  <c r="BH1293" i="1"/>
  <c r="BG1293" i="1"/>
  <c r="BF1293" i="1"/>
  <c r="BE1293" i="1"/>
  <c r="BD1288" i="1"/>
  <c r="BD1287" i="1"/>
  <c r="BD1285" i="1"/>
  <c r="BD1277" i="1"/>
  <c r="BD1272" i="1"/>
  <c r="BD1270" i="1"/>
  <c r="BD1269" i="1"/>
  <c r="BD1268" i="1"/>
  <c r="BJ1263" i="1"/>
  <c r="BI1263" i="1"/>
  <c r="BH1263" i="1"/>
  <c r="BG1263" i="1"/>
  <c r="BF1263" i="1"/>
  <c r="BE1263" i="1"/>
  <c r="BD1261" i="1"/>
  <c r="BJ1259" i="1"/>
  <c r="BI1259" i="1"/>
  <c r="BH1259" i="1"/>
  <c r="BG1259" i="1"/>
  <c r="BF1259" i="1"/>
  <c r="BE1259" i="1"/>
  <c r="BD1254" i="1"/>
  <c r="BJ1253" i="1"/>
  <c r="BI1253" i="1"/>
  <c r="BH1253" i="1"/>
  <c r="BG1253" i="1"/>
  <c r="BF1253" i="1"/>
  <c r="BE1253" i="1"/>
  <c r="BD1252" i="1"/>
  <c r="BD1251" i="1"/>
  <c r="BD1244" i="1"/>
  <c r="BD1243" i="1"/>
  <c r="BD1236" i="1"/>
  <c r="BD1235" i="1"/>
  <c r="BD1216" i="1"/>
  <c r="BD1215" i="1"/>
  <c r="BD1214" i="1"/>
  <c r="BD1213" i="1"/>
  <c r="BD1212" i="1"/>
  <c r="BD1211" i="1"/>
  <c r="BD1210" i="1"/>
  <c r="BD1208" i="1"/>
  <c r="BD1207" i="1"/>
  <c r="BD1206" i="1"/>
  <c r="BD1205" i="1"/>
  <c r="BD1204" i="1"/>
  <c r="BD1203" i="1"/>
  <c r="BD1202" i="1"/>
  <c r="BD1201" i="1"/>
  <c r="BD1200" i="1"/>
  <c r="BJ1199" i="1"/>
  <c r="BI1199" i="1"/>
  <c r="BH1199" i="1"/>
  <c r="BG1199" i="1"/>
  <c r="BF1199" i="1"/>
  <c r="BE1199" i="1"/>
  <c r="BD1198" i="1"/>
  <c r="BD1197" i="1"/>
  <c r="BD1196" i="1"/>
  <c r="BD1195" i="1"/>
  <c r="BD1194" i="1"/>
  <c r="BD1193" i="1"/>
  <c r="BD1192" i="1"/>
  <c r="BD1186" i="1"/>
  <c r="BD1184" i="1"/>
  <c r="BD1183" i="1"/>
  <c r="BD1182" i="1"/>
  <c r="BD1181" i="1"/>
  <c r="BD1180" i="1"/>
  <c r="BD1179" i="1"/>
  <c r="BJ1177" i="1"/>
  <c r="BI1177" i="1"/>
  <c r="BH1177" i="1"/>
  <c r="BG1177" i="1"/>
  <c r="BF1177" i="1"/>
  <c r="BE1177" i="1"/>
  <c r="BD1176" i="1"/>
  <c r="BD1175" i="1"/>
  <c r="BD1174" i="1"/>
  <c r="BD1173" i="1"/>
  <c r="BD1172" i="1"/>
  <c r="BD1171" i="1"/>
  <c r="BD1170" i="1"/>
  <c r="BJ1169" i="1"/>
  <c r="BI1169" i="1"/>
  <c r="BF1169" i="1"/>
  <c r="BE1169" i="1"/>
  <c r="BD1168" i="1"/>
  <c r="BD1167" i="1"/>
  <c r="BD1166" i="1"/>
  <c r="BD1165" i="1"/>
  <c r="BD1164" i="1"/>
  <c r="BD1163" i="1"/>
  <c r="BG1169" i="1"/>
  <c r="BD1161" i="1"/>
  <c r="BD1159" i="1"/>
  <c r="BD1158" i="1"/>
  <c r="BJ1156" i="1"/>
  <c r="BI1156" i="1"/>
  <c r="BH1156" i="1"/>
  <c r="BG1156" i="1"/>
  <c r="BF1156" i="1"/>
  <c r="BE1156" i="1"/>
  <c r="BJ1153" i="1"/>
  <c r="BI1153" i="1"/>
  <c r="BH1153" i="1"/>
  <c r="BG1153" i="1"/>
  <c r="BF1153" i="1"/>
  <c r="BE1153" i="1"/>
  <c r="BD1152" i="1"/>
  <c r="BD1151" i="1"/>
  <c r="BJ1150" i="1"/>
  <c r="BI1150" i="1"/>
  <c r="BH1150" i="1"/>
  <c r="BG1150" i="1"/>
  <c r="BF1150" i="1"/>
  <c r="BE1150" i="1"/>
  <c r="BD1147" i="1"/>
  <c r="BJ1135" i="1"/>
  <c r="BI1135" i="1"/>
  <c r="BH1135" i="1"/>
  <c r="BG1135" i="1"/>
  <c r="BF1135" i="1"/>
  <c r="BE1135" i="1"/>
  <c r="BJ1129" i="1"/>
  <c r="BI1129" i="1"/>
  <c r="BH1129" i="1"/>
  <c r="BG1129" i="1"/>
  <c r="BF1129" i="1"/>
  <c r="BE1129" i="1"/>
  <c r="BJ1117" i="1"/>
  <c r="BJ1127" i="1" s="1"/>
  <c r="BI1117" i="1"/>
  <c r="BI1127" i="1" s="1"/>
  <c r="BH1117" i="1"/>
  <c r="BG1117" i="1"/>
  <c r="BG1127" i="1" s="1"/>
  <c r="BF1117" i="1"/>
  <c r="BF1127" i="1" s="1"/>
  <c r="BE1117" i="1"/>
  <c r="BE1127" i="1" s="1"/>
  <c r="BD1114" i="1"/>
  <c r="BJ1103" i="1"/>
  <c r="BJ1113" i="1" s="1"/>
  <c r="BI1103" i="1"/>
  <c r="BI1113" i="1" s="1"/>
  <c r="BH1103" i="1"/>
  <c r="BH1113" i="1" s="1"/>
  <c r="BG1103" i="1"/>
  <c r="BG1113" i="1" s="1"/>
  <c r="BF1103" i="1"/>
  <c r="BF1113" i="1" s="1"/>
  <c r="BE1103" i="1"/>
  <c r="BE1113" i="1" s="1"/>
  <c r="BD1100" i="1"/>
  <c r="BJ1099" i="1"/>
  <c r="BI1099" i="1"/>
  <c r="BH1099" i="1"/>
  <c r="BG1099" i="1"/>
  <c r="BF1099" i="1"/>
  <c r="BE1099" i="1"/>
  <c r="BJ1093" i="1"/>
  <c r="BI1093" i="1"/>
  <c r="BH1093" i="1"/>
  <c r="BG1093" i="1"/>
  <c r="BF1093" i="1"/>
  <c r="BE1093" i="1"/>
  <c r="BJ1081" i="1"/>
  <c r="BJ1091" i="1" s="1"/>
  <c r="BI1081" i="1"/>
  <c r="BI1091" i="1" s="1"/>
  <c r="BH1081" i="1"/>
  <c r="BH1091" i="1" s="1"/>
  <c r="BG1081" i="1"/>
  <c r="BG1091" i="1" s="1"/>
  <c r="BF1081" i="1"/>
  <c r="BF1091" i="1" s="1"/>
  <c r="BE1081" i="1"/>
  <c r="BE1091" i="1" s="1"/>
  <c r="BD1078" i="1"/>
  <c r="BJ1067" i="1"/>
  <c r="BJ1077" i="1" s="1"/>
  <c r="BI1067" i="1"/>
  <c r="BI1077" i="1" s="1"/>
  <c r="BH1067" i="1"/>
  <c r="BH1077" i="1" s="1"/>
  <c r="BG1067" i="1"/>
  <c r="BG1077" i="1" s="1"/>
  <c r="BF1067" i="1"/>
  <c r="BF1077" i="1" s="1"/>
  <c r="BE1067" i="1"/>
  <c r="BE1077" i="1" s="1"/>
  <c r="BD1064" i="1"/>
  <c r="BJ1063" i="1"/>
  <c r="BI1063" i="1"/>
  <c r="BH1063" i="1"/>
  <c r="BG1063" i="1"/>
  <c r="BF1063" i="1"/>
  <c r="BE1063" i="1"/>
  <c r="BD1058" i="1"/>
  <c r="BJ1057" i="1"/>
  <c r="BI1057" i="1"/>
  <c r="BH1057" i="1"/>
  <c r="BG1057" i="1"/>
  <c r="BF1057" i="1"/>
  <c r="BE1057" i="1"/>
  <c r="BJ1045" i="1"/>
  <c r="BJ1055" i="1" s="1"/>
  <c r="BI1045" i="1"/>
  <c r="BI1055" i="1" s="1"/>
  <c r="BH1045" i="1"/>
  <c r="BH1055" i="1" s="1"/>
  <c r="BG1045" i="1"/>
  <c r="BG1055" i="1" s="1"/>
  <c r="BF1045" i="1"/>
  <c r="BF1055" i="1" s="1"/>
  <c r="BE1045" i="1"/>
  <c r="BE1055" i="1" s="1"/>
  <c r="BD1042" i="1"/>
  <c r="BJ1031" i="1"/>
  <c r="BJ1041" i="1" s="1"/>
  <c r="BI1031" i="1"/>
  <c r="BI1041" i="1" s="1"/>
  <c r="BH1031" i="1"/>
  <c r="BH1041" i="1" s="1"/>
  <c r="BG1031" i="1"/>
  <c r="BG1041" i="1" s="1"/>
  <c r="BF1031" i="1"/>
  <c r="BF1041" i="1" s="1"/>
  <c r="BE1031" i="1"/>
  <c r="BE1041" i="1" s="1"/>
  <c r="BD1028" i="1"/>
  <c r="BJ1027" i="1"/>
  <c r="BI1027" i="1"/>
  <c r="BH1027" i="1"/>
  <c r="BG1027" i="1"/>
  <c r="BF1027" i="1"/>
  <c r="BE1027" i="1"/>
  <c r="BD1022" i="1"/>
  <c r="BJ1021" i="1"/>
  <c r="BI1021" i="1"/>
  <c r="BH1021" i="1"/>
  <c r="BG1021" i="1"/>
  <c r="BF1021" i="1"/>
  <c r="BE1021" i="1"/>
  <c r="BJ1009" i="1"/>
  <c r="BJ1019" i="1" s="1"/>
  <c r="BI1009" i="1"/>
  <c r="BI1019" i="1" s="1"/>
  <c r="BH1009" i="1"/>
  <c r="BH1019" i="1" s="1"/>
  <c r="BG1009" i="1"/>
  <c r="BG1019" i="1" s="1"/>
  <c r="BF1009" i="1"/>
  <c r="BF1019" i="1" s="1"/>
  <c r="BE1009" i="1"/>
  <c r="BD1006" i="1"/>
  <c r="BJ995" i="1"/>
  <c r="BJ1005" i="1" s="1"/>
  <c r="BI995" i="1"/>
  <c r="BI1005" i="1" s="1"/>
  <c r="BH995" i="1"/>
  <c r="BH1005" i="1" s="1"/>
  <c r="BG995" i="1"/>
  <c r="BG1005" i="1" s="1"/>
  <c r="BF995" i="1"/>
  <c r="BF1005" i="1" s="1"/>
  <c r="BE995" i="1"/>
  <c r="BE1005" i="1" s="1"/>
  <c r="BD992" i="1"/>
  <c r="BJ991" i="1"/>
  <c r="BI991" i="1"/>
  <c r="BH991" i="1"/>
  <c r="BG991" i="1"/>
  <c r="BF991" i="1"/>
  <c r="BE991" i="1"/>
  <c r="BJ985" i="1"/>
  <c r="BI985" i="1"/>
  <c r="BH985" i="1"/>
  <c r="BG985" i="1"/>
  <c r="BF985" i="1"/>
  <c r="BE985" i="1"/>
  <c r="BJ973" i="1"/>
  <c r="BJ983" i="1" s="1"/>
  <c r="BI973" i="1"/>
  <c r="BI983" i="1" s="1"/>
  <c r="BH973" i="1"/>
  <c r="BH983" i="1" s="1"/>
  <c r="BG973" i="1"/>
  <c r="BG983" i="1" s="1"/>
  <c r="BF973" i="1"/>
  <c r="BF983" i="1" s="1"/>
  <c r="BE973" i="1"/>
  <c r="BD970" i="1"/>
  <c r="BJ959" i="1"/>
  <c r="BJ969" i="1" s="1"/>
  <c r="BI959" i="1"/>
  <c r="BI969" i="1" s="1"/>
  <c r="BH959" i="1"/>
  <c r="BH969" i="1" s="1"/>
  <c r="BG959" i="1"/>
  <c r="BG969" i="1" s="1"/>
  <c r="BF959" i="1"/>
  <c r="BF969" i="1" s="1"/>
  <c r="BE959" i="1"/>
  <c r="BD956" i="1"/>
  <c r="BJ955" i="1"/>
  <c r="BI955" i="1"/>
  <c r="BH955" i="1"/>
  <c r="BG955" i="1"/>
  <c r="BF955" i="1"/>
  <c r="BE955" i="1"/>
  <c r="BD950" i="1"/>
  <c r="BJ949" i="1"/>
  <c r="BI949" i="1"/>
  <c r="BH949" i="1"/>
  <c r="BG949" i="1"/>
  <c r="BF949" i="1"/>
  <c r="BE949" i="1"/>
  <c r="BJ937" i="1"/>
  <c r="BJ947" i="1" s="1"/>
  <c r="BI937" i="1"/>
  <c r="BI947" i="1" s="1"/>
  <c r="BH937" i="1"/>
  <c r="BH947" i="1" s="1"/>
  <c r="BG937" i="1"/>
  <c r="BG947" i="1" s="1"/>
  <c r="BF937" i="1"/>
  <c r="BF947" i="1" s="1"/>
  <c r="BE937" i="1"/>
  <c r="BE947" i="1" s="1"/>
  <c r="BD934" i="1"/>
  <c r="BJ923" i="1"/>
  <c r="BJ933" i="1" s="1"/>
  <c r="BI923" i="1"/>
  <c r="BI933" i="1" s="1"/>
  <c r="BH923" i="1"/>
  <c r="BH933" i="1" s="1"/>
  <c r="BG923" i="1"/>
  <c r="BG933" i="1" s="1"/>
  <c r="BF923" i="1"/>
  <c r="BF933" i="1" s="1"/>
  <c r="BE923" i="1"/>
  <c r="BE933" i="1" s="1"/>
  <c r="BD920" i="1"/>
  <c r="BJ919" i="1"/>
  <c r="BI919" i="1"/>
  <c r="BH919" i="1"/>
  <c r="BG919" i="1"/>
  <c r="BF919" i="1"/>
  <c r="BE919" i="1"/>
  <c r="BJ913" i="1"/>
  <c r="BI913" i="1"/>
  <c r="BH913" i="1"/>
  <c r="BG913" i="1"/>
  <c r="BF913" i="1"/>
  <c r="BE913" i="1"/>
  <c r="BJ901" i="1"/>
  <c r="BJ911" i="1" s="1"/>
  <c r="BI901" i="1"/>
  <c r="BI911" i="1" s="1"/>
  <c r="BH901" i="1"/>
  <c r="BH911" i="1" s="1"/>
  <c r="BG901" i="1"/>
  <c r="BG911" i="1" s="1"/>
  <c r="BF901" i="1"/>
  <c r="BE901" i="1"/>
  <c r="BE911" i="1" s="1"/>
  <c r="BD898" i="1"/>
  <c r="BJ887" i="1"/>
  <c r="BJ897" i="1" s="1"/>
  <c r="BI887" i="1"/>
  <c r="BI897" i="1" s="1"/>
  <c r="BH887" i="1"/>
  <c r="BH897" i="1" s="1"/>
  <c r="BG887" i="1"/>
  <c r="BG897" i="1" s="1"/>
  <c r="BF887" i="1"/>
  <c r="BE887" i="1"/>
  <c r="BE897" i="1" s="1"/>
  <c r="BD884" i="1"/>
  <c r="BJ883" i="1"/>
  <c r="BI883" i="1"/>
  <c r="BH883" i="1"/>
  <c r="BG883" i="1"/>
  <c r="BF883" i="1"/>
  <c r="BE883" i="1"/>
  <c r="BJ877" i="1"/>
  <c r="BI877" i="1"/>
  <c r="BH877" i="1"/>
  <c r="BG877" i="1"/>
  <c r="BF877" i="1"/>
  <c r="BE877" i="1"/>
  <c r="BJ865" i="1"/>
  <c r="BJ875" i="1" s="1"/>
  <c r="BI865" i="1"/>
  <c r="BI875" i="1" s="1"/>
  <c r="BH865" i="1"/>
  <c r="BH875" i="1" s="1"/>
  <c r="BG865" i="1"/>
  <c r="BG875" i="1" s="1"/>
  <c r="BF865" i="1"/>
  <c r="BF875" i="1" s="1"/>
  <c r="BE865" i="1"/>
  <c r="BE875" i="1" s="1"/>
  <c r="BD862" i="1"/>
  <c r="BJ851" i="1"/>
  <c r="BJ861" i="1" s="1"/>
  <c r="BI851" i="1"/>
  <c r="BI861" i="1" s="1"/>
  <c r="BH851" i="1"/>
  <c r="BG851" i="1"/>
  <c r="BG861" i="1" s="1"/>
  <c r="BF851" i="1"/>
  <c r="BF861" i="1" s="1"/>
  <c r="BE851" i="1"/>
  <c r="BE861" i="1" s="1"/>
  <c r="BD848" i="1"/>
  <c r="BD847" i="1"/>
  <c r="BD846" i="1"/>
  <c r="BD845" i="1"/>
  <c r="BD844" i="1"/>
  <c r="BD843" i="1"/>
  <c r="BD842" i="1"/>
  <c r="BD841" i="1"/>
  <c r="BD840" i="1"/>
  <c r="BD839" i="1"/>
  <c r="BD838" i="1"/>
  <c r="BD837" i="1"/>
  <c r="BD836" i="1"/>
  <c r="BD835" i="1"/>
  <c r="BD834" i="1"/>
  <c r="BD833" i="1"/>
  <c r="BD832" i="1"/>
  <c r="BJ831" i="1"/>
  <c r="BI831" i="1"/>
  <c r="BH831" i="1"/>
  <c r="BG831" i="1"/>
  <c r="BF831" i="1"/>
  <c r="BE831" i="1"/>
  <c r="BD830" i="1"/>
  <c r="BD829" i="1"/>
  <c r="BD828" i="1"/>
  <c r="BD827" i="1"/>
  <c r="BD826" i="1"/>
  <c r="BD825" i="1"/>
  <c r="BD824" i="1"/>
  <c r="BD823" i="1"/>
  <c r="BD822" i="1"/>
  <c r="BD821" i="1"/>
  <c r="BD820" i="1"/>
  <c r="BJ819" i="1"/>
  <c r="BI819" i="1"/>
  <c r="BH819" i="1"/>
  <c r="BG819" i="1"/>
  <c r="BF819" i="1"/>
  <c r="BE819" i="1"/>
  <c r="BD818" i="1"/>
  <c r="BD817" i="1"/>
  <c r="BD816" i="1"/>
  <c r="BD815" i="1"/>
  <c r="BD814" i="1"/>
  <c r="BJ813" i="1"/>
  <c r="BI813" i="1"/>
  <c r="BH813" i="1"/>
  <c r="BG813" i="1"/>
  <c r="BF813" i="1"/>
  <c r="BE813" i="1"/>
  <c r="BD812" i="1"/>
  <c r="BD811" i="1"/>
  <c r="BD810" i="1"/>
  <c r="BD809" i="1"/>
  <c r="BD808" i="1"/>
  <c r="BD807" i="1"/>
  <c r="BJ795" i="1"/>
  <c r="BI795" i="1"/>
  <c r="BH795" i="1"/>
  <c r="BG795" i="1"/>
  <c r="BF795" i="1"/>
  <c r="BE795" i="1"/>
  <c r="BD794" i="1"/>
  <c r="BD793" i="1"/>
  <c r="BD792" i="1"/>
  <c r="BD790" i="1"/>
  <c r="BJ777" i="1"/>
  <c r="BJ787" i="1" s="1"/>
  <c r="BI777" i="1"/>
  <c r="BI787" i="1" s="1"/>
  <c r="BH777" i="1"/>
  <c r="BH787" i="1" s="1"/>
  <c r="BG777" i="1"/>
  <c r="BG787" i="1" s="1"/>
  <c r="BF777" i="1"/>
  <c r="BE777" i="1"/>
  <c r="BE787" i="1" s="1"/>
  <c r="BJ762" i="1"/>
  <c r="BJ789" i="1" s="1"/>
  <c r="BI762" i="1"/>
  <c r="BI789" i="1" s="1"/>
  <c r="BH762" i="1"/>
  <c r="BG762" i="1"/>
  <c r="BG789" i="1" s="1"/>
  <c r="BF762" i="1"/>
  <c r="BE762" i="1"/>
  <c r="BE789" i="1" s="1"/>
  <c r="BD759" i="1"/>
  <c r="BD758" i="1"/>
  <c r="BJ757" i="1"/>
  <c r="BI757" i="1"/>
  <c r="BH757" i="1"/>
  <c r="BG757" i="1"/>
  <c r="BF757" i="1"/>
  <c r="BE757" i="1"/>
  <c r="BD756" i="1"/>
  <c r="BD755" i="1"/>
  <c r="BD754" i="1"/>
  <c r="BD752" i="1"/>
  <c r="BJ739" i="1"/>
  <c r="BJ749" i="1" s="1"/>
  <c r="BI739" i="1"/>
  <c r="BI749" i="1" s="1"/>
  <c r="BH739" i="1"/>
  <c r="BH749" i="1" s="1"/>
  <c r="BG739" i="1"/>
  <c r="BG749" i="1" s="1"/>
  <c r="BF739" i="1"/>
  <c r="BF749" i="1" s="1"/>
  <c r="BE739" i="1"/>
  <c r="BE749" i="1" s="1"/>
  <c r="BJ724" i="1"/>
  <c r="BJ751" i="1" s="1"/>
  <c r="BI724" i="1"/>
  <c r="BI751" i="1" s="1"/>
  <c r="BH724" i="1"/>
  <c r="BH735" i="1" s="1"/>
  <c r="BG724" i="1"/>
  <c r="BG751" i="1" s="1"/>
  <c r="BF724" i="1"/>
  <c r="BE724" i="1"/>
  <c r="BE751" i="1" s="1"/>
  <c r="BD721" i="1"/>
  <c r="BD720" i="1"/>
  <c r="BJ719" i="1"/>
  <c r="BI719" i="1"/>
  <c r="BH719" i="1"/>
  <c r="BG719" i="1"/>
  <c r="BF719" i="1"/>
  <c r="BE719" i="1"/>
  <c r="BD718" i="1"/>
  <c r="BD717" i="1"/>
  <c r="BD716" i="1"/>
  <c r="BD714" i="1"/>
  <c r="BJ701" i="1"/>
  <c r="BJ711" i="1" s="1"/>
  <c r="BI701" i="1"/>
  <c r="BI711" i="1" s="1"/>
  <c r="BH701" i="1"/>
  <c r="BH711" i="1" s="1"/>
  <c r="BG701" i="1"/>
  <c r="BG711" i="1" s="1"/>
  <c r="BF701" i="1"/>
  <c r="BF711" i="1" s="1"/>
  <c r="BE701" i="1"/>
  <c r="BE711" i="1" s="1"/>
  <c r="BJ686" i="1"/>
  <c r="BJ713" i="1" s="1"/>
  <c r="BI686" i="1"/>
  <c r="BI713" i="1" s="1"/>
  <c r="BH686" i="1"/>
  <c r="BH697" i="1" s="1"/>
  <c r="BG686" i="1"/>
  <c r="BG713" i="1" s="1"/>
  <c r="BF686" i="1"/>
  <c r="BF713" i="1" s="1"/>
  <c r="BE686" i="1"/>
  <c r="BE713" i="1" s="1"/>
  <c r="BD683" i="1"/>
  <c r="BD682" i="1"/>
  <c r="BJ681" i="1"/>
  <c r="BI681" i="1"/>
  <c r="BH681" i="1"/>
  <c r="BG681" i="1"/>
  <c r="BF681" i="1"/>
  <c r="BE681" i="1"/>
  <c r="BD680" i="1"/>
  <c r="BD679" i="1"/>
  <c r="BD678" i="1"/>
  <c r="BD676" i="1"/>
  <c r="BJ663" i="1"/>
  <c r="BJ673" i="1" s="1"/>
  <c r="BI663" i="1"/>
  <c r="BI673" i="1" s="1"/>
  <c r="BH663" i="1"/>
  <c r="BG663" i="1"/>
  <c r="BG673" i="1" s="1"/>
  <c r="BF663" i="1"/>
  <c r="BF673" i="1" s="1"/>
  <c r="BE663" i="1"/>
  <c r="BE673" i="1" s="1"/>
  <c r="BJ648" i="1"/>
  <c r="BI648" i="1"/>
  <c r="BI675" i="1" s="1"/>
  <c r="BH648" i="1"/>
  <c r="BH675" i="1" s="1"/>
  <c r="BG648" i="1"/>
  <c r="BG675" i="1" s="1"/>
  <c r="BF648" i="1"/>
  <c r="BF675" i="1" s="1"/>
  <c r="BE648" i="1"/>
  <c r="BE675" i="1" s="1"/>
  <c r="BD645" i="1"/>
  <c r="BD644" i="1"/>
  <c r="BJ643" i="1"/>
  <c r="BI643" i="1"/>
  <c r="BH643" i="1"/>
  <c r="BG643" i="1"/>
  <c r="BF643" i="1"/>
  <c r="BE643" i="1"/>
  <c r="BD642" i="1"/>
  <c r="BD641" i="1"/>
  <c r="BD640" i="1"/>
  <c r="BD638" i="1"/>
  <c r="BJ625" i="1"/>
  <c r="BJ635" i="1" s="1"/>
  <c r="BI625" i="1"/>
  <c r="BI635" i="1" s="1"/>
  <c r="BH625" i="1"/>
  <c r="BH635" i="1" s="1"/>
  <c r="BG625" i="1"/>
  <c r="BG635" i="1" s="1"/>
  <c r="BF625" i="1"/>
  <c r="BF635" i="1" s="1"/>
  <c r="BE625" i="1"/>
  <c r="BJ610" i="1"/>
  <c r="BI610" i="1"/>
  <c r="BI637" i="1" s="1"/>
  <c r="BH610" i="1"/>
  <c r="BG610" i="1"/>
  <c r="BF610" i="1"/>
  <c r="BF637" i="1" s="1"/>
  <c r="BE610" i="1"/>
  <c r="BE637" i="1" s="1"/>
  <c r="BD607" i="1"/>
  <c r="BD606" i="1"/>
  <c r="BJ605" i="1"/>
  <c r="BI605" i="1"/>
  <c r="BH605" i="1"/>
  <c r="BG605" i="1"/>
  <c r="BF605" i="1"/>
  <c r="BE605" i="1"/>
  <c r="BD604" i="1"/>
  <c r="BD603" i="1"/>
  <c r="BD602" i="1"/>
  <c r="BD600" i="1"/>
  <c r="BJ587" i="1"/>
  <c r="BJ597" i="1" s="1"/>
  <c r="BI587" i="1"/>
  <c r="BI597" i="1" s="1"/>
  <c r="BH587" i="1"/>
  <c r="BH597" i="1" s="1"/>
  <c r="BG587" i="1"/>
  <c r="BG597" i="1" s="1"/>
  <c r="BF587" i="1"/>
  <c r="BF597" i="1" s="1"/>
  <c r="BE587" i="1"/>
  <c r="BE597" i="1" s="1"/>
  <c r="BJ572" i="1"/>
  <c r="BJ599" i="1" s="1"/>
  <c r="BI572" i="1"/>
  <c r="BI599" i="1" s="1"/>
  <c r="BH572" i="1"/>
  <c r="BH599" i="1" s="1"/>
  <c r="BG572" i="1"/>
  <c r="BG599" i="1" s="1"/>
  <c r="BF572" i="1"/>
  <c r="BE572" i="1"/>
  <c r="BD569" i="1"/>
  <c r="BD568" i="1"/>
  <c r="BJ567" i="1"/>
  <c r="BI567" i="1"/>
  <c r="BH567" i="1"/>
  <c r="BG567" i="1"/>
  <c r="BF567" i="1"/>
  <c r="BE567" i="1"/>
  <c r="BD566" i="1"/>
  <c r="BD565" i="1"/>
  <c r="BD564" i="1"/>
  <c r="BD562" i="1"/>
  <c r="BJ549" i="1"/>
  <c r="BJ559" i="1" s="1"/>
  <c r="BI549" i="1"/>
  <c r="BI559" i="1" s="1"/>
  <c r="BH549" i="1"/>
  <c r="BH559" i="1" s="1"/>
  <c r="BG549" i="1"/>
  <c r="BG559" i="1" s="1"/>
  <c r="BF549" i="1"/>
  <c r="BF559" i="1" s="1"/>
  <c r="BE549" i="1"/>
  <c r="BE559" i="1" s="1"/>
  <c r="BJ534" i="1"/>
  <c r="BJ561" i="1" s="1"/>
  <c r="BI534" i="1"/>
  <c r="BH534" i="1"/>
  <c r="BH561" i="1" s="1"/>
  <c r="BG534" i="1"/>
  <c r="BG561" i="1" s="1"/>
  <c r="BF534" i="1"/>
  <c r="BF561" i="1" s="1"/>
  <c r="BE534" i="1"/>
  <c r="BD531" i="1"/>
  <c r="BJ530" i="1"/>
  <c r="BI530" i="1"/>
  <c r="BH530" i="1"/>
  <c r="BG530" i="1"/>
  <c r="BF530" i="1"/>
  <c r="BE530" i="1"/>
  <c r="BD529" i="1"/>
  <c r="BD528" i="1"/>
  <c r="BD527" i="1"/>
  <c r="BJ522" i="1"/>
  <c r="BI522" i="1"/>
  <c r="BH522" i="1"/>
  <c r="BG522" i="1"/>
  <c r="BF522" i="1"/>
  <c r="BE522" i="1"/>
  <c r="BJ497" i="1"/>
  <c r="BJ524" i="1" s="1"/>
  <c r="BI497" i="1"/>
  <c r="BI524" i="1" s="1"/>
  <c r="BH497" i="1"/>
  <c r="BH508" i="1" s="1"/>
  <c r="BG497" i="1"/>
  <c r="BG524" i="1" s="1"/>
  <c r="BF497" i="1"/>
  <c r="BE497" i="1"/>
  <c r="BE524" i="1" s="1"/>
  <c r="BD494" i="1"/>
  <c r="BD493" i="1"/>
  <c r="BD492" i="1"/>
  <c r="BD491" i="1"/>
  <c r="BD490" i="1"/>
  <c r="BD489" i="1"/>
  <c r="BD488" i="1"/>
  <c r="BD487" i="1"/>
  <c r="BD486" i="1"/>
  <c r="BD485" i="1"/>
  <c r="BD484" i="1"/>
  <c r="BD483" i="1"/>
  <c r="BD482" i="1"/>
  <c r="BD481" i="1"/>
  <c r="BJ478" i="1"/>
  <c r="BI478" i="1"/>
  <c r="BH478" i="1"/>
  <c r="BG478" i="1"/>
  <c r="BF478" i="1"/>
  <c r="BE478" i="1"/>
  <c r="BD470" i="1"/>
  <c r="BG464" i="1"/>
  <c r="BG469" i="1" s="1"/>
  <c r="BD461" i="1"/>
  <c r="BD460" i="1"/>
  <c r="BD432" i="1"/>
  <c r="BD430" i="1"/>
  <c r="BJ429" i="1"/>
  <c r="BI429" i="1"/>
  <c r="BH429" i="1"/>
  <c r="BG429" i="1"/>
  <c r="BF429" i="1"/>
  <c r="BE429" i="1"/>
  <c r="BD427" i="1"/>
  <c r="BF406" i="1"/>
  <c r="BE406" i="1"/>
  <c r="BH406" i="1"/>
  <c r="BD391" i="1"/>
  <c r="BD390" i="1"/>
  <c r="BD389" i="1"/>
  <c r="BJ387" i="1"/>
  <c r="BI387" i="1"/>
  <c r="BH387" i="1"/>
  <c r="BG387" i="1"/>
  <c r="BF387" i="1"/>
  <c r="BE387" i="1"/>
  <c r="BD373" i="1"/>
  <c r="BI372" i="1"/>
  <c r="BH372" i="1"/>
  <c r="BG372" i="1"/>
  <c r="BF372" i="1"/>
  <c r="BE372" i="1"/>
  <c r="BD359" i="1"/>
  <c r="BD358" i="1"/>
  <c r="BD357" i="1"/>
  <c r="BD356" i="1"/>
  <c r="BD355" i="1"/>
  <c r="BD354" i="1"/>
  <c r="BD353" i="1"/>
  <c r="BD352" i="1"/>
  <c r="BD351" i="1"/>
  <c r="BD350" i="1"/>
  <c r="BD349" i="1"/>
  <c r="BD348" i="1"/>
  <c r="BD347" i="1"/>
  <c r="BD346" i="1"/>
  <c r="BD345" i="1"/>
  <c r="BD344" i="1"/>
  <c r="BD343" i="1"/>
  <c r="BJ342" i="1"/>
  <c r="BI342" i="1"/>
  <c r="BH342" i="1"/>
  <c r="BG342" i="1"/>
  <c r="BF342" i="1"/>
  <c r="BE342" i="1"/>
  <c r="BD341" i="1"/>
  <c r="BD340" i="1"/>
  <c r="BD339" i="1"/>
  <c r="BD338" i="1"/>
  <c r="BD337" i="1"/>
  <c r="BD336" i="1"/>
  <c r="BD335" i="1"/>
  <c r="BD334" i="1"/>
  <c r="BD333" i="1"/>
  <c r="BD332" i="1"/>
  <c r="BD331" i="1"/>
  <c r="BD330" i="1"/>
  <c r="BD329" i="1"/>
  <c r="BD328" i="1"/>
  <c r="BJ327" i="1"/>
  <c r="BI327" i="1"/>
  <c r="BH327" i="1"/>
  <c r="BG327" i="1"/>
  <c r="BF327" i="1"/>
  <c r="BE327" i="1"/>
  <c r="BD326" i="1"/>
  <c r="BD325" i="1"/>
  <c r="BD324" i="1"/>
  <c r="BD323" i="1"/>
  <c r="BD322" i="1"/>
  <c r="BD321" i="1"/>
  <c r="BD320" i="1"/>
  <c r="BD319" i="1"/>
  <c r="BD318" i="1"/>
  <c r="BD317" i="1"/>
  <c r="BD316" i="1"/>
  <c r="BD315" i="1"/>
  <c r="BD314" i="1"/>
  <c r="BD313" i="1"/>
  <c r="BD312" i="1"/>
  <c r="BD311" i="1"/>
  <c r="BJ310" i="1"/>
  <c r="BI310" i="1"/>
  <c r="BH310" i="1"/>
  <c r="BG310" i="1"/>
  <c r="BF310" i="1"/>
  <c r="BE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5" i="1"/>
  <c r="BD284" i="1"/>
  <c r="BD283" i="1"/>
  <c r="BD282" i="1"/>
  <c r="BD281" i="1"/>
  <c r="BD280" i="1"/>
  <c r="BD279" i="1"/>
  <c r="BD278" i="1"/>
  <c r="BJ277" i="1"/>
  <c r="BI277" i="1"/>
  <c r="BH277" i="1"/>
  <c r="BG277" i="1"/>
  <c r="BF277" i="1"/>
  <c r="BE277" i="1"/>
  <c r="BD276" i="1"/>
  <c r="BD275" i="1"/>
  <c r="BD274" i="1"/>
  <c r="BD273" i="1"/>
  <c r="BD272" i="1"/>
  <c r="BD271" i="1"/>
  <c r="BD269" i="1"/>
  <c r="BD268" i="1"/>
  <c r="BD267" i="1"/>
  <c r="BD266" i="1"/>
  <c r="BD265" i="1"/>
  <c r="BD264" i="1"/>
  <c r="BD263" i="1"/>
  <c r="BD262" i="1"/>
  <c r="BD260" i="1"/>
  <c r="BD259" i="1"/>
  <c r="BD258" i="1"/>
  <c r="BD257" i="1"/>
  <c r="BD256" i="1"/>
  <c r="BD255" i="1"/>
  <c r="BJ254" i="1"/>
  <c r="BJ261" i="1" s="1"/>
  <c r="BJ270" i="1" s="1"/>
  <c r="BI254" i="1"/>
  <c r="BI261" i="1" s="1"/>
  <c r="BI270" i="1" s="1"/>
  <c r="BH254" i="1"/>
  <c r="BH261" i="1" s="1"/>
  <c r="BH270" i="1" s="1"/>
  <c r="BG254" i="1"/>
  <c r="BG261" i="1" s="1"/>
  <c r="BG270" i="1" s="1"/>
  <c r="BF254" i="1"/>
  <c r="BF261" i="1" s="1"/>
  <c r="BF270" i="1" s="1"/>
  <c r="BE254" i="1"/>
  <c r="BD253" i="1"/>
  <c r="BD252" i="1"/>
  <c r="BD251" i="1"/>
  <c r="BD249" i="1"/>
  <c r="BD248" i="1"/>
  <c r="BD247" i="1"/>
  <c r="BD246" i="1"/>
  <c r="BD245" i="1"/>
  <c r="BD244" i="1"/>
  <c r="BD243" i="1"/>
  <c r="BD242" i="1"/>
  <c r="BD241" i="1"/>
  <c r="BD240" i="1"/>
  <c r="BD239" i="1"/>
  <c r="BJ237" i="1"/>
  <c r="BI237" i="1"/>
  <c r="BH237" i="1"/>
  <c r="BG237" i="1"/>
  <c r="BF237" i="1"/>
  <c r="BE237" i="1"/>
  <c r="BD236" i="1"/>
  <c r="BD235" i="1"/>
  <c r="BD234" i="1"/>
  <c r="BD233" i="1"/>
  <c r="BD232" i="1"/>
  <c r="BD231" i="1"/>
  <c r="BD230" i="1"/>
  <c r="BD229" i="1"/>
  <c r="BD227" i="1"/>
  <c r="BD226" i="1"/>
  <c r="BD225" i="1"/>
  <c r="BD224" i="1"/>
  <c r="BD223" i="1"/>
  <c r="BD222" i="1"/>
  <c r="BD221" i="1"/>
  <c r="BD220" i="1"/>
  <c r="BD219" i="1"/>
  <c r="BD218" i="1"/>
  <c r="BD217" i="1"/>
  <c r="BJ215" i="1"/>
  <c r="BI215" i="1"/>
  <c r="BH215" i="1"/>
  <c r="BG215" i="1"/>
  <c r="BF215" i="1"/>
  <c r="BE215" i="1"/>
  <c r="BD214" i="1"/>
  <c r="BD213" i="1"/>
  <c r="BD212" i="1"/>
  <c r="BD211" i="1"/>
  <c r="BD210" i="1"/>
  <c r="BD209" i="1"/>
  <c r="BD208" i="1"/>
  <c r="BD207" i="1"/>
  <c r="BJ206" i="1"/>
  <c r="BI206" i="1"/>
  <c r="BH206" i="1"/>
  <c r="BG206" i="1"/>
  <c r="BF206" i="1"/>
  <c r="BE206" i="1"/>
  <c r="BD205" i="1"/>
  <c r="BD204" i="1"/>
  <c r="BD202" i="1"/>
  <c r="BD200" i="1"/>
  <c r="BD199" i="1"/>
  <c r="BD198" i="1"/>
  <c r="BD197" i="1"/>
  <c r="BD195" i="1"/>
  <c r="BD194" i="1"/>
  <c r="BD193" i="1"/>
  <c r="BD192" i="1"/>
  <c r="BD191" i="1"/>
  <c r="BD190" i="1"/>
  <c r="BD189" i="1"/>
  <c r="BJ187" i="1"/>
  <c r="BF187" i="1"/>
  <c r="BE187" i="1"/>
  <c r="BD186" i="1"/>
  <c r="BD185" i="1"/>
  <c r="BD184" i="1"/>
  <c r="BD183" i="1"/>
  <c r="BD182" i="1"/>
  <c r="BD181" i="1"/>
  <c r="BD180" i="1"/>
  <c r="BH179" i="1"/>
  <c r="BH187" i="1" s="1"/>
  <c r="BG179" i="1"/>
  <c r="BG187" i="1" s="1"/>
  <c r="BD178" i="1"/>
  <c r="BD176" i="1"/>
  <c r="BD174" i="1"/>
  <c r="BD173" i="1"/>
  <c r="BD172" i="1"/>
  <c r="BD171" i="1"/>
  <c r="BD170" i="1"/>
  <c r="BD169" i="1"/>
  <c r="BD168" i="1"/>
  <c r="BD167" i="1"/>
  <c r="BD166" i="1"/>
  <c r="BD165" i="1"/>
  <c r="BD164" i="1"/>
  <c r="BJ162" i="1"/>
  <c r="BI162" i="1"/>
  <c r="BH162" i="1"/>
  <c r="BG162" i="1"/>
  <c r="BF162" i="1"/>
  <c r="BE162" i="1"/>
  <c r="BD161" i="1"/>
  <c r="BD159" i="1"/>
  <c r="BD158" i="1"/>
  <c r="BD157" i="1"/>
  <c r="BD156" i="1"/>
  <c r="BD155" i="1"/>
  <c r="BD154" i="1"/>
  <c r="BD153" i="1"/>
  <c r="BD152" i="1"/>
  <c r="BJ151" i="1"/>
  <c r="BI151" i="1"/>
  <c r="BH151" i="1"/>
  <c r="BG151" i="1"/>
  <c r="BF151" i="1"/>
  <c r="BE151" i="1"/>
  <c r="BD150" i="1"/>
  <c r="BD149" i="1"/>
  <c r="BD147" i="1"/>
  <c r="BD146" i="1"/>
  <c r="BD142" i="1"/>
  <c r="BD141" i="1"/>
  <c r="BJ139" i="1"/>
  <c r="BF139" i="1"/>
  <c r="BE139" i="1"/>
  <c r="BD138" i="1"/>
  <c r="BH139" i="1"/>
  <c r="BD135" i="1"/>
  <c r="BD133" i="1"/>
  <c r="BD131" i="1"/>
  <c r="BD130" i="1"/>
  <c r="BD129" i="1"/>
  <c r="BD128" i="1"/>
  <c r="BD127" i="1"/>
  <c r="BD126" i="1"/>
  <c r="BD125" i="1"/>
  <c r="BD124" i="1"/>
  <c r="BD123" i="1"/>
  <c r="BD122" i="1"/>
  <c r="BD120" i="1"/>
  <c r="BD118" i="1"/>
  <c r="BD117" i="1"/>
  <c r="BD113" i="1"/>
  <c r="BD108" i="1"/>
  <c r="BD107" i="1"/>
  <c r="BD105" i="1"/>
  <c r="BD100" i="1"/>
  <c r="BF96" i="1"/>
  <c r="BG96" i="1"/>
  <c r="BG119" i="1" s="1"/>
  <c r="BD94" i="1"/>
  <c r="BD93" i="1"/>
  <c r="BG92" i="1"/>
  <c r="BF92" i="1"/>
  <c r="BE92" i="1"/>
  <c r="BD91" i="1"/>
  <c r="BD88" i="1"/>
  <c r="BD87" i="1"/>
  <c r="BD86" i="1"/>
  <c r="BD84" i="1"/>
  <c r="BD82" i="1"/>
  <c r="BD80" i="1"/>
  <c r="BD79" i="1"/>
  <c r="BD78" i="1"/>
  <c r="BD77" i="1"/>
  <c r="BD76" i="1"/>
  <c r="BD75" i="1"/>
  <c r="BD73" i="1"/>
  <c r="BD71" i="1"/>
  <c r="BD69" i="1"/>
  <c r="BD68" i="1"/>
  <c r="BD67" i="1"/>
  <c r="BD64" i="1"/>
  <c r="BD62" i="1"/>
  <c r="BD60" i="1"/>
  <c r="BH59" i="1"/>
  <c r="BG59" i="1"/>
  <c r="BE59" i="1"/>
  <c r="BD58" i="1"/>
  <c r="BD56" i="1"/>
  <c r="BD54" i="1"/>
  <c r="BD52" i="1"/>
  <c r="BD51" i="1"/>
  <c r="BD50" i="1"/>
  <c r="BJ49" i="1"/>
  <c r="BI49" i="1"/>
  <c r="BF49" i="1"/>
  <c r="BD42" i="1"/>
  <c r="BD41" i="1"/>
  <c r="BD40" i="1"/>
  <c r="BD38" i="1"/>
  <c r="BD37" i="1"/>
  <c r="BD36" i="1"/>
  <c r="BD35" i="1"/>
  <c r="BD34" i="1"/>
  <c r="BD31" i="1"/>
  <c r="BD30" i="1"/>
  <c r="BD23" i="1"/>
  <c r="S23" i="1" s="1"/>
  <c r="N23" i="1" s="1"/>
  <c r="BH20" i="1"/>
  <c r="BH188" i="1" s="1"/>
  <c r="BG20" i="1"/>
  <c r="BG188" i="1" s="1"/>
  <c r="BF20" i="1"/>
  <c r="S12" i="1"/>
  <c r="N12" i="1" s="1"/>
  <c r="BI11" i="1"/>
  <c r="BH11" i="1"/>
  <c r="BG11" i="1"/>
  <c r="BF11" i="1"/>
  <c r="BD10" i="1"/>
  <c r="BD9" i="1"/>
  <c r="BH119" i="1" l="1"/>
  <c r="BH140" i="1" s="1"/>
  <c r="BF119" i="1"/>
  <c r="BF177" i="1"/>
  <c r="BF201" i="1" s="1"/>
  <c r="BJ948" i="1"/>
  <c r="BF984" i="1"/>
  <c r="BD121" i="1"/>
  <c r="BD132" i="1" s="1"/>
  <c r="BD134" i="1"/>
  <c r="BF1265" i="1"/>
  <c r="BG948" i="1"/>
  <c r="BH1020" i="1"/>
  <c r="BH948" i="1"/>
  <c r="BH523" i="1"/>
  <c r="BE1264" i="1"/>
  <c r="BE1267" i="1" s="1"/>
  <c r="BH1309" i="1"/>
  <c r="BI912" i="1"/>
  <c r="BF948" i="1"/>
  <c r="BG1309" i="1"/>
  <c r="BG876" i="1"/>
  <c r="BG1157" i="1"/>
  <c r="BF1264" i="1"/>
  <c r="BH1265" i="1"/>
  <c r="BD1567" i="1"/>
  <c r="BG1092" i="1"/>
  <c r="BJ1265" i="1"/>
  <c r="BJ1056" i="1"/>
  <c r="BH750" i="1"/>
  <c r="BI876" i="1"/>
  <c r="BJ735" i="1"/>
  <c r="BJ750" i="1" s="1"/>
  <c r="BI948" i="1"/>
  <c r="BE659" i="1"/>
  <c r="BE674" i="1" s="1"/>
  <c r="BJ1020" i="1"/>
  <c r="BF1092" i="1"/>
  <c r="BF1056" i="1"/>
  <c r="BH1157" i="1"/>
  <c r="BE1265" i="1"/>
  <c r="BD2019" i="1"/>
  <c r="BE876" i="1"/>
  <c r="BH1092" i="1"/>
  <c r="BG1310" i="1"/>
  <c r="BG286" i="1"/>
  <c r="BF876" i="1"/>
  <c r="BD327" i="1"/>
  <c r="BJ508" i="1"/>
  <c r="BJ509" i="1" s="1"/>
  <c r="BH713" i="1"/>
  <c r="BI735" i="1"/>
  <c r="BI750" i="1" s="1"/>
  <c r="BJ773" i="1"/>
  <c r="BJ788" i="1" s="1"/>
  <c r="BD819" i="1"/>
  <c r="BJ1310" i="1"/>
  <c r="BH24" i="1"/>
  <c r="BH29" i="1" s="1"/>
  <c r="BH39" i="1" s="1"/>
  <c r="BF659" i="1"/>
  <c r="BF674" i="1" s="1"/>
  <c r="BD1199" i="1"/>
  <c r="BH545" i="1"/>
  <c r="BH560" i="1" s="1"/>
  <c r="BH583" i="1"/>
  <c r="BH598" i="1" s="1"/>
  <c r="BH751" i="1"/>
  <c r="BJ177" i="1"/>
  <c r="BG228" i="1"/>
  <c r="BG250" i="1" s="1"/>
  <c r="BI583" i="1"/>
  <c r="BI598" i="1" s="1"/>
  <c r="BI1092" i="1"/>
  <c r="BH228" i="1"/>
  <c r="BH250" i="1" s="1"/>
  <c r="BE479" i="1"/>
  <c r="BE480" i="1" s="1"/>
  <c r="BF697" i="1"/>
  <c r="BF712" i="1" s="1"/>
  <c r="BJ876" i="1"/>
  <c r="BI1264" i="1"/>
  <c r="BI1267" i="1" s="1"/>
  <c r="BH712" i="1"/>
  <c r="BI228" i="1"/>
  <c r="BI250" i="1" s="1"/>
  <c r="BG697" i="1"/>
  <c r="BG712" i="1" s="1"/>
  <c r="BJ228" i="1"/>
  <c r="BJ250" i="1" s="1"/>
  <c r="BI1020" i="1"/>
  <c r="BD813" i="1"/>
  <c r="BD831" i="1"/>
  <c r="BJ1157" i="1"/>
  <c r="BJ637" i="1"/>
  <c r="BJ621" i="1"/>
  <c r="BJ636" i="1" s="1"/>
  <c r="BD162" i="1"/>
  <c r="BH479" i="1"/>
  <c r="BH480" i="1" s="1"/>
  <c r="BG24" i="1"/>
  <c r="BG29" i="1" s="1"/>
  <c r="BG39" i="1" s="1"/>
  <c r="BH388" i="1"/>
  <c r="BH407" i="1" s="1"/>
  <c r="BH425" i="1" s="1"/>
  <c r="BH426" i="1" s="1"/>
  <c r="BH431" i="1" s="1"/>
  <c r="BI479" i="1"/>
  <c r="BI480" i="1" s="1"/>
  <c r="BH524" i="1"/>
  <c r="BH912" i="1"/>
  <c r="BG984" i="1"/>
  <c r="BH1056" i="1"/>
  <c r="BD1153" i="1"/>
  <c r="BH1264" i="1"/>
  <c r="BH1267" i="1" s="1"/>
  <c r="BD1405" i="1"/>
  <c r="BG177" i="1"/>
  <c r="BG201" i="1" s="1"/>
  <c r="BI388" i="1"/>
  <c r="BG1056" i="1"/>
  <c r="BD1130" i="1"/>
  <c r="BE388" i="1"/>
  <c r="BE1128" i="1"/>
  <c r="BG545" i="1"/>
  <c r="BG560" i="1" s="1"/>
  <c r="BD342" i="1"/>
  <c r="BJ388" i="1"/>
  <c r="BD878" i="1"/>
  <c r="BD914" i="1"/>
  <c r="BF388" i="1"/>
  <c r="BF407" i="1" s="1"/>
  <c r="BF425" i="1" s="1"/>
  <c r="BF426" i="1" s="1"/>
  <c r="BF431" i="1" s="1"/>
  <c r="BF24" i="1"/>
  <c r="BF29" i="1" s="1"/>
  <c r="BF39" i="1" s="1"/>
  <c r="BG388" i="1"/>
  <c r="BI177" i="1"/>
  <c r="BF228" i="1"/>
  <c r="BF250" i="1" s="1"/>
  <c r="BF479" i="1"/>
  <c r="BF480" i="1" s="1"/>
  <c r="BF1020" i="1"/>
  <c r="BE1019" i="1"/>
  <c r="BI1309" i="1"/>
  <c r="BF1310" i="1"/>
  <c r="BI1157" i="1"/>
  <c r="BD1177" i="1"/>
  <c r="BE1310" i="1"/>
  <c r="BD1390" i="1"/>
  <c r="BD1765" i="1"/>
  <c r="BJ583" i="1"/>
  <c r="BJ598" i="1" s="1"/>
  <c r="BJ1128" i="1"/>
  <c r="BG1265" i="1"/>
  <c r="BE1309" i="1"/>
  <c r="BH1310" i="1"/>
  <c r="BD1349" i="1"/>
  <c r="BD1395" i="1"/>
  <c r="BJ984" i="1"/>
  <c r="BE1157" i="1"/>
  <c r="BF1309" i="1"/>
  <c r="BG70" i="1" s="1"/>
  <c r="BI1310" i="1"/>
  <c r="BF1157" i="1"/>
  <c r="BG1264" i="1"/>
  <c r="BG1267" i="1" s="1"/>
  <c r="BI1265" i="1"/>
  <c r="BD1321" i="1"/>
  <c r="BD1385" i="1"/>
  <c r="BI402" i="1"/>
  <c r="BI406" i="1" s="1"/>
  <c r="BI119" i="1"/>
  <c r="BI139" i="1"/>
  <c r="BI20" i="1"/>
  <c r="BG139" i="1"/>
  <c r="BG140" i="1" s="1"/>
  <c r="BE561" i="1"/>
  <c r="BE545" i="1"/>
  <c r="BD215" i="1"/>
  <c r="BE228" i="1"/>
  <c r="BE250" i="1" s="1"/>
  <c r="BD277" i="1"/>
  <c r="BF286" i="1"/>
  <c r="BD310" i="1"/>
  <c r="BF524" i="1"/>
  <c r="BF508" i="1"/>
  <c r="BH789" i="1"/>
  <c r="BH773" i="1"/>
  <c r="BH788" i="1" s="1"/>
  <c r="BD1162" i="1"/>
  <c r="BH1169" i="1"/>
  <c r="BD1169" i="1" s="1"/>
  <c r="BH286" i="1"/>
  <c r="BI286" i="1"/>
  <c r="BG406" i="1"/>
  <c r="BJ286" i="1"/>
  <c r="BD237" i="1"/>
  <c r="BD254" i="1"/>
  <c r="BE261" i="1"/>
  <c r="BH637" i="1"/>
  <c r="BH621" i="1"/>
  <c r="BH636" i="1" s="1"/>
  <c r="BJ912" i="1"/>
  <c r="BF1128" i="1"/>
  <c r="BD525" i="1"/>
  <c r="BF787" i="1"/>
  <c r="BE1092" i="1"/>
  <c r="BE508" i="1"/>
  <c r="BE948" i="1"/>
  <c r="BI561" i="1"/>
  <c r="BI545" i="1"/>
  <c r="BI560" i="1" s="1"/>
  <c r="BH673" i="1"/>
  <c r="BF751" i="1"/>
  <c r="BF735" i="1"/>
  <c r="BF750" i="1" s="1"/>
  <c r="BE912" i="1"/>
  <c r="BG508" i="1"/>
  <c r="BF897" i="1"/>
  <c r="BH509" i="1"/>
  <c r="BJ675" i="1"/>
  <c r="BJ659" i="1"/>
  <c r="BJ674" i="1" s="1"/>
  <c r="BG912" i="1"/>
  <c r="BI508" i="1"/>
  <c r="BF599" i="1"/>
  <c r="BF583" i="1"/>
  <c r="BF598" i="1" s="1"/>
  <c r="BH861" i="1"/>
  <c r="BH876" i="1" s="1"/>
  <c r="BF911" i="1"/>
  <c r="BI984" i="1"/>
  <c r="BE621" i="1"/>
  <c r="BE635" i="1"/>
  <c r="BG659" i="1"/>
  <c r="BG674" i="1" s="1"/>
  <c r="BI697" i="1"/>
  <c r="BI712" i="1" s="1"/>
  <c r="BE773" i="1"/>
  <c r="BH984" i="1"/>
  <c r="BH1127" i="1"/>
  <c r="BD1363" i="1"/>
  <c r="BJ545" i="1"/>
  <c r="BJ560" i="1" s="1"/>
  <c r="BF621" i="1"/>
  <c r="BF636" i="1" s="1"/>
  <c r="BH659" i="1"/>
  <c r="BJ697" i="1"/>
  <c r="BJ712" i="1" s="1"/>
  <c r="BF773" i="1"/>
  <c r="BF789" i="1"/>
  <c r="BG1020" i="1"/>
  <c r="BI1056" i="1"/>
  <c r="BD1342" i="1"/>
  <c r="BE583" i="1"/>
  <c r="BE599" i="1"/>
  <c r="BG621" i="1"/>
  <c r="BG636" i="1" s="1"/>
  <c r="BG637" i="1"/>
  <c r="BI659" i="1"/>
  <c r="BI674" i="1" s="1"/>
  <c r="BE735" i="1"/>
  <c r="BG773" i="1"/>
  <c r="BG788" i="1" s="1"/>
  <c r="BE983" i="1"/>
  <c r="BD1356" i="1"/>
  <c r="BG583" i="1"/>
  <c r="BG598" i="1" s="1"/>
  <c r="BI621" i="1"/>
  <c r="BI636" i="1" s="1"/>
  <c r="BE697" i="1"/>
  <c r="BG735" i="1"/>
  <c r="BG750" i="1" s="1"/>
  <c r="BI773" i="1"/>
  <c r="BI788" i="1" s="1"/>
  <c r="BJ1092" i="1"/>
  <c r="BG1128" i="1"/>
  <c r="BF545" i="1"/>
  <c r="BF560" i="1" s="1"/>
  <c r="BE969" i="1"/>
  <c r="BE1056" i="1"/>
  <c r="BD1370" i="1"/>
  <c r="BI1128" i="1"/>
  <c r="BD986" i="1"/>
  <c r="BD1742" i="1"/>
  <c r="BD1551" i="1"/>
  <c r="BD1737" i="1"/>
  <c r="BD2032" i="1"/>
  <c r="BD1156" i="1"/>
  <c r="BD1400" i="1"/>
  <c r="BD1977" i="1"/>
  <c r="BD1094" i="1"/>
  <c r="BD1410" i="1"/>
  <c r="BD1735" i="1"/>
  <c r="BF1266" i="1" l="1"/>
  <c r="BH143" i="1"/>
  <c r="BH145" i="1" s="1"/>
  <c r="BG143" i="1"/>
  <c r="BG145" i="1" s="1"/>
  <c r="BG1311" i="1"/>
  <c r="BE1266" i="1"/>
  <c r="BF1267" i="1"/>
  <c r="BH1311" i="1"/>
  <c r="BI407" i="1"/>
  <c r="BI425" i="1" s="1"/>
  <c r="BI426" i="1" s="1"/>
  <c r="BI431" i="1" s="1"/>
  <c r="BH1266" i="1"/>
  <c r="BE1311" i="1"/>
  <c r="BJ523" i="1"/>
  <c r="BJ796" i="1" s="1"/>
  <c r="BI1266" i="1"/>
  <c r="BJ1136" i="1"/>
  <c r="BI1311" i="1"/>
  <c r="BF1311" i="1"/>
  <c r="BE1020" i="1"/>
  <c r="BG407" i="1"/>
  <c r="BG425" i="1" s="1"/>
  <c r="BG426" i="1" s="1"/>
  <c r="BG431" i="1" s="1"/>
  <c r="BI1136" i="1"/>
  <c r="BG1136" i="1"/>
  <c r="BG1266" i="1"/>
  <c r="BE712" i="1"/>
  <c r="BH1128" i="1"/>
  <c r="BE788" i="1"/>
  <c r="BG479" i="1"/>
  <c r="BG480" i="1" s="1"/>
  <c r="BD480" i="1" s="1"/>
  <c r="S480" i="1" s="1"/>
  <c r="BI187" i="1"/>
  <c r="BD179" i="1"/>
  <c r="S179" i="1" s="1"/>
  <c r="BI523" i="1"/>
  <c r="BI796" i="1" s="1"/>
  <c r="BI509" i="1"/>
  <c r="BF912" i="1"/>
  <c r="BF1136" i="1" s="1"/>
  <c r="BF788" i="1"/>
  <c r="BE523" i="1"/>
  <c r="BE509" i="1"/>
  <c r="BE560" i="1"/>
  <c r="BI140" i="1"/>
  <c r="BG523" i="1"/>
  <c r="BG796" i="1" s="1"/>
  <c r="BG509" i="1"/>
  <c r="BE270" i="1"/>
  <c r="BD261" i="1"/>
  <c r="BE984" i="1"/>
  <c r="BF523" i="1"/>
  <c r="BF509" i="1"/>
  <c r="BE598" i="1"/>
  <c r="BH674" i="1"/>
  <c r="BH796" i="1" s="1"/>
  <c r="BE636" i="1"/>
  <c r="BE750" i="1"/>
  <c r="BI24" i="1"/>
  <c r="BI29" i="1" s="1"/>
  <c r="BI39" i="1" s="1"/>
  <c r="BD139" i="1" l="1"/>
  <c r="BI143" i="1"/>
  <c r="BI145" i="1" s="1"/>
  <c r="BF796" i="1"/>
  <c r="BH1136" i="1"/>
  <c r="BD270" i="1"/>
  <c r="BE286" i="1"/>
  <c r="BD286" i="1" s="1"/>
  <c r="BI201" i="1"/>
  <c r="BD187" i="1"/>
  <c r="BE796" i="1"/>
  <c r="BI92" i="1"/>
  <c r="BE1136" i="1"/>
  <c r="BI59" i="1" l="1"/>
  <c r="BI61" i="1" s="1"/>
  <c r="BI72" i="1" s="1"/>
  <c r="BI85" i="1" s="1"/>
  <c r="D78" i="12" l="1"/>
  <c r="C78" i="12"/>
  <c r="D24" i="12" l="1"/>
  <c r="V2119" i="1" l="1"/>
  <c r="U2119" i="1"/>
  <c r="CM2119" i="1" l="1"/>
  <c r="CP2119" i="1" s="1"/>
  <c r="T2119" i="1"/>
  <c r="T2118" i="1"/>
  <c r="S2118" i="1"/>
  <c r="T2117" i="1"/>
  <c r="S2117" i="1"/>
  <c r="T2116" i="1"/>
  <c r="S2116" i="1"/>
  <c r="T2115" i="1"/>
  <c r="S2115" i="1"/>
  <c r="S2114" i="1"/>
  <c r="T2113" i="1"/>
  <c r="S2113" i="1"/>
  <c r="T2111" i="1"/>
  <c r="S2111" i="1"/>
  <c r="T2110" i="1"/>
  <c r="N2110" i="1" s="1"/>
  <c r="C60" i="12" s="1"/>
  <c r="T2109" i="1"/>
  <c r="N2109" i="1" s="1"/>
  <c r="T2108" i="1"/>
  <c r="N2108" i="1" s="1"/>
  <c r="C58" i="12" s="1"/>
  <c r="T2107" i="1"/>
  <c r="N2107" i="1" s="1"/>
  <c r="C57" i="12" s="1"/>
  <c r="T2106" i="1"/>
  <c r="N2106" i="1" s="1"/>
  <c r="C56" i="12" s="1"/>
  <c r="T2105" i="1"/>
  <c r="N2105" i="1" s="1"/>
  <c r="C55" i="12" s="1"/>
  <c r="T2103" i="1"/>
  <c r="N2103" i="1" s="1"/>
  <c r="C53" i="12" s="1"/>
  <c r="T2102" i="1"/>
  <c r="N2102" i="1" s="1"/>
  <c r="C52" i="12" s="1"/>
  <c r="T2101" i="1"/>
  <c r="N2101" i="1" s="1"/>
  <c r="C51" i="12" s="1"/>
  <c r="T2100" i="1"/>
  <c r="N2100" i="1" s="1"/>
  <c r="C50" i="12" s="1"/>
  <c r="T2099" i="1"/>
  <c r="N2099" i="1" s="1"/>
  <c r="C49" i="12" s="1"/>
  <c r="T2098" i="1"/>
  <c r="N2098" i="1" s="1"/>
  <c r="C48" i="12" s="1"/>
  <c r="C59" i="12" l="1"/>
  <c r="N2116" i="1"/>
  <c r="N2111" i="1"/>
  <c r="C61" i="12" s="1"/>
  <c r="N2113" i="1"/>
  <c r="N2115" i="1"/>
  <c r="N2118" i="1"/>
  <c r="N2119" i="1"/>
  <c r="N2117" i="1"/>
  <c r="T2114" i="1"/>
  <c r="N2114" i="1" s="1"/>
  <c r="C63" i="12" l="1"/>
  <c r="A1" i="120"/>
  <c r="B1" i="12"/>
  <c r="B1" i="50"/>
  <c r="A1" i="53"/>
  <c r="G5" i="120" l="1"/>
  <c r="F6" i="26"/>
  <c r="B5" i="120"/>
  <c r="D6" i="50"/>
  <c r="H6" i="50"/>
  <c r="F10" i="49"/>
  <c r="C10" i="49"/>
  <c r="G28" i="41"/>
  <c r="D28" i="41"/>
  <c r="G11" i="41"/>
  <c r="D11" i="41"/>
  <c r="F55" i="40"/>
  <c r="C55" i="40"/>
  <c r="F48" i="40"/>
  <c r="C48" i="40"/>
  <c r="F31" i="40"/>
  <c r="C31" i="40"/>
  <c r="F17" i="40"/>
  <c r="F43" i="39"/>
  <c r="C43" i="39"/>
  <c r="G16" i="49"/>
  <c r="F16" i="49"/>
  <c r="H12" i="41"/>
  <c r="G12" i="41"/>
  <c r="D11" i="49"/>
  <c r="C11" i="49"/>
  <c r="G10" i="49"/>
  <c r="D10" i="49"/>
  <c r="G34" i="41"/>
  <c r="E29" i="41"/>
  <c r="D29" i="41"/>
  <c r="H28" i="41"/>
  <c r="E28" i="41"/>
  <c r="G17" i="41"/>
  <c r="H11" i="41"/>
  <c r="E12" i="41"/>
  <c r="D12" i="41"/>
  <c r="E11" i="41"/>
  <c r="T1734" i="1"/>
  <c r="C51" i="40" s="1"/>
  <c r="T1743" i="1"/>
  <c r="N1743" i="1" s="1"/>
  <c r="D53" i="40" s="1"/>
  <c r="F70" i="40"/>
  <c r="F61" i="40"/>
  <c r="F63" i="40" s="1"/>
  <c r="G49" i="40"/>
  <c r="F49" i="40"/>
  <c r="D49" i="40"/>
  <c r="C49" i="40"/>
  <c r="G48" i="40"/>
  <c r="D48" i="40"/>
  <c r="F56" i="40"/>
  <c r="C56" i="40"/>
  <c r="G18" i="40"/>
  <c r="F18" i="40"/>
  <c r="D18" i="40"/>
  <c r="C18" i="40"/>
  <c r="G17" i="40"/>
  <c r="D17" i="40"/>
  <c r="F37" i="40"/>
  <c r="F32" i="40"/>
  <c r="C32" i="40"/>
  <c r="G31" i="40"/>
  <c r="D31" i="40"/>
  <c r="F58" i="39"/>
  <c r="F60" i="39" s="1"/>
  <c r="F50" i="39"/>
  <c r="F52" i="39" s="1"/>
  <c r="F61" i="39" s="1"/>
  <c r="D43" i="39"/>
  <c r="F44" i="39"/>
  <c r="C44" i="39"/>
  <c r="D44" i="39"/>
  <c r="C53" i="40" l="1"/>
  <c r="F71" i="40"/>
  <c r="D1402" i="1" l="1"/>
  <c r="H19" i="61" l="1"/>
  <c r="D9" i="61" s="1"/>
  <c r="B9" i="61" s="1"/>
  <c r="H21" i="61" l="1"/>
  <c r="I14" i="34" l="1"/>
  <c r="G14" i="34"/>
  <c r="H110" i="138" s="1"/>
  <c r="O83" i="1" l="1"/>
  <c r="P83" i="1"/>
  <c r="Q83" i="1"/>
  <c r="R83" i="1"/>
  <c r="V83" i="1"/>
  <c r="AM69" i="6" l="1"/>
  <c r="AL69" i="6"/>
  <c r="AK69" i="6"/>
  <c r="AJ69" i="6"/>
  <c r="AI69" i="6"/>
  <c r="AH69" i="6"/>
  <c r="AG69" i="6"/>
  <c r="AF69" i="6"/>
  <c r="AE69" i="6"/>
  <c r="AD69" i="6"/>
  <c r="AC69" i="6"/>
  <c r="AB69" i="6"/>
  <c r="AA69" i="6"/>
  <c r="Z69" i="6"/>
  <c r="Y69" i="6"/>
  <c r="X69" i="6"/>
  <c r="W69" i="6"/>
  <c r="V69" i="6"/>
  <c r="U69" i="6"/>
  <c r="T69" i="6"/>
  <c r="S69" i="6"/>
  <c r="R69" i="6"/>
  <c r="Q69" i="6"/>
  <c r="P69" i="6"/>
  <c r="N69" i="6"/>
  <c r="J69" i="6"/>
  <c r="I69" i="6"/>
  <c r="H69" i="6"/>
  <c r="G69" i="6"/>
  <c r="AM10" i="6"/>
  <c r="AL10" i="6"/>
  <c r="AK10" i="6"/>
  <c r="AJ10" i="6"/>
  <c r="AG10" i="6"/>
  <c r="AE10" i="6"/>
  <c r="AD10" i="6"/>
  <c r="AC10" i="6"/>
  <c r="AA10" i="6"/>
  <c r="Z10" i="6"/>
  <c r="Y10" i="6"/>
  <c r="X10" i="6"/>
  <c r="W10" i="6"/>
  <c r="V10" i="6"/>
  <c r="U10" i="6"/>
  <c r="T10" i="6"/>
  <c r="S10" i="6"/>
  <c r="R10" i="6"/>
  <c r="Q10" i="6"/>
  <c r="P10" i="6"/>
  <c r="N10" i="6"/>
  <c r="J10" i="6"/>
  <c r="I10" i="6"/>
  <c r="H10" i="6"/>
  <c r="G10" i="6"/>
  <c r="AB10" i="6"/>
  <c r="AM145" i="6" l="1"/>
  <c r="AM144" i="6"/>
  <c r="AM139" i="6"/>
  <c r="AM81" i="6"/>
  <c r="AM80" i="6"/>
  <c r="AM71" i="6"/>
  <c r="AM68" i="6"/>
  <c r="AM33" i="6"/>
  <c r="AM30" i="6"/>
  <c r="AM29" i="6"/>
  <c r="AM18" i="6"/>
  <c r="AM17" i="6"/>
  <c r="AM16" i="6" s="1"/>
  <c r="AM7" i="6"/>
  <c r="AL145" i="6"/>
  <c r="AL144" i="6"/>
  <c r="AL139" i="6"/>
  <c r="AL81" i="6"/>
  <c r="AL80" i="6"/>
  <c r="AL71" i="6"/>
  <c r="AL68" i="6"/>
  <c r="AL33" i="6"/>
  <c r="AL30" i="6"/>
  <c r="AL29" i="6"/>
  <c r="AL18" i="6"/>
  <c r="AL17" i="6"/>
  <c r="AL16" i="6" s="1"/>
  <c r="AL7" i="6"/>
  <c r="AK145" i="6"/>
  <c r="AK144" i="6"/>
  <c r="AK139" i="6"/>
  <c r="AK81" i="6"/>
  <c r="AK80" i="6"/>
  <c r="AK71" i="6"/>
  <c r="AK68" i="6"/>
  <c r="AK33" i="6"/>
  <c r="AK30" i="6"/>
  <c r="AK29" i="6"/>
  <c r="AK18" i="6"/>
  <c r="AK17" i="6"/>
  <c r="AK16" i="6" s="1"/>
  <c r="AK7" i="6"/>
  <c r="AJ145" i="6"/>
  <c r="AJ144" i="6"/>
  <c r="AJ139" i="6"/>
  <c r="AJ81" i="6"/>
  <c r="AJ80" i="6"/>
  <c r="AJ71" i="6"/>
  <c r="AJ68" i="6"/>
  <c r="AJ33" i="6"/>
  <c r="AJ30" i="6"/>
  <c r="AJ29" i="6"/>
  <c r="AJ18" i="6"/>
  <c r="AJ17" i="6"/>
  <c r="AJ16" i="6" s="1"/>
  <c r="AJ7" i="6"/>
  <c r="AJ82" i="6" l="1"/>
  <c r="AM146" i="6"/>
  <c r="AK146" i="6"/>
  <c r="AM82" i="6"/>
  <c r="AL82" i="6"/>
  <c r="AL146" i="6"/>
  <c r="AK82" i="6"/>
  <c r="AJ146" i="6"/>
  <c r="AL140" i="6"/>
  <c r="AJ140" i="6"/>
  <c r="AK140" i="6"/>
  <c r="AM140" i="6"/>
  <c r="AG145" i="6" l="1"/>
  <c r="AF145" i="6"/>
  <c r="AE145" i="6"/>
  <c r="AD145" i="6"/>
  <c r="AC145" i="6"/>
  <c r="AB145" i="6"/>
  <c r="AA145" i="6"/>
  <c r="Z145" i="6"/>
  <c r="Y145" i="6"/>
  <c r="X145" i="6"/>
  <c r="W145" i="6"/>
  <c r="V145" i="6"/>
  <c r="U145" i="6"/>
  <c r="T145" i="6"/>
  <c r="S145" i="6"/>
  <c r="R145" i="6"/>
  <c r="Q145" i="6"/>
  <c r="P145" i="6"/>
  <c r="O145" i="6"/>
  <c r="N145" i="6"/>
  <c r="M145" i="6"/>
  <c r="J145" i="6"/>
  <c r="I145" i="6"/>
  <c r="H145" i="6"/>
  <c r="G145" i="6"/>
  <c r="AG144" i="6"/>
  <c r="AF144" i="6"/>
  <c r="AE144" i="6"/>
  <c r="AD144" i="6"/>
  <c r="AC144" i="6"/>
  <c r="AB144" i="6"/>
  <c r="AA144" i="6"/>
  <c r="Z144" i="6"/>
  <c r="Y144" i="6"/>
  <c r="X144" i="6"/>
  <c r="W144" i="6"/>
  <c r="V144" i="6"/>
  <c r="U144" i="6"/>
  <c r="T144" i="6"/>
  <c r="S144" i="6"/>
  <c r="R144" i="6"/>
  <c r="Q144" i="6"/>
  <c r="P144" i="6"/>
  <c r="O144" i="6"/>
  <c r="N144" i="6"/>
  <c r="M144" i="6"/>
  <c r="J144" i="6"/>
  <c r="I144" i="6"/>
  <c r="H144" i="6"/>
  <c r="G144" i="6"/>
  <c r="E59" i="12" l="1"/>
  <c r="E63" i="12" s="1"/>
  <c r="I8" i="12"/>
  <c r="C8" i="12"/>
  <c r="F44" i="12" s="1"/>
  <c r="E77" i="12" l="1"/>
  <c r="E1364" i="1" l="1"/>
  <c r="E1357" i="1"/>
  <c r="E1343" i="1"/>
  <c r="E1336" i="1"/>
  <c r="E1329" i="1"/>
  <c r="E1322" i="1"/>
  <c r="G1322" i="1" s="1"/>
  <c r="E1315" i="1"/>
  <c r="AG146" i="6"/>
  <c r="AF146" i="6"/>
  <c r="AE146" i="6"/>
  <c r="AD146" i="6"/>
  <c r="AC146" i="6"/>
  <c r="AB146" i="6"/>
  <c r="AA146" i="6"/>
  <c r="Z146" i="6"/>
  <c r="Y146" i="6"/>
  <c r="X146" i="6"/>
  <c r="W146" i="6"/>
  <c r="V146" i="6"/>
  <c r="U146" i="6"/>
  <c r="T146" i="6"/>
  <c r="S146" i="6"/>
  <c r="R146" i="6"/>
  <c r="Q146" i="6"/>
  <c r="P146" i="6"/>
  <c r="O146" i="6"/>
  <c r="N146" i="6"/>
  <c r="M146" i="6"/>
  <c r="J146" i="6"/>
  <c r="I146" i="6"/>
  <c r="H146" i="6"/>
  <c r="G146" i="6"/>
  <c r="K2032" i="1"/>
  <c r="K2019" i="1"/>
  <c r="F26" i="68"/>
  <c r="E26" i="68"/>
  <c r="K2034" i="1" s="1"/>
  <c r="D26" i="68"/>
  <c r="K2027" i="1"/>
  <c r="K2026" i="1"/>
  <c r="K2025" i="1"/>
  <c r="K2024" i="1"/>
  <c r="K2023" i="1"/>
  <c r="K2022" i="1"/>
  <c r="K2021" i="1"/>
  <c r="K2020" i="1"/>
  <c r="K2005" i="1"/>
  <c r="C11" i="109" l="1"/>
  <c r="B11" i="109"/>
  <c r="C1761" i="1"/>
  <c r="V843" i="1"/>
  <c r="U843" i="1"/>
  <c r="V610" i="1"/>
  <c r="V621" i="1" s="1"/>
  <c r="V572" i="1"/>
  <c r="V583" i="1" s="1"/>
  <c r="T642" i="1"/>
  <c r="T825" i="1"/>
  <c r="T824" i="1"/>
  <c r="I18" i="136" s="1"/>
  <c r="T823" i="1"/>
  <c r="I17" i="136" s="1"/>
  <c r="T822" i="1"/>
  <c r="T821" i="1"/>
  <c r="T820" i="1"/>
  <c r="I14" i="136" s="1"/>
  <c r="CP843" i="1" l="1"/>
  <c r="I15" i="136"/>
  <c r="I20" i="136" s="1"/>
  <c r="J18" i="136"/>
  <c r="F46" i="68"/>
  <c r="F57" i="68" s="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59" i="1"/>
  <c r="C158" i="1"/>
  <c r="C157" i="1"/>
  <c r="C156" i="1"/>
  <c r="C155" i="1"/>
  <c r="C154" i="1"/>
  <c r="C153" i="1"/>
  <c r="C152" i="1"/>
  <c r="C151" i="1"/>
  <c r="C150" i="1"/>
  <c r="C149" i="1"/>
  <c r="C148" i="1"/>
  <c r="C146" i="1"/>
  <c r="C145" i="1"/>
  <c r="C144" i="1"/>
  <c r="C143" i="1"/>
  <c r="C142" i="1"/>
  <c r="C141" i="1"/>
  <c r="C140" i="1"/>
  <c r="C139" i="1"/>
  <c r="C138"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7" i="1"/>
  <c r="C96" i="1"/>
  <c r="C95"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3" i="1"/>
  <c r="C42" i="1"/>
  <c r="M18" i="136" l="1"/>
  <c r="J20" i="136"/>
  <c r="J22" i="136" s="1"/>
  <c r="J53" i="53"/>
  <c r="G51" i="53"/>
  <c r="D51" i="53"/>
  <c r="J49" i="53"/>
  <c r="J48" i="53"/>
  <c r="J47" i="53"/>
  <c r="J46" i="53"/>
  <c r="J45" i="53"/>
  <c r="J44" i="53"/>
  <c r="J43" i="53"/>
  <c r="J42" i="53"/>
  <c r="J41" i="53"/>
  <c r="J40" i="53"/>
  <c r="D38" i="53"/>
  <c r="G38" i="53" s="1"/>
  <c r="C38" i="53"/>
  <c r="F38" i="53" s="1"/>
  <c r="I26" i="50"/>
  <c r="J26" i="50" s="1"/>
  <c r="J46" i="50"/>
  <c r="J8" i="50"/>
  <c r="J16" i="50" s="1"/>
  <c r="H8" i="50"/>
  <c r="H16" i="50" s="1"/>
  <c r="F37" i="50"/>
  <c r="F46" i="50" s="1"/>
  <c r="H20" i="120"/>
  <c r="G20" i="120"/>
  <c r="E20" i="120"/>
  <c r="D20" i="120"/>
  <c r="G1844" i="1"/>
  <c r="T1874" i="1"/>
  <c r="N1874" i="1" s="1"/>
  <c r="T1873" i="1"/>
  <c r="N1873" i="1" s="1"/>
  <c r="T1872" i="1"/>
  <c r="N1872" i="1" s="1"/>
  <c r="T1871" i="1"/>
  <c r="T1870" i="1"/>
  <c r="T1869" i="1"/>
  <c r="T1867" i="1"/>
  <c r="T1866" i="1"/>
  <c r="D60" i="12" s="1"/>
  <c r="F60" i="12" s="1"/>
  <c r="T1864" i="1"/>
  <c r="T1863" i="1"/>
  <c r="T1862" i="1"/>
  <c r="T1861" i="1"/>
  <c r="T1859" i="1"/>
  <c r="T1857" i="1"/>
  <c r="T1856" i="1"/>
  <c r="T1855" i="1"/>
  <c r="T1854" i="1"/>
  <c r="D48" i="12" s="1"/>
  <c r="T1844" i="1"/>
  <c r="C42" i="73"/>
  <c r="C46" i="73" s="1"/>
  <c r="C1833" i="1"/>
  <c r="C1834" i="1" s="1"/>
  <c r="C1835" i="1" s="1"/>
  <c r="C1836" i="1" s="1"/>
  <c r="C1837" i="1" s="1"/>
  <c r="C1838" i="1" s="1"/>
  <c r="L84" i="135" l="1"/>
  <c r="M20" i="136"/>
  <c r="C1839" i="1"/>
  <c r="C1840" i="1" s="1"/>
  <c r="C1841" i="1" s="1"/>
  <c r="C1842" i="1" s="1"/>
  <c r="C1843" i="1" s="1"/>
  <c r="C1844" i="1" s="1"/>
  <c r="C1845" i="1" s="1"/>
  <c r="C1846" i="1"/>
  <c r="D49" i="12"/>
  <c r="F49" i="12" s="1"/>
  <c r="D50" i="12"/>
  <c r="F50" i="12" s="1"/>
  <c r="D53" i="12"/>
  <c r="F53" i="12" s="1"/>
  <c r="D55" i="12"/>
  <c r="F55" i="12" s="1"/>
  <c r="D58" i="12"/>
  <c r="F58" i="12" s="1"/>
  <c r="D51" i="12"/>
  <c r="F51" i="12" s="1"/>
  <c r="D56" i="12"/>
  <c r="F56" i="12" s="1"/>
  <c r="D57" i="12"/>
  <c r="F57" i="12" s="1"/>
  <c r="F48" i="12"/>
  <c r="L145" i="6"/>
  <c r="J51" i="53"/>
  <c r="I38" i="53"/>
  <c r="J38" i="53"/>
  <c r="K2037" i="1"/>
  <c r="S2037" i="1"/>
  <c r="T2037" i="1"/>
  <c r="W120" i="50"/>
  <c r="V120" i="50"/>
  <c r="U120" i="50"/>
  <c r="T120" i="50"/>
  <c r="S120" i="50"/>
  <c r="R120" i="50"/>
  <c r="Q120" i="50"/>
  <c r="P120" i="50"/>
  <c r="O120" i="50"/>
  <c r="N120" i="50"/>
  <c r="M120" i="50"/>
  <c r="L120" i="50"/>
  <c r="K120" i="50"/>
  <c r="J120" i="50"/>
  <c r="I120" i="50"/>
  <c r="H120" i="50"/>
  <c r="G120" i="50"/>
  <c r="F120" i="50"/>
  <c r="W121" i="50"/>
  <c r="V121" i="50"/>
  <c r="U121" i="50"/>
  <c r="T121" i="50"/>
  <c r="S121" i="50"/>
  <c r="R121" i="50"/>
  <c r="Q121" i="50"/>
  <c r="P121" i="50"/>
  <c r="O121" i="50"/>
  <c r="N121" i="50"/>
  <c r="M121" i="50"/>
  <c r="L121" i="50"/>
  <c r="K121" i="50"/>
  <c r="J121" i="50"/>
  <c r="I121" i="50"/>
  <c r="H121" i="50"/>
  <c r="G121" i="50"/>
  <c r="F121" i="50"/>
  <c r="K2038" i="1"/>
  <c r="T2038" i="1"/>
  <c r="S2038" i="1"/>
  <c r="K2011" i="1"/>
  <c r="K2010" i="1"/>
  <c r="K2009" i="1"/>
  <c r="K2008" i="1"/>
  <c r="K2007" i="1"/>
  <c r="D60" i="73"/>
  <c r="E27" i="73"/>
  <c r="D27" i="73"/>
  <c r="E8" i="73"/>
  <c r="D8" i="73"/>
  <c r="C1853" i="1" l="1"/>
  <c r="C1854" i="1" s="1"/>
  <c r="C1855" i="1" s="1"/>
  <c r="C1856" i="1" s="1"/>
  <c r="C1857" i="1" s="1"/>
  <c r="C1858" i="1" s="1"/>
  <c r="C1859" i="1" s="1"/>
  <c r="C1847" i="1"/>
  <c r="C1848" i="1" s="1"/>
  <c r="C1849" i="1" s="1"/>
  <c r="C1850" i="1" s="1"/>
  <c r="C1851" i="1" s="1"/>
  <c r="C1852" i="1" s="1"/>
  <c r="C79" i="12"/>
  <c r="N2038" i="1"/>
  <c r="C1861" i="1" l="1"/>
  <c r="C1862" i="1" s="1"/>
  <c r="C1863" i="1" s="1"/>
  <c r="C1864" i="1" s="1"/>
  <c r="C1865" i="1" s="1"/>
  <c r="C1866" i="1" s="1"/>
  <c r="C1867" i="1" s="1"/>
  <c r="C1868" i="1" s="1"/>
  <c r="C1869" i="1" s="1"/>
  <c r="C1870" i="1" s="1"/>
  <c r="C1871" i="1" s="1"/>
  <c r="C1872" i="1" s="1"/>
  <c r="C1873" i="1" s="1"/>
  <c r="C1874" i="1" s="1"/>
  <c r="C2098" i="1" s="1"/>
  <c r="C2099" i="1" s="1"/>
  <c r="C2100" i="1" s="1"/>
  <c r="C2101" i="1" s="1"/>
  <c r="C2102" i="1" s="1"/>
  <c r="C2103" i="1" s="1"/>
  <c r="C2105" i="1" s="1"/>
  <c r="C2106" i="1" s="1"/>
  <c r="C2107" i="1" s="1"/>
  <c r="C2108" i="1" s="1"/>
  <c r="C2109" i="1" s="1"/>
  <c r="C2110" i="1" s="1"/>
  <c r="C2111" i="1" s="1"/>
  <c r="C2113" i="1" s="1"/>
  <c r="C2114" i="1" s="1"/>
  <c r="C2115" i="1" s="1"/>
  <c r="C2116" i="1" s="1"/>
  <c r="C2117" i="1" s="1"/>
  <c r="C2118" i="1" s="1"/>
  <c r="C2119" i="1" s="1"/>
  <c r="C1860" i="1"/>
  <c r="K1761" i="1"/>
  <c r="S1761" i="1"/>
  <c r="K1750" i="1"/>
  <c r="S1750" i="1"/>
  <c r="T1750" i="1"/>
  <c r="C58" i="104"/>
  <c r="B58" i="104"/>
  <c r="C47" i="104"/>
  <c r="B47" i="104"/>
  <c r="C40" i="104"/>
  <c r="B40" i="104"/>
  <c r="C26" i="104"/>
  <c r="B26" i="104"/>
  <c r="C21" i="104"/>
  <c r="B21" i="104"/>
  <c r="C8" i="104"/>
  <c r="B8" i="104"/>
  <c r="T1727" i="1"/>
  <c r="C9" i="106"/>
  <c r="B9" i="106"/>
  <c r="H8" i="117"/>
  <c r="H24" i="117" s="1"/>
  <c r="C9" i="93"/>
  <c r="B9" i="93"/>
  <c r="B33" i="93"/>
  <c r="C37" i="75" s="1"/>
  <c r="B36" i="93"/>
  <c r="C38" i="75" s="1"/>
  <c r="B47" i="93"/>
  <c r="C53" i="75" s="1"/>
  <c r="C31" i="77"/>
  <c r="C176" i="71" s="1"/>
  <c r="C177" i="71" s="1"/>
  <c r="C32" i="77"/>
  <c r="C33" i="77"/>
  <c r="C36" i="75"/>
  <c r="C47" i="93"/>
  <c r="C36" i="93"/>
  <c r="C33" i="93"/>
  <c r="C25" i="77"/>
  <c r="C7" i="92"/>
  <c r="B7" i="92"/>
  <c r="C35" i="92"/>
  <c r="C31" i="92"/>
  <c r="C25" i="92"/>
  <c r="C41" i="92" s="1"/>
  <c r="C22" i="92"/>
  <c r="C16" i="92"/>
  <c r="B35" i="92"/>
  <c r="B31" i="92"/>
  <c r="B25" i="92"/>
  <c r="B41" i="92" s="1"/>
  <c r="B22" i="92"/>
  <c r="B16" i="92"/>
  <c r="C8" i="89"/>
  <c r="B8" i="89"/>
  <c r="C7" i="88"/>
  <c r="B7" i="88"/>
  <c r="D6" i="79"/>
  <c r="C6" i="79"/>
  <c r="D12" i="77"/>
  <c r="C12" i="77"/>
  <c r="D8" i="75"/>
  <c r="C8" i="75"/>
  <c r="C10" i="74"/>
  <c r="D10" i="74"/>
  <c r="C35" i="74"/>
  <c r="D35" i="74"/>
  <c r="D26" i="74"/>
  <c r="D177" i="71" l="1"/>
  <c r="C179" i="71"/>
  <c r="D187" i="71" s="1"/>
  <c r="B37" i="92"/>
  <c r="C2104" i="1"/>
  <c r="N1727" i="1"/>
  <c r="C39" i="92"/>
  <c r="B39" i="92"/>
  <c r="C37" i="92"/>
  <c r="C43" i="92" l="1"/>
  <c r="B43" i="92"/>
  <c r="C19" i="77" s="1"/>
  <c r="E32" i="96"/>
  <c r="E33" i="96"/>
  <c r="E18" i="119"/>
  <c r="D18" i="119"/>
  <c r="S2006" i="1" l="1"/>
  <c r="N2006" i="1" s="1"/>
  <c r="S2005" i="1"/>
  <c r="T2005" i="1"/>
  <c r="S2004" i="1"/>
  <c r="T2004" i="1"/>
  <c r="E46" i="68"/>
  <c r="E57" i="68" s="1"/>
  <c r="E26" i="50"/>
  <c r="F26" i="50" s="1"/>
  <c r="F8" i="50"/>
  <c r="F16" i="50" s="1"/>
  <c r="D8" i="50"/>
  <c r="D16" i="50" s="1"/>
  <c r="G25" i="120"/>
  <c r="D25" i="120"/>
  <c r="A17" i="120"/>
  <c r="A16" i="120"/>
  <c r="A8" i="120"/>
  <c r="A5" i="120"/>
  <c r="C1876" i="1"/>
  <c r="C1877" i="1" s="1"/>
  <c r="C1878" i="1" s="1"/>
  <c r="C1879" i="1" s="1"/>
  <c r="C1880" i="1" s="1"/>
  <c r="C1881" i="1" s="1"/>
  <c r="C1882" i="1" s="1"/>
  <c r="C1883" i="1" s="1"/>
  <c r="C1884" i="1" s="1"/>
  <c r="C1885" i="1" s="1"/>
  <c r="C1886" i="1" s="1"/>
  <c r="C1887" i="1" s="1"/>
  <c r="C1888" i="1" s="1"/>
  <c r="C1889" i="1" s="1"/>
  <c r="S1936" i="1"/>
  <c r="S1935" i="1"/>
  <c r="S1934" i="1"/>
  <c r="S1933" i="1"/>
  <c r="S1932" i="1"/>
  <c r="S1931" i="1"/>
  <c r="S1930" i="1"/>
  <c r="S1929" i="1"/>
  <c r="S1928" i="1"/>
  <c r="S1927" i="1"/>
  <c r="S1926" i="1"/>
  <c r="S1925" i="1"/>
  <c r="S1924" i="1"/>
  <c r="S1923" i="1"/>
  <c r="S1922" i="1"/>
  <c r="S1921" i="1"/>
  <c r="S1920" i="1"/>
  <c r="S1919" i="1"/>
  <c r="E24" i="119"/>
  <c r="D24" i="119"/>
  <c r="A6" i="119"/>
  <c r="A15" i="119"/>
  <c r="A14" i="119"/>
  <c r="K1886" i="1"/>
  <c r="K1883" i="1"/>
  <c r="K1882" i="1"/>
  <c r="A3" i="119"/>
  <c r="D7" i="119"/>
  <c r="D8" i="119"/>
  <c r="D9" i="119"/>
  <c r="B10" i="119"/>
  <c r="C10" i="119"/>
  <c r="D14" i="119"/>
  <c r="K1888" i="1" s="1"/>
  <c r="D15" i="119"/>
  <c r="E15" i="119" s="1"/>
  <c r="K1889" i="1" s="1"/>
  <c r="A3" i="70"/>
  <c r="A1" i="119"/>
  <c r="M42" i="27"/>
  <c r="S436" i="1"/>
  <c r="N436" i="1" s="1"/>
  <c r="S435" i="1"/>
  <c r="N435" i="1" s="1"/>
  <c r="S434" i="1"/>
  <c r="N434" i="1" s="1"/>
  <c r="S433" i="1"/>
  <c r="N433" i="1" s="1"/>
  <c r="T436" i="1"/>
  <c r="T435" i="1"/>
  <c r="T434" i="1"/>
  <c r="T433" i="1"/>
  <c r="K433" i="1"/>
  <c r="K1891" i="1" l="1"/>
  <c r="K1901" i="1"/>
  <c r="K1905" i="1"/>
  <c r="K1902" i="1"/>
  <c r="K1903" i="1"/>
  <c r="K1899" i="1"/>
  <c r="K1900" i="1"/>
  <c r="K1904" i="1"/>
  <c r="K1893" i="1"/>
  <c r="K1894" i="1"/>
  <c r="K1895" i="1"/>
  <c r="K1945" i="1"/>
  <c r="K1946" i="1"/>
  <c r="K1947" i="1"/>
  <c r="K1948" i="1"/>
  <c r="K1949" i="1"/>
  <c r="K1950" i="1"/>
  <c r="K1951" i="1"/>
  <c r="K1952" i="1"/>
  <c r="K1953" i="1"/>
  <c r="K1954" i="1"/>
  <c r="K1955" i="1"/>
  <c r="K1956" i="1"/>
  <c r="K1957" i="1"/>
  <c r="K1958" i="1"/>
  <c r="K1959" i="1"/>
  <c r="K1960" i="1"/>
  <c r="K1961" i="1"/>
  <c r="K1962" i="1"/>
  <c r="K1909" i="1"/>
  <c r="K1907" i="1"/>
  <c r="K1908" i="1"/>
  <c r="K1917" i="1"/>
  <c r="K1915" i="1"/>
  <c r="K1911" i="1"/>
  <c r="K1912" i="1"/>
  <c r="K1910" i="1"/>
  <c r="K1913" i="1"/>
  <c r="K1914" i="1"/>
  <c r="K1916" i="1"/>
  <c r="K1943" i="1"/>
  <c r="K1890" i="1"/>
  <c r="E14" i="119"/>
  <c r="K1885" i="1" s="1"/>
  <c r="C1890" i="1"/>
  <c r="K1877" i="1"/>
  <c r="K1881" i="1"/>
  <c r="K1897" i="1"/>
  <c r="K1920" i="1"/>
  <c r="K1924" i="1"/>
  <c r="K1928" i="1"/>
  <c r="K1932" i="1"/>
  <c r="K1936" i="1"/>
  <c r="K1940" i="1"/>
  <c r="K1944" i="1"/>
  <c r="K1878" i="1"/>
  <c r="K1898" i="1"/>
  <c r="K1906" i="1"/>
  <c r="K1921" i="1"/>
  <c r="K1925" i="1"/>
  <c r="K1929" i="1"/>
  <c r="K1933" i="1"/>
  <c r="K1937" i="1"/>
  <c r="K1941" i="1"/>
  <c r="K1963" i="1"/>
  <c r="K1879" i="1"/>
  <c r="K1892" i="1"/>
  <c r="K1918" i="1"/>
  <c r="K1922" i="1"/>
  <c r="K1926" i="1"/>
  <c r="K1930" i="1"/>
  <c r="K1934" i="1"/>
  <c r="K1938" i="1"/>
  <c r="K1942" i="1"/>
  <c r="K1876" i="1"/>
  <c r="K1880" i="1"/>
  <c r="K1896" i="1"/>
  <c r="K1919" i="1"/>
  <c r="K1923" i="1"/>
  <c r="K1927" i="1"/>
  <c r="K1931" i="1"/>
  <c r="K1935" i="1"/>
  <c r="K1939" i="1"/>
  <c r="D10" i="119"/>
  <c r="K1884" i="1"/>
  <c r="C1892" i="1" l="1"/>
  <c r="C1893" i="1" s="1"/>
  <c r="C1894" i="1" s="1"/>
  <c r="C1895" i="1" s="1"/>
  <c r="C1891" i="1"/>
  <c r="C1896" i="1" l="1"/>
  <c r="C1897" i="1" s="1"/>
  <c r="C1898" i="1" s="1"/>
  <c r="C1906" i="1" s="1"/>
  <c r="C1899" i="1" l="1"/>
  <c r="C1900" i="1" s="1"/>
  <c r="C1901" i="1" s="1"/>
  <c r="C1902" i="1" s="1"/>
  <c r="C1903" i="1" s="1"/>
  <c r="C1904" i="1" s="1"/>
  <c r="C1905" i="1" s="1"/>
  <c r="C1918" i="1"/>
  <c r="C1919" i="1" s="1"/>
  <c r="C1920" i="1" s="1"/>
  <c r="C1921" i="1" s="1"/>
  <c r="C1922" i="1" s="1"/>
  <c r="C1923" i="1" s="1"/>
  <c r="C1924" i="1" s="1"/>
  <c r="C1925" i="1" s="1"/>
  <c r="C1926" i="1" s="1"/>
  <c r="C1927" i="1" s="1"/>
  <c r="C1928" i="1" s="1"/>
  <c r="C1929" i="1" s="1"/>
  <c r="C1930" i="1" s="1"/>
  <c r="C1931" i="1" s="1"/>
  <c r="C1932" i="1" s="1"/>
  <c r="C1907" i="1"/>
  <c r="C1908" i="1" s="1"/>
  <c r="C1909" i="1" s="1"/>
  <c r="C1910" i="1" s="1"/>
  <c r="C1911" i="1" s="1"/>
  <c r="C1912" i="1" s="1"/>
  <c r="C1913" i="1" s="1"/>
  <c r="C1914" i="1" s="1"/>
  <c r="C1915" i="1" s="1"/>
  <c r="C1916" i="1" s="1"/>
  <c r="C1917" i="1" s="1"/>
  <c r="C1933" i="1" l="1"/>
  <c r="C1945" i="1"/>
  <c r="C1946" i="1" l="1"/>
  <c r="C1934" i="1"/>
  <c r="C1947" i="1" l="1"/>
  <c r="C1953" i="1"/>
  <c r="C1935" i="1"/>
  <c r="C1948" i="1" l="1"/>
  <c r="C1936" i="1"/>
  <c r="C1954" i="1"/>
  <c r="C1949" i="1" l="1"/>
  <c r="C1955" i="1"/>
  <c r="C1937" i="1"/>
  <c r="C1950" i="1" l="1"/>
  <c r="C1956" i="1"/>
  <c r="C1938" i="1"/>
  <c r="C1951" i="1" l="1"/>
  <c r="C1957" i="1"/>
  <c r="C1939" i="1"/>
  <c r="C1952" i="1" l="1"/>
  <c r="C1958" i="1"/>
  <c r="C1940" i="1"/>
  <c r="C1959" i="1" l="1"/>
  <c r="C1941" i="1"/>
  <c r="C1960" i="1" l="1"/>
  <c r="C1942" i="1"/>
  <c r="C1961" i="1" l="1"/>
  <c r="C1943" i="1"/>
  <c r="S2036" i="1"/>
  <c r="C1944" i="1" l="1"/>
  <c r="C1963" i="1" s="1"/>
  <c r="C1962" i="1"/>
  <c r="S2035" i="1"/>
  <c r="Y121" i="50"/>
  <c r="X121" i="50"/>
  <c r="S2034" i="1"/>
  <c r="S2033" i="1"/>
  <c r="Y120" i="50"/>
  <c r="X120" i="50"/>
  <c r="K432" i="1" l="1"/>
  <c r="K436" i="1"/>
  <c r="K435" i="1"/>
  <c r="K434" i="1"/>
  <c r="J436" i="1"/>
  <c r="J435" i="1"/>
  <c r="J434" i="1"/>
  <c r="E1542" i="1" l="1"/>
  <c r="G1542" i="1"/>
  <c r="J1542" i="1"/>
  <c r="K1542" i="1" s="1"/>
  <c r="E1534" i="1"/>
  <c r="G1534" i="1"/>
  <c r="J1534" i="1"/>
  <c r="K1534" i="1" s="1"/>
  <c r="S1542" i="1"/>
  <c r="T1542" i="1"/>
  <c r="S1535" i="1"/>
  <c r="T1535" i="1"/>
  <c r="S1534" i="1"/>
  <c r="T1534" i="1"/>
  <c r="C1534" i="1"/>
  <c r="C1535" i="1" s="1"/>
  <c r="S1533" i="1"/>
  <c r="T1533" i="1"/>
  <c r="K1146" i="1"/>
  <c r="K1145" i="1"/>
  <c r="K1144" i="1"/>
  <c r="K1143" i="1"/>
  <c r="K1142" i="1"/>
  <c r="K1141" i="1"/>
  <c r="K1140" i="1"/>
  <c r="K1139" i="1"/>
  <c r="K1138" i="1"/>
  <c r="K1137" i="1"/>
  <c r="J1142" i="1"/>
  <c r="J1141" i="1"/>
  <c r="J1140" i="1"/>
  <c r="J1139" i="1"/>
  <c r="J1138" i="1"/>
  <c r="J1137" i="1"/>
  <c r="C25" i="141" l="1"/>
  <c r="C21" i="141"/>
  <c r="C27" i="141"/>
  <c r="C23" i="141"/>
  <c r="C29" i="141"/>
  <c r="C19" i="141"/>
  <c r="C1542" i="1"/>
  <c r="C1536" i="1"/>
  <c r="C1537" i="1" s="1"/>
  <c r="C1538" i="1" s="1"/>
  <c r="C1539" i="1" s="1"/>
  <c r="C1540" i="1" s="1"/>
  <c r="C1541" i="1" s="1"/>
  <c r="N1533" i="1"/>
  <c r="K806" i="1"/>
  <c r="M41" i="83"/>
  <c r="M46" i="83" s="1"/>
  <c r="N41" i="83"/>
  <c r="N46" i="83" s="1"/>
  <c r="O41" i="83"/>
  <c r="O46" i="83" s="1"/>
  <c r="P41" i="83"/>
  <c r="P46" i="83" s="1"/>
  <c r="Q41" i="83"/>
  <c r="Q46" i="83" s="1"/>
  <c r="R41" i="83"/>
  <c r="R46" i="83" s="1"/>
  <c r="S41" i="83"/>
  <c r="S46" i="83" s="1"/>
  <c r="T41" i="83"/>
  <c r="T46" i="83" s="1"/>
  <c r="M43" i="83"/>
  <c r="N43" i="83"/>
  <c r="O43" i="83"/>
  <c r="P43" i="83"/>
  <c r="Q43" i="83"/>
  <c r="R43" i="83"/>
  <c r="S43" i="83"/>
  <c r="T43" i="83"/>
  <c r="K805" i="1"/>
  <c r="K804" i="1"/>
  <c r="K803" i="1"/>
  <c r="K802" i="1" l="1"/>
  <c r="K801" i="1"/>
  <c r="K800" i="1"/>
  <c r="K799" i="1"/>
  <c r="K798" i="1"/>
  <c r="K797" i="1"/>
  <c r="J802" i="1"/>
  <c r="J801" i="1"/>
  <c r="J800" i="1"/>
  <c r="J799" i="1"/>
  <c r="J798" i="1"/>
  <c r="J797" i="1"/>
  <c r="C798" i="1"/>
  <c r="C799" i="1" s="1"/>
  <c r="C800" i="1" s="1"/>
  <c r="C801" i="1" s="1"/>
  <c r="C802" i="1" s="1"/>
  <c r="C803" i="1" s="1"/>
  <c r="C804" i="1" s="1"/>
  <c r="C805" i="1" s="1"/>
  <c r="C806" i="1" s="1"/>
  <c r="AG6" i="6" l="1"/>
  <c r="AF6" i="6"/>
  <c r="AD6" i="6"/>
  <c r="AC6" i="6"/>
  <c r="AB6" i="6"/>
  <c r="AA6" i="6"/>
  <c r="Z6" i="6"/>
  <c r="Y6" i="6"/>
  <c r="X6" i="6"/>
  <c r="W6" i="6"/>
  <c r="V6" i="6"/>
  <c r="U6" i="6"/>
  <c r="T6" i="6"/>
  <c r="S6" i="6"/>
  <c r="R6" i="6"/>
  <c r="Q6" i="6"/>
  <c r="P6" i="6"/>
  <c r="F26" i="74"/>
  <c r="G38" i="77"/>
  <c r="G67" i="77"/>
  <c r="G64" i="77"/>
  <c r="G58" i="77"/>
  <c r="G61" i="77" s="1"/>
  <c r="G54" i="77"/>
  <c r="L35" i="76"/>
  <c r="L33" i="76"/>
  <c r="L31" i="76"/>
  <c r="L30" i="76"/>
  <c r="L29" i="76"/>
  <c r="L25" i="76"/>
  <c r="L24" i="76"/>
  <c r="L22" i="76"/>
  <c r="L20" i="76"/>
  <c r="L19" i="76"/>
  <c r="L18" i="76"/>
  <c r="K15" i="76"/>
  <c r="J15" i="76"/>
  <c r="I15" i="76"/>
  <c r="L14" i="76"/>
  <c r="L13" i="76"/>
  <c r="F40" i="75"/>
  <c r="F39" i="75"/>
  <c r="F16" i="75"/>
  <c r="F9" i="75"/>
  <c r="A3" i="76"/>
  <c r="A3" i="77"/>
  <c r="A5" i="74"/>
  <c r="A3" i="75"/>
  <c r="D7" i="68"/>
  <c r="F7" i="68"/>
  <c r="G14" i="70"/>
  <c r="D12" i="70"/>
  <c r="F12" i="70" s="1"/>
  <c r="H12" i="70" s="1"/>
  <c r="C12" i="70"/>
  <c r="E12" i="70" s="1"/>
  <c r="G12" i="70" s="1"/>
  <c r="B65" i="73"/>
  <c r="C65" i="73"/>
  <c r="D64" i="73"/>
  <c r="D63" i="73"/>
  <c r="D62" i="73"/>
  <c r="D52" i="73"/>
  <c r="D51" i="73"/>
  <c r="S1963" i="1"/>
  <c r="D15" i="73"/>
  <c r="AC14" i="73"/>
  <c r="AC17" i="73" s="1"/>
  <c r="AB14" i="73"/>
  <c r="AB17" i="73" s="1"/>
  <c r="AA14" i="73"/>
  <c r="AA17" i="73" s="1"/>
  <c r="Z14" i="73"/>
  <c r="Z17" i="73" s="1"/>
  <c r="Y14" i="73"/>
  <c r="Y17" i="73" s="1"/>
  <c r="X14" i="73"/>
  <c r="X17" i="73" s="1"/>
  <c r="W14" i="73"/>
  <c r="W17" i="73" s="1"/>
  <c r="V14" i="73"/>
  <c r="V17" i="73" s="1"/>
  <c r="U14" i="73"/>
  <c r="U17" i="73" s="1"/>
  <c r="T14" i="73"/>
  <c r="T17" i="73" s="1"/>
  <c r="S14" i="73"/>
  <c r="S17" i="73" s="1"/>
  <c r="R14" i="73"/>
  <c r="R17" i="73" s="1"/>
  <c r="Q14" i="73"/>
  <c r="Q17" i="73" s="1"/>
  <c r="P14" i="73"/>
  <c r="P17" i="73" s="1"/>
  <c r="O14" i="73"/>
  <c r="O17" i="73" s="1"/>
  <c r="N14" i="73"/>
  <c r="N17" i="73" s="1"/>
  <c r="M14" i="73"/>
  <c r="M17" i="73" s="1"/>
  <c r="L14" i="73"/>
  <c r="L17" i="73" s="1"/>
  <c r="K14" i="73"/>
  <c r="K17" i="73" s="1"/>
  <c r="J14" i="73"/>
  <c r="J17" i="73" s="1"/>
  <c r="I14" i="73"/>
  <c r="I17" i="73" s="1"/>
  <c r="E14" i="73"/>
  <c r="E21" i="73" s="1"/>
  <c r="B14" i="73"/>
  <c r="B17" i="73" s="1"/>
  <c r="C14" i="73"/>
  <c r="C17" i="73" s="1"/>
  <c r="L44" i="1" l="1"/>
  <c r="K44" i="1"/>
  <c r="F76" i="68"/>
  <c r="L15" i="76"/>
  <c r="F31" i="68"/>
  <c r="F39" i="68"/>
  <c r="D65" i="73"/>
  <c r="I26" i="76"/>
  <c r="J26" i="76"/>
  <c r="L21" i="76"/>
  <c r="L26" i="76" s="1"/>
  <c r="K26" i="76"/>
  <c r="K36" i="76" s="1"/>
  <c r="F64" i="75" s="1"/>
  <c r="B15" i="86" l="1"/>
  <c r="B6" i="86"/>
  <c r="L1992" i="1"/>
  <c r="L1996" i="1"/>
  <c r="L1734" i="1"/>
  <c r="L1728" i="1"/>
  <c r="L1410" i="1"/>
  <c r="L1405" i="1"/>
  <c r="L1400" i="1"/>
  <c r="L1395" i="1"/>
  <c r="L1390" i="1"/>
  <c r="L1385" i="1"/>
  <c r="L1342" i="1"/>
  <c r="L1335" i="1"/>
  <c r="L1313" i="1"/>
  <c r="L1203" i="1"/>
  <c r="L1185" i="1"/>
  <c r="L1177" i="1"/>
  <c r="L1169" i="1"/>
  <c r="L2000" i="1" l="1"/>
  <c r="L1993" i="1"/>
  <c r="L1997" i="1"/>
  <c r="L1994" i="1"/>
  <c r="L1998" i="1"/>
  <c r="L1977" i="1"/>
  <c r="L2001" i="1" s="1"/>
  <c r="L1995" i="1"/>
  <c r="L1999" i="1"/>
  <c r="L1989" i="1"/>
  <c r="L2002" i="1" s="1"/>
  <c r="L1211" i="1"/>
  <c r="L1212" i="1" s="1"/>
  <c r="L1375" i="1"/>
  <c r="L1991" i="1"/>
  <c r="C9" i="98" l="1"/>
  <c r="B9" i="98"/>
  <c r="F29" i="107" l="1"/>
  <c r="F26" i="107"/>
  <c r="F23" i="107"/>
  <c r="F15" i="107"/>
  <c r="F18" i="107"/>
  <c r="F12" i="107"/>
  <c r="A12" i="97"/>
  <c r="H16" i="96"/>
  <c r="D31" i="96" s="1"/>
  <c r="F10" i="107"/>
  <c r="F21" i="107"/>
  <c r="B21" i="107"/>
  <c r="B10" i="107"/>
  <c r="A21" i="107"/>
  <c r="A10" i="107"/>
  <c r="H6" i="97"/>
  <c r="A22" i="97"/>
  <c r="A37" i="97" s="1"/>
  <c r="A12" i="96"/>
  <c r="A24" i="96"/>
  <c r="H6" i="96"/>
  <c r="B111" i="29"/>
  <c r="B95" i="29"/>
  <c r="B43" i="31"/>
  <c r="K112" i="31"/>
  <c r="B126" i="29"/>
  <c r="J118" i="29"/>
  <c r="I118" i="29"/>
  <c r="H118" i="29"/>
  <c r="G118" i="29"/>
  <c r="F118" i="29"/>
  <c r="E118" i="29"/>
  <c r="D118" i="29"/>
  <c r="C118" i="29"/>
  <c r="T568" i="1"/>
  <c r="S568" i="1"/>
  <c r="N568" i="1" s="1"/>
  <c r="C493" i="1"/>
  <c r="A21" i="84"/>
  <c r="A10" i="84"/>
  <c r="A43" i="83"/>
  <c r="A23" i="83"/>
  <c r="C8" i="87"/>
  <c r="B8" i="87"/>
  <c r="A23" i="82"/>
  <c r="A46" i="81"/>
  <c r="A25" i="81"/>
  <c r="A10" i="83"/>
  <c r="A10" i="82"/>
  <c r="A10" i="81"/>
  <c r="G1563" i="1"/>
  <c r="G1559" i="1"/>
  <c r="G1555" i="1"/>
  <c r="E1563" i="1"/>
  <c r="E1559" i="1"/>
  <c r="E1555" i="1"/>
  <c r="G775" i="1"/>
  <c r="G760" i="1"/>
  <c r="G737" i="1"/>
  <c r="G722" i="1"/>
  <c r="G699" i="1"/>
  <c r="G684" i="1"/>
  <c r="G661" i="1"/>
  <c r="G646" i="1"/>
  <c r="G623" i="1"/>
  <c r="G608" i="1"/>
  <c r="G585" i="1"/>
  <c r="G570" i="1"/>
  <c r="G547" i="1"/>
  <c r="G510" i="1"/>
  <c r="G532" i="1"/>
  <c r="G495" i="1"/>
  <c r="E646" i="1"/>
  <c r="C22" i="80"/>
  <c r="C9" i="80"/>
  <c r="B22" i="80"/>
  <c r="B9" i="80"/>
  <c r="A3" i="113"/>
  <c r="A3" i="109"/>
  <c r="A3" i="105"/>
  <c r="A3" i="98"/>
  <c r="A3" i="104"/>
  <c r="A3" i="102"/>
  <c r="A3" i="107"/>
  <c r="A3" i="106"/>
  <c r="A3" i="97"/>
  <c r="A3" i="96"/>
  <c r="A3" i="81"/>
  <c r="A3" i="82"/>
  <c r="A3" i="87"/>
  <c r="A3" i="83"/>
  <c r="A3" i="84"/>
  <c r="A3" i="86"/>
  <c r="A3" i="85"/>
  <c r="A3" i="117"/>
  <c r="A3" i="88"/>
  <c r="A3" i="89"/>
  <c r="A3" i="92"/>
  <c r="A3" i="93"/>
  <c r="A3" i="80"/>
  <c r="A3" i="79"/>
  <c r="K118" i="29" l="1"/>
  <c r="J46" i="84"/>
  <c r="BC1135" i="1"/>
  <c r="BA1135" i="1"/>
  <c r="AZ1135" i="1"/>
  <c r="AX1135" i="1"/>
  <c r="AW1135" i="1"/>
  <c r="V1135" i="1"/>
  <c r="Q1135" i="1"/>
  <c r="P1135" i="1"/>
  <c r="O1135" i="1"/>
  <c r="BC1099" i="1"/>
  <c r="BA1099" i="1"/>
  <c r="AZ1099" i="1"/>
  <c r="AX1099" i="1"/>
  <c r="AW1099" i="1"/>
  <c r="V1099" i="1"/>
  <c r="Q1099" i="1"/>
  <c r="P1099" i="1"/>
  <c r="O1099" i="1"/>
  <c r="BC1027" i="1"/>
  <c r="BA1027" i="1"/>
  <c r="AZ1027" i="1"/>
  <c r="AX1027" i="1"/>
  <c r="AW1027" i="1"/>
  <c r="V1027" i="1"/>
  <c r="Q1027" i="1"/>
  <c r="P1027" i="1"/>
  <c r="O1027" i="1"/>
  <c r="BC1063" i="1"/>
  <c r="BA1063" i="1"/>
  <c r="AZ1063" i="1"/>
  <c r="AX1063" i="1"/>
  <c r="AW1063" i="1"/>
  <c r="V1063" i="1"/>
  <c r="Q1063" i="1"/>
  <c r="P1063" i="1"/>
  <c r="O1063" i="1"/>
  <c r="BC991" i="1"/>
  <c r="BA991" i="1"/>
  <c r="AZ991" i="1"/>
  <c r="AX991" i="1"/>
  <c r="AW991" i="1"/>
  <c r="V991" i="1"/>
  <c r="Q991" i="1"/>
  <c r="P991" i="1"/>
  <c r="O991" i="1"/>
  <c r="V955" i="1"/>
  <c r="Q955" i="1"/>
  <c r="P955" i="1"/>
  <c r="O955" i="1"/>
  <c r="S529" i="1"/>
  <c r="N529" i="1" s="1"/>
  <c r="S566" i="1"/>
  <c r="N566" i="1" s="1"/>
  <c r="S604" i="1"/>
  <c r="N604" i="1" s="1"/>
  <c r="S680" i="1"/>
  <c r="N680" i="1" s="1"/>
  <c r="BC919" i="1"/>
  <c r="BA919" i="1"/>
  <c r="AZ919" i="1"/>
  <c r="AX919" i="1"/>
  <c r="AW919" i="1"/>
  <c r="V919" i="1"/>
  <c r="Q919" i="1"/>
  <c r="P919" i="1"/>
  <c r="O919" i="1"/>
  <c r="T51" i="83"/>
  <c r="S51" i="83"/>
  <c r="R51" i="83"/>
  <c r="Q51" i="83"/>
  <c r="P51" i="83"/>
  <c r="O51" i="83"/>
  <c r="N51" i="83"/>
  <c r="M51" i="83"/>
  <c r="AD49" i="83"/>
  <c r="AC49" i="83"/>
  <c r="AB49" i="83"/>
  <c r="AA49" i="83"/>
  <c r="Z49" i="83"/>
  <c r="Y49" i="83"/>
  <c r="X49" i="83"/>
  <c r="W49" i="83"/>
  <c r="L49" i="83"/>
  <c r="J49" i="83"/>
  <c r="BC883" i="1"/>
  <c r="BA883" i="1"/>
  <c r="AZ883" i="1"/>
  <c r="AX883" i="1"/>
  <c r="AW883" i="1"/>
  <c r="V883" i="1"/>
  <c r="Q883" i="1"/>
  <c r="P883" i="1"/>
  <c r="O883" i="1"/>
  <c r="BC795" i="1"/>
  <c r="BA795" i="1"/>
  <c r="AZ795" i="1"/>
  <c r="AX795" i="1"/>
  <c r="AW795" i="1"/>
  <c r="V795" i="1"/>
  <c r="Q795" i="1"/>
  <c r="P795" i="1"/>
  <c r="O795" i="1"/>
  <c r="S794" i="1"/>
  <c r="N794" i="1" s="1"/>
  <c r="T794" i="1"/>
  <c r="T718" i="1"/>
  <c r="S718" i="1"/>
  <c r="N718" i="1" s="1"/>
  <c r="BA719" i="1"/>
  <c r="AX719" i="1"/>
  <c r="V719" i="1"/>
  <c r="Q719" i="1"/>
  <c r="P719" i="1"/>
  <c r="O719" i="1"/>
  <c r="T680" i="1"/>
  <c r="V681" i="1"/>
  <c r="Q681" i="1"/>
  <c r="P681" i="1"/>
  <c r="O681" i="1"/>
  <c r="V643" i="1"/>
  <c r="Q643" i="1"/>
  <c r="P643" i="1"/>
  <c r="O643" i="1"/>
  <c r="T529" i="1"/>
  <c r="T566" i="1"/>
  <c r="T604" i="1"/>
  <c r="V605" i="1"/>
  <c r="Q605" i="1"/>
  <c r="P605" i="1"/>
  <c r="O605" i="1"/>
  <c r="BA530" i="1"/>
  <c r="AX530" i="1"/>
  <c r="V530" i="1"/>
  <c r="O530" i="1"/>
  <c r="P530" i="1"/>
  <c r="Q530" i="1"/>
  <c r="S756" i="1"/>
  <c r="N756" i="1" s="1"/>
  <c r="T756" i="1"/>
  <c r="AD52" i="81"/>
  <c r="AC52" i="81"/>
  <c r="AB52" i="81"/>
  <c r="AA52" i="81"/>
  <c r="Z52" i="81"/>
  <c r="Y52" i="81"/>
  <c r="X52" i="81"/>
  <c r="W52" i="81"/>
  <c r="AG49" i="83" l="1"/>
  <c r="AF52" i="81"/>
  <c r="V49" i="83"/>
  <c r="AE49" i="83"/>
  <c r="AF49" i="83"/>
  <c r="AG52" i="81"/>
  <c r="AE52" i="81"/>
  <c r="V52" i="81"/>
  <c r="Z31" i="92" l="1"/>
  <c r="Y31" i="92"/>
  <c r="X31" i="92"/>
  <c r="W31" i="92"/>
  <c r="V31" i="92"/>
  <c r="U31" i="92"/>
  <c r="T31" i="92"/>
  <c r="S31" i="92"/>
  <c r="R31" i="92"/>
  <c r="Q31" i="92"/>
  <c r="P31" i="92"/>
  <c r="O31" i="92"/>
  <c r="N31" i="92"/>
  <c r="M31" i="92"/>
  <c r="L31" i="92"/>
  <c r="K31" i="92"/>
  <c r="J31" i="92"/>
  <c r="I31" i="92"/>
  <c r="H31" i="92"/>
  <c r="G31" i="92"/>
  <c r="F31" i="92"/>
  <c r="I20" i="117"/>
  <c r="H20" i="117"/>
  <c r="C11" i="117" s="1"/>
  <c r="C31" i="117" s="1"/>
  <c r="E286" i="71" s="1"/>
  <c r="I29" i="117" l="1"/>
  <c r="I28" i="117" s="1"/>
  <c r="D11" i="117"/>
  <c r="D31" i="117" s="1"/>
  <c r="H29" i="117"/>
  <c r="H28" i="117" s="1"/>
  <c r="D16" i="74"/>
  <c r="G20" i="117"/>
  <c r="B11" i="117" s="1"/>
  <c r="B31" i="117" s="1"/>
  <c r="D286" i="71" s="1"/>
  <c r="K1178" i="1" l="1"/>
  <c r="D20" i="117"/>
  <c r="D29" i="117" s="1"/>
  <c r="D28" i="117" s="1"/>
  <c r="K1191" i="1" s="1"/>
  <c r="G29" i="117"/>
  <c r="G28" i="117" s="1"/>
  <c r="J28" i="117" s="1"/>
  <c r="D14" i="75" s="1"/>
  <c r="E11" i="117"/>
  <c r="E31" i="117" s="1"/>
  <c r="C20" i="117"/>
  <c r="K1170" i="1"/>
  <c r="V488" i="1"/>
  <c r="U488" i="1"/>
  <c r="CP488" i="1" l="1"/>
  <c r="E20" i="117"/>
  <c r="E29" i="117" s="1"/>
  <c r="B20" i="117"/>
  <c r="B29" i="117" s="1"/>
  <c r="B28" i="117" s="1"/>
  <c r="K1189" i="1" s="1"/>
  <c r="C29" i="117"/>
  <c r="C28" i="117" s="1"/>
  <c r="K1190" i="1" s="1"/>
  <c r="K1162" i="1"/>
  <c r="E7" i="28"/>
  <c r="C7" i="28"/>
  <c r="C8" i="28"/>
  <c r="E8" i="28" s="1"/>
  <c r="C16" i="74"/>
  <c r="E28" i="117" l="1"/>
  <c r="C14" i="75" l="1"/>
  <c r="A1" i="117"/>
  <c r="A28" i="76" l="1"/>
  <c r="A36" i="76"/>
  <c r="A26" i="76"/>
  <c r="A17" i="76"/>
  <c r="A15" i="76"/>
  <c r="A13" i="76"/>
  <c r="AG81" i="6" l="1"/>
  <c r="AF81" i="6"/>
  <c r="AE81" i="6"/>
  <c r="AD81" i="6"/>
  <c r="AC81" i="6"/>
  <c r="AA81" i="6"/>
  <c r="Z81" i="6"/>
  <c r="Y81" i="6"/>
  <c r="X81" i="6"/>
  <c r="W81" i="6"/>
  <c r="V81" i="6"/>
  <c r="U81" i="6"/>
  <c r="T81" i="6"/>
  <c r="S81" i="6"/>
  <c r="R81" i="6"/>
  <c r="Q81" i="6"/>
  <c r="P81" i="6"/>
  <c r="N81" i="6"/>
  <c r="J81" i="6"/>
  <c r="I81" i="6"/>
  <c r="H81" i="6"/>
  <c r="G81" i="6"/>
  <c r="AG80" i="6"/>
  <c r="AF80" i="6"/>
  <c r="AE80" i="6"/>
  <c r="AD80" i="6"/>
  <c r="AC80" i="6"/>
  <c r="AA80" i="6"/>
  <c r="Z80" i="6"/>
  <c r="Y80" i="6"/>
  <c r="X80" i="6"/>
  <c r="W80" i="6"/>
  <c r="V80" i="6"/>
  <c r="U80" i="6"/>
  <c r="T80" i="6"/>
  <c r="S80" i="6"/>
  <c r="R80" i="6"/>
  <c r="Q80" i="6"/>
  <c r="P80" i="6"/>
  <c r="N80" i="6"/>
  <c r="J80" i="6"/>
  <c r="I80" i="6"/>
  <c r="H80" i="6"/>
  <c r="G80" i="6"/>
  <c r="AB80" i="6"/>
  <c r="AB81" i="6"/>
  <c r="W82" i="6" l="1"/>
  <c r="AF82" i="6"/>
  <c r="N82" i="6"/>
  <c r="P82" i="6"/>
  <c r="X82" i="6"/>
  <c r="J82" i="6"/>
  <c r="V82" i="6"/>
  <c r="Z82" i="6"/>
  <c r="AE82" i="6"/>
  <c r="I82" i="6"/>
  <c r="S82" i="6"/>
  <c r="T82" i="6"/>
  <c r="G82" i="6"/>
  <c r="H82" i="6"/>
  <c r="AC82" i="6"/>
  <c r="AA82" i="6"/>
  <c r="AG82" i="6"/>
  <c r="R82" i="6"/>
  <c r="AB82" i="6"/>
  <c r="Q82" i="6"/>
  <c r="U82" i="6"/>
  <c r="Y82" i="6"/>
  <c r="AD82" i="6"/>
  <c r="AG71" i="6"/>
  <c r="AF71" i="6"/>
  <c r="AE71" i="6"/>
  <c r="AD71" i="6"/>
  <c r="AC71" i="6"/>
  <c r="AB71" i="6"/>
  <c r="AA71" i="6"/>
  <c r="Z71" i="6"/>
  <c r="Y71" i="6"/>
  <c r="X71" i="6"/>
  <c r="W71" i="6"/>
  <c r="V71" i="6"/>
  <c r="U71" i="6"/>
  <c r="T71" i="6"/>
  <c r="S71" i="6"/>
  <c r="R71" i="6"/>
  <c r="Q71" i="6"/>
  <c r="P71" i="6"/>
  <c r="N71" i="6"/>
  <c r="J71" i="6"/>
  <c r="I71" i="6"/>
  <c r="H71" i="6"/>
  <c r="G71" i="6"/>
  <c r="AG68" i="6"/>
  <c r="AF68" i="6"/>
  <c r="AE68" i="6"/>
  <c r="AD68" i="6"/>
  <c r="AC68" i="6"/>
  <c r="AB68" i="6"/>
  <c r="AA68" i="6"/>
  <c r="Z68" i="6"/>
  <c r="Y68" i="6"/>
  <c r="X68" i="6"/>
  <c r="W68" i="6"/>
  <c r="V68" i="6"/>
  <c r="U68" i="6"/>
  <c r="T68" i="6"/>
  <c r="S68" i="6"/>
  <c r="R68" i="6"/>
  <c r="N68" i="6"/>
  <c r="G68" i="6"/>
  <c r="W2000" i="1" l="1"/>
  <c r="W1993" i="1"/>
  <c r="W1992" i="1" l="1"/>
  <c r="W1997" i="1"/>
  <c r="W1996" i="1"/>
  <c r="W1991" i="1"/>
  <c r="W1995" i="1"/>
  <c r="W1999" i="1"/>
  <c r="W1994" i="1"/>
  <c r="W1998" i="1"/>
  <c r="W2002" i="1"/>
  <c r="G203" i="1" l="1"/>
  <c r="G148" i="1"/>
  <c r="E148" i="1"/>
  <c r="H151" i="1" l="1"/>
  <c r="H206" i="1"/>
  <c r="J148" i="1"/>
  <c r="I206" i="1" l="1"/>
  <c r="BK206" i="1" s="1"/>
  <c r="BD206" i="1" s="1"/>
  <c r="I151" i="1"/>
  <c r="BK151" i="1" s="1"/>
  <c r="U203" i="1"/>
  <c r="CP203" i="1" s="1"/>
  <c r="BK203" i="1" l="1"/>
  <c r="BD203" i="1" s="1"/>
  <c r="BK148" i="1"/>
  <c r="BD148" i="1" s="1"/>
  <c r="BD151" i="1"/>
  <c r="U148" i="1"/>
  <c r="S1218" i="1"/>
  <c r="S1219" i="1"/>
  <c r="S1220" i="1"/>
  <c r="S1221" i="1"/>
  <c r="S1222" i="1"/>
  <c r="S1231" i="1"/>
  <c r="S1232" i="1"/>
  <c r="S1233" i="1"/>
  <c r="S1234" i="1"/>
  <c r="S1867" i="1"/>
  <c r="S1868" i="1"/>
  <c r="S1869" i="1"/>
  <c r="N1869" i="1" s="1"/>
  <c r="S1870" i="1"/>
  <c r="N1870" i="1" s="1"/>
  <c r="S1871" i="1"/>
  <c r="N1871" i="1" s="1"/>
  <c r="U151" i="1" l="1"/>
  <c r="CP148" i="1"/>
  <c r="N1867" i="1"/>
  <c r="D61" i="12" s="1"/>
  <c r="F61" i="12" s="1"/>
  <c r="A2" i="3"/>
  <c r="I209" i="60" l="1"/>
  <c r="H209" i="60"/>
  <c r="G209" i="60"/>
  <c r="I208" i="60"/>
  <c r="H208" i="60"/>
  <c r="F209" i="60"/>
  <c r="K187" i="60" l="1"/>
  <c r="J187" i="60"/>
  <c r="I177" i="60"/>
  <c r="H177" i="60"/>
  <c r="G177" i="60"/>
  <c r="F177" i="60"/>
  <c r="E177" i="60"/>
  <c r="K186" i="60"/>
  <c r="J186" i="60"/>
  <c r="I176" i="60"/>
  <c r="H176" i="60"/>
  <c r="G176" i="60"/>
  <c r="F176" i="60"/>
  <c r="E176" i="60"/>
  <c r="D177" i="60"/>
  <c r="D176" i="60"/>
  <c r="F140" i="60"/>
  <c r="D140" i="60"/>
  <c r="F139" i="60"/>
  <c r="D139" i="60"/>
  <c r="F138" i="60"/>
  <c r="D138" i="60"/>
  <c r="F137" i="60"/>
  <c r="D137" i="60"/>
  <c r="F135" i="60"/>
  <c r="D135" i="60"/>
  <c r="F134" i="60"/>
  <c r="D134" i="60"/>
  <c r="F133" i="60"/>
  <c r="D133" i="60"/>
  <c r="F132" i="60"/>
  <c r="D132" i="60"/>
  <c r="F131" i="60"/>
  <c r="D131" i="60"/>
  <c r="F130" i="60"/>
  <c r="D130" i="60"/>
  <c r="F129" i="60"/>
  <c r="D129" i="60"/>
  <c r="F126" i="60"/>
  <c r="D126" i="60"/>
  <c r="F125" i="60"/>
  <c r="D125" i="60"/>
  <c r="D122" i="60"/>
  <c r="F120" i="60"/>
  <c r="D120" i="60"/>
  <c r="F118" i="60"/>
  <c r="D118" i="60"/>
  <c r="F117" i="60"/>
  <c r="D117" i="60"/>
  <c r="F116" i="60"/>
  <c r="D116" i="60"/>
  <c r="F114" i="60"/>
  <c r="D114" i="60"/>
  <c r="F108" i="60"/>
  <c r="F53" i="60"/>
  <c r="D53" i="60"/>
  <c r="D108" i="60"/>
  <c r="F107" i="60"/>
  <c r="D107" i="60"/>
  <c r="F106" i="60"/>
  <c r="D106" i="60"/>
  <c r="F104" i="60"/>
  <c r="D104" i="60"/>
  <c r="F103" i="60"/>
  <c r="D103" i="60"/>
  <c r="F102" i="60"/>
  <c r="D102" i="60"/>
  <c r="F101" i="60"/>
  <c r="D101" i="60"/>
  <c r="F100" i="60"/>
  <c r="D100" i="60"/>
  <c r="F99" i="60"/>
  <c r="D99" i="60"/>
  <c r="F98" i="60"/>
  <c r="D98" i="60"/>
  <c r="F97" i="60"/>
  <c r="D97" i="60"/>
  <c r="F93" i="60"/>
  <c r="D93" i="60"/>
  <c r="F92" i="60"/>
  <c r="D92" i="60"/>
  <c r="F91" i="60"/>
  <c r="D91" i="60"/>
  <c r="F90" i="60"/>
  <c r="D90" i="60"/>
  <c r="F89" i="60"/>
  <c r="D89" i="60"/>
  <c r="F88" i="60"/>
  <c r="D88" i="60"/>
  <c r="F87" i="60"/>
  <c r="D87" i="60"/>
  <c r="F86" i="60"/>
  <c r="D86" i="60"/>
  <c r="F85" i="60"/>
  <c r="D85" i="60"/>
  <c r="F84" i="60"/>
  <c r="D84" i="60"/>
  <c r="F83" i="60"/>
  <c r="D83" i="60"/>
  <c r="F82" i="60"/>
  <c r="D82" i="60"/>
  <c r="F81" i="60"/>
  <c r="D81" i="60"/>
  <c r="F80" i="60"/>
  <c r="D80" i="60"/>
  <c r="F79" i="60"/>
  <c r="D79" i="60"/>
  <c r="F77" i="60"/>
  <c r="D77" i="60"/>
  <c r="F76" i="60"/>
  <c r="D76" i="60"/>
  <c r="F75" i="60"/>
  <c r="D75" i="60"/>
  <c r="F74" i="60"/>
  <c r="D74" i="60"/>
  <c r="D73" i="60"/>
  <c r="F69" i="60"/>
  <c r="D69" i="60"/>
  <c r="F64" i="60"/>
  <c r="D64" i="60"/>
  <c r="F57" i="60"/>
  <c r="D57" i="60"/>
  <c r="F52" i="60"/>
  <c r="D52" i="60"/>
  <c r="F39" i="60"/>
  <c r="F25" i="60"/>
  <c r="D25" i="60"/>
  <c r="H21" i="60"/>
  <c r="H20" i="60"/>
  <c r="H19" i="60"/>
  <c r="H18" i="60"/>
  <c r="H17" i="60"/>
  <c r="H16" i="60"/>
  <c r="H15" i="60"/>
  <c r="H14" i="60"/>
  <c r="H7" i="60"/>
  <c r="F3" i="60"/>
  <c r="D3" i="60"/>
  <c r="A287" i="3"/>
  <c r="A288" i="3" l="1"/>
  <c r="B1" i="61"/>
  <c r="A1" i="60"/>
  <c r="B1" i="6"/>
  <c r="A1" i="3"/>
  <c r="A1" i="1"/>
  <c r="A2" i="2"/>
  <c r="A10" i="2"/>
  <c r="B10" i="2" s="1" a="1"/>
  <c r="B10" i="2" s="1"/>
  <c r="A43" i="9"/>
  <c r="B52" i="9"/>
  <c r="B53" i="9"/>
  <c r="B57" i="9"/>
  <c r="B58" i="9"/>
  <c r="A57" i="37" l="1"/>
  <c r="A84" i="37"/>
  <c r="A7" i="37"/>
  <c r="A33" i="37"/>
  <c r="B1766" i="1"/>
  <c r="B1767" i="1" s="1"/>
  <c r="B1768" i="1" s="1"/>
  <c r="B1769" i="1" s="1"/>
  <c r="B1770" i="1" s="1"/>
  <c r="B1771" i="1" s="1"/>
  <c r="B1798" i="1"/>
  <c r="B460" i="1"/>
  <c r="A289" i="3"/>
  <c r="A44" i="9"/>
  <c r="A11" i="2"/>
  <c r="B11" i="2" s="1" a="1"/>
  <c r="B11" i="2" s="1"/>
  <c r="B1799" i="1" l="1"/>
  <c r="B1800" i="1" s="1"/>
  <c r="B1801" i="1" s="1"/>
  <c r="B1802" i="1" s="1"/>
  <c r="B1803" i="1" s="1"/>
  <c r="B1804" i="1" s="1"/>
  <c r="B1805" i="1" s="1"/>
  <c r="B1806" i="1" s="1"/>
  <c r="B1807" i="1" s="1"/>
  <c r="B1808" i="1" s="1"/>
  <c r="B1809" i="1" s="1"/>
  <c r="B1810" i="1" s="1"/>
  <c r="B1811" i="1" s="1"/>
  <c r="B1812" i="1" s="1"/>
  <c r="B1813" i="1" s="1"/>
  <c r="B1814" i="1" s="1"/>
  <c r="B1773" i="1"/>
  <c r="B1774" i="1" s="1"/>
  <c r="B1772" i="1"/>
  <c r="A290" i="3"/>
  <c r="A291" i="3" s="1"/>
  <c r="A292" i="3" s="1"/>
  <c r="A12" i="2"/>
  <c r="B12" i="2" s="1" a="1"/>
  <c r="B12" i="2" s="1"/>
  <c r="B1815" i="1" l="1"/>
  <c r="B1816" i="1" s="1"/>
  <c r="B1817" i="1" s="1"/>
  <c r="B1818" i="1" s="1"/>
  <c r="B1819" i="1" s="1"/>
  <c r="B1820" i="1" s="1"/>
  <c r="B1821" i="1" s="1"/>
  <c r="B1822" i="1" s="1"/>
  <c r="B1775" i="1"/>
  <c r="A293" i="3"/>
  <c r="A13" i="2"/>
  <c r="B13" i="2" s="1" a="1"/>
  <c r="B13" i="2" s="1"/>
  <c r="B1825" i="1" l="1"/>
  <c r="B1826" i="1" s="1"/>
  <c r="B1827" i="1" s="1"/>
  <c r="B1828" i="1" s="1"/>
  <c r="B1831" i="1" s="1"/>
  <c r="B1823" i="1"/>
  <c r="B1824" i="1" s="1"/>
  <c r="B1776" i="1"/>
  <c r="B1777" i="1" s="1"/>
  <c r="B1778" i="1" s="1"/>
  <c r="B1779" i="1" s="1"/>
  <c r="B1780" i="1" s="1"/>
  <c r="B1781" i="1" s="1"/>
  <c r="B1782" i="1" s="1"/>
  <c r="A51" i="9"/>
  <c r="A49" i="9"/>
  <c r="A294" i="3"/>
  <c r="A14" i="2"/>
  <c r="B1829" i="1" l="1"/>
  <c r="B1830" i="1" s="1"/>
  <c r="B1783" i="1"/>
  <c r="B1784" i="1" s="1"/>
  <c r="B1785" i="1" s="1"/>
  <c r="B1786" i="1" s="1"/>
  <c r="B1787" i="1" s="1"/>
  <c r="A15" i="2"/>
  <c r="B15" i="2" s="1" a="1"/>
  <c r="B15" i="2" s="1"/>
  <c r="B14" i="2" a="1"/>
  <c r="B14" i="2" s="1"/>
  <c r="A52" i="9"/>
  <c r="A6" i="135" s="1"/>
  <c r="A5" i="135"/>
  <c r="A50" i="9"/>
  <c r="A11" i="28"/>
  <c r="A295" i="3"/>
  <c r="A16" i="2"/>
  <c r="B16" i="2" s="1" a="1"/>
  <c r="B16" i="2" s="1"/>
  <c r="B1788" i="1" l="1"/>
  <c r="A53" i="9"/>
  <c r="A20" i="28"/>
  <c r="A296" i="3"/>
  <c r="A297" i="3" s="1"/>
  <c r="A298" i="3" s="1"/>
  <c r="A299" i="3" s="1"/>
  <c r="A300" i="3" s="1"/>
  <c r="A301" i="3" s="1"/>
  <c r="A302" i="3" s="1"/>
  <c r="A303" i="3" s="1"/>
  <c r="A304" i="3" s="1"/>
  <c r="A305" i="3" s="1"/>
  <c r="A17" i="2"/>
  <c r="B17" i="2" s="1" a="1"/>
  <c r="B17" i="2" s="1"/>
  <c r="B1789" i="1" l="1"/>
  <c r="B11" i="75"/>
  <c r="A54" i="9"/>
  <c r="A113" i="135"/>
  <c r="A57" i="135"/>
  <c r="A18" i="2"/>
  <c r="B18" i="2" s="1" a="1"/>
  <c r="B18" i="2" s="1"/>
  <c r="B1790" i="1" l="1"/>
  <c r="A55" i="9"/>
  <c r="A6" i="136" s="1"/>
  <c r="A19" i="2"/>
  <c r="B1791" i="1" l="1"/>
  <c r="A20" i="2"/>
  <c r="B19" i="2" a="1"/>
  <c r="B19" i="2" s="1"/>
  <c r="B21" i="75"/>
  <c r="A56" i="9"/>
  <c r="A57" i="9" s="1"/>
  <c r="A6" i="137" s="1"/>
  <c r="A5" i="137"/>
  <c r="B1792" i="1" l="1"/>
  <c r="A21" i="2"/>
  <c r="B20" i="2" a="1"/>
  <c r="B20" i="2" s="1"/>
  <c r="A58" i="9"/>
  <c r="A59" i="9" s="1"/>
  <c r="A53" i="137"/>
  <c r="B1793" i="1" l="1"/>
  <c r="A22" i="2"/>
  <c r="B21" i="2" a="1"/>
  <c r="B21" i="2" s="1"/>
  <c r="B13" i="75"/>
  <c r="A60" i="9"/>
  <c r="A61" i="9" s="1"/>
  <c r="A108" i="137"/>
  <c r="B1794" i="1" l="1"/>
  <c r="A23" i="2"/>
  <c r="B22" i="2" a="1"/>
  <c r="B22" i="2" s="1"/>
  <c r="A62" i="9"/>
  <c r="A63" i="9" s="1"/>
  <c r="B22" i="75" s="1"/>
  <c r="B1795" i="1" l="1"/>
  <c r="A24" i="2"/>
  <c r="B23" i="2" a="1"/>
  <c r="B23" i="2" s="1"/>
  <c r="A64" i="9"/>
  <c r="A65" i="9" s="1"/>
  <c r="B1797" i="1" l="1"/>
  <c r="B1796" i="1"/>
  <c r="A25" i="2"/>
  <c r="B24" i="2" a="1"/>
  <c r="B24" i="2" s="1"/>
  <c r="A66" i="9"/>
  <c r="B26" i="75" s="1"/>
  <c r="B28" i="75"/>
  <c r="B12" i="31"/>
  <c r="A2" i="9"/>
  <c r="A1" i="9"/>
  <c r="A6" i="3"/>
  <c r="A26" i="2" l="1"/>
  <c r="B25" i="2" a="1"/>
  <c r="B25" i="2" s="1"/>
  <c r="B24" i="75"/>
  <c r="B23" i="75"/>
  <c r="A67" i="9"/>
  <c r="B25" i="75"/>
  <c r="B15" i="75"/>
  <c r="A7" i="3"/>
  <c r="A8" i="3" s="1"/>
  <c r="A27" i="2" l="1"/>
  <c r="B26" i="2" a="1"/>
  <c r="B26" i="2" s="1"/>
  <c r="A68" i="9"/>
  <c r="B38" i="75"/>
  <c r="B53" i="75"/>
  <c r="B36" i="75"/>
  <c r="B37" i="75"/>
  <c r="B35" i="75"/>
  <c r="A10" i="3"/>
  <c r="A28" i="2" l="1"/>
  <c r="B27" i="2" a="1"/>
  <c r="B27" i="2" s="1"/>
  <c r="P5" i="37"/>
  <c r="A5" i="37"/>
  <c r="B39" i="75"/>
  <c r="B40" i="75"/>
  <c r="B48" i="75"/>
  <c r="B47" i="75"/>
  <c r="A69" i="9"/>
  <c r="A70" i="9" s="1"/>
  <c r="A71" i="9" s="1"/>
  <c r="A72" i="9" s="1"/>
  <c r="A73" i="9" s="1"/>
  <c r="A19" i="3"/>
  <c r="A29" i="2" l="1"/>
  <c r="B28" i="2" a="1"/>
  <c r="B28" i="2" s="1"/>
  <c r="A74" i="9"/>
  <c r="A75" i="9" s="1"/>
  <c r="A77" i="9" s="1"/>
  <c r="B1533" i="1"/>
  <c r="A21" i="3"/>
  <c r="A30" i="2" l="1"/>
  <c r="B29" i="2" a="1"/>
  <c r="B29" i="2" s="1"/>
  <c r="A78" i="9"/>
  <c r="B1568" i="1" s="1"/>
  <c r="E1533" i="1"/>
  <c r="B1534" i="1"/>
  <c r="B1535" i="1" s="1"/>
  <c r="A24" i="3"/>
  <c r="A31" i="2" l="1"/>
  <c r="B30" i="2" a="1"/>
  <c r="B30" i="2" s="1"/>
  <c r="E1568" i="1"/>
  <c r="B1569" i="1"/>
  <c r="B1570" i="1" s="1"/>
  <c r="B1571" i="1" s="1"/>
  <c r="B1572" i="1" s="1"/>
  <c r="B1573" i="1" s="1"/>
  <c r="B1574" i="1" s="1"/>
  <c r="B1575" i="1" s="1"/>
  <c r="B1576" i="1" s="1"/>
  <c r="B1577" i="1" s="1"/>
  <c r="B1578" i="1" s="1"/>
  <c r="B1579" i="1" s="1"/>
  <c r="B1580" i="1" s="1"/>
  <c r="B1581" i="1" s="1"/>
  <c r="B1582" i="1" s="1"/>
  <c r="B1583" i="1" s="1"/>
  <c r="B1584" i="1" s="1"/>
  <c r="B1585" i="1" s="1"/>
  <c r="B1586" i="1" s="1"/>
  <c r="B1542" i="1"/>
  <c r="B1536" i="1"/>
  <c r="B1537" i="1" s="1"/>
  <c r="B1538" i="1" s="1"/>
  <c r="B1539" i="1" s="1"/>
  <c r="B1540" i="1" s="1"/>
  <c r="B1541" i="1" s="1"/>
  <c r="A79" i="9"/>
  <c r="A39" i="39" s="1"/>
  <c r="A25" i="3"/>
  <c r="A26" i="3" s="1"/>
  <c r="A27" i="3" s="1"/>
  <c r="A28" i="3" s="1"/>
  <c r="A29" i="3" s="1"/>
  <c r="A30" i="3" s="1"/>
  <c r="A31" i="3" s="1"/>
  <c r="A32" i="3" s="1"/>
  <c r="A33" i="3" s="1"/>
  <c r="A34" i="3" s="1"/>
  <c r="A35" i="3" s="1"/>
  <c r="A36" i="3" s="1"/>
  <c r="A32" i="2" l="1"/>
  <c r="B31" i="2" a="1"/>
  <c r="B31" i="2" s="1"/>
  <c r="B1677" i="1"/>
  <c r="B1678" i="1" s="1"/>
  <c r="B1685" i="1" s="1"/>
  <c r="B1686" i="1" s="1"/>
  <c r="B1687" i="1" s="1"/>
  <c r="B1688" i="1" s="1"/>
  <c r="B1689" i="1" s="1"/>
  <c r="B1690" i="1" s="1"/>
  <c r="B1691" i="1" s="1"/>
  <c r="B1692" i="1" s="1"/>
  <c r="B1693" i="1" s="1"/>
  <c r="B1587" i="1"/>
  <c r="B1588" i="1" s="1"/>
  <c r="B1589" i="1" s="1"/>
  <c r="B1590" i="1" s="1"/>
  <c r="B1591" i="1" s="1"/>
  <c r="B1592" i="1" s="1"/>
  <c r="B1593" i="1" s="1"/>
  <c r="B1594" i="1" s="1"/>
  <c r="B1595" i="1" s="1"/>
  <c r="B1596" i="1" s="1"/>
  <c r="B1597" i="1" s="1"/>
  <c r="B1598" i="1" s="1"/>
  <c r="B1599" i="1" s="1"/>
  <c r="B1600" i="1" s="1"/>
  <c r="B1601" i="1" s="1"/>
  <c r="B1602" i="1" s="1"/>
  <c r="B1603" i="1" s="1"/>
  <c r="A80" i="9"/>
  <c r="A70" i="39" s="1"/>
  <c r="A37" i="3"/>
  <c r="B1696" i="1" l="1"/>
  <c r="B1694" i="1"/>
  <c r="B1695" i="1" s="1"/>
  <c r="B1605" i="1"/>
  <c r="B1606" i="1" s="1"/>
  <c r="B1607" i="1" s="1"/>
  <c r="B1608" i="1" s="1"/>
  <c r="B1609" i="1" s="1"/>
  <c r="B1610" i="1" s="1"/>
  <c r="B1611" i="1" s="1"/>
  <c r="B1612" i="1" s="1"/>
  <c r="B1613" i="1" s="1"/>
  <c r="B1614" i="1" s="1"/>
  <c r="B1615" i="1" s="1"/>
  <c r="B1616" i="1" s="1"/>
  <c r="B1617" i="1" s="1"/>
  <c r="B1618" i="1" s="1"/>
  <c r="B1619" i="1" s="1"/>
  <c r="B1620" i="1" s="1"/>
  <c r="B1621" i="1" s="1"/>
  <c r="B1604" i="1"/>
  <c r="A33" i="2"/>
  <c r="B32" i="2" a="1"/>
  <c r="B32" i="2" s="1"/>
  <c r="B1679" i="1"/>
  <c r="B1680" i="1" s="1"/>
  <c r="B1681" i="1" s="1"/>
  <c r="B1682" i="1" s="1"/>
  <c r="B1683" i="1" s="1"/>
  <c r="B1684" i="1" s="1"/>
  <c r="B1702" i="1"/>
  <c r="B1697" i="1"/>
  <c r="B1698" i="1" s="1"/>
  <c r="B1699" i="1" s="1"/>
  <c r="B1700" i="1" s="1"/>
  <c r="B1701" i="1" s="1"/>
  <c r="A81" i="9"/>
  <c r="A38" i="3"/>
  <c r="B1623" i="1" l="1"/>
  <c r="B1624" i="1" s="1"/>
  <c r="B1625" i="1" s="1"/>
  <c r="B1626" i="1" s="1"/>
  <c r="B1627" i="1" s="1"/>
  <c r="B1628" i="1" s="1"/>
  <c r="B1629" i="1" s="1"/>
  <c r="B1630" i="1" s="1"/>
  <c r="B1631" i="1" s="1"/>
  <c r="B1632" i="1" s="1"/>
  <c r="B1633" i="1" s="1"/>
  <c r="B1634" i="1" s="1"/>
  <c r="B1635" i="1" s="1"/>
  <c r="B1636" i="1" s="1"/>
  <c r="B1637" i="1" s="1"/>
  <c r="B1638" i="1" s="1"/>
  <c r="B1639" i="1" s="1"/>
  <c r="B1622" i="1"/>
  <c r="A34" i="2"/>
  <c r="B33" i="2" a="1"/>
  <c r="B33" i="2" s="1"/>
  <c r="A82" i="9"/>
  <c r="A83" i="9" s="1"/>
  <c r="A84" i="9" s="1"/>
  <c r="A86" i="39"/>
  <c r="A41" i="3"/>
  <c r="B1641" i="1" l="1"/>
  <c r="B1642" i="1" s="1"/>
  <c r="B1643" i="1" s="1"/>
  <c r="B1644" i="1" s="1"/>
  <c r="B1645" i="1" s="1"/>
  <c r="B1646" i="1" s="1"/>
  <c r="B1647" i="1" s="1"/>
  <c r="B1648" i="1" s="1"/>
  <c r="B1649" i="1" s="1"/>
  <c r="B1650" i="1" s="1"/>
  <c r="B1651" i="1" s="1"/>
  <c r="B1652" i="1" s="1"/>
  <c r="B1653" i="1" s="1"/>
  <c r="B1654" i="1" s="1"/>
  <c r="B1655" i="1" s="1"/>
  <c r="B1656" i="1" s="1"/>
  <c r="B1657" i="1" s="1"/>
  <c r="B1640" i="1"/>
  <c r="A35" i="2"/>
  <c r="B34" i="2" a="1"/>
  <c r="B34" i="2" s="1"/>
  <c r="A85" i="9"/>
  <c r="A86" i="9" s="1"/>
  <c r="A87" i="9" s="1"/>
  <c r="A42" i="3"/>
  <c r="A43" i="3" s="1"/>
  <c r="A44" i="3" s="1"/>
  <c r="A45" i="3" s="1"/>
  <c r="A46" i="3" s="1"/>
  <c r="A47" i="3" s="1"/>
  <c r="A48" i="3" s="1"/>
  <c r="A49" i="3" s="1"/>
  <c r="A50" i="3" s="1"/>
  <c r="A51" i="3" s="1"/>
  <c r="A52" i="3" s="1"/>
  <c r="A53" i="3" s="1"/>
  <c r="A54" i="3" s="1"/>
  <c r="A55" i="3" s="1"/>
  <c r="A56" i="3" s="1"/>
  <c r="A57" i="3" s="1"/>
  <c r="A58" i="3" s="1"/>
  <c r="A59" i="3" s="1"/>
  <c r="A60" i="3" s="1"/>
  <c r="A61" i="3" s="1"/>
  <c r="A64" i="3" s="1"/>
  <c r="B1659" i="1" l="1"/>
  <c r="B1660" i="1" s="1"/>
  <c r="B1661" i="1" s="1"/>
  <c r="B1662" i="1" s="1"/>
  <c r="B1663" i="1" s="1"/>
  <c r="B1664" i="1" s="1"/>
  <c r="B1665" i="1" s="1"/>
  <c r="B1666" i="1" s="1"/>
  <c r="B1667" i="1" s="1"/>
  <c r="B1668" i="1" s="1"/>
  <c r="B1669" i="1" s="1"/>
  <c r="B1670" i="1" s="1"/>
  <c r="B1671" i="1" s="1"/>
  <c r="B1672" i="1" s="1"/>
  <c r="B1673" i="1" s="1"/>
  <c r="B1674" i="1" s="1"/>
  <c r="B1675" i="1" s="1"/>
  <c r="B1676" i="1" s="1"/>
  <c r="B1658" i="1"/>
  <c r="A36" i="2"/>
  <c r="B35" i="2" a="1"/>
  <c r="B35" i="2" s="1"/>
  <c r="A88" i="9"/>
  <c r="A89" i="9" s="1"/>
  <c r="A90" i="9" s="1"/>
  <c r="A91" i="9" s="1"/>
  <c r="A92" i="9" s="1"/>
  <c r="A20" i="41"/>
  <c r="S3" i="1"/>
  <c r="A37" i="2" l="1"/>
  <c r="B36" i="2" a="1"/>
  <c r="B36" i="2" s="1"/>
  <c r="A93" i="9"/>
  <c r="A94" i="9" s="1"/>
  <c r="A99" i="9" s="1"/>
  <c r="A100" i="9" s="1"/>
  <c r="A65" i="3"/>
  <c r="N29" i="6"/>
  <c r="M29" i="6"/>
  <c r="K29" i="6"/>
  <c r="J29" i="6"/>
  <c r="I29" i="6"/>
  <c r="H29" i="6"/>
  <c r="G29" i="6"/>
  <c r="A38" i="2" l="1"/>
  <c r="B37" i="2" a="1"/>
  <c r="B37" i="2" s="1"/>
  <c r="A101" i="9"/>
  <c r="A102" i="9" s="1"/>
  <c r="A103" i="9" s="1"/>
  <c r="A66" i="3"/>
  <c r="A39" i="2" l="1"/>
  <c r="B38" i="2" a="1"/>
  <c r="B38" i="2" s="1"/>
  <c r="A67" i="3"/>
  <c r="A68" i="3" s="1"/>
  <c r="A69" i="3" s="1"/>
  <c r="A70" i="3" s="1"/>
  <c r="A71" i="3" s="1"/>
  <c r="A72" i="3" s="1"/>
  <c r="A73" i="3" s="1"/>
  <c r="A74" i="3" s="1"/>
  <c r="A75" i="3" s="1"/>
  <c r="A76" i="3" s="1"/>
  <c r="A77" i="3" s="1"/>
  <c r="A78" i="3" s="1"/>
  <c r="A79" i="3" s="1"/>
  <c r="A80" i="3" s="1"/>
  <c r="A81" i="3" s="1"/>
  <c r="A82" i="3" s="1"/>
  <c r="A83" i="3" s="1"/>
  <c r="A40" i="2" l="1"/>
  <c r="B39" i="2" a="1"/>
  <c r="B39" i="2" s="1"/>
  <c r="A86" i="3"/>
  <c r="A87" i="3" s="1"/>
  <c r="A41" i="2" l="1"/>
  <c r="B40" i="2" a="1"/>
  <c r="B40" i="2" s="1"/>
  <c r="A88" i="3"/>
  <c r="A89" i="3" s="1"/>
  <c r="A92" i="3" s="1"/>
  <c r="V1335" i="1"/>
  <c r="U1335" i="1"/>
  <c r="V1185" i="1"/>
  <c r="U1185" i="1"/>
  <c r="AG139" i="6"/>
  <c r="V139" i="6"/>
  <c r="R139" i="6"/>
  <c r="J139" i="6"/>
  <c r="I139" i="6"/>
  <c r="H139" i="6"/>
  <c r="G139" i="6"/>
  <c r="J138" i="6"/>
  <c r="I138" i="6"/>
  <c r="H138" i="6"/>
  <c r="G138" i="6"/>
  <c r="F24" i="12"/>
  <c r="CM1335" i="1" l="1"/>
  <c r="CP1335" i="1" s="1"/>
  <c r="CP1185" i="1"/>
  <c r="A42" i="2"/>
  <c r="B41" i="2" a="1"/>
  <c r="B41" i="2" s="1"/>
  <c r="A93" i="3"/>
  <c r="A94" i="3" s="1"/>
  <c r="A95" i="3" s="1"/>
  <c r="A96" i="3" s="1"/>
  <c r="A97" i="3" s="1"/>
  <c r="A98" i="3" s="1"/>
  <c r="A99" i="3" s="1"/>
  <c r="A100" i="3" s="1"/>
  <c r="A101" i="3" s="1"/>
  <c r="A102" i="3" s="1"/>
  <c r="A103" i="3" s="1"/>
  <c r="A104" i="3" s="1"/>
  <c r="A105" i="3" s="1"/>
  <c r="A106" i="3" s="1"/>
  <c r="A107" i="3" s="1"/>
  <c r="A108" i="3" s="1"/>
  <c r="A111" i="3" s="1"/>
  <c r="G140" i="6"/>
  <c r="J140" i="6"/>
  <c r="N140" i="6"/>
  <c r="R140" i="6"/>
  <c r="V140" i="6"/>
  <c r="H140" i="6"/>
  <c r="I140" i="6"/>
  <c r="AG140" i="6"/>
  <c r="A43" i="2" l="1"/>
  <c r="B42" i="2" a="1"/>
  <c r="B42" i="2" s="1"/>
  <c r="S1532" i="1"/>
  <c r="T1532" i="1"/>
  <c r="A44" i="2" l="1"/>
  <c r="B43" i="2" a="1"/>
  <c r="B43" i="2" s="1"/>
  <c r="N1532" i="1"/>
  <c r="A45" i="2" l="1"/>
  <c r="B44" i="2" a="1"/>
  <c r="B44" i="2" s="1"/>
  <c r="G6" i="32"/>
  <c r="F6" i="32"/>
  <c r="B2" i="36"/>
  <c r="A46" i="2" l="1"/>
  <c r="B45" i="2" a="1"/>
  <c r="B45" i="2" s="1"/>
  <c r="E224" i="60"/>
  <c r="G233" i="60"/>
  <c r="A47" i="2" l="1"/>
  <c r="B46" i="2" a="1"/>
  <c r="B46" i="2" s="1"/>
  <c r="A112" i="3"/>
  <c r="AG33" i="6"/>
  <c r="AF33" i="6"/>
  <c r="AE33" i="6"/>
  <c r="AD33" i="6"/>
  <c r="AC33" i="6"/>
  <c r="AB33" i="6"/>
  <c r="AA33" i="6"/>
  <c r="Z33" i="6"/>
  <c r="Y33" i="6"/>
  <c r="X33" i="6"/>
  <c r="W33" i="6"/>
  <c r="V33" i="6"/>
  <c r="U33" i="6"/>
  <c r="T33" i="6"/>
  <c r="S33" i="6"/>
  <c r="R33" i="6"/>
  <c r="Q33" i="6"/>
  <c r="P33" i="6"/>
  <c r="N33" i="6"/>
  <c r="J33" i="6"/>
  <c r="I33" i="6"/>
  <c r="H33" i="6"/>
  <c r="G33" i="6"/>
  <c r="B2" i="23"/>
  <c r="B2" i="21"/>
  <c r="B2" i="20"/>
  <c r="B2" i="22"/>
  <c r="A48" i="2" l="1"/>
  <c r="B47" i="2" a="1"/>
  <c r="B47" i="2" s="1"/>
  <c r="A113" i="3"/>
  <c r="A3" i="9"/>
  <c r="B3" i="37" s="1"/>
  <c r="A49" i="2" l="1"/>
  <c r="B48" i="2" a="1"/>
  <c r="B48" i="2" s="1"/>
  <c r="Q3" i="37"/>
  <c r="B3" i="141"/>
  <c r="B3" i="135"/>
  <c r="B3" i="137"/>
  <c r="B3" i="136"/>
  <c r="A31" i="53"/>
  <c r="B3" i="12"/>
  <c r="B3" i="50"/>
  <c r="A3" i="53"/>
  <c r="A3" i="120"/>
  <c r="B2" i="61"/>
  <c r="A2" i="60"/>
  <c r="A2" i="1"/>
  <c r="B2" i="6"/>
  <c r="A114" i="3"/>
  <c r="A115" i="3" s="1"/>
  <c r="A116" i="3" s="1"/>
  <c r="A117" i="3" s="1"/>
  <c r="A50" i="2" l="1"/>
  <c r="B49" i="2" a="1"/>
  <c r="B49" i="2" s="1"/>
  <c r="S2070" i="1"/>
  <c r="C1762" i="1"/>
  <c r="C1763" i="1" s="1"/>
  <c r="C1764" i="1" s="1"/>
  <c r="C1765" i="1" s="1"/>
  <c r="C1544" i="1"/>
  <c r="C1545" i="1" s="1"/>
  <c r="C1546" i="1" s="1"/>
  <c r="C1547" i="1" s="1"/>
  <c r="C1548" i="1" s="1"/>
  <c r="C1523" i="1"/>
  <c r="C1524" i="1" s="1"/>
  <c r="C1525" i="1" s="1"/>
  <c r="C1526" i="1" s="1"/>
  <c r="C1527" i="1" s="1"/>
  <c r="C1528" i="1" s="1"/>
  <c r="C1529" i="1" s="1"/>
  <c r="C1530" i="1" s="1"/>
  <c r="C1531" i="1" s="1"/>
  <c r="C1532" i="1" s="1"/>
  <c r="C1511" i="1"/>
  <c r="C1512" i="1" s="1"/>
  <c r="C1513" i="1" s="1"/>
  <c r="C1514" i="1" s="1"/>
  <c r="C1515" i="1" s="1"/>
  <c r="C1516" i="1" s="1"/>
  <c r="C1517" i="1" s="1"/>
  <c r="C1518" i="1" s="1"/>
  <c r="C1519" i="1" s="1"/>
  <c r="C1520" i="1" s="1"/>
  <c r="C1521" i="1" s="1"/>
  <c r="C1500" i="1"/>
  <c r="C1501" i="1" s="1"/>
  <c r="C1502" i="1" s="1"/>
  <c r="C1503" i="1" s="1"/>
  <c r="C1504" i="1" s="1"/>
  <c r="C1505" i="1" s="1"/>
  <c r="C1506" i="1" s="1"/>
  <c r="C1507" i="1" s="1"/>
  <c r="C1508" i="1" s="1"/>
  <c r="C1509" i="1" s="1"/>
  <c r="C1475" i="1"/>
  <c r="C1476" i="1" s="1"/>
  <c r="C1477" i="1" s="1"/>
  <c r="C1478" i="1" s="1"/>
  <c r="C1479" i="1" s="1"/>
  <c r="C1480" i="1" s="1"/>
  <c r="C1481" i="1" s="1"/>
  <c r="C1482" i="1" s="1"/>
  <c r="C1483" i="1" s="1"/>
  <c r="C1484" i="1" s="1"/>
  <c r="C1485" i="1" s="1"/>
  <c r="C1486" i="1" s="1"/>
  <c r="C1487" i="1" s="1"/>
  <c r="C1488" i="1" s="1"/>
  <c r="C1489" i="1" s="1"/>
  <c r="C1490" i="1" s="1"/>
  <c r="C1491" i="1" s="1"/>
  <c r="C1492" i="1" s="1"/>
  <c r="C1493" i="1" s="1"/>
  <c r="C1494" i="1" s="1"/>
  <c r="C1495" i="1" s="1"/>
  <c r="C1496" i="1" s="1"/>
  <c r="C1497" i="1" s="1"/>
  <c r="C1498" i="1" s="1"/>
  <c r="D1510" i="1"/>
  <c r="D1522" i="1"/>
  <c r="A51" i="2" l="1"/>
  <c r="B50" i="2" a="1"/>
  <c r="B50" i="2" s="1"/>
  <c r="A120" i="3"/>
  <c r="A121" i="3" s="1"/>
  <c r="A122" i="3" s="1"/>
  <c r="A123" i="3" s="1"/>
  <c r="A124" i="3" s="1"/>
  <c r="A125" i="3" s="1"/>
  <c r="A126" i="3" s="1"/>
  <c r="A127" i="3" s="1"/>
  <c r="A128" i="3" s="1"/>
  <c r="A129" i="3" s="1"/>
  <c r="A132" i="3" s="1"/>
  <c r="A133" i="3" s="1"/>
  <c r="N2070" i="1"/>
  <c r="C1550" i="1"/>
  <c r="C1551" i="1" s="1"/>
  <c r="C1552" i="1" s="1"/>
  <c r="C1553" i="1" s="1"/>
  <c r="C1549" i="1"/>
  <c r="C1412" i="1"/>
  <c r="C1413" i="1" s="1"/>
  <c r="C1414" i="1" s="1"/>
  <c r="C1415" i="1" s="1"/>
  <c r="C1416" i="1" s="1"/>
  <c r="C1417" i="1" s="1"/>
  <c r="C1418" i="1" s="1"/>
  <c r="C1419" i="1" s="1"/>
  <c r="C1420" i="1" s="1"/>
  <c r="C1421" i="1" s="1"/>
  <c r="C1422" i="1" s="1"/>
  <c r="C1423" i="1" s="1"/>
  <c r="C1424" i="1" s="1"/>
  <c r="C1425" i="1" s="1"/>
  <c r="C1426" i="1" s="1"/>
  <c r="C1427" i="1" s="1"/>
  <c r="C1428" i="1" s="1"/>
  <c r="C1429" i="1" s="1"/>
  <c r="C1430" i="1" s="1"/>
  <c r="C1431" i="1" s="1"/>
  <c r="C1432" i="1" s="1"/>
  <c r="C1433" i="1" s="1"/>
  <c r="C1434" i="1" s="1"/>
  <c r="C1435" i="1" s="1"/>
  <c r="C1436" i="1" s="1"/>
  <c r="C1437" i="1" s="1"/>
  <c r="C1438" i="1" s="1"/>
  <c r="C1439" i="1" s="1"/>
  <c r="C1440" i="1" s="1"/>
  <c r="C1441" i="1" s="1"/>
  <c r="C1442" i="1" s="1"/>
  <c r="C1443" i="1" s="1"/>
  <c r="C1444" i="1" s="1"/>
  <c r="C1445" i="1" s="1"/>
  <c r="C1446" i="1" s="1"/>
  <c r="C1447" i="1" s="1"/>
  <c r="C1448" i="1" s="1"/>
  <c r="C1449" i="1" s="1"/>
  <c r="C1450" i="1" s="1"/>
  <c r="C1451" i="1" s="1"/>
  <c r="C1452" i="1" s="1"/>
  <c r="C1453" i="1" s="1"/>
  <c r="C1454" i="1" s="1"/>
  <c r="C1455" i="1" s="1"/>
  <c r="C1456" i="1" s="1"/>
  <c r="C1457" i="1" s="1"/>
  <c r="C1458" i="1" s="1"/>
  <c r="C1459" i="1" s="1"/>
  <c r="C1460" i="1" s="1"/>
  <c r="C1461" i="1" s="1"/>
  <c r="C1462" i="1" s="1"/>
  <c r="C1463" i="1" s="1"/>
  <c r="C1464" i="1" s="1"/>
  <c r="C1465" i="1" s="1"/>
  <c r="C1466" i="1" s="1"/>
  <c r="C1467" i="1" s="1"/>
  <c r="C1468" i="1" s="1"/>
  <c r="C1469" i="1" s="1"/>
  <c r="C1470" i="1" s="1"/>
  <c r="C1471" i="1" s="1"/>
  <c r="C1472" i="1" s="1"/>
  <c r="C1473" i="1" s="1"/>
  <c r="A52" i="2" l="1"/>
  <c r="B51" i="2" a="1"/>
  <c r="B51" i="2" s="1"/>
  <c r="A134" i="3"/>
  <c r="A135" i="3" s="1"/>
  <c r="A136" i="3" s="1"/>
  <c r="A137" i="3" s="1"/>
  <c r="A139" i="3" s="1"/>
  <c r="A140" i="3" s="1"/>
  <c r="A141" i="3" s="1"/>
  <c r="A142" i="3" s="1"/>
  <c r="A143" i="3" s="1"/>
  <c r="A144" i="3" s="1"/>
  <c r="A146" i="3" s="1"/>
  <c r="A147" i="3" s="1"/>
  <c r="A148" i="3" s="1"/>
  <c r="A149" i="3" s="1"/>
  <c r="A150" i="3" s="1"/>
  <c r="A151" i="3" s="1"/>
  <c r="C1314" i="1"/>
  <c r="C847" i="1"/>
  <c r="C54" i="34"/>
  <c r="S1216" i="1"/>
  <c r="T1216" i="1"/>
  <c r="AV71" i="22"/>
  <c r="AU71" i="22"/>
  <c r="AT71" i="22"/>
  <c r="AS71" i="22"/>
  <c r="AR71" i="22"/>
  <c r="AQ71" i="22"/>
  <c r="AP71" i="22"/>
  <c r="AO71" i="22"/>
  <c r="AN71" i="22"/>
  <c r="AM71" i="22"/>
  <c r="AL71" i="22"/>
  <c r="AK71" i="22"/>
  <c r="AJ71" i="22"/>
  <c r="AI71" i="22"/>
  <c r="AH71" i="22"/>
  <c r="AG71" i="22"/>
  <c r="AF71" i="22"/>
  <c r="AE71" i="22"/>
  <c r="A53" i="2" l="1"/>
  <c r="B52" i="2" a="1"/>
  <c r="B52" i="2" s="1"/>
  <c r="A153" i="3"/>
  <c r="A154" i="3" s="1"/>
  <c r="A155" i="3" s="1"/>
  <c r="A156" i="3" s="1"/>
  <c r="A157" i="3" s="1"/>
  <c r="A158" i="3" s="1"/>
  <c r="A159" i="3" s="1"/>
  <c r="A160" i="3" s="1"/>
  <c r="A161" i="3" s="1"/>
  <c r="A162" i="3" s="1"/>
  <c r="A163" i="3" s="1"/>
  <c r="A164" i="3" s="1"/>
  <c r="A165" i="3" s="1"/>
  <c r="N1216" i="1"/>
  <c r="CM67" i="22"/>
  <c r="CL67" i="22"/>
  <c r="CJ67" i="22"/>
  <c r="CI67" i="22"/>
  <c r="CH67" i="22"/>
  <c r="CG67" i="22"/>
  <c r="CF67" i="22"/>
  <c r="CM66" i="22"/>
  <c r="CL66" i="22"/>
  <c r="CJ66" i="22"/>
  <c r="CI66" i="22"/>
  <c r="CH66" i="22"/>
  <c r="CG66" i="22"/>
  <c r="CF66" i="22"/>
  <c r="CM65" i="22"/>
  <c r="CL65" i="22"/>
  <c r="CK65" i="22"/>
  <c r="CJ65" i="22"/>
  <c r="CI65" i="22"/>
  <c r="CH65" i="22"/>
  <c r="CG65" i="22"/>
  <c r="CF65" i="22"/>
  <c r="CM64" i="22"/>
  <c r="CL64" i="22"/>
  <c r="CJ64" i="22"/>
  <c r="CI64" i="22"/>
  <c r="CH64" i="22"/>
  <c r="CG64" i="22"/>
  <c r="CF64" i="22"/>
  <c r="CM63" i="22"/>
  <c r="CL63" i="22"/>
  <c r="CJ63" i="22"/>
  <c r="CI63" i="22"/>
  <c r="CH63" i="22"/>
  <c r="CG63" i="22"/>
  <c r="CF63" i="22"/>
  <c r="CM62" i="22"/>
  <c r="CL62" i="22"/>
  <c r="CK62" i="22"/>
  <c r="CJ62" i="22"/>
  <c r="CI62" i="22"/>
  <c r="CH62" i="22"/>
  <c r="CG62" i="22"/>
  <c r="CF62" i="22"/>
  <c r="CM61" i="22"/>
  <c r="CL61" i="22"/>
  <c r="CK61" i="22"/>
  <c r="CJ61" i="22"/>
  <c r="CI61" i="22"/>
  <c r="CH61" i="22"/>
  <c r="CG61" i="22"/>
  <c r="CF61" i="22"/>
  <c r="CM60" i="22"/>
  <c r="CL60" i="22"/>
  <c r="CJ60" i="22"/>
  <c r="CI60" i="22"/>
  <c r="CH60" i="22"/>
  <c r="CG60" i="22"/>
  <c r="CF60" i="22"/>
  <c r="CM59" i="22"/>
  <c r="CL59" i="22"/>
  <c r="CK59" i="22"/>
  <c r="CJ59" i="22"/>
  <c r="CI59" i="22"/>
  <c r="CH59" i="22"/>
  <c r="CG59" i="22"/>
  <c r="CF59" i="22"/>
  <c r="CM58" i="22"/>
  <c r="CL58" i="22"/>
  <c r="CK58" i="22"/>
  <c r="CJ58" i="22"/>
  <c r="CI58" i="22"/>
  <c r="CH58" i="22"/>
  <c r="CG58" i="22"/>
  <c r="CF58" i="22"/>
  <c r="CM57" i="22"/>
  <c r="CL57" i="22"/>
  <c r="CJ57" i="22"/>
  <c r="CI57" i="22"/>
  <c r="CH57" i="22"/>
  <c r="CG57" i="22"/>
  <c r="CF57" i="22"/>
  <c r="CM56" i="22"/>
  <c r="CL56" i="22"/>
  <c r="CJ56" i="22"/>
  <c r="CI56" i="22"/>
  <c r="CH56" i="22"/>
  <c r="CG56" i="22"/>
  <c r="CF56" i="22"/>
  <c r="CM55" i="22"/>
  <c r="CL55" i="22"/>
  <c r="CJ55" i="22"/>
  <c r="CI55" i="22"/>
  <c r="CH55" i="22"/>
  <c r="CG55" i="22"/>
  <c r="CF55" i="22"/>
  <c r="CM53" i="22"/>
  <c r="CL53" i="22"/>
  <c r="CJ53" i="22"/>
  <c r="CI53" i="22"/>
  <c r="CH53" i="22"/>
  <c r="CG53" i="22"/>
  <c r="CF53" i="22"/>
  <c r="CM52" i="22"/>
  <c r="CL52" i="22"/>
  <c r="CJ52" i="22"/>
  <c r="CI52" i="22"/>
  <c r="CH52" i="22"/>
  <c r="CG52" i="22"/>
  <c r="CF52" i="22"/>
  <c r="CM51" i="22"/>
  <c r="CL51" i="22"/>
  <c r="CK51" i="22"/>
  <c r="CJ51" i="22"/>
  <c r="CI51" i="22"/>
  <c r="CH51" i="22"/>
  <c r="CG51" i="22"/>
  <c r="CF51" i="22"/>
  <c r="CM50" i="22"/>
  <c r="CL50" i="22"/>
  <c r="CK50" i="22"/>
  <c r="CJ50" i="22"/>
  <c r="CI50" i="22"/>
  <c r="CH50" i="22"/>
  <c r="CG50" i="22"/>
  <c r="CF50" i="22"/>
  <c r="CM49" i="22"/>
  <c r="CL49" i="22"/>
  <c r="CK49" i="22"/>
  <c r="CJ49" i="22"/>
  <c r="CI49" i="22"/>
  <c r="CH49" i="22"/>
  <c r="CG49" i="22"/>
  <c r="CF49" i="22"/>
  <c r="CM48" i="22"/>
  <c r="CL48" i="22"/>
  <c r="CJ48" i="22"/>
  <c r="CI48" i="22"/>
  <c r="CH48" i="22"/>
  <c r="CG48" i="22"/>
  <c r="CF48" i="22"/>
  <c r="CM47" i="22"/>
  <c r="CL47" i="22"/>
  <c r="CJ47" i="22"/>
  <c r="CI47" i="22"/>
  <c r="CH47" i="22"/>
  <c r="CG47" i="22"/>
  <c r="CF47" i="22"/>
  <c r="CM46" i="22"/>
  <c r="CL46" i="22"/>
  <c r="CJ46" i="22"/>
  <c r="CI46" i="22"/>
  <c r="CH46" i="22"/>
  <c r="CG46" i="22"/>
  <c r="CF46" i="22"/>
  <c r="CM45" i="22"/>
  <c r="CL45" i="22"/>
  <c r="CJ45" i="22"/>
  <c r="CI45" i="22"/>
  <c r="CH45" i="22"/>
  <c r="CG45" i="22"/>
  <c r="CF45" i="22"/>
  <c r="CM44" i="22"/>
  <c r="CL44" i="22"/>
  <c r="CJ44" i="22"/>
  <c r="CI44" i="22"/>
  <c r="CH44" i="22"/>
  <c r="CG44" i="22"/>
  <c r="CF44" i="22"/>
  <c r="CM43" i="22"/>
  <c r="CL43" i="22"/>
  <c r="CJ43" i="22"/>
  <c r="CI43" i="22"/>
  <c r="CH43" i="22"/>
  <c r="CG43" i="22"/>
  <c r="CF43" i="22"/>
  <c r="CM42" i="22"/>
  <c r="CL42" i="22"/>
  <c r="CJ42" i="22"/>
  <c r="CI42" i="22"/>
  <c r="CH42" i="22"/>
  <c r="CG42" i="22"/>
  <c r="CF42" i="22"/>
  <c r="CM41" i="22"/>
  <c r="CL41" i="22"/>
  <c r="CJ41" i="22"/>
  <c r="CI41" i="22"/>
  <c r="CH41" i="22"/>
  <c r="CG41" i="22"/>
  <c r="CF41" i="22"/>
  <c r="CM40" i="22"/>
  <c r="CL40" i="22"/>
  <c r="CJ40" i="22"/>
  <c r="CI40" i="22"/>
  <c r="CH40" i="22"/>
  <c r="CG40" i="22"/>
  <c r="CF40" i="22"/>
  <c r="CM39" i="22"/>
  <c r="CL39" i="22"/>
  <c r="CJ39" i="22"/>
  <c r="CI39" i="22"/>
  <c r="CH39" i="22"/>
  <c r="CG39" i="22"/>
  <c r="CF39" i="22"/>
  <c r="CM38" i="22"/>
  <c r="CL38" i="22"/>
  <c r="CJ38" i="22"/>
  <c r="CI38" i="22"/>
  <c r="CH38" i="22"/>
  <c r="CG38" i="22"/>
  <c r="CF38" i="22"/>
  <c r="CM37" i="22"/>
  <c r="CL37" i="22"/>
  <c r="CJ37" i="22"/>
  <c r="CI37" i="22"/>
  <c r="CH37" i="22"/>
  <c r="CG37" i="22"/>
  <c r="CF37" i="22"/>
  <c r="CM36" i="22"/>
  <c r="CL36" i="22"/>
  <c r="CJ36" i="22"/>
  <c r="CI36" i="22"/>
  <c r="CH36" i="22"/>
  <c r="CG36" i="22"/>
  <c r="CF36" i="22"/>
  <c r="CM35" i="22"/>
  <c r="CL35" i="22"/>
  <c r="CK35" i="22"/>
  <c r="CJ35" i="22"/>
  <c r="CI35" i="22"/>
  <c r="CH35" i="22"/>
  <c r="CG35" i="22"/>
  <c r="CF35" i="22"/>
  <c r="CM34" i="22"/>
  <c r="CL34" i="22"/>
  <c r="CK34" i="22"/>
  <c r="CJ34" i="22"/>
  <c r="CI34" i="22"/>
  <c r="CH34" i="22"/>
  <c r="CG34" i="22"/>
  <c r="CF34" i="22"/>
  <c r="CM33" i="22"/>
  <c r="CL33" i="22"/>
  <c r="CK33" i="22"/>
  <c r="CJ33" i="22"/>
  <c r="CI33" i="22"/>
  <c r="CH33" i="22"/>
  <c r="CG33" i="22"/>
  <c r="CF33" i="22"/>
  <c r="CM32" i="22"/>
  <c r="CL32" i="22"/>
  <c r="CJ32" i="22"/>
  <c r="CI32" i="22"/>
  <c r="CH32" i="22"/>
  <c r="CG32" i="22"/>
  <c r="CF32" i="22"/>
  <c r="CM31" i="22"/>
  <c r="CL31" i="22"/>
  <c r="CJ31" i="22"/>
  <c r="CI31" i="22"/>
  <c r="CH31" i="22"/>
  <c r="CG31" i="22"/>
  <c r="CF31" i="22"/>
  <c r="CM30" i="22"/>
  <c r="CL30" i="22"/>
  <c r="CJ30" i="22"/>
  <c r="CI30" i="22"/>
  <c r="CH30" i="22"/>
  <c r="CG30" i="22"/>
  <c r="CF30" i="22"/>
  <c r="CM29" i="22"/>
  <c r="CL29" i="22"/>
  <c r="CJ29" i="22"/>
  <c r="CI29" i="22"/>
  <c r="CH29" i="22"/>
  <c r="CG29" i="22"/>
  <c r="CF29" i="22"/>
  <c r="CM28" i="22"/>
  <c r="CL28" i="22"/>
  <c r="CJ28" i="22"/>
  <c r="CI28" i="22"/>
  <c r="CH28" i="22"/>
  <c r="CG28" i="22"/>
  <c r="CF28" i="22"/>
  <c r="CM27" i="22"/>
  <c r="CL27" i="22"/>
  <c r="CJ27" i="22"/>
  <c r="CI27" i="22"/>
  <c r="CH27" i="22"/>
  <c r="CG27" i="22"/>
  <c r="CF27" i="22"/>
  <c r="CM26" i="22"/>
  <c r="CL26" i="22"/>
  <c r="CJ26" i="22"/>
  <c r="CI26" i="22"/>
  <c r="CH26" i="22"/>
  <c r="CG26" i="22"/>
  <c r="CF26" i="22"/>
  <c r="CM25" i="22"/>
  <c r="CL25" i="22"/>
  <c r="CJ25" i="22"/>
  <c r="CI25" i="22"/>
  <c r="CH25" i="22"/>
  <c r="CG25" i="22"/>
  <c r="CF25" i="22"/>
  <c r="CM24" i="22"/>
  <c r="CL24" i="22"/>
  <c r="CJ24" i="22"/>
  <c r="CI24" i="22"/>
  <c r="CH24" i="22"/>
  <c r="CG24" i="22"/>
  <c r="CF24" i="22"/>
  <c r="CM23" i="22"/>
  <c r="CL23" i="22"/>
  <c r="CJ23" i="22"/>
  <c r="CI23" i="22"/>
  <c r="CH23" i="22"/>
  <c r="CG23" i="22"/>
  <c r="CF23" i="22"/>
  <c r="CM22" i="22"/>
  <c r="CL22" i="22"/>
  <c r="CJ22" i="22"/>
  <c r="CI22" i="22"/>
  <c r="CH22" i="22"/>
  <c r="CG22" i="22"/>
  <c r="CF22" i="22"/>
  <c r="CM21" i="22"/>
  <c r="CL21" i="22"/>
  <c r="CJ21" i="22"/>
  <c r="CI21" i="22"/>
  <c r="CH21" i="22"/>
  <c r="CG21" i="22"/>
  <c r="CF21" i="22"/>
  <c r="CM20" i="22"/>
  <c r="CL20" i="22"/>
  <c r="CJ20" i="22"/>
  <c r="CI20" i="22"/>
  <c r="CH20" i="22"/>
  <c r="CG20" i="22"/>
  <c r="CF20" i="22"/>
  <c r="CM18" i="22"/>
  <c r="CL18" i="22"/>
  <c r="CJ18" i="22"/>
  <c r="CI18" i="22"/>
  <c r="CH18" i="22"/>
  <c r="CG18" i="22"/>
  <c r="CF18" i="22"/>
  <c r="CM17" i="22"/>
  <c r="CL17" i="22"/>
  <c r="CJ17" i="22"/>
  <c r="CI17" i="22"/>
  <c r="CH17" i="22"/>
  <c r="CG17" i="22"/>
  <c r="CF17" i="22"/>
  <c r="CM16" i="22"/>
  <c r="CL16" i="22"/>
  <c r="CJ16" i="22"/>
  <c r="CI16" i="22"/>
  <c r="CH16" i="22"/>
  <c r="CG16" i="22"/>
  <c r="CF16" i="22"/>
  <c r="CM15" i="22"/>
  <c r="CL15" i="22"/>
  <c r="CJ15" i="22"/>
  <c r="CI15" i="22"/>
  <c r="CH15" i="22"/>
  <c r="CG15" i="22"/>
  <c r="CF15" i="22"/>
  <c r="CM14" i="22"/>
  <c r="CL14" i="22"/>
  <c r="CK14" i="22"/>
  <c r="CJ14" i="22"/>
  <c r="CI14" i="22"/>
  <c r="CH14" i="22"/>
  <c r="CG14" i="22"/>
  <c r="CF14" i="22"/>
  <c r="CM13" i="22"/>
  <c r="CL13" i="22"/>
  <c r="CJ13" i="22"/>
  <c r="CI13" i="22"/>
  <c r="CH13" i="22"/>
  <c r="CG13" i="22"/>
  <c r="CF13" i="22"/>
  <c r="CM12" i="22"/>
  <c r="CL12" i="22"/>
  <c r="CJ12" i="22"/>
  <c r="CI12" i="22"/>
  <c r="CH12" i="22"/>
  <c r="CG12" i="22"/>
  <c r="CF12" i="22"/>
  <c r="CA11" i="22"/>
  <c r="BZ11" i="22"/>
  <c r="BX11" i="22"/>
  <c r="BW11" i="22"/>
  <c r="BV11" i="22"/>
  <c r="BU11" i="22"/>
  <c r="BT11" i="22"/>
  <c r="BS11" i="22"/>
  <c r="BR11" i="22"/>
  <c r="BQ11" i="22"/>
  <c r="BP11" i="22"/>
  <c r="BO11" i="22"/>
  <c r="BN11" i="22"/>
  <c r="BM11" i="22"/>
  <c r="BL11" i="22"/>
  <c r="BK11" i="22"/>
  <c r="DH7" i="22"/>
  <c r="DG7" i="22"/>
  <c r="DF7" i="22"/>
  <c r="DE7" i="22"/>
  <c r="DD7" i="22"/>
  <c r="DC7" i="22"/>
  <c r="DB7" i="22"/>
  <c r="DA7" i="22"/>
  <c r="CZ7" i="22"/>
  <c r="CY7" i="22"/>
  <c r="CX7" i="22"/>
  <c r="CW7" i="22"/>
  <c r="CV7" i="22"/>
  <c r="CU7" i="22"/>
  <c r="CT7" i="22"/>
  <c r="CS7" i="22"/>
  <c r="CR7" i="22"/>
  <c r="CQ7" i="22"/>
  <c r="CP7" i="22"/>
  <c r="CO7" i="22"/>
  <c r="CN7" i="22"/>
  <c r="CK7" i="22"/>
  <c r="CE7" i="22"/>
  <c r="CC7" i="22"/>
  <c r="CB7" i="22"/>
  <c r="CA7" i="22"/>
  <c r="BZ7" i="22"/>
  <c r="BY7" i="22"/>
  <c r="BX7" i="22"/>
  <c r="BW7" i="22"/>
  <c r="BV7" i="22"/>
  <c r="BU7" i="22"/>
  <c r="BT7" i="22"/>
  <c r="BS7" i="22"/>
  <c r="BR7" i="22"/>
  <c r="BQ7" i="22"/>
  <c r="BP7" i="22"/>
  <c r="BO7" i="22"/>
  <c r="BN7" i="22"/>
  <c r="BM7" i="22"/>
  <c r="BL7" i="22"/>
  <c r="BK7" i="22"/>
  <c r="BJ7" i="22"/>
  <c r="BI7" i="22"/>
  <c r="BF7" i="22"/>
  <c r="AZ7" i="22"/>
  <c r="AG18" i="6"/>
  <c r="AF18" i="6"/>
  <c r="AE18" i="6"/>
  <c r="AD18" i="6"/>
  <c r="AC18" i="6"/>
  <c r="AB18" i="6"/>
  <c r="AA18" i="6"/>
  <c r="Z18" i="6"/>
  <c r="Y18" i="6"/>
  <c r="X18" i="6"/>
  <c r="W18" i="6"/>
  <c r="V18" i="6"/>
  <c r="U18" i="6"/>
  <c r="T18" i="6"/>
  <c r="S18" i="6"/>
  <c r="R18" i="6"/>
  <c r="Q18" i="6"/>
  <c r="P18" i="6"/>
  <c r="N18" i="6"/>
  <c r="J18" i="6"/>
  <c r="I18" i="6"/>
  <c r="H18" i="6"/>
  <c r="G18" i="6"/>
  <c r="AI17" i="6"/>
  <c r="AI16" i="6" s="1"/>
  <c r="AH17" i="6"/>
  <c r="AH16" i="6" s="1"/>
  <c r="AG17" i="6"/>
  <c r="AG16" i="6" s="1"/>
  <c r="AF17" i="6"/>
  <c r="AF16" i="6" s="1"/>
  <c r="AE17" i="6"/>
  <c r="AE16" i="6" s="1"/>
  <c r="AD17" i="6"/>
  <c r="AD16" i="6" s="1"/>
  <c r="AC17" i="6"/>
  <c r="AC16" i="6" s="1"/>
  <c r="AB17" i="6"/>
  <c r="AB16" i="6" s="1"/>
  <c r="AA17" i="6"/>
  <c r="AA16" i="6" s="1"/>
  <c r="Z17" i="6"/>
  <c r="Z16" i="6" s="1"/>
  <c r="Y17" i="6"/>
  <c r="Y16" i="6" s="1"/>
  <c r="X17" i="6"/>
  <c r="X16" i="6" s="1"/>
  <c r="W17" i="6"/>
  <c r="W16" i="6" s="1"/>
  <c r="V17" i="6"/>
  <c r="V16" i="6" s="1"/>
  <c r="U17" i="6"/>
  <c r="U16" i="6" s="1"/>
  <c r="T17" i="6"/>
  <c r="T16" i="6" s="1"/>
  <c r="S17" i="6"/>
  <c r="S16" i="6" s="1"/>
  <c r="R17" i="6"/>
  <c r="R16" i="6" s="1"/>
  <c r="Q17" i="6"/>
  <c r="Q16" i="6" s="1"/>
  <c r="P17" i="6"/>
  <c r="P16" i="6" s="1"/>
  <c r="O17" i="6"/>
  <c r="N17" i="6"/>
  <c r="M17" i="6"/>
  <c r="J17" i="6"/>
  <c r="J16" i="6" s="1"/>
  <c r="I17" i="6"/>
  <c r="I16" i="6" s="1"/>
  <c r="H17" i="6"/>
  <c r="H16" i="6" s="1"/>
  <c r="G17" i="6"/>
  <c r="G16" i="6" s="1"/>
  <c r="A54" i="2" l="1"/>
  <c r="B53" i="2" a="1"/>
  <c r="B53" i="2" s="1"/>
  <c r="T1220" i="1"/>
  <c r="F47" i="34" s="1"/>
  <c r="F57" i="34" s="1"/>
  <c r="A55" i="2" l="1"/>
  <c r="B54" i="2" a="1"/>
  <c r="B54" i="2" s="1"/>
  <c r="N1220" i="1"/>
  <c r="T1221" i="1"/>
  <c r="G47" i="34" s="1"/>
  <c r="G57" i="34" s="1"/>
  <c r="A56" i="2" l="1"/>
  <c r="B55" i="2" a="1"/>
  <c r="B55" i="2" s="1"/>
  <c r="N1221" i="1"/>
  <c r="A57" i="2" l="1"/>
  <c r="B56" i="2" a="1"/>
  <c r="B56" i="2" s="1"/>
  <c r="T1231" i="1"/>
  <c r="A58" i="2" l="1"/>
  <c r="B57" i="2" a="1"/>
  <c r="B57" i="2" s="1"/>
  <c r="N1231" i="1"/>
  <c r="E59" i="34" s="1"/>
  <c r="E49" i="34"/>
  <c r="T1232" i="1"/>
  <c r="F49" i="34" s="1"/>
  <c r="A59" i="2" l="1"/>
  <c r="B58" i="2" a="1"/>
  <c r="B58" i="2" s="1"/>
  <c r="N1232" i="1"/>
  <c r="F59" i="34" s="1"/>
  <c r="T1234" i="1"/>
  <c r="H49" i="34" s="1"/>
  <c r="T1233" i="1"/>
  <c r="G49" i="34" s="1"/>
  <c r="A60" i="2" l="1"/>
  <c r="B59" i="2" a="1"/>
  <c r="B59" i="2" s="1"/>
  <c r="I49" i="34"/>
  <c r="N1234" i="1"/>
  <c r="H59" i="34" s="1"/>
  <c r="N1233" i="1"/>
  <c r="G59" i="34" s="1"/>
  <c r="A61" i="2" l="1"/>
  <c r="B60" i="2" a="1"/>
  <c r="B60" i="2" s="1"/>
  <c r="I59" i="34"/>
  <c r="G61" i="40"/>
  <c r="B53" i="31"/>
  <c r="B6" i="31"/>
  <c r="B57" i="29"/>
  <c r="B6" i="29"/>
  <c r="Q429" i="1"/>
  <c r="P429" i="1"/>
  <c r="O429" i="1"/>
  <c r="O7" i="27"/>
  <c r="Q6" i="27"/>
  <c r="O6" i="27"/>
  <c r="O7" i="26"/>
  <c r="Q6" i="26"/>
  <c r="O6" i="26"/>
  <c r="L52" i="36"/>
  <c r="L38" i="36"/>
  <c r="L37" i="36"/>
  <c r="L26" i="36"/>
  <c r="L25" i="36"/>
  <c r="L15" i="36"/>
  <c r="L12" i="36"/>
  <c r="N52" i="36"/>
  <c r="N26" i="36"/>
  <c r="N25" i="36"/>
  <c r="N15" i="36"/>
  <c r="N12" i="36"/>
  <c r="N6" i="36"/>
  <c r="L6" i="36"/>
  <c r="I40" i="36"/>
  <c r="G208" i="60" s="1"/>
  <c r="G40" i="36"/>
  <c r="F208" i="60" s="1"/>
  <c r="I56" i="35"/>
  <c r="G206" i="60" s="1"/>
  <c r="G56" i="35"/>
  <c r="F206" i="60" s="1"/>
  <c r="N39" i="35"/>
  <c r="N26" i="35"/>
  <c r="N14" i="35"/>
  <c r="L54" i="35"/>
  <c r="L39" i="35"/>
  <c r="L38" i="35"/>
  <c r="L32" i="35"/>
  <c r="L26" i="35"/>
  <c r="L13" i="35"/>
  <c r="L20" i="35"/>
  <c r="L14" i="35"/>
  <c r="N8" i="35"/>
  <c r="L8" i="35"/>
  <c r="N7" i="35"/>
  <c r="L7" i="35"/>
  <c r="E144" i="60"/>
  <c r="E143" i="60"/>
  <c r="Y12" i="23"/>
  <c r="T12" i="23"/>
  <c r="V9" i="23"/>
  <c r="Q9" i="23"/>
  <c r="S71" i="22"/>
  <c r="S73" i="22"/>
  <c r="Q73" i="22"/>
  <c r="Q7" i="22"/>
  <c r="S7" i="22" s="1"/>
  <c r="S6" i="22"/>
  <c r="Q6" i="22"/>
  <c r="B6" i="22"/>
  <c r="AX6" i="22"/>
  <c r="AW6" i="22"/>
  <c r="AV6" i="22"/>
  <c r="AU6" i="22"/>
  <c r="AT6" i="22"/>
  <c r="AS6" i="22"/>
  <c r="AR6" i="22"/>
  <c r="AQ6" i="22"/>
  <c r="AP6" i="22"/>
  <c r="AO6" i="22"/>
  <c r="AN6" i="22"/>
  <c r="AM6" i="22"/>
  <c r="AL6" i="22"/>
  <c r="AK6" i="22"/>
  <c r="AJ6" i="22"/>
  <c r="AI6" i="22"/>
  <c r="AH6" i="22"/>
  <c r="AG6" i="22"/>
  <c r="AF6" i="22"/>
  <c r="AE6" i="22"/>
  <c r="AD6" i="22"/>
  <c r="T10" i="21"/>
  <c r="V10" i="21" s="1"/>
  <c r="V9" i="21"/>
  <c r="T9" i="21"/>
  <c r="P10" i="2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2097" i="1"/>
  <c r="S2096" i="1"/>
  <c r="S2095" i="1"/>
  <c r="S2094" i="1"/>
  <c r="S2093" i="1"/>
  <c r="S2092" i="1"/>
  <c r="S2091" i="1"/>
  <c r="S2090" i="1"/>
  <c r="S2089" i="1"/>
  <c r="S2088" i="1"/>
  <c r="S2087" i="1"/>
  <c r="S2086" i="1"/>
  <c r="S2031" i="1"/>
  <c r="S2030" i="1"/>
  <c r="S2029" i="1"/>
  <c r="S2028" i="1"/>
  <c r="S2027" i="1"/>
  <c r="S2026" i="1"/>
  <c r="S2025" i="1"/>
  <c r="S2024" i="1"/>
  <c r="S2023" i="1"/>
  <c r="S2022" i="1"/>
  <c r="S2021" i="1"/>
  <c r="S2020" i="1"/>
  <c r="S2018" i="1"/>
  <c r="S2017" i="1"/>
  <c r="S2016" i="1"/>
  <c r="S2015" i="1"/>
  <c r="S2014" i="1"/>
  <c r="S2013" i="1"/>
  <c r="S2012" i="1"/>
  <c r="S2011" i="1"/>
  <c r="S2010" i="1"/>
  <c r="S2009" i="1"/>
  <c r="S2008" i="1"/>
  <c r="S2007"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6" i="1"/>
  <c r="S1975" i="1"/>
  <c r="S1974" i="1"/>
  <c r="S1973" i="1"/>
  <c r="S1972" i="1"/>
  <c r="S1971" i="1"/>
  <c r="S1970" i="1"/>
  <c r="S1969" i="1"/>
  <c r="S1968" i="1"/>
  <c r="S1967" i="1"/>
  <c r="S1966" i="1"/>
  <c r="S1965" i="1"/>
  <c r="S1964" i="1"/>
  <c r="S1944" i="1"/>
  <c r="S1943" i="1"/>
  <c r="S1942" i="1"/>
  <c r="S1941" i="1"/>
  <c r="S1940" i="1"/>
  <c r="S1939" i="1"/>
  <c r="S1938" i="1"/>
  <c r="S1937" i="1"/>
  <c r="S1918" i="1"/>
  <c r="S1906" i="1"/>
  <c r="S1898" i="1"/>
  <c r="S1897" i="1"/>
  <c r="S1896" i="1"/>
  <c r="S1892" i="1"/>
  <c r="S1889" i="1"/>
  <c r="S1888" i="1"/>
  <c r="S1887" i="1"/>
  <c r="S1886" i="1"/>
  <c r="S1885" i="1"/>
  <c r="S1884" i="1"/>
  <c r="S1883" i="1"/>
  <c r="S1882" i="1"/>
  <c r="S1881" i="1"/>
  <c r="S1880" i="1"/>
  <c r="S1879" i="1"/>
  <c r="S1878" i="1"/>
  <c r="S1877" i="1"/>
  <c r="S1876" i="1"/>
  <c r="S1875" i="1"/>
  <c r="S1845" i="1"/>
  <c r="S1842" i="1"/>
  <c r="S1841" i="1"/>
  <c r="S1840" i="1"/>
  <c r="S1832" i="1"/>
  <c r="S1553" i="1"/>
  <c r="S1552" i="1"/>
  <c r="S1550" i="1"/>
  <c r="S1549" i="1"/>
  <c r="S1548" i="1"/>
  <c r="S1547" i="1"/>
  <c r="S1546" i="1"/>
  <c r="S1545" i="1"/>
  <c r="S1544" i="1"/>
  <c r="S1543" i="1"/>
  <c r="S1764" i="1"/>
  <c r="S1763" i="1"/>
  <c r="S1762" i="1"/>
  <c r="S1760" i="1"/>
  <c r="S1749" i="1"/>
  <c r="S1745" i="1"/>
  <c r="S1744" i="1"/>
  <c r="S1741" i="1"/>
  <c r="S1740" i="1"/>
  <c r="S1739" i="1"/>
  <c r="S1738" i="1"/>
  <c r="S1736" i="1"/>
  <c r="S1734" i="1"/>
  <c r="S1733" i="1"/>
  <c r="S1732" i="1"/>
  <c r="S1731" i="1"/>
  <c r="S1730" i="1"/>
  <c r="S1729" i="1"/>
  <c r="S1728" i="1"/>
  <c r="S1726" i="1"/>
  <c r="S1725" i="1"/>
  <c r="S1724" i="1"/>
  <c r="S1723" i="1"/>
  <c r="S1722" i="1"/>
  <c r="S1721" i="1"/>
  <c r="S1719" i="1"/>
  <c r="S1714" i="1"/>
  <c r="S1703" i="1"/>
  <c r="S1759" i="1"/>
  <c r="S1758" i="1"/>
  <c r="S1757" i="1"/>
  <c r="S1756" i="1"/>
  <c r="S1755" i="1"/>
  <c r="S1566" i="1"/>
  <c r="S1565" i="1"/>
  <c r="S1564" i="1"/>
  <c r="S1563" i="1"/>
  <c r="S1562" i="1"/>
  <c r="S1561" i="1"/>
  <c r="S1560" i="1"/>
  <c r="S1559" i="1"/>
  <c r="S1558" i="1"/>
  <c r="S1557" i="1"/>
  <c r="S1556" i="1"/>
  <c r="S1555" i="1"/>
  <c r="S1554" i="1"/>
  <c r="S1409" i="1"/>
  <c r="S1408" i="1"/>
  <c r="S1407" i="1"/>
  <c r="S1406" i="1"/>
  <c r="S1404" i="1"/>
  <c r="S1403" i="1"/>
  <c r="S1402" i="1"/>
  <c r="S1401" i="1"/>
  <c r="S1399" i="1"/>
  <c r="S1398" i="1"/>
  <c r="S1397" i="1"/>
  <c r="S1396" i="1"/>
  <c r="S1394" i="1"/>
  <c r="S1393" i="1"/>
  <c r="S1392" i="1"/>
  <c r="S1391" i="1"/>
  <c r="S1389" i="1"/>
  <c r="S1388" i="1"/>
  <c r="S1387" i="1"/>
  <c r="S1386" i="1"/>
  <c r="S1384" i="1"/>
  <c r="S1383" i="1"/>
  <c r="S1382" i="1"/>
  <c r="S1381" i="1"/>
  <c r="S1376" i="1"/>
  <c r="S1375" i="1"/>
  <c r="S1374" i="1"/>
  <c r="S1373" i="1"/>
  <c r="S1372" i="1"/>
  <c r="S1371" i="1"/>
  <c r="S1369" i="1"/>
  <c r="S1368" i="1"/>
  <c r="S1367" i="1"/>
  <c r="S1366" i="1"/>
  <c r="S1365" i="1"/>
  <c r="S1364" i="1"/>
  <c r="S1362" i="1"/>
  <c r="S1361" i="1"/>
  <c r="S1360" i="1"/>
  <c r="S1359" i="1"/>
  <c r="S1358" i="1"/>
  <c r="S1357" i="1"/>
  <c r="S1355" i="1"/>
  <c r="S1354" i="1"/>
  <c r="S1353" i="1"/>
  <c r="S1352" i="1"/>
  <c r="S1351" i="1"/>
  <c r="S1350" i="1"/>
  <c r="S1348" i="1"/>
  <c r="S1347" i="1"/>
  <c r="S1346" i="1"/>
  <c r="S1345" i="1"/>
  <c r="S1344" i="1"/>
  <c r="S1343" i="1"/>
  <c r="S1341" i="1"/>
  <c r="S1340" i="1"/>
  <c r="S1339" i="1"/>
  <c r="S1338" i="1"/>
  <c r="S1337" i="1"/>
  <c r="S1336" i="1"/>
  <c r="S1335" i="1"/>
  <c r="S1334" i="1"/>
  <c r="S1333" i="1"/>
  <c r="S1332" i="1"/>
  <c r="S1331" i="1"/>
  <c r="S1330" i="1"/>
  <c r="S1329" i="1"/>
  <c r="S1320" i="1"/>
  <c r="S1319" i="1"/>
  <c r="S1318" i="1"/>
  <c r="S1317" i="1"/>
  <c r="S1316" i="1"/>
  <c r="S1315" i="1"/>
  <c r="S1314" i="1"/>
  <c r="S1313" i="1"/>
  <c r="S1312" i="1"/>
  <c r="S1308" i="1"/>
  <c r="N1308" i="1" s="1"/>
  <c r="S1302" i="1"/>
  <c r="N1302" i="1" s="1"/>
  <c r="S1301" i="1"/>
  <c r="N1301" i="1" s="1"/>
  <c r="S1299" i="1"/>
  <c r="N1299" i="1" s="1"/>
  <c r="S1297" i="1"/>
  <c r="N1297" i="1" s="1"/>
  <c r="S1296" i="1"/>
  <c r="N1296" i="1" s="1"/>
  <c r="S1288" i="1"/>
  <c r="N1288" i="1" s="1"/>
  <c r="S1287" i="1"/>
  <c r="N1287" i="1" s="1"/>
  <c r="S1285" i="1"/>
  <c r="N1285" i="1" s="1"/>
  <c r="S1277" i="1"/>
  <c r="N1277" i="1" s="1"/>
  <c r="S1272" i="1"/>
  <c r="N1272" i="1" s="1"/>
  <c r="S1270" i="1"/>
  <c r="S1269" i="1"/>
  <c r="S1268" i="1"/>
  <c r="N1268" i="1" s="1"/>
  <c r="S1261" i="1"/>
  <c r="N1261" i="1" s="1"/>
  <c r="S1254" i="1"/>
  <c r="N1254" i="1" s="1"/>
  <c r="S1252" i="1"/>
  <c r="N1252" i="1" s="1"/>
  <c r="S1251" i="1"/>
  <c r="N1251" i="1" s="1"/>
  <c r="S1244" i="1"/>
  <c r="N1244" i="1" s="1"/>
  <c r="S1243" i="1"/>
  <c r="N1243" i="1" s="1"/>
  <c r="S1236" i="1"/>
  <c r="S1235" i="1"/>
  <c r="S1215" i="1"/>
  <c r="S1214" i="1"/>
  <c r="S1213" i="1"/>
  <c r="S1212" i="1"/>
  <c r="S1211" i="1"/>
  <c r="S1210" i="1"/>
  <c r="S1208" i="1"/>
  <c r="S1207" i="1"/>
  <c r="S1206" i="1"/>
  <c r="S1205" i="1"/>
  <c r="S1204" i="1"/>
  <c r="S1203" i="1"/>
  <c r="S1202" i="1"/>
  <c r="S1201" i="1"/>
  <c r="S1200" i="1"/>
  <c r="S1198" i="1"/>
  <c r="S1197" i="1"/>
  <c r="S1196" i="1"/>
  <c r="S1195" i="1"/>
  <c r="S1194" i="1"/>
  <c r="S1193" i="1"/>
  <c r="S1192" i="1"/>
  <c r="S1186" i="1"/>
  <c r="N1186" i="1" s="1"/>
  <c r="S1184" i="1"/>
  <c r="S1183" i="1"/>
  <c r="S1182" i="1"/>
  <c r="S1181" i="1"/>
  <c r="S1180" i="1"/>
  <c r="S1179" i="1"/>
  <c r="S1176" i="1"/>
  <c r="N1176" i="1" s="1"/>
  <c r="S1175" i="1"/>
  <c r="N1175" i="1" s="1"/>
  <c r="S1174" i="1"/>
  <c r="N1174" i="1" s="1"/>
  <c r="S1173" i="1"/>
  <c r="N1173" i="1" s="1"/>
  <c r="S1172" i="1"/>
  <c r="N1172" i="1" s="1"/>
  <c r="S1171" i="1"/>
  <c r="N1171" i="1" s="1"/>
  <c r="S1168" i="1"/>
  <c r="N1168" i="1" s="1"/>
  <c r="S1167" i="1"/>
  <c r="N1167" i="1" s="1"/>
  <c r="S1166" i="1"/>
  <c r="N1166" i="1" s="1"/>
  <c r="S1165" i="1"/>
  <c r="N1165" i="1" s="1"/>
  <c r="S1164" i="1"/>
  <c r="N1164" i="1" s="1"/>
  <c r="S1163" i="1"/>
  <c r="N1163" i="1" s="1"/>
  <c r="S1161" i="1"/>
  <c r="S1159" i="1"/>
  <c r="N1159" i="1" s="1"/>
  <c r="S1158" i="1"/>
  <c r="S1152" i="1"/>
  <c r="N1152" i="1" s="1"/>
  <c r="S1151" i="1"/>
  <c r="N1151" i="1" s="1"/>
  <c r="S1147" i="1"/>
  <c r="S1114" i="1"/>
  <c r="N1114" i="1" s="1"/>
  <c r="S1100" i="1"/>
  <c r="N1100" i="1" s="1"/>
  <c r="S1078" i="1"/>
  <c r="N1078" i="1" s="1"/>
  <c r="S1064" i="1"/>
  <c r="N1064" i="1" s="1"/>
  <c r="S1042" i="1"/>
  <c r="N1042" i="1" s="1"/>
  <c r="S1028" i="1"/>
  <c r="N1028" i="1" s="1"/>
  <c r="S1006" i="1"/>
  <c r="N1006" i="1" s="1"/>
  <c r="S992" i="1"/>
  <c r="N992" i="1" s="1"/>
  <c r="S970" i="1"/>
  <c r="N970" i="1" s="1"/>
  <c r="S956" i="1"/>
  <c r="N956" i="1" s="1"/>
  <c r="S950" i="1"/>
  <c r="N950" i="1" s="1"/>
  <c r="S934" i="1"/>
  <c r="N934" i="1" s="1"/>
  <c r="S920" i="1"/>
  <c r="N920" i="1" s="1"/>
  <c r="S898" i="1"/>
  <c r="N898" i="1" s="1"/>
  <c r="S884" i="1"/>
  <c r="N884" i="1" s="1"/>
  <c r="S862" i="1"/>
  <c r="N862" i="1" s="1"/>
  <c r="S848" i="1"/>
  <c r="N848" i="1" s="1"/>
  <c r="S847" i="1"/>
  <c r="N847" i="1" s="1"/>
  <c r="S846" i="1"/>
  <c r="S845" i="1"/>
  <c r="N845" i="1" s="1"/>
  <c r="S844" i="1"/>
  <c r="N844" i="1" s="1"/>
  <c r="S843" i="1"/>
  <c r="S842" i="1"/>
  <c r="N842" i="1" s="1"/>
  <c r="S841" i="1"/>
  <c r="N841" i="1" s="1"/>
  <c r="S840" i="1"/>
  <c r="N840" i="1" s="1"/>
  <c r="S839" i="1"/>
  <c r="N839" i="1" s="1"/>
  <c r="S838" i="1"/>
  <c r="N838" i="1" s="1"/>
  <c r="S837" i="1"/>
  <c r="S836" i="1"/>
  <c r="N836" i="1" s="1"/>
  <c r="S835" i="1"/>
  <c r="N835" i="1" s="1"/>
  <c r="S834" i="1"/>
  <c r="N834" i="1" s="1"/>
  <c r="S833" i="1"/>
  <c r="N833" i="1" s="1"/>
  <c r="S832" i="1"/>
  <c r="N832" i="1" s="1"/>
  <c r="S830" i="1"/>
  <c r="N830" i="1" s="1"/>
  <c r="S829" i="1"/>
  <c r="N829" i="1" s="1"/>
  <c r="S828" i="1"/>
  <c r="N828" i="1" s="1"/>
  <c r="S827" i="1"/>
  <c r="N827" i="1" s="1"/>
  <c r="S826" i="1"/>
  <c r="N826" i="1" s="1"/>
  <c r="S818" i="1"/>
  <c r="S817" i="1"/>
  <c r="S816" i="1"/>
  <c r="S815" i="1"/>
  <c r="S814" i="1"/>
  <c r="S812" i="1"/>
  <c r="S811" i="1"/>
  <c r="S810" i="1"/>
  <c r="S809" i="1"/>
  <c r="S808" i="1"/>
  <c r="S807" i="1"/>
  <c r="S793" i="1"/>
  <c r="N793" i="1" s="1"/>
  <c r="S792" i="1"/>
  <c r="N792" i="1" s="1"/>
  <c r="S759" i="1"/>
  <c r="N759" i="1" s="1"/>
  <c r="S758" i="1"/>
  <c r="N758" i="1" s="1"/>
  <c r="S755" i="1"/>
  <c r="N755" i="1" s="1"/>
  <c r="S754" i="1"/>
  <c r="N754" i="1" s="1"/>
  <c r="S752" i="1"/>
  <c r="N752" i="1" s="1"/>
  <c r="S721" i="1"/>
  <c r="N721" i="1" s="1"/>
  <c r="S720" i="1"/>
  <c r="N720" i="1" s="1"/>
  <c r="S717" i="1"/>
  <c r="N717" i="1" s="1"/>
  <c r="S716" i="1"/>
  <c r="N716" i="1" s="1"/>
  <c r="S714" i="1"/>
  <c r="N714" i="1" s="1"/>
  <c r="S683" i="1"/>
  <c r="N683" i="1" s="1"/>
  <c r="S682" i="1"/>
  <c r="N682" i="1" s="1"/>
  <c r="S679" i="1"/>
  <c r="N679" i="1" s="1"/>
  <c r="S678" i="1"/>
  <c r="N678" i="1" s="1"/>
  <c r="S676" i="1"/>
  <c r="N676" i="1" s="1"/>
  <c r="S645" i="1"/>
  <c r="N645" i="1" s="1"/>
  <c r="S644" i="1"/>
  <c r="N644" i="1" s="1"/>
  <c r="S641" i="1"/>
  <c r="N641" i="1" s="1"/>
  <c r="S640" i="1"/>
  <c r="N640" i="1" s="1"/>
  <c r="S638" i="1"/>
  <c r="N638" i="1" s="1"/>
  <c r="S607" i="1"/>
  <c r="N607" i="1" s="1"/>
  <c r="S606" i="1"/>
  <c r="N606" i="1" s="1"/>
  <c r="S603" i="1"/>
  <c r="N603" i="1" s="1"/>
  <c r="S602" i="1"/>
  <c r="N602" i="1" s="1"/>
  <c r="S600" i="1"/>
  <c r="N600" i="1" s="1"/>
  <c r="S569" i="1"/>
  <c r="N569" i="1" s="1"/>
  <c r="S565" i="1"/>
  <c r="N565" i="1" s="1"/>
  <c r="S564" i="1"/>
  <c r="N564" i="1" s="1"/>
  <c r="S562" i="1"/>
  <c r="N562" i="1" s="1"/>
  <c r="S531" i="1"/>
  <c r="N531" i="1" s="1"/>
  <c r="S528" i="1"/>
  <c r="N528" i="1" s="1"/>
  <c r="S527" i="1"/>
  <c r="N527" i="1" s="1"/>
  <c r="S494" i="1"/>
  <c r="N494" i="1" s="1"/>
  <c r="S493" i="1"/>
  <c r="N493" i="1" s="1"/>
  <c r="S492" i="1"/>
  <c r="S491" i="1"/>
  <c r="S490" i="1"/>
  <c r="N490" i="1" s="1"/>
  <c r="S489" i="1"/>
  <c r="N489" i="1" s="1"/>
  <c r="S488" i="1"/>
  <c r="S487" i="1"/>
  <c r="N487" i="1" s="1"/>
  <c r="S486" i="1"/>
  <c r="N486" i="1" s="1"/>
  <c r="S485" i="1"/>
  <c r="S484" i="1"/>
  <c r="N484" i="1" s="1"/>
  <c r="S483" i="1"/>
  <c r="N483" i="1" s="1"/>
  <c r="S482" i="1"/>
  <c r="N482" i="1" s="1"/>
  <c r="S481" i="1"/>
  <c r="N481" i="1" s="1"/>
  <c r="S470" i="1"/>
  <c r="N470" i="1" s="1"/>
  <c r="S461" i="1"/>
  <c r="N461" i="1" s="1"/>
  <c r="S460" i="1"/>
  <c r="S432" i="1"/>
  <c r="N432" i="1" s="1"/>
  <c r="S430" i="1"/>
  <c r="N430" i="1" s="1"/>
  <c r="S427" i="1"/>
  <c r="N427" i="1" s="1"/>
  <c r="S391" i="1"/>
  <c r="S390" i="1"/>
  <c r="S389" i="1"/>
  <c r="S373" i="1"/>
  <c r="S359" i="1"/>
  <c r="S358" i="1"/>
  <c r="S357" i="1"/>
  <c r="S356" i="1"/>
  <c r="N356" i="1" s="1"/>
  <c r="S355" i="1"/>
  <c r="N355" i="1" s="1"/>
  <c r="S354" i="1"/>
  <c r="N354" i="1" s="1"/>
  <c r="S353" i="1"/>
  <c r="N353" i="1" s="1"/>
  <c r="S352" i="1"/>
  <c r="N352" i="1" s="1"/>
  <c r="S351" i="1"/>
  <c r="N351" i="1" s="1"/>
  <c r="S350" i="1"/>
  <c r="N350" i="1" s="1"/>
  <c r="S349" i="1"/>
  <c r="N349" i="1" s="1"/>
  <c r="S348" i="1"/>
  <c r="N348" i="1" s="1"/>
  <c r="S347" i="1"/>
  <c r="N347" i="1" s="1"/>
  <c r="S346" i="1"/>
  <c r="N346" i="1" s="1"/>
  <c r="S345" i="1"/>
  <c r="N345" i="1" s="1"/>
  <c r="S344" i="1"/>
  <c r="N344" i="1" s="1"/>
  <c r="S343" i="1"/>
  <c r="S341" i="1"/>
  <c r="S340" i="1"/>
  <c r="N340" i="1" s="1"/>
  <c r="S339" i="1"/>
  <c r="N339" i="1" s="1"/>
  <c r="S338" i="1"/>
  <c r="N338" i="1" s="1"/>
  <c r="S337" i="1"/>
  <c r="N337" i="1" s="1"/>
  <c r="S336" i="1"/>
  <c r="N336" i="1" s="1"/>
  <c r="S335" i="1"/>
  <c r="N335" i="1" s="1"/>
  <c r="S334" i="1"/>
  <c r="N334" i="1" s="1"/>
  <c r="S333" i="1"/>
  <c r="N333" i="1" s="1"/>
  <c r="S332" i="1"/>
  <c r="N332" i="1" s="1"/>
  <c r="S331" i="1"/>
  <c r="N331" i="1" s="1"/>
  <c r="S330" i="1"/>
  <c r="N330" i="1" s="1"/>
  <c r="S329" i="1"/>
  <c r="N329" i="1" s="1"/>
  <c r="S328" i="1"/>
  <c r="S326" i="1"/>
  <c r="N326" i="1" s="1"/>
  <c r="S325" i="1"/>
  <c r="S324" i="1"/>
  <c r="S323" i="1"/>
  <c r="N323" i="1" s="1"/>
  <c r="S322" i="1"/>
  <c r="N322" i="1" s="1"/>
  <c r="S321" i="1"/>
  <c r="N321" i="1" s="1"/>
  <c r="S320" i="1"/>
  <c r="N320" i="1" s="1"/>
  <c r="S319" i="1"/>
  <c r="N319" i="1" s="1"/>
  <c r="S318" i="1"/>
  <c r="N318" i="1" s="1"/>
  <c r="S317" i="1"/>
  <c r="N317" i="1" s="1"/>
  <c r="S316" i="1"/>
  <c r="N316" i="1" s="1"/>
  <c r="S315" i="1"/>
  <c r="N315" i="1" s="1"/>
  <c r="S314" i="1"/>
  <c r="N314" i="1" s="1"/>
  <c r="S313" i="1"/>
  <c r="N313" i="1" s="1"/>
  <c r="S312" i="1"/>
  <c r="N312" i="1" s="1"/>
  <c r="S311" i="1"/>
  <c r="S309" i="1"/>
  <c r="S308" i="1"/>
  <c r="S307" i="1"/>
  <c r="S306" i="1"/>
  <c r="N306" i="1" s="1"/>
  <c r="S305" i="1"/>
  <c r="S304" i="1"/>
  <c r="S303" i="1"/>
  <c r="S302" i="1"/>
  <c r="S301" i="1"/>
  <c r="S300" i="1"/>
  <c r="S299" i="1"/>
  <c r="S298" i="1"/>
  <c r="S297" i="1"/>
  <c r="S296" i="1"/>
  <c r="N296" i="1" s="1"/>
  <c r="S295" i="1"/>
  <c r="N295" i="1" s="1"/>
  <c r="S294" i="1"/>
  <c r="S293" i="1"/>
  <c r="S292" i="1"/>
  <c r="S291" i="1"/>
  <c r="S290" i="1"/>
  <c r="S289" i="1"/>
  <c r="S288" i="1"/>
  <c r="S287" i="1"/>
  <c r="S285" i="1"/>
  <c r="N285" i="1" s="1"/>
  <c r="S284" i="1"/>
  <c r="N284" i="1" s="1"/>
  <c r="S283" i="1"/>
  <c r="N283" i="1" s="1"/>
  <c r="S282" i="1"/>
  <c r="N282" i="1" s="1"/>
  <c r="S281" i="1"/>
  <c r="N281" i="1" s="1"/>
  <c r="S280" i="1"/>
  <c r="N280" i="1" s="1"/>
  <c r="S279" i="1"/>
  <c r="N279" i="1" s="1"/>
  <c r="S278" i="1"/>
  <c r="N278" i="1" s="1"/>
  <c r="S276" i="1"/>
  <c r="N276" i="1" s="1"/>
  <c r="S275" i="1"/>
  <c r="N275" i="1" s="1"/>
  <c r="S274" i="1"/>
  <c r="N274" i="1" s="1"/>
  <c r="S273" i="1"/>
  <c r="N273" i="1" s="1"/>
  <c r="S272" i="1"/>
  <c r="N272" i="1" s="1"/>
  <c r="S271" i="1"/>
  <c r="N271" i="1" s="1"/>
  <c r="S269" i="1"/>
  <c r="N269" i="1" s="1"/>
  <c r="S268" i="1"/>
  <c r="N268" i="1" s="1"/>
  <c r="S267" i="1"/>
  <c r="N267" i="1" s="1"/>
  <c r="S266" i="1"/>
  <c r="N266" i="1" s="1"/>
  <c r="S265" i="1"/>
  <c r="N265" i="1" s="1"/>
  <c r="S264" i="1"/>
  <c r="N264" i="1" s="1"/>
  <c r="S263" i="1"/>
  <c r="N263" i="1" s="1"/>
  <c r="S262" i="1"/>
  <c r="N262" i="1" s="1"/>
  <c r="S260" i="1"/>
  <c r="N260" i="1" s="1"/>
  <c r="S259" i="1"/>
  <c r="N259" i="1" s="1"/>
  <c r="S258" i="1"/>
  <c r="N258" i="1" s="1"/>
  <c r="S257" i="1"/>
  <c r="N257" i="1" s="1"/>
  <c r="S256" i="1"/>
  <c r="N256" i="1" s="1"/>
  <c r="S255" i="1"/>
  <c r="N255" i="1" s="1"/>
  <c r="S253" i="1"/>
  <c r="N253" i="1" s="1"/>
  <c r="S252" i="1"/>
  <c r="N252" i="1" s="1"/>
  <c r="S251" i="1"/>
  <c r="N251" i="1" s="1"/>
  <c r="S249" i="1"/>
  <c r="N249" i="1" s="1"/>
  <c r="S248" i="1"/>
  <c r="N248" i="1" s="1"/>
  <c r="S247" i="1"/>
  <c r="N247" i="1" s="1"/>
  <c r="S246" i="1"/>
  <c r="N246" i="1" s="1"/>
  <c r="S245" i="1"/>
  <c r="N245" i="1" s="1"/>
  <c r="S244" i="1"/>
  <c r="S243" i="1"/>
  <c r="N243" i="1" s="1"/>
  <c r="S242" i="1"/>
  <c r="N242" i="1" s="1"/>
  <c r="S241" i="1"/>
  <c r="N241" i="1" s="1"/>
  <c r="S240" i="1"/>
  <c r="N240" i="1" s="1"/>
  <c r="S239" i="1"/>
  <c r="N239" i="1" s="1"/>
  <c r="S236" i="1"/>
  <c r="N236" i="1" s="1"/>
  <c r="S235" i="1"/>
  <c r="N235" i="1" s="1"/>
  <c r="S234" i="1"/>
  <c r="N234" i="1" s="1"/>
  <c r="S233" i="1"/>
  <c r="N233" i="1" s="1"/>
  <c r="S232" i="1"/>
  <c r="N232" i="1" s="1"/>
  <c r="S231" i="1"/>
  <c r="N231" i="1" s="1"/>
  <c r="S230" i="1"/>
  <c r="N230" i="1" s="1"/>
  <c r="S229" i="1"/>
  <c r="N229" i="1" s="1"/>
  <c r="S227" i="1"/>
  <c r="N227" i="1" s="1"/>
  <c r="S226" i="1"/>
  <c r="N226" i="1" s="1"/>
  <c r="S225" i="1"/>
  <c r="N225" i="1" s="1"/>
  <c r="S224" i="1"/>
  <c r="N224" i="1" s="1"/>
  <c r="S223" i="1"/>
  <c r="N223" i="1" s="1"/>
  <c r="S222" i="1"/>
  <c r="S221" i="1"/>
  <c r="N221" i="1" s="1"/>
  <c r="S220" i="1"/>
  <c r="N220" i="1" s="1"/>
  <c r="S219" i="1"/>
  <c r="N219" i="1" s="1"/>
  <c r="S218" i="1"/>
  <c r="N218" i="1" s="1"/>
  <c r="S217" i="1"/>
  <c r="N217" i="1" s="1"/>
  <c r="S214" i="1"/>
  <c r="N214" i="1" s="1"/>
  <c r="S213" i="1"/>
  <c r="N213" i="1" s="1"/>
  <c r="S212" i="1"/>
  <c r="N212" i="1" s="1"/>
  <c r="S211" i="1"/>
  <c r="N211" i="1" s="1"/>
  <c r="S210" i="1"/>
  <c r="N210" i="1" s="1"/>
  <c r="S209" i="1"/>
  <c r="N209" i="1" s="1"/>
  <c r="S208" i="1"/>
  <c r="N208" i="1" s="1"/>
  <c r="S207" i="1"/>
  <c r="N207" i="1" s="1"/>
  <c r="S205" i="1"/>
  <c r="N205" i="1" s="1"/>
  <c r="S204" i="1"/>
  <c r="N204" i="1" s="1"/>
  <c r="S203" i="1"/>
  <c r="S202" i="1"/>
  <c r="N202" i="1" s="1"/>
  <c r="S200" i="1"/>
  <c r="N200" i="1" s="1"/>
  <c r="S199" i="1"/>
  <c r="N199" i="1" s="1"/>
  <c r="S198" i="1"/>
  <c r="N198" i="1" s="1"/>
  <c r="S197" i="1"/>
  <c r="N197" i="1" s="1"/>
  <c r="S195" i="1"/>
  <c r="S194" i="1"/>
  <c r="S193" i="1"/>
  <c r="N193" i="1" s="1"/>
  <c r="S192" i="1"/>
  <c r="S191" i="1"/>
  <c r="S190" i="1"/>
  <c r="N190" i="1" s="1"/>
  <c r="S189" i="1"/>
  <c r="N189" i="1" s="1"/>
  <c r="S186" i="1"/>
  <c r="S185" i="1"/>
  <c r="S184" i="1"/>
  <c r="S183" i="1"/>
  <c r="S182" i="1"/>
  <c r="S181" i="1"/>
  <c r="N181" i="1" s="1"/>
  <c r="S180" i="1"/>
  <c r="S178" i="1"/>
  <c r="N178" i="1" s="1"/>
  <c r="S176" i="1"/>
  <c r="N176" i="1" s="1"/>
  <c r="S174" i="1"/>
  <c r="N174" i="1" s="1"/>
  <c r="S173" i="1"/>
  <c r="N173" i="1" s="1"/>
  <c r="S172" i="1"/>
  <c r="N172" i="1" s="1"/>
  <c r="S171" i="1"/>
  <c r="N171" i="1" s="1"/>
  <c r="S170" i="1"/>
  <c r="S169" i="1"/>
  <c r="S168" i="1"/>
  <c r="N168" i="1" s="1"/>
  <c r="S167" i="1"/>
  <c r="S166" i="1"/>
  <c r="S165" i="1"/>
  <c r="N165" i="1" s="1"/>
  <c r="S164" i="1"/>
  <c r="N164" i="1" s="1"/>
  <c r="S161" i="1"/>
  <c r="N161" i="1" s="1"/>
  <c r="S159" i="1"/>
  <c r="S158" i="1"/>
  <c r="N158" i="1" s="1"/>
  <c r="S157" i="1"/>
  <c r="S156" i="1"/>
  <c r="S155" i="1"/>
  <c r="S154" i="1"/>
  <c r="S153" i="1"/>
  <c r="N153" i="1" s="1"/>
  <c r="S152" i="1"/>
  <c r="N152" i="1" s="1"/>
  <c r="S150" i="1"/>
  <c r="N150" i="1" s="1"/>
  <c r="S149" i="1"/>
  <c r="N149" i="1" s="1"/>
  <c r="S148" i="1"/>
  <c r="S147" i="1"/>
  <c r="S146" i="1"/>
  <c r="S142" i="1"/>
  <c r="S141" i="1"/>
  <c r="N141" i="1" s="1"/>
  <c r="S138" i="1"/>
  <c r="S135" i="1"/>
  <c r="S134" i="1"/>
  <c r="S133" i="1"/>
  <c r="N133" i="1" s="1"/>
  <c r="S131" i="1"/>
  <c r="N131" i="1" s="1"/>
  <c r="S130" i="1"/>
  <c r="N130" i="1" s="1"/>
  <c r="S128" i="1"/>
  <c r="N128" i="1" s="1"/>
  <c r="S127" i="1"/>
  <c r="S126" i="1"/>
  <c r="N126" i="1" s="1"/>
  <c r="S125" i="1"/>
  <c r="S124" i="1"/>
  <c r="S123" i="1"/>
  <c r="S122" i="1"/>
  <c r="S121" i="1"/>
  <c r="S120" i="1"/>
  <c r="S118" i="1"/>
  <c r="S117" i="1"/>
  <c r="N117" i="1" s="1"/>
  <c r="S113" i="1"/>
  <c r="N113" i="1" s="1"/>
  <c r="S108" i="1"/>
  <c r="N108" i="1" s="1"/>
  <c r="S107" i="1"/>
  <c r="N107" i="1" s="1"/>
  <c r="S105" i="1"/>
  <c r="S100" i="1"/>
  <c r="N100" i="1" s="1"/>
  <c r="S95" i="1"/>
  <c r="S94" i="1"/>
  <c r="S91" i="1"/>
  <c r="N91" i="1" s="1"/>
  <c r="S88" i="1"/>
  <c r="S87" i="1"/>
  <c r="S86" i="1"/>
  <c r="N86" i="1" s="1"/>
  <c r="S84" i="1"/>
  <c r="N84" i="1" s="1"/>
  <c r="S82" i="1"/>
  <c r="N82" i="1" s="1"/>
  <c r="S80" i="1"/>
  <c r="N80" i="1" s="1"/>
  <c r="S79" i="1"/>
  <c r="N79" i="1" s="1"/>
  <c r="S78" i="1"/>
  <c r="N78" i="1" s="1"/>
  <c r="S77" i="1"/>
  <c r="N77" i="1" s="1"/>
  <c r="S76" i="1"/>
  <c r="N76" i="1" s="1"/>
  <c r="S75" i="1"/>
  <c r="N75" i="1" s="1"/>
  <c r="S73" i="1"/>
  <c r="S71" i="1"/>
  <c r="S69" i="1"/>
  <c r="N69" i="1" s="1"/>
  <c r="S68" i="1"/>
  <c r="N68" i="1" s="1"/>
  <c r="S67" i="1"/>
  <c r="N67" i="1" s="1"/>
  <c r="S64" i="1"/>
  <c r="N64" i="1" s="1"/>
  <c r="S62" i="1"/>
  <c r="S60" i="1"/>
  <c r="S58" i="1"/>
  <c r="N58" i="1" s="1"/>
  <c r="S56" i="1"/>
  <c r="N56" i="1" s="1"/>
  <c r="S54" i="1"/>
  <c r="N54" i="1" s="1"/>
  <c r="S52" i="1"/>
  <c r="S51" i="1"/>
  <c r="S50" i="1"/>
  <c r="N50" i="1" s="1"/>
  <c r="S42" i="1"/>
  <c r="S41" i="1"/>
  <c r="S40" i="1"/>
  <c r="S38" i="1"/>
  <c r="N38" i="1" s="1"/>
  <c r="S37" i="1"/>
  <c r="N37" i="1" s="1"/>
  <c r="S36" i="1"/>
  <c r="N36" i="1" s="1"/>
  <c r="S35" i="1"/>
  <c r="S34" i="1"/>
  <c r="S31" i="1"/>
  <c r="S30" i="1"/>
  <c r="N30" i="1" s="1"/>
  <c r="S10" i="1"/>
  <c r="N10" i="1" s="1"/>
  <c r="S9" i="1"/>
  <c r="N9" i="1" s="1"/>
  <c r="A62" i="2" l="1"/>
  <c r="B61" i="2" a="1"/>
  <c r="B61" i="2" s="1"/>
  <c r="K132" i="6"/>
  <c r="K19" i="6"/>
  <c r="N34" i="1"/>
  <c r="S820" i="1"/>
  <c r="N820" i="1" s="1"/>
  <c r="S1844" i="1"/>
  <c r="N1844" i="1" s="1"/>
  <c r="S824" i="1"/>
  <c r="N824" i="1" s="1"/>
  <c r="S821" i="1"/>
  <c r="N821" i="1" s="1"/>
  <c r="S822" i="1"/>
  <c r="N822" i="1" s="1"/>
  <c r="S1843" i="1"/>
  <c r="S825" i="1"/>
  <c r="N825" i="1" s="1"/>
  <c r="S823" i="1"/>
  <c r="N823" i="1" s="1"/>
  <c r="S1837" i="1"/>
  <c r="K136" i="6" s="1"/>
  <c r="N38" i="35"/>
  <c r="N20" i="35"/>
  <c r="N13" i="35"/>
  <c r="N37" i="36"/>
  <c r="N32" i="35"/>
  <c r="N54" i="35"/>
  <c r="N38" i="36"/>
  <c r="K17" i="6"/>
  <c r="B1832" i="1"/>
  <c r="B1833" i="1" s="1"/>
  <c r="B1834" i="1" s="1"/>
  <c r="B1835" i="1" s="1"/>
  <c r="B1836" i="1" s="1"/>
  <c r="B1837" i="1" s="1"/>
  <c r="B1838" i="1" s="1"/>
  <c r="B287" i="1"/>
  <c r="B485" i="1"/>
  <c r="S136" i="1"/>
  <c r="A63" i="2" l="1"/>
  <c r="B62" i="2" a="1"/>
  <c r="B62" i="2" s="1"/>
  <c r="B1839" i="1"/>
  <c r="B1840" i="1" s="1"/>
  <c r="B1841" i="1" s="1"/>
  <c r="B1842" i="1" s="1"/>
  <c r="B1843" i="1" s="1"/>
  <c r="B1844" i="1" s="1"/>
  <c r="B1845" i="1" s="1"/>
  <c r="B1846" i="1"/>
  <c r="K144" i="6"/>
  <c r="N1837" i="1"/>
  <c r="F136" i="6" s="1"/>
  <c r="E136" i="6" s="1"/>
  <c r="K145" i="6"/>
  <c r="S1130" i="1"/>
  <c r="S1094" i="1"/>
  <c r="S1022" i="1"/>
  <c r="N1022" i="1" s="1"/>
  <c r="S1058" i="1"/>
  <c r="S986" i="1"/>
  <c r="S914" i="1"/>
  <c r="N914" i="1" s="1"/>
  <c r="S878" i="1"/>
  <c r="N878" i="1" s="1"/>
  <c r="S790" i="1"/>
  <c r="N790" i="1" s="1"/>
  <c r="S525" i="1"/>
  <c r="N525" i="1" s="1"/>
  <c r="A64" i="2" l="1"/>
  <c r="B63" i="2" a="1"/>
  <c r="B63" i="2" s="1"/>
  <c r="F144" i="6"/>
  <c r="B1853" i="1"/>
  <c r="B1854" i="1" s="1"/>
  <c r="B1855" i="1" s="1"/>
  <c r="B1856" i="1" s="1"/>
  <c r="B1857" i="1" s="1"/>
  <c r="B1858" i="1" s="1"/>
  <c r="B1859" i="1" s="1"/>
  <c r="B1847" i="1"/>
  <c r="B1848" i="1" s="1"/>
  <c r="B1849" i="1" s="1"/>
  <c r="B1850" i="1" s="1"/>
  <c r="B1851" i="1" s="1"/>
  <c r="B1852" i="1" s="1"/>
  <c r="N1094" i="1"/>
  <c r="N986" i="1"/>
  <c r="N1130" i="1"/>
  <c r="N1058" i="1"/>
  <c r="K146" i="6"/>
  <c r="A65" i="2" l="1"/>
  <c r="B64" i="2" a="1"/>
  <c r="B64" i="2" s="1"/>
  <c r="B1861" i="1"/>
  <c r="B1862" i="1" s="1"/>
  <c r="B1863" i="1" s="1"/>
  <c r="B1864" i="1" s="1"/>
  <c r="B1865" i="1" s="1"/>
  <c r="B1866" i="1" s="1"/>
  <c r="B1867" i="1" s="1"/>
  <c r="B1868" i="1" s="1"/>
  <c r="B1869" i="1" s="1"/>
  <c r="B1870" i="1" s="1"/>
  <c r="B1871" i="1" s="1"/>
  <c r="B1872" i="1" s="1"/>
  <c r="B1873" i="1" s="1"/>
  <c r="B1874" i="1" s="1"/>
  <c r="B2098" i="1" s="1"/>
  <c r="B2099" i="1" s="1"/>
  <c r="B2100" i="1" s="1"/>
  <c r="B2101" i="1" s="1"/>
  <c r="B2102" i="1" s="1"/>
  <c r="B2103" i="1" s="1"/>
  <c r="B1860" i="1"/>
  <c r="AX2032" i="1"/>
  <c r="AX2019" i="1"/>
  <c r="AX1977" i="1"/>
  <c r="AX1551" i="1"/>
  <c r="AX1765" i="1"/>
  <c r="AX1754" i="1"/>
  <c r="AX1748" i="1"/>
  <c r="AX1742" i="1"/>
  <c r="AX1735" i="1"/>
  <c r="AX1737" i="1" s="1"/>
  <c r="AX1567" i="1"/>
  <c r="AX1410" i="1"/>
  <c r="AX1405" i="1"/>
  <c r="AX1400" i="1"/>
  <c r="AX1395" i="1"/>
  <c r="AX1390" i="1"/>
  <c r="AX1385" i="1"/>
  <c r="AX1380" i="1"/>
  <c r="AX1375" i="1"/>
  <c r="AX1370" i="1"/>
  <c r="AX1363" i="1"/>
  <c r="AX1356" i="1"/>
  <c r="AX1349" i="1"/>
  <c r="AX1342" i="1"/>
  <c r="AX1328" i="1"/>
  <c r="AX1321" i="1"/>
  <c r="AX1307" i="1"/>
  <c r="AX1303" i="1"/>
  <c r="AX1298" i="1"/>
  <c r="AX1293" i="1"/>
  <c r="AX1263" i="1"/>
  <c r="AX1259" i="1"/>
  <c r="AX1253" i="1"/>
  <c r="AX1211" i="1"/>
  <c r="AX1203" i="1"/>
  <c r="AX1199" i="1"/>
  <c r="AX1177" i="1"/>
  <c r="AX1169" i="1"/>
  <c r="AX1156" i="1"/>
  <c r="AX1153" i="1"/>
  <c r="AX1150" i="1"/>
  <c r="AX1129" i="1"/>
  <c r="AX1117" i="1"/>
  <c r="AX1127" i="1" s="1"/>
  <c r="AX1103" i="1"/>
  <c r="AX1113" i="1" s="1"/>
  <c r="AX1093" i="1"/>
  <c r="AX1081" i="1"/>
  <c r="AX1091" i="1" s="1"/>
  <c r="AX1067" i="1"/>
  <c r="AX1077" i="1" s="1"/>
  <c r="AX1057" i="1"/>
  <c r="AX1045" i="1"/>
  <c r="AX1055" i="1" s="1"/>
  <c r="AX1031" i="1"/>
  <c r="AX1041" i="1" s="1"/>
  <c r="AX1021" i="1"/>
  <c r="AX1009" i="1"/>
  <c r="AX1019" i="1" s="1"/>
  <c r="AX995" i="1"/>
  <c r="AX1005" i="1" s="1"/>
  <c r="AX985" i="1"/>
  <c r="AX973" i="1"/>
  <c r="AX983" i="1" s="1"/>
  <c r="AX959" i="1"/>
  <c r="AX969" i="1" s="1"/>
  <c r="AX955" i="1"/>
  <c r="AX949" i="1"/>
  <c r="AX937" i="1"/>
  <c r="AX947" i="1" s="1"/>
  <c r="AX923" i="1"/>
  <c r="AX933" i="1" s="1"/>
  <c r="AX913" i="1"/>
  <c r="AX901" i="1"/>
  <c r="AX911" i="1" s="1"/>
  <c r="AX887" i="1"/>
  <c r="AX897" i="1" s="1"/>
  <c r="AX877" i="1"/>
  <c r="AX865" i="1"/>
  <c r="AX875" i="1" s="1"/>
  <c r="AX851" i="1"/>
  <c r="AX861" i="1" s="1"/>
  <c r="AX831" i="1"/>
  <c r="AX819" i="1"/>
  <c r="AX813" i="1"/>
  <c r="AX777" i="1"/>
  <c r="AX787" i="1" s="1"/>
  <c r="AX762" i="1"/>
  <c r="AX773" i="1" s="1"/>
  <c r="AX757" i="1"/>
  <c r="AX739" i="1"/>
  <c r="AX749" i="1" s="1"/>
  <c r="AX724" i="1"/>
  <c r="AX751" i="1" s="1"/>
  <c r="AX701" i="1"/>
  <c r="AX711" i="1" s="1"/>
  <c r="AX686" i="1"/>
  <c r="AX697" i="1" s="1"/>
  <c r="AX681" i="1"/>
  <c r="AX663" i="1"/>
  <c r="AX673" i="1" s="1"/>
  <c r="AX648" i="1"/>
  <c r="AX675" i="1" s="1"/>
  <c r="AX643" i="1"/>
  <c r="AX625" i="1"/>
  <c r="AX635" i="1" s="1"/>
  <c r="AX610" i="1"/>
  <c r="AX637" i="1" s="1"/>
  <c r="AX605" i="1"/>
  <c r="AX587" i="1"/>
  <c r="AX597" i="1" s="1"/>
  <c r="AX572" i="1"/>
  <c r="AX599" i="1" s="1"/>
  <c r="AX567" i="1"/>
  <c r="AX549" i="1"/>
  <c r="AX559" i="1" s="1"/>
  <c r="AX534" i="1"/>
  <c r="AX561" i="1" s="1"/>
  <c r="AX522" i="1"/>
  <c r="AX497" i="1"/>
  <c r="AX524" i="1" s="1"/>
  <c r="AX478" i="1"/>
  <c r="AX425" i="1"/>
  <c r="AX406" i="1"/>
  <c r="AX387" i="1"/>
  <c r="AX372" i="1"/>
  <c r="AX342" i="1"/>
  <c r="AX327" i="1"/>
  <c r="AX310" i="1"/>
  <c r="AX277" i="1"/>
  <c r="AX254" i="1"/>
  <c r="AX261" i="1" s="1"/>
  <c r="AX270" i="1" s="1"/>
  <c r="AX237" i="1"/>
  <c r="AX215" i="1"/>
  <c r="AX206" i="1"/>
  <c r="AX187" i="1"/>
  <c r="AX162" i="1"/>
  <c r="AX151" i="1"/>
  <c r="AX139" i="1"/>
  <c r="AX132" i="1"/>
  <c r="AX119" i="1"/>
  <c r="AX92" i="1"/>
  <c r="AX83" i="1"/>
  <c r="AX70" i="1"/>
  <c r="AX59" i="1"/>
  <c r="AX49" i="1"/>
  <c r="AX20" i="1"/>
  <c r="AX11" i="1"/>
  <c r="BA2032" i="1"/>
  <c r="BA2019" i="1"/>
  <c r="BA1977" i="1"/>
  <c r="BA1551" i="1"/>
  <c r="BA1765" i="1"/>
  <c r="BA1754" i="1"/>
  <c r="BA1748" i="1"/>
  <c r="BA1742" i="1"/>
  <c r="BA1735" i="1"/>
  <c r="BA1737" i="1" s="1"/>
  <c r="BA1567" i="1"/>
  <c r="BA1410" i="1"/>
  <c r="BA1405" i="1"/>
  <c r="BA1400" i="1"/>
  <c r="BA1395" i="1"/>
  <c r="BA1390" i="1"/>
  <c r="BA1385" i="1"/>
  <c r="BA1380" i="1"/>
  <c r="BA1375" i="1"/>
  <c r="BA1370" i="1"/>
  <c r="BA1363" i="1"/>
  <c r="BA1356" i="1"/>
  <c r="BA1349" i="1"/>
  <c r="BA1342" i="1"/>
  <c r="BA1328" i="1"/>
  <c r="BA1321" i="1"/>
  <c r="BA1307" i="1"/>
  <c r="BA1303" i="1"/>
  <c r="BA1298" i="1"/>
  <c r="BA1293" i="1"/>
  <c r="BA1263" i="1"/>
  <c r="BA1259" i="1"/>
  <c r="BA1253" i="1"/>
  <c r="BA1211" i="1"/>
  <c r="BA1203" i="1"/>
  <c r="BA1199" i="1"/>
  <c r="BA1177" i="1"/>
  <c r="BA1169" i="1"/>
  <c r="BA1156" i="1"/>
  <c r="BA1153" i="1"/>
  <c r="BA1150" i="1"/>
  <c r="BA1129" i="1"/>
  <c r="BA1117" i="1"/>
  <c r="BA1127" i="1" s="1"/>
  <c r="BA1103" i="1"/>
  <c r="BA1113" i="1" s="1"/>
  <c r="BA1093" i="1"/>
  <c r="BA1081" i="1"/>
  <c r="BA1091" i="1" s="1"/>
  <c r="BA1067" i="1"/>
  <c r="BA1077" i="1" s="1"/>
  <c r="BA1057" i="1"/>
  <c r="BA1045" i="1"/>
  <c r="BA1055" i="1" s="1"/>
  <c r="BA1031" i="1"/>
  <c r="BA1041" i="1" s="1"/>
  <c r="BA1021" i="1"/>
  <c r="BA1009" i="1"/>
  <c r="BA1019" i="1" s="1"/>
  <c r="BA995" i="1"/>
  <c r="BA1005" i="1" s="1"/>
  <c r="BA985" i="1"/>
  <c r="BA973" i="1"/>
  <c r="BA983" i="1" s="1"/>
  <c r="BA959" i="1"/>
  <c r="BA969" i="1" s="1"/>
  <c r="BA955" i="1"/>
  <c r="BA949" i="1"/>
  <c r="BA937" i="1"/>
  <c r="BA947" i="1" s="1"/>
  <c r="BA923" i="1"/>
  <c r="BA933" i="1" s="1"/>
  <c r="BA913" i="1"/>
  <c r="BA901" i="1"/>
  <c r="BA911" i="1" s="1"/>
  <c r="BA887" i="1"/>
  <c r="BA897" i="1" s="1"/>
  <c r="BA877" i="1"/>
  <c r="BA865" i="1"/>
  <c r="BA875" i="1" s="1"/>
  <c r="BA851" i="1"/>
  <c r="BA861" i="1" s="1"/>
  <c r="BA831" i="1"/>
  <c r="BA819" i="1"/>
  <c r="BA813" i="1"/>
  <c r="BA777" i="1"/>
  <c r="BA787" i="1" s="1"/>
  <c r="BA762" i="1"/>
  <c r="BA789" i="1" s="1"/>
  <c r="BA757" i="1"/>
  <c r="BA739" i="1"/>
  <c r="BA749" i="1" s="1"/>
  <c r="BA724" i="1"/>
  <c r="BA751" i="1" s="1"/>
  <c r="BA701" i="1"/>
  <c r="BA711" i="1" s="1"/>
  <c r="BA686" i="1"/>
  <c r="BA697" i="1" s="1"/>
  <c r="BA681" i="1"/>
  <c r="BA663" i="1"/>
  <c r="BA673" i="1" s="1"/>
  <c r="BA648" i="1"/>
  <c r="BA675" i="1" s="1"/>
  <c r="BA643" i="1"/>
  <c r="BA625" i="1"/>
  <c r="BA635" i="1" s="1"/>
  <c r="BA610" i="1"/>
  <c r="BA621" i="1" s="1"/>
  <c r="BA605" i="1"/>
  <c r="BA587" i="1"/>
  <c r="BA597" i="1" s="1"/>
  <c r="BA572" i="1"/>
  <c r="BA599" i="1" s="1"/>
  <c r="BA567" i="1"/>
  <c r="BA549" i="1"/>
  <c r="BA559" i="1" s="1"/>
  <c r="BA534" i="1"/>
  <c r="BA561" i="1" s="1"/>
  <c r="BA522" i="1"/>
  <c r="BA497" i="1"/>
  <c r="BA524" i="1" s="1"/>
  <c r="BA478" i="1"/>
  <c r="BA425" i="1"/>
  <c r="BA406" i="1"/>
  <c r="BA387" i="1"/>
  <c r="BA372" i="1"/>
  <c r="BA342" i="1"/>
  <c r="BA327" i="1"/>
  <c r="BA310" i="1"/>
  <c r="BA277" i="1"/>
  <c r="BA254" i="1"/>
  <c r="BA261" i="1" s="1"/>
  <c r="BA270" i="1" s="1"/>
  <c r="BA237" i="1"/>
  <c r="BA215" i="1"/>
  <c r="BA206" i="1"/>
  <c r="BA187" i="1"/>
  <c r="BA162" i="1"/>
  <c r="BA151" i="1"/>
  <c r="BA139" i="1"/>
  <c r="BA132" i="1"/>
  <c r="BA119" i="1"/>
  <c r="BA92" i="1"/>
  <c r="BA83" i="1"/>
  <c r="BA70" i="1"/>
  <c r="BA59" i="1"/>
  <c r="BA49" i="1"/>
  <c r="BA20" i="1"/>
  <c r="BA11" i="1"/>
  <c r="U1977" i="1"/>
  <c r="U1551" i="1"/>
  <c r="U1742" i="1"/>
  <c r="U1735" i="1"/>
  <c r="U1567" i="1"/>
  <c r="U1410" i="1"/>
  <c r="U1405" i="1"/>
  <c r="U1400" i="1"/>
  <c r="U1395" i="1"/>
  <c r="U1390" i="1"/>
  <c r="U1385" i="1"/>
  <c r="U1375" i="1"/>
  <c r="U1370" i="1"/>
  <c r="U1363" i="1"/>
  <c r="U1356" i="1"/>
  <c r="U1349" i="1"/>
  <c r="U1342" i="1"/>
  <c r="U1321" i="1"/>
  <c r="U1211" i="1"/>
  <c r="U1203" i="1"/>
  <c r="U1199" i="1"/>
  <c r="U1177" i="1"/>
  <c r="U1169" i="1"/>
  <c r="U1156" i="1"/>
  <c r="U1153" i="1"/>
  <c r="U831" i="1"/>
  <c r="U342" i="1"/>
  <c r="U327" i="1"/>
  <c r="U310" i="1"/>
  <c r="U277" i="1"/>
  <c r="U254" i="1"/>
  <c r="U237" i="1"/>
  <c r="U215" i="1"/>
  <c r="U206" i="1"/>
  <c r="U187" i="1"/>
  <c r="U162" i="1"/>
  <c r="U139" i="1"/>
  <c r="U132" i="1"/>
  <c r="Q10" i="20"/>
  <c r="O10" i="20"/>
  <c r="Q9" i="20"/>
  <c r="O9" i="20"/>
  <c r="A66" i="2" l="1"/>
  <c r="B65" i="2" a="1"/>
  <c r="B65" i="2" s="1"/>
  <c r="U1737" i="1"/>
  <c r="AB71" i="22"/>
  <c r="AB70" i="22" s="1"/>
  <c r="M30" i="6" s="1"/>
  <c r="AX140" i="1"/>
  <c r="AX143" i="1" s="1"/>
  <c r="AX145" i="1" s="1"/>
  <c r="B2105" i="1"/>
  <c r="B2106" i="1" s="1"/>
  <c r="B2107" i="1" s="1"/>
  <c r="B2108" i="1" s="1"/>
  <c r="B2109" i="1" s="1"/>
  <c r="B2110" i="1" s="1"/>
  <c r="B2111" i="1" s="1"/>
  <c r="B2113" i="1" s="1"/>
  <c r="B2114" i="1" s="1"/>
  <c r="B2115" i="1" s="1"/>
  <c r="B2116" i="1" s="1"/>
  <c r="B2117" i="1" s="1"/>
  <c r="B2118" i="1" s="1"/>
  <c r="B2119" i="1" s="1"/>
  <c r="B2104" i="1"/>
  <c r="U261" i="1"/>
  <c r="S1742" i="1"/>
  <c r="S1551" i="1"/>
  <c r="S2019" i="1"/>
  <c r="S1349" i="1"/>
  <c r="S1363" i="1"/>
  <c r="S1390" i="1"/>
  <c r="S1400" i="1"/>
  <c r="S1410" i="1"/>
  <c r="S831" i="1"/>
  <c r="S1153" i="1"/>
  <c r="S1199" i="1"/>
  <c r="S813" i="1"/>
  <c r="S151" i="1"/>
  <c r="S187" i="1"/>
  <c r="S215" i="1"/>
  <c r="S310" i="1"/>
  <c r="S342" i="1"/>
  <c r="S139" i="1"/>
  <c r="S162" i="1"/>
  <c r="S206" i="1"/>
  <c r="S237" i="1"/>
  <c r="S277" i="1"/>
  <c r="S327" i="1"/>
  <c r="S819" i="1"/>
  <c r="S1156" i="1"/>
  <c r="S1321" i="1"/>
  <c r="S1342" i="1"/>
  <c r="S1356" i="1"/>
  <c r="S1370" i="1"/>
  <c r="S1385" i="1"/>
  <c r="S1395" i="1"/>
  <c r="S1405" i="1"/>
  <c r="S1567" i="1"/>
  <c r="S1765" i="1"/>
  <c r="S1977" i="1"/>
  <c r="S2032" i="1"/>
  <c r="N1734" i="1"/>
  <c r="D51" i="40" s="1"/>
  <c r="S1170" i="1"/>
  <c r="S1177" i="1"/>
  <c r="N1728" i="1"/>
  <c r="S254" i="1"/>
  <c r="S1735" i="1"/>
  <c r="AX24" i="1"/>
  <c r="AX39" i="1" s="1"/>
  <c r="AX286" i="1"/>
  <c r="BA228" i="1"/>
  <c r="BA250" i="1" s="1"/>
  <c r="BA24" i="1"/>
  <c r="BA39" i="1" s="1"/>
  <c r="AX388" i="1"/>
  <c r="AX479" i="1"/>
  <c r="AX480" i="1" s="1"/>
  <c r="AX1265" i="1"/>
  <c r="BA876" i="1"/>
  <c r="BA61" i="1"/>
  <c r="BA72" i="1" s="1"/>
  <c r="BA85" i="1" s="1"/>
  <c r="BA1265" i="1"/>
  <c r="BA636" i="1"/>
  <c r="BA712" i="1"/>
  <c r="BA912" i="1"/>
  <c r="BA1128" i="1"/>
  <c r="AX426" i="1"/>
  <c r="AX545" i="1"/>
  <c r="AX560" i="1" s="1"/>
  <c r="BA388" i="1"/>
  <c r="BA508" i="1"/>
  <c r="BA509" i="1" s="1"/>
  <c r="BA545" i="1"/>
  <c r="BA560" i="1" s="1"/>
  <c r="BA659" i="1"/>
  <c r="BA674" i="1" s="1"/>
  <c r="BA773" i="1"/>
  <c r="BA788" i="1" s="1"/>
  <c r="BA1309" i="1"/>
  <c r="BA177" i="1"/>
  <c r="BA201" i="1" s="1"/>
  <c r="BA1310" i="1"/>
  <c r="BA286" i="1"/>
  <c r="BA426" i="1"/>
  <c r="BA1020" i="1"/>
  <c r="BA713" i="1"/>
  <c r="BA637" i="1"/>
  <c r="BA1157" i="1"/>
  <c r="AX1309" i="1"/>
  <c r="BA1092" i="1"/>
  <c r="AX1128" i="1"/>
  <c r="BA479" i="1"/>
  <c r="BA480" i="1" s="1"/>
  <c r="BA948" i="1"/>
  <c r="BA1264" i="1"/>
  <c r="BA1267" i="1" s="1"/>
  <c r="AX61" i="1"/>
  <c r="AX72" i="1" s="1"/>
  <c r="AX85" i="1" s="1"/>
  <c r="AX177" i="1"/>
  <c r="AX201" i="1" s="1"/>
  <c r="AX984" i="1"/>
  <c r="AX1157" i="1"/>
  <c r="AX1310" i="1"/>
  <c r="BA984" i="1"/>
  <c r="AX712" i="1"/>
  <c r="BA140" i="1"/>
  <c r="BA143" i="1" s="1"/>
  <c r="BA145" i="1" s="1"/>
  <c r="BA1056" i="1"/>
  <c r="AX788" i="1"/>
  <c r="AX621" i="1"/>
  <c r="AX636" i="1" s="1"/>
  <c r="AX713" i="1"/>
  <c r="AX1056" i="1"/>
  <c r="AX228" i="1"/>
  <c r="AX250" i="1" s="1"/>
  <c r="AX789" i="1"/>
  <c r="AX1264" i="1"/>
  <c r="AX1267" i="1" s="1"/>
  <c r="AX912" i="1"/>
  <c r="AX948" i="1"/>
  <c r="AX1092" i="1"/>
  <c r="AX876" i="1"/>
  <c r="AX1020" i="1"/>
  <c r="AX583" i="1"/>
  <c r="AX598" i="1" s="1"/>
  <c r="AX735" i="1"/>
  <c r="AX750" i="1" s="1"/>
  <c r="AX508" i="1"/>
  <c r="AX659" i="1"/>
  <c r="AX674" i="1" s="1"/>
  <c r="BA583" i="1"/>
  <c r="BA598" i="1" s="1"/>
  <c r="BA735" i="1"/>
  <c r="BA750" i="1" s="1"/>
  <c r="A67" i="2" l="1"/>
  <c r="B66" i="2" a="1"/>
  <c r="B66" i="2" s="1"/>
  <c r="U270" i="1"/>
  <c r="S1737" i="1"/>
  <c r="S132" i="1"/>
  <c r="S129" i="1"/>
  <c r="S261" i="1"/>
  <c r="AX1311" i="1"/>
  <c r="BA523" i="1"/>
  <c r="BA1311" i="1"/>
  <c r="BA1136" i="1"/>
  <c r="BA1266" i="1"/>
  <c r="AX1266" i="1"/>
  <c r="AX1136" i="1"/>
  <c r="AX523" i="1"/>
  <c r="AX509" i="1"/>
  <c r="A68" i="2" l="1"/>
  <c r="B67" i="2" a="1"/>
  <c r="B67" i="2" s="1"/>
  <c r="U286" i="1"/>
  <c r="S270" i="1"/>
  <c r="S286" i="1"/>
  <c r="BA796" i="1"/>
  <c r="AX796" i="1"/>
  <c r="A69" i="2" l="1"/>
  <c r="B68" i="2" a="1"/>
  <c r="B68" i="2" s="1"/>
  <c r="AG21" i="6"/>
  <c r="AF21" i="6"/>
  <c r="AD21" i="6"/>
  <c r="AC21" i="6"/>
  <c r="AB21" i="6"/>
  <c r="AA21" i="6"/>
  <c r="Z21" i="6"/>
  <c r="Y21" i="6"/>
  <c r="X21" i="6"/>
  <c r="W21" i="6"/>
  <c r="V21" i="6"/>
  <c r="U21" i="6"/>
  <c r="T21" i="6"/>
  <c r="S21" i="6"/>
  <c r="R21" i="6"/>
  <c r="Q21" i="6"/>
  <c r="P21" i="6"/>
  <c r="A70" i="2" l="1"/>
  <c r="B69" i="2" a="1"/>
  <c r="B69" i="2" s="1"/>
  <c r="R20" i="1"/>
  <c r="J8" i="6" s="1"/>
  <c r="P20" i="1"/>
  <c r="R11" i="1"/>
  <c r="P11" i="1"/>
  <c r="A71" i="2" l="1"/>
  <c r="B70" i="2" a="1"/>
  <c r="B70" i="2" s="1"/>
  <c r="P24" i="1"/>
  <c r="R24" i="1"/>
  <c r="A72" i="2" l="1"/>
  <c r="B71" i="2" a="1"/>
  <c r="B71" i="2" s="1"/>
  <c r="BD11" i="22"/>
  <c r="CI11" i="22" s="1"/>
  <c r="BB11" i="22"/>
  <c r="CG11" i="22" s="1"/>
  <c r="A6" i="1"/>
  <c r="A73" i="2" l="1"/>
  <c r="B72" i="2" a="1"/>
  <c r="B72" i="2" s="1"/>
  <c r="A7" i="1"/>
  <c r="A8" i="1" s="1"/>
  <c r="A74" i="2" l="1"/>
  <c r="B73" i="2" a="1"/>
  <c r="B73" i="2" s="1"/>
  <c r="A9" i="1"/>
  <c r="A75" i="2" l="1"/>
  <c r="B74" i="2" a="1"/>
  <c r="B74" i="2" s="1"/>
  <c r="A10" i="1"/>
  <c r="B3" i="17"/>
  <c r="B2" i="17"/>
  <c r="B1" i="17"/>
  <c r="A76" i="2" l="1"/>
  <c r="B75" i="2" a="1"/>
  <c r="B75" i="2" s="1"/>
  <c r="A11" i="1"/>
  <c r="Q843" i="1"/>
  <c r="P843" i="1"/>
  <c r="O843" i="1"/>
  <c r="Q837" i="1"/>
  <c r="O837" i="1"/>
  <c r="P837" i="1"/>
  <c r="Q819" i="1"/>
  <c r="P819" i="1"/>
  <c r="O819" i="1"/>
  <c r="Q813" i="1"/>
  <c r="P813" i="1"/>
  <c r="O813" i="1"/>
  <c r="O610" i="1"/>
  <c r="O621" i="1" s="1"/>
  <c r="P610" i="1"/>
  <c r="P621" i="1" s="1"/>
  <c r="Q610" i="1"/>
  <c r="Q621" i="1" s="1"/>
  <c r="Q572" i="1"/>
  <c r="Q583" i="1" s="1"/>
  <c r="P572" i="1"/>
  <c r="P583" i="1" s="1"/>
  <c r="O572" i="1"/>
  <c r="O583" i="1" s="1"/>
  <c r="Q512" i="1"/>
  <c r="P512" i="1"/>
  <c r="O512" i="1"/>
  <c r="Q357" i="1"/>
  <c r="P357" i="1"/>
  <c r="O357" i="1"/>
  <c r="P162" i="1"/>
  <c r="R151" i="1"/>
  <c r="R177" i="1" s="1"/>
  <c r="R201" i="1" s="1"/>
  <c r="P151" i="1"/>
  <c r="R92" i="1"/>
  <c r="P92" i="1"/>
  <c r="R70" i="1"/>
  <c r="R72" i="1" s="1"/>
  <c r="P70" i="1"/>
  <c r="P72" i="1" s="1"/>
  <c r="R49" i="1"/>
  <c r="P49" i="1"/>
  <c r="P237" i="1"/>
  <c r="P215" i="1"/>
  <c r="P206" i="1"/>
  <c r="P187" i="1"/>
  <c r="C1201" i="1"/>
  <c r="T1200" i="1"/>
  <c r="N1200" i="1" s="1"/>
  <c r="A77" i="2" l="1"/>
  <c r="B76" i="2" a="1"/>
  <c r="B76" i="2" s="1"/>
  <c r="P177" i="1"/>
  <c r="P201" i="1" s="1"/>
  <c r="A12" i="1"/>
  <c r="P85" i="1"/>
  <c r="P93" i="1" s="1"/>
  <c r="P228" i="1"/>
  <c r="R85" i="1"/>
  <c r="R93" i="1" s="1"/>
  <c r="E287" i="1"/>
  <c r="E94" i="1"/>
  <c r="E147" i="1"/>
  <c r="C288" i="1"/>
  <c r="C289" i="1" s="1"/>
  <c r="C290" i="1" s="1"/>
  <c r="C291" i="1" s="1"/>
  <c r="C292" i="1" s="1"/>
  <c r="C294" i="1"/>
  <c r="C295" i="1" s="1"/>
  <c r="C296" i="1" s="1"/>
  <c r="C297" i="1" s="1"/>
  <c r="C298" i="1" s="1"/>
  <c r="C359" i="1"/>
  <c r="C461" i="1"/>
  <c r="C462" i="1" s="1"/>
  <c r="C7" i="1"/>
  <c r="E41" i="1"/>
  <c r="C329" i="1"/>
  <c r="C330" i="1" s="1"/>
  <c r="C331" i="1" s="1"/>
  <c r="C332" i="1" s="1"/>
  <c r="C333" i="1" s="1"/>
  <c r="C334" i="1" s="1"/>
  <c r="C335" i="1" s="1"/>
  <c r="C336" i="1" s="1"/>
  <c r="C337" i="1" s="1"/>
  <c r="C338" i="1" s="1"/>
  <c r="C339" i="1" s="1"/>
  <c r="C340" i="1" s="1"/>
  <c r="C341" i="1" s="1"/>
  <c r="C342" i="1" s="1"/>
  <c r="C343" i="1" s="1"/>
  <c r="C344" i="1" s="1"/>
  <c r="C345" i="1" s="1"/>
  <c r="C346" i="1" s="1"/>
  <c r="C347" i="1" s="1"/>
  <c r="C348" i="1" s="1"/>
  <c r="C349" i="1" s="1"/>
  <c r="C350" i="1" s="1"/>
  <c r="C351" i="1" s="1"/>
  <c r="C352" i="1" s="1"/>
  <c r="C353" i="1" s="1"/>
  <c r="C354" i="1" s="1"/>
  <c r="C355" i="1" s="1"/>
  <c r="C356" i="1" s="1"/>
  <c r="C357" i="1" s="1"/>
  <c r="C389" i="1"/>
  <c r="C486" i="1"/>
  <c r="C487" i="1" s="1"/>
  <c r="C489" i="1" s="1"/>
  <c r="C490" i="1" s="1"/>
  <c r="C491" i="1" s="1"/>
  <c r="C494" i="1"/>
  <c r="C495" i="1" s="1"/>
  <c r="C496" i="1" s="1"/>
  <c r="C497" i="1" s="1"/>
  <c r="C498" i="1" s="1"/>
  <c r="C499" i="1" s="1"/>
  <c r="C500" i="1" s="1"/>
  <c r="C501" i="1" s="1"/>
  <c r="C502" i="1" s="1"/>
  <c r="C503" i="1" s="1"/>
  <c r="C809" i="1"/>
  <c r="C811" i="1" s="1"/>
  <c r="C812" i="1" s="1"/>
  <c r="C813" i="1" s="1"/>
  <c r="C814" i="1" s="1"/>
  <c r="C815" i="1" s="1"/>
  <c r="C827" i="1"/>
  <c r="C844" i="1"/>
  <c r="C845" i="1" s="1"/>
  <c r="C848" i="1"/>
  <c r="C849" i="1" s="1"/>
  <c r="C1148" i="1"/>
  <c r="C1149" i="1" s="1"/>
  <c r="C1150" i="1" s="1"/>
  <c r="C1152" i="1"/>
  <c r="C1153" i="1" s="1"/>
  <c r="C1155" i="1"/>
  <c r="C1156" i="1" s="1"/>
  <c r="C1157" i="1" s="1"/>
  <c r="C1162" i="1"/>
  <c r="C1163" i="1" s="1"/>
  <c r="C1164" i="1" s="1"/>
  <c r="C1165" i="1" s="1"/>
  <c r="C1166" i="1" s="1"/>
  <c r="C1167" i="1" s="1"/>
  <c r="C1168" i="1" s="1"/>
  <c r="C1169" i="1" s="1"/>
  <c r="C1170" i="1" s="1"/>
  <c r="C1171" i="1" s="1"/>
  <c r="C1172" i="1" s="1"/>
  <c r="C1173" i="1" s="1"/>
  <c r="C1174" i="1" s="1"/>
  <c r="C1175" i="1" s="1"/>
  <c r="C1176" i="1" s="1"/>
  <c r="C1177" i="1" s="1"/>
  <c r="C1178" i="1" s="1"/>
  <c r="C1179" i="1" s="1"/>
  <c r="C1180" i="1" s="1"/>
  <c r="C1181" i="1" s="1"/>
  <c r="C1182" i="1" s="1"/>
  <c r="C1183" i="1" s="1"/>
  <c r="C1184" i="1" s="1"/>
  <c r="C1185" i="1" s="1"/>
  <c r="C1186" i="1" s="1"/>
  <c r="C1187" i="1" s="1"/>
  <c r="C1188" i="1" s="1"/>
  <c r="C1189" i="1" s="1"/>
  <c r="C1190" i="1" s="1"/>
  <c r="C1191" i="1" s="1"/>
  <c r="C1193" i="1"/>
  <c r="C1194" i="1" s="1"/>
  <c r="C1195" i="1" s="1"/>
  <c r="C1196" i="1" s="1"/>
  <c r="C1197" i="1" s="1"/>
  <c r="C1198" i="1" s="1"/>
  <c r="C1202" i="1"/>
  <c r="C1203" i="1" s="1"/>
  <c r="C1204" i="1" s="1"/>
  <c r="C1205" i="1" s="1"/>
  <c r="C1206" i="1" s="1"/>
  <c r="C1207" i="1" s="1"/>
  <c r="C1208" i="1" s="1"/>
  <c r="C1236" i="1"/>
  <c r="C1237" i="1" s="1"/>
  <c r="C1238" i="1" s="1"/>
  <c r="C1239" i="1" s="1"/>
  <c r="C1240" i="1" s="1"/>
  <c r="C1241" i="1" s="1"/>
  <c r="C1242" i="1" s="1"/>
  <c r="C1243" i="1" s="1"/>
  <c r="C1244" i="1" s="1"/>
  <c r="C1245" i="1" s="1"/>
  <c r="C1246" i="1" s="1"/>
  <c r="C1270" i="1"/>
  <c r="C1271" i="1" s="1"/>
  <c r="C1272" i="1" s="1"/>
  <c r="C1273" i="1" s="1"/>
  <c r="C1274" i="1" s="1"/>
  <c r="C1275" i="1" s="1"/>
  <c r="C1276" i="1" s="1"/>
  <c r="C1277" i="1" s="1"/>
  <c r="C1278" i="1" s="1"/>
  <c r="C1279" i="1" s="1"/>
  <c r="C1315" i="1"/>
  <c r="C1316" i="1" s="1"/>
  <c r="C1317" i="1" s="1"/>
  <c r="C1318" i="1" s="1"/>
  <c r="C1319" i="1" s="1"/>
  <c r="C1320" i="1" s="1"/>
  <c r="C1321" i="1" s="1"/>
  <c r="C1322" i="1" s="1"/>
  <c r="C1323" i="1" s="1"/>
  <c r="C1324" i="1" s="1"/>
  <c r="C1325" i="1" s="1"/>
  <c r="C1326" i="1" s="1"/>
  <c r="C1327" i="1" s="1"/>
  <c r="C1328" i="1" s="1"/>
  <c r="C1329" i="1" s="1"/>
  <c r="C1330" i="1" s="1"/>
  <c r="C1331" i="1" s="1"/>
  <c r="C1332" i="1" s="1"/>
  <c r="C1333" i="1" s="1"/>
  <c r="C1334" i="1" s="1"/>
  <c r="C1335" i="1" s="1"/>
  <c r="C1336" i="1" s="1"/>
  <c r="C1337" i="1" s="1"/>
  <c r="C1338" i="1" s="1"/>
  <c r="C1339" i="1" s="1"/>
  <c r="C1340" i="1" s="1"/>
  <c r="C1341" i="1" s="1"/>
  <c r="C1342" i="1" s="1"/>
  <c r="C1343" i="1" s="1"/>
  <c r="C1344" i="1" s="1"/>
  <c r="C1345" i="1" s="1"/>
  <c r="C1346" i="1" s="1"/>
  <c r="C1347" i="1" s="1"/>
  <c r="C1348" i="1" s="1"/>
  <c r="C1349" i="1" s="1"/>
  <c r="C1555" i="1"/>
  <c r="C1556" i="1" s="1"/>
  <c r="C1557" i="1" s="1"/>
  <c r="C1558" i="1" s="1"/>
  <c r="C1559" i="1" s="1"/>
  <c r="C1560" i="1" s="1"/>
  <c r="C1561" i="1" s="1"/>
  <c r="C1562" i="1" s="1"/>
  <c r="C1563" i="1" s="1"/>
  <c r="C1564" i="1" s="1"/>
  <c r="C1565" i="1" s="1"/>
  <c r="C1566" i="1" s="1"/>
  <c r="C1567" i="1" s="1"/>
  <c r="C1756" i="1"/>
  <c r="C1757" i="1" s="1"/>
  <c r="C1758" i="1" s="1"/>
  <c r="C1759" i="1" s="1"/>
  <c r="C1704" i="1"/>
  <c r="C1705" i="1" s="1"/>
  <c r="C1706" i="1" s="1"/>
  <c r="C1715" i="1"/>
  <c r="C1716" i="1" s="1"/>
  <c r="C1717" i="1" s="1"/>
  <c r="C1718" i="1" s="1"/>
  <c r="C1720" i="1"/>
  <c r="C1745" i="1"/>
  <c r="C2087" i="1"/>
  <c r="C2088" i="1" s="1"/>
  <c r="C2089" i="1" s="1"/>
  <c r="C2091" i="1" s="1"/>
  <c r="C2092" i="1" s="1"/>
  <c r="C2093" i="1" s="1"/>
  <c r="C2094" i="1" s="1"/>
  <c r="A78" i="2" l="1"/>
  <c r="B77" i="2" a="1"/>
  <c r="B77" i="2" s="1"/>
  <c r="AF19" i="22"/>
  <c r="AN19" i="22"/>
  <c r="AV19" i="22"/>
  <c r="AG19" i="22"/>
  <c r="AO19" i="22"/>
  <c r="AW19" i="22"/>
  <c r="AH19" i="22"/>
  <c r="AP19" i="22"/>
  <c r="AX19" i="22"/>
  <c r="AI19" i="22"/>
  <c r="AQ19" i="22"/>
  <c r="U19" i="22"/>
  <c r="AJ19" i="22"/>
  <c r="AR19" i="22"/>
  <c r="AL19" i="22"/>
  <c r="AA19" i="22"/>
  <c r="AK19" i="22"/>
  <c r="AS19" i="22"/>
  <c r="AD19" i="22"/>
  <c r="AE19" i="22"/>
  <c r="AM19" i="22"/>
  <c r="AU19" i="22"/>
  <c r="AT19" i="22"/>
  <c r="C1210" i="1"/>
  <c r="C1211" i="1" s="1"/>
  <c r="C1212" i="1" s="1"/>
  <c r="C1213" i="1" s="1"/>
  <c r="C1214" i="1" s="1"/>
  <c r="C1215" i="1" s="1"/>
  <c r="C1209" i="1"/>
  <c r="D19" i="22"/>
  <c r="C397" i="1"/>
  <c r="C424" i="1"/>
  <c r="B389" i="1"/>
  <c r="C415" i="1"/>
  <c r="C416" i="1"/>
  <c r="C414" i="1"/>
  <c r="C360" i="1"/>
  <c r="C361" i="1" s="1"/>
  <c r="C362" i="1" s="1"/>
  <c r="C366" i="1" s="1"/>
  <c r="C368" i="1" s="1"/>
  <c r="C369" i="1" s="1"/>
  <c r="C370" i="1" s="1"/>
  <c r="C371" i="1" s="1"/>
  <c r="C372" i="1" s="1"/>
  <c r="Q54" i="22"/>
  <c r="S54" i="22"/>
  <c r="AW135" i="22"/>
  <c r="AS135" i="22"/>
  <c r="AO135" i="22"/>
  <c r="AK135" i="22"/>
  <c r="AG135" i="22"/>
  <c r="AW134" i="22"/>
  <c r="AS134" i="22"/>
  <c r="AO134" i="22"/>
  <c r="AK134" i="22"/>
  <c r="AG134" i="22"/>
  <c r="AV131" i="22"/>
  <c r="AR131" i="22"/>
  <c r="AN131" i="22"/>
  <c r="AJ131" i="22"/>
  <c r="AF131" i="22"/>
  <c r="AU124" i="22"/>
  <c r="AQ124" i="22"/>
  <c r="AM124" i="22"/>
  <c r="AI124" i="22"/>
  <c r="AE124" i="22"/>
  <c r="AX123" i="22"/>
  <c r="AT123" i="22"/>
  <c r="AP123" i="22"/>
  <c r="AL123" i="22"/>
  <c r="AH123" i="22"/>
  <c r="AW121" i="22"/>
  <c r="AS121" i="22"/>
  <c r="AO121" i="22"/>
  <c r="AK121" i="22"/>
  <c r="AG121" i="22"/>
  <c r="AV120" i="22"/>
  <c r="AR120" i="22"/>
  <c r="AN120" i="22"/>
  <c r="AJ120" i="22"/>
  <c r="AF120" i="22"/>
  <c r="AV115" i="22"/>
  <c r="AR115" i="22"/>
  <c r="AN115" i="22"/>
  <c r="AJ115" i="22"/>
  <c r="AF115" i="22"/>
  <c r="U115" i="22"/>
  <c r="AV114" i="22"/>
  <c r="AR114" i="22"/>
  <c r="AN114" i="22"/>
  <c r="AJ114" i="22"/>
  <c r="AF114" i="22"/>
  <c r="AU113" i="22"/>
  <c r="AQ113" i="22"/>
  <c r="AM113" i="22"/>
  <c r="AI113" i="22"/>
  <c r="AE113" i="22"/>
  <c r="AX112" i="22"/>
  <c r="AT112" i="22"/>
  <c r="AP112" i="22"/>
  <c r="AL112" i="22"/>
  <c r="AV135" i="22"/>
  <c r="AR135" i="22"/>
  <c r="AN135" i="22"/>
  <c r="AJ135" i="22"/>
  <c r="AF135" i="22"/>
  <c r="AV134" i="22"/>
  <c r="AR134" i="22"/>
  <c r="AN134" i="22"/>
  <c r="AJ134" i="22"/>
  <c r="AF134" i="22"/>
  <c r="AU131" i="22"/>
  <c r="AQ131" i="22"/>
  <c r="AM131" i="22"/>
  <c r="AI131" i="22"/>
  <c r="AE131" i="22"/>
  <c r="AX124" i="22"/>
  <c r="AT124" i="22"/>
  <c r="AP124" i="22"/>
  <c r="AL124" i="22"/>
  <c r="AH124" i="22"/>
  <c r="AW123" i="22"/>
  <c r="AS123" i="22"/>
  <c r="AO123" i="22"/>
  <c r="AK123" i="22"/>
  <c r="AG123" i="22"/>
  <c r="AV121" i="22"/>
  <c r="AR121" i="22"/>
  <c r="AN121" i="22"/>
  <c r="AJ121" i="22"/>
  <c r="AF121" i="22"/>
  <c r="AU120" i="22"/>
  <c r="AQ120" i="22"/>
  <c r="AM120" i="22"/>
  <c r="AI120" i="22"/>
  <c r="AE120" i="22"/>
  <c r="AU115" i="22"/>
  <c r="AQ115" i="22"/>
  <c r="AM115" i="22"/>
  <c r="AI115" i="22"/>
  <c r="AE115" i="22"/>
  <c r="S115" i="22"/>
  <c r="AU114" i="22"/>
  <c r="AQ114" i="22"/>
  <c r="AM114" i="22"/>
  <c r="AI114" i="22"/>
  <c r="AE114" i="22"/>
  <c r="AX113" i="22"/>
  <c r="AT113" i="22"/>
  <c r="AP113" i="22"/>
  <c r="AL113" i="22"/>
  <c r="AH113" i="22"/>
  <c r="AW112" i="22"/>
  <c r="AS112" i="22"/>
  <c r="AO112" i="22"/>
  <c r="AK112" i="22"/>
  <c r="AG112" i="22"/>
  <c r="AV111" i="22"/>
  <c r="AR111" i="22"/>
  <c r="AN111" i="22"/>
  <c r="AJ111" i="22"/>
  <c r="AF111" i="22"/>
  <c r="AU110" i="22"/>
  <c r="AQ110" i="22"/>
  <c r="AM110" i="22"/>
  <c r="AI110" i="22"/>
  <c r="AE110" i="22"/>
  <c r="AX108" i="22"/>
  <c r="AT108" i="22"/>
  <c r="AP108" i="22"/>
  <c r="AL108" i="22"/>
  <c r="AH108" i="22"/>
  <c r="AD108" i="22"/>
  <c r="Q108" i="22"/>
  <c r="AX107" i="22"/>
  <c r="AT107" i="22"/>
  <c r="AP107" i="22"/>
  <c r="AL107" i="22"/>
  <c r="AH107" i="22"/>
  <c r="AD107" i="22"/>
  <c r="Q107" i="22"/>
  <c r="AX106" i="22"/>
  <c r="AT106" i="22"/>
  <c r="AP106" i="22"/>
  <c r="AL106" i="22"/>
  <c r="AH106" i="22"/>
  <c r="AU135" i="22"/>
  <c r="AM135" i="22"/>
  <c r="AE135" i="22"/>
  <c r="AQ134" i="22"/>
  <c r="AI134" i="22"/>
  <c r="AT131" i="22"/>
  <c r="AL131" i="22"/>
  <c r="AV124" i="22"/>
  <c r="AN124" i="22"/>
  <c r="AF124" i="22"/>
  <c r="AV123" i="22"/>
  <c r="AN123" i="22"/>
  <c r="AF123" i="22"/>
  <c r="AQ121" i="22"/>
  <c r="AI121" i="22"/>
  <c r="AT120" i="22"/>
  <c r="AL120" i="22"/>
  <c r="AX115" i="22"/>
  <c r="AP115" i="22"/>
  <c r="AH115" i="22"/>
  <c r="Q115" i="22"/>
  <c r="AX114" i="22"/>
  <c r="AP114" i="22"/>
  <c r="AH114" i="22"/>
  <c r="AR113" i="22"/>
  <c r="AJ113" i="22"/>
  <c r="AR112" i="22"/>
  <c r="AJ112" i="22"/>
  <c r="AE112" i="22"/>
  <c r="AX111" i="22"/>
  <c r="AS111" i="22"/>
  <c r="AM111" i="22"/>
  <c r="AH111" i="22"/>
  <c r="AV110" i="22"/>
  <c r="AP110" i="22"/>
  <c r="AK110" i="22"/>
  <c r="AF110" i="22"/>
  <c r="AW108" i="22"/>
  <c r="AR108" i="22"/>
  <c r="AM108" i="22"/>
  <c r="AG108" i="22"/>
  <c r="U108" i="22"/>
  <c r="AS107" i="22"/>
  <c r="AN107" i="22"/>
  <c r="AI107" i="22"/>
  <c r="AA107" i="22"/>
  <c r="CK107" i="22" s="1"/>
  <c r="AU106" i="22"/>
  <c r="AO106" i="22"/>
  <c r="AJ106" i="22"/>
  <c r="AE106" i="22"/>
  <c r="S106" i="22"/>
  <c r="AU109" i="22"/>
  <c r="AQ109" i="22"/>
  <c r="AM109" i="22"/>
  <c r="AI109" i="22"/>
  <c r="AE109" i="22"/>
  <c r="AX105" i="22"/>
  <c r="AT105" i="22"/>
  <c r="AP105" i="22"/>
  <c r="AL105" i="22"/>
  <c r="AH105" i="22"/>
  <c r="AD105" i="22"/>
  <c r="Q105" i="22"/>
  <c r="AW100" i="22"/>
  <c r="AS100" i="22"/>
  <c r="AO100" i="22"/>
  <c r="AK100" i="22"/>
  <c r="AG100" i="22"/>
  <c r="AV99" i="22"/>
  <c r="AR99" i="22"/>
  <c r="AN99" i="22"/>
  <c r="AJ99" i="22"/>
  <c r="AF99" i="22"/>
  <c r="AU98" i="22"/>
  <c r="AQ98" i="22"/>
  <c r="AM98" i="22"/>
  <c r="AI98" i="22"/>
  <c r="AE98" i="22"/>
  <c r="AX97" i="22"/>
  <c r="AT97" i="22"/>
  <c r="AP97" i="22"/>
  <c r="AL97" i="22"/>
  <c r="AH97" i="22"/>
  <c r="AW96" i="22"/>
  <c r="AS96" i="22"/>
  <c r="AT135" i="22"/>
  <c r="AL135" i="22"/>
  <c r="Q135" i="22"/>
  <c r="AX134" i="22"/>
  <c r="AP134" i="22"/>
  <c r="AH134" i="22"/>
  <c r="AS131" i="22"/>
  <c r="AK131" i="22"/>
  <c r="AS124" i="22"/>
  <c r="AK124" i="22"/>
  <c r="AU123" i="22"/>
  <c r="AM123" i="22"/>
  <c r="AE123" i="22"/>
  <c r="AX121" i="22"/>
  <c r="AP121" i="22"/>
  <c r="AH121" i="22"/>
  <c r="AS120" i="22"/>
  <c r="AK120" i="22"/>
  <c r="AW115" i="22"/>
  <c r="AO115" i="22"/>
  <c r="AG115" i="22"/>
  <c r="AW114" i="22"/>
  <c r="AO114" i="22"/>
  <c r="AG114" i="22"/>
  <c r="AW113" i="22"/>
  <c r="AO113" i="22"/>
  <c r="AG113" i="22"/>
  <c r="AQ112" i="22"/>
  <c r="AI112" i="22"/>
  <c r="AW111" i="22"/>
  <c r="AQ111" i="22"/>
  <c r="AL111" i="22"/>
  <c r="AG111" i="22"/>
  <c r="AT110" i="22"/>
  <c r="AO110" i="22"/>
  <c r="AJ110" i="22"/>
  <c r="AV108" i="22"/>
  <c r="AQ108" i="22"/>
  <c r="AK108" i="22"/>
  <c r="AF108" i="22"/>
  <c r="S108" i="22"/>
  <c r="AW107" i="22"/>
  <c r="AR107" i="22"/>
  <c r="AM107" i="22"/>
  <c r="AG107" i="22"/>
  <c r="U107" i="22"/>
  <c r="AS106" i="22"/>
  <c r="AN106" i="22"/>
  <c r="AI106" i="22"/>
  <c r="AD106" i="22"/>
  <c r="AQ135" i="22"/>
  <c r="AT134" i="22"/>
  <c r="AW131" i="22"/>
  <c r="AG131" i="22"/>
  <c r="AW124" i="22"/>
  <c r="AG124" i="22"/>
  <c r="AR123" i="22"/>
  <c r="AT121" i="22"/>
  <c r="AW120" i="22"/>
  <c r="AG120" i="22"/>
  <c r="AK115" i="22"/>
  <c r="AL114" i="22"/>
  <c r="AK113" i="22"/>
  <c r="AM112" i="22"/>
  <c r="AP111" i="22"/>
  <c r="AE111" i="22"/>
  <c r="AX110" i="22"/>
  <c r="AN110" i="22"/>
  <c r="AS108" i="22"/>
  <c r="AI108" i="22"/>
  <c r="AQ107" i="22"/>
  <c r="AF107" i="22"/>
  <c r="AR106" i="22"/>
  <c r="AG106" i="22"/>
  <c r="Q106" i="22"/>
  <c r="AX109" i="22"/>
  <c r="AS109" i="22"/>
  <c r="AN109" i="22"/>
  <c r="AH109" i="22"/>
  <c r="AU105" i="22"/>
  <c r="AO105" i="22"/>
  <c r="AJ105" i="22"/>
  <c r="AE105" i="22"/>
  <c r="AU100" i="22"/>
  <c r="AP100" i="22"/>
  <c r="AJ100" i="22"/>
  <c r="AE100" i="22"/>
  <c r="AX99" i="22"/>
  <c r="AS99" i="22"/>
  <c r="AM99" i="22"/>
  <c r="AH99" i="22"/>
  <c r="AV98" i="22"/>
  <c r="AP98" i="22"/>
  <c r="AK98" i="22"/>
  <c r="AF98" i="22"/>
  <c r="AW97" i="22"/>
  <c r="AR97" i="22"/>
  <c r="AM97" i="22"/>
  <c r="AG97" i="22"/>
  <c r="AU96" i="22"/>
  <c r="AP96" i="22"/>
  <c r="AL96" i="22"/>
  <c r="AH96" i="22"/>
  <c r="AW95" i="22"/>
  <c r="AS95" i="22"/>
  <c r="AO95" i="22"/>
  <c r="AK95" i="22"/>
  <c r="AG95" i="22"/>
  <c r="AV94" i="22"/>
  <c r="AR94" i="22"/>
  <c r="AN94" i="22"/>
  <c r="AJ94" i="22"/>
  <c r="AF94" i="22"/>
  <c r="AV93" i="22"/>
  <c r="AR93" i="22"/>
  <c r="AN93" i="22"/>
  <c r="AJ93" i="22"/>
  <c r="AF93" i="22"/>
  <c r="AU92" i="22"/>
  <c r="AQ92" i="22"/>
  <c r="AM92" i="22"/>
  <c r="AI92" i="22"/>
  <c r="AE92" i="22"/>
  <c r="AX91" i="22"/>
  <c r="AT91" i="22"/>
  <c r="AP91" i="22"/>
  <c r="AL91" i="22"/>
  <c r="AH91" i="22"/>
  <c r="AW90" i="22"/>
  <c r="AS90" i="22"/>
  <c r="AO90" i="22"/>
  <c r="AK90" i="22"/>
  <c r="AG90" i="22"/>
  <c r="AW89" i="22"/>
  <c r="AS89" i="22"/>
  <c r="AO89" i="22"/>
  <c r="AK89" i="22"/>
  <c r="AG89" i="22"/>
  <c r="AV88" i="22"/>
  <c r="AR88" i="22"/>
  <c r="AN88" i="22"/>
  <c r="AJ88" i="22"/>
  <c r="AF88" i="22"/>
  <c r="AU86" i="22"/>
  <c r="AQ86" i="22"/>
  <c r="AM86" i="22"/>
  <c r="AI86" i="22"/>
  <c r="AE86" i="22"/>
  <c r="AU85" i="22"/>
  <c r="AQ85" i="22"/>
  <c r="AM85" i="22"/>
  <c r="AI85" i="22"/>
  <c r="AE85" i="22"/>
  <c r="AV84" i="22"/>
  <c r="AR84" i="22"/>
  <c r="AN84" i="22"/>
  <c r="AJ84" i="22"/>
  <c r="AF84" i="22"/>
  <c r="AH92" i="22"/>
  <c r="AS91" i="22"/>
  <c r="AK91" i="22"/>
  <c r="AG91" i="22"/>
  <c r="AR90" i="22"/>
  <c r="AN90" i="22"/>
  <c r="AF90" i="22"/>
  <c r="AV89" i="22"/>
  <c r="AN89" i="22"/>
  <c r="AF89" i="22"/>
  <c r="AU88" i="22"/>
  <c r="AM88" i="22"/>
  <c r="AI88" i="22"/>
  <c r="AX86" i="22"/>
  <c r="AT86" i="22"/>
  <c r="AL86" i="22"/>
  <c r="AH86" i="22"/>
  <c r="AX85" i="22"/>
  <c r="AP85" i="22"/>
  <c r="AL85" i="22"/>
  <c r="AQ84" i="22"/>
  <c r="AM84" i="22"/>
  <c r="AE84" i="22"/>
  <c r="AI135" i="22"/>
  <c r="AL134" i="22"/>
  <c r="AO124" i="22"/>
  <c r="AJ123" i="22"/>
  <c r="AO120" i="22"/>
  <c r="AS115" i="22"/>
  <c r="AT114" i="22"/>
  <c r="AU112" i="22"/>
  <c r="AF112" i="22"/>
  <c r="AK111" i="22"/>
  <c r="AS110" i="22"/>
  <c r="AN108" i="22"/>
  <c r="AA108" i="22"/>
  <c r="CK108" i="22" s="1"/>
  <c r="AK107" i="22"/>
  <c r="AW106" i="22"/>
  <c r="AM106" i="22"/>
  <c r="AV109" i="22"/>
  <c r="AP109" i="22"/>
  <c r="AF109" i="22"/>
  <c r="AW105" i="22"/>
  <c r="AM105" i="22"/>
  <c r="AG105" i="22"/>
  <c r="AX100" i="22"/>
  <c r="AM100" i="22"/>
  <c r="AH100" i="22"/>
  <c r="AP99" i="22"/>
  <c r="AK99" i="22"/>
  <c r="AX98" i="22"/>
  <c r="AN98" i="22"/>
  <c r="AH98" i="22"/>
  <c r="AO97" i="22"/>
  <c r="AJ97" i="22"/>
  <c r="AX96" i="22"/>
  <c r="AR96" i="22"/>
  <c r="AJ96" i="22"/>
  <c r="AU95" i="22"/>
  <c r="AQ95" i="22"/>
  <c r="AP135" i="22"/>
  <c r="AM134" i="22"/>
  <c r="AP131" i="22"/>
  <c r="AR124" i="22"/>
  <c r="AQ123" i="22"/>
  <c r="AM121" i="22"/>
  <c r="AP120" i="22"/>
  <c r="AT115" i="22"/>
  <c r="AD115" i="22"/>
  <c r="AK114" i="22"/>
  <c r="AV113" i="22"/>
  <c r="AF113" i="22"/>
  <c r="AV112" i="22"/>
  <c r="AH112" i="22"/>
  <c r="AO111" i="22"/>
  <c r="AW110" i="22"/>
  <c r="AL110" i="22"/>
  <c r="AO108" i="22"/>
  <c r="AE108" i="22"/>
  <c r="AO107" i="22"/>
  <c r="AE107" i="22"/>
  <c r="AQ106" i="22"/>
  <c r="AF106" i="22"/>
  <c r="AW109" i="22"/>
  <c r="AR109" i="22"/>
  <c r="AL109" i="22"/>
  <c r="AG109" i="22"/>
  <c r="AS105" i="22"/>
  <c r="AN105" i="22"/>
  <c r="AI105" i="22"/>
  <c r="AA105" i="22"/>
  <c r="CK105" i="22" s="1"/>
  <c r="AT100" i="22"/>
  <c r="AN100" i="22"/>
  <c r="AI100" i="22"/>
  <c r="AW99" i="22"/>
  <c r="AQ99" i="22"/>
  <c r="AL99" i="22"/>
  <c r="AG99" i="22"/>
  <c r="AT98" i="22"/>
  <c r="AO98" i="22"/>
  <c r="AJ98" i="22"/>
  <c r="AV97" i="22"/>
  <c r="AQ97" i="22"/>
  <c r="AK97" i="22"/>
  <c r="AF97" i="22"/>
  <c r="AT96" i="22"/>
  <c r="AO96" i="22"/>
  <c r="AK96" i="22"/>
  <c r="AG96" i="22"/>
  <c r="AV95" i="22"/>
  <c r="AR95" i="22"/>
  <c r="AN95" i="22"/>
  <c r="AJ95" i="22"/>
  <c r="AF95" i="22"/>
  <c r="AU94" i="22"/>
  <c r="AQ94" i="22"/>
  <c r="AM94" i="22"/>
  <c r="AI94" i="22"/>
  <c r="AE94" i="22"/>
  <c r="AU93" i="22"/>
  <c r="AQ93" i="22"/>
  <c r="AM93" i="22"/>
  <c r="AI93" i="22"/>
  <c r="AE93" i="22"/>
  <c r="AX92" i="22"/>
  <c r="AT92" i="22"/>
  <c r="AP92" i="22"/>
  <c r="AL92" i="22"/>
  <c r="AW91" i="22"/>
  <c r="AO91" i="22"/>
  <c r="AV90" i="22"/>
  <c r="AJ90" i="22"/>
  <c r="AR89" i="22"/>
  <c r="AJ89" i="22"/>
  <c r="AQ88" i="22"/>
  <c r="AE88" i="22"/>
  <c r="AP86" i="22"/>
  <c r="AT85" i="22"/>
  <c r="AH85" i="22"/>
  <c r="AU84" i="22"/>
  <c r="AI84" i="22"/>
  <c r="AO131" i="22"/>
  <c r="AL121" i="22"/>
  <c r="AA115" i="22"/>
  <c r="CK115" i="22" s="1"/>
  <c r="AS113" i="22"/>
  <c r="AU111" i="22"/>
  <c r="AH110" i="22"/>
  <c r="AV107" i="22"/>
  <c r="S107" i="22"/>
  <c r="AA106" i="22"/>
  <c r="CK106" i="22" s="1"/>
  <c r="AK109" i="22"/>
  <c r="AR105" i="22"/>
  <c r="U105" i="22"/>
  <c r="AR100" i="22"/>
  <c r="AU99" i="22"/>
  <c r="AE99" i="22"/>
  <c r="AS98" i="22"/>
  <c r="AU97" i="22"/>
  <c r="AE97" i="22"/>
  <c r="AN96" i="22"/>
  <c r="AF96" i="22"/>
  <c r="AM95" i="22"/>
  <c r="AH135" i="22"/>
  <c r="AU134" i="22"/>
  <c r="AX131" i="22"/>
  <c r="AL115" i="22"/>
  <c r="AS114" i="22"/>
  <c r="AN113" i="22"/>
  <c r="AN112" i="22"/>
  <c r="AT111" i="22"/>
  <c r="AJ107" i="22"/>
  <c r="AV106" i="22"/>
  <c r="AJ109" i="22"/>
  <c r="AV105" i="22"/>
  <c r="S105" i="22"/>
  <c r="AQ100" i="22"/>
  <c r="AI99" i="22"/>
  <c r="AW98" i="22"/>
  <c r="AN97" i="22"/>
  <c r="AI96" i="22"/>
  <c r="AL95" i="22"/>
  <c r="AW94" i="22"/>
  <c r="AO94" i="22"/>
  <c r="AG94" i="22"/>
  <c r="AW93" i="22"/>
  <c r="AO93" i="22"/>
  <c r="AG93" i="22"/>
  <c r="AW92" i="22"/>
  <c r="AO92" i="22"/>
  <c r="AG92" i="22"/>
  <c r="AQ91" i="22"/>
  <c r="AI91" i="22"/>
  <c r="AT90" i="22"/>
  <c r="AL90" i="22"/>
  <c r="AX89" i="22"/>
  <c r="AP89" i="22"/>
  <c r="AH89" i="22"/>
  <c r="AS88" i="22"/>
  <c r="AK88" i="22"/>
  <c r="AS86" i="22"/>
  <c r="AK86" i="22"/>
  <c r="AV85" i="22"/>
  <c r="AN85" i="22"/>
  <c r="AF85" i="22"/>
  <c r="AT84" i="22"/>
  <c r="AL84" i="22"/>
  <c r="Q84" i="22"/>
  <c r="F18" i="22"/>
  <c r="AH84" i="22"/>
  <c r="AJ108" i="22"/>
  <c r="AF105" i="22"/>
  <c r="AG98" i="22"/>
  <c r="AP95" i="22"/>
  <c r="AP94" i="22"/>
  <c r="AX93" i="22"/>
  <c r="AH93" i="22"/>
  <c r="AR91" i="22"/>
  <c r="AM90" i="22"/>
  <c r="AI89" i="22"/>
  <c r="AL88" i="22"/>
  <c r="AF86" i="22"/>
  <c r="AG85" i="22"/>
  <c r="AO84" i="22"/>
  <c r="AE134" i="22"/>
  <c r="AH131" i="22"/>
  <c r="AJ124" i="22"/>
  <c r="AI123" i="22"/>
  <c r="AU121" i="22"/>
  <c r="AI111" i="22"/>
  <c r="AR110" i="22"/>
  <c r="AK106" i="22"/>
  <c r="AQ105" i="22"/>
  <c r="AL100" i="22"/>
  <c r="AR98" i="22"/>
  <c r="AI97" i="22"/>
  <c r="AV96" i="22"/>
  <c r="AE96" i="22"/>
  <c r="AX95" i="22"/>
  <c r="AI95" i="22"/>
  <c r="AT94" i="22"/>
  <c r="AL94" i="22"/>
  <c r="AT93" i="22"/>
  <c r="AL93" i="22"/>
  <c r="AV92" i="22"/>
  <c r="AN92" i="22"/>
  <c r="AF92" i="22"/>
  <c r="AV91" i="22"/>
  <c r="AN91" i="22"/>
  <c r="AF91" i="22"/>
  <c r="AQ90" i="22"/>
  <c r="AI90" i="22"/>
  <c r="AU89" i="22"/>
  <c r="AM89" i="22"/>
  <c r="AE89" i="22"/>
  <c r="AX88" i="22"/>
  <c r="AP88" i="22"/>
  <c r="AH88" i="22"/>
  <c r="AR86" i="22"/>
  <c r="AJ86" i="22"/>
  <c r="AS85" i="22"/>
  <c r="AK85" i="22"/>
  <c r="AS84" i="22"/>
  <c r="AK84" i="22"/>
  <c r="AE121" i="22"/>
  <c r="AX120" i="22"/>
  <c r="AG110" i="22"/>
  <c r="AU108" i="22"/>
  <c r="U106" i="22"/>
  <c r="AT109" i="22"/>
  <c r="AK105" i="22"/>
  <c r="AF100" i="22"/>
  <c r="AT99" i="22"/>
  <c r="AL98" i="22"/>
  <c r="AQ96" i="22"/>
  <c r="AT95" i="22"/>
  <c r="AH95" i="22"/>
  <c r="AS94" i="22"/>
  <c r="AK94" i="22"/>
  <c r="AS93" i="22"/>
  <c r="AK93" i="22"/>
  <c r="AS92" i="22"/>
  <c r="AK92" i="22"/>
  <c r="AU91" i="22"/>
  <c r="AM91" i="22"/>
  <c r="AE91" i="22"/>
  <c r="AX90" i="22"/>
  <c r="AP90" i="22"/>
  <c r="AH90" i="22"/>
  <c r="AT89" i="22"/>
  <c r="AL89" i="22"/>
  <c r="AW88" i="22"/>
  <c r="AO88" i="22"/>
  <c r="AG88" i="22"/>
  <c r="AW86" i="22"/>
  <c r="AO86" i="22"/>
  <c r="AG86" i="22"/>
  <c r="AR85" i="22"/>
  <c r="AJ85" i="22"/>
  <c r="AX84" i="22"/>
  <c r="AP84" i="22"/>
  <c r="AX135" i="22"/>
  <c r="AH120" i="22"/>
  <c r="AU107" i="22"/>
  <c r="AO109" i="22"/>
  <c r="AV100" i="22"/>
  <c r="AO99" i="22"/>
  <c r="AS97" i="22"/>
  <c r="AM96" i="22"/>
  <c r="AE95" i="22"/>
  <c r="AX94" i="22"/>
  <c r="AH94" i="22"/>
  <c r="AP93" i="22"/>
  <c r="AR92" i="22"/>
  <c r="AJ92" i="22"/>
  <c r="AJ91" i="22"/>
  <c r="AU90" i="22"/>
  <c r="AE90" i="22"/>
  <c r="AQ89" i="22"/>
  <c r="AT88" i="22"/>
  <c r="AV86" i="22"/>
  <c r="AN86" i="22"/>
  <c r="AW85" i="22"/>
  <c r="AO85" i="22"/>
  <c r="AW84" i="22"/>
  <c r="AG84" i="22"/>
  <c r="AD96" i="22"/>
  <c r="AD112" i="22"/>
  <c r="AD123" i="22"/>
  <c r="AD91" i="22"/>
  <c r="AD113" i="22"/>
  <c r="AD111" i="22"/>
  <c r="Q109" i="22"/>
  <c r="Q131" i="22"/>
  <c r="Q91" i="22"/>
  <c r="Q124" i="22"/>
  <c r="Q96" i="22"/>
  <c r="Q113" i="22"/>
  <c r="Q110" i="22"/>
  <c r="Q100" i="22"/>
  <c r="Q112" i="22"/>
  <c r="Q123" i="22"/>
  <c r="Q121" i="22"/>
  <c r="Q89" i="22"/>
  <c r="Q114" i="22"/>
  <c r="Q111" i="22"/>
  <c r="Q87" i="22"/>
  <c r="AA113" i="22"/>
  <c r="CK113" i="22" s="1"/>
  <c r="AA111" i="22"/>
  <c r="CK111" i="22" s="1"/>
  <c r="D123" i="22"/>
  <c r="H123" i="22" s="1"/>
  <c r="Q120" i="22"/>
  <c r="AA96" i="22"/>
  <c r="CK96" i="22" s="1"/>
  <c r="AA112" i="22"/>
  <c r="CK112" i="22" s="1"/>
  <c r="AA123" i="22"/>
  <c r="CK123" i="22" s="1"/>
  <c r="AA91" i="22"/>
  <c r="CK91" i="22" s="1"/>
  <c r="S113" i="22"/>
  <c r="S100" i="22"/>
  <c r="S111" i="22"/>
  <c r="S110" i="22"/>
  <c r="S124" i="22"/>
  <c r="S121" i="22"/>
  <c r="S131" i="22"/>
  <c r="S112" i="22"/>
  <c r="S91" i="22"/>
  <c r="S87" i="22"/>
  <c r="S89" i="22"/>
  <c r="S114" i="22"/>
  <c r="S96" i="22"/>
  <c r="S109" i="22"/>
  <c r="S120" i="22"/>
  <c r="S123" i="22"/>
  <c r="U91" i="22"/>
  <c r="U111" i="22"/>
  <c r="U113" i="22"/>
  <c r="U112" i="22"/>
  <c r="U96" i="22"/>
  <c r="C464" i="1"/>
  <c r="C465" i="1" s="1"/>
  <c r="C466" i="1" s="1"/>
  <c r="C463" i="1"/>
  <c r="A13" i="1"/>
  <c r="C1248" i="1"/>
  <c r="C1249" i="1" s="1"/>
  <c r="C1252" i="1" s="1"/>
  <c r="C1253" i="1" s="1"/>
  <c r="C1254" i="1" s="1"/>
  <c r="C1255" i="1" s="1"/>
  <c r="C1247" i="1"/>
  <c r="C419" i="1"/>
  <c r="C401" i="1"/>
  <c r="C434" i="1"/>
  <c r="C430" i="1"/>
  <c r="C426" i="1"/>
  <c r="C422" i="1"/>
  <c r="C417" i="1"/>
  <c r="C410" i="1"/>
  <c r="C406" i="1"/>
  <c r="C402" i="1"/>
  <c r="C396" i="1"/>
  <c r="C392" i="1"/>
  <c r="C431" i="1"/>
  <c r="C423" i="1"/>
  <c r="C411" i="1"/>
  <c r="C398" i="1"/>
  <c r="C433" i="1"/>
  <c r="C429" i="1"/>
  <c r="C425" i="1"/>
  <c r="C421" i="1"/>
  <c r="C413" i="1"/>
  <c r="C409" i="1"/>
  <c r="C405" i="1"/>
  <c r="C400" i="1"/>
  <c r="C395" i="1"/>
  <c r="C391" i="1"/>
  <c r="C436" i="1"/>
  <c r="C432" i="1"/>
  <c r="C428" i="1"/>
  <c r="C420" i="1"/>
  <c r="C412" i="1"/>
  <c r="C408" i="1"/>
  <c r="C404" i="1"/>
  <c r="C399" i="1"/>
  <c r="C394" i="1"/>
  <c r="C390" i="1"/>
  <c r="C435" i="1"/>
  <c r="C427" i="1"/>
  <c r="C418" i="1"/>
  <c r="C407" i="1"/>
  <c r="C403" i="1"/>
  <c r="C393" i="1"/>
  <c r="AV26" i="22"/>
  <c r="AF52" i="22"/>
  <c r="AV44" i="22"/>
  <c r="AR44" i="22"/>
  <c r="AN44" i="22"/>
  <c r="AJ44" i="22"/>
  <c r="AF44" i="22"/>
  <c r="AT44" i="22"/>
  <c r="AP44" i="22"/>
  <c r="AL44" i="22"/>
  <c r="AH44" i="22"/>
  <c r="AD44" i="22"/>
  <c r="AS44" i="22"/>
  <c r="AO44" i="22"/>
  <c r="AK44" i="22"/>
  <c r="AG44" i="22"/>
  <c r="AE52" i="22"/>
  <c r="AU44" i="22"/>
  <c r="AQ44" i="22"/>
  <c r="AM44" i="22"/>
  <c r="AI44" i="22"/>
  <c r="AE44" i="22"/>
  <c r="AG11" i="22"/>
  <c r="CQ11" i="22" s="1"/>
  <c r="AK11" i="22"/>
  <c r="CU11" i="22" s="1"/>
  <c r="AO11" i="22"/>
  <c r="CY11" i="22" s="1"/>
  <c r="AS11" i="22"/>
  <c r="DC11" i="22" s="1"/>
  <c r="AI11" i="22"/>
  <c r="CS11" i="22" s="1"/>
  <c r="AM11" i="22"/>
  <c r="CW11" i="22" s="1"/>
  <c r="AQ11" i="22"/>
  <c r="DA11" i="22" s="1"/>
  <c r="AU11" i="22"/>
  <c r="DE11" i="22" s="1"/>
  <c r="AF11" i="22"/>
  <c r="CP11" i="22" s="1"/>
  <c r="AN11" i="22"/>
  <c r="CX11" i="22" s="1"/>
  <c r="AV11" i="22"/>
  <c r="DF11" i="22" s="1"/>
  <c r="AH11" i="22"/>
  <c r="CR11" i="22" s="1"/>
  <c r="AL11" i="22"/>
  <c r="CV11" i="22" s="1"/>
  <c r="AP11" i="22"/>
  <c r="CZ11" i="22" s="1"/>
  <c r="AJ11" i="22"/>
  <c r="CT11" i="22" s="1"/>
  <c r="AR11" i="22"/>
  <c r="DB11" i="22" s="1"/>
  <c r="C8" i="1"/>
  <c r="S53" i="22"/>
  <c r="S45" i="22"/>
  <c r="S41" i="22"/>
  <c r="S37" i="22"/>
  <c r="Q55" i="22"/>
  <c r="Q46" i="22"/>
  <c r="Q42" i="22"/>
  <c r="Q38" i="22"/>
  <c r="Q22" i="22"/>
  <c r="S52" i="22"/>
  <c r="S44" i="22"/>
  <c r="S40" i="22"/>
  <c r="S36" i="22"/>
  <c r="S20" i="22"/>
  <c r="Q53" i="22"/>
  <c r="Q45" i="22"/>
  <c r="Q41" i="22"/>
  <c r="Q37" i="22"/>
  <c r="S63" i="22"/>
  <c r="S47" i="22"/>
  <c r="S43" i="22"/>
  <c r="S39" i="22"/>
  <c r="S31" i="22"/>
  <c r="S27" i="22"/>
  <c r="S18" i="22"/>
  <c r="S14" i="22"/>
  <c r="Q63" i="22"/>
  <c r="Q52" i="22"/>
  <c r="Q44" i="22"/>
  <c r="Q40" i="22"/>
  <c r="Q36" i="22"/>
  <c r="Q20" i="22"/>
  <c r="S56" i="22"/>
  <c r="S46" i="22"/>
  <c r="S42" i="22"/>
  <c r="S38" i="22"/>
  <c r="S22" i="22"/>
  <c r="Q56" i="22"/>
  <c r="Q47" i="22"/>
  <c r="Q43" i="22"/>
  <c r="Q39" i="22"/>
  <c r="Q31" i="22"/>
  <c r="Q27" i="22"/>
  <c r="Q18" i="22"/>
  <c r="Q14" i="22"/>
  <c r="S55" i="22"/>
  <c r="C1723" i="1"/>
  <c r="C1724" i="1" s="1"/>
  <c r="C1725" i="1" s="1"/>
  <c r="C1726" i="1" s="1"/>
  <c r="C1746" i="1"/>
  <c r="C1747" i="1" s="1"/>
  <c r="C488" i="1"/>
  <c r="C810" i="1"/>
  <c r="C850" i="1"/>
  <c r="C852" i="1"/>
  <c r="C855" i="1" s="1"/>
  <c r="C856" i="1" s="1"/>
  <c r="C857" i="1" s="1"/>
  <c r="C858" i="1" s="1"/>
  <c r="C859" i="1" s="1"/>
  <c r="C860" i="1" s="1"/>
  <c r="C861" i="1" s="1"/>
  <c r="C862" i="1" s="1"/>
  <c r="C863" i="1" s="1"/>
  <c r="C864" i="1" s="1"/>
  <c r="C865" i="1" s="1"/>
  <c r="C1280" i="1"/>
  <c r="C1281" i="1" s="1"/>
  <c r="C1282" i="1" s="1"/>
  <c r="C1283" i="1" s="1"/>
  <c r="C1284" i="1" s="1"/>
  <c r="C1285" i="1" s="1"/>
  <c r="C1297" i="1" s="1"/>
  <c r="C1298" i="1" s="1"/>
  <c r="C1299" i="1" s="1"/>
  <c r="C1300" i="1" s="1"/>
  <c r="C1292" i="1"/>
  <c r="C1293" i="1" s="1"/>
  <c r="C1294" i="1" s="1"/>
  <c r="C1295" i="1" s="1"/>
  <c r="C1296" i="1" s="1"/>
  <c r="C2090" i="1"/>
  <c r="C1707" i="1"/>
  <c r="C1708" i="1"/>
  <c r="C299" i="1"/>
  <c r="C300" i="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816" i="1"/>
  <c r="C817" i="1"/>
  <c r="C818" i="1" s="1"/>
  <c r="C819" i="1" s="1"/>
  <c r="C820" i="1" s="1"/>
  <c r="C821" i="1" s="1"/>
  <c r="C1371" i="1"/>
  <c r="C1372" i="1" s="1"/>
  <c r="C1373" i="1" s="1"/>
  <c r="C1374" i="1" s="1"/>
  <c r="C1375" i="1" s="1"/>
  <c r="C1376" i="1" s="1"/>
  <c r="C1377" i="1" s="1"/>
  <c r="C1378" i="1" s="1"/>
  <c r="C1379" i="1" s="1"/>
  <c r="C1380" i="1" s="1"/>
  <c r="C1357" i="1"/>
  <c r="C1358" i="1" s="1"/>
  <c r="C1359" i="1" s="1"/>
  <c r="C1360" i="1" s="1"/>
  <c r="C1361" i="1" s="1"/>
  <c r="C1362" i="1" s="1"/>
  <c r="C1363" i="1" s="1"/>
  <c r="C1364" i="1" s="1"/>
  <c r="C1365" i="1" s="1"/>
  <c r="C1366" i="1" s="1"/>
  <c r="C1367" i="1" s="1"/>
  <c r="C1368" i="1" s="1"/>
  <c r="C1369" i="1" s="1"/>
  <c r="C1370" i="1" s="1"/>
  <c r="C1350" i="1"/>
  <c r="C1351" i="1" s="1"/>
  <c r="C1352" i="1" s="1"/>
  <c r="C1353" i="1" s="1"/>
  <c r="C1354" i="1" s="1"/>
  <c r="C1355" i="1" s="1"/>
  <c r="C1356" i="1" s="1"/>
  <c r="C504" i="1"/>
  <c r="C505" i="1"/>
  <c r="C506" i="1" s="1"/>
  <c r="C507" i="1" s="1"/>
  <c r="C508" i="1" s="1"/>
  <c r="C509" i="1" s="1"/>
  <c r="C510" i="1" s="1"/>
  <c r="C511" i="1" s="1"/>
  <c r="C512" i="1" s="1"/>
  <c r="C513" i="1" s="1"/>
  <c r="C514" i="1" s="1"/>
  <c r="C515" i="1" s="1"/>
  <c r="C516" i="1" s="1"/>
  <c r="C517" i="1" s="1"/>
  <c r="C828" i="1"/>
  <c r="C829" i="1"/>
  <c r="C830" i="1" s="1"/>
  <c r="C831" i="1" s="1"/>
  <c r="C832" i="1" s="1"/>
  <c r="C833" i="1" s="1"/>
  <c r="A1" i="113"/>
  <c r="A1" i="109"/>
  <c r="G13" i="109"/>
  <c r="H13" i="109"/>
  <c r="G14" i="109"/>
  <c r="H14" i="109"/>
  <c r="G15" i="109"/>
  <c r="H15" i="109"/>
  <c r="G16" i="109"/>
  <c r="H16" i="109"/>
  <c r="B17" i="109"/>
  <c r="C17" i="109"/>
  <c r="E17" i="109"/>
  <c r="C28" i="67" s="1"/>
  <c r="B28" i="67" s="1"/>
  <c r="A1" i="107"/>
  <c r="K12" i="107"/>
  <c r="L12" i="107"/>
  <c r="Y26" i="67" s="1"/>
  <c r="K15" i="107"/>
  <c r="L15" i="107"/>
  <c r="Z26" i="67" s="1"/>
  <c r="K18" i="107"/>
  <c r="L18" i="107"/>
  <c r="AA26" i="67" s="1"/>
  <c r="A1" i="106"/>
  <c r="G11" i="106"/>
  <c r="H11" i="106"/>
  <c r="G12" i="106"/>
  <c r="H12" i="106"/>
  <c r="G13" i="106"/>
  <c r="H13" i="106"/>
  <c r="G14" i="106"/>
  <c r="H14" i="106"/>
  <c r="G15" i="106"/>
  <c r="H15" i="106"/>
  <c r="G16" i="106"/>
  <c r="H16" i="106"/>
  <c r="B18" i="106"/>
  <c r="C18" i="106"/>
  <c r="E18" i="106"/>
  <c r="A1" i="105"/>
  <c r="E25" i="67"/>
  <c r="I25" i="67"/>
  <c r="J25" i="67"/>
  <c r="M25" i="67"/>
  <c r="N25" i="67"/>
  <c r="R25" i="67"/>
  <c r="U25" i="67"/>
  <c r="A1" i="104"/>
  <c r="G11" i="104"/>
  <c r="H11" i="104"/>
  <c r="G12" i="104"/>
  <c r="H12" i="104"/>
  <c r="Y24" i="67" s="1"/>
  <c r="B13" i="104"/>
  <c r="C13" i="104"/>
  <c r="E13" i="104"/>
  <c r="C24" i="67" s="1"/>
  <c r="B24" i="67" s="1"/>
  <c r="G28" i="104"/>
  <c r="H28" i="104"/>
  <c r="G29" i="104"/>
  <c r="H29" i="104"/>
  <c r="G30" i="104"/>
  <c r="H30" i="104"/>
  <c r="B31" i="104"/>
  <c r="C31" i="104"/>
  <c r="E31" i="104"/>
  <c r="G50" i="104"/>
  <c r="H50" i="104"/>
  <c r="G51" i="104"/>
  <c r="H51" i="104"/>
  <c r="G52" i="104"/>
  <c r="H52" i="104"/>
  <c r="B53" i="104"/>
  <c r="B55" i="104" s="1"/>
  <c r="I31" i="89" s="1"/>
  <c r="C53" i="104"/>
  <c r="C55" i="104" s="1"/>
  <c r="E53" i="104"/>
  <c r="E55" i="104" s="1"/>
  <c r="G54" i="104"/>
  <c r="H54" i="104"/>
  <c r="G61" i="104"/>
  <c r="H61" i="104"/>
  <c r="G62" i="104"/>
  <c r="H62" i="104"/>
  <c r="G63" i="104"/>
  <c r="H63" i="104"/>
  <c r="B65" i="104"/>
  <c r="C65" i="104"/>
  <c r="E65" i="104"/>
  <c r="B79" i="104"/>
  <c r="C79" i="104"/>
  <c r="B87" i="104"/>
  <c r="C87" i="104"/>
  <c r="A1" i="102"/>
  <c r="A1" i="98"/>
  <c r="E11" i="98"/>
  <c r="AA11" i="98" s="1"/>
  <c r="E12" i="98"/>
  <c r="AA12" i="98" s="1"/>
  <c r="B13" i="98"/>
  <c r="C13" i="98"/>
  <c r="F13" i="98"/>
  <c r="D21" i="67" s="1"/>
  <c r="G13" i="98"/>
  <c r="E21" i="67" s="1"/>
  <c r="H13" i="98"/>
  <c r="F21" i="67" s="1"/>
  <c r="I13" i="98"/>
  <c r="G21" i="67" s="1"/>
  <c r="J13" i="98"/>
  <c r="H21" i="67" s="1"/>
  <c r="K13" i="98"/>
  <c r="I21" i="67" s="1"/>
  <c r="L13" i="98"/>
  <c r="J21" i="67" s="1"/>
  <c r="M13" i="98"/>
  <c r="K21" i="67" s="1"/>
  <c r="N13" i="98"/>
  <c r="L21" i="67" s="1"/>
  <c r="O13" i="98"/>
  <c r="M21" i="67" s="1"/>
  <c r="P13" i="98"/>
  <c r="N21" i="67" s="1"/>
  <c r="Q13" i="98"/>
  <c r="O21" i="67" s="1"/>
  <c r="R13" i="98"/>
  <c r="P21" i="67" s="1"/>
  <c r="S13" i="98"/>
  <c r="Q21" i="67" s="1"/>
  <c r="T13" i="98"/>
  <c r="R21" i="67" s="1"/>
  <c r="U13" i="98"/>
  <c r="S21" i="67" s="1"/>
  <c r="V13" i="98"/>
  <c r="T21" i="67" s="1"/>
  <c r="W13" i="98"/>
  <c r="U21" i="67" s="1"/>
  <c r="X13" i="98"/>
  <c r="V21" i="67" s="1"/>
  <c r="Y13" i="98"/>
  <c r="W21" i="67" s="1"/>
  <c r="Z13" i="98"/>
  <c r="X21" i="67" s="1"/>
  <c r="A1" i="97"/>
  <c r="J6" i="97"/>
  <c r="H12" i="97"/>
  <c r="J12" i="97" s="1"/>
  <c r="H14" i="97"/>
  <c r="J14" i="97" s="1"/>
  <c r="H16" i="97"/>
  <c r="J16" i="97" s="1"/>
  <c r="H18" i="97"/>
  <c r="H20" i="97"/>
  <c r="J20" i="97" s="1"/>
  <c r="D31" i="79" s="1"/>
  <c r="B22" i="97"/>
  <c r="B12" i="96" s="1"/>
  <c r="C22" i="97"/>
  <c r="C12" i="96" s="1"/>
  <c r="C24" i="96" s="1"/>
  <c r="D22" i="97"/>
  <c r="D12" i="96" s="1"/>
  <c r="D24" i="96" s="1"/>
  <c r="E22" i="97"/>
  <c r="E12" i="96" s="1"/>
  <c r="E24" i="96" s="1"/>
  <c r="G22" i="97"/>
  <c r="G12" i="96" s="1"/>
  <c r="G24" i="96" s="1"/>
  <c r="I22" i="97"/>
  <c r="I12" i="96" s="1"/>
  <c r="I24" i="96" s="1"/>
  <c r="H28" i="97"/>
  <c r="J28" i="97" s="1"/>
  <c r="H31" i="97"/>
  <c r="J31" i="97" s="1"/>
  <c r="H33" i="97"/>
  <c r="J33" i="97" s="1"/>
  <c r="H35" i="97"/>
  <c r="J35" i="97" s="1"/>
  <c r="B37" i="97"/>
  <c r="C37" i="97"/>
  <c r="D37" i="97"/>
  <c r="E37" i="97"/>
  <c r="G37" i="97"/>
  <c r="I37" i="97"/>
  <c r="A1" i="96"/>
  <c r="J6" i="96"/>
  <c r="J16" i="96"/>
  <c r="F31" i="96" s="1"/>
  <c r="H18" i="96"/>
  <c r="H20" i="96"/>
  <c r="J20" i="96" s="1"/>
  <c r="H22" i="96"/>
  <c r="L24" i="96"/>
  <c r="D28" i="96"/>
  <c r="E28" i="96" s="1"/>
  <c r="F28" i="96" s="1"/>
  <c r="H48" i="96"/>
  <c r="O48" i="96" s="1"/>
  <c r="H50" i="96"/>
  <c r="O50" i="96" s="1"/>
  <c r="H52" i="96"/>
  <c r="O52" i="96" s="1"/>
  <c r="A54" i="96"/>
  <c r="B54" i="96"/>
  <c r="C54" i="96"/>
  <c r="D54" i="96"/>
  <c r="E54" i="96"/>
  <c r="G54" i="96"/>
  <c r="I54" i="96"/>
  <c r="L54" i="96"/>
  <c r="A1" i="93"/>
  <c r="L1312" i="1" s="1"/>
  <c r="E12" i="93"/>
  <c r="E13" i="93"/>
  <c r="E14" i="93"/>
  <c r="E15" i="93"/>
  <c r="E16" i="93"/>
  <c r="E17" i="93"/>
  <c r="E18" i="93"/>
  <c r="E19" i="93"/>
  <c r="E20" i="93"/>
  <c r="E21" i="93"/>
  <c r="E22" i="93"/>
  <c r="E23" i="93"/>
  <c r="E24" i="93"/>
  <c r="E25" i="93"/>
  <c r="E26" i="93"/>
  <c r="E27" i="93"/>
  <c r="F28" i="93"/>
  <c r="G28" i="93"/>
  <c r="H28" i="93"/>
  <c r="I28" i="93"/>
  <c r="J28" i="93"/>
  <c r="K28" i="93"/>
  <c r="L28" i="93"/>
  <c r="M28" i="93"/>
  <c r="N28" i="93"/>
  <c r="O28" i="93"/>
  <c r="P28" i="93"/>
  <c r="Q28" i="93"/>
  <c r="R28" i="93"/>
  <c r="S28" i="93"/>
  <c r="T28" i="93"/>
  <c r="U28" i="93"/>
  <c r="V28" i="93"/>
  <c r="W28" i="93"/>
  <c r="X28" i="93"/>
  <c r="Y28" i="93"/>
  <c r="Z28" i="93"/>
  <c r="E30" i="93"/>
  <c r="E31" i="93"/>
  <c r="E32" i="93"/>
  <c r="F33" i="93"/>
  <c r="G33" i="93"/>
  <c r="H33" i="93"/>
  <c r="I33" i="93"/>
  <c r="J33" i="93"/>
  <c r="K33" i="93"/>
  <c r="L33" i="93"/>
  <c r="M33" i="93"/>
  <c r="N33" i="93"/>
  <c r="O33" i="93"/>
  <c r="P33" i="93"/>
  <c r="Q33" i="93"/>
  <c r="R33" i="93"/>
  <c r="S33" i="93"/>
  <c r="T33" i="93"/>
  <c r="U33" i="93"/>
  <c r="V33" i="93"/>
  <c r="W33" i="93"/>
  <c r="X33" i="93"/>
  <c r="Y33" i="93"/>
  <c r="Z33" i="93"/>
  <c r="E35" i="93"/>
  <c r="F36" i="93"/>
  <c r="G36" i="93"/>
  <c r="H36" i="93"/>
  <c r="I36" i="93"/>
  <c r="J36" i="93"/>
  <c r="K36" i="93"/>
  <c r="L36" i="93"/>
  <c r="M36" i="93"/>
  <c r="N36" i="93"/>
  <c r="O36" i="93"/>
  <c r="P36" i="93"/>
  <c r="Q36" i="93"/>
  <c r="R36" i="93"/>
  <c r="S36" i="93"/>
  <c r="T36" i="93"/>
  <c r="U36" i="93"/>
  <c r="V36" i="93"/>
  <c r="W36" i="93"/>
  <c r="X36" i="93"/>
  <c r="Y36" i="93"/>
  <c r="Z36" i="93"/>
  <c r="E41" i="93"/>
  <c r="E42" i="93"/>
  <c r="E43" i="93"/>
  <c r="E44" i="93"/>
  <c r="E45" i="93"/>
  <c r="E46" i="93"/>
  <c r="F47" i="93"/>
  <c r="G47" i="93"/>
  <c r="H47" i="93"/>
  <c r="I47" i="93"/>
  <c r="J47" i="93"/>
  <c r="K47" i="93"/>
  <c r="L47" i="93"/>
  <c r="M47" i="93"/>
  <c r="N47" i="93"/>
  <c r="O47" i="93"/>
  <c r="P47" i="93"/>
  <c r="Q47" i="93"/>
  <c r="R47" i="93"/>
  <c r="S47" i="93"/>
  <c r="T47" i="93"/>
  <c r="U47" i="93"/>
  <c r="V47" i="93"/>
  <c r="W47" i="93"/>
  <c r="X47" i="93"/>
  <c r="Y47" i="93"/>
  <c r="Z47" i="93"/>
  <c r="A1" i="92"/>
  <c r="E10" i="92"/>
  <c r="E11" i="92"/>
  <c r="E13" i="92"/>
  <c r="E14" i="92"/>
  <c r="G22" i="77" s="1"/>
  <c r="E15" i="92"/>
  <c r="F16" i="92"/>
  <c r="F37" i="92" s="1"/>
  <c r="G16" i="92"/>
  <c r="G37" i="92" s="1"/>
  <c r="H16" i="92"/>
  <c r="I16" i="92"/>
  <c r="J16" i="92"/>
  <c r="K16" i="92"/>
  <c r="K37" i="92" s="1"/>
  <c r="L16" i="92"/>
  <c r="M16" i="92"/>
  <c r="N16" i="92"/>
  <c r="N37" i="92" s="1"/>
  <c r="O16" i="92"/>
  <c r="O37" i="92" s="1"/>
  <c r="P16" i="92"/>
  <c r="Q16" i="92"/>
  <c r="R16" i="92"/>
  <c r="S16" i="92"/>
  <c r="S37" i="92" s="1"/>
  <c r="T16" i="92"/>
  <c r="U16" i="92"/>
  <c r="V16" i="92"/>
  <c r="V37" i="92" s="1"/>
  <c r="W16" i="92"/>
  <c r="W37" i="92" s="1"/>
  <c r="X16" i="92"/>
  <c r="Y16" i="92"/>
  <c r="Z16" i="92"/>
  <c r="E18" i="92"/>
  <c r="AA18" i="92" s="1"/>
  <c r="E19" i="92"/>
  <c r="AA19" i="92" s="1"/>
  <c r="C24" i="75"/>
  <c r="D24" i="75"/>
  <c r="E20" i="92"/>
  <c r="F24" i="75" s="1"/>
  <c r="E21" i="92"/>
  <c r="F22" i="92"/>
  <c r="G22" i="92"/>
  <c r="H22" i="92"/>
  <c r="I22" i="92"/>
  <c r="J22" i="92"/>
  <c r="K22" i="92"/>
  <c r="L22" i="92"/>
  <c r="M22" i="92"/>
  <c r="N22" i="92"/>
  <c r="O22" i="92"/>
  <c r="P22" i="92"/>
  <c r="Q22" i="92"/>
  <c r="R22" i="92"/>
  <c r="S22" i="92"/>
  <c r="T22" i="92"/>
  <c r="U22" i="92"/>
  <c r="V22" i="92"/>
  <c r="W22" i="92"/>
  <c r="X22" i="92"/>
  <c r="Y22" i="92"/>
  <c r="Z22" i="92"/>
  <c r="C26" i="75"/>
  <c r="D26" i="75"/>
  <c r="E24" i="92"/>
  <c r="AA24" i="92" s="1"/>
  <c r="AA25" i="92" s="1"/>
  <c r="AA41" i="92" s="1"/>
  <c r="F25" i="92"/>
  <c r="F41" i="92" s="1"/>
  <c r="G25" i="92"/>
  <c r="G41" i="92" s="1"/>
  <c r="H25" i="92"/>
  <c r="H41" i="92" s="1"/>
  <c r="I25" i="92"/>
  <c r="I41" i="92" s="1"/>
  <c r="J25" i="92"/>
  <c r="J41" i="92" s="1"/>
  <c r="K25" i="92"/>
  <c r="K41" i="92" s="1"/>
  <c r="L25" i="92"/>
  <c r="L41" i="92" s="1"/>
  <c r="M25" i="92"/>
  <c r="M41" i="92" s="1"/>
  <c r="N25" i="92"/>
  <c r="N41" i="92" s="1"/>
  <c r="O25" i="92"/>
  <c r="O41" i="92" s="1"/>
  <c r="P25" i="92"/>
  <c r="P41" i="92" s="1"/>
  <c r="Q25" i="92"/>
  <c r="Q41" i="92" s="1"/>
  <c r="R25" i="92"/>
  <c r="R41" i="92" s="1"/>
  <c r="S25" i="92"/>
  <c r="S41" i="92" s="1"/>
  <c r="T25" i="92"/>
  <c r="T41" i="92" s="1"/>
  <c r="U25" i="92"/>
  <c r="U41" i="92" s="1"/>
  <c r="V25" i="92"/>
  <c r="V41" i="92" s="1"/>
  <c r="W25" i="92"/>
  <c r="W41" i="92" s="1"/>
  <c r="X25" i="92"/>
  <c r="X41" i="92" s="1"/>
  <c r="Y25" i="92"/>
  <c r="Y41" i="92" s="1"/>
  <c r="Z25" i="92"/>
  <c r="Z41" i="92" s="1"/>
  <c r="E28" i="92"/>
  <c r="AA28" i="92" s="1"/>
  <c r="E29" i="92"/>
  <c r="AA29" i="92" s="1"/>
  <c r="E30" i="92"/>
  <c r="AA30" i="92" s="1"/>
  <c r="E33" i="92"/>
  <c r="AA33" i="92" s="1"/>
  <c r="C16" i="75"/>
  <c r="E34" i="92"/>
  <c r="AA34" i="92" s="1"/>
  <c r="F35" i="92"/>
  <c r="G35" i="92"/>
  <c r="H35" i="92"/>
  <c r="I35" i="92"/>
  <c r="J35" i="92"/>
  <c r="K35" i="92"/>
  <c r="L35" i="92"/>
  <c r="M35" i="92"/>
  <c r="N35" i="92"/>
  <c r="O35" i="92"/>
  <c r="P35" i="92"/>
  <c r="Q35" i="92"/>
  <c r="R35" i="92"/>
  <c r="S35" i="92"/>
  <c r="T35" i="92"/>
  <c r="U35" i="92"/>
  <c r="V35" i="92"/>
  <c r="W35" i="92"/>
  <c r="X35" i="92"/>
  <c r="Y35" i="92"/>
  <c r="Z35" i="92"/>
  <c r="A1" i="89"/>
  <c r="C13" i="89"/>
  <c r="A1" i="88"/>
  <c r="L1192" i="1" s="1"/>
  <c r="L1199" i="1" s="1"/>
  <c r="A1" i="87"/>
  <c r="L11" i="87"/>
  <c r="K12" i="87"/>
  <c r="L12" i="87"/>
  <c r="K13" i="87"/>
  <c r="L13" i="87"/>
  <c r="K14" i="87"/>
  <c r="C89" i="71" s="1"/>
  <c r="L14" i="87"/>
  <c r="L15" i="87"/>
  <c r="C16" i="87"/>
  <c r="B11" i="87" s="1"/>
  <c r="B16" i="87" s="1"/>
  <c r="B27" i="87" s="1"/>
  <c r="F16" i="87"/>
  <c r="I16" i="87"/>
  <c r="H11" i="87" s="1"/>
  <c r="H16" i="87" s="1"/>
  <c r="H27" i="87" s="1"/>
  <c r="L19" i="87"/>
  <c r="K20" i="87"/>
  <c r="L20" i="87"/>
  <c r="K22" i="87"/>
  <c r="C90" i="71" s="1"/>
  <c r="L22" i="87"/>
  <c r="K23" i="87"/>
  <c r="L23" i="87"/>
  <c r="C24" i="87"/>
  <c r="B19" i="87" s="1"/>
  <c r="F24" i="87"/>
  <c r="E19" i="87" s="1"/>
  <c r="I24" i="87"/>
  <c r="H19" i="87" s="1"/>
  <c r="K32" i="87"/>
  <c r="L32" i="87"/>
  <c r="A1" i="86"/>
  <c r="K13" i="86"/>
  <c r="C15" i="67" s="1"/>
  <c r="B15" i="67" s="1"/>
  <c r="L13" i="86"/>
  <c r="C16" i="67" s="1"/>
  <c r="B16" i="67" s="1"/>
  <c r="A1" i="85"/>
  <c r="A1" i="84"/>
  <c r="J10" i="84"/>
  <c r="J11" i="84"/>
  <c r="J12" i="84"/>
  <c r="D83" i="143" s="1"/>
  <c r="D99" i="143" s="1"/>
  <c r="J13" i="84"/>
  <c r="J14" i="84"/>
  <c r="J15" i="84"/>
  <c r="J16" i="84"/>
  <c r="J17" i="84"/>
  <c r="J18" i="84"/>
  <c r="J19" i="84"/>
  <c r="B21" i="84"/>
  <c r="B10" i="83" s="1"/>
  <c r="B12" i="83" s="1"/>
  <c r="B23" i="83" s="1"/>
  <c r="C21" i="84"/>
  <c r="D21" i="84"/>
  <c r="E21" i="84"/>
  <c r="E10" i="83" s="1"/>
  <c r="E12" i="83" s="1"/>
  <c r="E23" i="83" s="1"/>
  <c r="F21" i="84"/>
  <c r="F10" i="83" s="1"/>
  <c r="F12" i="83" s="1"/>
  <c r="F23" i="83" s="1"/>
  <c r="G21" i="84"/>
  <c r="H21" i="84"/>
  <c r="I21" i="84"/>
  <c r="I10" i="83" s="1"/>
  <c r="I12" i="83" s="1"/>
  <c r="I23" i="83" s="1"/>
  <c r="A24" i="84"/>
  <c r="J24" i="84"/>
  <c r="J25" i="84"/>
  <c r="J26" i="84"/>
  <c r="J27" i="84"/>
  <c r="J28" i="84"/>
  <c r="J29" i="84"/>
  <c r="J30" i="84"/>
  <c r="J31" i="84"/>
  <c r="J32" i="84"/>
  <c r="A34" i="84"/>
  <c r="A37" i="84" s="1"/>
  <c r="A48" i="84" s="1"/>
  <c r="B34" i="84"/>
  <c r="B26" i="83" s="1"/>
  <c r="B28" i="83" s="1"/>
  <c r="B38" i="83" s="1"/>
  <c r="C34" i="84"/>
  <c r="D34" i="84"/>
  <c r="D26" i="83" s="1"/>
  <c r="D28" i="83" s="1"/>
  <c r="D38" i="83" s="1"/>
  <c r="E34" i="84"/>
  <c r="E26" i="83" s="1"/>
  <c r="E28" i="83" s="1"/>
  <c r="E38" i="83" s="1"/>
  <c r="F34" i="84"/>
  <c r="F26" i="83" s="1"/>
  <c r="F28" i="83" s="1"/>
  <c r="F38" i="83" s="1"/>
  <c r="G34" i="84"/>
  <c r="G26" i="83" s="1"/>
  <c r="G28" i="83" s="1"/>
  <c r="G38" i="83" s="1"/>
  <c r="H34" i="84"/>
  <c r="H26" i="83" s="1"/>
  <c r="H28" i="83" s="1"/>
  <c r="H38" i="83" s="1"/>
  <c r="I34" i="84"/>
  <c r="I26" i="83" s="1"/>
  <c r="I28" i="83" s="1"/>
  <c r="I38" i="83" s="1"/>
  <c r="A39" i="84"/>
  <c r="B39" i="84"/>
  <c r="C39" i="84"/>
  <c r="D39" i="84"/>
  <c r="E39" i="84"/>
  <c r="F39" i="84"/>
  <c r="G39" i="84"/>
  <c r="H39" i="84"/>
  <c r="I39" i="84"/>
  <c r="J44" i="84"/>
  <c r="J45" i="84"/>
  <c r="A1" i="83"/>
  <c r="J13" i="83"/>
  <c r="L13" i="83"/>
  <c r="W13" i="83"/>
  <c r="X13" i="83"/>
  <c r="Y13" i="83"/>
  <c r="Z13" i="83"/>
  <c r="AA13" i="83"/>
  <c r="AB13" i="83"/>
  <c r="AC13" i="83"/>
  <c r="AD13" i="83"/>
  <c r="J14" i="83"/>
  <c r="C83" i="143" s="1"/>
  <c r="C97" i="143" s="1"/>
  <c r="L14" i="83"/>
  <c r="W14" i="83"/>
  <c r="X14" i="83"/>
  <c r="Y14" i="83"/>
  <c r="Z14" i="83"/>
  <c r="AA14" i="83"/>
  <c r="AB14" i="83"/>
  <c r="AC14" i="83"/>
  <c r="AD14" i="83"/>
  <c r="J15" i="83"/>
  <c r="AE15" i="83" s="1"/>
  <c r="L15" i="83"/>
  <c r="W15" i="83"/>
  <c r="X15" i="83"/>
  <c r="Y15" i="83"/>
  <c r="Z15" i="83"/>
  <c r="AA15" i="83"/>
  <c r="AB15" i="83"/>
  <c r="AC15" i="83"/>
  <c r="AD15" i="83"/>
  <c r="J16" i="83"/>
  <c r="AE16" i="83" s="1"/>
  <c r="L16" i="83"/>
  <c r="W16" i="83"/>
  <c r="X16" i="83"/>
  <c r="Y16" i="83"/>
  <c r="Z16" i="83"/>
  <c r="AA16" i="83"/>
  <c r="AB16" i="83"/>
  <c r="AC16" i="83"/>
  <c r="AD16" i="83"/>
  <c r="J17" i="83"/>
  <c r="L17" i="83"/>
  <c r="W17" i="83"/>
  <c r="X17" i="83"/>
  <c r="Y17" i="83"/>
  <c r="Z17" i="83"/>
  <c r="AA17" i="83"/>
  <c r="AB17" i="83"/>
  <c r="AC17" i="83"/>
  <c r="AD17" i="83"/>
  <c r="J18" i="83"/>
  <c r="L18" i="83"/>
  <c r="W18" i="83"/>
  <c r="X18" i="83"/>
  <c r="Y18" i="83"/>
  <c r="Z18" i="83"/>
  <c r="AA18" i="83"/>
  <c r="AB18" i="83"/>
  <c r="AC18" i="83"/>
  <c r="AD18" i="83"/>
  <c r="J19" i="83"/>
  <c r="L19" i="83"/>
  <c r="W19" i="83"/>
  <c r="X19" i="83"/>
  <c r="Y19" i="83"/>
  <c r="Z19" i="83"/>
  <c r="AA19" i="83"/>
  <c r="AB19" i="83"/>
  <c r="AC19" i="83"/>
  <c r="AD19" i="83"/>
  <c r="J20" i="83"/>
  <c r="L20" i="83"/>
  <c r="W20" i="83"/>
  <c r="X20" i="83"/>
  <c r="Y20" i="83"/>
  <c r="Z20" i="83"/>
  <c r="AA20" i="83"/>
  <c r="AB20" i="83"/>
  <c r="AC20" i="83"/>
  <c r="AD20" i="83"/>
  <c r="J21" i="83"/>
  <c r="AE21" i="83" s="1"/>
  <c r="L21" i="83"/>
  <c r="W21" i="83"/>
  <c r="X21" i="83"/>
  <c r="Y21" i="83"/>
  <c r="Z21" i="83"/>
  <c r="AA21" i="83"/>
  <c r="AB21" i="83"/>
  <c r="AC21" i="83"/>
  <c r="AD21" i="83"/>
  <c r="A26" i="83"/>
  <c r="J29" i="83"/>
  <c r="AE29" i="83" s="1"/>
  <c r="L29" i="83"/>
  <c r="W29" i="83"/>
  <c r="X29" i="83"/>
  <c r="Y29" i="83"/>
  <c r="Z29" i="83"/>
  <c r="AA29" i="83"/>
  <c r="AB29" i="83"/>
  <c r="AC29" i="83"/>
  <c r="AD29" i="83"/>
  <c r="J30" i="83"/>
  <c r="L30" i="83"/>
  <c r="W30" i="83"/>
  <c r="X30" i="83"/>
  <c r="Y30" i="83"/>
  <c r="Z30" i="83"/>
  <c r="AA30" i="83"/>
  <c r="AB30" i="83"/>
  <c r="AC30" i="83"/>
  <c r="AD30" i="83"/>
  <c r="J31" i="83"/>
  <c r="AE31" i="83" s="1"/>
  <c r="L31" i="83"/>
  <c r="W31" i="83"/>
  <c r="X31" i="83"/>
  <c r="Y31" i="83"/>
  <c r="Z31" i="83"/>
  <c r="AA31" i="83"/>
  <c r="AB31" i="83"/>
  <c r="AC31" i="83"/>
  <c r="AD31" i="83"/>
  <c r="J32" i="83"/>
  <c r="L32" i="83"/>
  <c r="W32" i="83"/>
  <c r="X32" i="83"/>
  <c r="Y32" i="83"/>
  <c r="Z32" i="83"/>
  <c r="AA32" i="83"/>
  <c r="AB32" i="83"/>
  <c r="AC32" i="83"/>
  <c r="AD32" i="83"/>
  <c r="J33" i="83"/>
  <c r="AE33" i="83" s="1"/>
  <c r="L33" i="83"/>
  <c r="W33" i="83"/>
  <c r="X33" i="83"/>
  <c r="Y33" i="83"/>
  <c r="Z33" i="83"/>
  <c r="AA33" i="83"/>
  <c r="AB33" i="83"/>
  <c r="AC33" i="83"/>
  <c r="AD33" i="83"/>
  <c r="J34" i="83"/>
  <c r="L34" i="83"/>
  <c r="W34" i="83"/>
  <c r="X34" i="83"/>
  <c r="Y34" i="83"/>
  <c r="Z34" i="83"/>
  <c r="AA34" i="83"/>
  <c r="AB34" i="83"/>
  <c r="AC34" i="83"/>
  <c r="AD34" i="83"/>
  <c r="J35" i="83"/>
  <c r="AE35" i="83" s="1"/>
  <c r="L35" i="83"/>
  <c r="W35" i="83"/>
  <c r="X35" i="83"/>
  <c r="Y35" i="83"/>
  <c r="Z35" i="83"/>
  <c r="AA35" i="83"/>
  <c r="AB35" i="83"/>
  <c r="AC35" i="83"/>
  <c r="AD35" i="83"/>
  <c r="J36" i="83"/>
  <c r="C48" i="71" s="1"/>
  <c r="L36" i="83"/>
  <c r="W36" i="83"/>
  <c r="X36" i="83"/>
  <c r="Y36" i="83"/>
  <c r="Z36" i="83"/>
  <c r="AA36" i="83"/>
  <c r="AB36" i="83"/>
  <c r="AC36" i="83"/>
  <c r="AD36" i="83"/>
  <c r="A38" i="83"/>
  <c r="A41" i="83" s="1"/>
  <c r="A51" i="83" s="1"/>
  <c r="L43" i="83"/>
  <c r="C14" i="67" s="1"/>
  <c r="B14" i="67" s="1"/>
  <c r="L46" i="83"/>
  <c r="J47" i="83"/>
  <c r="L47" i="83"/>
  <c r="W47" i="83"/>
  <c r="X47" i="83"/>
  <c r="Y47" i="83"/>
  <c r="Z47" i="83"/>
  <c r="AA47" i="83"/>
  <c r="AB47" i="83"/>
  <c r="AC47" i="83"/>
  <c r="AD47" i="83"/>
  <c r="J48" i="83"/>
  <c r="AE48" i="83" s="1"/>
  <c r="L48" i="83"/>
  <c r="W48" i="83"/>
  <c r="X48" i="83"/>
  <c r="Y48" i="83"/>
  <c r="Z48" i="83"/>
  <c r="AA48" i="83"/>
  <c r="AB48" i="83"/>
  <c r="AC48" i="83"/>
  <c r="AD48" i="83"/>
  <c r="A1" i="82"/>
  <c r="B23" i="82"/>
  <c r="C23" i="82"/>
  <c r="C10" i="81" s="1"/>
  <c r="D23" i="82"/>
  <c r="D10" i="81" s="1"/>
  <c r="I23" i="82"/>
  <c r="I10" i="81" s="1"/>
  <c r="E23" i="82"/>
  <c r="F23" i="82"/>
  <c r="F10" i="81" s="1"/>
  <c r="G23" i="82"/>
  <c r="G10" i="81" s="1"/>
  <c r="H23" i="82"/>
  <c r="H10" i="81" s="1"/>
  <c r="A26" i="82"/>
  <c r="A42" i="82" s="1"/>
  <c r="D23" i="79"/>
  <c r="D40" i="143" s="1"/>
  <c r="A37" i="82"/>
  <c r="A40" i="82" s="1"/>
  <c r="A50" i="82" s="1"/>
  <c r="B37" i="82"/>
  <c r="B28" i="81" s="1"/>
  <c r="B30" i="81" s="1"/>
  <c r="C37" i="82"/>
  <c r="C28" i="81" s="1"/>
  <c r="C30" i="81" s="1"/>
  <c r="C41" i="81" s="1"/>
  <c r="D37" i="82"/>
  <c r="I37" i="82"/>
  <c r="E37" i="82"/>
  <c r="E28" i="81" s="1"/>
  <c r="E30" i="81" s="1"/>
  <c r="E41" i="81" s="1"/>
  <c r="F37" i="82"/>
  <c r="F28" i="81" s="1"/>
  <c r="F30" i="81" s="1"/>
  <c r="F41" i="81" s="1"/>
  <c r="G37" i="82"/>
  <c r="G28" i="81" s="1"/>
  <c r="G30" i="81" s="1"/>
  <c r="G41" i="81" s="1"/>
  <c r="H37" i="82"/>
  <c r="H28" i="81" s="1"/>
  <c r="H30" i="81" s="1"/>
  <c r="H41" i="81" s="1"/>
  <c r="B42" i="82"/>
  <c r="C42" i="82"/>
  <c r="D42" i="82"/>
  <c r="I42" i="82"/>
  <c r="E42" i="82"/>
  <c r="F42" i="82"/>
  <c r="G42" i="82"/>
  <c r="H42" i="82"/>
  <c r="A1" i="81"/>
  <c r="W13" i="81"/>
  <c r="X13" i="81"/>
  <c r="Y13" i="81"/>
  <c r="Z13" i="81"/>
  <c r="AA13" i="81"/>
  <c r="AB13" i="81"/>
  <c r="AC13" i="81"/>
  <c r="AD13" i="81"/>
  <c r="W14" i="81"/>
  <c r="X14" i="81"/>
  <c r="Y14" i="81"/>
  <c r="Z14" i="81"/>
  <c r="AA14" i="81"/>
  <c r="AB14" i="81"/>
  <c r="AC14" i="81"/>
  <c r="AD14" i="81"/>
  <c r="W15" i="81"/>
  <c r="X15" i="81"/>
  <c r="Y15" i="81"/>
  <c r="Z15" i="81"/>
  <c r="AA15" i="81"/>
  <c r="AB15" i="81"/>
  <c r="AC15" i="81"/>
  <c r="AD15" i="81"/>
  <c r="AE16" i="81"/>
  <c r="W16" i="81"/>
  <c r="X16" i="81"/>
  <c r="Y16" i="81"/>
  <c r="Z16" i="81"/>
  <c r="AA16" i="81"/>
  <c r="AB16" i="81"/>
  <c r="AC16" i="81"/>
  <c r="AD16" i="81"/>
  <c r="W17" i="81"/>
  <c r="X17" i="81"/>
  <c r="Y17" i="81"/>
  <c r="Z17" i="81"/>
  <c r="AA17" i="81"/>
  <c r="AB17" i="81"/>
  <c r="AC17" i="81"/>
  <c r="AD17" i="81"/>
  <c r="W18" i="81"/>
  <c r="X18" i="81"/>
  <c r="Y18" i="81"/>
  <c r="Z18" i="81"/>
  <c r="AA18" i="81"/>
  <c r="AB18" i="81"/>
  <c r="AC18" i="81"/>
  <c r="AD18" i="81"/>
  <c r="W19" i="81"/>
  <c r="X19" i="81"/>
  <c r="Y19" i="81"/>
  <c r="Z19" i="81"/>
  <c r="AA19" i="81"/>
  <c r="AB19" i="81"/>
  <c r="AC19" i="81"/>
  <c r="AD19" i="81"/>
  <c r="W20" i="81"/>
  <c r="X20" i="81"/>
  <c r="Y20" i="81"/>
  <c r="Z20" i="81"/>
  <c r="AA20" i="81"/>
  <c r="AB20" i="81"/>
  <c r="AC20" i="81"/>
  <c r="AD20" i="81"/>
  <c r="W21" i="81"/>
  <c r="X21" i="81"/>
  <c r="Y21" i="81"/>
  <c r="Z21" i="81"/>
  <c r="AA21" i="81"/>
  <c r="AB21" i="81"/>
  <c r="AC21" i="81"/>
  <c r="AD21" i="81"/>
  <c r="C81" i="71"/>
  <c r="W22" i="81"/>
  <c r="X22" i="81"/>
  <c r="Y22" i="81"/>
  <c r="Z22" i="81"/>
  <c r="AA22" i="81"/>
  <c r="AB22" i="81"/>
  <c r="AC22" i="81"/>
  <c r="AD22" i="81"/>
  <c r="A28" i="81"/>
  <c r="M28" i="81"/>
  <c r="N28" i="81"/>
  <c r="O28" i="81"/>
  <c r="T28" i="81"/>
  <c r="P28" i="81"/>
  <c r="Q28" i="81"/>
  <c r="R28" i="81"/>
  <c r="S28" i="81"/>
  <c r="W31" i="81"/>
  <c r="X31" i="81"/>
  <c r="Y31" i="81"/>
  <c r="Z31" i="81"/>
  <c r="AA31" i="81"/>
  <c r="AB31" i="81"/>
  <c r="AC31" i="81"/>
  <c r="AD31" i="81"/>
  <c r="W32" i="81"/>
  <c r="X32" i="81"/>
  <c r="Y32" i="81"/>
  <c r="Z32" i="81"/>
  <c r="AA32" i="81"/>
  <c r="AB32" i="81"/>
  <c r="AC32" i="81"/>
  <c r="AD32" i="81"/>
  <c r="AE33" i="81"/>
  <c r="W33" i="81"/>
  <c r="X33" i="81"/>
  <c r="Y33" i="81"/>
  <c r="Z33" i="81"/>
  <c r="AA33" i="81"/>
  <c r="AB33" i="81"/>
  <c r="AC33" i="81"/>
  <c r="AD33" i="81"/>
  <c r="W34" i="81"/>
  <c r="X34" i="81"/>
  <c r="Y34" i="81"/>
  <c r="Z34" i="81"/>
  <c r="AA34" i="81"/>
  <c r="AB34" i="81"/>
  <c r="AC34" i="81"/>
  <c r="AD34" i="81"/>
  <c r="W35" i="81"/>
  <c r="X35" i="81"/>
  <c r="Y35" i="81"/>
  <c r="Z35" i="81"/>
  <c r="AA35" i="81"/>
  <c r="AB35" i="81"/>
  <c r="AC35" i="81"/>
  <c r="AD35" i="81"/>
  <c r="AE36" i="81"/>
  <c r="W36" i="81"/>
  <c r="X36" i="81"/>
  <c r="Y36" i="81"/>
  <c r="Z36" i="81"/>
  <c r="AA36" i="81"/>
  <c r="AB36" i="81"/>
  <c r="AC36" i="81"/>
  <c r="AD36" i="81"/>
  <c r="AE37" i="81"/>
  <c r="W37" i="81"/>
  <c r="X37" i="81"/>
  <c r="Y37" i="81"/>
  <c r="Z37" i="81"/>
  <c r="AA37" i="81"/>
  <c r="AB37" i="81"/>
  <c r="AC37" i="81"/>
  <c r="AD37" i="81"/>
  <c r="W38" i="81"/>
  <c r="X38" i="81"/>
  <c r="Y38" i="81"/>
  <c r="Z38" i="81"/>
  <c r="AA38" i="81"/>
  <c r="AB38" i="81"/>
  <c r="AC38" i="81"/>
  <c r="AD38" i="81"/>
  <c r="W39" i="81"/>
  <c r="X39" i="81"/>
  <c r="Y39" i="81"/>
  <c r="Z39" i="81"/>
  <c r="AA39" i="81"/>
  <c r="AB39" i="81"/>
  <c r="AC39" i="81"/>
  <c r="AD39" i="81"/>
  <c r="V40" i="81"/>
  <c r="W40" i="81"/>
  <c r="X40" i="81"/>
  <c r="Y40" i="81"/>
  <c r="Z40" i="81"/>
  <c r="AA40" i="81"/>
  <c r="AB40" i="81"/>
  <c r="AC40" i="81"/>
  <c r="AD40" i="81"/>
  <c r="AE40" i="81"/>
  <c r="AF40" i="81"/>
  <c r="AG40" i="81"/>
  <c r="A41" i="81"/>
  <c r="A44" i="81" s="1"/>
  <c r="A54" i="81" s="1"/>
  <c r="AE50" i="81"/>
  <c r="W50" i="81"/>
  <c r="X50" i="81"/>
  <c r="Y50" i="81"/>
  <c r="Z50" i="81"/>
  <c r="AA50" i="81"/>
  <c r="AB50" i="81"/>
  <c r="AC50" i="81"/>
  <c r="AD50" i="81"/>
  <c r="AE51" i="81"/>
  <c r="W51" i="81"/>
  <c r="X51" i="81"/>
  <c r="Y51" i="81"/>
  <c r="Z51" i="81"/>
  <c r="AA51" i="81"/>
  <c r="AB51" i="81"/>
  <c r="AC51" i="81"/>
  <c r="AD51" i="81"/>
  <c r="A1" i="80"/>
  <c r="E13" i="80"/>
  <c r="E15" i="80"/>
  <c r="E16" i="80"/>
  <c r="E17" i="80"/>
  <c r="E25" i="80"/>
  <c r="E26" i="80"/>
  <c r="E27" i="80"/>
  <c r="E28" i="80"/>
  <c r="E29" i="80"/>
  <c r="A1" i="79"/>
  <c r="H10" i="79"/>
  <c r="I10" i="79"/>
  <c r="J10" i="79"/>
  <c r="K10" i="79"/>
  <c r="L10" i="79"/>
  <c r="M10" i="79"/>
  <c r="N10" i="79"/>
  <c r="O10" i="79"/>
  <c r="P10" i="79"/>
  <c r="Q10" i="79"/>
  <c r="R10" i="79"/>
  <c r="S10" i="79"/>
  <c r="T10" i="79"/>
  <c r="U10" i="79"/>
  <c r="V10" i="79"/>
  <c r="W10" i="79"/>
  <c r="X10" i="79"/>
  <c r="Y10" i="79"/>
  <c r="Z10" i="79"/>
  <c r="AA10" i="79"/>
  <c r="AB10" i="79"/>
  <c r="H11" i="79"/>
  <c r="I11" i="79"/>
  <c r="J11" i="79"/>
  <c r="K11" i="79"/>
  <c r="L11" i="79"/>
  <c r="M11" i="79"/>
  <c r="N11" i="79"/>
  <c r="O11" i="79"/>
  <c r="P11" i="79"/>
  <c r="Q11" i="79"/>
  <c r="R11" i="79"/>
  <c r="S11" i="79"/>
  <c r="T11" i="79"/>
  <c r="U11" i="79"/>
  <c r="V11" i="79"/>
  <c r="W11" i="79"/>
  <c r="X11" i="79"/>
  <c r="Y11" i="79"/>
  <c r="Z11" i="79"/>
  <c r="AA11" i="79"/>
  <c r="AB11" i="79"/>
  <c r="H12" i="79"/>
  <c r="I12" i="79"/>
  <c r="J12" i="79"/>
  <c r="K12" i="79"/>
  <c r="L12" i="79"/>
  <c r="M12" i="79"/>
  <c r="N12" i="79"/>
  <c r="O12" i="79"/>
  <c r="P12" i="79"/>
  <c r="Q12" i="79"/>
  <c r="R12" i="79"/>
  <c r="S12" i="79"/>
  <c r="T12" i="79"/>
  <c r="U12" i="79"/>
  <c r="V12" i="79"/>
  <c r="W12" i="79"/>
  <c r="X12" i="79"/>
  <c r="Y12" i="79"/>
  <c r="Z12" i="79"/>
  <c r="AA12" i="79"/>
  <c r="AB12" i="79"/>
  <c r="C23" i="74"/>
  <c r="D23" i="74"/>
  <c r="G13" i="79"/>
  <c r="G15" i="79"/>
  <c r="G16" i="79"/>
  <c r="G17" i="79"/>
  <c r="G19" i="79"/>
  <c r="G20" i="79"/>
  <c r="G21" i="79"/>
  <c r="G22" i="79"/>
  <c r="G23" i="79"/>
  <c r="G24" i="79"/>
  <c r="G25" i="79"/>
  <c r="C97" i="71"/>
  <c r="C99" i="71" s="1"/>
  <c r="G26" i="79"/>
  <c r="G27" i="79"/>
  <c r="G29" i="79"/>
  <c r="G31" i="79"/>
  <c r="AD34" i="79"/>
  <c r="D262" i="71" s="1"/>
  <c r="AC35" i="79"/>
  <c r="AD36" i="79"/>
  <c r="D264" i="71" s="1"/>
  <c r="G30" i="79"/>
  <c r="G40" i="79"/>
  <c r="A1" i="77"/>
  <c r="G12" i="77"/>
  <c r="C54" i="77"/>
  <c r="D54" i="77"/>
  <c r="C58" i="77"/>
  <c r="C61" i="77" s="1"/>
  <c r="D58" i="77"/>
  <c r="D61" i="77" s="1"/>
  <c r="D64" i="77"/>
  <c r="A1" i="76"/>
  <c r="F13" i="76"/>
  <c r="F14" i="76"/>
  <c r="C15" i="76"/>
  <c r="D15" i="76"/>
  <c r="E15" i="76"/>
  <c r="F18" i="76"/>
  <c r="F19" i="76"/>
  <c r="G19" i="76"/>
  <c r="F20" i="76"/>
  <c r="F22" i="76"/>
  <c r="F25" i="76"/>
  <c r="F29" i="76"/>
  <c r="F30" i="76"/>
  <c r="G30" i="76"/>
  <c r="F31" i="76"/>
  <c r="F33" i="76"/>
  <c r="A47" i="76"/>
  <c r="F47" i="76"/>
  <c r="F48" i="76"/>
  <c r="A49" i="76"/>
  <c r="C49" i="76"/>
  <c r="D49" i="76"/>
  <c r="E49" i="76"/>
  <c r="A51" i="76"/>
  <c r="F52" i="76"/>
  <c r="F53" i="76"/>
  <c r="G53" i="76"/>
  <c r="F55" i="76"/>
  <c r="F56" i="76"/>
  <c r="F57" i="76"/>
  <c r="A58" i="76"/>
  <c r="E58" i="76"/>
  <c r="E66" i="76" s="1"/>
  <c r="A60" i="76"/>
  <c r="F61" i="76"/>
  <c r="F62" i="76"/>
  <c r="G62" i="76"/>
  <c r="F64" i="76"/>
  <c r="F65" i="76"/>
  <c r="A66" i="76"/>
  <c r="A1" i="75"/>
  <c r="D36" i="75"/>
  <c r="D38" i="75"/>
  <c r="C40" i="75"/>
  <c r="D40" i="75"/>
  <c r="A1" i="74"/>
  <c r="A1" i="73"/>
  <c r="K1837" i="1" s="1"/>
  <c r="D11" i="73"/>
  <c r="H11" i="73"/>
  <c r="D12" i="73"/>
  <c r="H12" i="73"/>
  <c r="D13" i="73"/>
  <c r="H13" i="73"/>
  <c r="H15" i="73"/>
  <c r="D31" i="73"/>
  <c r="H31" i="73"/>
  <c r="D32" i="73"/>
  <c r="H32" i="73"/>
  <c r="D33" i="73"/>
  <c r="H33" i="73"/>
  <c r="D34" i="73"/>
  <c r="H34" i="73"/>
  <c r="D35" i="73"/>
  <c r="H35" i="73"/>
  <c r="D36" i="73"/>
  <c r="H36" i="73"/>
  <c r="D38" i="73"/>
  <c r="H38" i="73"/>
  <c r="D39" i="73"/>
  <c r="H39" i="73"/>
  <c r="D40" i="73"/>
  <c r="H40" i="73"/>
  <c r="D41" i="73"/>
  <c r="H41" i="73"/>
  <c r="B53" i="73"/>
  <c r="E42" i="73"/>
  <c r="E46" i="73" s="1"/>
  <c r="J42" i="73"/>
  <c r="J46" i="73" s="1"/>
  <c r="K42" i="73"/>
  <c r="K46" i="73" s="1"/>
  <c r="L42" i="73"/>
  <c r="L46" i="73" s="1"/>
  <c r="M46" i="73"/>
  <c r="O42" i="73"/>
  <c r="O46" i="73" s="1"/>
  <c r="P42" i="73"/>
  <c r="P46" i="73" s="1"/>
  <c r="Q42" i="73"/>
  <c r="Q46" i="73" s="1"/>
  <c r="R42" i="73"/>
  <c r="R46" i="73" s="1"/>
  <c r="S42" i="73"/>
  <c r="S46" i="73" s="1"/>
  <c r="T42" i="73"/>
  <c r="T46" i="73" s="1"/>
  <c r="U42" i="73"/>
  <c r="U46" i="73" s="1"/>
  <c r="V42" i="73"/>
  <c r="V46" i="73" s="1"/>
  <c r="W42" i="73"/>
  <c r="W46" i="73" s="1"/>
  <c r="X42" i="73"/>
  <c r="X46" i="73" s="1"/>
  <c r="Y42" i="73"/>
  <c r="Y46" i="73" s="1"/>
  <c r="Z42" i="73"/>
  <c r="Z46" i="73" s="1"/>
  <c r="AA42" i="73"/>
  <c r="AA46" i="73" s="1"/>
  <c r="AB42" i="73"/>
  <c r="AB46" i="73" s="1"/>
  <c r="AC42" i="73"/>
  <c r="AC46" i="73" s="1"/>
  <c r="H43" i="73"/>
  <c r="H44" i="73"/>
  <c r="H45" i="73"/>
  <c r="AE45" i="73" s="1"/>
  <c r="H51" i="73"/>
  <c r="AE51" i="73" s="1"/>
  <c r="H52" i="73"/>
  <c r="AD52" i="73" s="1"/>
  <c r="H53" i="73"/>
  <c r="I54" i="73"/>
  <c r="J54" i="73"/>
  <c r="K54" i="73"/>
  <c r="L54" i="73"/>
  <c r="M54" i="73"/>
  <c r="N54" i="73"/>
  <c r="O54" i="73"/>
  <c r="P54" i="73"/>
  <c r="Q54" i="73"/>
  <c r="R54" i="73"/>
  <c r="S54" i="73"/>
  <c r="T54" i="73"/>
  <c r="U54" i="73"/>
  <c r="V54" i="73"/>
  <c r="W54" i="73"/>
  <c r="X54" i="73"/>
  <c r="Y54" i="73"/>
  <c r="Z54" i="73"/>
  <c r="AA54" i="73"/>
  <c r="AB54" i="73"/>
  <c r="AC54" i="73"/>
  <c r="A1" i="71"/>
  <c r="C37" i="71"/>
  <c r="C38" i="71"/>
  <c r="C71" i="71"/>
  <c r="C72" i="71"/>
  <c r="C73" i="71"/>
  <c r="C163" i="71"/>
  <c r="A165" i="71"/>
  <c r="C166" i="71"/>
  <c r="A1" i="70"/>
  <c r="A5" i="70"/>
  <c r="H14" i="70"/>
  <c r="G16" i="70"/>
  <c r="H16" i="70"/>
  <c r="G18" i="70"/>
  <c r="H18" i="70"/>
  <c r="G20" i="70"/>
  <c r="H20" i="70"/>
  <c r="G22" i="70"/>
  <c r="H22" i="70"/>
  <c r="G24" i="70"/>
  <c r="H24" i="70"/>
  <c r="G26" i="70"/>
  <c r="H26" i="70"/>
  <c r="G28" i="70"/>
  <c r="H28" i="70"/>
  <c r="G30" i="70"/>
  <c r="H30" i="70"/>
  <c r="G32" i="70"/>
  <c r="H32" i="70"/>
  <c r="C34" i="70"/>
  <c r="D34" i="70"/>
  <c r="E34" i="70"/>
  <c r="F34" i="70"/>
  <c r="A1" i="68"/>
  <c r="E14" i="68"/>
  <c r="E76" i="68" s="1"/>
  <c r="F14" i="68"/>
  <c r="D46" i="68"/>
  <c r="D57" i="68" s="1"/>
  <c r="B17" i="67"/>
  <c r="D25" i="67"/>
  <c r="F25" i="67"/>
  <c r="H25" i="67"/>
  <c r="L25" i="67"/>
  <c r="P25" i="67"/>
  <c r="Q25" i="67"/>
  <c r="T25" i="67"/>
  <c r="V25" i="67"/>
  <c r="X25" i="67"/>
  <c r="C26" i="67"/>
  <c r="B26" i="67" s="1"/>
  <c r="B29" i="67"/>
  <c r="B30" i="67"/>
  <c r="C33" i="67"/>
  <c r="A5" i="63"/>
  <c r="A6" i="63" s="1"/>
  <c r="A16" i="63"/>
  <c r="A17" i="63" s="1"/>
  <c r="A18" i="63" s="1"/>
  <c r="A24" i="63"/>
  <c r="K1383" i="1" l="1"/>
  <c r="K1382" i="1"/>
  <c r="K1333" i="1"/>
  <c r="K1381" i="1"/>
  <c r="K1334" i="1"/>
  <c r="K1331" i="1"/>
  <c r="K1384" i="1"/>
  <c r="K1330" i="1"/>
  <c r="K1332" i="1"/>
  <c r="K1818" i="1"/>
  <c r="A79" i="2"/>
  <c r="B78" i="2" a="1"/>
  <c r="B78" i="2" s="1"/>
  <c r="C196" i="71"/>
  <c r="C198" i="71" s="1"/>
  <c r="C14" i="93"/>
  <c r="C19" i="89"/>
  <c r="C18" i="89"/>
  <c r="C363" i="1"/>
  <c r="C364" i="1" s="1"/>
  <c r="C365" i="1" s="1"/>
  <c r="C367" i="1" s="1"/>
  <c r="D20" i="86"/>
  <c r="D56" i="74" s="1"/>
  <c r="C85" i="71"/>
  <c r="D19" i="86"/>
  <c r="K424" i="1"/>
  <c r="K444" i="1"/>
  <c r="K439" i="1"/>
  <c r="L397" i="1"/>
  <c r="K397" i="1"/>
  <c r="L38" i="83"/>
  <c r="F12" i="81"/>
  <c r="I12" i="81"/>
  <c r="D12" i="81"/>
  <c r="C12" i="81"/>
  <c r="C46" i="81" s="1"/>
  <c r="H12" i="81"/>
  <c r="G12" i="81"/>
  <c r="B41" i="81"/>
  <c r="L367" i="1"/>
  <c r="K367" i="1"/>
  <c r="Y41" i="79"/>
  <c r="Q41" i="79"/>
  <c r="I41" i="79"/>
  <c r="L2108" i="1"/>
  <c r="L2103" i="1"/>
  <c r="L2099" i="1"/>
  <c r="X41" i="79"/>
  <c r="P41" i="79"/>
  <c r="H41" i="79"/>
  <c r="L1536" i="1"/>
  <c r="L1541" i="1"/>
  <c r="L1540" i="1"/>
  <c r="L1538" i="1"/>
  <c r="L1537" i="1"/>
  <c r="L1539" i="1"/>
  <c r="O41" i="79"/>
  <c r="K2074" i="1"/>
  <c r="K2071" i="1"/>
  <c r="K2072" i="1"/>
  <c r="K2073" i="1"/>
  <c r="K2075" i="1"/>
  <c r="K2077" i="1"/>
  <c r="K2076" i="1"/>
  <c r="K1544" i="1"/>
  <c r="L26" i="1"/>
  <c r="K25" i="1"/>
  <c r="L25" i="1"/>
  <c r="K26" i="1"/>
  <c r="K416" i="1"/>
  <c r="L414" i="1"/>
  <c r="K415" i="1"/>
  <c r="L415" i="1"/>
  <c r="L416" i="1"/>
  <c r="K414" i="1"/>
  <c r="V41" i="79"/>
  <c r="R11" i="67" s="1"/>
  <c r="N41" i="79"/>
  <c r="J11" i="67" s="1"/>
  <c r="W41" i="79"/>
  <c r="U41" i="79"/>
  <c r="M41" i="79"/>
  <c r="AB41" i="79"/>
  <c r="L41" i="79"/>
  <c r="AA41" i="79"/>
  <c r="S41" i="79"/>
  <c r="K41" i="79"/>
  <c r="K98" i="1"/>
  <c r="L98" i="1"/>
  <c r="T41" i="79"/>
  <c r="Z41" i="79"/>
  <c r="R41" i="79"/>
  <c r="J41" i="79"/>
  <c r="F11" i="67" s="1"/>
  <c r="C1250" i="1"/>
  <c r="C1251" i="1" s="1"/>
  <c r="L1568" i="1"/>
  <c r="K1568" i="1"/>
  <c r="K456" i="1"/>
  <c r="K455" i="1"/>
  <c r="K447" i="1"/>
  <c r="K448" i="1"/>
  <c r="K454" i="1"/>
  <c r="K446" i="1"/>
  <c r="K459" i="1"/>
  <c r="K453" i="1"/>
  <c r="K445" i="1"/>
  <c r="K452" i="1"/>
  <c r="K443" i="1"/>
  <c r="K451" i="1"/>
  <c r="K442" i="1"/>
  <c r="K458" i="1"/>
  <c r="K450" i="1"/>
  <c r="K440" i="1"/>
  <c r="K457" i="1"/>
  <c r="K449" i="1"/>
  <c r="K438" i="1"/>
  <c r="K441" i="1"/>
  <c r="K428" i="1"/>
  <c r="K427" i="1"/>
  <c r="D28" i="75"/>
  <c r="C28" i="93"/>
  <c r="C39" i="75"/>
  <c r="K137" i="1"/>
  <c r="L137" i="1"/>
  <c r="K160" i="1"/>
  <c r="L160" i="1"/>
  <c r="L2106" i="1"/>
  <c r="L2101" i="1"/>
  <c r="H42" i="73"/>
  <c r="H46" i="73" s="1"/>
  <c r="D48" i="75"/>
  <c r="K784" i="1"/>
  <c r="K774" i="1"/>
  <c r="K765" i="1"/>
  <c r="K754" i="1"/>
  <c r="K742" i="1"/>
  <c r="K731" i="1"/>
  <c r="K721" i="1"/>
  <c r="K708" i="1"/>
  <c r="K698" i="1"/>
  <c r="K689" i="1"/>
  <c r="K678" i="1"/>
  <c r="K666" i="1"/>
  <c r="K655" i="1"/>
  <c r="K645" i="1"/>
  <c r="K632" i="1"/>
  <c r="K622" i="1"/>
  <c r="K613" i="1"/>
  <c r="K679" i="1"/>
  <c r="K614" i="1"/>
  <c r="K783" i="1"/>
  <c r="K772" i="1"/>
  <c r="K764" i="1"/>
  <c r="K752" i="1"/>
  <c r="K741" i="1"/>
  <c r="K730" i="1"/>
  <c r="K720" i="1"/>
  <c r="K707" i="1"/>
  <c r="K696" i="1"/>
  <c r="K688" i="1"/>
  <c r="K676" i="1"/>
  <c r="K665" i="1"/>
  <c r="K654" i="1"/>
  <c r="K644" i="1"/>
  <c r="K631" i="1"/>
  <c r="K620" i="1"/>
  <c r="K612" i="1"/>
  <c r="K642" i="1"/>
  <c r="K619" i="1"/>
  <c r="K691" i="1"/>
  <c r="K766" i="1"/>
  <c r="K709" i="1"/>
  <c r="K633" i="1"/>
  <c r="K794" i="1"/>
  <c r="K782" i="1"/>
  <c r="K771" i="1"/>
  <c r="K763" i="1"/>
  <c r="K748" i="1"/>
  <c r="K740" i="1"/>
  <c r="K729" i="1"/>
  <c r="K718" i="1"/>
  <c r="K706" i="1"/>
  <c r="K695" i="1"/>
  <c r="K687" i="1"/>
  <c r="K672" i="1"/>
  <c r="K664" i="1"/>
  <c r="K653" i="1"/>
  <c r="K630" i="1"/>
  <c r="K611" i="1"/>
  <c r="K649" i="1"/>
  <c r="K785" i="1"/>
  <c r="K690" i="1"/>
  <c r="K624" i="1"/>
  <c r="K793" i="1"/>
  <c r="K781" i="1"/>
  <c r="K770" i="1"/>
  <c r="K761" i="1"/>
  <c r="K747" i="1"/>
  <c r="K738" i="1"/>
  <c r="K728" i="1"/>
  <c r="K717" i="1"/>
  <c r="K705" i="1"/>
  <c r="K694" i="1"/>
  <c r="K685" i="1"/>
  <c r="K671" i="1"/>
  <c r="K662" i="1"/>
  <c r="K652" i="1"/>
  <c r="K641" i="1"/>
  <c r="K629" i="1"/>
  <c r="K618" i="1"/>
  <c r="K609" i="1"/>
  <c r="K767" i="1"/>
  <c r="K733" i="1"/>
  <c r="K725" i="1"/>
  <c r="K680" i="1"/>
  <c r="K634" i="1"/>
  <c r="K776" i="1"/>
  <c r="K700" i="1"/>
  <c r="K647" i="1"/>
  <c r="K792" i="1"/>
  <c r="K780" i="1"/>
  <c r="K769" i="1"/>
  <c r="K759" i="1"/>
  <c r="K746" i="1"/>
  <c r="K736" i="1"/>
  <c r="K727" i="1"/>
  <c r="K716" i="1"/>
  <c r="K704" i="1"/>
  <c r="K693" i="1"/>
  <c r="K683" i="1"/>
  <c r="K670" i="1"/>
  <c r="K660" i="1"/>
  <c r="K651" i="1"/>
  <c r="K640" i="1"/>
  <c r="K628" i="1"/>
  <c r="K617" i="1"/>
  <c r="K607" i="1"/>
  <c r="K778" i="1"/>
  <c r="K756" i="1"/>
  <c r="K710" i="1"/>
  <c r="K668" i="1"/>
  <c r="K626" i="1"/>
  <c r="K743" i="1"/>
  <c r="K732" i="1"/>
  <c r="K667" i="1"/>
  <c r="K790" i="1"/>
  <c r="K779" i="1"/>
  <c r="K768" i="1"/>
  <c r="K758" i="1"/>
  <c r="K745" i="1"/>
  <c r="K734" i="1"/>
  <c r="K726" i="1"/>
  <c r="K714" i="1"/>
  <c r="K703" i="1"/>
  <c r="K692" i="1"/>
  <c r="K682" i="1"/>
  <c r="K669" i="1"/>
  <c r="K658" i="1"/>
  <c r="K650" i="1"/>
  <c r="K638" i="1"/>
  <c r="K627" i="1"/>
  <c r="K616" i="1"/>
  <c r="K606" i="1"/>
  <c r="K786" i="1"/>
  <c r="K744" i="1"/>
  <c r="K702" i="1"/>
  <c r="K657" i="1"/>
  <c r="K615" i="1"/>
  <c r="K755" i="1"/>
  <c r="K723" i="1"/>
  <c r="K656" i="1"/>
  <c r="L1839" i="1"/>
  <c r="L1833" i="1"/>
  <c r="L1835" i="1"/>
  <c r="L1834" i="1"/>
  <c r="A1" i="128"/>
  <c r="K1860" i="1"/>
  <c r="L1860" i="1"/>
  <c r="L28" i="81"/>
  <c r="L2104" i="1"/>
  <c r="K2104" i="1"/>
  <c r="AK116" i="22"/>
  <c r="AX125" i="22"/>
  <c r="AK125" i="22"/>
  <c r="D25" i="80"/>
  <c r="D275" i="71" s="1"/>
  <c r="E31" i="80"/>
  <c r="F16" i="74" s="1"/>
  <c r="L8" i="1" s="1"/>
  <c r="C27" i="71"/>
  <c r="E18" i="80"/>
  <c r="D18" i="80" s="1"/>
  <c r="D13" i="80"/>
  <c r="C26" i="71"/>
  <c r="AW125" i="22"/>
  <c r="L462" i="1"/>
  <c r="K462" i="1"/>
  <c r="K1846" i="1"/>
  <c r="K2105" i="1"/>
  <c r="K2102" i="1"/>
  <c r="K2106" i="1"/>
  <c r="K2113" i="1"/>
  <c r="K2103" i="1"/>
  <c r="K2108" i="1"/>
  <c r="K2107" i="1"/>
  <c r="K2111" i="1"/>
  <c r="K2110" i="1"/>
  <c r="K2101" i="1"/>
  <c r="K2099" i="1"/>
  <c r="K2109" i="1"/>
  <c r="K2100" i="1"/>
  <c r="K2098" i="1"/>
  <c r="C28" i="71"/>
  <c r="L475" i="1"/>
  <c r="K475" i="1"/>
  <c r="AS125" i="22"/>
  <c r="AH125" i="22"/>
  <c r="AF116" i="22"/>
  <c r="AM116" i="22"/>
  <c r="Q125" i="22"/>
  <c r="AP125" i="22"/>
  <c r="AG125" i="22"/>
  <c r="AX101" i="22"/>
  <c r="DH84" i="22"/>
  <c r="S125" i="22"/>
  <c r="Q116" i="22"/>
  <c r="AG101" i="22"/>
  <c r="CQ84" i="22"/>
  <c r="AK101" i="22"/>
  <c r="CU84" i="22"/>
  <c r="AQ116" i="22"/>
  <c r="CS84" i="22"/>
  <c r="AI101" i="22"/>
  <c r="AW116" i="22"/>
  <c r="CO84" i="22"/>
  <c r="AE101" i="22"/>
  <c r="CT84" i="22"/>
  <c r="AJ101" i="22"/>
  <c r="AJ116" i="22"/>
  <c r="AL116" i="22"/>
  <c r="AT125" i="22"/>
  <c r="AM125" i="22"/>
  <c r="AR125" i="22"/>
  <c r="DG84" i="22"/>
  <c r="AW101" i="22"/>
  <c r="DC84" i="22"/>
  <c r="AS101" i="22"/>
  <c r="AO101" i="22"/>
  <c r="CY84" i="22"/>
  <c r="AR116" i="22"/>
  <c r="DE84" i="22"/>
  <c r="AU101" i="22"/>
  <c r="AI116" i="22"/>
  <c r="CW84" i="22"/>
  <c r="AM101" i="22"/>
  <c r="AN101" i="22"/>
  <c r="CX84" i="22"/>
  <c r="AO116" i="22"/>
  <c r="AP116" i="22"/>
  <c r="AQ125" i="22"/>
  <c r="AF125" i="22"/>
  <c r="AV125" i="22"/>
  <c r="AP101" i="22"/>
  <c r="CZ84" i="22"/>
  <c r="AL101" i="22"/>
  <c r="CV84" i="22"/>
  <c r="S116" i="22"/>
  <c r="AN116" i="22"/>
  <c r="AG116" i="22"/>
  <c r="DA84" i="22"/>
  <c r="AQ101" i="22"/>
  <c r="DB84" i="22"/>
  <c r="AR101" i="22"/>
  <c r="AU116" i="22"/>
  <c r="AT116" i="22"/>
  <c r="AE125" i="22"/>
  <c r="AU125" i="22"/>
  <c r="AJ125" i="22"/>
  <c r="AH101" i="22"/>
  <c r="CR84" i="22"/>
  <c r="DD84" i="22"/>
  <c r="AT101" i="22"/>
  <c r="AV116" i="22"/>
  <c r="AS116" i="22"/>
  <c r="AO125" i="22"/>
  <c r="AF101" i="22"/>
  <c r="CP84" i="22"/>
  <c r="AV101" i="22"/>
  <c r="DF84" i="22"/>
  <c r="AE116" i="22"/>
  <c r="AH116" i="22"/>
  <c r="AX116" i="22"/>
  <c r="AL125" i="22"/>
  <c r="AI125" i="22"/>
  <c r="AN125" i="22"/>
  <c r="K466" i="1"/>
  <c r="L463" i="1"/>
  <c r="K463" i="1"/>
  <c r="D39" i="75"/>
  <c r="H17" i="109"/>
  <c r="Y28" i="67" s="1"/>
  <c r="D10" i="86"/>
  <c r="D11" i="86"/>
  <c r="C56" i="74" s="1"/>
  <c r="L2107" i="1"/>
  <c r="L2102" i="1"/>
  <c r="L2100" i="1"/>
  <c r="L2098" i="1"/>
  <c r="L2111" i="1"/>
  <c r="L2105" i="1"/>
  <c r="L2110" i="1"/>
  <c r="A14" i="1"/>
  <c r="A15" i="1" s="1"/>
  <c r="L401" i="1"/>
  <c r="K401" i="1"/>
  <c r="K1247" i="1"/>
  <c r="L1247" i="1"/>
  <c r="L1256" i="1"/>
  <c r="K1256" i="1"/>
  <c r="K1751" i="1"/>
  <c r="K1752" i="1"/>
  <c r="K1753" i="1"/>
  <c r="AE35" i="81"/>
  <c r="H33" i="96"/>
  <c r="H32" i="96"/>
  <c r="J42" i="82"/>
  <c r="C1257" i="1"/>
  <c r="C1258" i="1" s="1"/>
  <c r="C1259" i="1" s="1"/>
  <c r="C1260" i="1" s="1"/>
  <c r="C1261" i="1" s="1"/>
  <c r="C1262" i="1" s="1"/>
  <c r="C1263" i="1" s="1"/>
  <c r="C1264" i="1" s="1"/>
  <c r="C1265" i="1" s="1"/>
  <c r="C1266" i="1" s="1"/>
  <c r="C1267" i="1" s="1"/>
  <c r="C1268" i="1" s="1"/>
  <c r="C1256" i="1"/>
  <c r="L419" i="1"/>
  <c r="K419" i="1"/>
  <c r="L56" i="1"/>
  <c r="L82" i="1"/>
  <c r="L1155" i="1"/>
  <c r="L1154" i="1"/>
  <c r="K1155" i="1"/>
  <c r="K1154" i="1"/>
  <c r="K2114" i="1"/>
  <c r="K2119" i="1"/>
  <c r="K2118" i="1"/>
  <c r="K2115" i="1"/>
  <c r="K2117" i="1"/>
  <c r="K2116" i="1"/>
  <c r="AD45" i="73"/>
  <c r="AE20" i="83"/>
  <c r="AE20" i="81"/>
  <c r="C54" i="74"/>
  <c r="E37" i="84"/>
  <c r="E43" i="84" s="1"/>
  <c r="E48" i="84" s="1"/>
  <c r="E31" i="68"/>
  <c r="E39" i="68"/>
  <c r="A1" i="64"/>
  <c r="L1867" i="1"/>
  <c r="L1863" i="1"/>
  <c r="L1858" i="1"/>
  <c r="L1854" i="1"/>
  <c r="K1870" i="1"/>
  <c r="K1872" i="1"/>
  <c r="K1864" i="1"/>
  <c r="K1859" i="1"/>
  <c r="K1855" i="1"/>
  <c r="K1867" i="1"/>
  <c r="L1866" i="1"/>
  <c r="L1862" i="1"/>
  <c r="L1857" i="1"/>
  <c r="K1869" i="1"/>
  <c r="K1863" i="1"/>
  <c r="K1858" i="1"/>
  <c r="K1854" i="1"/>
  <c r="L1861" i="1"/>
  <c r="L1856" i="1"/>
  <c r="K1874" i="1"/>
  <c r="K1862" i="1"/>
  <c r="L1864" i="1"/>
  <c r="L1859" i="1"/>
  <c r="L1855" i="1"/>
  <c r="K1871" i="1"/>
  <c r="K1873" i="1"/>
  <c r="K1866" i="1"/>
  <c r="K1861" i="1"/>
  <c r="K1856" i="1"/>
  <c r="K1857" i="1"/>
  <c r="K1865" i="1"/>
  <c r="I27" i="87"/>
  <c r="G23" i="77"/>
  <c r="L103" i="1" s="1"/>
  <c r="AA15" i="92"/>
  <c r="C20" i="67"/>
  <c r="B20" i="67" s="1"/>
  <c r="F48" i="75"/>
  <c r="F47" i="75"/>
  <c r="L74" i="1" s="1"/>
  <c r="D29" i="79"/>
  <c r="D43" i="143" s="1"/>
  <c r="H31" i="104"/>
  <c r="AA20" i="92"/>
  <c r="C106" i="71"/>
  <c r="G25" i="77"/>
  <c r="L104" i="1" s="1"/>
  <c r="AA21" i="92"/>
  <c r="D54" i="74"/>
  <c r="AE43" i="73"/>
  <c r="AE40" i="73"/>
  <c r="AE38" i="73"/>
  <c r="J52" i="96"/>
  <c r="N52" i="96" s="1"/>
  <c r="C22" i="89"/>
  <c r="C20" i="89" s="1"/>
  <c r="B10" i="89"/>
  <c r="AF15" i="83"/>
  <c r="AE13" i="83"/>
  <c r="C27" i="87"/>
  <c r="AE35" i="73"/>
  <c r="D24" i="79"/>
  <c r="D41" i="143" s="1"/>
  <c r="C53" i="73"/>
  <c r="C54" i="73" s="1"/>
  <c r="K1868" i="1"/>
  <c r="AE44" i="73"/>
  <c r="L1304" i="1"/>
  <c r="L1296" i="1"/>
  <c r="L1291" i="1"/>
  <c r="L1273" i="1"/>
  <c r="L1301" i="1"/>
  <c r="L1297" i="1"/>
  <c r="L1290" i="1"/>
  <c r="L1288" i="1"/>
  <c r="L1271" i="1"/>
  <c r="L1282" i="1"/>
  <c r="K1743" i="1"/>
  <c r="K1727" i="1"/>
  <c r="C75" i="71"/>
  <c r="C91" i="71"/>
  <c r="C1728" i="1"/>
  <c r="C1727" i="1"/>
  <c r="G65" i="104"/>
  <c r="G53" i="104"/>
  <c r="G55" i="104" s="1"/>
  <c r="L1305" i="1"/>
  <c r="L1300" i="1"/>
  <c r="L1306" i="1"/>
  <c r="L1302" i="1"/>
  <c r="L1289" i="1"/>
  <c r="L1275" i="1"/>
  <c r="L1286" i="1"/>
  <c r="L1285" i="1"/>
  <c r="L1283" i="1"/>
  <c r="L1287" i="1"/>
  <c r="L1281" i="1"/>
  <c r="G38" i="93"/>
  <c r="L1294" i="1"/>
  <c r="G33" i="77"/>
  <c r="L111" i="1" s="1"/>
  <c r="L1295" i="1"/>
  <c r="G34" i="77"/>
  <c r="L112" i="1" s="1"/>
  <c r="AB32" i="93"/>
  <c r="L1284" i="1"/>
  <c r="G32" i="77"/>
  <c r="L110" i="1" s="1"/>
  <c r="O38" i="93"/>
  <c r="L1292" i="1"/>
  <c r="F36" i="75"/>
  <c r="L64" i="1" s="1"/>
  <c r="L1272" i="1"/>
  <c r="G31" i="77"/>
  <c r="L109" i="1" s="1"/>
  <c r="L1241" i="1"/>
  <c r="K39" i="92"/>
  <c r="K43" i="92" s="1"/>
  <c r="I18" i="67" s="1"/>
  <c r="V39" i="92"/>
  <c r="V43" i="92" s="1"/>
  <c r="R39" i="92"/>
  <c r="F35" i="74"/>
  <c r="L21" i="1" s="1"/>
  <c r="C22" i="74"/>
  <c r="D22" i="74"/>
  <c r="J22" i="96"/>
  <c r="D33" i="96"/>
  <c r="J18" i="96"/>
  <c r="D32" i="96"/>
  <c r="C24" i="79"/>
  <c r="C41" i="143" s="1"/>
  <c r="K1790" i="1" s="1"/>
  <c r="C44" i="71"/>
  <c r="C23" i="79"/>
  <c r="C40" i="143" s="1"/>
  <c r="K1789" i="1" s="1"/>
  <c r="A25" i="63"/>
  <c r="A26" i="63" s="1"/>
  <c r="L471" i="1"/>
  <c r="L1245" i="1"/>
  <c r="L1252" i="1"/>
  <c r="L1250" i="1"/>
  <c r="L1249" i="1"/>
  <c r="L1237" i="1"/>
  <c r="L464" i="1"/>
  <c r="L1251" i="1"/>
  <c r="L1244" i="1"/>
  <c r="L1260" i="1"/>
  <c r="L1257" i="1"/>
  <c r="L1255" i="1"/>
  <c r="L1240" i="1"/>
  <c r="L1238" i="1"/>
  <c r="L9" i="1"/>
  <c r="L35" i="1"/>
  <c r="L12" i="1"/>
  <c r="L37" i="1"/>
  <c r="L31" i="1"/>
  <c r="L40" i="1"/>
  <c r="L10" i="1"/>
  <c r="L34" i="1"/>
  <c r="L23" i="1"/>
  <c r="L18" i="1"/>
  <c r="L36" i="1"/>
  <c r="L30" i="1"/>
  <c r="L38" i="1"/>
  <c r="L17" i="1"/>
  <c r="L142" i="1"/>
  <c r="L120" i="1"/>
  <c r="L102" i="1"/>
  <c r="L129" i="1"/>
  <c r="L122" i="1"/>
  <c r="L141" i="1"/>
  <c r="L116" i="1"/>
  <c r="L131" i="1"/>
  <c r="L95" i="1"/>
  <c r="L113" i="1"/>
  <c r="L124" i="1"/>
  <c r="L144" i="1"/>
  <c r="L134" i="1"/>
  <c r="L115" i="1"/>
  <c r="L126" i="1"/>
  <c r="L108" i="1"/>
  <c r="L118" i="1"/>
  <c r="L136" i="1"/>
  <c r="L101" i="1"/>
  <c r="L128" i="1"/>
  <c r="L121" i="1"/>
  <c r="L138" i="1"/>
  <c r="L130" i="1"/>
  <c r="L94" i="1"/>
  <c r="L123" i="1"/>
  <c r="L105" i="1"/>
  <c r="L133" i="1"/>
  <c r="L114" i="1"/>
  <c r="L125" i="1"/>
  <c r="L107" i="1"/>
  <c r="L117" i="1"/>
  <c r="L135" i="1"/>
  <c r="L100" i="1"/>
  <c r="L127" i="1"/>
  <c r="L472" i="1"/>
  <c r="L465" i="1"/>
  <c r="L473" i="1"/>
  <c r="L466" i="1"/>
  <c r="L474" i="1"/>
  <c r="L467" i="1"/>
  <c r="L476" i="1"/>
  <c r="L468" i="1"/>
  <c r="L477" i="1"/>
  <c r="L470" i="1"/>
  <c r="L461" i="1"/>
  <c r="L1158" i="1"/>
  <c r="L807" i="1"/>
  <c r="L1262" i="1"/>
  <c r="L1254" i="1"/>
  <c r="L1243" i="1"/>
  <c r="L1239" i="1"/>
  <c r="L1258" i="1"/>
  <c r="L1246" i="1"/>
  <c r="L1242" i="1"/>
  <c r="L1236" i="1"/>
  <c r="K1563" i="1"/>
  <c r="K1566" i="1"/>
  <c r="K1560" i="1"/>
  <c r="K1557" i="1"/>
  <c r="L1535" i="1"/>
  <c r="K1559" i="1"/>
  <c r="K1562" i="1"/>
  <c r="L1560" i="1"/>
  <c r="K1564" i="1"/>
  <c r="L1759" i="1"/>
  <c r="L1542" i="1"/>
  <c r="K1555" i="1"/>
  <c r="K1558" i="1"/>
  <c r="K1565" i="1"/>
  <c r="L1755" i="1"/>
  <c r="L1556" i="1"/>
  <c r="K1556" i="1"/>
  <c r="L1564" i="1"/>
  <c r="K1561" i="1"/>
  <c r="L50" i="1"/>
  <c r="L68" i="1"/>
  <c r="L87" i="1"/>
  <c r="L60" i="1"/>
  <c r="L78" i="1"/>
  <c r="L52" i="1"/>
  <c r="L71" i="1"/>
  <c r="L91" i="1"/>
  <c r="L57" i="1"/>
  <c r="L76" i="1"/>
  <c r="L54" i="1"/>
  <c r="L73" i="1"/>
  <c r="L48" i="1"/>
  <c r="L75" i="1"/>
  <c r="L46" i="1"/>
  <c r="L80" i="1"/>
  <c r="L86" i="1"/>
  <c r="L41" i="1"/>
  <c r="L77" i="1"/>
  <c r="L51" i="1"/>
  <c r="L88" i="1"/>
  <c r="L42" i="1"/>
  <c r="L62" i="1"/>
  <c r="L79" i="1"/>
  <c r="L67" i="1"/>
  <c r="L66" i="1"/>
  <c r="L84" i="1"/>
  <c r="L1747" i="1"/>
  <c r="L1744" i="1"/>
  <c r="L1746" i="1"/>
  <c r="L1745" i="1"/>
  <c r="L1714" i="1"/>
  <c r="L1703" i="1"/>
  <c r="L1753" i="1"/>
  <c r="L1752" i="1"/>
  <c r="L1751" i="1"/>
  <c r="L1749" i="1"/>
  <c r="L1764" i="1"/>
  <c r="L1763" i="1"/>
  <c r="L1762" i="1"/>
  <c r="L1280" i="1"/>
  <c r="L1308" i="1"/>
  <c r="L1276" i="1"/>
  <c r="L1278" i="1"/>
  <c r="L1299" i="1"/>
  <c r="L1279" i="1"/>
  <c r="L1270" i="1"/>
  <c r="L1277" i="1"/>
  <c r="L1274" i="1"/>
  <c r="L1719" i="1"/>
  <c r="L1148" i="1"/>
  <c r="L1149" i="1"/>
  <c r="L1152" i="1"/>
  <c r="L1151" i="1"/>
  <c r="L1147" i="1"/>
  <c r="L211" i="1"/>
  <c r="L276" i="1"/>
  <c r="L217" i="1"/>
  <c r="L282" i="1"/>
  <c r="L218" i="1"/>
  <c r="L283" i="1"/>
  <c r="L210" i="1"/>
  <c r="L196" i="1"/>
  <c r="L184" i="1"/>
  <c r="L259" i="1"/>
  <c r="L167" i="1"/>
  <c r="L241" i="1"/>
  <c r="L158" i="1"/>
  <c r="L232" i="1"/>
  <c r="L199" i="1"/>
  <c r="L183" i="1"/>
  <c r="L258" i="1"/>
  <c r="L170" i="1"/>
  <c r="L244" i="1"/>
  <c r="L153" i="1"/>
  <c r="L226" i="1"/>
  <c r="L164" i="1"/>
  <c r="L284" i="1"/>
  <c r="L189" i="1"/>
  <c r="L260" i="1"/>
  <c r="L174" i="1"/>
  <c r="L248" i="1"/>
  <c r="L175" i="1"/>
  <c r="L249" i="1"/>
  <c r="L168" i="1"/>
  <c r="L242" i="1"/>
  <c r="L264" i="1"/>
  <c r="L197" i="1"/>
  <c r="L179" i="1"/>
  <c r="L240" i="1"/>
  <c r="L165" i="1"/>
  <c r="L225" i="1"/>
  <c r="L243" i="1"/>
  <c r="L157" i="1"/>
  <c r="L223" i="1"/>
  <c r="L155" i="1"/>
  <c r="L229" i="1"/>
  <c r="L161" i="1"/>
  <c r="L234" i="1"/>
  <c r="L163" i="1"/>
  <c r="L235" i="1"/>
  <c r="L154" i="1"/>
  <c r="L246" i="1"/>
  <c r="L216" i="1"/>
  <c r="L281" i="1"/>
  <c r="L202" i="1"/>
  <c r="L271" i="1"/>
  <c r="L185" i="1"/>
  <c r="L176" i="1"/>
  <c r="L252" i="1"/>
  <c r="L236" i="1"/>
  <c r="L200" i="1"/>
  <c r="L269" i="1"/>
  <c r="L190" i="1"/>
  <c r="L262" i="1"/>
  <c r="L171" i="1"/>
  <c r="L245" i="1"/>
  <c r="L182" i="1"/>
  <c r="L207" i="1"/>
  <c r="L274" i="1"/>
  <c r="L194" i="1"/>
  <c r="L266" i="1"/>
  <c r="L195" i="1"/>
  <c r="L267" i="1"/>
  <c r="L186" i="1"/>
  <c r="L253" i="1"/>
  <c r="L147" i="1"/>
  <c r="L214" i="1"/>
  <c r="L239" i="1"/>
  <c r="L287" i="1"/>
  <c r="L257" i="1"/>
  <c r="L156" i="1"/>
  <c r="L231" i="1"/>
  <c r="L227" i="1"/>
  <c r="L173" i="1"/>
  <c r="L247" i="1"/>
  <c r="L180" i="1"/>
  <c r="L255" i="1"/>
  <c r="L181" i="1"/>
  <c r="L256" i="1"/>
  <c r="L172" i="1"/>
  <c r="L159" i="1"/>
  <c r="L233" i="1"/>
  <c r="L146" i="1"/>
  <c r="L221" i="1"/>
  <c r="L204" i="1"/>
  <c r="L272" i="1"/>
  <c r="L268" i="1"/>
  <c r="L220" i="1"/>
  <c r="L208" i="1"/>
  <c r="L275" i="1"/>
  <c r="L191" i="1"/>
  <c r="L263" i="1"/>
  <c r="L219" i="1"/>
  <c r="L149" i="1"/>
  <c r="L224" i="1"/>
  <c r="L285" i="1"/>
  <c r="L212" i="1"/>
  <c r="L278" i="1"/>
  <c r="L213" i="1"/>
  <c r="L279" i="1"/>
  <c r="L205" i="1"/>
  <c r="L273" i="1"/>
  <c r="L193" i="1"/>
  <c r="L265" i="1"/>
  <c r="L198" i="1"/>
  <c r="L192" i="1"/>
  <c r="L166" i="1"/>
  <c r="L222" i="1"/>
  <c r="L280" i="1"/>
  <c r="L150" i="1"/>
  <c r="L209" i="1"/>
  <c r="L169" i="1"/>
  <c r="L230" i="1"/>
  <c r="L148" i="1"/>
  <c r="F37" i="74"/>
  <c r="L22" i="1" s="1"/>
  <c r="F25" i="74"/>
  <c r="L16" i="1" s="1"/>
  <c r="K2033" i="1"/>
  <c r="L402" i="1"/>
  <c r="F23" i="74"/>
  <c r="L14" i="1" s="1"/>
  <c r="C24" i="76"/>
  <c r="F24" i="76" s="1"/>
  <c r="F24" i="74"/>
  <c r="L15" i="1" s="1"/>
  <c r="G17" i="77"/>
  <c r="L97" i="1" s="1"/>
  <c r="C35" i="76"/>
  <c r="F35" i="76" s="1"/>
  <c r="L1723" i="1"/>
  <c r="L1741" i="1"/>
  <c r="L1725" i="1"/>
  <c r="L1740" i="1"/>
  <c r="L1739" i="1"/>
  <c r="L1730" i="1"/>
  <c r="L1736" i="1"/>
  <c r="L1733" i="1"/>
  <c r="L1732" i="1"/>
  <c r="L1738" i="1"/>
  <c r="L1724" i="1"/>
  <c r="L1729" i="1"/>
  <c r="L1731" i="1"/>
  <c r="L1200" i="1"/>
  <c r="L1216" i="1"/>
  <c r="B43" i="83"/>
  <c r="C86" i="71"/>
  <c r="AG16" i="83"/>
  <c r="AE19" i="83"/>
  <c r="C105" i="71"/>
  <c r="AF19" i="83"/>
  <c r="L51" i="83"/>
  <c r="I37" i="84"/>
  <c r="I43" i="84" s="1"/>
  <c r="I48" i="84" s="1"/>
  <c r="H24" i="87"/>
  <c r="E24" i="87"/>
  <c r="F54" i="74"/>
  <c r="AE13" i="81"/>
  <c r="B54" i="73"/>
  <c r="B56" i="73" s="1"/>
  <c r="A1" i="67"/>
  <c r="F56" i="74"/>
  <c r="L93" i="1"/>
  <c r="AF21" i="83"/>
  <c r="AG13" i="83"/>
  <c r="K2036" i="1"/>
  <c r="H36" i="70"/>
  <c r="G36" i="70"/>
  <c r="H34" i="70"/>
  <c r="H14" i="73"/>
  <c r="D14" i="73"/>
  <c r="D21" i="73" s="1"/>
  <c r="L410" i="1"/>
  <c r="L418" i="1"/>
  <c r="L411" i="1"/>
  <c r="L399" i="1"/>
  <c r="L398" i="1"/>
  <c r="L390" i="1"/>
  <c r="L421" i="1"/>
  <c r="L389" i="1"/>
  <c r="L403" i="1"/>
  <c r="L423" i="1"/>
  <c r="L405" i="1"/>
  <c r="L412" i="1"/>
  <c r="L391" i="1"/>
  <c r="L413" i="1"/>
  <c r="L420" i="1"/>
  <c r="L422" i="1"/>
  <c r="L408" i="1"/>
  <c r="L400" i="1"/>
  <c r="L409" i="1"/>
  <c r="L404" i="1"/>
  <c r="L407" i="1"/>
  <c r="L417" i="1"/>
  <c r="L395" i="1"/>
  <c r="L396" i="1"/>
  <c r="H54" i="73"/>
  <c r="AE41" i="73"/>
  <c r="AE39" i="73"/>
  <c r="AE36" i="73"/>
  <c r="AE34" i="73"/>
  <c r="AE32" i="73"/>
  <c r="AE52" i="73"/>
  <c r="AE33" i="73"/>
  <c r="L1551" i="1"/>
  <c r="L1547" i="1"/>
  <c r="L1553" i="1"/>
  <c r="L1545" i="1"/>
  <c r="L1550" i="1"/>
  <c r="L1546" i="1"/>
  <c r="L1549" i="1"/>
  <c r="L1552" i="1"/>
  <c r="L1548" i="1"/>
  <c r="L1544" i="1"/>
  <c r="L1543" i="1"/>
  <c r="L1760" i="1"/>
  <c r="AB11" i="98"/>
  <c r="Y21" i="67" s="1"/>
  <c r="G13" i="104"/>
  <c r="H65" i="104"/>
  <c r="K359" i="1"/>
  <c r="L429" i="1"/>
  <c r="L376" i="1"/>
  <c r="L364" i="1"/>
  <c r="L378" i="1"/>
  <c r="L385" i="1"/>
  <c r="L371" i="1"/>
  <c r="L366" i="1"/>
  <c r="L383" i="1"/>
  <c r="L370" i="1"/>
  <c r="L386" i="1"/>
  <c r="L360" i="1"/>
  <c r="K373" i="1"/>
  <c r="L381" i="1"/>
  <c r="L380" i="1"/>
  <c r="L365" i="1"/>
  <c r="L359" i="1"/>
  <c r="L362" i="1"/>
  <c r="L382" i="1"/>
  <c r="L460" i="1"/>
  <c r="L379" i="1"/>
  <c r="L368" i="1"/>
  <c r="L377" i="1"/>
  <c r="L361" i="1"/>
  <c r="L430" i="1"/>
  <c r="L373" i="1"/>
  <c r="L369" i="1"/>
  <c r="L375" i="1"/>
  <c r="L363" i="1"/>
  <c r="L374" i="1"/>
  <c r="L384" i="1"/>
  <c r="L1118" i="1"/>
  <c r="L1097" i="1"/>
  <c r="L1076" i="1"/>
  <c r="L1054" i="1"/>
  <c r="L1035" i="1"/>
  <c r="L1014" i="1"/>
  <c r="L994" i="1"/>
  <c r="L974" i="1"/>
  <c r="L952" i="1"/>
  <c r="L931" i="1"/>
  <c r="L874" i="1"/>
  <c r="L856" i="1"/>
  <c r="L910" i="1"/>
  <c r="L892" i="1"/>
  <c r="L1125" i="1"/>
  <c r="L1106" i="1"/>
  <c r="L1080" i="1"/>
  <c r="L1053" i="1"/>
  <c r="L1034" i="1"/>
  <c r="L1008" i="1"/>
  <c r="L981" i="1"/>
  <c r="L962" i="1"/>
  <c r="L930" i="1"/>
  <c r="L869" i="1"/>
  <c r="L850" i="1"/>
  <c r="L905" i="1"/>
  <c r="L886" i="1"/>
  <c r="L1120" i="1"/>
  <c r="L1095" i="1"/>
  <c r="L1069" i="1"/>
  <c r="L1048" i="1"/>
  <c r="L1023" i="1"/>
  <c r="L997" i="1"/>
  <c r="L976" i="1"/>
  <c r="L950" i="1"/>
  <c r="L929" i="1"/>
  <c r="L872" i="1"/>
  <c r="L915" i="1"/>
  <c r="L890" i="1"/>
  <c r="L1072" i="1"/>
  <c r="L990" i="1"/>
  <c r="L871" i="1"/>
  <c r="L1130" i="1"/>
  <c r="L1047" i="1"/>
  <c r="L964" i="1"/>
  <c r="L848" i="1"/>
  <c r="L1104" i="1"/>
  <c r="L1022" i="1"/>
  <c r="L938" i="1"/>
  <c r="L898" i="1"/>
  <c r="L893" i="1"/>
  <c r="L1058" i="1"/>
  <c r="L1036" i="1"/>
  <c r="L1001" i="1"/>
  <c r="L1102" i="1"/>
  <c r="L1040" i="1"/>
  <c r="L958" i="1"/>
  <c r="L917" i="1"/>
  <c r="L1085" i="1"/>
  <c r="L988" i="1"/>
  <c r="L873" i="1"/>
  <c r="L1100" i="1"/>
  <c r="L1002" i="1"/>
  <c r="L879" i="1"/>
  <c r="L1094" i="1"/>
  <c r="L986" i="1"/>
  <c r="L960" i="1"/>
  <c r="L1119" i="1"/>
  <c r="L1133" i="1"/>
  <c r="L1112" i="1"/>
  <c r="L1090" i="1"/>
  <c r="L1071" i="1"/>
  <c r="L1050" i="1"/>
  <c r="L1030" i="1"/>
  <c r="L1010" i="1"/>
  <c r="L989" i="1"/>
  <c r="L968" i="1"/>
  <c r="L945" i="1"/>
  <c r="L927" i="1"/>
  <c r="L870" i="1"/>
  <c r="L852" i="1"/>
  <c r="L906" i="1"/>
  <c r="L888" i="1"/>
  <c r="L1121" i="1"/>
  <c r="L1096" i="1"/>
  <c r="L1075" i="1"/>
  <c r="L1049" i="1"/>
  <c r="L1024" i="1"/>
  <c r="L1003" i="1"/>
  <c r="L977" i="1"/>
  <c r="L951" i="1"/>
  <c r="L926" i="1"/>
  <c r="L864" i="1"/>
  <c r="L846" i="1"/>
  <c r="L900" i="1"/>
  <c r="K954" i="1"/>
  <c r="L1110" i="1"/>
  <c r="L1088" i="1"/>
  <c r="L1064" i="1"/>
  <c r="L1038" i="1"/>
  <c r="L1016" i="1"/>
  <c r="L992" i="1"/>
  <c r="L966" i="1"/>
  <c r="L943" i="1"/>
  <c r="L925" i="1"/>
  <c r="L868" i="1"/>
  <c r="L908" i="1"/>
  <c r="L1134" i="1"/>
  <c r="L1051" i="1"/>
  <c r="L970" i="1"/>
  <c r="L853" i="1"/>
  <c r="L1108" i="1"/>
  <c r="L1026" i="1"/>
  <c r="L942" i="1"/>
  <c r="L903" i="1"/>
  <c r="L1083" i="1"/>
  <c r="L1000" i="1"/>
  <c r="L882" i="1"/>
  <c r="L1098" i="1"/>
  <c r="L1078" i="1"/>
  <c r="L975" i="1"/>
  <c r="L953" i="1"/>
  <c r="L1037" i="1"/>
  <c r="L1061" i="1"/>
  <c r="L978" i="1"/>
  <c r="L860" i="1"/>
  <c r="L1111" i="1"/>
  <c r="L1013" i="1"/>
  <c r="L855" i="1"/>
  <c r="L1124" i="1"/>
  <c r="L1028" i="1"/>
  <c r="L934" i="1"/>
  <c r="L1011" i="1"/>
  <c r="L1068" i="1"/>
  <c r="L1123" i="1"/>
  <c r="L932" i="1"/>
  <c r="L1073" i="1"/>
  <c r="L1126" i="1"/>
  <c r="L1107" i="1"/>
  <c r="L1086" i="1"/>
  <c r="L1066" i="1"/>
  <c r="L1046" i="1"/>
  <c r="L1025" i="1"/>
  <c r="L1004" i="1"/>
  <c r="L982" i="1"/>
  <c r="L963" i="1"/>
  <c r="L941" i="1"/>
  <c r="L922" i="1"/>
  <c r="L866" i="1"/>
  <c r="L847" i="1"/>
  <c r="L902" i="1"/>
  <c r="L954" i="1"/>
  <c r="L1116" i="1"/>
  <c r="L1089" i="1"/>
  <c r="L1070" i="1"/>
  <c r="L1044" i="1"/>
  <c r="L1017" i="1"/>
  <c r="L998" i="1"/>
  <c r="L972" i="1"/>
  <c r="L944" i="1"/>
  <c r="L880" i="1"/>
  <c r="L859" i="1"/>
  <c r="L916" i="1"/>
  <c r="L895" i="1"/>
  <c r="L1131" i="1"/>
  <c r="L1105" i="1"/>
  <c r="L1084" i="1"/>
  <c r="L1059" i="1"/>
  <c r="L1033" i="1"/>
  <c r="L1012" i="1"/>
  <c r="L987" i="1"/>
  <c r="L961" i="1"/>
  <c r="L939" i="1"/>
  <c r="L920" i="1"/>
  <c r="L858" i="1"/>
  <c r="L904" i="1"/>
  <c r="L1114" i="1"/>
  <c r="L1032" i="1"/>
  <c r="L946" i="1"/>
  <c r="L907" i="1"/>
  <c r="L1087" i="1"/>
  <c r="L1006" i="1"/>
  <c r="L924" i="1"/>
  <c r="L884" i="1"/>
  <c r="L1062" i="1"/>
  <c r="L979" i="1"/>
  <c r="L862" i="1"/>
  <c r="L1015" i="1"/>
  <c r="L996" i="1"/>
  <c r="L857" i="1"/>
  <c r="L914" i="1"/>
  <c r="L1109" i="1"/>
  <c r="L1122" i="1"/>
  <c r="L1082" i="1"/>
  <c r="L999" i="1"/>
  <c r="L936" i="1"/>
  <c r="L1132" i="1"/>
  <c r="L1060" i="1"/>
  <c r="L967" i="1"/>
  <c r="L909" i="1"/>
  <c r="L1074" i="1"/>
  <c r="L980" i="1"/>
  <c r="L854" i="1"/>
  <c r="L928" i="1"/>
  <c r="L867" i="1"/>
  <c r="L918" i="1"/>
  <c r="L965" i="1"/>
  <c r="L1018" i="1"/>
  <c r="L881" i="1"/>
  <c r="L896" i="1"/>
  <c r="L1039" i="1"/>
  <c r="L940" i="1"/>
  <c r="L891" i="1"/>
  <c r="L1052" i="1"/>
  <c r="L956" i="1"/>
  <c r="L894" i="1"/>
  <c r="L889" i="1"/>
  <c r="L1042" i="1"/>
  <c r="L878" i="1"/>
  <c r="L1376" i="1"/>
  <c r="L1323" i="1"/>
  <c r="L1377" i="1"/>
  <c r="L1327" i="1"/>
  <c r="L1324" i="1"/>
  <c r="L1378" i="1"/>
  <c r="L1379" i="1"/>
  <c r="L1326" i="1"/>
  <c r="L1325" i="1"/>
  <c r="L742" i="1"/>
  <c r="L738" i="1"/>
  <c r="L633" i="1"/>
  <c r="L615" i="1"/>
  <c r="L707" i="1"/>
  <c r="L689" i="1"/>
  <c r="L662" i="1"/>
  <c r="L644" i="1"/>
  <c r="L774" i="1"/>
  <c r="L595" i="1"/>
  <c r="L577" i="1"/>
  <c r="L555" i="1"/>
  <c r="L537" i="1"/>
  <c r="L505" i="1"/>
  <c r="L743" i="1"/>
  <c r="L721" i="1"/>
  <c r="L618" i="1"/>
  <c r="L710" i="1"/>
  <c r="L692" i="1"/>
  <c r="L670" i="1"/>
  <c r="L647" i="1"/>
  <c r="L778" i="1"/>
  <c r="L759" i="1"/>
  <c r="L580" i="1"/>
  <c r="L558" i="1"/>
  <c r="L540" i="1"/>
  <c r="L518" i="1"/>
  <c r="L500" i="1"/>
  <c r="L729" i="1"/>
  <c r="L631" i="1"/>
  <c r="L613" i="1"/>
  <c r="L700" i="1"/>
  <c r="L682" i="1"/>
  <c r="L660" i="1"/>
  <c r="L785" i="1"/>
  <c r="L767" i="1"/>
  <c r="L593" i="1"/>
  <c r="L575" i="1"/>
  <c r="L548" i="1"/>
  <c r="L529" i="1"/>
  <c r="L507" i="1"/>
  <c r="L740" i="1"/>
  <c r="L694" i="1"/>
  <c r="L766" i="1"/>
  <c r="L533" i="1"/>
  <c r="L733" i="1"/>
  <c r="L690" i="1"/>
  <c r="L761" i="1"/>
  <c r="L506" i="1"/>
  <c r="L498" i="1"/>
  <c r="L612" i="1"/>
  <c r="L645" i="1"/>
  <c r="L542" i="1"/>
  <c r="L723" i="1"/>
  <c r="L658" i="1"/>
  <c r="L516" i="1"/>
  <c r="L755" i="1"/>
  <c r="L732" i="1"/>
  <c r="L731" i="1"/>
  <c r="L629" i="1"/>
  <c r="L611" i="1"/>
  <c r="L703" i="1"/>
  <c r="L679" i="1"/>
  <c r="L657" i="1"/>
  <c r="L790" i="1"/>
  <c r="L769" i="1"/>
  <c r="L591" i="1"/>
  <c r="L573" i="1"/>
  <c r="L551" i="1"/>
  <c r="L527" i="1"/>
  <c r="L501" i="1"/>
  <c r="L736" i="1"/>
  <c r="L640" i="1"/>
  <c r="L614" i="1"/>
  <c r="L706" i="1"/>
  <c r="L688" i="1"/>
  <c r="L666" i="1"/>
  <c r="L794" i="1"/>
  <c r="L772" i="1"/>
  <c r="L602" i="1"/>
  <c r="L576" i="1"/>
  <c r="L554" i="1"/>
  <c r="L536" i="1"/>
  <c r="L514" i="1"/>
  <c r="L747" i="1"/>
  <c r="L725" i="1"/>
  <c r="L627" i="1"/>
  <c r="L717" i="1"/>
  <c r="L695" i="1"/>
  <c r="L676" i="1"/>
  <c r="L655" i="1"/>
  <c r="L781" i="1"/>
  <c r="L763" i="1"/>
  <c r="L589" i="1"/>
  <c r="L565" i="1"/>
  <c r="L543" i="1"/>
  <c r="L521" i="1"/>
  <c r="L503" i="1"/>
  <c r="L642" i="1"/>
  <c r="L672" i="1"/>
  <c r="L592" i="1"/>
  <c r="L511" i="1"/>
  <c r="L634" i="1"/>
  <c r="L668" i="1"/>
  <c r="L588" i="1"/>
  <c r="L492" i="1"/>
  <c r="L756" i="1"/>
  <c r="L704" i="1"/>
  <c r="L604" i="1"/>
  <c r="L520" i="1"/>
  <c r="L626" i="1"/>
  <c r="L792" i="1"/>
  <c r="L754" i="1"/>
  <c r="L752" i="1"/>
  <c r="L727" i="1"/>
  <c r="L624" i="1"/>
  <c r="L606" i="1"/>
  <c r="L698" i="1"/>
  <c r="L671" i="1"/>
  <c r="L653" i="1"/>
  <c r="L783" i="1"/>
  <c r="L765" i="1"/>
  <c r="L586" i="1"/>
  <c r="L568" i="1"/>
  <c r="L546" i="1"/>
  <c r="L519" i="1"/>
  <c r="L496" i="1"/>
  <c r="L730" i="1"/>
  <c r="L632" i="1"/>
  <c r="L609" i="1"/>
  <c r="L702" i="1"/>
  <c r="L683" i="1"/>
  <c r="L656" i="1"/>
  <c r="L786" i="1"/>
  <c r="L768" i="1"/>
  <c r="L594" i="1"/>
  <c r="L571" i="1"/>
  <c r="L550" i="1"/>
  <c r="L531" i="1"/>
  <c r="L509" i="1"/>
  <c r="L741" i="1"/>
  <c r="L720" i="1"/>
  <c r="L622" i="1"/>
  <c r="L709" i="1"/>
  <c r="L691" i="1"/>
  <c r="L669" i="1"/>
  <c r="L651" i="1"/>
  <c r="L776" i="1"/>
  <c r="L758" i="1"/>
  <c r="L584" i="1"/>
  <c r="L557" i="1"/>
  <c r="L539" i="1"/>
  <c r="L517" i="1"/>
  <c r="L499" i="1"/>
  <c r="L620" i="1"/>
  <c r="L654" i="1"/>
  <c r="L574" i="1"/>
  <c r="L493" i="1"/>
  <c r="L616" i="1"/>
  <c r="L650" i="1"/>
  <c r="L569" i="1"/>
  <c r="L770" i="1"/>
  <c r="L728" i="1"/>
  <c r="L685" i="1"/>
  <c r="L582" i="1"/>
  <c r="L502" i="1"/>
  <c r="L607" i="1"/>
  <c r="L578" i="1"/>
  <c r="L746" i="1"/>
  <c r="L744" i="1"/>
  <c r="L641" i="1"/>
  <c r="L619" i="1"/>
  <c r="L714" i="1"/>
  <c r="L693" i="1"/>
  <c r="L667" i="1"/>
  <c r="L649" i="1"/>
  <c r="L779" i="1"/>
  <c r="L603" i="1"/>
  <c r="L581" i="1"/>
  <c r="L562" i="1"/>
  <c r="L541" i="1"/>
  <c r="L515" i="1"/>
  <c r="L748" i="1"/>
  <c r="L726" i="1"/>
  <c r="L628" i="1"/>
  <c r="L718" i="1"/>
  <c r="L696" i="1"/>
  <c r="L678" i="1"/>
  <c r="L652" i="1"/>
  <c r="L782" i="1"/>
  <c r="L764" i="1"/>
  <c r="L590" i="1"/>
  <c r="L566" i="1"/>
  <c r="L544" i="1"/>
  <c r="L525" i="1"/>
  <c r="L504" i="1"/>
  <c r="L734" i="1"/>
  <c r="L638" i="1"/>
  <c r="L617" i="1"/>
  <c r="L705" i="1"/>
  <c r="L687" i="1"/>
  <c r="L665" i="1"/>
  <c r="L793" i="1"/>
  <c r="L771" i="1"/>
  <c r="L600" i="1"/>
  <c r="L579" i="1"/>
  <c r="L553" i="1"/>
  <c r="L535" i="1"/>
  <c r="L513" i="1"/>
  <c r="L494" i="1"/>
  <c r="L716" i="1"/>
  <c r="L784" i="1"/>
  <c r="L552" i="1"/>
  <c r="L596" i="1"/>
  <c r="L708" i="1"/>
  <c r="L780" i="1"/>
  <c r="L528" i="1"/>
  <c r="L538" i="1"/>
  <c r="L630" i="1"/>
  <c r="L664" i="1"/>
  <c r="L564" i="1"/>
  <c r="L745" i="1"/>
  <c r="L680" i="1"/>
  <c r="L556" i="1"/>
  <c r="AA43" i="93"/>
  <c r="E36" i="93"/>
  <c r="F38" i="75" s="1"/>
  <c r="L69" i="1" s="1"/>
  <c r="AA17" i="93"/>
  <c r="AA22" i="93"/>
  <c r="AB18" i="93"/>
  <c r="E47" i="93"/>
  <c r="F53" i="75" s="1"/>
  <c r="W38" i="93"/>
  <c r="AA27" i="93"/>
  <c r="AB23" i="93"/>
  <c r="AA19" i="93"/>
  <c r="AB15" i="93"/>
  <c r="L1269" i="1"/>
  <c r="AB31" i="93"/>
  <c r="E35" i="92"/>
  <c r="L1261" i="1"/>
  <c r="F39" i="92"/>
  <c r="F43" i="92" s="1"/>
  <c r="L1235" i="1"/>
  <c r="AB33" i="92"/>
  <c r="AB30" i="92"/>
  <c r="AA35" i="92"/>
  <c r="AA11" i="92"/>
  <c r="AB10" i="92"/>
  <c r="AB27" i="93"/>
  <c r="AB19" i="93"/>
  <c r="C54" i="71"/>
  <c r="AF14" i="81"/>
  <c r="K568" i="1"/>
  <c r="AF32" i="81"/>
  <c r="C82" i="71"/>
  <c r="C83" i="71" s="1"/>
  <c r="AG31" i="81"/>
  <c r="Q44" i="81"/>
  <c r="Q49" i="81" s="1"/>
  <c r="N44" i="81"/>
  <c r="N49" i="81" s="1"/>
  <c r="C40" i="82"/>
  <c r="K2035" i="1"/>
  <c r="AE32" i="81"/>
  <c r="AG32" i="81"/>
  <c r="R44" i="81"/>
  <c r="R49" i="81" s="1"/>
  <c r="O44" i="81"/>
  <c r="O49" i="81" s="1"/>
  <c r="L24" i="87"/>
  <c r="D16" i="75"/>
  <c r="E31" i="92"/>
  <c r="F15" i="75" s="1"/>
  <c r="V20" i="83"/>
  <c r="AG20" i="83"/>
  <c r="AE17" i="83"/>
  <c r="AF17" i="83"/>
  <c r="J18" i="97"/>
  <c r="M44" i="81"/>
  <c r="D40" i="82"/>
  <c r="D28" i="81"/>
  <c r="D30" i="81" s="1"/>
  <c r="D41" i="81" s="1"/>
  <c r="AE47" i="83"/>
  <c r="AF47" i="83"/>
  <c r="AE18" i="83"/>
  <c r="AG18" i="83"/>
  <c r="E41" i="83"/>
  <c r="E46" i="83" s="1"/>
  <c r="E43" i="83"/>
  <c r="K1216" i="1"/>
  <c r="K1200" i="1"/>
  <c r="AD13" i="73"/>
  <c r="AD11" i="73"/>
  <c r="K40" i="1"/>
  <c r="K35" i="1"/>
  <c r="K399" i="1"/>
  <c r="K405" i="1"/>
  <c r="K411" i="1"/>
  <c r="K392" i="1"/>
  <c r="K395" i="1"/>
  <c r="K400" i="1"/>
  <c r="K407" i="1"/>
  <c r="K412" i="1"/>
  <c r="K418" i="1"/>
  <c r="K404" i="1"/>
  <c r="K417" i="1"/>
  <c r="K393" i="1"/>
  <c r="K396" i="1"/>
  <c r="K402" i="1"/>
  <c r="K413" i="1"/>
  <c r="K423" i="1"/>
  <c r="K394" i="1"/>
  <c r="K398" i="1"/>
  <c r="K403" i="1"/>
  <c r="K420" i="1"/>
  <c r="B37" i="84"/>
  <c r="B43" i="84" s="1"/>
  <c r="D37" i="75"/>
  <c r="AA25" i="93"/>
  <c r="B67" i="104"/>
  <c r="H18" i="106"/>
  <c r="Y27" i="67" s="1"/>
  <c r="K604" i="1"/>
  <c r="K529" i="1"/>
  <c r="K566" i="1"/>
  <c r="AB24" i="92"/>
  <c r="AB20" i="92"/>
  <c r="AB19" i="92"/>
  <c r="M50" i="93"/>
  <c r="K19" i="67" s="1"/>
  <c r="AA26" i="93"/>
  <c r="G18" i="106"/>
  <c r="AD12" i="73"/>
  <c r="AG48" i="83"/>
  <c r="K1098" i="1"/>
  <c r="K1134" i="1"/>
  <c r="K1026" i="1"/>
  <c r="K990" i="1"/>
  <c r="K1062" i="1"/>
  <c r="K918" i="1"/>
  <c r="K882" i="1"/>
  <c r="W39" i="92"/>
  <c r="W43" i="92" s="1"/>
  <c r="U18" i="67" s="1"/>
  <c r="O39" i="92"/>
  <c r="O43" i="92" s="1"/>
  <c r="G39" i="92"/>
  <c r="G43" i="92" s="1"/>
  <c r="AA31" i="92"/>
  <c r="AA32" i="93"/>
  <c r="AB26" i="93"/>
  <c r="AB34" i="92"/>
  <c r="AB29" i="92"/>
  <c r="AB28" i="92"/>
  <c r="AB14" i="92"/>
  <c r="C15" i="88"/>
  <c r="D22" i="75" s="1"/>
  <c r="K477" i="1"/>
  <c r="K472" i="1"/>
  <c r="K471" i="1"/>
  <c r="K476" i="1"/>
  <c r="K474" i="1"/>
  <c r="K473" i="1"/>
  <c r="K467" i="1"/>
  <c r="K464" i="1"/>
  <c r="K468" i="1"/>
  <c r="K461" i="1"/>
  <c r="K465" i="1"/>
  <c r="D16" i="80"/>
  <c r="D271" i="71" s="1"/>
  <c r="AA17" i="80"/>
  <c r="AA27" i="80"/>
  <c r="T11" i="67"/>
  <c r="P11" i="67"/>
  <c r="H11" i="67"/>
  <c r="AC19" i="79"/>
  <c r="V11" i="67"/>
  <c r="AD35" i="79"/>
  <c r="D263" i="71" s="1"/>
  <c r="AD30" i="79"/>
  <c r="D260" i="71" s="1"/>
  <c r="AC36" i="79"/>
  <c r="AC34" i="79"/>
  <c r="AC26" i="79"/>
  <c r="N11" i="67"/>
  <c r="Q11" i="67"/>
  <c r="X11" i="67"/>
  <c r="L11" i="67"/>
  <c r="D11" i="67"/>
  <c r="AC16" i="79"/>
  <c r="AC27" i="79"/>
  <c r="AD19" i="79"/>
  <c r="D249" i="71" s="1"/>
  <c r="AC30" i="79"/>
  <c r="AD20" i="79"/>
  <c r="D250" i="71" s="1"/>
  <c r="AD27" i="79"/>
  <c r="D257" i="71" s="1"/>
  <c r="K175" i="1"/>
  <c r="K385" i="1"/>
  <c r="K381" i="1"/>
  <c r="K379" i="1"/>
  <c r="K375" i="1"/>
  <c r="K371" i="1"/>
  <c r="K368" i="1"/>
  <c r="K363" i="1"/>
  <c r="K460" i="1"/>
  <c r="K383" i="1"/>
  <c r="K377" i="1"/>
  <c r="K361" i="1"/>
  <c r="K430" i="1"/>
  <c r="K386" i="1"/>
  <c r="K382" i="1"/>
  <c r="K376" i="1"/>
  <c r="K364" i="1"/>
  <c r="K202" i="1"/>
  <c r="K384" i="1"/>
  <c r="K378" i="1"/>
  <c r="K374" i="1"/>
  <c r="K366" i="1"/>
  <c r="K362" i="1"/>
  <c r="K380" i="1"/>
  <c r="K370" i="1"/>
  <c r="K365" i="1"/>
  <c r="K369" i="1"/>
  <c r="K360" i="1"/>
  <c r="H43" i="96"/>
  <c r="H28" i="96"/>
  <c r="C27" i="67"/>
  <c r="B27" i="67" s="1"/>
  <c r="W25" i="67"/>
  <c r="S25" i="67"/>
  <c r="O25" i="67"/>
  <c r="K25" i="67"/>
  <c r="G25" i="67"/>
  <c r="H55" i="104"/>
  <c r="E67" i="104"/>
  <c r="H53" i="104"/>
  <c r="C67" i="104"/>
  <c r="G31" i="104"/>
  <c r="J37" i="97"/>
  <c r="C48" i="75"/>
  <c r="H31" i="96"/>
  <c r="E35" i="96"/>
  <c r="O22" i="96"/>
  <c r="AA44" i="93"/>
  <c r="AA45" i="93"/>
  <c r="AB41" i="93"/>
  <c r="AA46" i="93"/>
  <c r="AA42" i="93"/>
  <c r="Q50" i="93"/>
  <c r="O19" i="67" s="1"/>
  <c r="AA35" i="93"/>
  <c r="AA36" i="93" s="1"/>
  <c r="K38" i="93"/>
  <c r="Y50" i="93"/>
  <c r="W19" i="67" s="1"/>
  <c r="I50" i="93"/>
  <c r="G19" i="67" s="1"/>
  <c r="S38" i="93"/>
  <c r="Y38" i="93"/>
  <c r="U38" i="93"/>
  <c r="Q38" i="93"/>
  <c r="M38" i="93"/>
  <c r="I38" i="93"/>
  <c r="AA21" i="93"/>
  <c r="AA18" i="93"/>
  <c r="AA13" i="93"/>
  <c r="U50" i="93"/>
  <c r="AA23" i="93"/>
  <c r="AA15" i="93"/>
  <c r="AA12" i="93"/>
  <c r="AB43" i="93"/>
  <c r="AB42" i="93"/>
  <c r="AB45" i="93"/>
  <c r="AB46" i="93"/>
  <c r="AB24" i="93"/>
  <c r="AB22" i="93"/>
  <c r="AB21" i="93"/>
  <c r="AB25" i="93"/>
  <c r="AB12" i="93"/>
  <c r="AB16" i="93"/>
  <c r="AB20" i="93"/>
  <c r="AB17" i="93"/>
  <c r="Z39" i="92"/>
  <c r="N39" i="92"/>
  <c r="N43" i="92" s="1"/>
  <c r="L18" i="67" s="1"/>
  <c r="J39" i="92"/>
  <c r="Y39" i="92"/>
  <c r="U39" i="92"/>
  <c r="Q39" i="92"/>
  <c r="M39" i="92"/>
  <c r="I39" i="92"/>
  <c r="X39" i="92"/>
  <c r="T39" i="92"/>
  <c r="P39" i="92"/>
  <c r="L39" i="92"/>
  <c r="H39" i="92"/>
  <c r="S39" i="92"/>
  <c r="S43" i="92" s="1"/>
  <c r="Z37" i="92"/>
  <c r="R37" i="92"/>
  <c r="J37" i="92"/>
  <c r="E25" i="92"/>
  <c r="E41" i="92" s="1"/>
  <c r="F26" i="75" s="1"/>
  <c r="L58" i="1" s="1"/>
  <c r="AA13" i="92"/>
  <c r="AA14" i="92"/>
  <c r="AA10" i="92"/>
  <c r="AB18" i="92"/>
  <c r="AB15" i="92"/>
  <c r="AB13" i="92"/>
  <c r="AB11" i="92"/>
  <c r="J39" i="84"/>
  <c r="F37" i="84"/>
  <c r="F43" i="84" s="1"/>
  <c r="F48" i="84" s="1"/>
  <c r="V13" i="83"/>
  <c r="L23" i="83"/>
  <c r="AF48" i="83"/>
  <c r="V48" i="83"/>
  <c r="AF20" i="83"/>
  <c r="V18" i="83"/>
  <c r="AF18" i="83"/>
  <c r="V16" i="83"/>
  <c r="AF16" i="83"/>
  <c r="AF13" i="83"/>
  <c r="B40" i="82"/>
  <c r="B45" i="82" s="1"/>
  <c r="G40" i="82"/>
  <c r="F40" i="82"/>
  <c r="AG39" i="81"/>
  <c r="AF39" i="81"/>
  <c r="C39" i="71"/>
  <c r="D38" i="71" s="1"/>
  <c r="C162" i="71"/>
  <c r="D162" i="71" s="1"/>
  <c r="F15" i="76"/>
  <c r="G34" i="70"/>
  <c r="AD51" i="73"/>
  <c r="AD54" i="73" s="1"/>
  <c r="AD15" i="73"/>
  <c r="AD17" i="73" s="1"/>
  <c r="AE13" i="73"/>
  <c r="AE12" i="73"/>
  <c r="AE11" i="73"/>
  <c r="C9" i="1"/>
  <c r="Q48" i="22"/>
  <c r="S48" i="22"/>
  <c r="Q57" i="22"/>
  <c r="S57" i="22"/>
  <c r="N22" i="96"/>
  <c r="O18" i="96"/>
  <c r="N20" i="96"/>
  <c r="C38" i="77"/>
  <c r="O20" i="96"/>
  <c r="G31" i="96"/>
  <c r="N16" i="96"/>
  <c r="O16" i="96"/>
  <c r="J48" i="96"/>
  <c r="N48" i="96" s="1"/>
  <c r="J50" i="96"/>
  <c r="N50" i="96" s="1"/>
  <c r="H54" i="96"/>
  <c r="AA16" i="80"/>
  <c r="D269" i="71"/>
  <c r="AE15" i="73"/>
  <c r="D17" i="80"/>
  <c r="D272" i="71" s="1"/>
  <c r="C1286" i="1"/>
  <c r="C1287" i="1" s="1"/>
  <c r="C1288" i="1" s="1"/>
  <c r="C1289" i="1" s="1"/>
  <c r="C1290" i="1" s="1"/>
  <c r="C1291" i="1" s="1"/>
  <c r="C1748" i="1"/>
  <c r="C1750" i="1" s="1"/>
  <c r="C866" i="1"/>
  <c r="C867" i="1" s="1"/>
  <c r="C868" i="1" s="1"/>
  <c r="C869" i="1" s="1"/>
  <c r="C1751" i="1"/>
  <c r="C1752" i="1" s="1"/>
  <c r="C1753" i="1" s="1"/>
  <c r="C1754" i="1" s="1"/>
  <c r="C853" i="1"/>
  <c r="C851" i="1"/>
  <c r="C854" i="1" s="1"/>
  <c r="C1710" i="1"/>
  <c r="C1712" i="1" s="1"/>
  <c r="C1709" i="1"/>
  <c r="C1711" i="1" s="1"/>
  <c r="C1713" i="1" s="1"/>
  <c r="C467" i="1"/>
  <c r="C834" i="1"/>
  <c r="C835" i="1"/>
  <c r="C836" i="1" s="1"/>
  <c r="C837" i="1" s="1"/>
  <c r="C838" i="1" s="1"/>
  <c r="C839" i="1" s="1"/>
  <c r="C823" i="1"/>
  <c r="C824" i="1" s="1"/>
  <c r="C825" i="1" s="1"/>
  <c r="C822" i="1"/>
  <c r="C1199" i="1"/>
  <c r="C1302" i="1"/>
  <c r="C1303" i="1" s="1"/>
  <c r="C1304" i="1" s="1"/>
  <c r="C1305" i="1" s="1"/>
  <c r="C1306" i="1" s="1"/>
  <c r="C1307" i="1" s="1"/>
  <c r="C1308" i="1" s="1"/>
  <c r="C1309" i="1" s="1"/>
  <c r="C1310" i="1" s="1"/>
  <c r="C1311" i="1" s="1"/>
  <c r="C1312" i="1" s="1"/>
  <c r="C1301" i="1"/>
  <c r="C519" i="1"/>
  <c r="C520" i="1" s="1"/>
  <c r="C521" i="1" s="1"/>
  <c r="C522" i="1" s="1"/>
  <c r="C523" i="1" s="1"/>
  <c r="C524" i="1" s="1"/>
  <c r="C525" i="1" s="1"/>
  <c r="C526" i="1" s="1"/>
  <c r="C527" i="1" s="1"/>
  <c r="C528" i="1" s="1"/>
  <c r="C518" i="1"/>
  <c r="C1386" i="1"/>
  <c r="C1381" i="1"/>
  <c r="V20" i="81"/>
  <c r="AF20" i="81"/>
  <c r="AF15" i="81"/>
  <c r="AG15" i="81"/>
  <c r="AF16" i="81"/>
  <c r="AF35" i="81"/>
  <c r="AG35" i="81"/>
  <c r="AE21" i="81"/>
  <c r="C104" i="71"/>
  <c r="V50" i="81"/>
  <c r="AF50" i="81"/>
  <c r="AF36" i="81"/>
  <c r="AG36" i="81"/>
  <c r="C53" i="71"/>
  <c r="V31" i="81"/>
  <c r="AE31" i="81"/>
  <c r="P44" i="81"/>
  <c r="P49" i="81" s="1"/>
  <c r="AE17" i="81"/>
  <c r="V17" i="81"/>
  <c r="AG50" i="81"/>
  <c r="AE39" i="81"/>
  <c r="V36" i="81"/>
  <c r="V33" i="81"/>
  <c r="AG20" i="81"/>
  <c r="AF18" i="81"/>
  <c r="AG16" i="81"/>
  <c r="V51" i="81"/>
  <c r="V32" i="81"/>
  <c r="AF31" i="81"/>
  <c r="V21" i="81"/>
  <c r="AG17" i="81"/>
  <c r="V16" i="81"/>
  <c r="A7" i="63"/>
  <c r="A8" i="63" s="1"/>
  <c r="AA26" i="80"/>
  <c r="D26" i="80"/>
  <c r="D276" i="71" s="1"/>
  <c r="AE31" i="73"/>
  <c r="G12" i="79"/>
  <c r="G11" i="79"/>
  <c r="AG22" i="81"/>
  <c r="V22" i="81"/>
  <c r="AE22" i="81"/>
  <c r="AF22" i="81"/>
  <c r="E17" i="73"/>
  <c r="F49" i="76"/>
  <c r="AA25" i="80"/>
  <c r="AF37" i="81"/>
  <c r="AG37" i="81"/>
  <c r="V37" i="81"/>
  <c r="V34" i="81"/>
  <c r="AE34" i="81"/>
  <c r="AF34" i="81"/>
  <c r="AG34" i="81"/>
  <c r="AD44" i="73"/>
  <c r="AD40" i="73"/>
  <c r="AD38" i="73"/>
  <c r="AD35" i="73"/>
  <c r="AD33" i="73"/>
  <c r="AD31" i="73"/>
  <c r="D42" i="73"/>
  <c r="D46" i="73" s="1"/>
  <c r="AC20" i="79"/>
  <c r="AC15" i="79"/>
  <c r="AD15" i="79"/>
  <c r="D246" i="71" s="1"/>
  <c r="AC13" i="79"/>
  <c r="AD13" i="79"/>
  <c r="D244" i="71" s="1"/>
  <c r="G10" i="79"/>
  <c r="D27" i="80"/>
  <c r="D277" i="71" s="1"/>
  <c r="AE19" i="81"/>
  <c r="V19" i="81"/>
  <c r="AF19" i="81"/>
  <c r="AG19" i="81"/>
  <c r="AG36" i="83"/>
  <c r="V36" i="83"/>
  <c r="AE36" i="83"/>
  <c r="AF36" i="83"/>
  <c r="AG34" i="83"/>
  <c r="V34" i="83"/>
  <c r="AE34" i="83"/>
  <c r="AF34" i="83"/>
  <c r="AG32" i="83"/>
  <c r="V32" i="83"/>
  <c r="AE32" i="83"/>
  <c r="AF32" i="83"/>
  <c r="AG30" i="83"/>
  <c r="V30" i="83"/>
  <c r="AE30" i="83"/>
  <c r="AF30" i="83"/>
  <c r="AA15" i="80"/>
  <c r="V38" i="81"/>
  <c r="AE38" i="81"/>
  <c r="AF38" i="81"/>
  <c r="AG38" i="81"/>
  <c r="L16" i="87"/>
  <c r="L27" i="87" s="1"/>
  <c r="AD43" i="73"/>
  <c r="AD41" i="73"/>
  <c r="AD39" i="73"/>
  <c r="AD36" i="73"/>
  <c r="AD34" i="73"/>
  <c r="AD32" i="73"/>
  <c r="AD26" i="79"/>
  <c r="D256" i="71" s="1"/>
  <c r="AC17" i="79"/>
  <c r="AD17" i="79"/>
  <c r="D248" i="71" s="1"/>
  <c r="AD16" i="79"/>
  <c r="D247" i="71" s="1"/>
  <c r="D29" i="80"/>
  <c r="D279" i="71" s="1"/>
  <c r="AA29" i="80"/>
  <c r="D15" i="80"/>
  <c r="D270" i="71" s="1"/>
  <c r="AF35" i="83"/>
  <c r="V35" i="83"/>
  <c r="AG35" i="83"/>
  <c r="AF33" i="83"/>
  <c r="V33" i="83"/>
  <c r="AG33" i="83"/>
  <c r="AF31" i="83"/>
  <c r="V31" i="83"/>
  <c r="AG31" i="83"/>
  <c r="AF29" i="83"/>
  <c r="V29" i="83"/>
  <c r="AG29" i="83"/>
  <c r="J34" i="84"/>
  <c r="C26" i="83"/>
  <c r="X38" i="93"/>
  <c r="X50" i="93"/>
  <c r="T50" i="93"/>
  <c r="T38" i="93"/>
  <c r="P38" i="93"/>
  <c r="P50" i="93"/>
  <c r="L50" i="93"/>
  <c r="L38" i="93"/>
  <c r="H38" i="93"/>
  <c r="H50" i="93"/>
  <c r="AA13" i="80"/>
  <c r="AF51" i="81"/>
  <c r="AG51" i="81"/>
  <c r="AF21" i="81"/>
  <c r="AG21" i="81"/>
  <c r="AG14" i="81"/>
  <c r="V14" i="81"/>
  <c r="AE14" i="81"/>
  <c r="B10" i="81"/>
  <c r="B12" i="81" s="1"/>
  <c r="B46" i="81" s="1"/>
  <c r="H40" i="82"/>
  <c r="AG14" i="83"/>
  <c r="B41" i="83"/>
  <c r="B46" i="83" s="1"/>
  <c r="F43" i="83"/>
  <c r="F41" i="83"/>
  <c r="F46" i="83" s="1"/>
  <c r="F8" i="87"/>
  <c r="I8" i="87" s="1"/>
  <c r="L8" i="87"/>
  <c r="AF33" i="81"/>
  <c r="AG33" i="81"/>
  <c r="S44" i="81"/>
  <c r="S49" i="81" s="1"/>
  <c r="T44" i="81"/>
  <c r="T49" i="81" s="1"/>
  <c r="AG18" i="81"/>
  <c r="V18" i="81"/>
  <c r="AE18" i="81"/>
  <c r="AE15" i="81"/>
  <c r="V15" i="81"/>
  <c r="I40" i="82"/>
  <c r="I28" i="81"/>
  <c r="I30" i="81" s="1"/>
  <c r="I41" i="81" s="1"/>
  <c r="E40" i="82"/>
  <c r="E10" i="81"/>
  <c r="I41" i="83"/>
  <c r="I46" i="83" s="1"/>
  <c r="I43" i="83"/>
  <c r="K19" i="87"/>
  <c r="K24" i="87" s="1"/>
  <c r="B24" i="87"/>
  <c r="V39" i="81"/>
  <c r="V35" i="81"/>
  <c r="AE14" i="83"/>
  <c r="AF14" i="83"/>
  <c r="H37" i="84"/>
  <c r="H43" i="84" s="1"/>
  <c r="H48" i="84" s="1"/>
  <c r="H10" i="83"/>
  <c r="H12" i="83" s="1"/>
  <c r="H23" i="83" s="1"/>
  <c r="D37" i="84"/>
  <c r="D43" i="84" s="1"/>
  <c r="D48" i="84" s="1"/>
  <c r="D10" i="83"/>
  <c r="D12" i="83" s="1"/>
  <c r="D23" i="83" s="1"/>
  <c r="E11" i="87"/>
  <c r="F27" i="87"/>
  <c r="Z50" i="93"/>
  <c r="Z38" i="93"/>
  <c r="V50" i="93"/>
  <c r="V38" i="93"/>
  <c r="R50" i="93"/>
  <c r="R38" i="93"/>
  <c r="N50" i="93"/>
  <c r="N38" i="93"/>
  <c r="J50" i="93"/>
  <c r="J38" i="93"/>
  <c r="F50" i="93"/>
  <c r="D19" i="67" s="1"/>
  <c r="F38" i="93"/>
  <c r="B24" i="96"/>
  <c r="H12" i="96"/>
  <c r="AF17" i="81"/>
  <c r="AG47" i="83"/>
  <c r="V47" i="83"/>
  <c r="AG21" i="83"/>
  <c r="V21" i="83"/>
  <c r="AG19" i="83"/>
  <c r="V19" i="83"/>
  <c r="AG17" i="83"/>
  <c r="V17" i="83"/>
  <c r="AG15" i="83"/>
  <c r="V15" i="83"/>
  <c r="G37" i="84"/>
  <c r="G43" i="84" s="1"/>
  <c r="G48" i="84" s="1"/>
  <c r="G10" i="83"/>
  <c r="G12" i="83" s="1"/>
  <c r="G23" i="83" s="1"/>
  <c r="C37" i="84"/>
  <c r="C43" i="84" s="1"/>
  <c r="C48" i="84" s="1"/>
  <c r="C10" i="83"/>
  <c r="C12" i="83" s="1"/>
  <c r="C23" i="83" s="1"/>
  <c r="J21" i="84"/>
  <c r="B15" i="88"/>
  <c r="AB21" i="92"/>
  <c r="E22" i="92"/>
  <c r="AB30" i="93"/>
  <c r="E33" i="93"/>
  <c r="F37" i="75" s="1"/>
  <c r="L65" i="1" s="1"/>
  <c r="AA30" i="93"/>
  <c r="E8" i="87"/>
  <c r="H8" i="87" s="1"/>
  <c r="K8" i="87"/>
  <c r="Y37" i="92"/>
  <c r="U37" i="92"/>
  <c r="Q37" i="92"/>
  <c r="M37" i="92"/>
  <c r="I37" i="92"/>
  <c r="E16" i="92"/>
  <c r="AB44" i="93"/>
  <c r="AA41" i="93"/>
  <c r="AB35" i="93"/>
  <c r="AA31" i="93"/>
  <c r="AA24" i="93"/>
  <c r="AA20" i="93"/>
  <c r="AA16" i="93"/>
  <c r="X37" i="92"/>
  <c r="T37" i="92"/>
  <c r="P37" i="92"/>
  <c r="L37" i="92"/>
  <c r="H37" i="92"/>
  <c r="W50" i="93"/>
  <c r="S50" i="93"/>
  <c r="O50" i="93"/>
  <c r="K50" i="93"/>
  <c r="G50" i="93"/>
  <c r="AB13" i="93"/>
  <c r="E28" i="93"/>
  <c r="J43" i="96"/>
  <c r="G28" i="96"/>
  <c r="AA13" i="98"/>
  <c r="G17" i="109"/>
  <c r="H37" i="97"/>
  <c r="E13" i="98"/>
  <c r="AB13" i="98" s="1"/>
  <c r="AB12" i="98"/>
  <c r="H22" i="97"/>
  <c r="C31" i="79" l="1"/>
  <c r="AC31" i="79" s="1"/>
  <c r="F33" i="96"/>
  <c r="N18" i="96"/>
  <c r="F32" i="96"/>
  <c r="F35" i="96" s="1"/>
  <c r="A80" i="2"/>
  <c r="B79" i="2" a="1"/>
  <c r="B79" i="2" s="1"/>
  <c r="C99" i="143"/>
  <c r="K1831" i="1"/>
  <c r="K409" i="1"/>
  <c r="H35" i="96"/>
  <c r="D25" i="74"/>
  <c r="C200" i="71"/>
  <c r="D208" i="71" s="1"/>
  <c r="D198" i="71"/>
  <c r="C87" i="71"/>
  <c r="C93" i="71" s="1"/>
  <c r="F56" i="75"/>
  <c r="AA22" i="92"/>
  <c r="AA39" i="92" s="1"/>
  <c r="F25" i="81"/>
  <c r="F44" i="81" s="1"/>
  <c r="F49" i="81" s="1"/>
  <c r="F46" i="81"/>
  <c r="G25" i="81"/>
  <c r="G44" i="81" s="1"/>
  <c r="G49" i="81" s="1"/>
  <c r="G46" i="81"/>
  <c r="H25" i="81"/>
  <c r="H44" i="81" s="1"/>
  <c r="H49" i="81" s="1"/>
  <c r="H46" i="81"/>
  <c r="J26" i="83"/>
  <c r="J28" i="83" s="1"/>
  <c r="J38" i="83" s="1"/>
  <c r="C28" i="83"/>
  <c r="C38" i="83" s="1"/>
  <c r="C25" i="81"/>
  <c r="C44" i="81" s="1"/>
  <c r="C49" i="81" s="1"/>
  <c r="D25" i="81"/>
  <c r="D46" i="81"/>
  <c r="I25" i="81"/>
  <c r="I46" i="81"/>
  <c r="Q11" i="86"/>
  <c r="E12" i="81"/>
  <c r="J12" i="81" s="1"/>
  <c r="J25" i="81" s="1"/>
  <c r="J30" i="81"/>
  <c r="J41" i="81" s="1"/>
  <c r="B25" i="81"/>
  <c r="B44" i="81" s="1"/>
  <c r="L27" i="1"/>
  <c r="O54" i="96"/>
  <c r="C6" i="71"/>
  <c r="L1836" i="1"/>
  <c r="H17" i="73"/>
  <c r="C10" i="67" s="1"/>
  <c r="B10" i="67" s="1"/>
  <c r="D47" i="75"/>
  <c r="H38" i="97"/>
  <c r="G41" i="79"/>
  <c r="K27" i="1"/>
  <c r="L47" i="1"/>
  <c r="K429" i="1"/>
  <c r="C50" i="93"/>
  <c r="C38" i="93"/>
  <c r="H67" i="104"/>
  <c r="D32" i="76"/>
  <c r="D21" i="76"/>
  <c r="J10" i="81"/>
  <c r="AF10" i="81" s="1"/>
  <c r="J28" i="81"/>
  <c r="B22" i="86"/>
  <c r="AK128" i="22"/>
  <c r="AK132" i="22" s="1"/>
  <c r="AM128" i="22"/>
  <c r="AM132" i="22" s="1"/>
  <c r="D25" i="79"/>
  <c r="D42" i="143" s="1"/>
  <c r="C31" i="71"/>
  <c r="L469" i="1"/>
  <c r="AA18" i="80"/>
  <c r="D22" i="86"/>
  <c r="F14" i="73"/>
  <c r="K469" i="1"/>
  <c r="AP128" i="22"/>
  <c r="AP132" i="22" s="1"/>
  <c r="AF128" i="22"/>
  <c r="AF132" i="22" s="1"/>
  <c r="AR128" i="22"/>
  <c r="AR132" i="22" s="1"/>
  <c r="AW128" i="22"/>
  <c r="AW132" i="22" s="1"/>
  <c r="AQ128" i="22"/>
  <c r="AQ132" i="22" s="1"/>
  <c r="AS128" i="22"/>
  <c r="AS132" i="22" s="1"/>
  <c r="AL128" i="22"/>
  <c r="AL132" i="22" s="1"/>
  <c r="AJ128" i="22"/>
  <c r="AJ132" i="22" s="1"/>
  <c r="AV128" i="22"/>
  <c r="AV132" i="22" s="1"/>
  <c r="AN128" i="22"/>
  <c r="AN132" i="22" s="1"/>
  <c r="AU128" i="22"/>
  <c r="AU132" i="22" s="1"/>
  <c r="AO128" i="22"/>
  <c r="AO132" i="22" s="1"/>
  <c r="AI128" i="22"/>
  <c r="AI132" i="22" s="1"/>
  <c r="AH128" i="22"/>
  <c r="AH132" i="22" s="1"/>
  <c r="AE128" i="22"/>
  <c r="AE132" i="22" s="1"/>
  <c r="AT128" i="22"/>
  <c r="AT132" i="22" s="1"/>
  <c r="AG128" i="22"/>
  <c r="AG132" i="22" s="1"/>
  <c r="AX128" i="22"/>
  <c r="AX132" i="22" s="1"/>
  <c r="H19" i="86"/>
  <c r="H20" i="86"/>
  <c r="J43" i="84"/>
  <c r="J48" i="84" s="1"/>
  <c r="B48" i="84"/>
  <c r="J22" i="97"/>
  <c r="J38" i="97" s="1"/>
  <c r="D38" i="77"/>
  <c r="C25" i="79"/>
  <c r="C42" i="143" s="1"/>
  <c r="K1791"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K408" i="1"/>
  <c r="G32" i="96"/>
  <c r="C373" i="1"/>
  <c r="L1156" i="1"/>
  <c r="L1865" i="1"/>
  <c r="L2109" i="1"/>
  <c r="D53" i="73"/>
  <c r="AD53" i="73" s="1"/>
  <c r="D13" i="86"/>
  <c r="H11" i="86"/>
  <c r="P11" i="86"/>
  <c r="C32" i="71"/>
  <c r="B13" i="86"/>
  <c r="G67" i="104"/>
  <c r="D35" i="96"/>
  <c r="G33" i="96"/>
  <c r="C107" i="71"/>
  <c r="C29" i="71"/>
  <c r="F35" i="75"/>
  <c r="L81" i="1"/>
  <c r="E39" i="92"/>
  <c r="R43" i="92"/>
  <c r="P18" i="67" s="1"/>
  <c r="C29" i="79"/>
  <c r="C43" i="143" s="1"/>
  <c r="K1792" i="1" s="1"/>
  <c r="E45" i="82"/>
  <c r="E50" i="82" s="1"/>
  <c r="G45" i="82"/>
  <c r="G50" i="82" s="1"/>
  <c r="D45" i="82"/>
  <c r="I45" i="82"/>
  <c r="I50" i="82" s="1"/>
  <c r="H45" i="82"/>
  <c r="H50" i="82" s="1"/>
  <c r="F45" i="82"/>
  <c r="F50" i="82" s="1"/>
  <c r="C45" i="82"/>
  <c r="C50" i="82" s="1"/>
  <c r="L1765" i="1"/>
  <c r="L478" i="1"/>
  <c r="L139" i="1"/>
  <c r="A27" i="63"/>
  <c r="A28" i="63" s="1"/>
  <c r="L1150" i="1"/>
  <c r="L1754" i="1"/>
  <c r="L1567" i="1"/>
  <c r="L1153" i="1"/>
  <c r="L151" i="1"/>
  <c r="F22" i="74"/>
  <c r="L1735" i="1"/>
  <c r="L1737" i="1" s="1"/>
  <c r="M49" i="81"/>
  <c r="C55" i="71"/>
  <c r="L33" i="1"/>
  <c r="I51" i="83"/>
  <c r="AD51" i="83" s="1"/>
  <c r="AD46" i="83"/>
  <c r="B51" i="83"/>
  <c r="W51" i="83" s="1"/>
  <c r="W46" i="83"/>
  <c r="E51" i="83"/>
  <c r="Z51" i="83" s="1"/>
  <c r="Z46" i="83"/>
  <c r="F51" i="83"/>
  <c r="AA51" i="83" s="1"/>
  <c r="AA46" i="83"/>
  <c r="J32" i="76"/>
  <c r="L32" i="1"/>
  <c r="D58" i="76"/>
  <c r="B50" i="82"/>
  <c r="C56" i="73"/>
  <c r="D54" i="73"/>
  <c r="D56" i="73" s="1"/>
  <c r="L132" i="1"/>
  <c r="L41" i="83"/>
  <c r="F13" i="75" s="1"/>
  <c r="L45" i="1" s="1"/>
  <c r="L425" i="1"/>
  <c r="AD10" i="79"/>
  <c r="D241" i="71" s="1"/>
  <c r="L392" i="1"/>
  <c r="AD11" i="79"/>
  <c r="D242" i="71" s="1"/>
  <c r="L393" i="1"/>
  <c r="AD12" i="79"/>
  <c r="D243" i="71" s="1"/>
  <c r="L394" i="1"/>
  <c r="L1748" i="1"/>
  <c r="L1742" i="1"/>
  <c r="L883" i="1"/>
  <c r="L1380" i="1"/>
  <c r="L991" i="1"/>
  <c r="L215" i="1"/>
  <c r="L1099" i="1"/>
  <c r="L1063" i="1"/>
  <c r="L1027" i="1"/>
  <c r="L387" i="1"/>
  <c r="L919" i="1"/>
  <c r="L1135" i="1"/>
  <c r="L955" i="1"/>
  <c r="L237" i="1"/>
  <c r="L277" i="1"/>
  <c r="L372" i="1"/>
  <c r="L1293" i="1"/>
  <c r="J43" i="92"/>
  <c r="H18" i="67" s="1"/>
  <c r="L1263" i="1"/>
  <c r="L1259" i="1"/>
  <c r="L1253" i="1"/>
  <c r="L1248" i="1"/>
  <c r="O54" i="81"/>
  <c r="L601" i="1"/>
  <c r="L605" i="1" s="1"/>
  <c r="N54" i="81"/>
  <c r="L563" i="1"/>
  <c r="L567" i="1" s="1"/>
  <c r="S54" i="81"/>
  <c r="L753" i="1"/>
  <c r="L757" i="1" s="1"/>
  <c r="Q54" i="81"/>
  <c r="L715" i="1"/>
  <c r="L719" i="1" s="1"/>
  <c r="P54" i="81"/>
  <c r="L677" i="1"/>
  <c r="L681" i="1" s="1"/>
  <c r="R54" i="81"/>
  <c r="L639" i="1"/>
  <c r="L643" i="1" s="1"/>
  <c r="T54" i="81"/>
  <c r="L791" i="1"/>
  <c r="L795" i="1" s="1"/>
  <c r="H43" i="92"/>
  <c r="F18" i="67" s="1"/>
  <c r="X43" i="92"/>
  <c r="V18" i="67" s="1"/>
  <c r="E37" i="92"/>
  <c r="U43" i="92"/>
  <c r="S18" i="67" s="1"/>
  <c r="P43" i="92"/>
  <c r="N18" i="67" s="1"/>
  <c r="AA16" i="92"/>
  <c r="AA37" i="92" s="1"/>
  <c r="M43" i="92"/>
  <c r="K18" i="67" s="1"/>
  <c r="Z43" i="92"/>
  <c r="X18" i="67" s="1"/>
  <c r="D44" i="81"/>
  <c r="J54" i="96"/>
  <c r="L43" i="92"/>
  <c r="J18" i="67" s="1"/>
  <c r="I43" i="92"/>
  <c r="G18" i="67" s="1"/>
  <c r="Y43" i="92"/>
  <c r="W18" i="67" s="1"/>
  <c r="A9" i="63"/>
  <c r="A10" i="63" s="1"/>
  <c r="A11" i="63" s="1"/>
  <c r="T43" i="92"/>
  <c r="R18" i="67" s="1"/>
  <c r="AA47" i="93"/>
  <c r="Q43" i="92"/>
  <c r="O18" i="67" s="1"/>
  <c r="AF54" i="81"/>
  <c r="D15" i="75"/>
  <c r="D23" i="75" s="1"/>
  <c r="K422" i="1"/>
  <c r="C529" i="1"/>
  <c r="C530" i="1" s="1"/>
  <c r="C531" i="1" s="1"/>
  <c r="C139" i="71"/>
  <c r="C15" i="75"/>
  <c r="Z24" i="67"/>
  <c r="N54" i="96"/>
  <c r="N24" i="96"/>
  <c r="AD31" i="79"/>
  <c r="D261" i="71" s="1"/>
  <c r="S19" i="67"/>
  <c r="T18" i="67"/>
  <c r="D18" i="67"/>
  <c r="Q18" i="67"/>
  <c r="M18" i="67"/>
  <c r="J37" i="84"/>
  <c r="S11" i="67"/>
  <c r="G11" i="67"/>
  <c r="W11" i="67"/>
  <c r="K11" i="67"/>
  <c r="O11" i="67"/>
  <c r="C10" i="1"/>
  <c r="C13" i="71"/>
  <c r="C9" i="71"/>
  <c r="C870" i="1"/>
  <c r="C871" i="1" s="1"/>
  <c r="C872" i="1" s="1"/>
  <c r="C873" i="1" s="1"/>
  <c r="C1730" i="1"/>
  <c r="C1731" i="1" s="1"/>
  <c r="C1732" i="1" s="1"/>
  <c r="C1733" i="1" s="1"/>
  <c r="C1735" i="1" s="1"/>
  <c r="C1736" i="1" s="1"/>
  <c r="C1737" i="1" s="1"/>
  <c r="C1387" i="1"/>
  <c r="C1388" i="1" s="1"/>
  <c r="C1389" i="1" s="1"/>
  <c r="C1390" i="1" s="1"/>
  <c r="C1391" i="1" s="1"/>
  <c r="C1392" i="1" s="1"/>
  <c r="C1393" i="1" s="1"/>
  <c r="C1394" i="1" s="1"/>
  <c r="C1395" i="1" s="1"/>
  <c r="C1382" i="1"/>
  <c r="C1383" i="1" s="1"/>
  <c r="C1384" i="1" s="1"/>
  <c r="C1385" i="1" s="1"/>
  <c r="C840" i="1"/>
  <c r="C841" i="1"/>
  <c r="C842" i="1" s="1"/>
  <c r="C843" i="1" s="1"/>
  <c r="C468" i="1"/>
  <c r="AF41" i="81"/>
  <c r="AC23" i="79"/>
  <c r="AD23" i="79"/>
  <c r="D253" i="71" s="1"/>
  <c r="C45" i="71"/>
  <c r="D44" i="71" s="1"/>
  <c r="T19" i="67"/>
  <c r="Q19" i="67"/>
  <c r="J19" i="67"/>
  <c r="E11" i="67"/>
  <c r="Z21" i="67"/>
  <c r="E19" i="67"/>
  <c r="U19" i="67"/>
  <c r="G43" i="83"/>
  <c r="G41" i="83"/>
  <c r="G46" i="83" s="1"/>
  <c r="H43" i="83"/>
  <c r="H41" i="83"/>
  <c r="H46" i="83" s="1"/>
  <c r="B22" i="67"/>
  <c r="F19" i="67"/>
  <c r="N19" i="67"/>
  <c r="V19" i="67"/>
  <c r="D17" i="73"/>
  <c r="AC24" i="79"/>
  <c r="AD24" i="79"/>
  <c r="D254" i="71" s="1"/>
  <c r="C49" i="71"/>
  <c r="D48" i="71" s="1"/>
  <c r="AC11" i="79"/>
  <c r="AC12" i="79"/>
  <c r="E18" i="67"/>
  <c r="R19" i="67"/>
  <c r="U11" i="67"/>
  <c r="C21" i="67"/>
  <c r="B21" i="67" s="1"/>
  <c r="I19" i="67"/>
  <c r="D53" i="75"/>
  <c r="AB47" i="93"/>
  <c r="C147" i="71"/>
  <c r="Q10" i="86"/>
  <c r="D35" i="75"/>
  <c r="H19" i="67"/>
  <c r="P19" i="67"/>
  <c r="X19" i="67"/>
  <c r="K11" i="87"/>
  <c r="K16" i="87" s="1"/>
  <c r="K27" i="87" s="1"/>
  <c r="E16" i="87"/>
  <c r="E27" i="87" s="1"/>
  <c r="AC10" i="79"/>
  <c r="AD42" i="73"/>
  <c r="AD46" i="73" s="1"/>
  <c r="I11" i="67"/>
  <c r="Y25" i="67"/>
  <c r="AB22" i="92"/>
  <c r="C25" i="75"/>
  <c r="L19" i="67"/>
  <c r="C25" i="67"/>
  <c r="B25" i="67" s="1"/>
  <c r="E38" i="93"/>
  <c r="E50" i="93"/>
  <c r="C19" i="67" s="1"/>
  <c r="M19" i="67"/>
  <c r="C135" i="71"/>
  <c r="B23" i="67"/>
  <c r="C117" i="71"/>
  <c r="C22" i="75"/>
  <c r="C43" i="83"/>
  <c r="J10" i="83"/>
  <c r="H24" i="96"/>
  <c r="C47" i="75" s="1"/>
  <c r="J12" i="96"/>
  <c r="J24" i="96" s="1"/>
  <c r="D43" i="83"/>
  <c r="D41" i="83"/>
  <c r="D46" i="83" s="1"/>
  <c r="B13" i="89"/>
  <c r="B22" i="89" s="1"/>
  <c r="I44" i="81"/>
  <c r="D21" i="75"/>
  <c r="L44" i="81"/>
  <c r="M11" i="67"/>
  <c r="A44" i="1" l="1"/>
  <c r="A45" i="1" s="1"/>
  <c r="A81" i="2"/>
  <c r="B80" i="2" a="1"/>
  <c r="B80" i="2" s="1"/>
  <c r="C17" i="77"/>
  <c r="D17" i="77"/>
  <c r="C25" i="74"/>
  <c r="B14" i="93"/>
  <c r="B19" i="89"/>
  <c r="K1209" i="1" s="1"/>
  <c r="B18" i="89"/>
  <c r="E43" i="92"/>
  <c r="C18" i="67" s="1"/>
  <c r="L1838" i="1"/>
  <c r="J46" i="81"/>
  <c r="D11" i="75" s="1"/>
  <c r="J43" i="83"/>
  <c r="D13" i="75" s="1"/>
  <c r="J12" i="83"/>
  <c r="J23" i="83" s="1"/>
  <c r="J41" i="83" s="1"/>
  <c r="C13" i="75" s="1"/>
  <c r="E25" i="81"/>
  <c r="E44" i="81" s="1"/>
  <c r="E49" i="81" s="1"/>
  <c r="E46" i="81"/>
  <c r="C54" i="81"/>
  <c r="X54" i="81" s="1"/>
  <c r="K563" i="1"/>
  <c r="D41" i="79"/>
  <c r="C41" i="79"/>
  <c r="J55" i="96"/>
  <c r="F25" i="75"/>
  <c r="L55" i="1" s="1"/>
  <c r="F23" i="75"/>
  <c r="H55" i="96"/>
  <c r="D99" i="71"/>
  <c r="E99" i="71"/>
  <c r="C374" i="1"/>
  <c r="C375" i="1" s="1"/>
  <c r="C379" i="1" s="1"/>
  <c r="C380" i="1" s="1"/>
  <c r="C381" i="1" s="1"/>
  <c r="C382" i="1" s="1"/>
  <c r="C383" i="1" s="1"/>
  <c r="C384" i="1" s="1"/>
  <c r="C385" i="1" s="1"/>
  <c r="C386" i="1" s="1"/>
  <c r="C387" i="1" s="1"/>
  <c r="C388" i="1" s="1"/>
  <c r="D42" i="75"/>
  <c r="C28" i="75"/>
  <c r="C24" i="74"/>
  <c r="D50" i="82"/>
  <c r="J45" i="82"/>
  <c r="J50" i="82" s="1"/>
  <c r="L526" i="1"/>
  <c r="L530" i="1" s="1"/>
  <c r="L49" i="81"/>
  <c r="L54" i="81" s="1"/>
  <c r="H54" i="81"/>
  <c r="AD54" i="81" s="1"/>
  <c r="K753" i="1"/>
  <c r="G54" i="81"/>
  <c r="AC54" i="81" s="1"/>
  <c r="K639" i="1"/>
  <c r="F54" i="81"/>
  <c r="AB54" i="81" s="1"/>
  <c r="K715" i="1"/>
  <c r="M54" i="81"/>
  <c r="AA43" i="92"/>
  <c r="AE53" i="73"/>
  <c r="H22" i="86"/>
  <c r="G35" i="96"/>
  <c r="C5" i="71"/>
  <c r="D5" i="71" s="1"/>
  <c r="E65" i="73"/>
  <c r="L1868" i="1"/>
  <c r="L2113" i="1"/>
  <c r="O11" i="86"/>
  <c r="C109" i="71"/>
  <c r="D24" i="74"/>
  <c r="E45" i="71"/>
  <c r="E49" i="71"/>
  <c r="F42" i="75"/>
  <c r="G28" i="77"/>
  <c r="L106" i="1" s="1"/>
  <c r="L63" i="1"/>
  <c r="L70" i="1" s="1"/>
  <c r="C23" i="75"/>
  <c r="F27" i="74"/>
  <c r="L19" i="1" s="1"/>
  <c r="D66" i="76"/>
  <c r="L479" i="1"/>
  <c r="L480" i="1" s="1"/>
  <c r="L1157" i="1"/>
  <c r="L13" i="1"/>
  <c r="B49" i="81"/>
  <c r="D49" i="81"/>
  <c r="D54" i="81" s="1"/>
  <c r="Y54" i="81" s="1"/>
  <c r="I49" i="81"/>
  <c r="D51" i="83"/>
  <c r="Y51" i="83" s="1"/>
  <c r="Y46" i="83"/>
  <c r="H51" i="83"/>
  <c r="AC51" i="83" s="1"/>
  <c r="AC46" i="83"/>
  <c r="G51" i="83"/>
  <c r="AB51" i="83" s="1"/>
  <c r="AB46" i="83"/>
  <c r="L238" i="1"/>
  <c r="J36" i="76"/>
  <c r="F62" i="75" s="1"/>
  <c r="L90" i="1" s="1"/>
  <c r="D26" i="76"/>
  <c r="E26" i="76"/>
  <c r="F11" i="75"/>
  <c r="L406" i="1"/>
  <c r="L426" i="1" s="1"/>
  <c r="L431" i="1" s="1"/>
  <c r="L388" i="1"/>
  <c r="L1307" i="1"/>
  <c r="L1303" i="1"/>
  <c r="L1298" i="1"/>
  <c r="L1309" i="1" s="1"/>
  <c r="L1265" i="1"/>
  <c r="L1264" i="1"/>
  <c r="C532" i="1"/>
  <c r="C533" i="1" s="1"/>
  <c r="C534" i="1" s="1"/>
  <c r="C535" i="1" s="1"/>
  <c r="C536" i="1" s="1"/>
  <c r="C537" i="1" s="1"/>
  <c r="C538" i="1" s="1"/>
  <c r="C539" i="1" s="1"/>
  <c r="C540" i="1" s="1"/>
  <c r="A29" i="63"/>
  <c r="A30" i="63" s="1"/>
  <c r="AC29" i="79"/>
  <c r="K421" i="1"/>
  <c r="C11" i="1"/>
  <c r="AD29" i="79"/>
  <c r="D259" i="71" s="1"/>
  <c r="C874" i="1"/>
  <c r="C875" i="1" s="1"/>
  <c r="C876" i="1" s="1"/>
  <c r="C877" i="1" s="1"/>
  <c r="C878" i="1" s="1"/>
  <c r="C879" i="1" s="1"/>
  <c r="C880" i="1" s="1"/>
  <c r="C881" i="1" s="1"/>
  <c r="C882" i="1" s="1"/>
  <c r="C883" i="1" s="1"/>
  <c r="C1734" i="1"/>
  <c r="C1740" i="1"/>
  <c r="C1741" i="1" s="1"/>
  <c r="C1742" i="1" s="1"/>
  <c r="C1743" i="1" s="1"/>
  <c r="C1738" i="1"/>
  <c r="C1739" i="1" s="1"/>
  <c r="C469" i="1"/>
  <c r="C1396" i="1"/>
  <c r="C1397" i="1" s="1"/>
  <c r="C1398" i="1" s="1"/>
  <c r="C1399" i="1" s="1"/>
  <c r="C1400" i="1" s="1"/>
  <c r="C1401" i="1"/>
  <c r="C1402" i="1" s="1"/>
  <c r="C1403" i="1" s="1"/>
  <c r="C1404" i="1" s="1"/>
  <c r="C1405" i="1" s="1"/>
  <c r="C1406" i="1" s="1"/>
  <c r="C1407" i="1" s="1"/>
  <c r="C1408" i="1" s="1"/>
  <c r="C1409" i="1" s="1"/>
  <c r="C1410" i="1" s="1"/>
  <c r="AE17" i="73"/>
  <c r="J44" i="81"/>
  <c r="C11" i="75" s="1"/>
  <c r="C41" i="83"/>
  <c r="C46" i="83" s="1"/>
  <c r="J46" i="83" s="1"/>
  <c r="J51" i="83" s="1"/>
  <c r="B18" i="67"/>
  <c r="D56" i="75"/>
  <c r="P13" i="86"/>
  <c r="Y15" i="67" s="1"/>
  <c r="C33" i="71"/>
  <c r="D32" i="71" s="1"/>
  <c r="B71" i="104"/>
  <c r="B82" i="104" s="1"/>
  <c r="C71" i="104"/>
  <c r="C82" i="104" s="1"/>
  <c r="O24" i="96"/>
  <c r="L83" i="1"/>
  <c r="C8" i="71"/>
  <c r="D8" i="71" s="1"/>
  <c r="C27" i="77"/>
  <c r="C119" i="71"/>
  <c r="B19" i="67"/>
  <c r="C11" i="67"/>
  <c r="C21" i="75"/>
  <c r="Q13" i="86"/>
  <c r="D25" i="75"/>
  <c r="D28" i="80"/>
  <c r="D278" i="71" s="1"/>
  <c r="AA28" i="80"/>
  <c r="AA31" i="80" s="1"/>
  <c r="C57" i="71"/>
  <c r="AA14" i="93" l="1"/>
  <c r="AA28" i="93" s="1"/>
  <c r="AA38" i="93" s="1"/>
  <c r="B28" i="93"/>
  <c r="C21" i="71"/>
  <c r="D57" i="71"/>
  <c r="E58" i="71"/>
  <c r="A46" i="1"/>
  <c r="A82" i="2"/>
  <c r="B81" i="2" a="1"/>
  <c r="B81" i="2" s="1"/>
  <c r="C35" i="75"/>
  <c r="AB14" i="93"/>
  <c r="AD41" i="79"/>
  <c r="C27" i="74"/>
  <c r="G19" i="77"/>
  <c r="L99" i="1" s="1"/>
  <c r="AA50" i="93"/>
  <c r="C376" i="1"/>
  <c r="C377" i="1" s="1"/>
  <c r="C378" i="1" s="1"/>
  <c r="I54" i="81"/>
  <c r="Z54" i="81" s="1"/>
  <c r="K791" i="1"/>
  <c r="E54" i="81"/>
  <c r="AA54" i="81" s="1"/>
  <c r="K677" i="1"/>
  <c r="B54" i="81"/>
  <c r="J49" i="81"/>
  <c r="E6" i="71"/>
  <c r="A31" i="63"/>
  <c r="A32" i="63" s="1"/>
  <c r="D18" i="75"/>
  <c r="F30" i="75"/>
  <c r="L53" i="1"/>
  <c r="L59" i="1" s="1"/>
  <c r="F29" i="74"/>
  <c r="C51" i="83"/>
  <c r="X51" i="83" s="1"/>
  <c r="X46" i="83"/>
  <c r="D62" i="75"/>
  <c r="F18" i="75"/>
  <c r="L43" i="1"/>
  <c r="L1310" i="1"/>
  <c r="L1311" i="1" s="1"/>
  <c r="L1266" i="1"/>
  <c r="C541" i="1"/>
  <c r="C542" i="1"/>
  <c r="C543" i="1" s="1"/>
  <c r="C544" i="1" s="1"/>
  <c r="C545" i="1" s="1"/>
  <c r="C546" i="1" s="1"/>
  <c r="C547" i="1" s="1"/>
  <c r="C548" i="1" s="1"/>
  <c r="C549" i="1" s="1"/>
  <c r="C550" i="1" s="1"/>
  <c r="C551" i="1" s="1"/>
  <c r="C552" i="1" s="1"/>
  <c r="C553" i="1" s="1"/>
  <c r="C554" i="1" s="1"/>
  <c r="C555" i="1" s="1"/>
  <c r="C12" i="1"/>
  <c r="C884" i="1"/>
  <c r="C885" i="1" s="1"/>
  <c r="C886" i="1" s="1"/>
  <c r="C887" i="1" s="1"/>
  <c r="C888" i="1" s="1"/>
  <c r="C889" i="1" s="1"/>
  <c r="C891" i="1" s="1"/>
  <c r="C892" i="1" s="1"/>
  <c r="C893" i="1" s="1"/>
  <c r="C894" i="1" s="1"/>
  <c r="C895" i="1" s="1"/>
  <c r="C896" i="1" s="1"/>
  <c r="C897" i="1" s="1"/>
  <c r="C898" i="1" s="1"/>
  <c r="C899" i="1" s="1"/>
  <c r="C900" i="1" s="1"/>
  <c r="C901" i="1" s="1"/>
  <c r="C902" i="1" s="1"/>
  <c r="C903" i="1" s="1"/>
  <c r="C904" i="1" s="1"/>
  <c r="C470" i="1"/>
  <c r="C471" i="1" s="1"/>
  <c r="D30" i="75"/>
  <c r="D31" i="80"/>
  <c r="D280" i="71" s="1"/>
  <c r="C13" i="67"/>
  <c r="B13" i="67" s="1"/>
  <c r="C22" i="71"/>
  <c r="E36" i="76"/>
  <c r="C64" i="75" s="1"/>
  <c r="D64" i="75"/>
  <c r="D36" i="76"/>
  <c r="B11" i="67"/>
  <c r="C118" i="71"/>
  <c r="C56" i="75"/>
  <c r="C12" i="71"/>
  <c r="D12" i="71" s="1"/>
  <c r="C125" i="71"/>
  <c r="Y10" i="67"/>
  <c r="Y16" i="67"/>
  <c r="C30" i="75"/>
  <c r="Y20" i="67"/>
  <c r="AB43" i="92"/>
  <c r="C122" i="71"/>
  <c r="AF25" i="81"/>
  <c r="AF44" i="81" s="1"/>
  <c r="AF46" i="81"/>
  <c r="A47" i="1" l="1"/>
  <c r="A83" i="2"/>
  <c r="B82" i="2" a="1"/>
  <c r="B82" i="2" s="1"/>
  <c r="B50" i="93"/>
  <c r="AB50" i="93" s="1"/>
  <c r="Y19" i="67" s="1"/>
  <c r="B38" i="93"/>
  <c r="C143" i="71" s="1"/>
  <c r="W54" i="81"/>
  <c r="J54" i="81"/>
  <c r="V54" i="81" s="1"/>
  <c r="C42" i="75"/>
  <c r="C130" i="71"/>
  <c r="C28" i="77"/>
  <c r="C128" i="71" s="1"/>
  <c r="D21" i="71"/>
  <c r="E119" i="71"/>
  <c r="D119" i="71"/>
  <c r="D117" i="71"/>
  <c r="F32" i="75"/>
  <c r="F44" i="75" s="1"/>
  <c r="F58" i="75" s="1"/>
  <c r="D32" i="75"/>
  <c r="D44" i="75" s="1"/>
  <c r="D58" i="75" s="1"/>
  <c r="AF46" i="83"/>
  <c r="AG46" i="83"/>
  <c r="V46" i="83"/>
  <c r="AE46" i="83"/>
  <c r="L49" i="1"/>
  <c r="L61" i="1" s="1"/>
  <c r="L72" i="1" s="1"/>
  <c r="L85" i="1" s="1"/>
  <c r="C38" i="67"/>
  <c r="C556" i="1"/>
  <c r="C557" i="1" s="1"/>
  <c r="C558" i="1" s="1"/>
  <c r="C559" i="1" s="1"/>
  <c r="C560" i="1" s="1"/>
  <c r="C561" i="1" s="1"/>
  <c r="C562" i="1" s="1"/>
  <c r="C563" i="1" s="1"/>
  <c r="C564" i="1" s="1"/>
  <c r="C565" i="1" s="1"/>
  <c r="C566" i="1" s="1"/>
  <c r="C567" i="1" s="1"/>
  <c r="C13" i="1"/>
  <c r="C890" i="1"/>
  <c r="C906" i="1"/>
  <c r="C907" i="1" s="1"/>
  <c r="C908" i="1" s="1"/>
  <c r="C905" i="1"/>
  <c r="C472" i="1"/>
  <c r="D27" i="74"/>
  <c r="E13" i="71"/>
  <c r="Y18" i="67"/>
  <c r="C123" i="71"/>
  <c r="D125" i="71" s="1"/>
  <c r="E22" i="71"/>
  <c r="D15" i="71"/>
  <c r="L20" i="1"/>
  <c r="C62" i="75"/>
  <c r="E118" i="71"/>
  <c r="E153" i="71"/>
  <c r="C18" i="75"/>
  <c r="C32" i="75" s="1"/>
  <c r="A48" i="1" l="1"/>
  <c r="A84" i="2"/>
  <c r="B83" i="2" a="1"/>
  <c r="B83" i="2" s="1"/>
  <c r="C127" i="71"/>
  <c r="D127" i="71" s="1"/>
  <c r="C44" i="75"/>
  <c r="C58" i="75" s="1"/>
  <c r="D130" i="71"/>
  <c r="AE54" i="81"/>
  <c r="E130" i="71"/>
  <c r="AG54" i="81"/>
  <c r="Y13" i="67" s="1"/>
  <c r="D122" i="71"/>
  <c r="AF51" i="83"/>
  <c r="V51" i="83"/>
  <c r="AG51" i="83"/>
  <c r="Y14" i="67" s="1"/>
  <c r="AE51" i="83"/>
  <c r="C568" i="1"/>
  <c r="E125" i="71"/>
  <c r="D29" i="74"/>
  <c r="C14" i="1"/>
  <c r="C473" i="1"/>
  <c r="C910" i="1"/>
  <c r="C911" i="1" s="1"/>
  <c r="C912" i="1" s="1"/>
  <c r="C913" i="1" s="1"/>
  <c r="C914" i="1" s="1"/>
  <c r="C915" i="1" s="1"/>
  <c r="C916" i="1" s="1"/>
  <c r="C909" i="1"/>
  <c r="D152" i="71"/>
  <c r="E124" i="71"/>
  <c r="E16" i="71"/>
  <c r="A49" i="1" l="1"/>
  <c r="A85" i="2"/>
  <c r="B84" i="2" a="1"/>
  <c r="B84" i="2" s="1"/>
  <c r="E128" i="71"/>
  <c r="C569" i="1"/>
  <c r="C570" i="1" s="1"/>
  <c r="C571" i="1" s="1"/>
  <c r="C572" i="1" s="1"/>
  <c r="C573" i="1" s="1"/>
  <c r="C574" i="1" s="1"/>
  <c r="C575" i="1" s="1"/>
  <c r="C576" i="1" s="1"/>
  <c r="C577" i="1" s="1"/>
  <c r="C578" i="1" s="1"/>
  <c r="C580" i="1" s="1"/>
  <c r="C581" i="1" s="1"/>
  <c r="C582" i="1" s="1"/>
  <c r="C583" i="1" s="1"/>
  <c r="C584" i="1" s="1"/>
  <c r="C585" i="1" s="1"/>
  <c r="C586" i="1" s="1"/>
  <c r="C587" i="1" s="1"/>
  <c r="C588" i="1" s="1"/>
  <c r="C589" i="1" s="1"/>
  <c r="C590" i="1" s="1"/>
  <c r="C591" i="1" s="1"/>
  <c r="C592" i="1" s="1"/>
  <c r="C593" i="1" s="1"/>
  <c r="C15" i="1"/>
  <c r="C474" i="1"/>
  <c r="C475" i="1" s="1"/>
  <c r="C917" i="1"/>
  <c r="C918" i="1" s="1"/>
  <c r="C919" i="1" s="1"/>
  <c r="C920" i="1" s="1"/>
  <c r="C921" i="1" s="1"/>
  <c r="C922" i="1" s="1"/>
  <c r="C923" i="1" s="1"/>
  <c r="A33" i="63"/>
  <c r="A50" i="1" l="1"/>
  <c r="A86" i="2"/>
  <c r="B85" i="2" a="1"/>
  <c r="B85" i="2" s="1"/>
  <c r="C579" i="1"/>
  <c r="C594" i="1"/>
  <c r="C595" i="1" s="1"/>
  <c r="C596" i="1" s="1"/>
  <c r="C597" i="1" s="1"/>
  <c r="C598" i="1" s="1"/>
  <c r="C599" i="1" s="1"/>
  <c r="C600" i="1" s="1"/>
  <c r="C601" i="1" s="1"/>
  <c r="C602" i="1" s="1"/>
  <c r="C603" i="1" s="1"/>
  <c r="C604" i="1" s="1"/>
  <c r="C16" i="1"/>
  <c r="C476" i="1"/>
  <c r="C477" i="1" s="1"/>
  <c r="C478" i="1" s="1"/>
  <c r="C926" i="1"/>
  <c r="C924" i="1"/>
  <c r="C925" i="1" s="1"/>
  <c r="C927" i="1" s="1"/>
  <c r="C928" i="1" s="1"/>
  <c r="C929" i="1" s="1"/>
  <c r="C930" i="1" s="1"/>
  <c r="C931" i="1" s="1"/>
  <c r="C932" i="1" s="1"/>
  <c r="C933" i="1" s="1"/>
  <c r="C934" i="1" s="1"/>
  <c r="C935" i="1" s="1"/>
  <c r="C936" i="1" s="1"/>
  <c r="C937" i="1" s="1"/>
  <c r="C938" i="1" s="1"/>
  <c r="C939" i="1" s="1"/>
  <c r="C940" i="1" s="1"/>
  <c r="A51" i="1" l="1"/>
  <c r="A87" i="2"/>
  <c r="B86" i="2" a="1"/>
  <c r="B86" i="2" s="1"/>
  <c r="C605" i="1"/>
  <c r="C606" i="1" s="1"/>
  <c r="C607" i="1" s="1"/>
  <c r="C608" i="1" s="1"/>
  <c r="C609" i="1" s="1"/>
  <c r="C610" i="1" s="1"/>
  <c r="C611" i="1" s="1"/>
  <c r="C612" i="1" s="1"/>
  <c r="C613" i="1" s="1"/>
  <c r="C614" i="1" s="1"/>
  <c r="C615" i="1" s="1"/>
  <c r="C616" i="1" s="1"/>
  <c r="C617" i="1" s="1"/>
  <c r="A34" i="63"/>
  <c r="C58" i="76"/>
  <c r="C17" i="1"/>
  <c r="C19" i="1"/>
  <c r="C20" i="1" s="1"/>
  <c r="C942" i="1"/>
  <c r="C943" i="1" s="1"/>
  <c r="C944" i="1" s="1"/>
  <c r="C941" i="1"/>
  <c r="A52" i="1" l="1"/>
  <c r="A88" i="2"/>
  <c r="B87" i="2" a="1"/>
  <c r="B87" i="2" s="1"/>
  <c r="C618" i="1"/>
  <c r="C619" i="1" s="1"/>
  <c r="C620" i="1" s="1"/>
  <c r="C621" i="1" s="1"/>
  <c r="C622" i="1" s="1"/>
  <c r="C623" i="1" s="1"/>
  <c r="C624" i="1" s="1"/>
  <c r="C625" i="1" s="1"/>
  <c r="C626" i="1" s="1"/>
  <c r="C627" i="1" s="1"/>
  <c r="C628" i="1" s="1"/>
  <c r="C629" i="1" s="1"/>
  <c r="C630" i="1" s="1"/>
  <c r="C632" i="1" s="1"/>
  <c r="C633" i="1" s="1"/>
  <c r="C634" i="1" s="1"/>
  <c r="C635" i="1" s="1"/>
  <c r="C636" i="1" s="1"/>
  <c r="C637" i="1" s="1"/>
  <c r="C638" i="1" s="1"/>
  <c r="C639" i="1" s="1"/>
  <c r="C640" i="1" s="1"/>
  <c r="C641" i="1" s="1"/>
  <c r="C642" i="1" s="1"/>
  <c r="C643" i="1" s="1"/>
  <c r="C644" i="1" s="1"/>
  <c r="C645" i="1" s="1"/>
  <c r="C646" i="1" s="1"/>
  <c r="C647" i="1" s="1"/>
  <c r="C648" i="1" s="1"/>
  <c r="C649" i="1" s="1"/>
  <c r="C650" i="1" s="1"/>
  <c r="C651" i="1" s="1"/>
  <c r="C652" i="1" s="1"/>
  <c r="C653" i="1" s="1"/>
  <c r="C654" i="1" s="1"/>
  <c r="C655" i="1" s="1"/>
  <c r="A35" i="63"/>
  <c r="A39" i="63" s="1"/>
  <c r="A40" i="63" s="1"/>
  <c r="C21" i="1"/>
  <c r="C22" i="1" s="1"/>
  <c r="C23" i="1" s="1"/>
  <c r="C24" i="1" s="1"/>
  <c r="C479" i="1"/>
  <c r="C480" i="1" s="1"/>
  <c r="F63" i="76"/>
  <c r="F54" i="76"/>
  <c r="F58" i="76" s="1"/>
  <c r="C18" i="1"/>
  <c r="C945" i="1"/>
  <c r="C946" i="1"/>
  <c r="C947" i="1" s="1"/>
  <c r="C948" i="1" s="1"/>
  <c r="C949" i="1" s="1"/>
  <c r="C950" i="1" s="1"/>
  <c r="C951" i="1" s="1"/>
  <c r="C952" i="1" s="1"/>
  <c r="C66" i="76"/>
  <c r="A53" i="1" l="1"/>
  <c r="A89" i="2"/>
  <c r="B88" i="2" a="1"/>
  <c r="B88" i="2" s="1"/>
  <c r="C631" i="1"/>
  <c r="C30" i="1"/>
  <c r="C31" i="1" s="1"/>
  <c r="C25" i="1"/>
  <c r="C26" i="1" s="1"/>
  <c r="C27" i="1" s="1"/>
  <c r="C28" i="1" s="1"/>
  <c r="C29" i="1" s="1"/>
  <c r="F66" i="76"/>
  <c r="A41" i="63"/>
  <c r="C656" i="1"/>
  <c r="C657" i="1" s="1"/>
  <c r="C658" i="1" s="1"/>
  <c r="C659" i="1" s="1"/>
  <c r="C660" i="1" s="1"/>
  <c r="C661" i="1" s="1"/>
  <c r="C662" i="1" s="1"/>
  <c r="C663" i="1" s="1"/>
  <c r="C664" i="1" s="1"/>
  <c r="C665" i="1" s="1"/>
  <c r="C666" i="1" s="1"/>
  <c r="C667" i="1" s="1"/>
  <c r="C668" i="1" s="1"/>
  <c r="C670" i="1" s="1"/>
  <c r="C671" i="1" s="1"/>
  <c r="C672" i="1" s="1"/>
  <c r="C673" i="1" s="1"/>
  <c r="C674" i="1" s="1"/>
  <c r="C675" i="1" s="1"/>
  <c r="C676" i="1" s="1"/>
  <c r="C677" i="1" s="1"/>
  <c r="C678" i="1" s="1"/>
  <c r="C679" i="1" s="1"/>
  <c r="C680" i="1" s="1"/>
  <c r="C681" i="1" s="1"/>
  <c r="C682" i="1" s="1"/>
  <c r="C683" i="1" s="1"/>
  <c r="C684" i="1" s="1"/>
  <c r="C685" i="1" s="1"/>
  <c r="C686" i="1" s="1"/>
  <c r="C687" i="1" s="1"/>
  <c r="C688" i="1" s="1"/>
  <c r="C689" i="1" s="1"/>
  <c r="C690" i="1" s="1"/>
  <c r="C691" i="1" s="1"/>
  <c r="C692" i="1" s="1"/>
  <c r="C481" i="1"/>
  <c r="C482" i="1" s="1"/>
  <c r="C483" i="1" s="1"/>
  <c r="C484" i="1" s="1"/>
  <c r="C953" i="1"/>
  <c r="C954" i="1" s="1"/>
  <c r="C955" i="1" s="1"/>
  <c r="C956" i="1" s="1"/>
  <c r="C957" i="1" s="1"/>
  <c r="C958" i="1" s="1"/>
  <c r="C959" i="1" s="1"/>
  <c r="A54" i="1" l="1"/>
  <c r="A90" i="2"/>
  <c r="B89" i="2" a="1"/>
  <c r="B89" i="2" s="1"/>
  <c r="C32" i="1"/>
  <c r="C33" i="1" s="1"/>
  <c r="C34" i="1" s="1"/>
  <c r="C36" i="1" s="1"/>
  <c r="A42" i="63"/>
  <c r="A43" i="63" s="1"/>
  <c r="A46" i="63" s="1"/>
  <c r="A47" i="63" s="1"/>
  <c r="A48" i="63" s="1"/>
  <c r="C669" i="1"/>
  <c r="C694" i="1"/>
  <c r="C695" i="1" s="1"/>
  <c r="C696" i="1" s="1"/>
  <c r="C697" i="1" s="1"/>
  <c r="C698" i="1" s="1"/>
  <c r="C699" i="1" s="1"/>
  <c r="C700" i="1" s="1"/>
  <c r="C701" i="1" s="1"/>
  <c r="C702" i="1" s="1"/>
  <c r="C703" i="1" s="1"/>
  <c r="C704" i="1" s="1"/>
  <c r="C705" i="1" s="1"/>
  <c r="C706" i="1" s="1"/>
  <c r="C693" i="1"/>
  <c r="C960" i="1"/>
  <c r="C961" i="1" s="1"/>
  <c r="C963" i="1" s="1"/>
  <c r="C964" i="1" s="1"/>
  <c r="C965" i="1" s="1"/>
  <c r="C966" i="1" s="1"/>
  <c r="C967" i="1" s="1"/>
  <c r="C968" i="1" s="1"/>
  <c r="C969" i="1" s="1"/>
  <c r="C970" i="1" s="1"/>
  <c r="C971" i="1" s="1"/>
  <c r="C972" i="1" s="1"/>
  <c r="C973" i="1" s="1"/>
  <c r="C974" i="1" s="1"/>
  <c r="C975" i="1" s="1"/>
  <c r="C976" i="1" s="1"/>
  <c r="C962" i="1"/>
  <c r="A55" i="1" l="1"/>
  <c r="A91" i="2"/>
  <c r="B90" i="2" a="1"/>
  <c r="B90" i="2" s="1"/>
  <c r="C35" i="1"/>
  <c r="C37" i="1" s="1"/>
  <c r="C38" i="1" s="1"/>
  <c r="C39" i="1" s="1"/>
  <c r="C707" i="1"/>
  <c r="C708" i="1"/>
  <c r="C709" i="1" s="1"/>
  <c r="C710" i="1" s="1"/>
  <c r="C711" i="1" s="1"/>
  <c r="C712" i="1" s="1"/>
  <c r="C713" i="1" s="1"/>
  <c r="C714" i="1" s="1"/>
  <c r="C715" i="1" s="1"/>
  <c r="C716" i="1" s="1"/>
  <c r="C717" i="1" s="1"/>
  <c r="C977" i="1"/>
  <c r="C978" i="1"/>
  <c r="C979" i="1" s="1"/>
  <c r="C980" i="1" s="1"/>
  <c r="A56" i="1" l="1"/>
  <c r="A92" i="2"/>
  <c r="B91" i="2" a="1"/>
  <c r="B91" i="2" s="1"/>
  <c r="C718" i="1"/>
  <c r="C719" i="1" s="1"/>
  <c r="C720" i="1" s="1"/>
  <c r="C721" i="1" s="1"/>
  <c r="C722" i="1" s="1"/>
  <c r="C723" i="1" s="1"/>
  <c r="C724" i="1" s="1"/>
  <c r="C725" i="1" s="1"/>
  <c r="C726" i="1" s="1"/>
  <c r="C727" i="1" s="1"/>
  <c r="C728" i="1" s="1"/>
  <c r="C729" i="1" s="1"/>
  <c r="C730" i="1" s="1"/>
  <c r="C981" i="1"/>
  <c r="C982" i="1"/>
  <c r="C983" i="1" s="1"/>
  <c r="C984" i="1" s="1"/>
  <c r="C985" i="1" s="1"/>
  <c r="C986" i="1" s="1"/>
  <c r="C987" i="1" s="1"/>
  <c r="C988" i="1" s="1"/>
  <c r="C989" i="1" s="1"/>
  <c r="A57" i="1" l="1"/>
  <c r="A93" i="2"/>
  <c r="B92" i="2" a="1"/>
  <c r="B92" i="2" s="1"/>
  <c r="C990" i="1"/>
  <c r="C991" i="1" s="1"/>
  <c r="C992" i="1" s="1"/>
  <c r="C993" i="1" s="1"/>
  <c r="C994" i="1" s="1"/>
  <c r="C995" i="1" s="1"/>
  <c r="C996" i="1" s="1"/>
  <c r="C732" i="1"/>
  <c r="C733" i="1" s="1"/>
  <c r="C734" i="1" s="1"/>
  <c r="C735" i="1" s="1"/>
  <c r="C736" i="1" s="1"/>
  <c r="C737" i="1" s="1"/>
  <c r="C738" i="1" s="1"/>
  <c r="C739" i="1" s="1"/>
  <c r="C740" i="1" s="1"/>
  <c r="C741" i="1" s="1"/>
  <c r="C742" i="1" s="1"/>
  <c r="C743" i="1" s="1"/>
  <c r="C744" i="1" s="1"/>
  <c r="C746" i="1" s="1"/>
  <c r="C747" i="1" s="1"/>
  <c r="C748" i="1" s="1"/>
  <c r="C749" i="1" s="1"/>
  <c r="C750" i="1" s="1"/>
  <c r="C751" i="1" s="1"/>
  <c r="C752" i="1" s="1"/>
  <c r="C753" i="1" s="1"/>
  <c r="C754" i="1" s="1"/>
  <c r="C755" i="1" s="1"/>
  <c r="C756" i="1" s="1"/>
  <c r="C757" i="1" s="1"/>
  <c r="C758" i="1" s="1"/>
  <c r="C759" i="1" s="1"/>
  <c r="C760" i="1" s="1"/>
  <c r="C761" i="1" s="1"/>
  <c r="C762" i="1" s="1"/>
  <c r="C763" i="1" s="1"/>
  <c r="C764" i="1" s="1"/>
  <c r="C765" i="1" s="1"/>
  <c r="C766" i="1" s="1"/>
  <c r="C767" i="1" s="1"/>
  <c r="C768" i="1" s="1"/>
  <c r="C770" i="1" s="1"/>
  <c r="C771" i="1" s="1"/>
  <c r="C772" i="1" s="1"/>
  <c r="C773" i="1" s="1"/>
  <c r="C774" i="1" s="1"/>
  <c r="C775" i="1" s="1"/>
  <c r="C776" i="1" s="1"/>
  <c r="C777" i="1" s="1"/>
  <c r="C778" i="1" s="1"/>
  <c r="C779" i="1" s="1"/>
  <c r="C780" i="1" s="1"/>
  <c r="C781" i="1" s="1"/>
  <c r="C782" i="1" s="1"/>
  <c r="C783" i="1" s="1"/>
  <c r="C731" i="1"/>
  <c r="A58" i="1" l="1"/>
  <c r="A94" i="2"/>
  <c r="B93" i="2" a="1"/>
  <c r="B93" i="2" s="1"/>
  <c r="C997" i="1"/>
  <c r="C998" i="1" s="1"/>
  <c r="C1000" i="1" s="1"/>
  <c r="C1001" i="1" s="1"/>
  <c r="C1002" i="1" s="1"/>
  <c r="C1003" i="1" s="1"/>
  <c r="C1004" i="1" s="1"/>
  <c r="C1005" i="1" s="1"/>
  <c r="C1006" i="1" s="1"/>
  <c r="C1007" i="1" s="1"/>
  <c r="C1008" i="1" s="1"/>
  <c r="C1009" i="1" s="1"/>
  <c r="C1010" i="1" s="1"/>
  <c r="C1011" i="1" s="1"/>
  <c r="C1012" i="1" s="1"/>
  <c r="C1014" i="1" s="1"/>
  <c r="C1015" i="1" s="1"/>
  <c r="C1016" i="1" s="1"/>
  <c r="C999" i="1"/>
  <c r="C745" i="1"/>
  <c r="C769" i="1"/>
  <c r="C784" i="1"/>
  <c r="C785" i="1" s="1"/>
  <c r="C786" i="1" s="1"/>
  <c r="C787" i="1" s="1"/>
  <c r="C788" i="1" s="1"/>
  <c r="C789" i="1" s="1"/>
  <c r="C790" i="1" s="1"/>
  <c r="C791" i="1" s="1"/>
  <c r="C792" i="1" s="1"/>
  <c r="C793" i="1" s="1"/>
  <c r="C794" i="1" s="1"/>
  <c r="C795" i="1" s="1"/>
  <c r="A59" i="1" l="1"/>
  <c r="A95" i="2"/>
  <c r="B94" i="2" a="1"/>
  <c r="B94" i="2" s="1"/>
  <c r="C1013" i="1"/>
  <c r="C1018" i="1"/>
  <c r="C1020" i="1" s="1"/>
  <c r="C1017" i="1"/>
  <c r="A60" i="1" l="1"/>
  <c r="A96" i="2"/>
  <c r="B95" i="2" a="1"/>
  <c r="B95" i="2" s="1"/>
  <c r="C1019" i="1"/>
  <c r="A61" i="1" l="1"/>
  <c r="A97" i="2"/>
  <c r="B96" i="2" a="1"/>
  <c r="B96" i="2" s="1"/>
  <c r="C1021" i="1"/>
  <c r="A62" i="1" l="1"/>
  <c r="A98" i="2"/>
  <c r="B97" i="2" a="1"/>
  <c r="B97" i="2" s="1"/>
  <c r="C1022" i="1"/>
  <c r="A63" i="1" l="1"/>
  <c r="A99" i="2"/>
  <c r="B99" i="2" s="1" a="1"/>
  <c r="B99" i="2" s="1"/>
  <c r="B98" i="2" a="1"/>
  <c r="B98" i="2" s="1"/>
  <c r="C1023" i="1"/>
  <c r="A64" i="1" l="1"/>
  <c r="C1024" i="1"/>
  <c r="A65" i="1" l="1"/>
  <c r="C1025" i="1"/>
  <c r="C1026" i="1" s="1"/>
  <c r="C1027" i="1" s="1"/>
  <c r="C1028" i="1" s="1"/>
  <c r="C1029" i="1" s="1"/>
  <c r="C1030" i="1" s="1"/>
  <c r="C1031" i="1" s="1"/>
  <c r="A66" i="1" l="1"/>
  <c r="C1032" i="1"/>
  <c r="C1034" i="1"/>
  <c r="A67" i="1" l="1"/>
  <c r="C1033" i="1"/>
  <c r="A68" i="1" l="1"/>
  <c r="C1035" i="1"/>
  <c r="C1036" i="1" s="1"/>
  <c r="C1037" i="1" s="1"/>
  <c r="C1038" i="1" s="1"/>
  <c r="C1039" i="1" s="1"/>
  <c r="C1040" i="1" s="1"/>
  <c r="C1041" i="1" s="1"/>
  <c r="C1042" i="1" s="1"/>
  <c r="C1043" i="1" s="1"/>
  <c r="A69" i="1" l="1"/>
  <c r="C1044" i="1"/>
  <c r="C1045" i="1" s="1"/>
  <c r="C1046" i="1"/>
  <c r="C1047" i="1" s="1"/>
  <c r="C1048" i="1" s="1"/>
  <c r="A70" i="1" l="1"/>
  <c r="C1049" i="1"/>
  <c r="C1050" i="1"/>
  <c r="C1051" i="1" s="1"/>
  <c r="C1052" i="1" s="1"/>
  <c r="A71" i="1" l="1"/>
  <c r="C1053" i="1"/>
  <c r="C1054" i="1"/>
  <c r="C1055" i="1" s="1"/>
  <c r="C1056" i="1" s="1"/>
  <c r="C1057" i="1" s="1"/>
  <c r="C1058" i="1" s="1"/>
  <c r="C1059" i="1" s="1"/>
  <c r="C1060" i="1" s="1"/>
  <c r="A72" i="1" l="1"/>
  <c r="C1061" i="1"/>
  <c r="C1062" i="1" s="1"/>
  <c r="C1063" i="1" s="1"/>
  <c r="C1064" i="1" s="1"/>
  <c r="C1065" i="1" s="1"/>
  <c r="C1066" i="1" s="1"/>
  <c r="C1067" i="1" s="1"/>
  <c r="A73" i="1" l="1"/>
  <c r="C1070" i="1"/>
  <c r="C1068" i="1"/>
  <c r="C1069" i="1" s="1"/>
  <c r="C1071" i="1" s="1"/>
  <c r="C1072" i="1" s="1"/>
  <c r="C1073" i="1" s="1"/>
  <c r="C1074" i="1" s="1"/>
  <c r="C1075" i="1" s="1"/>
  <c r="C1076" i="1" s="1"/>
  <c r="C1077" i="1" s="1"/>
  <c r="C1078" i="1" s="1"/>
  <c r="C1079" i="1" s="1"/>
  <c r="A74" i="1" l="1"/>
  <c r="C1082" i="1"/>
  <c r="C1083" i="1" s="1"/>
  <c r="C1084" i="1" s="1"/>
  <c r="C1080" i="1"/>
  <c r="C1081" i="1" s="1"/>
  <c r="A75" i="1" l="1"/>
  <c r="C1085" i="1"/>
  <c r="C1086" i="1"/>
  <c r="C1087" i="1" s="1"/>
  <c r="C1088" i="1" s="1"/>
  <c r="A76" i="1" l="1"/>
  <c r="C1089" i="1"/>
  <c r="C1090" i="1"/>
  <c r="C1091" i="1" s="1"/>
  <c r="C1092" i="1" s="1"/>
  <c r="C1093" i="1" s="1"/>
  <c r="C1094" i="1" s="1"/>
  <c r="C1095" i="1" s="1"/>
  <c r="C1096" i="1" s="1"/>
  <c r="K2031" i="1"/>
  <c r="K2030" i="1"/>
  <c r="K2029" i="1"/>
  <c r="K2028" i="1"/>
  <c r="K2018" i="1"/>
  <c r="K2017" i="1"/>
  <c r="K2016" i="1"/>
  <c r="K2015" i="1"/>
  <c r="K2014" i="1"/>
  <c r="K2013" i="1"/>
  <c r="K2012" i="1"/>
  <c r="K1990" i="1"/>
  <c r="K1988" i="1"/>
  <c r="K1987" i="1"/>
  <c r="K1986" i="1"/>
  <c r="K1985" i="1"/>
  <c r="K1984" i="1"/>
  <c r="K1983" i="1"/>
  <c r="K1982" i="1"/>
  <c r="K1981" i="1"/>
  <c r="K1980" i="1"/>
  <c r="K1979" i="1"/>
  <c r="K1978" i="1"/>
  <c r="K1976" i="1"/>
  <c r="K1975" i="1"/>
  <c r="K1974" i="1"/>
  <c r="K1973" i="1"/>
  <c r="K1972" i="1"/>
  <c r="K1971" i="1"/>
  <c r="K1970" i="1"/>
  <c r="K1969" i="1"/>
  <c r="K1968" i="1"/>
  <c r="K1967" i="1"/>
  <c r="K1553" i="1"/>
  <c r="K1552" i="1"/>
  <c r="K1550" i="1"/>
  <c r="K1549" i="1"/>
  <c r="K1548" i="1"/>
  <c r="K1547" i="1"/>
  <c r="K1546" i="1"/>
  <c r="K1545" i="1"/>
  <c r="K1543" i="1"/>
  <c r="K1764" i="1"/>
  <c r="K1763" i="1"/>
  <c r="K1762" i="1"/>
  <c r="K1760" i="1"/>
  <c r="E11" i="47"/>
  <c r="C11" i="47"/>
  <c r="K1749" i="1"/>
  <c r="K1747" i="1"/>
  <c r="K1746" i="1"/>
  <c r="K1745" i="1"/>
  <c r="K1744" i="1"/>
  <c r="K1741" i="1"/>
  <c r="K1740" i="1"/>
  <c r="K1739" i="1"/>
  <c r="K1738" i="1"/>
  <c r="K1736" i="1"/>
  <c r="K1734" i="1"/>
  <c r="K1733" i="1"/>
  <c r="K1732" i="1"/>
  <c r="K1731" i="1"/>
  <c r="K1730" i="1"/>
  <c r="K1729" i="1"/>
  <c r="K1728" i="1"/>
  <c r="K1726" i="1"/>
  <c r="K1725" i="1"/>
  <c r="K1724" i="1"/>
  <c r="K1723" i="1"/>
  <c r="K1722" i="1"/>
  <c r="K1719" i="1"/>
  <c r="K1714" i="1"/>
  <c r="K1703" i="1"/>
  <c r="K1759" i="1"/>
  <c r="K1755" i="1"/>
  <c r="K1306" i="1"/>
  <c r="K1305" i="1"/>
  <c r="K1304" i="1"/>
  <c r="K1302" i="1"/>
  <c r="K1301" i="1"/>
  <c r="K1300" i="1"/>
  <c r="K1299" i="1"/>
  <c r="K1297" i="1"/>
  <c r="K1296" i="1"/>
  <c r="K1295" i="1"/>
  <c r="K1294"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2" i="1"/>
  <c r="K1261" i="1"/>
  <c r="K1260" i="1"/>
  <c r="K1258" i="1"/>
  <c r="K1257" i="1"/>
  <c r="K1255" i="1"/>
  <c r="K1254" i="1"/>
  <c r="K1252" i="1"/>
  <c r="K1251" i="1"/>
  <c r="K1250" i="1"/>
  <c r="K1249" i="1"/>
  <c r="K1246" i="1"/>
  <c r="K1245" i="1"/>
  <c r="K1244" i="1"/>
  <c r="K1243" i="1"/>
  <c r="K1242" i="1"/>
  <c r="K1241" i="1"/>
  <c r="K1240" i="1"/>
  <c r="K1239" i="1"/>
  <c r="K1238" i="1"/>
  <c r="K1237" i="1"/>
  <c r="K1236" i="1"/>
  <c r="K1235" i="1"/>
  <c r="K1207" i="1"/>
  <c r="K1206" i="1"/>
  <c r="K1205" i="1"/>
  <c r="K1204" i="1"/>
  <c r="K1202" i="1"/>
  <c r="K1201" i="1"/>
  <c r="K1198" i="1"/>
  <c r="K1197" i="1"/>
  <c r="K1196" i="1"/>
  <c r="K1195" i="1"/>
  <c r="K1194" i="1"/>
  <c r="K1193" i="1"/>
  <c r="K1192" i="1"/>
  <c r="K1158" i="1"/>
  <c r="K1152" i="1"/>
  <c r="K1151" i="1"/>
  <c r="K1149" i="1"/>
  <c r="K1147" i="1"/>
  <c r="K1133" i="1"/>
  <c r="K1132" i="1"/>
  <c r="K1131" i="1"/>
  <c r="K1130" i="1"/>
  <c r="K1126" i="1"/>
  <c r="K1125" i="1"/>
  <c r="K1124" i="1"/>
  <c r="K1123" i="1"/>
  <c r="K1122" i="1"/>
  <c r="K1121" i="1"/>
  <c r="K1120" i="1"/>
  <c r="K1119" i="1"/>
  <c r="K1118" i="1"/>
  <c r="K1116" i="1"/>
  <c r="K1114" i="1"/>
  <c r="K1112" i="1"/>
  <c r="K1111" i="1"/>
  <c r="K1110" i="1"/>
  <c r="K1109" i="1"/>
  <c r="K1108" i="1"/>
  <c r="K1107" i="1"/>
  <c r="K1106" i="1"/>
  <c r="K1105" i="1"/>
  <c r="K1104" i="1"/>
  <c r="K1102" i="1"/>
  <c r="K1100" i="1"/>
  <c r="K1097" i="1"/>
  <c r="K1096" i="1"/>
  <c r="K1095" i="1"/>
  <c r="K1094" i="1"/>
  <c r="K1090" i="1"/>
  <c r="K1089" i="1"/>
  <c r="K1088" i="1"/>
  <c r="K1087" i="1"/>
  <c r="K1086" i="1"/>
  <c r="K1085" i="1"/>
  <c r="K1084" i="1"/>
  <c r="K1083" i="1"/>
  <c r="K1082" i="1"/>
  <c r="K1080" i="1"/>
  <c r="K1078" i="1"/>
  <c r="K1076" i="1"/>
  <c r="K1075" i="1"/>
  <c r="K1074" i="1"/>
  <c r="K1073" i="1"/>
  <c r="K1072" i="1"/>
  <c r="K1071" i="1"/>
  <c r="K1070" i="1"/>
  <c r="K1069" i="1"/>
  <c r="K1068" i="1"/>
  <c r="K1066" i="1"/>
  <c r="K1064" i="1"/>
  <c r="K1061" i="1"/>
  <c r="K1060" i="1"/>
  <c r="K1059" i="1"/>
  <c r="K1058" i="1"/>
  <c r="K1054" i="1"/>
  <c r="K1053" i="1"/>
  <c r="K1052" i="1"/>
  <c r="K1051" i="1"/>
  <c r="K1050" i="1"/>
  <c r="K1049" i="1"/>
  <c r="K1048" i="1"/>
  <c r="K1047" i="1"/>
  <c r="K1046" i="1"/>
  <c r="K1044" i="1"/>
  <c r="K1042" i="1"/>
  <c r="K1040" i="1"/>
  <c r="K1039" i="1"/>
  <c r="K1038" i="1"/>
  <c r="K1037" i="1"/>
  <c r="K1036" i="1"/>
  <c r="K1035" i="1"/>
  <c r="K1034" i="1"/>
  <c r="K1033" i="1"/>
  <c r="K1032" i="1"/>
  <c r="K1030" i="1"/>
  <c r="K1028" i="1"/>
  <c r="K1025" i="1"/>
  <c r="K1024" i="1"/>
  <c r="K1023" i="1"/>
  <c r="K1022" i="1"/>
  <c r="K1018" i="1"/>
  <c r="K1017" i="1"/>
  <c r="K1016" i="1"/>
  <c r="K1015" i="1"/>
  <c r="K1014" i="1"/>
  <c r="K1013" i="1"/>
  <c r="K1012" i="1"/>
  <c r="K1011" i="1"/>
  <c r="K1010" i="1"/>
  <c r="K1008" i="1"/>
  <c r="K1006" i="1"/>
  <c r="K1004" i="1"/>
  <c r="K1003" i="1"/>
  <c r="K1002" i="1"/>
  <c r="K1001" i="1"/>
  <c r="K1000" i="1"/>
  <c r="K999" i="1"/>
  <c r="K998" i="1"/>
  <c r="K997" i="1"/>
  <c r="K996" i="1"/>
  <c r="K994" i="1"/>
  <c r="K992" i="1"/>
  <c r="K989" i="1"/>
  <c r="K988" i="1"/>
  <c r="K987" i="1"/>
  <c r="K986" i="1"/>
  <c r="K982" i="1"/>
  <c r="K981" i="1"/>
  <c r="K980" i="1"/>
  <c r="K979" i="1"/>
  <c r="K978" i="1"/>
  <c r="K977" i="1"/>
  <c r="K976" i="1"/>
  <c r="K975" i="1"/>
  <c r="K974" i="1"/>
  <c r="K972" i="1"/>
  <c r="K970" i="1"/>
  <c r="K968" i="1"/>
  <c r="K967" i="1"/>
  <c r="K966" i="1"/>
  <c r="K965" i="1"/>
  <c r="K964" i="1"/>
  <c r="K963" i="1"/>
  <c r="K962" i="1"/>
  <c r="K961" i="1"/>
  <c r="K960" i="1"/>
  <c r="K958" i="1"/>
  <c r="K956" i="1"/>
  <c r="K953" i="1"/>
  <c r="K952" i="1"/>
  <c r="K951" i="1"/>
  <c r="K950" i="1"/>
  <c r="K946" i="1"/>
  <c r="K945" i="1"/>
  <c r="K944" i="1"/>
  <c r="K943" i="1"/>
  <c r="K942" i="1"/>
  <c r="K941" i="1"/>
  <c r="K940" i="1"/>
  <c r="K939" i="1"/>
  <c r="K938" i="1"/>
  <c r="K936" i="1"/>
  <c r="K934" i="1"/>
  <c r="K932" i="1"/>
  <c r="K931" i="1"/>
  <c r="K930" i="1"/>
  <c r="K929" i="1"/>
  <c r="K928" i="1"/>
  <c r="K927" i="1"/>
  <c r="K926" i="1"/>
  <c r="K925" i="1"/>
  <c r="K924" i="1"/>
  <c r="K922" i="1"/>
  <c r="K920" i="1"/>
  <c r="K917" i="1"/>
  <c r="K916" i="1"/>
  <c r="K915" i="1"/>
  <c r="K914" i="1"/>
  <c r="K910" i="1"/>
  <c r="K909" i="1"/>
  <c r="K908" i="1"/>
  <c r="K907" i="1"/>
  <c r="K906" i="1"/>
  <c r="K905" i="1"/>
  <c r="K904" i="1"/>
  <c r="K903" i="1"/>
  <c r="K902" i="1"/>
  <c r="K900" i="1"/>
  <c r="K898" i="1"/>
  <c r="K896" i="1"/>
  <c r="K895" i="1"/>
  <c r="K894" i="1"/>
  <c r="K893" i="1"/>
  <c r="K892" i="1"/>
  <c r="K891" i="1"/>
  <c r="K890" i="1"/>
  <c r="K889" i="1"/>
  <c r="K888" i="1"/>
  <c r="K886" i="1"/>
  <c r="K884" i="1"/>
  <c r="K881" i="1"/>
  <c r="K880" i="1"/>
  <c r="K879" i="1"/>
  <c r="K878" i="1"/>
  <c r="K874" i="1"/>
  <c r="K873" i="1"/>
  <c r="K872" i="1"/>
  <c r="K871" i="1"/>
  <c r="K870" i="1"/>
  <c r="K869" i="1"/>
  <c r="K868" i="1"/>
  <c r="K867" i="1"/>
  <c r="K866" i="1"/>
  <c r="K864" i="1"/>
  <c r="K862" i="1"/>
  <c r="K860" i="1"/>
  <c r="K859" i="1"/>
  <c r="K858" i="1"/>
  <c r="K857" i="1"/>
  <c r="K856" i="1"/>
  <c r="K855" i="1"/>
  <c r="K854" i="1"/>
  <c r="K853" i="1"/>
  <c r="K852" i="1"/>
  <c r="K850" i="1"/>
  <c r="K848" i="1"/>
  <c r="K847" i="1"/>
  <c r="K846" i="1"/>
  <c r="K824" i="1"/>
  <c r="K823" i="1"/>
  <c r="K822" i="1"/>
  <c r="K821" i="1"/>
  <c r="K820" i="1"/>
  <c r="K818" i="1"/>
  <c r="K817" i="1"/>
  <c r="K816" i="1"/>
  <c r="K815" i="1"/>
  <c r="K814" i="1"/>
  <c r="K812" i="1"/>
  <c r="K811" i="1"/>
  <c r="K810" i="1"/>
  <c r="K809" i="1"/>
  <c r="K808" i="1"/>
  <c r="K807" i="1"/>
  <c r="K603" i="1"/>
  <c r="K602" i="1"/>
  <c r="K601" i="1"/>
  <c r="K600" i="1"/>
  <c r="K596" i="1"/>
  <c r="K595" i="1"/>
  <c r="K594" i="1"/>
  <c r="K593" i="1"/>
  <c r="K592" i="1"/>
  <c r="K591" i="1"/>
  <c r="K590" i="1"/>
  <c r="K589" i="1"/>
  <c r="K588" i="1"/>
  <c r="K586" i="1"/>
  <c r="K584" i="1"/>
  <c r="K582" i="1"/>
  <c r="K581" i="1"/>
  <c r="K580" i="1"/>
  <c r="K579" i="1"/>
  <c r="K578" i="1"/>
  <c r="K577" i="1"/>
  <c r="K576" i="1"/>
  <c r="K575" i="1"/>
  <c r="K574" i="1"/>
  <c r="K573" i="1"/>
  <c r="K571" i="1"/>
  <c r="K569" i="1"/>
  <c r="K565" i="1"/>
  <c r="K564" i="1"/>
  <c r="K562" i="1"/>
  <c r="K558" i="1"/>
  <c r="K557" i="1"/>
  <c r="K556" i="1"/>
  <c r="K555" i="1"/>
  <c r="K554" i="1"/>
  <c r="K553" i="1"/>
  <c r="K552" i="1"/>
  <c r="K551" i="1"/>
  <c r="K550" i="1"/>
  <c r="K548" i="1"/>
  <c r="K546" i="1"/>
  <c r="K544" i="1"/>
  <c r="K543" i="1"/>
  <c r="K542" i="1"/>
  <c r="K541" i="1"/>
  <c r="K540" i="1"/>
  <c r="K539" i="1"/>
  <c r="K538" i="1"/>
  <c r="K537" i="1"/>
  <c r="K536" i="1"/>
  <c r="K535" i="1"/>
  <c r="K533" i="1"/>
  <c r="K531" i="1"/>
  <c r="K528" i="1"/>
  <c r="K527" i="1"/>
  <c r="K526" i="1"/>
  <c r="K525" i="1"/>
  <c r="K521" i="1"/>
  <c r="K520" i="1"/>
  <c r="K519" i="1"/>
  <c r="K518" i="1"/>
  <c r="K517" i="1"/>
  <c r="K516" i="1"/>
  <c r="K515" i="1"/>
  <c r="K514" i="1"/>
  <c r="K513" i="1"/>
  <c r="K511" i="1"/>
  <c r="K509" i="1"/>
  <c r="K507" i="1"/>
  <c r="K506" i="1"/>
  <c r="K505" i="1"/>
  <c r="K504" i="1"/>
  <c r="K503" i="1"/>
  <c r="K502" i="1"/>
  <c r="K501" i="1"/>
  <c r="K500" i="1"/>
  <c r="K499" i="1"/>
  <c r="K498" i="1"/>
  <c r="K496" i="1"/>
  <c r="K494" i="1"/>
  <c r="K493" i="1"/>
  <c r="K492" i="1"/>
  <c r="K391" i="1"/>
  <c r="K390" i="1"/>
  <c r="K389" i="1"/>
  <c r="K285" i="1"/>
  <c r="K284" i="1"/>
  <c r="K283" i="1"/>
  <c r="K282" i="1"/>
  <c r="K281" i="1"/>
  <c r="K280" i="1"/>
  <c r="K279" i="1"/>
  <c r="K278" i="1"/>
  <c r="K276" i="1"/>
  <c r="K275" i="1"/>
  <c r="K274" i="1"/>
  <c r="K273" i="1"/>
  <c r="K272" i="1"/>
  <c r="K271" i="1"/>
  <c r="K269" i="1"/>
  <c r="K268" i="1"/>
  <c r="K267" i="1"/>
  <c r="K266" i="1"/>
  <c r="K265" i="1"/>
  <c r="K264" i="1"/>
  <c r="K263" i="1"/>
  <c r="K262" i="1"/>
  <c r="K260" i="1"/>
  <c r="K259" i="1"/>
  <c r="K258" i="1"/>
  <c r="K257" i="1"/>
  <c r="K256" i="1"/>
  <c r="K255" i="1"/>
  <c r="K253" i="1"/>
  <c r="K252" i="1"/>
  <c r="K249" i="1"/>
  <c r="K248" i="1"/>
  <c r="K247" i="1"/>
  <c r="K246" i="1"/>
  <c r="K245" i="1"/>
  <c r="K244" i="1"/>
  <c r="K243" i="1"/>
  <c r="K242" i="1"/>
  <c r="K241" i="1"/>
  <c r="K240" i="1"/>
  <c r="K239" i="1"/>
  <c r="K238" i="1"/>
  <c r="K236" i="1"/>
  <c r="K235" i="1"/>
  <c r="K234" i="1"/>
  <c r="K233" i="1"/>
  <c r="K232" i="1"/>
  <c r="K231" i="1"/>
  <c r="K230" i="1"/>
  <c r="K229" i="1"/>
  <c r="K227" i="1"/>
  <c r="K226" i="1"/>
  <c r="K225" i="1"/>
  <c r="K224" i="1"/>
  <c r="K223" i="1"/>
  <c r="K222" i="1"/>
  <c r="K221" i="1"/>
  <c r="K220" i="1"/>
  <c r="K219" i="1"/>
  <c r="K218" i="1"/>
  <c r="K217" i="1"/>
  <c r="K216" i="1"/>
  <c r="K214" i="1"/>
  <c r="K213" i="1"/>
  <c r="K212" i="1"/>
  <c r="K211" i="1"/>
  <c r="K210" i="1"/>
  <c r="K209" i="1"/>
  <c r="K208" i="1"/>
  <c r="K207" i="1"/>
  <c r="K205" i="1"/>
  <c r="K204" i="1"/>
  <c r="K200" i="1"/>
  <c r="K199" i="1"/>
  <c r="K198" i="1"/>
  <c r="K197" i="1"/>
  <c r="K196" i="1"/>
  <c r="K195" i="1"/>
  <c r="K194" i="1"/>
  <c r="K193" i="1"/>
  <c r="K192" i="1"/>
  <c r="K191" i="1"/>
  <c r="K190" i="1"/>
  <c r="K189" i="1"/>
  <c r="K186" i="1"/>
  <c r="K185" i="1"/>
  <c r="K184" i="1"/>
  <c r="K183" i="1"/>
  <c r="K182" i="1"/>
  <c r="K181" i="1"/>
  <c r="K180" i="1"/>
  <c r="K179" i="1"/>
  <c r="K176" i="1"/>
  <c r="K174" i="1"/>
  <c r="K173" i="1"/>
  <c r="K172" i="1"/>
  <c r="K171" i="1"/>
  <c r="K170" i="1"/>
  <c r="K169" i="1"/>
  <c r="K168" i="1"/>
  <c r="K167" i="1"/>
  <c r="K166" i="1"/>
  <c r="K165" i="1"/>
  <c r="K164" i="1"/>
  <c r="K161" i="1"/>
  <c r="K159" i="1"/>
  <c r="K158" i="1"/>
  <c r="K157" i="1"/>
  <c r="K156" i="1"/>
  <c r="K155" i="1"/>
  <c r="K154" i="1"/>
  <c r="K153" i="1"/>
  <c r="K150" i="1"/>
  <c r="K149" i="1"/>
  <c r="K147" i="1"/>
  <c r="K146" i="1"/>
  <c r="K142" i="1"/>
  <c r="K141" i="1"/>
  <c r="K138" i="1"/>
  <c r="K136" i="1"/>
  <c r="K135" i="1"/>
  <c r="K134" i="1"/>
  <c r="K133" i="1"/>
  <c r="K131" i="1"/>
  <c r="K130" i="1"/>
  <c r="K129" i="1"/>
  <c r="K128" i="1"/>
  <c r="K127" i="1"/>
  <c r="K126" i="1"/>
  <c r="K125" i="1"/>
  <c r="K124" i="1"/>
  <c r="K123" i="1"/>
  <c r="K122" i="1"/>
  <c r="K121" i="1"/>
  <c r="K120" i="1"/>
  <c r="K118" i="1"/>
  <c r="K117" i="1"/>
  <c r="K116" i="1"/>
  <c r="K115" i="1"/>
  <c r="K114" i="1"/>
  <c r="K113" i="1"/>
  <c r="K112" i="1"/>
  <c r="K111" i="1"/>
  <c r="K110" i="1"/>
  <c r="K109" i="1"/>
  <c r="K108" i="1"/>
  <c r="K107" i="1"/>
  <c r="K106" i="1"/>
  <c r="K105" i="1"/>
  <c r="K104" i="1"/>
  <c r="K103" i="1"/>
  <c r="K102" i="1"/>
  <c r="K101" i="1"/>
  <c r="K100" i="1"/>
  <c r="K99" i="1"/>
  <c r="K95" i="1"/>
  <c r="K94" i="1"/>
  <c r="K93" i="1"/>
  <c r="K91" i="1"/>
  <c r="K90" i="1"/>
  <c r="K88" i="1"/>
  <c r="K87" i="1"/>
  <c r="K86" i="1"/>
  <c r="K84" i="1"/>
  <c r="K82" i="1"/>
  <c r="K81" i="1"/>
  <c r="K80" i="1"/>
  <c r="K79" i="1"/>
  <c r="K78" i="1"/>
  <c r="K77" i="1"/>
  <c r="K76" i="1"/>
  <c r="K75" i="1"/>
  <c r="K74" i="1"/>
  <c r="K73" i="1"/>
  <c r="K71" i="1"/>
  <c r="K69" i="1"/>
  <c r="K68" i="1"/>
  <c r="K67" i="1"/>
  <c r="K66" i="1"/>
  <c r="K65" i="1"/>
  <c r="K64" i="1"/>
  <c r="K63" i="1"/>
  <c r="K62" i="1"/>
  <c r="K60" i="1"/>
  <c r="K58" i="1"/>
  <c r="K57" i="1"/>
  <c r="K56" i="1"/>
  <c r="K55" i="1"/>
  <c r="K54" i="1"/>
  <c r="K53" i="1"/>
  <c r="K52" i="1"/>
  <c r="K51" i="1"/>
  <c r="K50" i="1"/>
  <c r="K48" i="1"/>
  <c r="K47" i="1"/>
  <c r="K46" i="1"/>
  <c r="K45" i="1"/>
  <c r="K43" i="1"/>
  <c r="K42" i="1"/>
  <c r="K41" i="1"/>
  <c r="K38" i="1"/>
  <c r="K37" i="1"/>
  <c r="K36" i="1"/>
  <c r="K34" i="1"/>
  <c r="K33" i="1"/>
  <c r="K32" i="1"/>
  <c r="K31" i="1"/>
  <c r="K30" i="1"/>
  <c r="K23" i="1"/>
  <c r="K22" i="1"/>
  <c r="K21" i="1"/>
  <c r="K18" i="1"/>
  <c r="K17" i="1"/>
  <c r="K16" i="1"/>
  <c r="K14" i="1"/>
  <c r="K13" i="1"/>
  <c r="K12" i="1"/>
  <c r="K10" i="1"/>
  <c r="K9" i="1"/>
  <c r="K8" i="1"/>
  <c r="K6" i="1"/>
  <c r="K1409" i="1"/>
  <c r="K1408" i="1"/>
  <c r="K1407" i="1"/>
  <c r="K1406" i="1"/>
  <c r="K1404" i="1"/>
  <c r="K1403" i="1"/>
  <c r="K1402" i="1"/>
  <c r="K1401" i="1"/>
  <c r="K1399" i="1"/>
  <c r="K1398" i="1"/>
  <c r="K1397" i="1"/>
  <c r="K1396" i="1"/>
  <c r="K1394" i="1"/>
  <c r="K1393" i="1"/>
  <c r="K1392" i="1"/>
  <c r="K1391" i="1"/>
  <c r="K1379" i="1"/>
  <c r="K1378" i="1"/>
  <c r="K1377" i="1"/>
  <c r="K1376" i="1"/>
  <c r="K1374" i="1"/>
  <c r="K1373" i="1"/>
  <c r="K1372" i="1"/>
  <c r="K1371" i="1"/>
  <c r="K1369" i="1"/>
  <c r="K1368" i="1"/>
  <c r="K1367" i="1"/>
  <c r="K1366" i="1"/>
  <c r="K1365" i="1"/>
  <c r="K1362" i="1"/>
  <c r="K1361" i="1"/>
  <c r="K1360" i="1"/>
  <c r="K1359" i="1"/>
  <c r="K1358" i="1"/>
  <c r="K1355" i="1"/>
  <c r="K1354" i="1"/>
  <c r="K1353" i="1"/>
  <c r="K1352" i="1"/>
  <c r="K1351" i="1"/>
  <c r="K1348" i="1"/>
  <c r="K1347" i="1"/>
  <c r="K1346" i="1"/>
  <c r="K1345" i="1"/>
  <c r="K1344" i="1"/>
  <c r="K1327" i="1"/>
  <c r="K1326" i="1"/>
  <c r="K1325" i="1"/>
  <c r="K1324" i="1"/>
  <c r="K1323" i="1"/>
  <c r="K1320" i="1"/>
  <c r="K1319" i="1"/>
  <c r="K1318" i="1"/>
  <c r="K1317" i="1"/>
  <c r="K1316" i="1"/>
  <c r="K1314" i="1"/>
  <c r="K1313" i="1"/>
  <c r="K470" i="1"/>
  <c r="A77" i="1" l="1"/>
  <c r="K1027" i="1"/>
  <c r="K1099" i="1"/>
  <c r="K1135" i="1"/>
  <c r="K1063" i="1"/>
  <c r="K991" i="1"/>
  <c r="K955" i="1"/>
  <c r="K919" i="1"/>
  <c r="K883" i="1"/>
  <c r="K795" i="1"/>
  <c r="K719" i="1"/>
  <c r="K681" i="1"/>
  <c r="K643" i="1"/>
  <c r="K530" i="1"/>
  <c r="K567" i="1"/>
  <c r="K406" i="1"/>
  <c r="C1097" i="1"/>
  <c r="C1098" i="1" s="1"/>
  <c r="C1099" i="1" s="1"/>
  <c r="C1100" i="1" s="1"/>
  <c r="C1101" i="1" s="1"/>
  <c r="C1102" i="1" s="1"/>
  <c r="C1103" i="1" s="1"/>
  <c r="A78" i="1" l="1"/>
  <c r="C1104" i="1"/>
  <c r="C1105" i="1" s="1"/>
  <c r="C1107" i="1" s="1"/>
  <c r="C1108" i="1" s="1"/>
  <c r="C1109" i="1" s="1"/>
  <c r="C1110" i="1" s="1"/>
  <c r="C1111" i="1" s="1"/>
  <c r="C1112" i="1" s="1"/>
  <c r="C1113" i="1" s="1"/>
  <c r="C1114" i="1" s="1"/>
  <c r="C1115" i="1" s="1"/>
  <c r="C1106" i="1"/>
  <c r="A79" i="1" l="1"/>
  <c r="C1116" i="1"/>
  <c r="C1117" i="1" s="1"/>
  <c r="C1118" i="1"/>
  <c r="C1119" i="1" s="1"/>
  <c r="C1120" i="1" s="1"/>
  <c r="U7" i="61"/>
  <c r="U11" i="61" s="1"/>
  <c r="T7" i="61"/>
  <c r="T11" i="61" s="1"/>
  <c r="S7" i="61"/>
  <c r="R7" i="61"/>
  <c r="Q7" i="61"/>
  <c r="P7" i="61"/>
  <c r="P11" i="61" s="1"/>
  <c r="O7" i="61"/>
  <c r="N7" i="61"/>
  <c r="M7" i="61"/>
  <c r="L7" i="61"/>
  <c r="K7" i="61"/>
  <c r="K11" i="61" s="1"/>
  <c r="J7" i="61"/>
  <c r="I7" i="61"/>
  <c r="H7" i="61"/>
  <c r="H11" i="61" s="1"/>
  <c r="G7" i="61"/>
  <c r="G11" i="61" s="1"/>
  <c r="F7" i="61"/>
  <c r="E7" i="61"/>
  <c r="E11" i="61" s="1"/>
  <c r="D7" i="61"/>
  <c r="A80" i="1" l="1"/>
  <c r="J11" i="61"/>
  <c r="C24" i="24"/>
  <c r="C22" i="24"/>
  <c r="G22" i="24" s="1"/>
  <c r="I11" i="61"/>
  <c r="C20" i="24"/>
  <c r="R11" i="61"/>
  <c r="C23" i="24"/>
  <c r="L11" i="61"/>
  <c r="C17" i="24"/>
  <c r="Q11" i="61"/>
  <c r="C21" i="24"/>
  <c r="M11" i="61"/>
  <c r="D25" i="61"/>
  <c r="D11" i="61"/>
  <c r="C19" i="24"/>
  <c r="O11" i="61"/>
  <c r="C18" i="24"/>
  <c r="N11" i="61"/>
  <c r="F25" i="61"/>
  <c r="F11" i="61"/>
  <c r="S11" i="61"/>
  <c r="C25" i="24"/>
  <c r="G25" i="61"/>
  <c r="C16" i="24"/>
  <c r="T25" i="61"/>
  <c r="T29" i="61" s="1"/>
  <c r="I25" i="61"/>
  <c r="I29" i="61" s="1"/>
  <c r="J25" i="61"/>
  <c r="J29" i="61" s="1"/>
  <c r="K25" i="61"/>
  <c r="K29" i="61" s="1"/>
  <c r="E25" i="61"/>
  <c r="U25" i="61"/>
  <c r="U29" i="61" s="1"/>
  <c r="M25" i="61"/>
  <c r="M29" i="61" s="1"/>
  <c r="N25" i="61"/>
  <c r="N29" i="61" s="1"/>
  <c r="O25" i="61"/>
  <c r="O29" i="61" s="1"/>
  <c r="Q25" i="61"/>
  <c r="Q29" i="61" s="1"/>
  <c r="R25" i="61"/>
  <c r="R29" i="61" s="1"/>
  <c r="S25" i="61"/>
  <c r="L25" i="61"/>
  <c r="L29" i="61" s="1"/>
  <c r="H25" i="61"/>
  <c r="H29" i="61" s="1"/>
  <c r="P25" i="61"/>
  <c r="P29" i="61" s="1"/>
  <c r="C1121" i="1"/>
  <c r="C1122" i="1"/>
  <c r="C1123" i="1" s="1"/>
  <c r="C1124" i="1" s="1"/>
  <c r="A81" i="1" l="1"/>
  <c r="G26" i="61"/>
  <c r="B26" i="61" s="1"/>
  <c r="E27" i="61"/>
  <c r="E29" i="61" s="1"/>
  <c r="D27" i="61"/>
  <c r="D29" i="61" s="1"/>
  <c r="S29" i="61"/>
  <c r="F29" i="61"/>
  <c r="C1125" i="1"/>
  <c r="C1126" i="1"/>
  <c r="C1127" i="1" s="1"/>
  <c r="C1128" i="1" s="1"/>
  <c r="C1129" i="1" s="1"/>
  <c r="C1130" i="1" s="1"/>
  <c r="C1131" i="1" s="1"/>
  <c r="C1132" i="1" s="1"/>
  <c r="A82" i="1" l="1"/>
  <c r="G29" i="61"/>
  <c r="C1133" i="1"/>
  <c r="C1134" i="1" s="1"/>
  <c r="C1135" i="1" s="1"/>
  <c r="C1136" i="1" s="1"/>
  <c r="C1137" i="1" s="1"/>
  <c r="C1138" i="1" s="1"/>
  <c r="C1139" i="1" s="1"/>
  <c r="C1140" i="1" s="1"/>
  <c r="C1141" i="1" s="1"/>
  <c r="C1142" i="1" s="1"/>
  <c r="C1143" i="1" s="1"/>
  <c r="C1144" i="1" s="1"/>
  <c r="C1145" i="1" s="1"/>
  <c r="C1146" i="1" s="1"/>
  <c r="A83" i="1" l="1"/>
  <c r="G14" i="6"/>
  <c r="AD14" i="6"/>
  <c r="AL14" i="6"/>
  <c r="AB14" i="6"/>
  <c r="P14" i="6"/>
  <c r="AE14" i="6"/>
  <c r="I14" i="6"/>
  <c r="Z14" i="6"/>
  <c r="S14" i="6"/>
  <c r="AK14" i="6"/>
  <c r="T14" i="6"/>
  <c r="AG14" i="6"/>
  <c r="X14" i="6"/>
  <c r="AH14" i="6"/>
  <c r="V14" i="6"/>
  <c r="J14" i="6"/>
  <c r="N14" i="6"/>
  <c r="AI14" i="6"/>
  <c r="AF14" i="6"/>
  <c r="Y14" i="6"/>
  <c r="AA14" i="6"/>
  <c r="U14" i="6"/>
  <c r="Q14" i="6"/>
  <c r="R14" i="6"/>
  <c r="AJ14" i="6"/>
  <c r="H14" i="6"/>
  <c r="AC14" i="6"/>
  <c r="W14" i="6"/>
  <c r="AM14" i="6"/>
  <c r="S107" i="6"/>
  <c r="S109" i="6" s="1"/>
  <c r="AE107" i="6"/>
  <c r="AE109" i="6" s="1"/>
  <c r="AA107" i="6"/>
  <c r="AA109" i="6" s="1"/>
  <c r="H107" i="6"/>
  <c r="H109" i="6" s="1"/>
  <c r="W107" i="6"/>
  <c r="W109" i="6" s="1"/>
  <c r="AF107" i="6"/>
  <c r="AF109" i="6" s="1"/>
  <c r="P107" i="6"/>
  <c r="P109" i="6" s="1"/>
  <c r="AG107" i="6"/>
  <c r="AG109" i="6" s="1"/>
  <c r="T107" i="6"/>
  <c r="T109" i="6" s="1"/>
  <c r="Z107" i="6"/>
  <c r="Z109" i="6" s="1"/>
  <c r="Y107" i="6"/>
  <c r="Y109" i="6" s="1"/>
  <c r="X107" i="6"/>
  <c r="X109" i="6" s="1"/>
  <c r="G107" i="6"/>
  <c r="G109" i="6" s="1"/>
  <c r="AK107" i="6"/>
  <c r="AK109" i="6" s="1"/>
  <c r="AC107" i="6"/>
  <c r="AC109" i="6" s="1"/>
  <c r="I107" i="6"/>
  <c r="I109" i="6" s="1"/>
  <c r="V107" i="6"/>
  <c r="V109" i="6" s="1"/>
  <c r="N107" i="6"/>
  <c r="N109" i="6" s="1"/>
  <c r="AM107" i="6"/>
  <c r="AM109" i="6" s="1"/>
  <c r="AI107" i="6"/>
  <c r="J107" i="6"/>
  <c r="J109" i="6" s="1"/>
  <c r="AJ107" i="6"/>
  <c r="AJ109" i="6" s="1"/>
  <c r="R107" i="6"/>
  <c r="R109" i="6" s="1"/>
  <c r="AH107" i="6"/>
  <c r="Q107" i="6"/>
  <c r="Q109" i="6" s="1"/>
  <c r="U107" i="6"/>
  <c r="U109" i="6" s="1"/>
  <c r="AL107" i="6"/>
  <c r="AL109" i="6" s="1"/>
  <c r="AD107" i="6"/>
  <c r="AD109" i="6" s="1"/>
  <c r="AB107" i="6"/>
  <c r="AB109" i="6" s="1"/>
  <c r="AL94" i="6"/>
  <c r="AJ94" i="6"/>
  <c r="AM94" i="6"/>
  <c r="AK94" i="6"/>
  <c r="AE94" i="6"/>
  <c r="G94" i="6"/>
  <c r="I94" i="6"/>
  <c r="T94" i="6"/>
  <c r="AA94" i="6"/>
  <c r="W94" i="6"/>
  <c r="N94" i="6"/>
  <c r="J94" i="6"/>
  <c r="Q94" i="6"/>
  <c r="V94" i="6"/>
  <c r="Y94" i="6"/>
  <c r="H94" i="6"/>
  <c r="AD94" i="6"/>
  <c r="AG94" i="6"/>
  <c r="AF94" i="6"/>
  <c r="AC94" i="6"/>
  <c r="Z94" i="6"/>
  <c r="R94" i="6"/>
  <c r="S94" i="6"/>
  <c r="X94" i="6"/>
  <c r="U94" i="6"/>
  <c r="P94" i="6"/>
  <c r="AB94" i="6"/>
  <c r="A84" i="1" l="1"/>
  <c r="A85" i="1" l="1"/>
  <c r="E14" i="35"/>
  <c r="C14" i="35"/>
  <c r="V14" i="35" s="1"/>
  <c r="A86" i="1" l="1"/>
  <c r="M23" i="27"/>
  <c r="D6" i="27"/>
  <c r="D7" i="27"/>
  <c r="A87" i="1" l="1"/>
  <c r="Q7" i="27"/>
  <c r="F76" i="27"/>
  <c r="M44" i="27"/>
  <c r="AE11" i="22"/>
  <c r="A88" i="1" l="1"/>
  <c r="AG25" i="6"/>
  <c r="AF25" i="6"/>
  <c r="AD25" i="6"/>
  <c r="AC25" i="6"/>
  <c r="AB25" i="6"/>
  <c r="AA25" i="6"/>
  <c r="Z25" i="6"/>
  <c r="Y25" i="6"/>
  <c r="X25" i="6"/>
  <c r="W25" i="6"/>
  <c r="V25" i="6"/>
  <c r="U25" i="6"/>
  <c r="T25" i="6"/>
  <c r="S25" i="6"/>
  <c r="R25" i="6"/>
  <c r="Q25" i="6"/>
  <c r="J25" i="6"/>
  <c r="H25" i="6"/>
  <c r="A89" i="1" l="1"/>
  <c r="P25" i="6"/>
  <c r="A90" i="1" l="1"/>
  <c r="AV46" i="22"/>
  <c r="AU46" i="22"/>
  <c r="AT46" i="22"/>
  <c r="AS46" i="22"/>
  <c r="AR46" i="22"/>
  <c r="AQ46" i="22"/>
  <c r="AP46" i="22"/>
  <c r="AO46" i="22"/>
  <c r="AN46" i="22"/>
  <c r="AM46" i="22"/>
  <c r="AL46" i="22"/>
  <c r="AK46" i="22"/>
  <c r="AJ46" i="22"/>
  <c r="AI46" i="22"/>
  <c r="AH46" i="22"/>
  <c r="AG46" i="22"/>
  <c r="AF46" i="22"/>
  <c r="AE46" i="22"/>
  <c r="A91" i="1" l="1"/>
  <c r="AE6" i="6"/>
  <c r="A92" i="1" l="1"/>
  <c r="AE21" i="6"/>
  <c r="A93" i="1" l="1"/>
  <c r="AE25" i="6"/>
  <c r="A94" i="1" l="1"/>
  <c r="AT11" i="22"/>
  <c r="P139" i="6"/>
  <c r="P140" i="6" s="1"/>
  <c r="A95" i="1" l="1"/>
  <c r="AE139" i="6"/>
  <c r="A6" i="60"/>
  <c r="V357" i="1"/>
  <c r="CP357" i="1" s="1"/>
  <c r="V512" i="1"/>
  <c r="V49" i="1"/>
  <c r="V31" i="1"/>
  <c r="V237" i="1"/>
  <c r="CP237" i="1" s="1"/>
  <c r="V254" i="1"/>
  <c r="CP254" i="1" s="1"/>
  <c r="V215" i="1"/>
  <c r="CP215" i="1" s="1"/>
  <c r="V206" i="1"/>
  <c r="CP206" i="1" s="1"/>
  <c r="V187" i="1"/>
  <c r="V162" i="1"/>
  <c r="V151" i="1"/>
  <c r="CP151" i="1" s="1"/>
  <c r="V139" i="1"/>
  <c r="V132" i="1"/>
  <c r="CP132" i="1" s="1"/>
  <c r="A96" i="1" l="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U31" i="1"/>
  <c r="CP162" i="1"/>
  <c r="CP187" i="1"/>
  <c r="CP139" i="1"/>
  <c r="V177" i="1"/>
  <c r="V201" i="1" s="1"/>
  <c r="V228" i="1"/>
  <c r="V250" i="1" s="1"/>
  <c r="AE140" i="6"/>
  <c r="A7" i="60"/>
  <c r="A8" i="60" s="1"/>
  <c r="A1586" i="1" l="1"/>
  <c r="A1587" i="1" s="1"/>
  <c r="CP31" i="1"/>
  <c r="A9" i="60"/>
  <c r="A1588" i="1" l="1"/>
  <c r="A1589" i="1" s="1"/>
  <c r="A1590" i="1" s="1"/>
  <c r="A1591" i="1" s="1"/>
  <c r="A1592" i="1" s="1"/>
  <c r="A1593" i="1" s="1"/>
  <c r="A1594" i="1" s="1"/>
  <c r="A1595" i="1" s="1"/>
  <c r="A1596" i="1" s="1"/>
  <c r="A1597" i="1" s="1"/>
  <c r="A1598" i="1" s="1"/>
  <c r="A1599" i="1" s="1"/>
  <c r="A1600" i="1" s="1"/>
  <c r="A1601" i="1" s="1"/>
  <c r="A1602" i="1" s="1"/>
  <c r="A1603" i="1" s="1"/>
  <c r="A10" i="60"/>
  <c r="A1604" i="1" l="1"/>
  <c r="A1605" i="1" s="1"/>
  <c r="A11" i="60"/>
  <c r="BY11" i="22"/>
  <c r="DD11" i="22" s="1"/>
  <c r="A1606" i="1" l="1"/>
  <c r="A1607" i="1" s="1"/>
  <c r="A1608" i="1" s="1"/>
  <c r="A1609" i="1" s="1"/>
  <c r="A1610" i="1" s="1"/>
  <c r="A1611" i="1" s="1"/>
  <c r="A1612" i="1" s="1"/>
  <c r="A1613" i="1" s="1"/>
  <c r="A1614" i="1" s="1"/>
  <c r="A1615" i="1" s="1"/>
  <c r="A1616" i="1" s="1"/>
  <c r="A1617" i="1" s="1"/>
  <c r="A1618" i="1" s="1"/>
  <c r="A1619" i="1" s="1"/>
  <c r="A1620" i="1" s="1"/>
  <c r="A1621" i="1" s="1"/>
  <c r="A12" i="60"/>
  <c r="V87" i="1"/>
  <c r="A1622" i="1" l="1"/>
  <c r="U87" i="1"/>
  <c r="CP87" i="1" s="1"/>
  <c r="A13" i="60"/>
  <c r="A14" i="60" s="1"/>
  <c r="A15" i="60" s="1"/>
  <c r="A16" i="60" s="1"/>
  <c r="A1623" i="1" l="1"/>
  <c r="A1624" i="1" s="1"/>
  <c r="A1625" i="1" s="1"/>
  <c r="A1626" i="1" s="1"/>
  <c r="A1627" i="1" s="1"/>
  <c r="A1628" i="1" s="1"/>
  <c r="A1629" i="1" s="1"/>
  <c r="A1630" i="1" s="1"/>
  <c r="A1631" i="1" s="1"/>
  <c r="A1632" i="1" s="1"/>
  <c r="A1633" i="1" s="1"/>
  <c r="A1634" i="1" s="1"/>
  <c r="A1635" i="1" s="1"/>
  <c r="A1636" i="1" s="1"/>
  <c r="A1637" i="1" s="1"/>
  <c r="A1638" i="1" s="1"/>
  <c r="A1639" i="1" s="1"/>
  <c r="A17" i="60"/>
  <c r="V429" i="1"/>
  <c r="A1640" i="1" l="1"/>
  <c r="A18" i="60"/>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1641" i="1" l="1"/>
  <c r="A1642" i="1" s="1"/>
  <c r="A1643" i="1" s="1"/>
  <c r="A1644" i="1" s="1"/>
  <c r="A1645" i="1" s="1"/>
  <c r="A1646" i="1" s="1"/>
  <c r="A1647" i="1" s="1"/>
  <c r="A1648" i="1" s="1"/>
  <c r="A1649" i="1" s="1"/>
  <c r="A1650" i="1" s="1"/>
  <c r="A1651" i="1" s="1"/>
  <c r="A1652" i="1" s="1"/>
  <c r="A1653" i="1" s="1"/>
  <c r="A1654" i="1" s="1"/>
  <c r="A1655" i="1" s="1"/>
  <c r="A1656" i="1" s="1"/>
  <c r="A1657" i="1" s="1"/>
  <c r="A44" i="60"/>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9" i="60" s="1"/>
  <c r="A170" i="60" s="1"/>
  <c r="A171" i="60" s="1"/>
  <c r="A172" i="60" s="1"/>
  <c r="A173" i="60" s="1"/>
  <c r="A174" i="60" s="1"/>
  <c r="A175" i="60" s="1"/>
  <c r="A176" i="60" s="1"/>
  <c r="A177" i="60" s="1"/>
  <c r="A178" i="60" s="1"/>
  <c r="A179" i="60" s="1"/>
  <c r="A180" i="60" s="1"/>
  <c r="A181" i="60" s="1"/>
  <c r="A182" i="60" s="1"/>
  <c r="A183" i="60" s="1"/>
  <c r="B6" i="6"/>
  <c r="AB139" i="6"/>
  <c r="AB140" i="6" s="1"/>
  <c r="AG7" i="6"/>
  <c r="J7" i="6"/>
  <c r="I7" i="6"/>
  <c r="H7" i="6"/>
  <c r="G7" i="6"/>
  <c r="AF139" i="6"/>
  <c r="AF140" i="6" s="1"/>
  <c r="AD139" i="6"/>
  <c r="AD140" i="6" s="1"/>
  <c r="AC139" i="6"/>
  <c r="AC140" i="6" s="1"/>
  <c r="AA139" i="6"/>
  <c r="AA140" i="6" s="1"/>
  <c r="Z139" i="6"/>
  <c r="Z140" i="6" s="1"/>
  <c r="Y139" i="6"/>
  <c r="Y140" i="6" s="1"/>
  <c r="X139" i="6"/>
  <c r="X140" i="6" s="1"/>
  <c r="W139" i="6"/>
  <c r="W140" i="6" s="1"/>
  <c r="U139" i="6"/>
  <c r="U140" i="6" s="1"/>
  <c r="T140" i="6"/>
  <c r="S139" i="6"/>
  <c r="S140" i="6" s="1"/>
  <c r="Q139" i="6"/>
  <c r="Q140" i="6" s="1"/>
  <c r="A1658" i="1" l="1"/>
  <c r="A1659" i="1" s="1"/>
  <c r="A184" i="60"/>
  <c r="A185" i="60" s="1"/>
  <c r="A186" i="60" s="1"/>
  <c r="A187" i="60" s="1"/>
  <c r="A188" i="60" s="1"/>
  <c r="B7" i="6"/>
  <c r="B8" i="6" s="1"/>
  <c r="R7" i="6"/>
  <c r="X7" i="6"/>
  <c r="AC7" i="6"/>
  <c r="AB7" i="6"/>
  <c r="T7" i="6"/>
  <c r="Q7" i="6"/>
  <c r="U7" i="6"/>
  <c r="Y7" i="6"/>
  <c r="AD7" i="6"/>
  <c r="S7" i="6"/>
  <c r="P7" i="6"/>
  <c r="V7" i="6"/>
  <c r="Z7" i="6"/>
  <c r="AE7" i="6"/>
  <c r="W7" i="6"/>
  <c r="AA7" i="6"/>
  <c r="AF7" i="6"/>
  <c r="M33" i="20"/>
  <c r="M18" i="20"/>
  <c r="A1660" i="1" l="1"/>
  <c r="A1661" i="1" s="1"/>
  <c r="A1662" i="1" s="1"/>
  <c r="A1663" i="1" s="1"/>
  <c r="A1664" i="1" s="1"/>
  <c r="A1665" i="1" s="1"/>
  <c r="A1666" i="1" s="1"/>
  <c r="A1667" i="1" s="1"/>
  <c r="A1668" i="1" s="1"/>
  <c r="A1669" i="1" s="1"/>
  <c r="A1670" i="1" s="1"/>
  <c r="A1671" i="1" s="1"/>
  <c r="A1672" i="1" s="1"/>
  <c r="A1673" i="1" s="1"/>
  <c r="A1674" i="1" s="1"/>
  <c r="A1675" i="1" s="1"/>
  <c r="A189" i="60"/>
  <c r="A190" i="60" s="1"/>
  <c r="M35" i="20"/>
  <c r="B9" i="6"/>
  <c r="M41" i="20"/>
  <c r="K33" i="20"/>
  <c r="K18" i="20"/>
  <c r="M10" i="20"/>
  <c r="K10" i="20"/>
  <c r="F10" i="20"/>
  <c r="D10" i="20"/>
  <c r="M9" i="20"/>
  <c r="K9" i="20"/>
  <c r="F9" i="20"/>
  <c r="D9" i="20"/>
  <c r="T1297" i="1"/>
  <c r="A1676" i="1" l="1"/>
  <c r="A1677" i="1" s="1"/>
  <c r="M49" i="20"/>
  <c r="M68" i="20" s="1"/>
  <c r="N30" i="23" s="1"/>
  <c r="A191" i="60"/>
  <c r="A192" i="60" s="1"/>
  <c r="C38" i="36"/>
  <c r="K35" i="20"/>
  <c r="B10" i="6"/>
  <c r="BJ11" i="22"/>
  <c r="CO11" i="22" s="1"/>
  <c r="K41" i="20"/>
  <c r="K49" i="20" s="1"/>
  <c r="AG124" i="6"/>
  <c r="AF124" i="6"/>
  <c r="AE124" i="6"/>
  <c r="AD124" i="6"/>
  <c r="AC124" i="6"/>
  <c r="AB124" i="6"/>
  <c r="AA124" i="6"/>
  <c r="Z124" i="6"/>
  <c r="Y124" i="6"/>
  <c r="X124" i="6"/>
  <c r="W124" i="6"/>
  <c r="V124" i="6"/>
  <c r="U124" i="6"/>
  <c r="T124" i="6"/>
  <c r="S124" i="6"/>
  <c r="R124" i="6"/>
  <c r="Q124" i="6"/>
  <c r="P124" i="6"/>
  <c r="AG121" i="6"/>
  <c r="AF121" i="6"/>
  <c r="AE121" i="6"/>
  <c r="AD121" i="6"/>
  <c r="AC121" i="6"/>
  <c r="AB121" i="6"/>
  <c r="AA121" i="6"/>
  <c r="Z121" i="6"/>
  <c r="Y121" i="6"/>
  <c r="X121" i="6"/>
  <c r="W121" i="6"/>
  <c r="V121" i="6"/>
  <c r="U121" i="6"/>
  <c r="T121" i="6"/>
  <c r="S121" i="6"/>
  <c r="R121" i="6"/>
  <c r="Q121" i="6"/>
  <c r="P121" i="6"/>
  <c r="A1678" i="1" l="1"/>
  <c r="A1679" i="1" s="1"/>
  <c r="A1680" i="1" s="1"/>
  <c r="A1681" i="1" s="1"/>
  <c r="A1682" i="1" s="1"/>
  <c r="A1683" i="1" s="1"/>
  <c r="A1684" i="1" s="1"/>
  <c r="A1685" i="1" s="1"/>
  <c r="A1686" i="1" s="1"/>
  <c r="A1687" i="1" s="1"/>
  <c r="A1688" i="1" s="1"/>
  <c r="A1689" i="1" s="1"/>
  <c r="A1690" i="1" s="1"/>
  <c r="A1691" i="1" s="1"/>
  <c r="A1692" i="1" s="1"/>
  <c r="A1693" i="1" s="1"/>
  <c r="A193" i="60"/>
  <c r="A194" i="60" s="1"/>
  <c r="A195" i="60" s="1"/>
  <c r="A196" i="60" s="1"/>
  <c r="A197" i="60" s="1"/>
  <c r="A198" i="60" s="1"/>
  <c r="A199" i="60" s="1"/>
  <c r="A200" i="60" s="1"/>
  <c r="K68" i="20"/>
  <c r="M30" i="23" s="1"/>
  <c r="G60" i="24"/>
  <c r="B11" i="6"/>
  <c r="AV73" i="22"/>
  <c r="AU73" i="22"/>
  <c r="AT73" i="22"/>
  <c r="AS73" i="22"/>
  <c r="AR73" i="22"/>
  <c r="AQ73" i="22"/>
  <c r="AP73" i="22"/>
  <c r="AO73" i="22"/>
  <c r="AN73" i="22"/>
  <c r="AM73" i="22"/>
  <c r="AL73" i="22"/>
  <c r="AK73" i="22"/>
  <c r="AJ73" i="22"/>
  <c r="AI73" i="22"/>
  <c r="AH73" i="22"/>
  <c r="AG73" i="22"/>
  <c r="AF73" i="22"/>
  <c r="AE73" i="22"/>
  <c r="A1694" i="1" l="1"/>
  <c r="A1695" i="1" s="1"/>
  <c r="A1696" i="1" s="1"/>
  <c r="A201" i="60"/>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B12" i="6"/>
  <c r="I16" i="30"/>
  <c r="T843" i="1"/>
  <c r="N843" i="1" s="1"/>
  <c r="T842" i="1"/>
  <c r="T841" i="1"/>
  <c r="T840" i="1"/>
  <c r="T839" i="1"/>
  <c r="D839" i="1"/>
  <c r="D840" i="1" s="1"/>
  <c r="D841" i="1" s="1"/>
  <c r="D842" i="1" s="1"/>
  <c r="D843" i="1" s="1"/>
  <c r="T838" i="1"/>
  <c r="T844" i="1"/>
  <c r="T845" i="1"/>
  <c r="I18" i="30"/>
  <c r="I17" i="30"/>
  <c r="D821" i="1"/>
  <c r="D822" i="1" s="1"/>
  <c r="D823" i="1" s="1"/>
  <c r="D824" i="1" s="1"/>
  <c r="D825" i="1" s="1"/>
  <c r="I14" i="30"/>
  <c r="M17" i="30"/>
  <c r="M16" i="30"/>
  <c r="M15" i="30"/>
  <c r="M14" i="30"/>
  <c r="A1697" i="1" l="1"/>
  <c r="A237" i="60"/>
  <c r="A238" i="60" s="1"/>
  <c r="A239" i="60" s="1"/>
  <c r="A240" i="60" s="1"/>
  <c r="A241" i="60" s="1"/>
  <c r="A242" i="60" s="1"/>
  <c r="A243" i="60" s="1"/>
  <c r="A244" i="60" s="1"/>
  <c r="A245" i="60" s="1"/>
  <c r="A246" i="60" s="1"/>
  <c r="A247" i="60" s="1"/>
  <c r="A248" i="60" s="1"/>
  <c r="A249" i="60" s="1"/>
  <c r="A250" i="60" s="1"/>
  <c r="A251" i="60" s="1"/>
  <c r="A252" i="60" s="1"/>
  <c r="A253" i="60" s="1"/>
  <c r="A254" i="60" s="1"/>
  <c r="A255" i="60" s="1"/>
  <c r="A256" i="60" s="1"/>
  <c r="A257" i="60" s="1"/>
  <c r="A258" i="60" s="1"/>
  <c r="A259" i="60" s="1"/>
  <c r="A260" i="60" s="1"/>
  <c r="A261" i="60" s="1"/>
  <c r="A262" i="60" s="1"/>
  <c r="A263" i="60" s="1"/>
  <c r="A264" i="60" s="1"/>
  <c r="A265" i="60" s="1"/>
  <c r="A266" i="60" s="1"/>
  <c r="A267" i="60" s="1"/>
  <c r="A268" i="60" s="1"/>
  <c r="A269" i="60" s="1"/>
  <c r="A270" i="60" s="1"/>
  <c r="A271" i="60" s="1"/>
  <c r="A272" i="60" s="1"/>
  <c r="A273" i="60" s="1"/>
  <c r="A274" i="60" s="1"/>
  <c r="A275" i="60" s="1"/>
  <c r="A276" i="60" s="1"/>
  <c r="A277" i="60" s="1"/>
  <c r="A278" i="60" s="1"/>
  <c r="A279" i="60" s="1"/>
  <c r="A280" i="60" s="1"/>
  <c r="A281" i="60" s="1"/>
  <c r="A282" i="60" s="1"/>
  <c r="A283" i="60" s="1"/>
  <c r="A284" i="60" s="1"/>
  <c r="A285" i="60" s="1"/>
  <c r="A286" i="60" s="1"/>
  <c r="A287" i="60" s="1"/>
  <c r="A288" i="60" s="1"/>
  <c r="A289" i="60" s="1"/>
  <c r="A290" i="60" s="1"/>
  <c r="A291" i="60" s="1"/>
  <c r="A292" i="60" s="1"/>
  <c r="A293" i="60" s="1"/>
  <c r="A294" i="60" s="1"/>
  <c r="A295" i="60" s="1"/>
  <c r="A296" i="60" s="1"/>
  <c r="A297" i="60" s="1"/>
  <c r="J20" i="30"/>
  <c r="J22" i="30" s="1"/>
  <c r="F169" i="60" s="1"/>
  <c r="B13" i="6"/>
  <c r="I15" i="30"/>
  <c r="I20" i="30" s="1"/>
  <c r="A1698" i="1" l="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B14" i="6"/>
  <c r="B15" i="6" s="1"/>
  <c r="A1837" i="1" l="1"/>
  <c r="A1838" i="1" s="1"/>
  <c r="B16" i="6"/>
  <c r="B17" i="6" s="1"/>
  <c r="B18" i="6" s="1"/>
  <c r="B19" i="6" s="1"/>
  <c r="B20" i="6" s="1"/>
  <c r="B21" i="6" s="1"/>
  <c r="B22" i="6" s="1"/>
  <c r="B23" i="6" s="1"/>
  <c r="B24" i="6" s="1"/>
  <c r="B25" i="6" s="1"/>
  <c r="B26" i="6" s="1"/>
  <c r="B27" i="6" s="1"/>
  <c r="B28" i="6" s="1"/>
  <c r="B29" i="6" s="1"/>
  <c r="B30" i="6" s="1"/>
  <c r="B31" i="6" s="1"/>
  <c r="B32" i="6" s="1"/>
  <c r="B33" i="6" s="1"/>
  <c r="W26" i="6"/>
  <c r="W128" i="6"/>
  <c r="W127" i="6"/>
  <c r="W120" i="6"/>
  <c r="A1839" i="1" l="1"/>
  <c r="A1840" i="1"/>
  <c r="B34" i="6"/>
  <c r="B35" i="6" s="1"/>
  <c r="B36" i="6" s="1"/>
  <c r="B37" i="6" s="1"/>
  <c r="B38" i="6" s="1"/>
  <c r="B39" i="6" s="1"/>
  <c r="B40" i="6" s="1"/>
  <c r="B41" i="6" s="1"/>
  <c r="B42" i="6" s="1"/>
  <c r="I9" i="21"/>
  <c r="H9" i="21"/>
  <c r="I9" i="23"/>
  <c r="D9" i="23"/>
  <c r="G12" i="23"/>
  <c r="A1841" i="1" l="1"/>
  <c r="B44" i="6"/>
  <c r="B43" i="6"/>
  <c r="M60" i="21"/>
  <c r="K60" i="21"/>
  <c r="M50" i="21"/>
  <c r="K50" i="21"/>
  <c r="M40" i="21"/>
  <c r="K40" i="21"/>
  <c r="M30" i="21"/>
  <c r="K30" i="21"/>
  <c r="M20" i="21"/>
  <c r="K20" i="21"/>
  <c r="R10" i="21"/>
  <c r="R60" i="21"/>
  <c r="R50" i="21"/>
  <c r="R40" i="21"/>
  <c r="R30" i="21"/>
  <c r="R20" i="21"/>
  <c r="K10" i="21"/>
  <c r="M10" i="21" s="1"/>
  <c r="P60" i="21"/>
  <c r="R9" i="21"/>
  <c r="P9" i="21"/>
  <c r="M9" i="21"/>
  <c r="K9" i="21"/>
  <c r="E10" i="21"/>
  <c r="G10" i="21" s="1"/>
  <c r="G9" i="21"/>
  <c r="E9" i="21"/>
  <c r="A1842" i="1" l="1"/>
  <c r="A1843" i="1" s="1"/>
  <c r="A1844" i="1" s="1"/>
  <c r="A1845" i="1" s="1"/>
  <c r="A1846" i="1" s="1"/>
  <c r="A1847" i="1" s="1"/>
  <c r="A1848" i="1" s="1"/>
  <c r="A1849" i="1" s="1"/>
  <c r="A1850" i="1" s="1"/>
  <c r="A1851" i="1" s="1"/>
  <c r="A1852" i="1" s="1"/>
  <c r="A1853" i="1" s="1"/>
  <c r="B45" i="6"/>
  <c r="B46" i="6" s="1"/>
  <c r="B47" i="6" s="1"/>
  <c r="B48" i="6" s="1"/>
  <c r="B51" i="6" s="1"/>
  <c r="B52" i="6" s="1"/>
  <c r="B53" i="6" s="1"/>
  <c r="B54" i="6" s="1"/>
  <c r="B55" i="6" s="1"/>
  <c r="B56" i="6" s="1"/>
  <c r="B57" i="6" s="1"/>
  <c r="B58" i="6" s="1"/>
  <c r="B59" i="6" s="1"/>
  <c r="B60" i="6" s="1"/>
  <c r="B61" i="6" s="1"/>
  <c r="B62" i="6" s="1"/>
  <c r="B63" i="6" s="1"/>
  <c r="B64" i="6" s="1"/>
  <c r="B65" i="6" s="1"/>
  <c r="B66" i="6" s="1"/>
  <c r="K52" i="21"/>
  <c r="K62" i="21" s="1"/>
  <c r="M52" i="21"/>
  <c r="M62" i="21" s="1"/>
  <c r="R42" i="21"/>
  <c r="K32" i="21"/>
  <c r="K42" i="21"/>
  <c r="M32" i="21"/>
  <c r="M42" i="21"/>
  <c r="R32" i="21"/>
  <c r="R52" i="21"/>
  <c r="P20" i="21"/>
  <c r="P30" i="21"/>
  <c r="P40" i="21"/>
  <c r="P50" i="21"/>
  <c r="R62" i="21" l="1"/>
  <c r="R63" i="21"/>
  <c r="M63" i="21"/>
  <c r="B67" i="6"/>
  <c r="B68" i="6" s="1"/>
  <c r="B69" i="6" s="1"/>
  <c r="B70" i="6" s="1"/>
  <c r="B71" i="6" s="1"/>
  <c r="B72" i="6" s="1"/>
  <c r="B73" i="6" s="1"/>
  <c r="B74" i="6" s="1"/>
  <c r="P52" i="21"/>
  <c r="P62" i="21" s="1"/>
  <c r="P32" i="21"/>
  <c r="P42" i="21"/>
  <c r="B75" i="6" l="1"/>
  <c r="B76" i="6" s="1"/>
  <c r="B77" i="6" s="1"/>
  <c r="D47" i="22"/>
  <c r="D115" i="22" s="1"/>
  <c r="D18" i="22"/>
  <c r="F47" i="22"/>
  <c r="F115" i="22" s="1"/>
  <c r="I5" i="34"/>
  <c r="G5" i="34"/>
  <c r="E5" i="34"/>
  <c r="C5" i="34"/>
  <c r="C17" i="34"/>
  <c r="AV41" i="22"/>
  <c r="AU41" i="22"/>
  <c r="AT41" i="22"/>
  <c r="AS41" i="22"/>
  <c r="AR41" i="22"/>
  <c r="AQ41" i="22"/>
  <c r="AP41" i="22"/>
  <c r="AO41" i="22"/>
  <c r="AN41" i="22"/>
  <c r="AM41" i="22"/>
  <c r="AL41" i="22"/>
  <c r="AK41" i="22"/>
  <c r="AJ41" i="22"/>
  <c r="AI41" i="22"/>
  <c r="AH41" i="22"/>
  <c r="AG41" i="22"/>
  <c r="AF41" i="22"/>
  <c r="AE41" i="22"/>
  <c r="AD41" i="22"/>
  <c r="B78" i="6" l="1"/>
  <c r="B79" i="6" s="1"/>
  <c r="B80" i="6" s="1"/>
  <c r="M57" i="22"/>
  <c r="M48" i="22"/>
  <c r="M32" i="22"/>
  <c r="M7" i="22"/>
  <c r="O7" i="22" s="1"/>
  <c r="M6" i="22"/>
  <c r="D6" i="22"/>
  <c r="F7" i="22"/>
  <c r="O6" i="22"/>
  <c r="F6" i="22"/>
  <c r="AV55" i="22"/>
  <c r="AU55" i="22"/>
  <c r="AT55" i="22"/>
  <c r="AS55" i="22"/>
  <c r="AR55" i="22"/>
  <c r="AQ55" i="22"/>
  <c r="AP55" i="22"/>
  <c r="AO55" i="22"/>
  <c r="AN55" i="22"/>
  <c r="AM55" i="22"/>
  <c r="AL55" i="22"/>
  <c r="AK55" i="22"/>
  <c r="AJ55" i="22"/>
  <c r="AI55" i="22"/>
  <c r="AH55" i="22"/>
  <c r="AG55" i="22"/>
  <c r="AF55" i="22"/>
  <c r="AE55" i="22"/>
  <c r="AD55" i="22"/>
  <c r="AV43" i="22"/>
  <c r="AU43" i="22"/>
  <c r="AT43" i="22"/>
  <c r="AS43" i="22"/>
  <c r="AR43" i="22"/>
  <c r="AQ43" i="22"/>
  <c r="AP43" i="22"/>
  <c r="AO43" i="22"/>
  <c r="AN43" i="22"/>
  <c r="AM43" i="22"/>
  <c r="AL43" i="22"/>
  <c r="AK43" i="22"/>
  <c r="AJ43" i="22"/>
  <c r="AI43" i="22"/>
  <c r="AH43" i="22"/>
  <c r="AG43" i="22"/>
  <c r="AF43" i="22"/>
  <c r="AE43" i="22"/>
  <c r="AD43" i="22"/>
  <c r="B81" i="6" l="1"/>
  <c r="B82" i="6" s="1"/>
  <c r="M60" i="22"/>
  <c r="M64" i="22" s="1"/>
  <c r="G25" i="34" l="1"/>
  <c r="F191" i="60" s="1"/>
  <c r="M67" i="22"/>
  <c r="B83" i="6"/>
  <c r="AX47" i="22"/>
  <c r="AX25" i="22"/>
  <c r="AX18" i="22"/>
  <c r="AX16" i="22"/>
  <c r="AA7" i="22"/>
  <c r="AA18" i="22"/>
  <c r="CK18" i="22" s="1"/>
  <c r="AA47" i="22"/>
  <c r="CK47" i="22" s="1"/>
  <c r="AV67" i="22"/>
  <c r="AU67" i="22"/>
  <c r="AT67" i="22"/>
  <c r="AS67" i="22"/>
  <c r="AR67" i="22"/>
  <c r="AQ67" i="22"/>
  <c r="AP67" i="22"/>
  <c r="AO67" i="22"/>
  <c r="AN67" i="22"/>
  <c r="AM67" i="22"/>
  <c r="AL67" i="22"/>
  <c r="AK67" i="22"/>
  <c r="AJ67" i="22"/>
  <c r="AI67" i="22"/>
  <c r="AH67" i="22"/>
  <c r="AG67" i="22"/>
  <c r="AF67" i="22"/>
  <c r="AE67" i="22"/>
  <c r="AV66" i="22"/>
  <c r="AU66" i="22"/>
  <c r="AT66" i="22"/>
  <c r="AS66" i="22"/>
  <c r="AR66" i="22"/>
  <c r="AQ66" i="22"/>
  <c r="AP66" i="22"/>
  <c r="AO66" i="22"/>
  <c r="AN66" i="22"/>
  <c r="AM66" i="22"/>
  <c r="AL66" i="22"/>
  <c r="AK66" i="22"/>
  <c r="AJ66" i="22"/>
  <c r="AI66" i="22"/>
  <c r="AH66" i="22"/>
  <c r="AG66" i="22"/>
  <c r="AF66" i="22"/>
  <c r="AE66" i="22"/>
  <c r="AV63" i="22"/>
  <c r="AU63" i="22"/>
  <c r="AT63" i="22"/>
  <c r="AS63" i="22"/>
  <c r="AR63" i="22"/>
  <c r="AQ63" i="22"/>
  <c r="AP63" i="22"/>
  <c r="AO63" i="22"/>
  <c r="AN63" i="22"/>
  <c r="AM63" i="22"/>
  <c r="AL63" i="22"/>
  <c r="AK63" i="22"/>
  <c r="AJ63" i="22"/>
  <c r="AI63" i="22"/>
  <c r="AH63" i="22"/>
  <c r="AG63" i="22"/>
  <c r="AF63" i="22"/>
  <c r="AE63" i="22"/>
  <c r="AV56" i="22"/>
  <c r="AU56" i="22"/>
  <c r="AT56" i="22"/>
  <c r="AS56" i="22"/>
  <c r="AR56" i="22"/>
  <c r="AQ56" i="22"/>
  <c r="AP56" i="22"/>
  <c r="AO56" i="22"/>
  <c r="AN56" i="22"/>
  <c r="AM56" i="22"/>
  <c r="AL56" i="22"/>
  <c r="AK56" i="22"/>
  <c r="AJ56" i="22"/>
  <c r="AI56" i="22"/>
  <c r="AH56" i="22"/>
  <c r="AG56" i="22"/>
  <c r="AF56" i="22"/>
  <c r="AE56" i="22"/>
  <c r="AV53" i="22"/>
  <c r="AU53" i="22"/>
  <c r="AT53" i="22"/>
  <c r="AS53" i="22"/>
  <c r="AR53" i="22"/>
  <c r="AQ53" i="22"/>
  <c r="AP53" i="22"/>
  <c r="AO53" i="22"/>
  <c r="AN53" i="22"/>
  <c r="AM53" i="22"/>
  <c r="AL53" i="22"/>
  <c r="AK53" i="22"/>
  <c r="AJ53" i="22"/>
  <c r="AI53" i="22"/>
  <c r="AH53" i="22"/>
  <c r="AG53" i="22"/>
  <c r="AF53" i="22"/>
  <c r="AE53" i="22"/>
  <c r="AV52" i="22"/>
  <c r="AU52" i="22"/>
  <c r="AT52" i="22"/>
  <c r="AS52" i="22"/>
  <c r="AR52" i="22"/>
  <c r="AQ52" i="22"/>
  <c r="AP52" i="22"/>
  <c r="AO52" i="22"/>
  <c r="AN52" i="22"/>
  <c r="AM52" i="22"/>
  <c r="AL52" i="22"/>
  <c r="AK52" i="22"/>
  <c r="AJ52" i="22"/>
  <c r="AI52" i="22"/>
  <c r="AH52" i="22"/>
  <c r="AG52" i="22"/>
  <c r="AW47" i="22"/>
  <c r="AV47" i="22"/>
  <c r="AU47" i="22"/>
  <c r="AT47" i="22"/>
  <c r="AS47" i="22"/>
  <c r="AR47" i="22"/>
  <c r="AQ47" i="22"/>
  <c r="AP47" i="22"/>
  <c r="AO47" i="22"/>
  <c r="AN47" i="22"/>
  <c r="AM47" i="22"/>
  <c r="AL47" i="22"/>
  <c r="AK47" i="22"/>
  <c r="AJ47" i="22"/>
  <c r="AI47" i="22"/>
  <c r="AH47" i="22"/>
  <c r="AG47" i="22"/>
  <c r="AF47" i="22"/>
  <c r="AE47" i="22"/>
  <c r="AD47" i="22"/>
  <c r="AV45" i="22"/>
  <c r="AU45" i="22"/>
  <c r="AT45" i="22"/>
  <c r="AS45" i="22"/>
  <c r="AR45" i="22"/>
  <c r="AQ45" i="22"/>
  <c r="AP45" i="22"/>
  <c r="AO45" i="22"/>
  <c r="AN45" i="22"/>
  <c r="AM45" i="22"/>
  <c r="AL45" i="22"/>
  <c r="AK45" i="22"/>
  <c r="AJ45" i="22"/>
  <c r="AI45" i="22"/>
  <c r="AH45" i="22"/>
  <c r="AG45" i="22"/>
  <c r="AF45" i="22"/>
  <c r="AE45" i="22"/>
  <c r="AD45" i="22"/>
  <c r="AV42" i="22"/>
  <c r="AU42" i="22"/>
  <c r="AT42" i="22"/>
  <c r="AS42" i="22"/>
  <c r="AR42" i="22"/>
  <c r="AQ42" i="22"/>
  <c r="AP42" i="22"/>
  <c r="AO42" i="22"/>
  <c r="AN42" i="22"/>
  <c r="AM42" i="22"/>
  <c r="AL42" i="22"/>
  <c r="AK42" i="22"/>
  <c r="AJ42" i="22"/>
  <c r="AI42" i="22"/>
  <c r="AH42" i="22"/>
  <c r="AG42" i="22"/>
  <c r="AF42" i="22"/>
  <c r="AE42" i="22"/>
  <c r="AV40" i="22"/>
  <c r="AU40" i="22"/>
  <c r="AT40" i="22"/>
  <c r="AS40" i="22"/>
  <c r="AR40" i="22"/>
  <c r="AQ40" i="22"/>
  <c r="AP40" i="22"/>
  <c r="AO40" i="22"/>
  <c r="AN40" i="22"/>
  <c r="AM40" i="22"/>
  <c r="AL40" i="22"/>
  <c r="AK40" i="22"/>
  <c r="AJ40" i="22"/>
  <c r="AI40" i="22"/>
  <c r="AH40" i="22"/>
  <c r="AG40" i="22"/>
  <c r="AF40" i="22"/>
  <c r="AE40" i="22"/>
  <c r="AV39" i="22"/>
  <c r="AU39" i="22"/>
  <c r="AT39" i="22"/>
  <c r="AS39" i="22"/>
  <c r="AR39" i="22"/>
  <c r="AQ39" i="22"/>
  <c r="AP39" i="22"/>
  <c r="AO39" i="22"/>
  <c r="AN39" i="22"/>
  <c r="AM39" i="22"/>
  <c r="AL39" i="22"/>
  <c r="AK39" i="22"/>
  <c r="AJ39" i="22"/>
  <c r="AI39" i="22"/>
  <c r="AH39" i="22"/>
  <c r="AG39" i="22"/>
  <c r="AF39" i="22"/>
  <c r="AE39" i="22"/>
  <c r="AV38" i="22"/>
  <c r="AU38" i="22"/>
  <c r="AT38" i="22"/>
  <c r="AS38" i="22"/>
  <c r="AR38" i="22"/>
  <c r="AQ38" i="22"/>
  <c r="AP38" i="22"/>
  <c r="AO38" i="22"/>
  <c r="AN38" i="22"/>
  <c r="AM38" i="22"/>
  <c r="AL38" i="22"/>
  <c r="AK38" i="22"/>
  <c r="AJ38" i="22"/>
  <c r="AI38" i="22"/>
  <c r="AH38" i="22"/>
  <c r="AG38" i="22"/>
  <c r="AF38" i="22"/>
  <c r="AE38" i="22"/>
  <c r="AV37" i="22"/>
  <c r="AU37" i="22"/>
  <c r="AT37" i="22"/>
  <c r="AS37" i="22"/>
  <c r="AR37" i="22"/>
  <c r="AQ37" i="22"/>
  <c r="AP37" i="22"/>
  <c r="AO37" i="22"/>
  <c r="AN37" i="22"/>
  <c r="AM37" i="22"/>
  <c r="AL37" i="22"/>
  <c r="AK37" i="22"/>
  <c r="AJ37" i="22"/>
  <c r="AI37" i="22"/>
  <c r="AH37" i="22"/>
  <c r="AG37" i="22"/>
  <c r="AF37" i="22"/>
  <c r="AE37" i="22"/>
  <c r="AV36" i="22"/>
  <c r="AU36" i="22"/>
  <c r="AT36" i="22"/>
  <c r="AS36" i="22"/>
  <c r="AR36" i="22"/>
  <c r="AQ36" i="22"/>
  <c r="AP36" i="22"/>
  <c r="AO36" i="22"/>
  <c r="AN36" i="22"/>
  <c r="AM36" i="22"/>
  <c r="AL36" i="22"/>
  <c r="AK36" i="22"/>
  <c r="AJ36" i="22"/>
  <c r="AI36" i="22"/>
  <c r="AH36" i="22"/>
  <c r="AG36" i="22"/>
  <c r="AF36" i="22"/>
  <c r="AE36" i="22"/>
  <c r="AV31" i="22"/>
  <c r="AU31" i="22"/>
  <c r="AT31" i="22"/>
  <c r="AS31" i="22"/>
  <c r="AR31" i="22"/>
  <c r="AQ31" i="22"/>
  <c r="AP31" i="22"/>
  <c r="AO31" i="22"/>
  <c r="AN31" i="22"/>
  <c r="AM31" i="22"/>
  <c r="AL31" i="22"/>
  <c r="AK31" i="22"/>
  <c r="AJ31" i="22"/>
  <c r="AI31" i="22"/>
  <c r="AH31" i="22"/>
  <c r="AG31" i="22"/>
  <c r="AF31" i="22"/>
  <c r="AE31" i="22"/>
  <c r="AV30" i="22"/>
  <c r="AU30" i="22"/>
  <c r="AT30" i="22"/>
  <c r="AS30" i="22"/>
  <c r="AR30" i="22"/>
  <c r="AQ30" i="22"/>
  <c r="AP30" i="22"/>
  <c r="AO30" i="22"/>
  <c r="AN30" i="22"/>
  <c r="AM30" i="22"/>
  <c r="AL30" i="22"/>
  <c r="AK30" i="22"/>
  <c r="AJ30" i="22"/>
  <c r="AI30" i="22"/>
  <c r="AH30" i="22"/>
  <c r="AG30" i="22"/>
  <c r="AF30" i="22"/>
  <c r="AE30" i="22"/>
  <c r="AV29" i="22"/>
  <c r="AU29" i="22"/>
  <c r="AT29" i="22"/>
  <c r="AS29" i="22"/>
  <c r="AR29" i="22"/>
  <c r="AQ29" i="22"/>
  <c r="AP29" i="22"/>
  <c r="AO29" i="22"/>
  <c r="AN29" i="22"/>
  <c r="AM29" i="22"/>
  <c r="AL29" i="22"/>
  <c r="AK29" i="22"/>
  <c r="AJ29" i="22"/>
  <c r="AI29" i="22"/>
  <c r="AH29" i="22"/>
  <c r="AG29" i="22"/>
  <c r="AF29" i="22"/>
  <c r="AE29" i="22"/>
  <c r="AV28" i="22"/>
  <c r="AU28" i="22"/>
  <c r="AT28" i="22"/>
  <c r="AS28" i="22"/>
  <c r="AR28" i="22"/>
  <c r="AQ28" i="22"/>
  <c r="AP28" i="22"/>
  <c r="AO28" i="22"/>
  <c r="AN28" i="22"/>
  <c r="AM28" i="22"/>
  <c r="AL28" i="22"/>
  <c r="AK28" i="22"/>
  <c r="AJ28" i="22"/>
  <c r="AI28" i="22"/>
  <c r="AH28" i="22"/>
  <c r="AG28" i="22"/>
  <c r="AF28" i="22"/>
  <c r="AE28" i="22"/>
  <c r="AV27" i="22"/>
  <c r="AU27" i="22"/>
  <c r="AT27" i="22"/>
  <c r="AS27" i="22"/>
  <c r="AR27" i="22"/>
  <c r="AQ27" i="22"/>
  <c r="AP27" i="22"/>
  <c r="AO27" i="22"/>
  <c r="AN27" i="22"/>
  <c r="AM27" i="22"/>
  <c r="AL27" i="22"/>
  <c r="AK27" i="22"/>
  <c r="AJ27" i="22"/>
  <c r="AI27" i="22"/>
  <c r="AH27" i="22"/>
  <c r="AG27" i="22"/>
  <c r="AF27" i="22"/>
  <c r="AE27" i="22"/>
  <c r="AD27" i="22"/>
  <c r="AV76" i="22"/>
  <c r="AU26" i="22"/>
  <c r="AT26" i="22"/>
  <c r="AS26" i="22"/>
  <c r="AR26" i="22"/>
  <c r="AQ26" i="22"/>
  <c r="AP26" i="22"/>
  <c r="AO26" i="22"/>
  <c r="AN26" i="22"/>
  <c r="AM26" i="22"/>
  <c r="AL26" i="22"/>
  <c r="AK26" i="22"/>
  <c r="AJ26" i="22"/>
  <c r="AI26" i="22"/>
  <c r="AH26" i="22"/>
  <c r="AG26" i="22"/>
  <c r="AF26" i="22"/>
  <c r="AE26" i="22"/>
  <c r="AW25" i="22"/>
  <c r="AV25" i="22"/>
  <c r="AU25" i="22"/>
  <c r="AT25" i="22"/>
  <c r="AS25" i="22"/>
  <c r="AR25" i="22"/>
  <c r="AQ25" i="22"/>
  <c r="AP25" i="22"/>
  <c r="AO25" i="22"/>
  <c r="AN25" i="22"/>
  <c r="AM25" i="22"/>
  <c r="AL25" i="22"/>
  <c r="AK25" i="22"/>
  <c r="AJ25" i="22"/>
  <c r="AI25" i="22"/>
  <c r="AH25" i="22"/>
  <c r="AG25" i="22"/>
  <c r="AF25" i="22"/>
  <c r="AE25" i="22"/>
  <c r="AV24" i="22"/>
  <c r="AU24" i="22"/>
  <c r="AT24" i="22"/>
  <c r="AS24" i="22"/>
  <c r="AR24" i="22"/>
  <c r="AQ24" i="22"/>
  <c r="AP24" i="22"/>
  <c r="AO24" i="22"/>
  <c r="AN24" i="22"/>
  <c r="AM24" i="22"/>
  <c r="AL24" i="22"/>
  <c r="AK24" i="22"/>
  <c r="AJ24" i="22"/>
  <c r="AI24" i="22"/>
  <c r="AH24" i="22"/>
  <c r="AG24" i="22"/>
  <c r="AF24" i="22"/>
  <c r="AE24" i="22"/>
  <c r="AV23" i="22"/>
  <c r="AU23" i="22"/>
  <c r="AT23" i="22"/>
  <c r="AS23" i="22"/>
  <c r="AR23" i="22"/>
  <c r="AQ23" i="22"/>
  <c r="AP23" i="22"/>
  <c r="AO23" i="22"/>
  <c r="AN23" i="22"/>
  <c r="AM23" i="22"/>
  <c r="AL23" i="22"/>
  <c r="AK23" i="22"/>
  <c r="AJ23" i="22"/>
  <c r="AI23" i="22"/>
  <c r="AH23" i="22"/>
  <c r="AG23" i="22"/>
  <c r="AF23" i="22"/>
  <c r="AE23" i="22"/>
  <c r="AV22" i="22"/>
  <c r="AU22" i="22"/>
  <c r="AT22" i="22"/>
  <c r="AS22" i="22"/>
  <c r="AR22" i="22"/>
  <c r="AQ22" i="22"/>
  <c r="AP22" i="22"/>
  <c r="AO22" i="22"/>
  <c r="AN22" i="22"/>
  <c r="AM22" i="22"/>
  <c r="AL22" i="22"/>
  <c r="AK22" i="22"/>
  <c r="AJ22" i="22"/>
  <c r="AI22" i="22"/>
  <c r="AH22" i="22"/>
  <c r="AG22" i="22"/>
  <c r="AF22" i="22"/>
  <c r="AE22" i="22"/>
  <c r="AD22" i="22"/>
  <c r="AV21" i="22"/>
  <c r="AU21" i="22"/>
  <c r="AT21" i="22"/>
  <c r="AS21" i="22"/>
  <c r="AR21" i="22"/>
  <c r="AQ21" i="22"/>
  <c r="AP21" i="22"/>
  <c r="AO21" i="22"/>
  <c r="AN21" i="22"/>
  <c r="AM21" i="22"/>
  <c r="AL21" i="22"/>
  <c r="AK21" i="22"/>
  <c r="AJ21" i="22"/>
  <c r="AI21" i="22"/>
  <c r="AH21" i="22"/>
  <c r="AG21" i="22"/>
  <c r="AF21" i="22"/>
  <c r="AE21" i="22"/>
  <c r="AV20" i="22"/>
  <c r="AU20" i="22"/>
  <c r="AT20" i="22"/>
  <c r="AS20" i="22"/>
  <c r="AR20" i="22"/>
  <c r="AQ20" i="22"/>
  <c r="AP20" i="22"/>
  <c r="AO20" i="22"/>
  <c r="AN20" i="22"/>
  <c r="AM20" i="22"/>
  <c r="AL20" i="22"/>
  <c r="AK20" i="22"/>
  <c r="AJ20" i="22"/>
  <c r="AI20" i="22"/>
  <c r="AH20" i="22"/>
  <c r="AG20" i="22"/>
  <c r="AF20" i="22"/>
  <c r="AE20" i="22"/>
  <c r="AW18" i="22"/>
  <c r="AV18" i="22"/>
  <c r="AU18" i="22"/>
  <c r="AT18" i="22"/>
  <c r="AS18" i="22"/>
  <c r="AR18" i="22"/>
  <c r="AQ18" i="22"/>
  <c r="AP18" i="22"/>
  <c r="AO18" i="22"/>
  <c r="AN18" i="22"/>
  <c r="AM18" i="22"/>
  <c r="AL18" i="22"/>
  <c r="AK18" i="22"/>
  <c r="AJ18" i="22"/>
  <c r="AI18" i="22"/>
  <c r="AH18" i="22"/>
  <c r="AG18" i="22"/>
  <c r="AF18" i="22"/>
  <c r="AE18" i="22"/>
  <c r="AD18" i="22"/>
  <c r="AV17" i="22"/>
  <c r="AU17" i="22"/>
  <c r="AT17" i="22"/>
  <c r="AS17" i="22"/>
  <c r="AR17" i="22"/>
  <c r="AQ17" i="22"/>
  <c r="AP17" i="22"/>
  <c r="AO17" i="22"/>
  <c r="AN17" i="22"/>
  <c r="AM17" i="22"/>
  <c r="AL17" i="22"/>
  <c r="AK17" i="22"/>
  <c r="AJ17" i="22"/>
  <c r="AI17" i="22"/>
  <c r="AH17" i="22"/>
  <c r="AG17" i="22"/>
  <c r="AF17" i="22"/>
  <c r="AE17" i="22"/>
  <c r="AW16" i="22"/>
  <c r="AV16" i="22"/>
  <c r="AU16" i="22"/>
  <c r="AT16" i="22"/>
  <c r="AS16" i="22"/>
  <c r="AR16" i="22"/>
  <c r="AQ16" i="22"/>
  <c r="AP16" i="22"/>
  <c r="AO16" i="22"/>
  <c r="AN16" i="22"/>
  <c r="AM16" i="22"/>
  <c r="AL16" i="22"/>
  <c r="AK16" i="22"/>
  <c r="AJ16" i="22"/>
  <c r="AI16" i="22"/>
  <c r="AH16" i="22"/>
  <c r="AG16" i="22"/>
  <c r="AF16" i="22"/>
  <c r="AE16" i="22"/>
  <c r="AV15" i="22"/>
  <c r="AU15" i="22"/>
  <c r="AT15" i="22"/>
  <c r="AS15" i="22"/>
  <c r="AR15" i="22"/>
  <c r="AQ15" i="22"/>
  <c r="AP15" i="22"/>
  <c r="AO15" i="22"/>
  <c r="AN15" i="22"/>
  <c r="AM15" i="22"/>
  <c r="AL15" i="22"/>
  <c r="AK15" i="22"/>
  <c r="AJ15" i="22"/>
  <c r="AI15" i="22"/>
  <c r="AH15" i="22"/>
  <c r="AG15" i="22"/>
  <c r="AF15" i="22"/>
  <c r="AE15" i="22"/>
  <c r="AV13" i="22"/>
  <c r="AU13" i="22"/>
  <c r="AT13" i="22"/>
  <c r="AS13" i="22"/>
  <c r="AR13" i="22"/>
  <c r="AQ13" i="22"/>
  <c r="AP13" i="22"/>
  <c r="AO13" i="22"/>
  <c r="AN13" i="22"/>
  <c r="AM13" i="22"/>
  <c r="AL13" i="22"/>
  <c r="AK13" i="22"/>
  <c r="AJ13" i="22"/>
  <c r="AI13" i="22"/>
  <c r="AH13" i="22"/>
  <c r="AG13" i="22"/>
  <c r="AF13" i="22"/>
  <c r="AE13" i="22"/>
  <c r="AV12" i="22"/>
  <c r="AU12" i="22"/>
  <c r="AT12" i="22"/>
  <c r="AS12" i="22"/>
  <c r="AR12" i="22"/>
  <c r="AQ12" i="22"/>
  <c r="AP12" i="22"/>
  <c r="AO12" i="22"/>
  <c r="AN12" i="22"/>
  <c r="AM12" i="22"/>
  <c r="AL12" i="22"/>
  <c r="AK12" i="22"/>
  <c r="AJ12" i="22"/>
  <c r="AI12" i="22"/>
  <c r="AH12" i="22"/>
  <c r="AG12" i="22"/>
  <c r="AF12" i="22"/>
  <c r="AE12" i="22"/>
  <c r="AX7" i="22"/>
  <c r="AW7" i="22"/>
  <c r="AV7" i="22"/>
  <c r="AU7" i="22"/>
  <c r="AT7" i="22"/>
  <c r="AS7" i="22"/>
  <c r="AR7" i="22"/>
  <c r="AQ7" i="22"/>
  <c r="AP7" i="22"/>
  <c r="AO7" i="22"/>
  <c r="AN7" i="22"/>
  <c r="AM7" i="22"/>
  <c r="AL7" i="22"/>
  <c r="AK7" i="22"/>
  <c r="AJ7" i="22"/>
  <c r="AI7" i="22"/>
  <c r="AH7" i="22"/>
  <c r="AG7" i="22"/>
  <c r="AF7" i="22"/>
  <c r="AE7" i="22"/>
  <c r="AD7" i="22"/>
  <c r="U47" i="22"/>
  <c r="U18" i="22"/>
  <c r="U7" i="22"/>
  <c r="G22" i="34"/>
  <c r="G17" i="34"/>
  <c r="G6" i="34"/>
  <c r="C6" i="34"/>
  <c r="I12" i="32"/>
  <c r="I7" i="32"/>
  <c r="I6" i="32"/>
  <c r="B84" i="6" l="1"/>
  <c r="C18" i="34"/>
  <c r="C28" i="34" s="1"/>
  <c r="E6" i="34"/>
  <c r="G18" i="34"/>
  <c r="G28" i="34" s="1"/>
  <c r="I6" i="34"/>
  <c r="G37" i="34"/>
  <c r="F192" i="60" s="1"/>
  <c r="AH74" i="22"/>
  <c r="AH70" i="22"/>
  <c r="S30" i="6" s="1"/>
  <c r="AL74" i="22"/>
  <c r="AL70" i="22"/>
  <c r="W30" i="6" s="1"/>
  <c r="AP74" i="22"/>
  <c r="AP70" i="22"/>
  <c r="AA30" i="6" s="1"/>
  <c r="AT74" i="22"/>
  <c r="AT70" i="22"/>
  <c r="AE30" i="6" s="1"/>
  <c r="AE74" i="22"/>
  <c r="AE70" i="22"/>
  <c r="P30" i="6" s="1"/>
  <c r="AI74" i="22"/>
  <c r="AI70" i="22"/>
  <c r="T30" i="6" s="1"/>
  <c r="AM74" i="22"/>
  <c r="AM70" i="22"/>
  <c r="X30" i="6" s="1"/>
  <c r="AQ74" i="22"/>
  <c r="AQ70" i="22"/>
  <c r="AB30" i="6" s="1"/>
  <c r="AU74" i="22"/>
  <c r="AU70" i="22"/>
  <c r="AF30" i="6" s="1"/>
  <c r="AF74" i="22"/>
  <c r="AF70" i="22"/>
  <c r="Q30" i="6" s="1"/>
  <c r="AJ74" i="22"/>
  <c r="AJ70" i="22"/>
  <c r="U30" i="6" s="1"/>
  <c r="AN74" i="22"/>
  <c r="AN70" i="22"/>
  <c r="Y30" i="6" s="1"/>
  <c r="AR74" i="22"/>
  <c r="AR70" i="22"/>
  <c r="AC30" i="6" s="1"/>
  <c r="AV74" i="22"/>
  <c r="AV70" i="22"/>
  <c r="AG30" i="6" s="1"/>
  <c r="AG74" i="22"/>
  <c r="AG70" i="22"/>
  <c r="R30" i="6" s="1"/>
  <c r="AK74" i="22"/>
  <c r="AK70" i="22"/>
  <c r="V30" i="6" s="1"/>
  <c r="AO74" i="22"/>
  <c r="AO70" i="22"/>
  <c r="Z30" i="6" s="1"/>
  <c r="AS74" i="22"/>
  <c r="AS70" i="22"/>
  <c r="AD30" i="6" s="1"/>
  <c r="M69" i="22"/>
  <c r="AE57" i="22"/>
  <c r="AI57" i="22"/>
  <c r="AM57" i="22"/>
  <c r="AQ57" i="22"/>
  <c r="AU57" i="22"/>
  <c r="AI48" i="22"/>
  <c r="AU48" i="22"/>
  <c r="AE48" i="22"/>
  <c r="AM48" i="22"/>
  <c r="AQ48" i="22"/>
  <c r="AF32" i="22"/>
  <c r="AJ32" i="22"/>
  <c r="AN32" i="22"/>
  <c r="AV32" i="22"/>
  <c r="AG32" i="22"/>
  <c r="AS32" i="22"/>
  <c r="AF48" i="22"/>
  <c r="AN48" i="22"/>
  <c r="AV48" i="22"/>
  <c r="AN57" i="22"/>
  <c r="AR57" i="22"/>
  <c r="AH32" i="22"/>
  <c r="AL32" i="22"/>
  <c r="AP32" i="22"/>
  <c r="AT32" i="22"/>
  <c r="AG48" i="22"/>
  <c r="AK48" i="22"/>
  <c r="AO48" i="22"/>
  <c r="AS48" i="22"/>
  <c r="AG57" i="22"/>
  <c r="AK57" i="22"/>
  <c r="AO57" i="22"/>
  <c r="AS57" i="22"/>
  <c r="AR32" i="22"/>
  <c r="AK32" i="22"/>
  <c r="AO32" i="22"/>
  <c r="AJ48" i="22"/>
  <c r="AR48" i="22"/>
  <c r="AF57" i="22"/>
  <c r="AJ57" i="22"/>
  <c r="AV57" i="22"/>
  <c r="AE32" i="22"/>
  <c r="AI32" i="22"/>
  <c r="AM32" i="22"/>
  <c r="AU32" i="22"/>
  <c r="AH48" i="22"/>
  <c r="AL48" i="22"/>
  <c r="AP48" i="22"/>
  <c r="AT48" i="22"/>
  <c r="AH57" i="22"/>
  <c r="AL57" i="22"/>
  <c r="AP57" i="22"/>
  <c r="AT57" i="22"/>
  <c r="AQ32" i="22"/>
  <c r="C2" i="59"/>
  <c r="C1" i="59"/>
  <c r="B27" i="31"/>
  <c r="B26" i="29"/>
  <c r="E510" i="1"/>
  <c r="E532" i="1"/>
  <c r="E623" i="1"/>
  <c r="E661" i="1"/>
  <c r="E684" i="1"/>
  <c r="E699" i="1"/>
  <c r="E737" i="1"/>
  <c r="E775" i="1"/>
  <c r="E547" i="1"/>
  <c r="C52" i="36"/>
  <c r="C26" i="36"/>
  <c r="C25" i="36"/>
  <c r="C15" i="36"/>
  <c r="C12" i="36"/>
  <c r="G6" i="36"/>
  <c r="C6" i="36"/>
  <c r="G47" i="36"/>
  <c r="G7" i="36"/>
  <c r="I7" i="36" s="1"/>
  <c r="C7" i="36"/>
  <c r="O69" i="22" l="1"/>
  <c r="I25" i="34"/>
  <c r="G191" i="60" s="1"/>
  <c r="B85" i="6"/>
  <c r="E7" i="36"/>
  <c r="L7" i="36"/>
  <c r="N7" i="36" s="1"/>
  <c r="G57" i="36"/>
  <c r="H130" i="138" s="1"/>
  <c r="AJ60" i="22"/>
  <c r="AI60" i="22"/>
  <c r="AL60" i="22"/>
  <c r="AQ60" i="22"/>
  <c r="AU60" i="22"/>
  <c r="AG60" i="22"/>
  <c r="AE60" i="22"/>
  <c r="AK60" i="22"/>
  <c r="AP60" i="22"/>
  <c r="AH60" i="22"/>
  <c r="AT60" i="22"/>
  <c r="AM60" i="22"/>
  <c r="AO60" i="22"/>
  <c r="AR60" i="22"/>
  <c r="AN60" i="22"/>
  <c r="AV60" i="22"/>
  <c r="AF60" i="22"/>
  <c r="AS60" i="22"/>
  <c r="G55" i="36"/>
  <c r="G63" i="36" l="1"/>
  <c r="G59" i="36"/>
  <c r="B86" i="6"/>
  <c r="AV64" i="22"/>
  <c r="AM64" i="22"/>
  <c r="AU64" i="22"/>
  <c r="AJ64" i="22"/>
  <c r="AT64" i="22"/>
  <c r="AQ64" i="22"/>
  <c r="AS64" i="22"/>
  <c r="AH64" i="22"/>
  <c r="AE64" i="22"/>
  <c r="AL64" i="22"/>
  <c r="AN64" i="22"/>
  <c r="AK64" i="22"/>
  <c r="AR64" i="22"/>
  <c r="AF64" i="22"/>
  <c r="AO64" i="22"/>
  <c r="AP64" i="22"/>
  <c r="AG64" i="22"/>
  <c r="AI64" i="22"/>
  <c r="G35" i="35"/>
  <c r="C39" i="35"/>
  <c r="V39" i="35" s="1"/>
  <c r="C26" i="35"/>
  <c r="G8" i="35"/>
  <c r="I7" i="35"/>
  <c r="G7" i="35"/>
  <c r="C7" i="35"/>
  <c r="C8" i="35"/>
  <c r="D6" i="26"/>
  <c r="J6" i="26"/>
  <c r="L6" i="26"/>
  <c r="G61" i="36" l="1"/>
  <c r="H119" i="138"/>
  <c r="H18" i="22"/>
  <c r="D61" i="60" s="1"/>
  <c r="V26" i="35"/>
  <c r="B87" i="6"/>
  <c r="AG69" i="22"/>
  <c r="R29" i="6" s="1"/>
  <c r="AO69" i="22"/>
  <c r="Z29" i="6" s="1"/>
  <c r="AR69" i="22"/>
  <c r="AC29" i="6" s="1"/>
  <c r="AN69" i="22"/>
  <c r="Y29" i="6" s="1"/>
  <c r="AE69" i="22"/>
  <c r="P29" i="6" s="1"/>
  <c r="AS69" i="22"/>
  <c r="AD29" i="6" s="1"/>
  <c r="AT69" i="22"/>
  <c r="AE29" i="6" s="1"/>
  <c r="AU69" i="22"/>
  <c r="AF29" i="6" s="1"/>
  <c r="AM69" i="22"/>
  <c r="X29" i="6" s="1"/>
  <c r="AI69" i="22"/>
  <c r="T29" i="6" s="1"/>
  <c r="AP69" i="22"/>
  <c r="AA29" i="6" s="1"/>
  <c r="AF69" i="22"/>
  <c r="Q29" i="6" s="1"/>
  <c r="AK69" i="22"/>
  <c r="V29" i="6" s="1"/>
  <c r="AL69" i="22"/>
  <c r="W29" i="6" s="1"/>
  <c r="AH69" i="22"/>
  <c r="S29" i="6" s="1"/>
  <c r="AQ69" i="22"/>
  <c r="AB29" i="6" s="1"/>
  <c r="AJ69" i="22"/>
  <c r="U29" i="6" s="1"/>
  <c r="AV69" i="22"/>
  <c r="AG29" i="6" s="1"/>
  <c r="G43" i="35"/>
  <c r="G45" i="35"/>
  <c r="B88" i="6" l="1"/>
  <c r="B89" i="6" s="1"/>
  <c r="B90" i="6" s="1"/>
  <c r="B91" i="6" s="1"/>
  <c r="B92" i="6" s="1"/>
  <c r="B93" i="6" s="1"/>
  <c r="B94" i="6" s="1"/>
  <c r="B95" i="6" s="1"/>
  <c r="B96" i="6" s="1"/>
  <c r="B97" i="6" s="1"/>
  <c r="B98" i="6" s="1"/>
  <c r="B99" i="6" s="1"/>
  <c r="B100" i="6" s="1"/>
  <c r="B101" i="6" s="1"/>
  <c r="B102" i="6" s="1"/>
  <c r="B103" i="6" s="1"/>
  <c r="B104" i="6" s="1"/>
  <c r="B105" i="6" s="1"/>
  <c r="B106" i="6" s="1"/>
  <c r="B107" i="6" s="1"/>
  <c r="B108" i="6" s="1"/>
  <c r="G47" i="35"/>
  <c r="H112" i="138" s="1"/>
  <c r="B111" i="6" l="1"/>
  <c r="B117" i="6"/>
  <c r="G7" i="42"/>
  <c r="I72" i="12"/>
  <c r="F21" i="12" l="1"/>
  <c r="D9" i="53"/>
  <c r="J9" i="53" s="1"/>
  <c r="C9" i="53"/>
  <c r="I9" i="53" s="1"/>
  <c r="F9" i="53" l="1"/>
  <c r="G9" i="53"/>
  <c r="B17" i="23" l="1"/>
  <c r="E151" i="1"/>
  <c r="E152" i="1"/>
  <c r="J152" i="1" s="1"/>
  <c r="L152" i="1" s="1"/>
  <c r="K152" i="1" l="1"/>
  <c r="L162" i="1"/>
  <c r="L177" i="1" s="1"/>
  <c r="E203" i="1"/>
  <c r="T1530" i="1" l="1"/>
  <c r="T1526" i="1"/>
  <c r="T1525" i="1"/>
  <c r="T1521" i="1"/>
  <c r="T1518" i="1"/>
  <c r="T1517" i="1"/>
  <c r="T1514" i="1"/>
  <c r="T1513" i="1"/>
  <c r="T1510" i="1"/>
  <c r="T1509" i="1"/>
  <c r="T1506" i="1"/>
  <c r="T1505" i="1"/>
  <c r="T1501" i="1"/>
  <c r="T1494" i="1"/>
  <c r="T1493" i="1"/>
  <c r="T1489" i="1"/>
  <c r="T1486" i="1"/>
  <c r="T1485" i="1"/>
  <c r="T1482" i="1"/>
  <c r="T1481" i="1"/>
  <c r="T1477" i="1"/>
  <c r="T1474" i="1"/>
  <c r="T1473" i="1"/>
  <c r="T1470" i="1"/>
  <c r="T1469" i="1"/>
  <c r="T1466" i="1"/>
  <c r="T1465" i="1"/>
  <c r="T1462" i="1"/>
  <c r="T1457" i="1"/>
  <c r="T1454" i="1"/>
  <c r="T1453" i="1"/>
  <c r="T1450" i="1"/>
  <c r="T1449" i="1"/>
  <c r="T1445" i="1"/>
  <c r="T1442" i="1"/>
  <c r="T1441" i="1"/>
  <c r="T1438" i="1"/>
  <c r="T1437" i="1"/>
  <c r="T1434" i="1"/>
  <c r="T1433" i="1"/>
  <c r="T1430" i="1"/>
  <c r="T1429" i="1"/>
  <c r="T1425" i="1"/>
  <c r="T1422" i="1"/>
  <c r="T1421" i="1"/>
  <c r="T1418" i="1"/>
  <c r="T1417" i="1"/>
  <c r="T1413" i="1"/>
  <c r="T2097" i="1"/>
  <c r="T2094" i="1"/>
  <c r="T2093" i="1"/>
  <c r="T2090" i="1"/>
  <c r="T2089" i="1"/>
  <c r="T2086" i="1"/>
  <c r="N2086" i="1" s="1"/>
  <c r="T2029" i="1"/>
  <c r="I39" i="50" s="1"/>
  <c r="T2026" i="1"/>
  <c r="I34" i="50" s="1"/>
  <c r="T2025" i="1"/>
  <c r="I33" i="50" s="1"/>
  <c r="T2023" i="1"/>
  <c r="I21" i="50" s="1"/>
  <c r="T2022" i="1"/>
  <c r="I20" i="50" s="1"/>
  <c r="T2018" i="1"/>
  <c r="H44" i="50" s="1"/>
  <c r="T2015" i="1"/>
  <c r="H36" i="50" s="1"/>
  <c r="T2014" i="1"/>
  <c r="H35" i="50" s="1"/>
  <c r="T2011" i="1"/>
  <c r="H22" i="50" s="1"/>
  <c r="T2007" i="1"/>
  <c r="H18" i="50" s="1"/>
  <c r="T2000" i="1"/>
  <c r="T1999" i="1"/>
  <c r="T1996" i="1"/>
  <c r="T1995" i="1"/>
  <c r="T1992" i="1"/>
  <c r="T1991" i="1"/>
  <c r="T1988" i="1"/>
  <c r="F49" i="53" s="1"/>
  <c r="T1987" i="1"/>
  <c r="F48" i="53" s="1"/>
  <c r="T1983" i="1"/>
  <c r="F44" i="53" s="1"/>
  <c r="T1980" i="1"/>
  <c r="F41" i="53" s="1"/>
  <c r="T1979" i="1"/>
  <c r="F40" i="53" s="1"/>
  <c r="T1975" i="1"/>
  <c r="C48" i="53" s="1"/>
  <c r="T1971" i="1"/>
  <c r="C44" i="53" s="1"/>
  <c r="T1968" i="1"/>
  <c r="C41" i="53" s="1"/>
  <c r="T1967" i="1"/>
  <c r="C40" i="53" s="1"/>
  <c r="T1964" i="1"/>
  <c r="T1886" i="1"/>
  <c r="T1882" i="1"/>
  <c r="B16" i="120" s="1"/>
  <c r="T1875" i="1"/>
  <c r="T1549" i="1"/>
  <c r="T1548" i="1"/>
  <c r="C17" i="47" s="1"/>
  <c r="T1544" i="1"/>
  <c r="C13" i="47" s="1"/>
  <c r="T1749" i="1"/>
  <c r="N1749" i="1" s="1"/>
  <c r="T1745" i="1"/>
  <c r="N1745" i="1" s="1"/>
  <c r="T1744" i="1"/>
  <c r="N1744" i="1" s="1"/>
  <c r="T1740" i="1"/>
  <c r="C68" i="40" s="1"/>
  <c r="T1739" i="1"/>
  <c r="C67" i="40" s="1"/>
  <c r="T1736" i="1"/>
  <c r="C62" i="40" s="1"/>
  <c r="T1726" i="1"/>
  <c r="T1723" i="1"/>
  <c r="T1722" i="1"/>
  <c r="N1722" i="1" s="1"/>
  <c r="T1720" i="1"/>
  <c r="T1714" i="1"/>
  <c r="N1714" i="1" s="1"/>
  <c r="T1759" i="1"/>
  <c r="T1758" i="1"/>
  <c r="T1755" i="1"/>
  <c r="N1755" i="1" s="1"/>
  <c r="T1563" i="1"/>
  <c r="T1560" i="1"/>
  <c r="T1559" i="1"/>
  <c r="T1556" i="1"/>
  <c r="T1555" i="1"/>
  <c r="T1409" i="1"/>
  <c r="T1408" i="1"/>
  <c r="T1404" i="1"/>
  <c r="T1397" i="1"/>
  <c r="T1396" i="1"/>
  <c r="T1381" i="1"/>
  <c r="T1376" i="1"/>
  <c r="T1368" i="1"/>
  <c r="T1365" i="1"/>
  <c r="T1364" i="1"/>
  <c r="N1364" i="1" s="1"/>
  <c r="T1360" i="1"/>
  <c r="T1353" i="1"/>
  <c r="T1352" i="1"/>
  <c r="T1313" i="1"/>
  <c r="N1313" i="1" s="1"/>
  <c r="T1302" i="1"/>
  <c r="T1299" i="1"/>
  <c r="T1270" i="1"/>
  <c r="T1268" i="1"/>
  <c r="T1267" i="1"/>
  <c r="T1251" i="1"/>
  <c r="T1244" i="1"/>
  <c r="T1243" i="1"/>
  <c r="T1236" i="1"/>
  <c r="T1213" i="1"/>
  <c r="T1176" i="1"/>
  <c r="D32" i="33" s="1"/>
  <c r="T1173" i="1"/>
  <c r="D29" i="33" s="1"/>
  <c r="T1172" i="1"/>
  <c r="D28" i="33" s="1"/>
  <c r="T1168" i="1"/>
  <c r="C32" i="33" s="1"/>
  <c r="T1164" i="1"/>
  <c r="C28" i="33" s="1"/>
  <c r="T1161" i="1"/>
  <c r="N1161" i="1" s="1"/>
  <c r="T1158" i="1"/>
  <c r="N1158" i="1" s="1"/>
  <c r="T1147" i="1"/>
  <c r="N1147" i="1" s="1"/>
  <c r="T1100" i="1"/>
  <c r="T1094" i="1"/>
  <c r="T1078" i="1"/>
  <c r="T1058" i="1"/>
  <c r="T1042" i="1"/>
  <c r="T992" i="1"/>
  <c r="T988" i="1"/>
  <c r="T950" i="1"/>
  <c r="T934" i="1"/>
  <c r="T848" i="1"/>
  <c r="T835" i="1"/>
  <c r="T834" i="1"/>
  <c r="T830" i="1"/>
  <c r="T827" i="1"/>
  <c r="T826" i="1"/>
  <c r="T790" i="1"/>
  <c r="T759" i="1"/>
  <c r="T754" i="1"/>
  <c r="T721" i="1"/>
  <c r="T717" i="1"/>
  <c r="T716" i="1"/>
  <c r="T679" i="1"/>
  <c r="T638" i="1"/>
  <c r="T607" i="1"/>
  <c r="T569" i="1"/>
  <c r="T565" i="1"/>
  <c r="T564" i="1"/>
  <c r="T528" i="1"/>
  <c r="T493" i="1"/>
  <c r="T492" i="1"/>
  <c r="T488" i="1"/>
  <c r="N488" i="1" s="1"/>
  <c r="T484" i="1"/>
  <c r="T481" i="1"/>
  <c r="T432" i="1"/>
  <c r="T427" i="1"/>
  <c r="T407" i="1"/>
  <c r="T389" i="1"/>
  <c r="T359" i="1"/>
  <c r="T343" i="1"/>
  <c r="T328" i="1"/>
  <c r="T311" i="1"/>
  <c r="T94" i="1"/>
  <c r="T86" i="1"/>
  <c r="T1529" i="1"/>
  <c r="T1461" i="1"/>
  <c r="T2009" i="1"/>
  <c r="H20" i="50" s="1"/>
  <c r="T1731" i="1"/>
  <c r="C58" i="40" s="1"/>
  <c r="T1235" i="1"/>
  <c r="N1235" i="1" s="1"/>
  <c r="T758" i="1"/>
  <c r="T606" i="1"/>
  <c r="T1531" i="1"/>
  <c r="T1528" i="1"/>
  <c r="T1527" i="1"/>
  <c r="T1524" i="1"/>
  <c r="T1523" i="1"/>
  <c r="T1522" i="1"/>
  <c r="T1520" i="1"/>
  <c r="T1519" i="1"/>
  <c r="T1516" i="1"/>
  <c r="T1515" i="1"/>
  <c r="T1512" i="1"/>
  <c r="T1511" i="1"/>
  <c r="T1508" i="1"/>
  <c r="T1507" i="1"/>
  <c r="T1504" i="1"/>
  <c r="T1503" i="1"/>
  <c r="T1502" i="1"/>
  <c r="T1500" i="1"/>
  <c r="T1499" i="1"/>
  <c r="T1496" i="1"/>
  <c r="T1495" i="1"/>
  <c r="T1492" i="1"/>
  <c r="T1491" i="1"/>
  <c r="T1490" i="1"/>
  <c r="T1488" i="1"/>
  <c r="T1487" i="1"/>
  <c r="T1484" i="1"/>
  <c r="T1483" i="1"/>
  <c r="T1480" i="1"/>
  <c r="T1479" i="1"/>
  <c r="T1478" i="1"/>
  <c r="T1476" i="1"/>
  <c r="T1475" i="1"/>
  <c r="T1472" i="1"/>
  <c r="T1471" i="1"/>
  <c r="T1468" i="1"/>
  <c r="T1467" i="1"/>
  <c r="T1464" i="1"/>
  <c r="T1463" i="1"/>
  <c r="T1460" i="1"/>
  <c r="T1459" i="1"/>
  <c r="T1458" i="1"/>
  <c r="T1456" i="1"/>
  <c r="T1455" i="1"/>
  <c r="T1452" i="1"/>
  <c r="T1451" i="1"/>
  <c r="T1448" i="1"/>
  <c r="T1447" i="1"/>
  <c r="T1446" i="1"/>
  <c r="T1444" i="1"/>
  <c r="T1443" i="1"/>
  <c r="T1440" i="1"/>
  <c r="T1439" i="1"/>
  <c r="T1436" i="1"/>
  <c r="T1435" i="1"/>
  <c r="T1432" i="1"/>
  <c r="T1431" i="1"/>
  <c r="T1428" i="1"/>
  <c r="T1427" i="1"/>
  <c r="T1426" i="1"/>
  <c r="T1424" i="1"/>
  <c r="T1423" i="1"/>
  <c r="T1420" i="1"/>
  <c r="T1419" i="1"/>
  <c r="T1416" i="1"/>
  <c r="T1415" i="1"/>
  <c r="T1414" i="1"/>
  <c r="T1412" i="1"/>
  <c r="T1411" i="1"/>
  <c r="T2096" i="1"/>
  <c r="T2095" i="1"/>
  <c r="T2092" i="1"/>
  <c r="T2091" i="1"/>
  <c r="T2088" i="1"/>
  <c r="T2087" i="1"/>
  <c r="T2031" i="1"/>
  <c r="I44" i="50" s="1"/>
  <c r="T2030" i="1"/>
  <c r="I41" i="50" s="1"/>
  <c r="T2028" i="1"/>
  <c r="I36" i="50" s="1"/>
  <c r="T2027" i="1"/>
  <c r="I35" i="50" s="1"/>
  <c r="T2024" i="1"/>
  <c r="I22" i="50" s="1"/>
  <c r="T2021" i="1"/>
  <c r="T2020" i="1"/>
  <c r="I18" i="50" s="1"/>
  <c r="T2017" i="1"/>
  <c r="H41" i="50" s="1"/>
  <c r="T2016" i="1"/>
  <c r="H39" i="50" s="1"/>
  <c r="T2013" i="1"/>
  <c r="H34" i="50" s="1"/>
  <c r="T2012" i="1"/>
  <c r="H33" i="50" s="1"/>
  <c r="T2010" i="1"/>
  <c r="H21" i="50" s="1"/>
  <c r="T2008" i="1"/>
  <c r="T2003" i="1"/>
  <c r="N2003" i="1" s="1"/>
  <c r="T2002" i="1"/>
  <c r="T1998" i="1"/>
  <c r="T1997" i="1"/>
  <c r="T1994" i="1"/>
  <c r="T1993" i="1"/>
  <c r="T1990" i="1"/>
  <c r="F53" i="53" s="1"/>
  <c r="T1989" i="1"/>
  <c r="T1986" i="1"/>
  <c r="F47" i="53" s="1"/>
  <c r="T1985" i="1"/>
  <c r="F46" i="53" s="1"/>
  <c r="T1984" i="1"/>
  <c r="F45" i="53" s="1"/>
  <c r="T1982" i="1"/>
  <c r="F43" i="53" s="1"/>
  <c r="T1981" i="1"/>
  <c r="F42" i="53" s="1"/>
  <c r="T1978" i="1"/>
  <c r="T1976" i="1"/>
  <c r="C49" i="53" s="1"/>
  <c r="T1974" i="1"/>
  <c r="C47" i="53" s="1"/>
  <c r="T1973" i="1"/>
  <c r="C46" i="53" s="1"/>
  <c r="T1972" i="1"/>
  <c r="C45" i="53" s="1"/>
  <c r="T1970" i="1"/>
  <c r="C43" i="53" s="1"/>
  <c r="T1969" i="1"/>
  <c r="C42" i="53" s="1"/>
  <c r="T1966" i="1"/>
  <c r="T1965" i="1"/>
  <c r="T1837" i="1"/>
  <c r="L136" i="6" s="1"/>
  <c r="T1832" i="1"/>
  <c r="T1550" i="1"/>
  <c r="T1547" i="1"/>
  <c r="C16" i="47" s="1"/>
  <c r="T1546" i="1"/>
  <c r="C15" i="47" s="1"/>
  <c r="T1545" i="1"/>
  <c r="C14" i="47" s="1"/>
  <c r="T1543" i="1"/>
  <c r="N1543" i="1" s="1"/>
  <c r="T1760" i="1"/>
  <c r="N1760" i="1" s="1"/>
  <c r="T1741" i="1"/>
  <c r="C69" i="40" s="1"/>
  <c r="T1738" i="1"/>
  <c r="T1733" i="1"/>
  <c r="C60" i="40" s="1"/>
  <c r="T1732" i="1"/>
  <c r="C59" i="40" s="1"/>
  <c r="T1729" i="1"/>
  <c r="N1729" i="1" s="1"/>
  <c r="T1725" i="1"/>
  <c r="T1724" i="1"/>
  <c r="T1721" i="1"/>
  <c r="N1721" i="1" s="1"/>
  <c r="T1719" i="1"/>
  <c r="N1719" i="1" s="1"/>
  <c r="T1703" i="1"/>
  <c r="N1703" i="1" s="1"/>
  <c r="T1757" i="1"/>
  <c r="T1756" i="1"/>
  <c r="T1566" i="1"/>
  <c r="T1565" i="1"/>
  <c r="T1564" i="1"/>
  <c r="T1562" i="1"/>
  <c r="T1561" i="1"/>
  <c r="T1558" i="1"/>
  <c r="T1557" i="1"/>
  <c r="T1554" i="1"/>
  <c r="N1554" i="1" s="1"/>
  <c r="T1407" i="1"/>
  <c r="T1406" i="1"/>
  <c r="N1406" i="1" s="1"/>
  <c r="T1403" i="1"/>
  <c r="T1402" i="1"/>
  <c r="T1401" i="1"/>
  <c r="T1399" i="1"/>
  <c r="T1398" i="1"/>
  <c r="T1391" i="1"/>
  <c r="T1386" i="1"/>
  <c r="T1371" i="1"/>
  <c r="T1369" i="1"/>
  <c r="T1367" i="1"/>
  <c r="T1366" i="1"/>
  <c r="T1362" i="1"/>
  <c r="T1361" i="1"/>
  <c r="T1359" i="1"/>
  <c r="T1358" i="1"/>
  <c r="T1357" i="1"/>
  <c r="T1355" i="1"/>
  <c r="T1354" i="1"/>
  <c r="T1351" i="1"/>
  <c r="T1314" i="1"/>
  <c r="T1308" i="1"/>
  <c r="T1301" i="1"/>
  <c r="T1296" i="1"/>
  <c r="T1288" i="1"/>
  <c r="T1287" i="1"/>
  <c r="T1285" i="1"/>
  <c r="T1277" i="1"/>
  <c r="T1269" i="1"/>
  <c r="T1261" i="1"/>
  <c r="T1254" i="1"/>
  <c r="T1252" i="1"/>
  <c r="T1215" i="1"/>
  <c r="T1214" i="1"/>
  <c r="T1210" i="1"/>
  <c r="C34" i="34" s="1"/>
  <c r="T1206" i="1"/>
  <c r="T1205" i="1"/>
  <c r="T1204" i="1"/>
  <c r="T1192" i="1"/>
  <c r="N1192" i="1" s="1"/>
  <c r="T1186" i="1"/>
  <c r="C40" i="33" s="1"/>
  <c r="T1175" i="1"/>
  <c r="D31" i="33" s="1"/>
  <c r="T1174" i="1"/>
  <c r="D30" i="33" s="1"/>
  <c r="T1171" i="1"/>
  <c r="D27" i="33" s="1"/>
  <c r="T1167" i="1"/>
  <c r="C31" i="33" s="1"/>
  <c r="T1166" i="1"/>
  <c r="C30" i="33" s="1"/>
  <c r="T1165" i="1"/>
  <c r="C29" i="33" s="1"/>
  <c r="T1163" i="1"/>
  <c r="C27" i="33" s="1"/>
  <c r="T1159" i="1"/>
  <c r="C13" i="33" s="1"/>
  <c r="T1152" i="1"/>
  <c r="T1151" i="1"/>
  <c r="T1130" i="1"/>
  <c r="T1114" i="1"/>
  <c r="T1064" i="1"/>
  <c r="T1028" i="1"/>
  <c r="T1022" i="1"/>
  <c r="T1006" i="1"/>
  <c r="T989" i="1"/>
  <c r="T986" i="1"/>
  <c r="T970" i="1"/>
  <c r="T920" i="1"/>
  <c r="T914" i="1"/>
  <c r="T898" i="1"/>
  <c r="T884" i="1"/>
  <c r="T878" i="1"/>
  <c r="T862" i="1"/>
  <c r="T847" i="1"/>
  <c r="T846" i="1"/>
  <c r="N846" i="1" s="1"/>
  <c r="T837" i="1"/>
  <c r="N837" i="1" s="1"/>
  <c r="T836" i="1"/>
  <c r="T833" i="1"/>
  <c r="T832" i="1"/>
  <c r="T829" i="1"/>
  <c r="T828" i="1"/>
  <c r="T819" i="1"/>
  <c r="T807" i="1"/>
  <c r="N807" i="1" s="1"/>
  <c r="T793" i="1"/>
  <c r="T792" i="1"/>
  <c r="T755" i="1"/>
  <c r="T752" i="1"/>
  <c r="T720" i="1"/>
  <c r="T714" i="1"/>
  <c r="T683" i="1"/>
  <c r="T682" i="1"/>
  <c r="T678" i="1"/>
  <c r="T676" i="1"/>
  <c r="T645" i="1"/>
  <c r="T644" i="1"/>
  <c r="T641" i="1"/>
  <c r="T640" i="1"/>
  <c r="T603" i="1"/>
  <c r="T602" i="1"/>
  <c r="T600" i="1"/>
  <c r="T562" i="1"/>
  <c r="T531" i="1"/>
  <c r="T527" i="1"/>
  <c r="T525" i="1"/>
  <c r="T494" i="1"/>
  <c r="T491" i="1"/>
  <c r="N491" i="1" s="1"/>
  <c r="T490" i="1"/>
  <c r="T489" i="1"/>
  <c r="T487" i="1"/>
  <c r="T486" i="1"/>
  <c r="T485" i="1"/>
  <c r="T483" i="1"/>
  <c r="T482" i="1"/>
  <c r="T470" i="1"/>
  <c r="T461" i="1"/>
  <c r="T460" i="1"/>
  <c r="T430" i="1"/>
  <c r="T391" i="1"/>
  <c r="T390" i="1"/>
  <c r="T373" i="1"/>
  <c r="T358" i="1"/>
  <c r="T294" i="1"/>
  <c r="T293" i="1"/>
  <c r="T287" i="1"/>
  <c r="T202" i="1"/>
  <c r="T147" i="1"/>
  <c r="T95" i="1"/>
  <c r="T87" i="1"/>
  <c r="T84" i="1"/>
  <c r="T41" i="1"/>
  <c r="T40" i="1"/>
  <c r="T31" i="1"/>
  <c r="Q342" i="1"/>
  <c r="P342" i="1"/>
  <c r="Q327" i="1"/>
  <c r="P327" i="1"/>
  <c r="O327" i="1"/>
  <c r="P310" i="1"/>
  <c r="P250" i="1"/>
  <c r="R139" i="1"/>
  <c r="P139" i="1"/>
  <c r="R132" i="1"/>
  <c r="P132" i="1"/>
  <c r="R119" i="1"/>
  <c r="Q119" i="1"/>
  <c r="P119" i="1"/>
  <c r="N1549" i="1" l="1"/>
  <c r="C18" i="47"/>
  <c r="C20" i="47" s="1"/>
  <c r="D24" i="17"/>
  <c r="N1269" i="1"/>
  <c r="N40" i="1"/>
  <c r="L19" i="6"/>
  <c r="D19" i="17"/>
  <c r="N179" i="1"/>
  <c r="I40" i="33"/>
  <c r="F40" i="33"/>
  <c r="C38" i="35"/>
  <c r="V38" i="35" s="1"/>
  <c r="C37" i="36"/>
  <c r="C32" i="35"/>
  <c r="V32" i="35" s="1"/>
  <c r="C20" i="35"/>
  <c r="V20" i="35" s="1"/>
  <c r="C54" i="35"/>
  <c r="C70" i="40"/>
  <c r="C61" i="40"/>
  <c r="C63" i="40" s="1"/>
  <c r="C53" i="53"/>
  <c r="I53" i="53" s="1"/>
  <c r="N1726" i="1"/>
  <c r="L144" i="6"/>
  <c r="L146" i="6" s="1"/>
  <c r="I41" i="53"/>
  <c r="I48" i="53"/>
  <c r="I44" i="53"/>
  <c r="I43" i="53"/>
  <c r="I45" i="53"/>
  <c r="I46" i="53"/>
  <c r="I40" i="53"/>
  <c r="C51" i="53"/>
  <c r="I49" i="53"/>
  <c r="H19" i="50"/>
  <c r="H23" i="50" s="1"/>
  <c r="H37" i="50"/>
  <c r="H46" i="50" s="1"/>
  <c r="I37" i="50"/>
  <c r="I46" i="50" s="1"/>
  <c r="F51" i="53"/>
  <c r="I42" i="53"/>
  <c r="I47" i="53"/>
  <c r="I19" i="50"/>
  <c r="I23" i="50" s="1"/>
  <c r="D44" i="22"/>
  <c r="D112" i="22" s="1"/>
  <c r="AA44" i="22"/>
  <c r="CK44" i="22" s="1"/>
  <c r="L17" i="6"/>
  <c r="T357" i="1"/>
  <c r="D55" i="22"/>
  <c r="AA55" i="22"/>
  <c r="CK55" i="22" s="1"/>
  <c r="AA22" i="22"/>
  <c r="CK22" i="22" s="1"/>
  <c r="D43" i="22"/>
  <c r="D111" i="22" s="1"/>
  <c r="AA43" i="22"/>
  <c r="CK43" i="22" s="1"/>
  <c r="AA41" i="22"/>
  <c r="CK41" i="22" s="1"/>
  <c r="D41" i="22"/>
  <c r="D45" i="22"/>
  <c r="D113" i="22" s="1"/>
  <c r="AA45" i="22"/>
  <c r="CK45" i="22" s="1"/>
  <c r="D27" i="22"/>
  <c r="D96" i="22" s="1"/>
  <c r="AA27" i="22"/>
  <c r="CK27" i="22" s="1"/>
  <c r="P140" i="1"/>
  <c r="P143" i="1" s="1"/>
  <c r="R140" i="1"/>
  <c r="R143" i="1" s="1"/>
  <c r="D15" i="132" l="1"/>
  <c r="M49" i="34"/>
  <c r="D195" i="60" s="1"/>
  <c r="L49" i="34"/>
  <c r="F19" i="6"/>
  <c r="C71" i="40"/>
  <c r="Q187" i="1"/>
  <c r="L40" i="33"/>
  <c r="I51" i="53"/>
  <c r="D17" i="132" l="1"/>
  <c r="Q139" i="1"/>
  <c r="N136" i="1"/>
  <c r="F123" i="22" l="1"/>
  <c r="J123" i="22" s="1"/>
  <c r="U123" i="22"/>
  <c r="D1501" i="1"/>
  <c r="D1502" i="1" s="1"/>
  <c r="D1503" i="1" s="1"/>
  <c r="D1504" i="1" s="1"/>
  <c r="D1505" i="1" s="1"/>
  <c r="D1506" i="1" s="1"/>
  <c r="D1507" i="1" s="1"/>
  <c r="D1508" i="1" s="1"/>
  <c r="D1509" i="1" s="1"/>
  <c r="N1531"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499"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2094" i="1"/>
  <c r="N1530" i="1"/>
  <c r="N1500" i="1"/>
  <c r="N1434" i="1"/>
  <c r="V1400" i="1"/>
  <c r="CM1400" i="1" s="1"/>
  <c r="CP1400" i="1" s="1"/>
  <c r="Q1400" i="1"/>
  <c r="P1400" i="1"/>
  <c r="O1400" i="1"/>
  <c r="V1356" i="1"/>
  <c r="CM1356" i="1" s="1"/>
  <c r="CP1356" i="1" s="1"/>
  <c r="Q1356" i="1"/>
  <c r="P1356" i="1"/>
  <c r="O1356" i="1"/>
  <c r="D25" i="141" l="1"/>
  <c r="D21" i="141"/>
  <c r="D23" i="141"/>
  <c r="D29" i="141"/>
  <c r="D17" i="141"/>
  <c r="D19" i="141"/>
  <c r="D27" i="141"/>
  <c r="D15" i="141"/>
  <c r="J1350" i="1"/>
  <c r="T1400" i="1"/>
  <c r="T1356" i="1"/>
  <c r="D31" i="141" l="1"/>
  <c r="K1350" i="1"/>
  <c r="L1356" i="1"/>
  <c r="J24" i="53"/>
  <c r="G21" i="53"/>
  <c r="D21" i="53"/>
  <c r="J20" i="53"/>
  <c r="J19" i="53"/>
  <c r="J18" i="53"/>
  <c r="J17" i="53"/>
  <c r="J16" i="53"/>
  <c r="J15" i="53"/>
  <c r="J14" i="53"/>
  <c r="J13" i="53"/>
  <c r="J12" i="53"/>
  <c r="J11" i="53"/>
  <c r="D32" i="141" l="1"/>
  <c r="J21" i="53"/>
  <c r="E251" i="1" l="1"/>
  <c r="N1976" i="1" l="1"/>
  <c r="C20" i="53" s="1"/>
  <c r="N1975" i="1"/>
  <c r="C19" i="53" s="1"/>
  <c r="N1974" i="1"/>
  <c r="C18" i="53" s="1"/>
  <c r="E52" i="36" l="1"/>
  <c r="N1965" i="1" l="1"/>
  <c r="N2000" i="1"/>
  <c r="N1999" i="1"/>
  <c r="N1998" i="1"/>
  <c r="N1990" i="1"/>
  <c r="F24" i="53" s="1"/>
  <c r="N1989" i="1"/>
  <c r="N1988" i="1"/>
  <c r="F20" i="53" s="1"/>
  <c r="N1987" i="1"/>
  <c r="F19" i="53" s="1"/>
  <c r="N1986" i="1"/>
  <c r="F18" i="53" s="1"/>
  <c r="V1977" i="1"/>
  <c r="Q1977" i="1"/>
  <c r="P1977" i="1"/>
  <c r="O1977" i="1"/>
  <c r="CM1977" i="1" l="1"/>
  <c r="CP1977" i="1" s="1"/>
  <c r="I18" i="53"/>
  <c r="I19" i="53"/>
  <c r="I20" i="53"/>
  <c r="K1991" i="1"/>
  <c r="K1992" i="1"/>
  <c r="K1989" i="1"/>
  <c r="K2002" i="1" s="1"/>
  <c r="K1994" i="1"/>
  <c r="K1993" i="1"/>
  <c r="K1995" i="1" l="1"/>
  <c r="K1996" i="1" l="1"/>
  <c r="K1997" i="1" l="1"/>
  <c r="K1998" i="1" l="1"/>
  <c r="K2000" i="1" l="1"/>
  <c r="K1999" i="1"/>
  <c r="K1977" i="1" l="1"/>
  <c r="K2001" i="1" s="1"/>
  <c r="V1263" i="1" l="1"/>
  <c r="Q1263" i="1"/>
  <c r="P1263" i="1"/>
  <c r="O1263" i="1"/>
  <c r="E1115" i="1"/>
  <c r="E1079" i="1"/>
  <c r="E1043" i="1"/>
  <c r="E1007" i="1"/>
  <c r="E971" i="1"/>
  <c r="E935" i="1"/>
  <c r="E899" i="1"/>
  <c r="E863" i="1"/>
  <c r="E585" i="1"/>
  <c r="J585" i="1" l="1"/>
  <c r="J737" i="1"/>
  <c r="K737" i="1" s="1"/>
  <c r="J935" i="1"/>
  <c r="J1079" i="1"/>
  <c r="J623" i="1"/>
  <c r="K623" i="1" s="1"/>
  <c r="J775" i="1"/>
  <c r="K775" i="1" s="1"/>
  <c r="J971" i="1"/>
  <c r="J1115" i="1"/>
  <c r="J510" i="1"/>
  <c r="J661" i="1"/>
  <c r="K661" i="1" s="1"/>
  <c r="J863" i="1"/>
  <c r="J1007" i="1"/>
  <c r="L1007" i="1" s="1"/>
  <c r="J547" i="1"/>
  <c r="J699" i="1"/>
  <c r="K699" i="1" s="1"/>
  <c r="J899" i="1"/>
  <c r="J1043" i="1"/>
  <c r="L1115" i="1" l="1"/>
  <c r="L1117" i="1" s="1"/>
  <c r="L1127" i="1" s="1"/>
  <c r="L1079" i="1"/>
  <c r="L1081" i="1" s="1"/>
  <c r="L1091" i="1" s="1"/>
  <c r="L899" i="1"/>
  <c r="L901" i="1" s="1"/>
  <c r="L911" i="1" s="1"/>
  <c r="L547" i="1"/>
  <c r="L549" i="1" s="1"/>
  <c r="L559" i="1" s="1"/>
  <c r="L510" i="1"/>
  <c r="L512" i="1" s="1"/>
  <c r="L522" i="1" s="1"/>
  <c r="L623" i="1"/>
  <c r="L625" i="1" s="1"/>
  <c r="L635" i="1" s="1"/>
  <c r="L1043" i="1"/>
  <c r="L1045" i="1" s="1"/>
  <c r="L1055" i="1" s="1"/>
  <c r="L863" i="1"/>
  <c r="L865" i="1" s="1"/>
  <c r="L875" i="1" s="1"/>
  <c r="L971" i="1"/>
  <c r="L973" i="1" s="1"/>
  <c r="L983" i="1" s="1"/>
  <c r="L935" i="1"/>
  <c r="L937" i="1" s="1"/>
  <c r="L947" i="1" s="1"/>
  <c r="L699" i="1"/>
  <c r="L701" i="1" s="1"/>
  <c r="L711" i="1" s="1"/>
  <c r="L661" i="1"/>
  <c r="L663" i="1" s="1"/>
  <c r="L673" i="1" s="1"/>
  <c r="L775" i="1"/>
  <c r="L777" i="1" s="1"/>
  <c r="L787" i="1" s="1"/>
  <c r="L737" i="1"/>
  <c r="L739" i="1" s="1"/>
  <c r="L749" i="1" s="1"/>
  <c r="L585" i="1"/>
  <c r="L587" i="1" s="1"/>
  <c r="L597" i="1" s="1"/>
  <c r="L1021" i="1"/>
  <c r="L1009" i="1"/>
  <c r="L1019" i="1" s="1"/>
  <c r="K1043" i="1"/>
  <c r="K1007" i="1"/>
  <c r="K1115" i="1"/>
  <c r="K1079" i="1"/>
  <c r="K899" i="1"/>
  <c r="K971" i="1"/>
  <c r="K935" i="1"/>
  <c r="K863" i="1"/>
  <c r="K547" i="1"/>
  <c r="K510" i="1"/>
  <c r="K585" i="1"/>
  <c r="K1390" i="1"/>
  <c r="K1342" i="1"/>
  <c r="K1185" i="1"/>
  <c r="K1177" i="1"/>
  <c r="K1169" i="1"/>
  <c r="K1156" i="1"/>
  <c r="K387" i="1"/>
  <c r="K372" i="1"/>
  <c r="K388" i="1" l="1"/>
  <c r="K1385" i="1"/>
  <c r="AG120" i="6" l="1"/>
  <c r="AF120" i="6"/>
  <c r="AE120" i="6"/>
  <c r="AD120" i="6"/>
  <c r="AC120" i="6"/>
  <c r="AB120" i="6"/>
  <c r="AA120" i="6"/>
  <c r="Z120" i="6"/>
  <c r="Y120" i="6"/>
  <c r="X120" i="6"/>
  <c r="U120" i="6"/>
  <c r="Q120" i="6"/>
  <c r="P120" i="6"/>
  <c r="E1136" i="1"/>
  <c r="R120" i="6" l="1"/>
  <c r="V120" i="6"/>
  <c r="E796" i="1" l="1"/>
  <c r="B3" i="49" l="1"/>
  <c r="B2" i="49"/>
  <c r="B1" i="49"/>
  <c r="B3" i="47"/>
  <c r="B2" i="47"/>
  <c r="B1" i="47"/>
  <c r="F20" i="47"/>
  <c r="B5" i="20" l="1"/>
  <c r="B5" i="23"/>
  <c r="B75" i="23"/>
  <c r="B46" i="23"/>
  <c r="B1" i="23"/>
  <c r="D56" i="40" l="1"/>
  <c r="D32" i="40"/>
  <c r="G32" i="40" l="1"/>
  <c r="G56" i="40"/>
  <c r="G44" i="39"/>
  <c r="G55" i="40"/>
  <c r="D55" i="40"/>
  <c r="G43" i="39"/>
  <c r="I6" i="36"/>
  <c r="E6" i="36"/>
  <c r="E7" i="35"/>
  <c r="I17" i="34"/>
  <c r="E17" i="34"/>
  <c r="K6" i="32"/>
  <c r="E6" i="32"/>
  <c r="E26" i="36"/>
  <c r="E25" i="36"/>
  <c r="E15" i="36"/>
  <c r="E12" i="36"/>
  <c r="E39" i="35"/>
  <c r="E26" i="35"/>
  <c r="J18" i="22" s="1"/>
  <c r="F61" i="60" s="1"/>
  <c r="E8" i="35" l="1"/>
  <c r="B2" i="43"/>
  <c r="B1" i="43"/>
  <c r="B2" i="42"/>
  <c r="B1" i="42"/>
  <c r="B3" i="39"/>
  <c r="B2" i="39"/>
  <c r="B1" i="39"/>
  <c r="B3" i="41"/>
  <c r="B2" i="41"/>
  <c r="B1" i="41"/>
  <c r="B3" i="40"/>
  <c r="B2" i="40"/>
  <c r="B1" i="40"/>
  <c r="B3" i="36"/>
  <c r="B1" i="36"/>
  <c r="B3" i="35"/>
  <c r="B2" i="35"/>
  <c r="B1" i="35"/>
  <c r="L51" i="35" l="1"/>
  <c r="N51" i="35"/>
  <c r="E51" i="35"/>
  <c r="C51" i="35"/>
  <c r="I8" i="35"/>
  <c r="B3" i="34"/>
  <c r="B2" i="34"/>
  <c r="B1" i="34"/>
  <c r="K7" i="32"/>
  <c r="E7" i="32"/>
  <c r="I51" i="35" l="1"/>
  <c r="G51" i="35"/>
  <c r="B3" i="33" l="1"/>
  <c r="B2" i="33"/>
  <c r="B1" i="33"/>
  <c r="B120" i="31"/>
  <c r="J120" i="31"/>
  <c r="I120" i="31"/>
  <c r="H120" i="31"/>
  <c r="G120" i="31"/>
  <c r="F120" i="31"/>
  <c r="E120" i="31"/>
  <c r="D120" i="31"/>
  <c r="K119" i="31"/>
  <c r="B3" i="32"/>
  <c r="B2" i="32"/>
  <c r="B1" i="32"/>
  <c r="D10" i="30"/>
  <c r="J10" i="30" s="1"/>
  <c r="C10" i="30"/>
  <c r="I10" i="30" s="1"/>
  <c r="B120" i="29"/>
  <c r="B44" i="29"/>
  <c r="B41" i="29"/>
  <c r="B41" i="31"/>
  <c r="B50" i="31"/>
  <c r="B114" i="31" s="1"/>
  <c r="B39" i="31"/>
  <c r="B38" i="29" l="1"/>
  <c r="K262" i="60" s="1"/>
  <c r="L249" i="60"/>
  <c r="K120" i="31"/>
  <c r="B2" i="24" l="1"/>
  <c r="B1" i="24"/>
  <c r="B1" i="22"/>
  <c r="B1" i="21"/>
  <c r="B1" i="20"/>
  <c r="B3" i="31"/>
  <c r="B2" i="31"/>
  <c r="B1" i="31"/>
  <c r="F16" i="30"/>
  <c r="B3" i="30"/>
  <c r="B3" i="29"/>
  <c r="B3" i="28"/>
  <c r="B3" i="27"/>
  <c r="B3" i="26"/>
  <c r="B2" i="30"/>
  <c r="B1" i="30"/>
  <c r="B293" i="1" l="1"/>
  <c r="E293" i="1" s="1"/>
  <c r="A6" i="24"/>
  <c r="N87" i="1"/>
  <c r="N293" i="1"/>
  <c r="E358" i="1" l="1"/>
  <c r="B328" i="1"/>
  <c r="A6" i="25"/>
  <c r="B152" i="60"/>
  <c r="B153" i="60" s="1"/>
  <c r="A5" i="28" l="1"/>
  <c r="V599" i="1"/>
  <c r="AW831" i="1"/>
  <c r="V831" i="1"/>
  <c r="M121" i="6"/>
  <c r="J121" i="6"/>
  <c r="Q831" i="1"/>
  <c r="I121" i="6" s="1"/>
  <c r="P831" i="1"/>
  <c r="H121" i="6" s="1"/>
  <c r="O831" i="1"/>
  <c r="G121" i="6" s="1"/>
  <c r="B2" i="29"/>
  <c r="B1" i="29"/>
  <c r="I7" i="28"/>
  <c r="G7" i="28"/>
  <c r="Q478" i="1"/>
  <c r="P478" i="1"/>
  <c r="O478" i="1"/>
  <c r="B2" i="28"/>
  <c r="B1" i="28"/>
  <c r="M6" i="27"/>
  <c r="K6" i="27"/>
  <c r="F6" i="27"/>
  <c r="I8" i="28"/>
  <c r="G8" i="28"/>
  <c r="M50" i="27"/>
  <c r="M53" i="27" s="1"/>
  <c r="Q425" i="1"/>
  <c r="P425" i="1"/>
  <c r="O425" i="1"/>
  <c r="M425" i="1"/>
  <c r="Q406" i="1"/>
  <c r="P406" i="1"/>
  <c r="O406" i="1"/>
  <c r="M406" i="1"/>
  <c r="V372" i="1"/>
  <c r="Q372" i="1"/>
  <c r="P372" i="1"/>
  <c r="O372" i="1"/>
  <c r="N460" i="1"/>
  <c r="B2" i="27"/>
  <c r="B1" i="27"/>
  <c r="K7" i="27"/>
  <c r="M7" i="27" s="1"/>
  <c r="F7" i="27"/>
  <c r="D7" i="26"/>
  <c r="N121" i="6" l="1"/>
  <c r="CP831" i="1"/>
  <c r="F7" i="26"/>
  <c r="Q7" i="26"/>
  <c r="I30" i="28"/>
  <c r="B492" i="1"/>
  <c r="T831" i="1"/>
  <c r="N831" i="1" s="1"/>
  <c r="Q426" i="1"/>
  <c r="Q431" i="1" s="1"/>
  <c r="M426" i="1"/>
  <c r="M431" i="1" s="1"/>
  <c r="O426" i="1"/>
  <c r="O431" i="1" s="1"/>
  <c r="P426" i="1"/>
  <c r="P431" i="1" s="1"/>
  <c r="A5" i="29" l="1"/>
  <c r="B493" i="1" l="1"/>
  <c r="E493" i="1" s="1"/>
  <c r="C14" i="21"/>
  <c r="A10" i="59"/>
  <c r="A6" i="29"/>
  <c r="A12" i="59" l="1"/>
  <c r="A22" i="59"/>
  <c r="A26" i="59"/>
  <c r="B807" i="1"/>
  <c r="B808" i="1" s="1"/>
  <c r="A6" i="30"/>
  <c r="A57" i="29"/>
  <c r="C24" i="21" l="1"/>
  <c r="A30" i="59"/>
  <c r="A114" i="29"/>
  <c r="B847" i="1" l="1"/>
  <c r="B846" i="1"/>
  <c r="A6" i="31"/>
  <c r="A5" i="31"/>
  <c r="C16" i="21" l="1"/>
  <c r="A11" i="59"/>
  <c r="A108" i="31"/>
  <c r="A53" i="31"/>
  <c r="A5" i="32" l="1"/>
  <c r="B1147" i="1"/>
  <c r="A13" i="59"/>
  <c r="A24" i="59"/>
  <c r="A28" i="59"/>
  <c r="B1158" i="1"/>
  <c r="B1159" i="1" s="1"/>
  <c r="B1160" i="1" s="1"/>
  <c r="A5" i="33" l="1"/>
  <c r="B1161" i="1" l="1"/>
  <c r="A21" i="33"/>
  <c r="A37" i="59"/>
  <c r="A38" i="59"/>
  <c r="A5" i="34" l="1"/>
  <c r="C25" i="21" s="1"/>
  <c r="B1192" i="1"/>
  <c r="A39" i="59"/>
  <c r="A40" i="59"/>
  <c r="V425" i="1"/>
  <c r="A17" i="34" l="1"/>
  <c r="C29" i="21" s="1"/>
  <c r="B1200" i="1"/>
  <c r="B1235" i="1"/>
  <c r="N358" i="1"/>
  <c r="P387" i="1"/>
  <c r="P388" i="1" s="1"/>
  <c r="H8" i="6" s="1"/>
  <c r="B2" i="26"/>
  <c r="B1" i="26"/>
  <c r="J7" i="26"/>
  <c r="L7" i="26" s="1"/>
  <c r="J31" i="26"/>
  <c r="J19" i="26"/>
  <c r="B1201" i="1" l="1"/>
  <c r="E1200" i="1"/>
  <c r="A41" i="34"/>
  <c r="B1216" i="1"/>
  <c r="B1217" i="1" s="1"/>
  <c r="A5" i="35"/>
  <c r="B1269" i="1"/>
  <c r="J33" i="26"/>
  <c r="E1216" i="1" l="1"/>
  <c r="B1218" i="1"/>
  <c r="B1219" i="1" s="1"/>
  <c r="B1220" i="1" s="1"/>
  <c r="B1221" i="1" s="1"/>
  <c r="B1222" i="1" s="1"/>
  <c r="B1223" i="1" s="1"/>
  <c r="B1224" i="1" s="1"/>
  <c r="A5" i="36"/>
  <c r="C27" i="21"/>
  <c r="C26" i="21"/>
  <c r="C18" i="21"/>
  <c r="C19" i="21"/>
  <c r="N1964" i="1"/>
  <c r="N1875" i="1"/>
  <c r="N1832" i="1"/>
  <c r="N492" i="1"/>
  <c r="N485" i="1"/>
  <c r="N389" i="1"/>
  <c r="N147" i="1"/>
  <c r="N94" i="1"/>
  <c r="N41" i="1"/>
  <c r="N31" i="1"/>
  <c r="B1225" i="1" l="1"/>
  <c r="B1226" i="1" s="1"/>
  <c r="B1227" i="1" s="1"/>
  <c r="B1228" i="1" s="1"/>
  <c r="C38" i="21"/>
  <c r="B1313" i="1"/>
  <c r="B1314" i="1" s="1"/>
  <c r="F17" i="6"/>
  <c r="C37" i="21"/>
  <c r="C35" i="21"/>
  <c r="C47" i="21"/>
  <c r="T1977" i="1"/>
  <c r="B1229" i="1" l="1"/>
  <c r="B1230" i="1" s="1"/>
  <c r="B1231" i="1" s="1"/>
  <c r="B1232" i="1" s="1"/>
  <c r="B1233" i="1" s="1"/>
  <c r="B1234" i="1" s="1"/>
  <c r="C46" i="21"/>
  <c r="B1554" i="1" l="1"/>
  <c r="A5" i="39" l="1"/>
  <c r="B1703" i="1" l="1"/>
  <c r="A7" i="39"/>
  <c r="B1714" i="1" l="1"/>
  <c r="B1719" i="1" l="1"/>
  <c r="A5" i="40"/>
  <c r="B1721" i="1"/>
  <c r="A7" i="40" l="1"/>
  <c r="B1722" i="1"/>
  <c r="E1722" i="1" s="1"/>
  <c r="C36" i="40" l="1"/>
  <c r="C35" i="40"/>
  <c r="C34" i="40"/>
  <c r="C28" i="40"/>
  <c r="D28" i="40"/>
  <c r="W17" i="27" s="1"/>
  <c r="C20" i="40"/>
  <c r="D20" i="40"/>
  <c r="B1729" i="1"/>
  <c r="E1729" i="1" s="1"/>
  <c r="A40" i="40"/>
  <c r="C37" i="40" l="1"/>
  <c r="B1744" i="1"/>
  <c r="B1745" i="1"/>
  <c r="E1745" i="1" s="1"/>
  <c r="B1749" i="1"/>
  <c r="A6" i="41"/>
  <c r="E1749" i="1" l="1"/>
  <c r="B1750" i="1"/>
  <c r="B1751" i="1" s="1"/>
  <c r="A8" i="41"/>
  <c r="B31" i="9"/>
  <c r="AY480" i="1" l="1"/>
  <c r="BB480" i="1"/>
  <c r="BB1799" i="1"/>
  <c r="AY1799" i="1"/>
  <c r="AY1796" i="1"/>
  <c r="BB1796" i="1"/>
  <c r="BB1775" i="1"/>
  <c r="AY1775" i="1"/>
  <c r="BB1772" i="1"/>
  <c r="AY1772" i="1"/>
  <c r="BB1698" i="1"/>
  <c r="AY1674" i="1"/>
  <c r="BB1671" i="1"/>
  <c r="BB1666" i="1"/>
  <c r="AY1661" i="1"/>
  <c r="BB1655" i="1"/>
  <c r="AY1650" i="1"/>
  <c r="AY1645" i="1"/>
  <c r="BB1642" i="1"/>
  <c r="AY1639" i="1"/>
  <c r="AY1634" i="1"/>
  <c r="BB1631" i="1"/>
  <c r="AY1629" i="1"/>
  <c r="BB1626" i="1"/>
  <c r="BB1620" i="1"/>
  <c r="AY1615" i="1"/>
  <c r="AY1610" i="1"/>
  <c r="BB1607" i="1"/>
  <c r="BB1601" i="1"/>
  <c r="AY1596" i="1"/>
  <c r="AY1591" i="1"/>
  <c r="BB1588" i="1"/>
  <c r="AY1671" i="1"/>
  <c r="BB1668" i="1"/>
  <c r="BB1663" i="1"/>
  <c r="BB1657" i="1"/>
  <c r="BB1652" i="1"/>
  <c r="BB1623" i="1"/>
  <c r="BB1617" i="1"/>
  <c r="BB1612" i="1"/>
  <c r="BB1603" i="1"/>
  <c r="BB1598" i="1"/>
  <c r="BB1593" i="1"/>
  <c r="BB1662" i="1"/>
  <c r="BB1651" i="1"/>
  <c r="BB1635" i="1"/>
  <c r="AY1619" i="1"/>
  <c r="AY1600" i="1"/>
  <c r="BB1592" i="1"/>
  <c r="BB1674" i="1"/>
  <c r="BB1645" i="1"/>
  <c r="BB1629" i="1"/>
  <c r="BB1596" i="1"/>
  <c r="AY1701" i="1"/>
  <c r="AY1666" i="1"/>
  <c r="AY1655" i="1"/>
  <c r="BB1647" i="1"/>
  <c r="AY1642" i="1"/>
  <c r="BB1636" i="1"/>
  <c r="AY1631" i="1"/>
  <c r="AY1626" i="1"/>
  <c r="AY1620" i="1"/>
  <c r="AY1607" i="1"/>
  <c r="AY1601" i="1"/>
  <c r="AY1588" i="1"/>
  <c r="AY1641" i="1"/>
  <c r="AY1699" i="1"/>
  <c r="BB1701" i="1"/>
  <c r="BB1673" i="1"/>
  <c r="AY1668" i="1"/>
  <c r="AY1663" i="1"/>
  <c r="BB1660" i="1"/>
  <c r="AY1657" i="1"/>
  <c r="AY1652" i="1"/>
  <c r="BB1649" i="1"/>
  <c r="AY1647" i="1"/>
  <c r="BB1644" i="1"/>
  <c r="AY1636" i="1"/>
  <c r="BB1633" i="1"/>
  <c r="BB1628" i="1"/>
  <c r="AY1623" i="1"/>
  <c r="AY1617" i="1"/>
  <c r="BB1614" i="1"/>
  <c r="AY1612" i="1"/>
  <c r="BB1609" i="1"/>
  <c r="AY1603" i="1"/>
  <c r="AY1598" i="1"/>
  <c r="BB1595" i="1"/>
  <c r="AY1593" i="1"/>
  <c r="BB1590" i="1"/>
  <c r="AY1675" i="1"/>
  <c r="AY1670" i="1"/>
  <c r="BB1667" i="1"/>
  <c r="AY1665" i="1"/>
  <c r="BB1630" i="1"/>
  <c r="BB1621" i="1"/>
  <c r="BB1611" i="1"/>
  <c r="AY1587" i="1"/>
  <c r="AY1664" i="1"/>
  <c r="BB1639" i="1"/>
  <c r="BB1615" i="1"/>
  <c r="AY1594" i="1"/>
  <c r="BB1699" i="1"/>
  <c r="BB1675" i="1"/>
  <c r="AY1673" i="1"/>
  <c r="BB1670" i="1"/>
  <c r="BB1665" i="1"/>
  <c r="AY1660" i="1"/>
  <c r="BB1654" i="1"/>
  <c r="AY1649" i="1"/>
  <c r="AY1644" i="1"/>
  <c r="BB1641" i="1"/>
  <c r="BB1638" i="1"/>
  <c r="AY1633" i="1"/>
  <c r="AY1628" i="1"/>
  <c r="BB1625" i="1"/>
  <c r="BB1619" i="1"/>
  <c r="AY1614" i="1"/>
  <c r="AY1609" i="1"/>
  <c r="BB1606" i="1"/>
  <c r="BB1600" i="1"/>
  <c r="AY1595" i="1"/>
  <c r="AY1590" i="1"/>
  <c r="BB1587" i="1"/>
  <c r="AY1654" i="1"/>
  <c r="BB1646" i="1"/>
  <c r="AY1638" i="1"/>
  <c r="AY1625" i="1"/>
  <c r="BB1616" i="1"/>
  <c r="AY1606" i="1"/>
  <c r="BB1597" i="1"/>
  <c r="AY1648" i="1"/>
  <c r="BB1634" i="1"/>
  <c r="AY1624" i="1"/>
  <c r="AY1618" i="1"/>
  <c r="AY1605" i="1"/>
  <c r="BB1591" i="1"/>
  <c r="AY1700" i="1"/>
  <c r="AY1697" i="1"/>
  <c r="BB1672" i="1"/>
  <c r="AY1667" i="1"/>
  <c r="AY1662" i="1"/>
  <c r="BB1659" i="1"/>
  <c r="BB1656" i="1"/>
  <c r="AY1651" i="1"/>
  <c r="AY1646" i="1"/>
  <c r="BB1643" i="1"/>
  <c r="AY1635" i="1"/>
  <c r="BB1632" i="1"/>
  <c r="AY1630" i="1"/>
  <c r="BB1627" i="1"/>
  <c r="AY1621" i="1"/>
  <c r="AY1616" i="1"/>
  <c r="BB1613" i="1"/>
  <c r="AY1611" i="1"/>
  <c r="BB1608" i="1"/>
  <c r="BB1602" i="1"/>
  <c r="AY1597" i="1"/>
  <c r="AY1592" i="1"/>
  <c r="BB1589" i="1"/>
  <c r="AY1698" i="1"/>
  <c r="AY1669" i="1"/>
  <c r="BB1650" i="1"/>
  <c r="AY1637" i="1"/>
  <c r="BB1700" i="1"/>
  <c r="BB1697" i="1"/>
  <c r="AY1672" i="1"/>
  <c r="BB1669" i="1"/>
  <c r="BB1664" i="1"/>
  <c r="AY1659" i="1"/>
  <c r="AY1656" i="1"/>
  <c r="BB1653" i="1"/>
  <c r="BB1648" i="1"/>
  <c r="AY1643" i="1"/>
  <c r="BB1637" i="1"/>
  <c r="AY1632" i="1"/>
  <c r="AY1627" i="1"/>
  <c r="BB1624" i="1"/>
  <c r="BB1618" i="1"/>
  <c r="AY1613" i="1"/>
  <c r="AY1608" i="1"/>
  <c r="BB1605" i="1"/>
  <c r="AY1602" i="1"/>
  <c r="BB1599" i="1"/>
  <c r="BB1594" i="1"/>
  <c r="AY1589" i="1"/>
  <c r="BB1661" i="1"/>
  <c r="AY1653" i="1"/>
  <c r="BB1610" i="1"/>
  <c r="AY1599" i="1"/>
  <c r="BB1680" i="1"/>
  <c r="AY1683" i="1"/>
  <c r="AY1702" i="1"/>
  <c r="BB1683" i="1"/>
  <c r="BB1702" i="1"/>
  <c r="BB1681" i="1"/>
  <c r="AY1684" i="1"/>
  <c r="AY1679" i="1"/>
  <c r="BB1684" i="1"/>
  <c r="BB1682" i="1"/>
  <c r="BB1679" i="1"/>
  <c r="AY1682" i="1"/>
  <c r="AY1696" i="1"/>
  <c r="BB1696" i="1"/>
  <c r="AY1680" i="1"/>
  <c r="AY1681" i="1"/>
  <c r="BB367" i="1"/>
  <c r="AY397" i="1"/>
  <c r="BB397" i="1"/>
  <c r="AY367" i="1"/>
  <c r="BB1770" i="1"/>
  <c r="BB1797" i="1"/>
  <c r="AY1793" i="1"/>
  <c r="BB1771" i="1"/>
  <c r="AY1768" i="1"/>
  <c r="AY1794" i="1"/>
  <c r="BB1773" i="1"/>
  <c r="BB1807" i="1"/>
  <c r="AY1769" i="1"/>
  <c r="AY1795" i="1"/>
  <c r="BB1774" i="1"/>
  <c r="BB1767" i="1"/>
  <c r="AY1770" i="1"/>
  <c r="AY1797" i="1"/>
  <c r="AY1767" i="1"/>
  <c r="AY1771" i="1"/>
  <c r="BB1793" i="1"/>
  <c r="AY1773" i="1"/>
  <c r="AY1807" i="1"/>
  <c r="BB1768" i="1"/>
  <c r="BB1794" i="1"/>
  <c r="AY1774" i="1"/>
  <c r="BB1769" i="1"/>
  <c r="BB1795" i="1"/>
  <c r="BB1693" i="1"/>
  <c r="BB1687" i="1"/>
  <c r="AY1678" i="1"/>
  <c r="AY1581" i="1"/>
  <c r="BB1575" i="1"/>
  <c r="AY1693" i="1"/>
  <c r="BB1690" i="1"/>
  <c r="AY1687" i="1"/>
  <c r="BB1583" i="1"/>
  <c r="BB1578" i="1"/>
  <c r="AY1575" i="1"/>
  <c r="AY1570" i="1"/>
  <c r="AY1692" i="1"/>
  <c r="BB1685" i="1"/>
  <c r="AY1580" i="1"/>
  <c r="AY1574" i="1"/>
  <c r="AY1685" i="1"/>
  <c r="AY1582" i="1"/>
  <c r="AY1577" i="1"/>
  <c r="AY1572" i="1"/>
  <c r="AY1690" i="1"/>
  <c r="BB1689" i="1"/>
  <c r="BB1677" i="1"/>
  <c r="AY1583" i="1"/>
  <c r="AY1578" i="1"/>
  <c r="BB1570" i="1"/>
  <c r="BB1568" i="1"/>
  <c r="BB1692" i="1"/>
  <c r="AY1689" i="1"/>
  <c r="BB1686" i="1"/>
  <c r="AY1677" i="1"/>
  <c r="BB1580" i="1"/>
  <c r="BB1574" i="1"/>
  <c r="AY1571" i="1"/>
  <c r="AY1568" i="1"/>
  <c r="AY1686" i="1"/>
  <c r="BB1582" i="1"/>
  <c r="BB1577" i="1"/>
  <c r="BB1571" i="1"/>
  <c r="BB1688" i="1"/>
  <c r="BB1585" i="1"/>
  <c r="BB1576" i="1"/>
  <c r="BB1569" i="1"/>
  <c r="BB1691" i="1"/>
  <c r="AY1688" i="1"/>
  <c r="AY1585" i="1"/>
  <c r="BB1584" i="1"/>
  <c r="BB1579" i="1"/>
  <c r="AY1576" i="1"/>
  <c r="BB1573" i="1"/>
  <c r="BB1572" i="1"/>
  <c r="AY1569" i="1"/>
  <c r="AY1691" i="1"/>
  <c r="BB1678" i="1"/>
  <c r="AY1584" i="1"/>
  <c r="BB1581" i="1"/>
  <c r="AY1579" i="1"/>
  <c r="AY1573" i="1"/>
  <c r="BB98" i="1"/>
  <c r="AY98" i="1"/>
  <c r="AY1185" i="1"/>
  <c r="BB1185" i="1"/>
  <c r="AY1538" i="1"/>
  <c r="BB1539" i="1"/>
  <c r="AY1541" i="1"/>
  <c r="AY1537" i="1"/>
  <c r="BB1538" i="1"/>
  <c r="AY1536" i="1"/>
  <c r="BB1537" i="1"/>
  <c r="BB1536" i="1"/>
  <c r="AY1540" i="1"/>
  <c r="BB1541" i="1"/>
  <c r="AY1539" i="1"/>
  <c r="BB1540" i="1"/>
  <c r="BB1712" i="1"/>
  <c r="AY1712" i="1"/>
  <c r="BB1713" i="1"/>
  <c r="AY1713" i="1"/>
  <c r="AY431" i="1"/>
  <c r="BB431" i="1"/>
  <c r="BB160" i="1"/>
  <c r="BB137" i="1"/>
  <c r="AY160" i="1"/>
  <c r="AY137" i="1"/>
  <c r="AY2058" i="1"/>
  <c r="BB2055" i="1"/>
  <c r="AY2046" i="1"/>
  <c r="AY2060" i="1"/>
  <c r="BB2057" i="1"/>
  <c r="AY2052" i="1"/>
  <c r="BB2047" i="1"/>
  <c r="BB2062" i="1"/>
  <c r="AY2057" i="1"/>
  <c r="BB2054" i="1"/>
  <c r="AY2047" i="1"/>
  <c r="AY2059" i="1"/>
  <c r="BB2056" i="1"/>
  <c r="AY2051" i="1"/>
  <c r="AY2056" i="1"/>
  <c r="BB2053" i="1"/>
  <c r="BB2060" i="1"/>
  <c r="AY2055" i="1"/>
  <c r="BB2052" i="1"/>
  <c r="AY2062" i="1"/>
  <c r="BB2059" i="1"/>
  <c r="AY2054" i="1"/>
  <c r="BB2051" i="1"/>
  <c r="BB2061" i="1"/>
  <c r="AY2061" i="1"/>
  <c r="BB2058" i="1"/>
  <c r="AY2053" i="1"/>
  <c r="BB2046" i="1"/>
  <c r="AY2048" i="1"/>
  <c r="BB2049" i="1"/>
  <c r="AY2063" i="1"/>
  <c r="BB2063" i="1"/>
  <c r="BB2048" i="1"/>
  <c r="AY2049" i="1"/>
  <c r="BB462" i="1"/>
  <c r="AY462" i="1"/>
  <c r="AY469" i="1"/>
  <c r="BB475" i="1"/>
  <c r="AY475" i="1"/>
  <c r="BB463" i="1"/>
  <c r="AY463" i="1"/>
  <c r="BB1901" i="1"/>
  <c r="BB1905" i="1"/>
  <c r="AY1902" i="1"/>
  <c r="BB1899" i="1"/>
  <c r="BB1903" i="1"/>
  <c r="AY1900" i="1"/>
  <c r="AY1904" i="1"/>
  <c r="AY1899" i="1"/>
  <c r="BB1900" i="1"/>
  <c r="BB1904" i="1"/>
  <c r="AY1901" i="1"/>
  <c r="AY1905" i="1"/>
  <c r="BB1902" i="1"/>
  <c r="AY1903" i="1"/>
  <c r="AY1893" i="1"/>
  <c r="BB1894" i="1"/>
  <c r="BB1893" i="1"/>
  <c r="AY1894" i="1"/>
  <c r="BB1895" i="1"/>
  <c r="AY1895" i="1"/>
  <c r="AY1256" i="1"/>
  <c r="BB401" i="1"/>
  <c r="BB1247" i="1"/>
  <c r="AY401" i="1"/>
  <c r="BB1256" i="1"/>
  <c r="AY1247" i="1"/>
  <c r="BB1951" i="1"/>
  <c r="AY1950" i="1"/>
  <c r="BB1947" i="1"/>
  <c r="AY1946" i="1"/>
  <c r="AY1959" i="1"/>
  <c r="BB1956" i="1"/>
  <c r="BB1952" i="1"/>
  <c r="AY1951" i="1"/>
  <c r="BB1948" i="1"/>
  <c r="AY1947" i="1"/>
  <c r="BB1961" i="1"/>
  <c r="AY1960" i="1"/>
  <c r="BB1957" i="1"/>
  <c r="AY1956" i="1"/>
  <c r="BB1953" i="1"/>
  <c r="AY1945" i="1"/>
  <c r="AY1955" i="1"/>
  <c r="BB1945" i="1"/>
  <c r="AY1952" i="1"/>
  <c r="BB1949" i="1"/>
  <c r="AY1948" i="1"/>
  <c r="BB1962" i="1"/>
  <c r="AY1961" i="1"/>
  <c r="BB1958" i="1"/>
  <c r="AY1957" i="1"/>
  <c r="BB1954" i="1"/>
  <c r="AY1953" i="1"/>
  <c r="BB1960" i="1"/>
  <c r="BB1950" i="1"/>
  <c r="AY1949" i="1"/>
  <c r="BB1946" i="1"/>
  <c r="AY1962" i="1"/>
  <c r="BB1959" i="1"/>
  <c r="AY1958" i="1"/>
  <c r="BB1955" i="1"/>
  <c r="AY1954" i="1"/>
  <c r="BB1915" i="1"/>
  <c r="AY1914" i="1"/>
  <c r="BB1911" i="1"/>
  <c r="AY1910" i="1"/>
  <c r="BB1907" i="1"/>
  <c r="AY1155" i="1"/>
  <c r="AY1154" i="1"/>
  <c r="BB1912" i="1"/>
  <c r="AY1911" i="1"/>
  <c r="BB1908" i="1"/>
  <c r="BB1916" i="1"/>
  <c r="AY1915" i="1"/>
  <c r="AY1907" i="1"/>
  <c r="AY1916" i="1"/>
  <c r="BB1913" i="1"/>
  <c r="AY1912" i="1"/>
  <c r="BB1909" i="1"/>
  <c r="AY1908" i="1"/>
  <c r="BB1914" i="1"/>
  <c r="AY1913" i="1"/>
  <c r="BB1910" i="1"/>
  <c r="AY1909" i="1"/>
  <c r="BB1155" i="1"/>
  <c r="BB1154" i="1"/>
  <c r="BB419" i="1"/>
  <c r="AY419" i="1"/>
  <c r="BB2037" i="1"/>
  <c r="AY2037" i="1"/>
  <c r="AY1750" i="1"/>
  <c r="BB1761" i="1"/>
  <c r="AY1761" i="1"/>
  <c r="BB1750" i="1"/>
  <c r="BB2005" i="1"/>
  <c r="BB2004" i="1"/>
  <c r="AY1936" i="1"/>
  <c r="BB1933" i="1"/>
  <c r="AY1932" i="1"/>
  <c r="BB1929" i="1"/>
  <c r="AY1928" i="1"/>
  <c r="BB1925" i="1"/>
  <c r="AY1924" i="1"/>
  <c r="BB1921" i="1"/>
  <c r="AY1920" i="1"/>
  <c r="BB1928" i="1"/>
  <c r="AY2005" i="1"/>
  <c r="AY2004" i="1"/>
  <c r="N2004" i="1" s="1"/>
  <c r="BB1934" i="1"/>
  <c r="AY1933" i="1"/>
  <c r="BB1930" i="1"/>
  <c r="AY1929" i="1"/>
  <c r="BB1926" i="1"/>
  <c r="AY1925" i="1"/>
  <c r="BB1922" i="1"/>
  <c r="AY1921" i="1"/>
  <c r="BB1936" i="1"/>
  <c r="AY1935" i="1"/>
  <c r="BB1932" i="1"/>
  <c r="AY1931" i="1"/>
  <c r="BB1924" i="1"/>
  <c r="AY1923" i="1"/>
  <c r="BB1935" i="1"/>
  <c r="AY1934" i="1"/>
  <c r="BB1931" i="1"/>
  <c r="AY1930" i="1"/>
  <c r="BB1927" i="1"/>
  <c r="AY1926" i="1"/>
  <c r="BB1923" i="1"/>
  <c r="AY1922" i="1"/>
  <c r="BB1919" i="1"/>
  <c r="AY1927" i="1"/>
  <c r="BB1920" i="1"/>
  <c r="AY1919" i="1"/>
  <c r="AY1542" i="1"/>
  <c r="AY1535" i="1"/>
  <c r="AY1534" i="1"/>
  <c r="BB1533" i="1"/>
  <c r="AY1533" i="1"/>
  <c r="BB1542" i="1"/>
  <c r="BB1535" i="1"/>
  <c r="BB1534" i="1"/>
  <c r="BB1963" i="1"/>
  <c r="AY1963" i="1"/>
  <c r="AY568" i="1"/>
  <c r="BB568" i="1"/>
  <c r="BB756" i="1"/>
  <c r="AY756" i="1"/>
  <c r="AY175" i="1"/>
  <c r="BB175" i="1"/>
  <c r="BB11" i="1"/>
  <c r="AY2070" i="1"/>
  <c r="BB2070" i="1"/>
  <c r="BB1216" i="1"/>
  <c r="AY1216" i="1"/>
  <c r="B1543" i="1"/>
  <c r="B1544" i="1" s="1"/>
  <c r="B1545" i="1" s="1"/>
  <c r="B1546" i="1" s="1"/>
  <c r="B1547" i="1" s="1"/>
  <c r="B1548" i="1" s="1"/>
  <c r="B1549" i="1" s="1"/>
  <c r="B1550" i="1" s="1"/>
  <c r="B1551" i="1" s="1"/>
  <c r="B1552" i="1" s="1"/>
  <c r="B1553" i="1" s="1"/>
  <c r="BB8" i="1"/>
  <c r="AY8" i="1"/>
  <c r="BB1200" i="1"/>
  <c r="AY1200" i="1"/>
  <c r="BB70" i="1"/>
  <c r="BB132" i="1"/>
  <c r="BB187" i="1"/>
  <c r="BB342" i="1"/>
  <c r="BB425" i="1"/>
  <c r="BB643" i="1"/>
  <c r="BB901" i="1"/>
  <c r="AY1297" i="1"/>
  <c r="BB1297" i="1"/>
  <c r="BB1399" i="1"/>
  <c r="BB1355" i="1"/>
  <c r="AY1352" i="1"/>
  <c r="BB1351" i="1"/>
  <c r="BB1397" i="1"/>
  <c r="AY1354" i="1"/>
  <c r="BB1411" i="1"/>
  <c r="AY1399" i="1"/>
  <c r="BB1398" i="1"/>
  <c r="BB1354" i="1"/>
  <c r="AY1397" i="1"/>
  <c r="AY1396" i="1"/>
  <c r="AY1353" i="1"/>
  <c r="BB1352" i="1"/>
  <c r="AY1411" i="1"/>
  <c r="AY1398" i="1"/>
  <c r="BB1396" i="1"/>
  <c r="BB1353" i="1"/>
  <c r="AY1350" i="1"/>
  <c r="AY1355" i="1"/>
  <c r="AY1351" i="1"/>
  <c r="BB1350" i="1"/>
  <c r="BB1356" i="1"/>
  <c r="BB1400" i="1"/>
  <c r="AY1356" i="1"/>
  <c r="AY1400" i="1"/>
  <c r="AY107" i="1"/>
  <c r="AY1260" i="1"/>
  <c r="AY1763" i="1"/>
  <c r="BB1763" i="1"/>
  <c r="BB2097" i="1"/>
  <c r="BB2092" i="1"/>
  <c r="BB2088" i="1"/>
  <c r="BB2031" i="1"/>
  <c r="BB2027" i="1"/>
  <c r="BB2024" i="1"/>
  <c r="BB2020" i="1"/>
  <c r="BB2015" i="1"/>
  <c r="BB1997" i="1"/>
  <c r="BB1993" i="1"/>
  <c r="BB1989" i="1"/>
  <c r="BB1982" i="1"/>
  <c r="BB1978" i="1"/>
  <c r="BB1971" i="1"/>
  <c r="BB1967" i="1"/>
  <c r="BB1942" i="1"/>
  <c r="BB1938" i="1"/>
  <c r="BB1898" i="1"/>
  <c r="BB1889" i="1"/>
  <c r="BB1885" i="1"/>
  <c r="BB1881" i="1"/>
  <c r="BB1877" i="1"/>
  <c r="BB1845" i="1"/>
  <c r="BB1841" i="1"/>
  <c r="BB1836" i="1"/>
  <c r="BB1832" i="1"/>
  <c r="BB1550" i="1"/>
  <c r="BB1545" i="1"/>
  <c r="BB1760" i="1"/>
  <c r="BB1749" i="1"/>
  <c r="BB1744" i="1"/>
  <c r="BB1738" i="1"/>
  <c r="BB1731" i="1"/>
  <c r="BB1724" i="1"/>
  <c r="BB1715" i="1"/>
  <c r="BB1709" i="1"/>
  <c r="BB1705" i="1"/>
  <c r="BB1757" i="1"/>
  <c r="BB1565" i="1"/>
  <c r="BB1561" i="1"/>
  <c r="BB1557" i="1"/>
  <c r="BB1409" i="1"/>
  <c r="BB1404" i="1"/>
  <c r="BB1394" i="1"/>
  <c r="BB1389" i="1"/>
  <c r="BB1384" i="1"/>
  <c r="BB1379" i="1"/>
  <c r="BB1374" i="1"/>
  <c r="BB1369" i="1"/>
  <c r="BB1365" i="1"/>
  <c r="BB1360" i="1"/>
  <c r="BB1348" i="1"/>
  <c r="BB1344" i="1"/>
  <c r="BB1339" i="1"/>
  <c r="BB1335" i="1"/>
  <c r="BB1331" i="1"/>
  <c r="BB1326" i="1"/>
  <c r="BB1322" i="1"/>
  <c r="BB1317" i="1"/>
  <c r="BB1313" i="1"/>
  <c r="BB1301" i="1"/>
  <c r="BB1296" i="1"/>
  <c r="BB1291" i="1"/>
  <c r="BB1287" i="1"/>
  <c r="BB1283" i="1"/>
  <c r="BB1279" i="1"/>
  <c r="BB1275" i="1"/>
  <c r="BB1271" i="1"/>
  <c r="BB1267" i="1"/>
  <c r="BB1258" i="1"/>
  <c r="BB1252" i="1"/>
  <c r="BB1244" i="1"/>
  <c r="BB1240" i="1"/>
  <c r="BB1236" i="1"/>
  <c r="BB1213" i="1"/>
  <c r="BB1207" i="1"/>
  <c r="BB1202" i="1"/>
  <c r="BB1196" i="1"/>
  <c r="BB1192" i="1"/>
  <c r="BB1182" i="1"/>
  <c r="BB1178" i="1"/>
  <c r="BB1173" i="1"/>
  <c r="BB1168" i="1"/>
  <c r="BB1164" i="1"/>
  <c r="BB1158" i="1"/>
  <c r="BB1151" i="1"/>
  <c r="BB1133" i="1"/>
  <c r="BB1126" i="1"/>
  <c r="BB1122" i="1"/>
  <c r="BB1118" i="1"/>
  <c r="BB1112" i="1"/>
  <c r="BB1108" i="1"/>
  <c r="BB1104" i="1"/>
  <c r="BB1097" i="1"/>
  <c r="BB1090" i="1"/>
  <c r="BB1086" i="1"/>
  <c r="BB1082" i="1"/>
  <c r="BB1076" i="1"/>
  <c r="BB1072" i="1"/>
  <c r="BB1068" i="1"/>
  <c r="BB1061" i="1"/>
  <c r="BB1054" i="1"/>
  <c r="BB1050" i="1"/>
  <c r="BB1046" i="1"/>
  <c r="BB1040" i="1"/>
  <c r="BB1036" i="1"/>
  <c r="BB1032" i="1"/>
  <c r="BB1025" i="1"/>
  <c r="BB1018" i="1"/>
  <c r="BB2096" i="1"/>
  <c r="BB2091" i="1"/>
  <c r="BB2087" i="1"/>
  <c r="BB2030" i="1"/>
  <c r="BB2026" i="1"/>
  <c r="BB2023" i="1"/>
  <c r="BB2018" i="1"/>
  <c r="BB2014" i="1"/>
  <c r="BB2011" i="1"/>
  <c r="BB2009" i="1"/>
  <c r="BB2007" i="1"/>
  <c r="BB1996" i="1"/>
  <c r="BB1992" i="1"/>
  <c r="BB1985" i="1"/>
  <c r="BB1981" i="1"/>
  <c r="BB1977" i="1"/>
  <c r="BB1970" i="1"/>
  <c r="BB1966" i="1"/>
  <c r="BB1941" i="1"/>
  <c r="BB1937" i="1"/>
  <c r="BB1897" i="1"/>
  <c r="BB1888" i="1"/>
  <c r="BB1884" i="1"/>
  <c r="BB1880" i="1"/>
  <c r="BB1876" i="1"/>
  <c r="BB1844" i="1"/>
  <c r="AI145" i="6" s="1"/>
  <c r="BB1840" i="1"/>
  <c r="BB1839" i="1"/>
  <c r="BB1835" i="1"/>
  <c r="BB1548" i="1"/>
  <c r="BB1544" i="1"/>
  <c r="BB1753" i="1"/>
  <c r="BB1747" i="1"/>
  <c r="BB1741" i="1"/>
  <c r="BB1736" i="1"/>
  <c r="BB1730" i="1"/>
  <c r="BB1723" i="1"/>
  <c r="BB1718" i="1"/>
  <c r="BB1714" i="1"/>
  <c r="BB1708" i="1"/>
  <c r="BB1704" i="1"/>
  <c r="BB1756" i="1"/>
  <c r="BB1564" i="1"/>
  <c r="BB1560" i="1"/>
  <c r="BB1556" i="1"/>
  <c r="BB1408" i="1"/>
  <c r="BB1403" i="1"/>
  <c r="BB1393" i="1"/>
  <c r="BB1388" i="1"/>
  <c r="BB1383" i="1"/>
  <c r="BB1378" i="1"/>
  <c r="BB1373" i="1"/>
  <c r="BB1368" i="1"/>
  <c r="BB1364" i="1"/>
  <c r="BB1359" i="1"/>
  <c r="BB1347" i="1"/>
  <c r="BB1343" i="1"/>
  <c r="BB1338" i="1"/>
  <c r="BB1334" i="1"/>
  <c r="BB1330" i="1"/>
  <c r="BB1325" i="1"/>
  <c r="BB1320" i="1"/>
  <c r="BB1316" i="1"/>
  <c r="BB1312" i="1"/>
  <c r="BB1305" i="1"/>
  <c r="BB1300" i="1"/>
  <c r="BB1295" i="1"/>
  <c r="BB1290" i="1"/>
  <c r="BB2095" i="1"/>
  <c r="BB2090" i="1"/>
  <c r="BB2029" i="1"/>
  <c r="BB2025" i="1"/>
  <c r="BB2022" i="1"/>
  <c r="BB2017" i="1"/>
  <c r="BB2013" i="1"/>
  <c r="BB2003" i="1"/>
  <c r="BB2002" i="1"/>
  <c r="BB1995" i="1"/>
  <c r="BB1991" i="1"/>
  <c r="BB1984" i="1"/>
  <c r="BB1980" i="1"/>
  <c r="BB1973" i="1"/>
  <c r="BB1969" i="1"/>
  <c r="BB1964" i="1"/>
  <c r="BB1944" i="1"/>
  <c r="BB1940" i="1"/>
  <c r="BB1918" i="1"/>
  <c r="BB1896" i="1"/>
  <c r="BB1887" i="1"/>
  <c r="BB1883" i="1"/>
  <c r="BB1879" i="1"/>
  <c r="BB1875" i="1"/>
  <c r="BB1843" i="1"/>
  <c r="BB1838" i="1"/>
  <c r="BB1834" i="1"/>
  <c r="BB1547" i="1"/>
  <c r="BB1764" i="1"/>
  <c r="BB1752" i="1"/>
  <c r="BB1746" i="1"/>
  <c r="BB1740" i="1"/>
  <c r="BB1733" i="1"/>
  <c r="BB1729" i="1"/>
  <c r="BB1722" i="1"/>
  <c r="BB1720" i="1"/>
  <c r="BB1717" i="1"/>
  <c r="BB1711" i="1"/>
  <c r="BB1707" i="1"/>
  <c r="BB1703" i="1"/>
  <c r="BB1755" i="1"/>
  <c r="BB1563" i="1"/>
  <c r="BB1559" i="1"/>
  <c r="BB1555" i="1"/>
  <c r="BB1407" i="1"/>
  <c r="BB1402" i="1"/>
  <c r="BB1392" i="1"/>
  <c r="BB1387" i="1"/>
  <c r="BB1382" i="1"/>
  <c r="BB1377" i="1"/>
  <c r="BB1372" i="1"/>
  <c r="BB1367" i="1"/>
  <c r="BB1362" i="1"/>
  <c r="BB1358" i="1"/>
  <c r="BB1346" i="1"/>
  <c r="BB1341" i="1"/>
  <c r="BB1337" i="1"/>
  <c r="BB1333" i="1"/>
  <c r="BB1329" i="1"/>
  <c r="BB1324" i="1"/>
  <c r="BB1319" i="1"/>
  <c r="BB1315" i="1"/>
  <c r="BB1308" i="1"/>
  <c r="BB1304" i="1"/>
  <c r="BB1299" i="1"/>
  <c r="BB1294" i="1"/>
  <c r="BB1289" i="1"/>
  <c r="BB1285" i="1"/>
  <c r="BB1281" i="1"/>
  <c r="BB1277" i="1"/>
  <c r="BB1273" i="1"/>
  <c r="BB1269" i="1"/>
  <c r="BB1261" i="1"/>
  <c r="BB1255" i="1"/>
  <c r="BB1250" i="1"/>
  <c r="BB1242" i="1"/>
  <c r="BB1238" i="1"/>
  <c r="BB1215" i="1"/>
  <c r="BB1210" i="1"/>
  <c r="BB1205" i="1"/>
  <c r="BB1194" i="1"/>
  <c r="BB1184" i="1"/>
  <c r="BB1180" i="1"/>
  <c r="BB1175" i="1"/>
  <c r="BB1171" i="1"/>
  <c r="BB1166" i="1"/>
  <c r="BB1162" i="1"/>
  <c r="BB1159" i="1"/>
  <c r="BB1148" i="1"/>
  <c r="BB1131" i="1"/>
  <c r="BB1124" i="1"/>
  <c r="BB1120" i="1"/>
  <c r="BB1115" i="1"/>
  <c r="BB1110" i="1"/>
  <c r="BB1106" i="1"/>
  <c r="BB1101" i="1"/>
  <c r="BB1095" i="1"/>
  <c r="BB1088" i="1"/>
  <c r="BB1084" i="1"/>
  <c r="BB1079" i="1"/>
  <c r="BB1074" i="1"/>
  <c r="BB1070" i="1"/>
  <c r="BB1065" i="1"/>
  <c r="BB1059" i="1"/>
  <c r="BB1052" i="1"/>
  <c r="BB1048" i="1"/>
  <c r="BB1043" i="1"/>
  <c r="BB1038" i="1"/>
  <c r="BB1034" i="1"/>
  <c r="BB1029" i="1"/>
  <c r="BB1023" i="1"/>
  <c r="BB1016" i="1"/>
  <c r="BB2093" i="1"/>
  <c r="BB2012" i="1"/>
  <c r="BB1983" i="1"/>
  <c r="BB1892" i="1"/>
  <c r="BB1837" i="1"/>
  <c r="AI144" i="6" s="1"/>
  <c r="BB1762" i="1"/>
  <c r="BB1732" i="1"/>
  <c r="BB1719" i="1"/>
  <c r="BB1706" i="1"/>
  <c r="BB1758" i="1"/>
  <c r="BB1554" i="1"/>
  <c r="BB1386" i="1"/>
  <c r="BB1366" i="1"/>
  <c r="BB1340" i="1"/>
  <c r="BB1323" i="1"/>
  <c r="BB1302" i="1"/>
  <c r="BB1286" i="1"/>
  <c r="BB1278" i="1"/>
  <c r="BB1270" i="1"/>
  <c r="BB1257" i="1"/>
  <c r="BB1246" i="1"/>
  <c r="BB1239" i="1"/>
  <c r="BB1212" i="1"/>
  <c r="BB1201" i="1"/>
  <c r="BB1186" i="1"/>
  <c r="BB1176" i="1"/>
  <c r="BB1167" i="1"/>
  <c r="BB1149" i="1"/>
  <c r="BB1125" i="1"/>
  <c r="BB1116" i="1"/>
  <c r="BB1107" i="1"/>
  <c r="BB1096" i="1"/>
  <c r="BB1085" i="1"/>
  <c r="BB1075" i="1"/>
  <c r="BB1066" i="1"/>
  <c r="BB1053" i="1"/>
  <c r="BB1044" i="1"/>
  <c r="BB1035" i="1"/>
  <c r="BB1024" i="1"/>
  <c r="BB1014" i="1"/>
  <c r="BB1010" i="1"/>
  <c r="BB1004" i="1"/>
  <c r="BB1001" i="1"/>
  <c r="BB997" i="1"/>
  <c r="BB992" i="1"/>
  <c r="BB986" i="1"/>
  <c r="BB979" i="1"/>
  <c r="BB975" i="1"/>
  <c r="BB970" i="1"/>
  <c r="BB965" i="1"/>
  <c r="BB961" i="1"/>
  <c r="BB956" i="1"/>
  <c r="BB950" i="1"/>
  <c r="BB943" i="1"/>
  <c r="BB939" i="1"/>
  <c r="BB934" i="1"/>
  <c r="BB929" i="1"/>
  <c r="BB925" i="1"/>
  <c r="BB920" i="1"/>
  <c r="BB914" i="1"/>
  <c r="BB907" i="1"/>
  <c r="BB903" i="1"/>
  <c r="BB898" i="1"/>
  <c r="BB893" i="1"/>
  <c r="BB889" i="1"/>
  <c r="BB884" i="1"/>
  <c r="BB878" i="1"/>
  <c r="BB871" i="1"/>
  <c r="BB867" i="1"/>
  <c r="BB862" i="1"/>
  <c r="BB857" i="1"/>
  <c r="BB853" i="1"/>
  <c r="BB848" i="1"/>
  <c r="BB844" i="1"/>
  <c r="BB834" i="1"/>
  <c r="BB829" i="1"/>
  <c r="BB818" i="1"/>
  <c r="BB814" i="1"/>
  <c r="BB809" i="1"/>
  <c r="BB793" i="1"/>
  <c r="BB786" i="1"/>
  <c r="BB782" i="1"/>
  <c r="BB778" i="1"/>
  <c r="BB772" i="1"/>
  <c r="BB768" i="1"/>
  <c r="BB764" i="1"/>
  <c r="BB759" i="1"/>
  <c r="BB753" i="1"/>
  <c r="BB746" i="1"/>
  <c r="BB742" i="1"/>
  <c r="BB737" i="1"/>
  <c r="BB732" i="1"/>
  <c r="BB728" i="1"/>
  <c r="BB723" i="1"/>
  <c r="BB717" i="1"/>
  <c r="BB710" i="1"/>
  <c r="BB706" i="1"/>
  <c r="BB702" i="1"/>
  <c r="BB696" i="1"/>
  <c r="BB692" i="1"/>
  <c r="BB688" i="1"/>
  <c r="BB683" i="1"/>
  <c r="BB677" i="1"/>
  <c r="BB670" i="1"/>
  <c r="BB666" i="1"/>
  <c r="BB661" i="1"/>
  <c r="BB656" i="1"/>
  <c r="BB652" i="1"/>
  <c r="BB647" i="1"/>
  <c r="BB641" i="1"/>
  <c r="BB634" i="1"/>
  <c r="BB630" i="1"/>
  <c r="BB626" i="1"/>
  <c r="BB620" i="1"/>
  <c r="BB616" i="1"/>
  <c r="BB612" i="1"/>
  <c r="BB607" i="1"/>
  <c r="BB601" i="1"/>
  <c r="BB594" i="1"/>
  <c r="BB590" i="1"/>
  <c r="BB585" i="1"/>
  <c r="BB580" i="1"/>
  <c r="BB576" i="1"/>
  <c r="BB571" i="1"/>
  <c r="BB565" i="1"/>
  <c r="BB558" i="1"/>
  <c r="BB554" i="1"/>
  <c r="BB550" i="1"/>
  <c r="BB544" i="1"/>
  <c r="BB540" i="1"/>
  <c r="BB536" i="1"/>
  <c r="BB531" i="1"/>
  <c r="BB526" i="1"/>
  <c r="BB519" i="1"/>
  <c r="BB515" i="1"/>
  <c r="BB511" i="1"/>
  <c r="BB506" i="1"/>
  <c r="BB502" i="1"/>
  <c r="BB498" i="1"/>
  <c r="BB493" i="1"/>
  <c r="BB489" i="1"/>
  <c r="BB485" i="1"/>
  <c r="BB481" i="1"/>
  <c r="BB474" i="1"/>
  <c r="BB470" i="1"/>
  <c r="BB465" i="1"/>
  <c r="BB432" i="1"/>
  <c r="BB428" i="1"/>
  <c r="BB2089" i="1"/>
  <c r="BB2010" i="1"/>
  <c r="BB2001" i="1"/>
  <c r="BB1979" i="1"/>
  <c r="BB1943" i="1"/>
  <c r="BB1886" i="1"/>
  <c r="BB1833" i="1"/>
  <c r="BB1751" i="1"/>
  <c r="BB1725" i="1"/>
  <c r="BB1566" i="1"/>
  <c r="BB1406" i="1"/>
  <c r="BB1381" i="1"/>
  <c r="BB1361" i="1"/>
  <c r="BB1336" i="1"/>
  <c r="BB1318" i="1"/>
  <c r="BB1284" i="1"/>
  <c r="BB1276" i="1"/>
  <c r="BB1268" i="1"/>
  <c r="BB1254" i="1"/>
  <c r="BB1245" i="1"/>
  <c r="BB1237" i="1"/>
  <c r="BB1208" i="1"/>
  <c r="BB1197" i="1"/>
  <c r="BB1183" i="1"/>
  <c r="BB1174" i="1"/>
  <c r="BB1165" i="1"/>
  <c r="BB1147" i="1"/>
  <c r="BB1123" i="1"/>
  <c r="BB1114" i="1"/>
  <c r="BB1105" i="1"/>
  <c r="BB1094" i="1"/>
  <c r="BB1083" i="1"/>
  <c r="BB1073" i="1"/>
  <c r="BB1064" i="1"/>
  <c r="BB1051" i="1"/>
  <c r="BB1042" i="1"/>
  <c r="BB1033" i="1"/>
  <c r="BB1022" i="1"/>
  <c r="BB1013" i="1"/>
  <c r="BB1008" i="1"/>
  <c r="BB1000" i="1"/>
  <c r="BB996" i="1"/>
  <c r="BB989" i="1"/>
  <c r="BB982" i="1"/>
  <c r="BB978" i="1"/>
  <c r="BB974" i="1"/>
  <c r="BB968" i="1"/>
  <c r="BB964" i="1"/>
  <c r="BB960" i="1"/>
  <c r="BB953" i="1"/>
  <c r="BB946" i="1"/>
  <c r="BB942" i="1"/>
  <c r="BB938" i="1"/>
  <c r="BB932" i="1"/>
  <c r="BB928" i="1"/>
  <c r="BB924" i="1"/>
  <c r="BB917" i="1"/>
  <c r="BB910" i="1"/>
  <c r="BB906" i="1"/>
  <c r="BB902" i="1"/>
  <c r="BB896" i="1"/>
  <c r="BB892" i="1"/>
  <c r="BB888" i="1"/>
  <c r="BB881" i="1"/>
  <c r="BB874" i="1"/>
  <c r="BB870" i="1"/>
  <c r="BB866" i="1"/>
  <c r="BB860" i="1"/>
  <c r="BB856" i="1"/>
  <c r="BB852" i="1"/>
  <c r="BB847" i="1"/>
  <c r="BB837" i="1"/>
  <c r="BB2021" i="1"/>
  <c r="BB2008" i="1"/>
  <c r="BB1994" i="1"/>
  <c r="BB1972" i="1"/>
  <c r="BB1939" i="1"/>
  <c r="BB1882" i="1"/>
  <c r="BB1842" i="1"/>
  <c r="BB1745" i="1"/>
  <c r="BB1721" i="1"/>
  <c r="BB1716" i="1"/>
  <c r="BB1759" i="1"/>
  <c r="BB1562" i="1"/>
  <c r="BB1401" i="1"/>
  <c r="BB1376" i="1"/>
  <c r="BB1357" i="1"/>
  <c r="BB1332" i="1"/>
  <c r="BB1314" i="1"/>
  <c r="BB1292" i="1"/>
  <c r="BB1282" i="1"/>
  <c r="BB1274" i="1"/>
  <c r="BB1262" i="1"/>
  <c r="BB1251" i="1"/>
  <c r="BB1243" i="1"/>
  <c r="BB1235" i="1"/>
  <c r="BB1206" i="1"/>
  <c r="BB1195" i="1"/>
  <c r="BB1181" i="1"/>
  <c r="BB1172" i="1"/>
  <c r="BB1163" i="1"/>
  <c r="BB1132" i="1"/>
  <c r="BB1121" i="1"/>
  <c r="BB1111" i="1"/>
  <c r="BB1102" i="1"/>
  <c r="BB1089" i="1"/>
  <c r="BB1080" i="1"/>
  <c r="BB1071" i="1"/>
  <c r="BB1060" i="1"/>
  <c r="BB1049" i="1"/>
  <c r="BB1039" i="1"/>
  <c r="BB1030" i="1"/>
  <c r="BB1017" i="1"/>
  <c r="BB1012" i="1"/>
  <c r="BB1007" i="1"/>
  <c r="BB1003" i="1"/>
  <c r="BB999" i="1"/>
  <c r="BB994" i="1"/>
  <c r="BB988" i="1"/>
  <c r="BB981" i="1"/>
  <c r="BB977" i="1"/>
  <c r="BB972" i="1"/>
  <c r="BB967" i="1"/>
  <c r="BB963" i="1"/>
  <c r="BB958" i="1"/>
  <c r="BB952" i="1"/>
  <c r="BB945" i="1"/>
  <c r="BB941" i="1"/>
  <c r="BB936" i="1"/>
  <c r="BB931" i="1"/>
  <c r="BB927" i="1"/>
  <c r="BB922" i="1"/>
  <c r="BB916" i="1"/>
  <c r="BB909" i="1"/>
  <c r="BB905" i="1"/>
  <c r="BB900" i="1"/>
  <c r="BB895" i="1"/>
  <c r="BB891" i="1"/>
  <c r="BB886" i="1"/>
  <c r="BB880" i="1"/>
  <c r="BB873" i="1"/>
  <c r="BB869" i="1"/>
  <c r="BB864" i="1"/>
  <c r="BB859" i="1"/>
  <c r="BB855" i="1"/>
  <c r="BB850" i="1"/>
  <c r="BB846" i="1"/>
  <c r="BB836" i="1"/>
  <c r="BB832" i="1"/>
  <c r="BB827" i="1"/>
  <c r="BB816" i="1"/>
  <c r="BB811" i="1"/>
  <c r="BB807" i="1"/>
  <c r="BB791" i="1"/>
  <c r="BB784" i="1"/>
  <c r="BB780" i="1"/>
  <c r="BB775" i="1"/>
  <c r="BB770" i="1"/>
  <c r="BB766" i="1"/>
  <c r="BB761" i="1"/>
  <c r="BB755" i="1"/>
  <c r="BB748" i="1"/>
  <c r="BB744" i="1"/>
  <c r="BB740" i="1"/>
  <c r="BB734" i="1"/>
  <c r="BB730" i="1"/>
  <c r="BB726" i="1"/>
  <c r="BB721" i="1"/>
  <c r="BB715" i="1"/>
  <c r="BB708" i="1"/>
  <c r="BB704" i="1"/>
  <c r="BB699" i="1"/>
  <c r="BB694" i="1"/>
  <c r="BB690" i="1"/>
  <c r="BB685" i="1"/>
  <c r="BB679" i="1"/>
  <c r="BB672" i="1"/>
  <c r="BB668" i="1"/>
  <c r="BB664" i="1"/>
  <c r="BB658" i="1"/>
  <c r="BB654" i="1"/>
  <c r="BB650" i="1"/>
  <c r="BB645" i="1"/>
  <c r="BB639" i="1"/>
  <c r="BB632" i="1"/>
  <c r="BB628" i="1"/>
  <c r="BB623" i="1"/>
  <c r="BB618" i="1"/>
  <c r="BB614" i="1"/>
  <c r="BB609" i="1"/>
  <c r="BB603" i="1"/>
  <c r="BB596" i="1"/>
  <c r="BB592" i="1"/>
  <c r="BB588" i="1"/>
  <c r="BB582" i="1"/>
  <c r="BB578" i="1"/>
  <c r="BB574" i="1"/>
  <c r="BB569" i="1"/>
  <c r="BB563" i="1"/>
  <c r="BB556" i="1"/>
  <c r="BB552" i="1"/>
  <c r="BB547" i="1"/>
  <c r="BB542" i="1"/>
  <c r="BB538" i="1"/>
  <c r="BB533" i="1"/>
  <c r="BB528" i="1"/>
  <c r="BB521" i="1"/>
  <c r="BB517" i="1"/>
  <c r="BB513" i="1"/>
  <c r="BB509" i="1"/>
  <c r="BB504" i="1"/>
  <c r="BB500" i="1"/>
  <c r="BB495" i="1"/>
  <c r="BB491" i="1"/>
  <c r="BB487" i="1"/>
  <c r="BB483" i="1"/>
  <c r="BB472" i="1"/>
  <c r="BB467" i="1"/>
  <c r="BB461" i="1"/>
  <c r="BB430" i="1"/>
  <c r="BB2028" i="1"/>
  <c r="BB1968" i="1"/>
  <c r="BB1546" i="1"/>
  <c r="BB1345" i="1"/>
  <c r="BB1280" i="1"/>
  <c r="BB1241" i="1"/>
  <c r="BB1193" i="1"/>
  <c r="BB1119" i="1"/>
  <c r="BB1078" i="1"/>
  <c r="BB1037" i="1"/>
  <c r="BB1006" i="1"/>
  <c r="BB987" i="1"/>
  <c r="BB966" i="1"/>
  <c r="BB944" i="1"/>
  <c r="BB926" i="1"/>
  <c r="BB904" i="1"/>
  <c r="BB885" i="1"/>
  <c r="BB863" i="1"/>
  <c r="BB845" i="1"/>
  <c r="BB828" i="1"/>
  <c r="BB812" i="1"/>
  <c r="BB792" i="1"/>
  <c r="BB781" i="1"/>
  <c r="BB771" i="1"/>
  <c r="BB763" i="1"/>
  <c r="BB752" i="1"/>
  <c r="BB741" i="1"/>
  <c r="BB731" i="1"/>
  <c r="BB722" i="1"/>
  <c r="BB709" i="1"/>
  <c r="BB700" i="1"/>
  <c r="BB691" i="1"/>
  <c r="BB682" i="1"/>
  <c r="BB669" i="1"/>
  <c r="BB660" i="1"/>
  <c r="BB651" i="1"/>
  <c r="BB640" i="1"/>
  <c r="BB629" i="1"/>
  <c r="BB619" i="1"/>
  <c r="BB611" i="1"/>
  <c r="BB600" i="1"/>
  <c r="BB589" i="1"/>
  <c r="BB579" i="1"/>
  <c r="BB570" i="1"/>
  <c r="BB557" i="1"/>
  <c r="BB548" i="1"/>
  <c r="BB539" i="1"/>
  <c r="BB518" i="1"/>
  <c r="BB510" i="1"/>
  <c r="BB501" i="1"/>
  <c r="BB492" i="1"/>
  <c r="BB484" i="1"/>
  <c r="BB468" i="1"/>
  <c r="BB409" i="1"/>
  <c r="BB404" i="1"/>
  <c r="BB399" i="1"/>
  <c r="BB391" i="1"/>
  <c r="BB385" i="1"/>
  <c r="BB381" i="1"/>
  <c r="BB379" i="1"/>
  <c r="BB369" i="1"/>
  <c r="BB361" i="1"/>
  <c r="BB357" i="1"/>
  <c r="BB353" i="1"/>
  <c r="BB349" i="1"/>
  <c r="BB345" i="1"/>
  <c r="BB340" i="1"/>
  <c r="BB336" i="1"/>
  <c r="BB332" i="1"/>
  <c r="BB328" i="1"/>
  <c r="BB323" i="1"/>
  <c r="BB319" i="1"/>
  <c r="BB315" i="1"/>
  <c r="BB311" i="1"/>
  <c r="BB306" i="1"/>
  <c r="BB302" i="1"/>
  <c r="BB298" i="1"/>
  <c r="BB294" i="1"/>
  <c r="BB291" i="1"/>
  <c r="BB287" i="1"/>
  <c r="BB282" i="1"/>
  <c r="BB278" i="1"/>
  <c r="BB275" i="1"/>
  <c r="BB271" i="1"/>
  <c r="BB266" i="1"/>
  <c r="BB262" i="1"/>
  <c r="BB259" i="1"/>
  <c r="BB255" i="1"/>
  <c r="BB249" i="1"/>
  <c r="BB245" i="1"/>
  <c r="BB241" i="1"/>
  <c r="BB236" i="1"/>
  <c r="BB232" i="1"/>
  <c r="BB227" i="1"/>
  <c r="BB223" i="1"/>
  <c r="BB219" i="1"/>
  <c r="BB214" i="1"/>
  <c r="BB210" i="1"/>
  <c r="BB205" i="1"/>
  <c r="BB200" i="1"/>
  <c r="BB196" i="1"/>
  <c r="BB192" i="1"/>
  <c r="BB186" i="1"/>
  <c r="BB182" i="1"/>
  <c r="BB178" i="1"/>
  <c r="BB172" i="1"/>
  <c r="BB168" i="1"/>
  <c r="BB163" i="1"/>
  <c r="BB157" i="1"/>
  <c r="BB153" i="1"/>
  <c r="BB148" i="1"/>
  <c r="BB144" i="1"/>
  <c r="BB133" i="1"/>
  <c r="BB128" i="1"/>
  <c r="BB124" i="1"/>
  <c r="BB120" i="1"/>
  <c r="BB114" i="1"/>
  <c r="BB110" i="1"/>
  <c r="BB105" i="1"/>
  <c r="BB101" i="1"/>
  <c r="BB96" i="1"/>
  <c r="AX11" i="22" s="1"/>
  <c r="BB91" i="1"/>
  <c r="BB87" i="1"/>
  <c r="BB81" i="1"/>
  <c r="BB71" i="1"/>
  <c r="BB65" i="1"/>
  <c r="BB60" i="1"/>
  <c r="BB55" i="1"/>
  <c r="BB50" i="1"/>
  <c r="BB47" i="1"/>
  <c r="BB42" i="1"/>
  <c r="BB38" i="1"/>
  <c r="BB33" i="1"/>
  <c r="BB13" i="1"/>
  <c r="AI139" i="6" s="1"/>
  <c r="AY2096" i="1"/>
  <c r="AY2091" i="1"/>
  <c r="AY2087" i="1"/>
  <c r="AY2030" i="1"/>
  <c r="N2030" i="1" s="1"/>
  <c r="E41" i="50" s="1"/>
  <c r="AY2026" i="1"/>
  <c r="N2026" i="1" s="1"/>
  <c r="E34" i="50" s="1"/>
  <c r="AY2023" i="1"/>
  <c r="AY2018" i="1"/>
  <c r="N2018" i="1" s="1"/>
  <c r="D44" i="50" s="1"/>
  <c r="AY2014" i="1"/>
  <c r="N2014" i="1" s="1"/>
  <c r="D35" i="50" s="1"/>
  <c r="AY2011" i="1"/>
  <c r="AY2009" i="1"/>
  <c r="AY2007" i="1"/>
  <c r="N2007" i="1" s="1"/>
  <c r="D18" i="50" s="1"/>
  <c r="AY1996" i="1"/>
  <c r="AY1992" i="1"/>
  <c r="AY1985" i="1"/>
  <c r="AY1981" i="1"/>
  <c r="AY1977" i="1"/>
  <c r="AY1970" i="1"/>
  <c r="AY1966" i="1"/>
  <c r="AY1941" i="1"/>
  <c r="AY1937" i="1"/>
  <c r="AY1897" i="1"/>
  <c r="AY1888" i="1"/>
  <c r="AY1884" i="1"/>
  <c r="AY1880" i="1"/>
  <c r="AY1876" i="1"/>
  <c r="AY1844" i="1"/>
  <c r="AH145" i="6" s="1"/>
  <c r="AY1840" i="1"/>
  <c r="AY1839" i="1"/>
  <c r="AY1835" i="1"/>
  <c r="AY1548" i="1"/>
  <c r="AY1544" i="1"/>
  <c r="AY1753" i="1"/>
  <c r="AY1747" i="1"/>
  <c r="AY1741" i="1"/>
  <c r="AY1736" i="1"/>
  <c r="AY1730" i="1"/>
  <c r="AY1723" i="1"/>
  <c r="AY1718" i="1"/>
  <c r="AY1714" i="1"/>
  <c r="AY1708" i="1"/>
  <c r="AY1704" i="1"/>
  <c r="AY1756" i="1"/>
  <c r="AY1564" i="1"/>
  <c r="AY1560" i="1"/>
  <c r="AY1556" i="1"/>
  <c r="AY1408" i="1"/>
  <c r="AY1403" i="1"/>
  <c r="AY1393" i="1"/>
  <c r="AY1388" i="1"/>
  <c r="AY1383" i="1"/>
  <c r="AY1378" i="1"/>
  <c r="AY1373" i="1"/>
  <c r="AY1368" i="1"/>
  <c r="AY1364" i="1"/>
  <c r="AY1359" i="1"/>
  <c r="AY1347" i="1"/>
  <c r="AY1343" i="1"/>
  <c r="AY1338" i="1"/>
  <c r="AY1334" i="1"/>
  <c r="AY1330" i="1"/>
  <c r="AY1325" i="1"/>
  <c r="AY1320" i="1"/>
  <c r="AY1316" i="1"/>
  <c r="AY1312" i="1"/>
  <c r="AY1305" i="1"/>
  <c r="AY1300" i="1"/>
  <c r="AY1295" i="1"/>
  <c r="AY1290" i="1"/>
  <c r="AY1286" i="1"/>
  <c r="AY1282" i="1"/>
  <c r="AY1278" i="1"/>
  <c r="AY1274" i="1"/>
  <c r="AY1270" i="1"/>
  <c r="AY1262" i="1"/>
  <c r="AY1257" i="1"/>
  <c r="AY1251" i="1"/>
  <c r="AY1246" i="1"/>
  <c r="AY1243" i="1"/>
  <c r="AY1239" i="1"/>
  <c r="AY1235" i="1"/>
  <c r="AY1212" i="1"/>
  <c r="AY1206" i="1"/>
  <c r="AY1201" i="1"/>
  <c r="AY1195" i="1"/>
  <c r="AY1186" i="1"/>
  <c r="AY1181" i="1"/>
  <c r="AY1176" i="1"/>
  <c r="AY1172" i="1"/>
  <c r="AY1167" i="1"/>
  <c r="AY1163" i="1"/>
  <c r="AY1149" i="1"/>
  <c r="AY1132" i="1"/>
  <c r="AY1125" i="1"/>
  <c r="AY1121" i="1"/>
  <c r="AY1116" i="1"/>
  <c r="AY1111" i="1"/>
  <c r="AY1107" i="1"/>
  <c r="AY1102" i="1"/>
  <c r="AY1096" i="1"/>
  <c r="AY1089" i="1"/>
  <c r="AY1085" i="1"/>
  <c r="AY1080" i="1"/>
  <c r="AY1075" i="1"/>
  <c r="AY1071" i="1"/>
  <c r="AY1066" i="1"/>
  <c r="AY1060" i="1"/>
  <c r="AY1053" i="1"/>
  <c r="AY1049" i="1"/>
  <c r="AY1044" i="1"/>
  <c r="AY1039" i="1"/>
  <c r="AY1035" i="1"/>
  <c r="AY1030" i="1"/>
  <c r="AY1024" i="1"/>
  <c r="AY1017" i="1"/>
  <c r="AY1013" i="1"/>
  <c r="AY1008" i="1"/>
  <c r="AY1000" i="1"/>
  <c r="AY996" i="1"/>
  <c r="AY989" i="1"/>
  <c r="AY982" i="1"/>
  <c r="AY978" i="1"/>
  <c r="AY974" i="1"/>
  <c r="AY968" i="1"/>
  <c r="AY964" i="1"/>
  <c r="AY960" i="1"/>
  <c r="AY953" i="1"/>
  <c r="AY946" i="1"/>
  <c r="AY942" i="1"/>
  <c r="AY938" i="1"/>
  <c r="AY932" i="1"/>
  <c r="AY928" i="1"/>
  <c r="AY924" i="1"/>
  <c r="AY917" i="1"/>
  <c r="AY910" i="1"/>
  <c r="AY906" i="1"/>
  <c r="AY902" i="1"/>
  <c r="AY896" i="1"/>
  <c r="AY892" i="1"/>
  <c r="AY888" i="1"/>
  <c r="AY881" i="1"/>
  <c r="AY874" i="1"/>
  <c r="BB2016" i="1"/>
  <c r="BB1906" i="1"/>
  <c r="BB1739" i="1"/>
  <c r="BB1558" i="1"/>
  <c r="BB1327" i="1"/>
  <c r="BB1272" i="1"/>
  <c r="BB1214" i="1"/>
  <c r="BB1179" i="1"/>
  <c r="BB1109" i="1"/>
  <c r="BB1069" i="1"/>
  <c r="BB1028" i="1"/>
  <c r="BB1002" i="1"/>
  <c r="BB980" i="1"/>
  <c r="BB962" i="1"/>
  <c r="BB940" i="1"/>
  <c r="BB921" i="1"/>
  <c r="BB899" i="1"/>
  <c r="BB879" i="1"/>
  <c r="BB858" i="1"/>
  <c r="BB835" i="1"/>
  <c r="BB826" i="1"/>
  <c r="BB810" i="1"/>
  <c r="BB790" i="1"/>
  <c r="BB779" i="1"/>
  <c r="BB769" i="1"/>
  <c r="BB760" i="1"/>
  <c r="BB747" i="1"/>
  <c r="BB738" i="1"/>
  <c r="BB729" i="1"/>
  <c r="BB720" i="1"/>
  <c r="BB707" i="1"/>
  <c r="BB698" i="1"/>
  <c r="BB689" i="1"/>
  <c r="BB678" i="1"/>
  <c r="BB667" i="1"/>
  <c r="BB657" i="1"/>
  <c r="BB649" i="1"/>
  <c r="BB638" i="1"/>
  <c r="BB627" i="1"/>
  <c r="BB617" i="1"/>
  <c r="BB608" i="1"/>
  <c r="BB595" i="1"/>
  <c r="BB586" i="1"/>
  <c r="BB577" i="1"/>
  <c r="BB555" i="1"/>
  <c r="BB546" i="1"/>
  <c r="BB537" i="1"/>
  <c r="BB527" i="1"/>
  <c r="BB516" i="1"/>
  <c r="BB507" i="1"/>
  <c r="BB499" i="1"/>
  <c r="BB490" i="1"/>
  <c r="BB482" i="1"/>
  <c r="BB476" i="1"/>
  <c r="BB466" i="1"/>
  <c r="BB429" i="1"/>
  <c r="BB423" i="1"/>
  <c r="BB420" i="1"/>
  <c r="BB417" i="1"/>
  <c r="BB408" i="1"/>
  <c r="BB403" i="1"/>
  <c r="BB398" i="1"/>
  <c r="BB394" i="1"/>
  <c r="BB390" i="1"/>
  <c r="BB384" i="1"/>
  <c r="BB375" i="1"/>
  <c r="BB371" i="1"/>
  <c r="BB368" i="1"/>
  <c r="BB360" i="1"/>
  <c r="BB356" i="1"/>
  <c r="BB352" i="1"/>
  <c r="BB348" i="1"/>
  <c r="BB344" i="1"/>
  <c r="BB339" i="1"/>
  <c r="BB335" i="1"/>
  <c r="BB331" i="1"/>
  <c r="BB326" i="1"/>
  <c r="BB322" i="1"/>
  <c r="BB318" i="1"/>
  <c r="BB314" i="1"/>
  <c r="BB309" i="1"/>
  <c r="BB305" i="1"/>
  <c r="BB301" i="1"/>
  <c r="BB297" i="1"/>
  <c r="BB293" i="1"/>
  <c r="BB290" i="1"/>
  <c r="BB285" i="1"/>
  <c r="BB281" i="1"/>
  <c r="BB276" i="1"/>
  <c r="BB274" i="1"/>
  <c r="BB269" i="1"/>
  <c r="BB265" i="1"/>
  <c r="BB260" i="1"/>
  <c r="BB258" i="1"/>
  <c r="BB253" i="1"/>
  <c r="BB248" i="1"/>
  <c r="BB244" i="1"/>
  <c r="BB240" i="1"/>
  <c r="BB235" i="1"/>
  <c r="BB231" i="1"/>
  <c r="BB226" i="1"/>
  <c r="BB222" i="1"/>
  <c r="BB218" i="1"/>
  <c r="BB213" i="1"/>
  <c r="BB209" i="1"/>
  <c r="BB204" i="1"/>
  <c r="BB199" i="1"/>
  <c r="BB195" i="1"/>
  <c r="BB191" i="1"/>
  <c r="BB185" i="1"/>
  <c r="BB181" i="1"/>
  <c r="BB176" i="1"/>
  <c r="BB171" i="1"/>
  <c r="BB167" i="1"/>
  <c r="BB161" i="1"/>
  <c r="BB156" i="1"/>
  <c r="BB152" i="1"/>
  <c r="BB142" i="1"/>
  <c r="BB136" i="1"/>
  <c r="BB131" i="1"/>
  <c r="BB127" i="1"/>
  <c r="BB123" i="1"/>
  <c r="BB118" i="1"/>
  <c r="BB113" i="1"/>
  <c r="BB109" i="1"/>
  <c r="BB104" i="1"/>
  <c r="BB100" i="1"/>
  <c r="BB95" i="1"/>
  <c r="BB90" i="1"/>
  <c r="BB86" i="1"/>
  <c r="BB74" i="1"/>
  <c r="BB69" i="1"/>
  <c r="BB63" i="1"/>
  <c r="BB58" i="1"/>
  <c r="BB53" i="1"/>
  <c r="BB46" i="1"/>
  <c r="BB34" i="1"/>
  <c r="BB32" i="1"/>
  <c r="BB23" i="1"/>
  <c r="BB19" i="1"/>
  <c r="BB12" i="1"/>
  <c r="AY2095" i="1"/>
  <c r="AY2090" i="1"/>
  <c r="BB1878" i="1"/>
  <c r="BB1391" i="1"/>
  <c r="BB1306" i="1"/>
  <c r="BB1204" i="1"/>
  <c r="BB1170" i="1"/>
  <c r="BB1152" i="1"/>
  <c r="BB1100" i="1"/>
  <c r="BB1058" i="1"/>
  <c r="BB1015" i="1"/>
  <c r="BB998" i="1"/>
  <c r="BB976" i="1"/>
  <c r="BB957" i="1"/>
  <c r="BB935" i="1"/>
  <c r="BB915" i="1"/>
  <c r="BB894" i="1"/>
  <c r="BB872" i="1"/>
  <c r="BB854" i="1"/>
  <c r="BB833" i="1"/>
  <c r="BB817" i="1"/>
  <c r="BB808" i="1"/>
  <c r="BB785" i="1"/>
  <c r="BB776" i="1"/>
  <c r="BB767" i="1"/>
  <c r="BB758" i="1"/>
  <c r="BB745" i="1"/>
  <c r="BB736" i="1"/>
  <c r="BB727" i="1"/>
  <c r="BB716" i="1"/>
  <c r="BB705" i="1"/>
  <c r="BB695" i="1"/>
  <c r="BB687" i="1"/>
  <c r="BB676" i="1"/>
  <c r="BB665" i="1"/>
  <c r="BB655" i="1"/>
  <c r="BB646" i="1"/>
  <c r="BB633" i="1"/>
  <c r="BB624" i="1"/>
  <c r="BB615" i="1"/>
  <c r="BB606" i="1"/>
  <c r="BB593" i="1"/>
  <c r="BB584" i="1"/>
  <c r="BB575" i="1"/>
  <c r="BB564" i="1"/>
  <c r="BB553" i="1"/>
  <c r="BB543" i="1"/>
  <c r="BB535" i="1"/>
  <c r="BB525" i="1"/>
  <c r="BB514" i="1"/>
  <c r="BB505" i="1"/>
  <c r="BB496" i="1"/>
  <c r="BB488" i="1"/>
  <c r="BB473" i="1"/>
  <c r="BB464" i="1"/>
  <c r="BB427" i="1"/>
  <c r="BB422" i="1"/>
  <c r="BB411" i="1"/>
  <c r="BB407" i="1"/>
  <c r="BB402" i="1"/>
  <c r="BB396" i="1"/>
  <c r="BB393" i="1"/>
  <c r="BB389" i="1"/>
  <c r="BB383" i="1"/>
  <c r="BB380" i="1"/>
  <c r="BB374" i="1"/>
  <c r="BB366" i="1"/>
  <c r="BB359" i="1"/>
  <c r="BB355" i="1"/>
  <c r="BB351" i="1"/>
  <c r="BB347" i="1"/>
  <c r="BB343" i="1"/>
  <c r="BB338" i="1"/>
  <c r="BB334" i="1"/>
  <c r="BB330" i="1"/>
  <c r="BB325" i="1"/>
  <c r="BB321" i="1"/>
  <c r="BB317" i="1"/>
  <c r="BB313" i="1"/>
  <c r="BB308" i="1"/>
  <c r="BB304" i="1"/>
  <c r="BB300" i="1"/>
  <c r="BB296" i="1"/>
  <c r="BB289" i="1"/>
  <c r="BB284" i="1"/>
  <c r="BB280" i="1"/>
  <c r="BB273" i="1"/>
  <c r="BB268" i="1"/>
  <c r="BB264" i="1"/>
  <c r="BB257" i="1"/>
  <c r="BB252" i="1"/>
  <c r="BB247" i="1"/>
  <c r="BB243" i="1"/>
  <c r="BB239" i="1"/>
  <c r="BB234" i="1"/>
  <c r="BB230" i="1"/>
  <c r="BB225" i="1"/>
  <c r="BB221" i="1"/>
  <c r="BB217" i="1"/>
  <c r="BB212" i="1"/>
  <c r="BB208" i="1"/>
  <c r="BB203" i="1"/>
  <c r="BB198" i="1"/>
  <c r="BB194" i="1"/>
  <c r="BB190" i="1"/>
  <c r="BB184" i="1"/>
  <c r="BB180" i="1"/>
  <c r="BB174" i="1"/>
  <c r="BB170" i="1"/>
  <c r="BB166" i="1"/>
  <c r="BB159" i="1"/>
  <c r="BB155" i="1"/>
  <c r="BB150" i="1"/>
  <c r="BB147" i="1"/>
  <c r="BB141" i="1"/>
  <c r="BB135" i="1"/>
  <c r="BB130" i="1"/>
  <c r="BB126" i="1"/>
  <c r="BB122" i="1"/>
  <c r="BB116" i="1"/>
  <c r="BB112" i="1"/>
  <c r="BB108" i="1"/>
  <c r="BB103" i="1"/>
  <c r="BB99" i="1"/>
  <c r="BB94" i="1"/>
  <c r="BB89" i="1"/>
  <c r="BB84" i="1"/>
  <c r="BB73" i="1"/>
  <c r="BB68" i="1"/>
  <c r="BB62" i="1"/>
  <c r="BB57" i="1"/>
  <c r="AX73" i="22" s="1"/>
  <c r="BB52" i="1"/>
  <c r="BB45" i="1"/>
  <c r="BB41" i="1"/>
  <c r="BB31" i="1"/>
  <c r="BB22" i="1"/>
  <c r="BB16" i="1"/>
  <c r="BB10" i="1"/>
  <c r="AY2093" i="1"/>
  <c r="AY2089" i="1"/>
  <c r="AY2028" i="1"/>
  <c r="AY2021" i="1"/>
  <c r="N2021" i="1" s="1"/>
  <c r="E19" i="50" s="1"/>
  <c r="AY2016" i="1"/>
  <c r="AY2012" i="1"/>
  <c r="AY2010" i="1"/>
  <c r="N2010" i="1" s="1"/>
  <c r="D21" i="50" s="1"/>
  <c r="AY2008" i="1"/>
  <c r="AY2001" i="1"/>
  <c r="AY1994" i="1"/>
  <c r="AY1990" i="1"/>
  <c r="AY1983" i="1"/>
  <c r="AY1979" i="1"/>
  <c r="AY1972" i="1"/>
  <c r="AY1968" i="1"/>
  <c r="AY1943" i="1"/>
  <c r="AY1939" i="1"/>
  <c r="AY1906" i="1"/>
  <c r="AY1892" i="1"/>
  <c r="AY1886" i="1"/>
  <c r="N1886" i="1" s="1"/>
  <c r="AY1882" i="1"/>
  <c r="AY1878" i="1"/>
  <c r="AY1842" i="1"/>
  <c r="AY1837" i="1"/>
  <c r="AH144" i="6" s="1"/>
  <c r="AY1833" i="1"/>
  <c r="AY1546" i="1"/>
  <c r="AY1762" i="1"/>
  <c r="AY1751" i="1"/>
  <c r="AY1745" i="1"/>
  <c r="AY1739" i="1"/>
  <c r="AY1732" i="1"/>
  <c r="AY1725" i="1"/>
  <c r="AY1721" i="1"/>
  <c r="AY1719" i="1"/>
  <c r="AY1716" i="1"/>
  <c r="AY1710" i="1"/>
  <c r="AY1706" i="1"/>
  <c r="AY1759" i="1"/>
  <c r="AY1758" i="1"/>
  <c r="AY1566" i="1"/>
  <c r="AY1562" i="1"/>
  <c r="AY1558" i="1"/>
  <c r="AY1554" i="1"/>
  <c r="AY1406" i="1"/>
  <c r="AY1401" i="1"/>
  <c r="AY1391" i="1"/>
  <c r="AY1386" i="1"/>
  <c r="AY1381" i="1"/>
  <c r="AY1376" i="1"/>
  <c r="AY1371" i="1"/>
  <c r="AY1366" i="1"/>
  <c r="AY1361" i="1"/>
  <c r="AY1357" i="1"/>
  <c r="AY1345" i="1"/>
  <c r="AY1340" i="1"/>
  <c r="AY1336" i="1"/>
  <c r="AY1332" i="1"/>
  <c r="AY1327" i="1"/>
  <c r="AY1323" i="1"/>
  <c r="AY1318" i="1"/>
  <c r="AY1314" i="1"/>
  <c r="AY1306" i="1"/>
  <c r="AY1302" i="1"/>
  <c r="AY1292" i="1"/>
  <c r="AY1288" i="1"/>
  <c r="AY1284" i="1"/>
  <c r="AY1280" i="1"/>
  <c r="AY1276" i="1"/>
  <c r="AY1272" i="1"/>
  <c r="AY1268" i="1"/>
  <c r="AY1254" i="1"/>
  <c r="AY1249" i="1"/>
  <c r="AY1245" i="1"/>
  <c r="AY1241" i="1"/>
  <c r="AY1237" i="1"/>
  <c r="AY1214" i="1"/>
  <c r="AY1208" i="1"/>
  <c r="AY1204" i="1"/>
  <c r="AY1197" i="1"/>
  <c r="AY1193" i="1"/>
  <c r="AY1183" i="1"/>
  <c r="AY1179" i="1"/>
  <c r="AY1174" i="1"/>
  <c r="AY1170" i="1"/>
  <c r="AY1165" i="1"/>
  <c r="AY1161" i="1"/>
  <c r="AY1152" i="1"/>
  <c r="AY1147" i="1"/>
  <c r="AY1130" i="1"/>
  <c r="AY1123" i="1"/>
  <c r="AY1119" i="1"/>
  <c r="AY1114" i="1"/>
  <c r="AY1109" i="1"/>
  <c r="AY1105" i="1"/>
  <c r="AY1100" i="1"/>
  <c r="AY1094" i="1"/>
  <c r="AY1087" i="1"/>
  <c r="AY1083" i="1"/>
  <c r="AY1078" i="1"/>
  <c r="AY1073" i="1"/>
  <c r="AY1069" i="1"/>
  <c r="AY1064" i="1"/>
  <c r="AY1058" i="1"/>
  <c r="AY1051" i="1"/>
  <c r="AY1047" i="1"/>
  <c r="AY1042" i="1"/>
  <c r="AY1037" i="1"/>
  <c r="AY1033" i="1"/>
  <c r="AY1028" i="1"/>
  <c r="AY1022" i="1"/>
  <c r="AY1015" i="1"/>
  <c r="AY1011" i="1"/>
  <c r="AY1006" i="1"/>
  <c r="AY1002" i="1"/>
  <c r="AY998" i="1"/>
  <c r="AY993" i="1"/>
  <c r="AY987" i="1"/>
  <c r="AY980" i="1"/>
  <c r="AY976" i="1"/>
  <c r="AY971" i="1"/>
  <c r="AY966" i="1"/>
  <c r="AY962" i="1"/>
  <c r="AY957" i="1"/>
  <c r="AY951" i="1"/>
  <c r="AY944" i="1"/>
  <c r="AY940" i="1"/>
  <c r="AY935" i="1"/>
  <c r="AY930" i="1"/>
  <c r="AY926" i="1"/>
  <c r="AY921" i="1"/>
  <c r="AY915" i="1"/>
  <c r="AY908" i="1"/>
  <c r="AY904" i="1"/>
  <c r="AY899" i="1"/>
  <c r="AY894" i="1"/>
  <c r="AY890" i="1"/>
  <c r="AY885" i="1"/>
  <c r="AY879" i="1"/>
  <c r="AY872" i="1"/>
  <c r="AY868" i="1"/>
  <c r="BB1249" i="1"/>
  <c r="BB1130" i="1"/>
  <c r="BB993" i="1"/>
  <c r="BB908" i="1"/>
  <c r="BB830" i="1"/>
  <c r="BB774" i="1"/>
  <c r="BB733" i="1"/>
  <c r="BB693" i="1"/>
  <c r="BB653" i="1"/>
  <c r="BB613" i="1"/>
  <c r="BB573" i="1"/>
  <c r="BB532" i="1"/>
  <c r="BB494" i="1"/>
  <c r="BB460" i="1"/>
  <c r="BB410" i="1"/>
  <c r="BB395" i="1"/>
  <c r="BB392" i="1"/>
  <c r="BB373" i="1"/>
  <c r="BB358" i="1"/>
  <c r="BB341" i="1"/>
  <c r="BB324" i="1"/>
  <c r="BB307" i="1"/>
  <c r="BB292" i="1"/>
  <c r="BB279" i="1"/>
  <c r="BB267" i="1"/>
  <c r="BB251" i="1"/>
  <c r="BB233" i="1"/>
  <c r="BB216" i="1"/>
  <c r="BB197" i="1"/>
  <c r="BB179" i="1"/>
  <c r="BB158" i="1"/>
  <c r="BB138" i="1"/>
  <c r="BB121" i="1"/>
  <c r="BB102" i="1"/>
  <c r="BB82" i="1"/>
  <c r="BB56" i="1"/>
  <c r="BB40" i="1"/>
  <c r="BB15" i="1"/>
  <c r="AY2092" i="1"/>
  <c r="AY2029" i="1"/>
  <c r="N2029" i="1" s="1"/>
  <c r="E39" i="50" s="1"/>
  <c r="AY2017" i="1"/>
  <c r="AY2003" i="1"/>
  <c r="AY2002" i="1"/>
  <c r="AY1991" i="1"/>
  <c r="AY1980" i="1"/>
  <c r="AY1969" i="1"/>
  <c r="AY1944" i="1"/>
  <c r="AY1918" i="1"/>
  <c r="AY1887" i="1"/>
  <c r="AY1879" i="1"/>
  <c r="AY1834" i="1"/>
  <c r="AY1547" i="1"/>
  <c r="AY1752" i="1"/>
  <c r="AY1740" i="1"/>
  <c r="AY1729" i="1"/>
  <c r="AY1711" i="1"/>
  <c r="AY1703" i="1"/>
  <c r="AY1755" i="1"/>
  <c r="AY1559" i="1"/>
  <c r="AY1407" i="1"/>
  <c r="AY1392" i="1"/>
  <c r="AY1382" i="1"/>
  <c r="AY1372" i="1"/>
  <c r="AY1362" i="1"/>
  <c r="AY1346" i="1"/>
  <c r="AY1337" i="1"/>
  <c r="AY1329" i="1"/>
  <c r="AY1319" i="1"/>
  <c r="AY1308" i="1"/>
  <c r="AY1299" i="1"/>
  <c r="AY1289" i="1"/>
  <c r="AY1281" i="1"/>
  <c r="AY1273" i="1"/>
  <c r="AY1261" i="1"/>
  <c r="AY1250" i="1"/>
  <c r="AY1242" i="1"/>
  <c r="AY1215" i="1"/>
  <c r="AY1205" i="1"/>
  <c r="AY1194" i="1"/>
  <c r="AY1180" i="1"/>
  <c r="AY1171" i="1"/>
  <c r="AY1162" i="1"/>
  <c r="AY1131" i="1"/>
  <c r="AY1120" i="1"/>
  <c r="AY1110" i="1"/>
  <c r="AY1101" i="1"/>
  <c r="AY1088" i="1"/>
  <c r="AY1079" i="1"/>
  <c r="AY1070" i="1"/>
  <c r="AY1059" i="1"/>
  <c r="AY1048" i="1"/>
  <c r="AY1038" i="1"/>
  <c r="AY1029" i="1"/>
  <c r="AY1016" i="1"/>
  <c r="AY1007" i="1"/>
  <c r="AY999" i="1"/>
  <c r="AY988" i="1"/>
  <c r="AY977" i="1"/>
  <c r="AY967" i="1"/>
  <c r="AY958" i="1"/>
  <c r="AY945" i="1"/>
  <c r="AY936" i="1"/>
  <c r="AY927" i="1"/>
  <c r="AY916" i="1"/>
  <c r="AY905" i="1"/>
  <c r="AY895" i="1"/>
  <c r="AY886" i="1"/>
  <c r="AY873" i="1"/>
  <c r="AY867" i="1"/>
  <c r="AY862" i="1"/>
  <c r="AY857" i="1"/>
  <c r="AY853" i="1"/>
  <c r="AY848" i="1"/>
  <c r="AY844" i="1"/>
  <c r="AY834" i="1"/>
  <c r="AY830" i="1"/>
  <c r="AY826" i="1"/>
  <c r="AY815" i="1"/>
  <c r="AY810" i="1"/>
  <c r="AY790" i="1"/>
  <c r="AY783" i="1"/>
  <c r="AY779" i="1"/>
  <c r="AY774" i="1"/>
  <c r="AY769" i="1"/>
  <c r="AY765" i="1"/>
  <c r="AY760" i="1"/>
  <c r="AY754" i="1"/>
  <c r="AY747" i="1"/>
  <c r="AY743" i="1"/>
  <c r="AY738" i="1"/>
  <c r="AY733" i="1"/>
  <c r="AY729" i="1"/>
  <c r="AY725" i="1"/>
  <c r="AY720" i="1"/>
  <c r="AY714" i="1"/>
  <c r="AY707" i="1"/>
  <c r="AY703" i="1"/>
  <c r="AY698" i="1"/>
  <c r="AY693" i="1"/>
  <c r="AY689" i="1"/>
  <c r="AY684" i="1"/>
  <c r="AY678" i="1"/>
  <c r="AY671" i="1"/>
  <c r="AY667" i="1"/>
  <c r="AY662" i="1"/>
  <c r="AY657" i="1"/>
  <c r="AY653" i="1"/>
  <c r="AY649" i="1"/>
  <c r="AY644" i="1"/>
  <c r="AY638" i="1"/>
  <c r="AY631" i="1"/>
  <c r="AY627" i="1"/>
  <c r="AY622" i="1"/>
  <c r="AY617" i="1"/>
  <c r="AY613" i="1"/>
  <c r="AY608" i="1"/>
  <c r="AY602" i="1"/>
  <c r="AY595" i="1"/>
  <c r="AY591" i="1"/>
  <c r="AY586" i="1"/>
  <c r="AY581" i="1"/>
  <c r="AY577" i="1"/>
  <c r="AY573" i="1"/>
  <c r="AY562" i="1"/>
  <c r="AY555" i="1"/>
  <c r="AY551" i="1"/>
  <c r="AY546" i="1"/>
  <c r="AY541" i="1"/>
  <c r="AY537" i="1"/>
  <c r="AY532" i="1"/>
  <c r="AY527" i="1"/>
  <c r="AY520" i="1"/>
  <c r="AY516" i="1"/>
  <c r="AY512" i="1"/>
  <c r="AY507" i="1"/>
  <c r="AY503" i="1"/>
  <c r="AY499" i="1"/>
  <c r="AY494" i="1"/>
  <c r="AY490" i="1"/>
  <c r="AY486" i="1"/>
  <c r="AY482" i="1"/>
  <c r="AY476" i="1"/>
  <c r="AY471" i="1"/>
  <c r="AY466" i="1"/>
  <c r="AY460" i="1"/>
  <c r="AY429" i="1"/>
  <c r="AY409" i="1"/>
  <c r="AY404" i="1"/>
  <c r="AY399" i="1"/>
  <c r="AY391" i="1"/>
  <c r="AY385" i="1"/>
  <c r="AY381" i="1"/>
  <c r="AY379" i="1"/>
  <c r="AY369" i="1"/>
  <c r="AY361" i="1"/>
  <c r="AY357" i="1"/>
  <c r="AY353" i="1"/>
  <c r="AY349" i="1"/>
  <c r="AY345" i="1"/>
  <c r="AY340" i="1"/>
  <c r="AY336" i="1"/>
  <c r="AY332" i="1"/>
  <c r="AY328" i="1"/>
  <c r="AY323" i="1"/>
  <c r="AY319" i="1"/>
  <c r="AY315" i="1"/>
  <c r="AY311" i="1"/>
  <c r="AY306" i="1"/>
  <c r="AY302" i="1"/>
  <c r="AY298" i="1"/>
  <c r="AY294" i="1"/>
  <c r="AY291" i="1"/>
  <c r="AY287" i="1"/>
  <c r="AY282" i="1"/>
  <c r="AY278" i="1"/>
  <c r="AY275" i="1"/>
  <c r="AY271" i="1"/>
  <c r="AY266" i="1"/>
  <c r="AY262" i="1"/>
  <c r="AY259" i="1"/>
  <c r="AY255" i="1"/>
  <c r="AY249" i="1"/>
  <c r="AY245" i="1"/>
  <c r="AY241" i="1"/>
  <c r="AY236" i="1"/>
  <c r="AY232" i="1"/>
  <c r="AY227" i="1"/>
  <c r="AY223" i="1"/>
  <c r="AY219" i="1"/>
  <c r="AY214" i="1"/>
  <c r="AY210" i="1"/>
  <c r="AY205" i="1"/>
  <c r="AY200" i="1"/>
  <c r="AY196" i="1"/>
  <c r="AY192" i="1"/>
  <c r="AY186" i="1"/>
  <c r="AY182" i="1"/>
  <c r="AY178" i="1"/>
  <c r="AY172" i="1"/>
  <c r="AY168" i="1"/>
  <c r="AY163" i="1"/>
  <c r="AY157" i="1"/>
  <c r="AY153" i="1"/>
  <c r="AY142" i="1"/>
  <c r="AY136" i="1"/>
  <c r="AY131" i="1"/>
  <c r="AW44" i="22" s="1"/>
  <c r="AY127" i="1"/>
  <c r="AY123" i="1"/>
  <c r="AY118" i="1"/>
  <c r="AY113" i="1"/>
  <c r="AY109" i="1"/>
  <c r="AY104" i="1"/>
  <c r="AY100" i="1"/>
  <c r="AY95" i="1"/>
  <c r="AY90" i="1"/>
  <c r="AY86" i="1"/>
  <c r="AY74" i="1"/>
  <c r="AY69" i="1"/>
  <c r="AY63" i="1"/>
  <c r="AY58" i="1"/>
  <c r="AY53" i="1"/>
  <c r="AY46" i="1"/>
  <c r="AY34" i="1"/>
  <c r="AY32" i="1"/>
  <c r="AY23" i="1"/>
  <c r="AY19" i="1"/>
  <c r="AY13" i="1"/>
  <c r="AH139" i="6" s="1"/>
  <c r="BB1710" i="1"/>
  <c r="BB1087" i="1"/>
  <c r="BB971" i="1"/>
  <c r="BB890" i="1"/>
  <c r="BB815" i="1"/>
  <c r="BB765" i="1"/>
  <c r="BB725" i="1"/>
  <c r="BB684" i="1"/>
  <c r="BB644" i="1"/>
  <c r="BB602" i="1"/>
  <c r="BB562" i="1"/>
  <c r="BB520" i="1"/>
  <c r="BB486" i="1"/>
  <c r="BB405" i="1"/>
  <c r="BB386" i="1"/>
  <c r="BB354" i="1"/>
  <c r="BB337" i="1"/>
  <c r="BB320" i="1"/>
  <c r="BB303" i="1"/>
  <c r="BB288" i="1"/>
  <c r="BB263" i="1"/>
  <c r="BB246" i="1"/>
  <c r="BB229" i="1"/>
  <c r="BB211" i="1"/>
  <c r="BB193" i="1"/>
  <c r="BB173" i="1"/>
  <c r="BB154" i="1"/>
  <c r="BB134" i="1"/>
  <c r="BB115" i="1"/>
  <c r="BB97" i="1"/>
  <c r="BB51" i="1"/>
  <c r="BB9" i="1"/>
  <c r="AY2088" i="1"/>
  <c r="AY2027" i="1"/>
  <c r="N2027" i="1" s="1"/>
  <c r="E35" i="50" s="1"/>
  <c r="AY2024" i="1"/>
  <c r="AY2015" i="1"/>
  <c r="N2015" i="1" s="1"/>
  <c r="D36" i="50" s="1"/>
  <c r="AY1997" i="1"/>
  <c r="AY1989" i="1"/>
  <c r="AY1978" i="1"/>
  <c r="AY1967" i="1"/>
  <c r="AY1942" i="1"/>
  <c r="AY1898" i="1"/>
  <c r="AY1885" i="1"/>
  <c r="AY1877" i="1"/>
  <c r="AY1845" i="1"/>
  <c r="AY1832" i="1"/>
  <c r="AY1545" i="1"/>
  <c r="AY1749" i="1"/>
  <c r="AY1738" i="1"/>
  <c r="AY1724" i="1"/>
  <c r="AY1709" i="1"/>
  <c r="AY1565" i="1"/>
  <c r="AY1557" i="1"/>
  <c r="AY1404" i="1"/>
  <c r="AY1389" i="1"/>
  <c r="AY1379" i="1"/>
  <c r="AY1369" i="1"/>
  <c r="AY1360" i="1"/>
  <c r="AY1344" i="1"/>
  <c r="AY1335" i="1"/>
  <c r="AY1326" i="1"/>
  <c r="AY1317" i="1"/>
  <c r="AY1296" i="1"/>
  <c r="AY1287" i="1"/>
  <c r="AY1279" i="1"/>
  <c r="AY1271" i="1"/>
  <c r="AY1258" i="1"/>
  <c r="AY1240" i="1"/>
  <c r="AY1213" i="1"/>
  <c r="AY1202" i="1"/>
  <c r="AY1192" i="1"/>
  <c r="AY1178" i="1"/>
  <c r="AY1168" i="1"/>
  <c r="AY1151" i="1"/>
  <c r="AY1126" i="1"/>
  <c r="AY1118" i="1"/>
  <c r="AY1108" i="1"/>
  <c r="AY1097" i="1"/>
  <c r="AY1086" i="1"/>
  <c r="AY1076" i="1"/>
  <c r="AY1068" i="1"/>
  <c r="AY1054" i="1"/>
  <c r="AY1046" i="1"/>
  <c r="AY1036" i="1"/>
  <c r="AY1025" i="1"/>
  <c r="AY1014" i="1"/>
  <c r="AY1004" i="1"/>
  <c r="AY997" i="1"/>
  <c r="AY986" i="1"/>
  <c r="AY975" i="1"/>
  <c r="AY965" i="1"/>
  <c r="AY956" i="1"/>
  <c r="AY943" i="1"/>
  <c r="AY934" i="1"/>
  <c r="AY925" i="1"/>
  <c r="AY914" i="1"/>
  <c r="AY903" i="1"/>
  <c r="AY893" i="1"/>
  <c r="AY884" i="1"/>
  <c r="AY871" i="1"/>
  <c r="AY866" i="1"/>
  <c r="AY860" i="1"/>
  <c r="AY856" i="1"/>
  <c r="AY852" i="1"/>
  <c r="AY847" i="1"/>
  <c r="AY837" i="1"/>
  <c r="AY833" i="1"/>
  <c r="AY829" i="1"/>
  <c r="AY818" i="1"/>
  <c r="AY814" i="1"/>
  <c r="AY809" i="1"/>
  <c r="AY793" i="1"/>
  <c r="AY786" i="1"/>
  <c r="AY782" i="1"/>
  <c r="AY778" i="1"/>
  <c r="AY772" i="1"/>
  <c r="AY768" i="1"/>
  <c r="AY764" i="1"/>
  <c r="AY759" i="1"/>
  <c r="AY753" i="1"/>
  <c r="AY746" i="1"/>
  <c r="AY742" i="1"/>
  <c r="AY737" i="1"/>
  <c r="AY732" i="1"/>
  <c r="AY728" i="1"/>
  <c r="AY723" i="1"/>
  <c r="AY717" i="1"/>
  <c r="AY710" i="1"/>
  <c r="AY706" i="1"/>
  <c r="AY702" i="1"/>
  <c r="AY696" i="1"/>
  <c r="AY692" i="1"/>
  <c r="AY688" i="1"/>
  <c r="AY683" i="1"/>
  <c r="AY677" i="1"/>
  <c r="AY670" i="1"/>
  <c r="AY666" i="1"/>
  <c r="AY661" i="1"/>
  <c r="AY656" i="1"/>
  <c r="AY652" i="1"/>
  <c r="AY647" i="1"/>
  <c r="AY641" i="1"/>
  <c r="BB1371" i="1"/>
  <c r="BB1161" i="1"/>
  <c r="BB1047" i="1"/>
  <c r="BB951" i="1"/>
  <c r="BB868" i="1"/>
  <c r="BB754" i="1"/>
  <c r="BB714" i="1"/>
  <c r="BB671" i="1"/>
  <c r="BB631" i="1"/>
  <c r="BB591" i="1"/>
  <c r="BB551" i="1"/>
  <c r="BB512" i="1"/>
  <c r="BB421" i="1"/>
  <c r="BB382" i="1"/>
  <c r="BB370" i="1"/>
  <c r="BB350" i="1"/>
  <c r="BB333" i="1"/>
  <c r="BB316" i="1"/>
  <c r="BB299" i="1"/>
  <c r="BB272" i="1"/>
  <c r="BB242" i="1"/>
  <c r="BB224" i="1"/>
  <c r="BB207" i="1"/>
  <c r="BB188" i="1"/>
  <c r="BB169" i="1"/>
  <c r="BB149" i="1"/>
  <c r="BB129" i="1"/>
  <c r="BB111" i="1"/>
  <c r="BB93" i="1"/>
  <c r="BB66" i="1"/>
  <c r="BB48" i="1"/>
  <c r="BB30" i="1"/>
  <c r="AY2025" i="1"/>
  <c r="AY2022" i="1"/>
  <c r="AY2013" i="1"/>
  <c r="AY1995" i="1"/>
  <c r="AY1984" i="1"/>
  <c r="AY1973" i="1"/>
  <c r="AY1964" i="1"/>
  <c r="AY1940" i="1"/>
  <c r="AY1896" i="1"/>
  <c r="AY1883" i="1"/>
  <c r="AY1875" i="1"/>
  <c r="AY1843" i="1"/>
  <c r="AY1838" i="1"/>
  <c r="AY1764" i="1"/>
  <c r="AY1746" i="1"/>
  <c r="AY1733" i="1"/>
  <c r="AY1722" i="1"/>
  <c r="AY1720" i="1"/>
  <c r="AY1717" i="1"/>
  <c r="AY1707" i="1"/>
  <c r="AY1563" i="1"/>
  <c r="AY1555" i="1"/>
  <c r="AY1402" i="1"/>
  <c r="AY1387" i="1"/>
  <c r="AY1377" i="1"/>
  <c r="AY1367" i="1"/>
  <c r="AY1358" i="1"/>
  <c r="AY1341" i="1"/>
  <c r="AY1333" i="1"/>
  <c r="AY1324" i="1"/>
  <c r="AY1315" i="1"/>
  <c r="AY1304" i="1"/>
  <c r="AY1294" i="1"/>
  <c r="AY1285" i="1"/>
  <c r="AY1277" i="1"/>
  <c r="AY1269" i="1"/>
  <c r="AY1255" i="1"/>
  <c r="AY1238" i="1"/>
  <c r="AY1210" i="1"/>
  <c r="AY1184" i="1"/>
  <c r="AY1175" i="1"/>
  <c r="AY1166" i="1"/>
  <c r="AY1159" i="1"/>
  <c r="AY1148" i="1"/>
  <c r="AY1124" i="1"/>
  <c r="AY1115" i="1"/>
  <c r="AY1106" i="1"/>
  <c r="AY1095" i="1"/>
  <c r="AY1084" i="1"/>
  <c r="AY1074" i="1"/>
  <c r="AY1065" i="1"/>
  <c r="AY1052" i="1"/>
  <c r="AY1043" i="1"/>
  <c r="AY1034" i="1"/>
  <c r="AY1023" i="1"/>
  <c r="AY1012" i="1"/>
  <c r="AY1003" i="1"/>
  <c r="AY994" i="1"/>
  <c r="AY981" i="1"/>
  <c r="AY972" i="1"/>
  <c r="AY963" i="1"/>
  <c r="AY952" i="1"/>
  <c r="AY941" i="1"/>
  <c r="AY931" i="1"/>
  <c r="AY922" i="1"/>
  <c r="AY909" i="1"/>
  <c r="AY900" i="1"/>
  <c r="AY891" i="1"/>
  <c r="AY880" i="1"/>
  <c r="AY870" i="1"/>
  <c r="AY864" i="1"/>
  <c r="AY859" i="1"/>
  <c r="AY855" i="1"/>
  <c r="AY850" i="1"/>
  <c r="AY846" i="1"/>
  <c r="AY836" i="1"/>
  <c r="AY832" i="1"/>
  <c r="AY828" i="1"/>
  <c r="AY817" i="1"/>
  <c r="AY812" i="1"/>
  <c r="AY808" i="1"/>
  <c r="AY792" i="1"/>
  <c r="AY785" i="1"/>
  <c r="AY781" i="1"/>
  <c r="AY776" i="1"/>
  <c r="AY771" i="1"/>
  <c r="AY767" i="1"/>
  <c r="AY763" i="1"/>
  <c r="AY758" i="1"/>
  <c r="AY752" i="1"/>
  <c r="AY745" i="1"/>
  <c r="AY741" i="1"/>
  <c r="AY736" i="1"/>
  <c r="AY731" i="1"/>
  <c r="AY727" i="1"/>
  <c r="AY722" i="1"/>
  <c r="AY716" i="1"/>
  <c r="AY709" i="1"/>
  <c r="AY705" i="1"/>
  <c r="AY700" i="1"/>
  <c r="AY695" i="1"/>
  <c r="AY691" i="1"/>
  <c r="AY687" i="1"/>
  <c r="AY682" i="1"/>
  <c r="AY676" i="1"/>
  <c r="AY669" i="1"/>
  <c r="AY665" i="1"/>
  <c r="AY660" i="1"/>
  <c r="AY655" i="1"/>
  <c r="AY651" i="1"/>
  <c r="AY646" i="1"/>
  <c r="AY640" i="1"/>
  <c r="AY633" i="1"/>
  <c r="AY629" i="1"/>
  <c r="AY624" i="1"/>
  <c r="AY619" i="1"/>
  <c r="AY615" i="1"/>
  <c r="AY611" i="1"/>
  <c r="AY606" i="1"/>
  <c r="AY600" i="1"/>
  <c r="AY593" i="1"/>
  <c r="AY589" i="1"/>
  <c r="AY584" i="1"/>
  <c r="AY579" i="1"/>
  <c r="AY575" i="1"/>
  <c r="AY570" i="1"/>
  <c r="AY564" i="1"/>
  <c r="AY557" i="1"/>
  <c r="AY553" i="1"/>
  <c r="AY548" i="1"/>
  <c r="AY543" i="1"/>
  <c r="AY539" i="1"/>
  <c r="AY535" i="1"/>
  <c r="AY525" i="1"/>
  <c r="AY518" i="1"/>
  <c r="AY514" i="1"/>
  <c r="AY510" i="1"/>
  <c r="AY505" i="1"/>
  <c r="AY501" i="1"/>
  <c r="AY496" i="1"/>
  <c r="AY492" i="1"/>
  <c r="AY488" i="1"/>
  <c r="AY484" i="1"/>
  <c r="AY473" i="1"/>
  <c r="AY468" i="1"/>
  <c r="AY464" i="1"/>
  <c r="AY427" i="1"/>
  <c r="AY422" i="1"/>
  <c r="AY411" i="1"/>
  <c r="AY407" i="1"/>
  <c r="AY402" i="1"/>
  <c r="AY396" i="1"/>
  <c r="AY393" i="1"/>
  <c r="AY389" i="1"/>
  <c r="AY383" i="1"/>
  <c r="AY380" i="1"/>
  <c r="AY374" i="1"/>
  <c r="AY366" i="1"/>
  <c r="AY359" i="1"/>
  <c r="AY355" i="1"/>
  <c r="AY351" i="1"/>
  <c r="AY347" i="1"/>
  <c r="AY343" i="1"/>
  <c r="AY338" i="1"/>
  <c r="AY334" i="1"/>
  <c r="AY330" i="1"/>
  <c r="AY325" i="1"/>
  <c r="AY321" i="1"/>
  <c r="AY317" i="1"/>
  <c r="AY313" i="1"/>
  <c r="AY308" i="1"/>
  <c r="AY304" i="1"/>
  <c r="AY300" i="1"/>
  <c r="AY296" i="1"/>
  <c r="AY289" i="1"/>
  <c r="AY284" i="1"/>
  <c r="AY280" i="1"/>
  <c r="AY273" i="1"/>
  <c r="AY268" i="1"/>
  <c r="AY264" i="1"/>
  <c r="AY257" i="1"/>
  <c r="AY252" i="1"/>
  <c r="AY247" i="1"/>
  <c r="AY243" i="1"/>
  <c r="AY239" i="1"/>
  <c r="AY234" i="1"/>
  <c r="AY230" i="1"/>
  <c r="AY225" i="1"/>
  <c r="AY221" i="1"/>
  <c r="AY217" i="1"/>
  <c r="AY212" i="1"/>
  <c r="AY208" i="1"/>
  <c r="AY203" i="1"/>
  <c r="AY198" i="1"/>
  <c r="AY194" i="1"/>
  <c r="AY190" i="1"/>
  <c r="AY184" i="1"/>
  <c r="AY180" i="1"/>
  <c r="AY174" i="1"/>
  <c r="AY170" i="1"/>
  <c r="AY166" i="1"/>
  <c r="AY159" i="1"/>
  <c r="AY155" i="1"/>
  <c r="AY150" i="1"/>
  <c r="AY146" i="1"/>
  <c r="AY138" i="1"/>
  <c r="AY134" i="1"/>
  <c r="AY129" i="1"/>
  <c r="AY125" i="1"/>
  <c r="AY121" i="1"/>
  <c r="AY115" i="1"/>
  <c r="AY111" i="1"/>
  <c r="AY106" i="1"/>
  <c r="AY102" i="1"/>
  <c r="AY97" i="1"/>
  <c r="AY93" i="1"/>
  <c r="AY88" i="1"/>
  <c r="AY82" i="1"/>
  <c r="AY66" i="1"/>
  <c r="AY56" i="1"/>
  <c r="AY51" i="1"/>
  <c r="AY48" i="1"/>
  <c r="AY43" i="1"/>
  <c r="AY40" i="1"/>
  <c r="AY30" i="1"/>
  <c r="AY21" i="1"/>
  <c r="AY15" i="1"/>
  <c r="AY10" i="1"/>
  <c r="AY31" i="1"/>
  <c r="AY84" i="1"/>
  <c r="AY103" i="1"/>
  <c r="AY130" i="1"/>
  <c r="AY152" i="1"/>
  <c r="AY171" i="1"/>
  <c r="AY191" i="1"/>
  <c r="AY209" i="1"/>
  <c r="AY226" i="1"/>
  <c r="AY244" i="1"/>
  <c r="AY253" i="1"/>
  <c r="AY274" i="1"/>
  <c r="AY285" i="1"/>
  <c r="AY301" i="1"/>
  <c r="AY318" i="1"/>
  <c r="AY335" i="1"/>
  <c r="AY352" i="1"/>
  <c r="AY384" i="1"/>
  <c r="AY423" i="1"/>
  <c r="AY470" i="1"/>
  <c r="AY493" i="1"/>
  <c r="AY511" i="1"/>
  <c r="AY531" i="1"/>
  <c r="AY550" i="1"/>
  <c r="AY571" i="1"/>
  <c r="AY590" i="1"/>
  <c r="AY601" i="1"/>
  <c r="AY620" i="1"/>
  <c r="AY630" i="1"/>
  <c r="AY645" i="1"/>
  <c r="AY664" i="1"/>
  <c r="AY704" i="1"/>
  <c r="AY726" i="1"/>
  <c r="AY744" i="1"/>
  <c r="AY766" i="1"/>
  <c r="AY784" i="1"/>
  <c r="AY816" i="1"/>
  <c r="AY845" i="1"/>
  <c r="AY863" i="1"/>
  <c r="AY939" i="1"/>
  <c r="AY979" i="1"/>
  <c r="AY1018" i="1"/>
  <c r="AY1061" i="1"/>
  <c r="AY1104" i="1"/>
  <c r="AY1158" i="1"/>
  <c r="AY1173" i="1"/>
  <c r="AY1207" i="1"/>
  <c r="AY1267" i="1"/>
  <c r="AY1301" i="1"/>
  <c r="AY1339" i="1"/>
  <c r="AY1384" i="1"/>
  <c r="AY1757" i="1"/>
  <c r="AY1760" i="1"/>
  <c r="AY2097" i="1"/>
  <c r="BB88" i="1"/>
  <c r="BB165" i="1"/>
  <c r="BB238" i="1"/>
  <c r="BB295" i="1"/>
  <c r="BB362" i="1"/>
  <c r="BB503" i="1"/>
  <c r="BB662" i="1"/>
  <c r="BB849" i="1"/>
  <c r="BB1288" i="1"/>
  <c r="BB20" i="1"/>
  <c r="BB83" i="1"/>
  <c r="BB139" i="1"/>
  <c r="BB206" i="1"/>
  <c r="BB469" i="1"/>
  <c r="BB605" i="1"/>
  <c r="BB757" i="1"/>
  <c r="BB813" i="1"/>
  <c r="BB877" i="1"/>
  <c r="BB913" i="1"/>
  <c r="BB949" i="1"/>
  <c r="BB985" i="1"/>
  <c r="BB1021" i="1"/>
  <c r="BB1057" i="1"/>
  <c r="BB1093" i="1"/>
  <c r="BB1129" i="1"/>
  <c r="BB1298" i="1"/>
  <c r="BB1328" i="1"/>
  <c r="BB1370" i="1"/>
  <c r="BB1390" i="1"/>
  <c r="BB1567" i="1"/>
  <c r="BB1742" i="1"/>
  <c r="BB1551" i="1"/>
  <c r="AY9" i="1"/>
  <c r="AY33" i="1"/>
  <c r="AY42" i="1"/>
  <c r="AY50" i="1"/>
  <c r="AY60" i="1"/>
  <c r="AY71" i="1"/>
  <c r="AY87" i="1"/>
  <c r="AY96" i="1"/>
  <c r="AW11" i="22" s="1"/>
  <c r="AY105" i="1"/>
  <c r="AY114" i="1"/>
  <c r="AY124" i="1"/>
  <c r="AY133" i="1"/>
  <c r="AY144" i="1"/>
  <c r="AY154" i="1"/>
  <c r="AY165" i="1"/>
  <c r="AY173" i="1"/>
  <c r="AY183" i="1"/>
  <c r="AY193" i="1"/>
  <c r="AY202" i="1"/>
  <c r="AY211" i="1"/>
  <c r="AY220" i="1"/>
  <c r="AY229" i="1"/>
  <c r="AY238" i="1"/>
  <c r="AY246" i="1"/>
  <c r="AY256" i="1"/>
  <c r="AY263" i="1"/>
  <c r="AY283" i="1"/>
  <c r="AY288" i="1"/>
  <c r="AY295" i="1"/>
  <c r="AY303" i="1"/>
  <c r="AY312" i="1"/>
  <c r="AY320" i="1"/>
  <c r="AY329" i="1"/>
  <c r="AY337" i="1"/>
  <c r="AY346" i="1"/>
  <c r="AY354" i="1"/>
  <c r="AY362" i="1"/>
  <c r="AY386" i="1"/>
  <c r="AY400" i="1"/>
  <c r="AY405" i="1"/>
  <c r="AY418" i="1"/>
  <c r="AY461" i="1"/>
  <c r="AY472" i="1"/>
  <c r="AY487" i="1"/>
  <c r="AY495" i="1"/>
  <c r="AY504" i="1"/>
  <c r="AY513" i="1"/>
  <c r="AY521" i="1"/>
  <c r="AY533" i="1"/>
  <c r="AY542" i="1"/>
  <c r="AY552" i="1"/>
  <c r="AY563" i="1"/>
  <c r="AY574" i="1"/>
  <c r="AY582" i="1"/>
  <c r="AY592" i="1"/>
  <c r="AY603" i="1"/>
  <c r="AY614" i="1"/>
  <c r="AY623" i="1"/>
  <c r="AY632" i="1"/>
  <c r="AY650" i="1"/>
  <c r="AY668" i="1"/>
  <c r="AY690" i="1"/>
  <c r="AY708" i="1"/>
  <c r="AY730" i="1"/>
  <c r="AY748" i="1"/>
  <c r="AY770" i="1"/>
  <c r="AY791" i="1"/>
  <c r="AY827" i="1"/>
  <c r="AY849" i="1"/>
  <c r="AY869" i="1"/>
  <c r="AY907" i="1"/>
  <c r="AY950" i="1"/>
  <c r="AY992" i="1"/>
  <c r="AY1032" i="1"/>
  <c r="AY1072" i="1"/>
  <c r="AY1112" i="1"/>
  <c r="AY1182" i="1"/>
  <c r="AY1236" i="1"/>
  <c r="AY1275" i="1"/>
  <c r="AY1313" i="1"/>
  <c r="AY1348" i="1"/>
  <c r="AY1394" i="1"/>
  <c r="AY1550" i="1"/>
  <c r="AY1881" i="1"/>
  <c r="AY1971" i="1"/>
  <c r="AY2031" i="1"/>
  <c r="N2031" i="1" s="1"/>
  <c r="E44" i="50" s="1"/>
  <c r="BB21" i="1"/>
  <c r="BB106" i="1"/>
  <c r="BB183" i="1"/>
  <c r="BB256" i="1"/>
  <c r="BB312" i="1"/>
  <c r="BB418" i="1"/>
  <c r="BB541" i="1"/>
  <c r="BB703" i="1"/>
  <c r="BB930" i="1"/>
  <c r="BB1990" i="1"/>
  <c r="AY112" i="1"/>
  <c r="AY685" i="1"/>
  <c r="BB151" i="1"/>
  <c r="BB478" i="1"/>
  <c r="AY45" i="1"/>
  <c r="AY108" i="1"/>
  <c r="AY147" i="1"/>
  <c r="AY167" i="1"/>
  <c r="AY176" i="1"/>
  <c r="AY185" i="1"/>
  <c r="AY195" i="1"/>
  <c r="AY213" i="1"/>
  <c r="AY222" i="1"/>
  <c r="AY231" i="1"/>
  <c r="AY240" i="1"/>
  <c r="AY248" i="1"/>
  <c r="AY258" i="1"/>
  <c r="AY265" i="1"/>
  <c r="AY269" i="1"/>
  <c r="AY276" i="1"/>
  <c r="AY290" i="1"/>
  <c r="AY297" i="1"/>
  <c r="AY305" i="1"/>
  <c r="AY314" i="1"/>
  <c r="AY322" i="1"/>
  <c r="AY331" i="1"/>
  <c r="AY339" i="1"/>
  <c r="AY348" i="1"/>
  <c r="AY356" i="1"/>
  <c r="AY368" i="1"/>
  <c r="AY371" i="1"/>
  <c r="AY390" i="1"/>
  <c r="AY403" i="1"/>
  <c r="AY408" i="1"/>
  <c r="AY420" i="1"/>
  <c r="AY428" i="1"/>
  <c r="AY465" i="1"/>
  <c r="AY474" i="1"/>
  <c r="AY481" i="1"/>
  <c r="AY489" i="1"/>
  <c r="AY498" i="1"/>
  <c r="AY506" i="1"/>
  <c r="AY515" i="1"/>
  <c r="AY526" i="1"/>
  <c r="AY536" i="1"/>
  <c r="AY544" i="1"/>
  <c r="AY554" i="1"/>
  <c r="AY565" i="1"/>
  <c r="AY576" i="1"/>
  <c r="AY585" i="1"/>
  <c r="AY594" i="1"/>
  <c r="AY607" i="1"/>
  <c r="AY616" i="1"/>
  <c r="AY626" i="1"/>
  <c r="AY634" i="1"/>
  <c r="AY654" i="1"/>
  <c r="AY672" i="1"/>
  <c r="AY694" i="1"/>
  <c r="AY715" i="1"/>
  <c r="AY734" i="1"/>
  <c r="AY755" i="1"/>
  <c r="AY775" i="1"/>
  <c r="AY807" i="1"/>
  <c r="AY831" i="1"/>
  <c r="AY854" i="1"/>
  <c r="AY878" i="1"/>
  <c r="AY920" i="1"/>
  <c r="AY961" i="1"/>
  <c r="AY1001" i="1"/>
  <c r="AY1040" i="1"/>
  <c r="AY1082" i="1"/>
  <c r="AY1122" i="1"/>
  <c r="AY1196" i="1"/>
  <c r="AY1244" i="1"/>
  <c r="AY1283" i="1"/>
  <c r="AY1322" i="1"/>
  <c r="AY1365" i="1"/>
  <c r="AY1409" i="1"/>
  <c r="AY1705" i="1"/>
  <c r="AY1731" i="1"/>
  <c r="AY1836" i="1"/>
  <c r="AY1889" i="1"/>
  <c r="AY1982" i="1"/>
  <c r="BB43" i="1"/>
  <c r="BB125" i="1"/>
  <c r="BB202" i="1"/>
  <c r="BB329" i="1"/>
  <c r="BB471" i="1"/>
  <c r="BB581" i="1"/>
  <c r="BB743" i="1"/>
  <c r="BB1011" i="1"/>
  <c r="AY16" i="1"/>
  <c r="AY41" i="1"/>
  <c r="AY57" i="1"/>
  <c r="AY68" i="1"/>
  <c r="AY94" i="1"/>
  <c r="AY122" i="1"/>
  <c r="AY141" i="1"/>
  <c r="AY161" i="1"/>
  <c r="AY181" i="1"/>
  <c r="AY199" i="1"/>
  <c r="AY218" i="1"/>
  <c r="AY235" i="1"/>
  <c r="AY260" i="1"/>
  <c r="AY281" i="1"/>
  <c r="AY293" i="1"/>
  <c r="AY309" i="1"/>
  <c r="AY326" i="1"/>
  <c r="AY344" i="1"/>
  <c r="AY360" i="1"/>
  <c r="AY375" i="1"/>
  <c r="AY394" i="1"/>
  <c r="AY398" i="1"/>
  <c r="AY417" i="1"/>
  <c r="AY432" i="1"/>
  <c r="AY485" i="1"/>
  <c r="AY502" i="1"/>
  <c r="AY519" i="1"/>
  <c r="AY540" i="1"/>
  <c r="AY558" i="1"/>
  <c r="AY580" i="1"/>
  <c r="AY612" i="1"/>
  <c r="AY898" i="1"/>
  <c r="BB49" i="1"/>
  <c r="BB92" i="1"/>
  <c r="BB215" i="1"/>
  <c r="BB310" i="1"/>
  <c r="BB387" i="1"/>
  <c r="BB522" i="1"/>
  <c r="BB567" i="1"/>
  <c r="BB819" i="1"/>
  <c r="BB955" i="1"/>
  <c r="AY12" i="1"/>
  <c r="AY22" i="1"/>
  <c r="AY52" i="1"/>
  <c r="AY62" i="1"/>
  <c r="AY73" i="1"/>
  <c r="AY89" i="1"/>
  <c r="AY99" i="1"/>
  <c r="AY116" i="1"/>
  <c r="AY126" i="1"/>
  <c r="AY135" i="1"/>
  <c r="AY156" i="1"/>
  <c r="AY204" i="1"/>
  <c r="BB59" i="1"/>
  <c r="BB119" i="1"/>
  <c r="BB237" i="1"/>
  <c r="BB327" i="1"/>
  <c r="BB406" i="1"/>
  <c r="BB681" i="1"/>
  <c r="BB777" i="1"/>
  <c r="BB959" i="1"/>
  <c r="BB1103" i="1"/>
  <c r="BB1150" i="1"/>
  <c r="BB1169" i="1"/>
  <c r="BB1203" i="1"/>
  <c r="BB1349" i="1"/>
  <c r="BB1380" i="1"/>
  <c r="BB1405" i="1"/>
  <c r="BB1754" i="1"/>
  <c r="BB2032" i="1"/>
  <c r="AY14" i="1"/>
  <c r="AY38" i="1"/>
  <c r="AY47" i="1"/>
  <c r="AY55" i="1"/>
  <c r="AY65" i="1"/>
  <c r="AY81" i="1"/>
  <c r="AY91" i="1"/>
  <c r="AY101" i="1"/>
  <c r="AY110" i="1"/>
  <c r="AY120" i="1"/>
  <c r="AY128" i="1"/>
  <c r="AY149" i="1"/>
  <c r="AY158" i="1"/>
  <c r="AY169" i="1"/>
  <c r="AY179" i="1"/>
  <c r="AY188" i="1"/>
  <c r="AY197" i="1"/>
  <c r="AY207" i="1"/>
  <c r="AY216" i="1"/>
  <c r="AY224" i="1"/>
  <c r="AY233" i="1"/>
  <c r="AY242" i="1"/>
  <c r="AY251" i="1"/>
  <c r="AY267" i="1"/>
  <c r="AY272" i="1"/>
  <c r="AY279" i="1"/>
  <c r="AY292" i="1"/>
  <c r="AY299" i="1"/>
  <c r="AY307" i="1"/>
  <c r="AY316" i="1"/>
  <c r="AY324" i="1"/>
  <c r="AY333" i="1"/>
  <c r="AY341" i="1"/>
  <c r="AY350" i="1"/>
  <c r="AY358" i="1"/>
  <c r="AY370" i="1"/>
  <c r="AY373" i="1"/>
  <c r="AY382" i="1"/>
  <c r="AY392" i="1"/>
  <c r="AY395" i="1"/>
  <c r="AY410" i="1"/>
  <c r="AY421" i="1"/>
  <c r="AY430" i="1"/>
  <c r="AY467" i="1"/>
  <c r="AY483" i="1"/>
  <c r="AY491" i="1"/>
  <c r="AY500" i="1"/>
  <c r="AY509" i="1"/>
  <c r="AY517" i="1"/>
  <c r="AY528" i="1"/>
  <c r="AY538" i="1"/>
  <c r="AY547" i="1"/>
  <c r="AY556" i="1"/>
  <c r="AY569" i="1"/>
  <c r="AY578" i="1"/>
  <c r="AY588" i="1"/>
  <c r="AY596" i="1"/>
  <c r="AY609" i="1"/>
  <c r="AY618" i="1"/>
  <c r="AY628" i="1"/>
  <c r="AY639" i="1"/>
  <c r="AY658" i="1"/>
  <c r="AY679" i="1"/>
  <c r="AY699" i="1"/>
  <c r="AY721" i="1"/>
  <c r="AY740" i="1"/>
  <c r="AY761" i="1"/>
  <c r="AY780" i="1"/>
  <c r="AY811" i="1"/>
  <c r="AY835" i="1"/>
  <c r="AY858" i="1"/>
  <c r="AY889" i="1"/>
  <c r="AY929" i="1"/>
  <c r="AY970" i="1"/>
  <c r="AY1010" i="1"/>
  <c r="AY1050" i="1"/>
  <c r="AY1090" i="1"/>
  <c r="AY1133" i="1"/>
  <c r="AY1164" i="1"/>
  <c r="AY1252" i="1"/>
  <c r="AY1291" i="1"/>
  <c r="AY1331" i="1"/>
  <c r="AY1374" i="1"/>
  <c r="AY1561" i="1"/>
  <c r="AY1715" i="1"/>
  <c r="AY1744" i="1"/>
  <c r="AY1841" i="1"/>
  <c r="AY1938" i="1"/>
  <c r="AY1993" i="1"/>
  <c r="AY2020" i="1"/>
  <c r="BB146" i="1"/>
  <c r="BB220" i="1"/>
  <c r="BB283" i="1"/>
  <c r="BB346" i="1"/>
  <c r="BB400" i="1"/>
  <c r="BB622" i="1"/>
  <c r="BB783" i="1"/>
  <c r="BB1199" i="1"/>
  <c r="BB1253" i="1"/>
  <c r="BB1303" i="1"/>
  <c r="BB1342" i="1"/>
  <c r="BB1375" i="1"/>
  <c r="BB1395" i="1"/>
  <c r="BB1748" i="1"/>
  <c r="BB2019" i="1"/>
  <c r="BB1045" i="1"/>
  <c r="BB1153" i="1"/>
  <c r="BB1177" i="1"/>
  <c r="BB1211" i="1"/>
  <c r="BB1293" i="1"/>
  <c r="BB1321" i="1"/>
  <c r="BB1363" i="1"/>
  <c r="BB1385" i="1"/>
  <c r="BB1410" i="1"/>
  <c r="BB1765" i="1"/>
  <c r="BB14" i="1"/>
  <c r="BB1263" i="1"/>
  <c r="BB508" i="1"/>
  <c r="BB497" i="1"/>
  <c r="BB559" i="1"/>
  <c r="BB549" i="1"/>
  <c r="BB597" i="1"/>
  <c r="BB587" i="1"/>
  <c r="BB713" i="1"/>
  <c r="BB686" i="1"/>
  <c r="BB749" i="1"/>
  <c r="BB739" i="1"/>
  <c r="BB787" i="1"/>
  <c r="BB851" i="1"/>
  <c r="BB897" i="1"/>
  <c r="BB887" i="1"/>
  <c r="BB1055" i="1"/>
  <c r="BB1091" i="1"/>
  <c r="BB1081" i="1"/>
  <c r="BB162" i="1"/>
  <c r="BB675" i="1"/>
  <c r="BB648" i="1"/>
  <c r="BB711" i="1"/>
  <c r="BB701" i="1"/>
  <c r="BB875" i="1"/>
  <c r="BB865" i="1"/>
  <c r="BB933" i="1"/>
  <c r="BB923" i="1"/>
  <c r="BB1127" i="1"/>
  <c r="BB1117" i="1"/>
  <c r="BB1265" i="1"/>
  <c r="BB1259" i="1"/>
  <c r="BB254" i="1"/>
  <c r="BB599" i="1"/>
  <c r="BB572" i="1"/>
  <c r="BB637" i="1"/>
  <c r="BB610" i="1"/>
  <c r="BB673" i="1"/>
  <c r="BB663" i="1"/>
  <c r="BB789" i="1"/>
  <c r="BB762" i="1"/>
  <c r="BB911" i="1"/>
  <c r="BB947" i="1"/>
  <c r="BB937" i="1"/>
  <c r="BB995" i="1"/>
  <c r="BB1031" i="1"/>
  <c r="BB1157" i="1"/>
  <c r="BB1156" i="1"/>
  <c r="BB1310" i="1"/>
  <c r="BB1307" i="1"/>
  <c r="BB277" i="1"/>
  <c r="BB388" i="1"/>
  <c r="BB372" i="1"/>
  <c r="BB561" i="1"/>
  <c r="BB534" i="1"/>
  <c r="BB635" i="1"/>
  <c r="BB625" i="1"/>
  <c r="BB751" i="1"/>
  <c r="BB724" i="1"/>
  <c r="BB983" i="1"/>
  <c r="BB973" i="1"/>
  <c r="BB1019" i="1"/>
  <c r="BB1009" i="1"/>
  <c r="BB1077" i="1"/>
  <c r="BB1067" i="1"/>
  <c r="BB1264" i="1"/>
  <c r="BB1737" i="1"/>
  <c r="BB1735" i="1"/>
  <c r="BB479" i="1"/>
  <c r="BB426" i="1"/>
  <c r="BB61" i="1"/>
  <c r="BB24" i="1"/>
  <c r="BB524" i="1"/>
  <c r="BB1248" i="1" l="1"/>
  <c r="AY1248" i="1"/>
  <c r="N2087" i="1"/>
  <c r="AH94" i="6"/>
  <c r="AH10" i="6"/>
  <c r="AI94" i="6"/>
  <c r="AI10" i="6"/>
  <c r="AI146" i="6"/>
  <c r="AH146" i="6"/>
  <c r="N2005" i="1"/>
  <c r="N2037" i="1"/>
  <c r="N1535" i="1"/>
  <c r="N1542" i="1"/>
  <c r="N1750" i="1"/>
  <c r="N1534" i="1"/>
  <c r="C15" i="141" s="1"/>
  <c r="N2016" i="1"/>
  <c r="D39" i="50" s="1"/>
  <c r="N1210" i="1"/>
  <c r="E34" i="34" s="1"/>
  <c r="N2017" i="1"/>
  <c r="D41" i="50" s="1"/>
  <c r="N2022" i="1"/>
  <c r="E20" i="50" s="1"/>
  <c r="N2088" i="1"/>
  <c r="N2028" i="1"/>
  <c r="E36" i="50" s="1"/>
  <c r="N2012" i="1"/>
  <c r="D33" i="50" s="1"/>
  <c r="N2089" i="1"/>
  <c r="N2009" i="1"/>
  <c r="D20" i="50" s="1"/>
  <c r="N2023" i="1"/>
  <c r="E21" i="50" s="1"/>
  <c r="N2020" i="1"/>
  <c r="E18" i="50" s="1"/>
  <c r="N2025" i="1"/>
  <c r="E33" i="50" s="1"/>
  <c r="N2008" i="1"/>
  <c r="D19" i="50" s="1"/>
  <c r="N2011" i="1"/>
  <c r="D22" i="50" s="1"/>
  <c r="N2024" i="1"/>
  <c r="N2013" i="1"/>
  <c r="D34" i="50" s="1"/>
  <c r="N1882" i="1"/>
  <c r="G16" i="120" s="1"/>
  <c r="BB1135" i="1"/>
  <c r="AY1135" i="1"/>
  <c r="AY1027" i="1"/>
  <c r="BB1099" i="1"/>
  <c r="AY1099" i="1"/>
  <c r="BB1027" i="1"/>
  <c r="BB1063" i="1"/>
  <c r="AY1063" i="1"/>
  <c r="BB991" i="1"/>
  <c r="AY991" i="1"/>
  <c r="AY919" i="1"/>
  <c r="BB919" i="1"/>
  <c r="BB883" i="1"/>
  <c r="AY883" i="1"/>
  <c r="AY795" i="1"/>
  <c r="BB795" i="1"/>
  <c r="BB719" i="1"/>
  <c r="AY719" i="1"/>
  <c r="BB530" i="1"/>
  <c r="AY530" i="1"/>
  <c r="N1731" i="1"/>
  <c r="D58" i="40" s="1"/>
  <c r="AH80" i="6"/>
  <c r="AH81" i="6"/>
  <c r="AI81" i="6"/>
  <c r="AI80" i="6"/>
  <c r="AI68" i="6"/>
  <c r="AH71" i="6"/>
  <c r="AI71" i="6"/>
  <c r="AH68" i="6"/>
  <c r="N1408" i="1"/>
  <c r="N1723" i="1"/>
  <c r="D34" i="40" s="1"/>
  <c r="N1561" i="1"/>
  <c r="AI109" i="6"/>
  <c r="AH109" i="6"/>
  <c r="N1359" i="1"/>
  <c r="N1403" i="1"/>
  <c r="N1564" i="1"/>
  <c r="N1741" i="1"/>
  <c r="N1548" i="1"/>
  <c r="I28" i="33"/>
  <c r="N1560" i="1"/>
  <c r="N1736" i="1"/>
  <c r="D62" i="40" s="1"/>
  <c r="N1544" i="1"/>
  <c r="D13" i="47" s="1"/>
  <c r="J30" i="33"/>
  <c r="N1314" i="1"/>
  <c r="N1401" i="1"/>
  <c r="N1367" i="1"/>
  <c r="N1555" i="1"/>
  <c r="J32" i="33"/>
  <c r="P241" i="60" s="1"/>
  <c r="P242" i="60" s="1"/>
  <c r="N1270" i="1"/>
  <c r="N1368" i="1"/>
  <c r="N1556" i="1"/>
  <c r="N373" i="1"/>
  <c r="AH140" i="6"/>
  <c r="N1738" i="1"/>
  <c r="J29" i="33"/>
  <c r="N1358" i="1"/>
  <c r="N1402" i="1"/>
  <c r="J31" i="33"/>
  <c r="N1740" i="1"/>
  <c r="N1381" i="1"/>
  <c r="N1563" i="1"/>
  <c r="N1366" i="1"/>
  <c r="A6" i="47"/>
  <c r="N391" i="1"/>
  <c r="AI33" i="6"/>
  <c r="AH33" i="6"/>
  <c r="N1215" i="1"/>
  <c r="N1562" i="1"/>
  <c r="I29" i="33"/>
  <c r="N1204" i="1"/>
  <c r="N1724" i="1"/>
  <c r="D35" i="40" s="1"/>
  <c r="N1205" i="1"/>
  <c r="I30" i="33"/>
  <c r="N1214" i="1"/>
  <c r="N1386" i="1"/>
  <c r="N1565" i="1"/>
  <c r="N1558" i="1"/>
  <c r="N1545" i="1"/>
  <c r="N1547" i="1"/>
  <c r="E1543" i="1"/>
  <c r="B1411" i="1"/>
  <c r="B1412" i="1" s="1"/>
  <c r="B1413" i="1" s="1"/>
  <c r="B1414" i="1" s="1"/>
  <c r="B1415" i="1" s="1"/>
  <c r="B1416" i="1" s="1"/>
  <c r="B1417" i="1" s="1"/>
  <c r="B1418" i="1" s="1"/>
  <c r="B1419" i="1" s="1"/>
  <c r="B1420" i="1" s="1"/>
  <c r="B1421" i="1" s="1"/>
  <c r="B1422" i="1" s="1"/>
  <c r="B1423" i="1" s="1"/>
  <c r="B1424" i="1" s="1"/>
  <c r="B1425" i="1" s="1"/>
  <c r="B1426" i="1" s="1"/>
  <c r="B1427" i="1" s="1"/>
  <c r="B1428" i="1" s="1"/>
  <c r="B1429" i="1" s="1"/>
  <c r="B1430" i="1" s="1"/>
  <c r="B1431" i="1" s="1"/>
  <c r="B1432" i="1" s="1"/>
  <c r="B1433" i="1" s="1"/>
  <c r="B1434" i="1" s="1"/>
  <c r="B1435" i="1" s="1"/>
  <c r="B1436" i="1" s="1"/>
  <c r="B1437" i="1" s="1"/>
  <c r="B1438" i="1" s="1"/>
  <c r="B1439" i="1" s="1"/>
  <c r="B1440" i="1" s="1"/>
  <c r="B1441" i="1" s="1"/>
  <c r="B1442" i="1" s="1"/>
  <c r="B1443" i="1" s="1"/>
  <c r="B1444" i="1" s="1"/>
  <c r="B1445" i="1" s="1"/>
  <c r="B1446" i="1" s="1"/>
  <c r="B1447" i="1" s="1"/>
  <c r="B1448" i="1" s="1"/>
  <c r="B1449" i="1" s="1"/>
  <c r="B1450" i="1" s="1"/>
  <c r="B1451" i="1" s="1"/>
  <c r="B1452" i="1" s="1"/>
  <c r="B1453" i="1" s="1"/>
  <c r="B1454" i="1" s="1"/>
  <c r="B1455" i="1" s="1"/>
  <c r="B1456" i="1" s="1"/>
  <c r="B1457" i="1" s="1"/>
  <c r="B1458" i="1" s="1"/>
  <c r="B1459" i="1" s="1"/>
  <c r="B1460" i="1" s="1"/>
  <c r="B1461" i="1" s="1"/>
  <c r="B1462" i="1" s="1"/>
  <c r="B1463" i="1" s="1"/>
  <c r="B1464" i="1" s="1"/>
  <c r="B1465" i="1" s="1"/>
  <c r="B1466" i="1" s="1"/>
  <c r="B1467" i="1" s="1"/>
  <c r="B1468" i="1" s="1"/>
  <c r="B1469" i="1" s="1"/>
  <c r="B1470" i="1" s="1"/>
  <c r="B1471" i="1" s="1"/>
  <c r="B1472" i="1" s="1"/>
  <c r="B1473" i="1" s="1"/>
  <c r="N294" i="1"/>
  <c r="N311" i="1"/>
  <c r="N328" i="1"/>
  <c r="I32" i="33"/>
  <c r="N1559" i="1"/>
  <c r="N1758" i="1"/>
  <c r="J28" i="33"/>
  <c r="N1206" i="1"/>
  <c r="N1351" i="1"/>
  <c r="N390" i="1"/>
  <c r="N1725" i="1"/>
  <c r="D36" i="40" s="1"/>
  <c r="AX44" i="22"/>
  <c r="N1409" i="1"/>
  <c r="I13" i="33"/>
  <c r="N1353" i="1"/>
  <c r="AI18" i="6"/>
  <c r="N1391" i="1"/>
  <c r="N1355" i="1"/>
  <c r="N1350" i="1"/>
  <c r="N1756" i="1"/>
  <c r="N1365" i="1"/>
  <c r="N1236" i="1"/>
  <c r="N1757" i="1"/>
  <c r="N1376" i="1"/>
  <c r="N1732" i="1"/>
  <c r="D59" i="40" s="1"/>
  <c r="I27" i="33"/>
  <c r="N343" i="1"/>
  <c r="N359" i="1"/>
  <c r="N1566" i="1"/>
  <c r="N1550" i="1"/>
  <c r="J27" i="33"/>
  <c r="N1759" i="1"/>
  <c r="N1398" i="1"/>
  <c r="N1399" i="1"/>
  <c r="N1397" i="1"/>
  <c r="N1360" i="1"/>
  <c r="N1404" i="1"/>
  <c r="N1357" i="1"/>
  <c r="N237" i="1"/>
  <c r="N1733" i="1"/>
  <c r="D60" i="40" s="1"/>
  <c r="N1213" i="1"/>
  <c r="N1369" i="1"/>
  <c r="N1557" i="1"/>
  <c r="N1362" i="1"/>
  <c r="N1407" i="1"/>
  <c r="N1361" i="1"/>
  <c r="N1739" i="1"/>
  <c r="N1546" i="1"/>
  <c r="I31" i="33"/>
  <c r="N1352" i="1"/>
  <c r="N1354" i="1"/>
  <c r="N1371" i="1"/>
  <c r="N1396" i="1"/>
  <c r="N1993" i="1"/>
  <c r="AW45" i="22"/>
  <c r="AW30" i="22"/>
  <c r="AX40" i="22"/>
  <c r="AW22" i="22"/>
  <c r="AW39" i="22"/>
  <c r="AW12" i="22"/>
  <c r="AW29" i="22"/>
  <c r="AW52" i="22"/>
  <c r="N1984" i="1"/>
  <c r="F16" i="53" s="1"/>
  <c r="N1997" i="1"/>
  <c r="AX29" i="22"/>
  <c r="AW27" i="22"/>
  <c r="N1991" i="1"/>
  <c r="N2092" i="1"/>
  <c r="N1968" i="1"/>
  <c r="C12" i="53" s="1"/>
  <c r="N2093" i="1"/>
  <c r="AX22" i="22"/>
  <c r="AX41" i="22"/>
  <c r="AX31" i="22"/>
  <c r="AX55" i="22"/>
  <c r="N1996" i="1"/>
  <c r="N2096" i="1"/>
  <c r="AX28" i="22"/>
  <c r="AW13" i="22"/>
  <c r="AX21" i="22"/>
  <c r="N1971" i="1"/>
  <c r="C15" i="53" s="1"/>
  <c r="AW28" i="22"/>
  <c r="AW43" i="22"/>
  <c r="AW36" i="22"/>
  <c r="AW56" i="22"/>
  <c r="N1995" i="1"/>
  <c r="AX46" i="22"/>
  <c r="N1967" i="1"/>
  <c r="C11" i="53" s="1"/>
  <c r="AX52" i="22"/>
  <c r="AW31" i="22"/>
  <c r="AW55" i="22"/>
  <c r="N2002" i="1"/>
  <c r="W7" i="61"/>
  <c r="W11" i="61" s="1"/>
  <c r="N1972" i="1"/>
  <c r="C16" i="53" s="1"/>
  <c r="N1994" i="1"/>
  <c r="AX26" i="22"/>
  <c r="AX43" i="22"/>
  <c r="AX38" i="22"/>
  <c r="AX63" i="22"/>
  <c r="F145" i="6"/>
  <c r="F146" i="6" s="1"/>
  <c r="N1981" i="1"/>
  <c r="F13" i="53" s="1"/>
  <c r="AX15" i="22"/>
  <c r="AW24" i="22"/>
  <c r="AW53" i="22"/>
  <c r="AW37" i="22"/>
  <c r="AW66" i="22"/>
  <c r="AW20" i="22"/>
  <c r="AW17" i="22"/>
  <c r="AW21" i="22"/>
  <c r="AW40" i="22"/>
  <c r="N1978" i="1"/>
  <c r="C24" i="53" s="1"/>
  <c r="AW38" i="22"/>
  <c r="AW63" i="22"/>
  <c r="N1969" i="1"/>
  <c r="C13" i="53" s="1"/>
  <c r="AX36" i="22"/>
  <c r="N1979" i="1"/>
  <c r="F11" i="53" s="1"/>
  <c r="AX13" i="22"/>
  <c r="AX30" i="22"/>
  <c r="AX53" i="22"/>
  <c r="N2090" i="1"/>
  <c r="AX23" i="22"/>
  <c r="AX42" i="22"/>
  <c r="N1966" i="1"/>
  <c r="N1985" i="1"/>
  <c r="F17" i="53" s="1"/>
  <c r="AX20" i="22"/>
  <c r="AX39" i="22"/>
  <c r="AX66" i="22"/>
  <c r="V7" i="61"/>
  <c r="AW15" i="22"/>
  <c r="AW41" i="22"/>
  <c r="N1982" i="1"/>
  <c r="F14" i="53" s="1"/>
  <c r="AW26" i="22"/>
  <c r="N2097" i="1"/>
  <c r="AW46" i="22"/>
  <c r="N1973" i="1"/>
  <c r="C17" i="53" s="1"/>
  <c r="AX12" i="22"/>
  <c r="AW23" i="22"/>
  <c r="AW42" i="22"/>
  <c r="N1980" i="1"/>
  <c r="F12" i="53" s="1"/>
  <c r="AX56" i="22"/>
  <c r="N1983" i="1"/>
  <c r="F15" i="53" s="1"/>
  <c r="AX17" i="22"/>
  <c r="AX37" i="22"/>
  <c r="N2095" i="1"/>
  <c r="AX27" i="22"/>
  <c r="N1970" i="1"/>
  <c r="C14" i="53" s="1"/>
  <c r="N1992" i="1"/>
  <c r="N2091" i="1"/>
  <c r="AX24" i="22"/>
  <c r="AX45" i="22"/>
  <c r="AH7" i="6"/>
  <c r="AI7" i="6"/>
  <c r="BB523" i="1"/>
  <c r="BB831" i="1"/>
  <c r="BB912" i="1"/>
  <c r="BB948" i="1"/>
  <c r="BB712" i="1"/>
  <c r="BB697" i="1"/>
  <c r="BB1311" i="1"/>
  <c r="BB1309" i="1"/>
  <c r="BB560" i="1"/>
  <c r="BB545" i="1"/>
  <c r="BB984" i="1"/>
  <c r="BB969" i="1"/>
  <c r="BB876" i="1"/>
  <c r="BB861" i="1"/>
  <c r="BB750" i="1"/>
  <c r="BB735" i="1"/>
  <c r="BB674" i="1"/>
  <c r="BB659" i="1"/>
  <c r="BB1056" i="1"/>
  <c r="BB1041" i="1"/>
  <c r="BB261" i="1"/>
  <c r="BB1128" i="1"/>
  <c r="BB1113" i="1"/>
  <c r="BB1266" i="1"/>
  <c r="BB788" i="1"/>
  <c r="BB773" i="1"/>
  <c r="BB1092" i="1"/>
  <c r="BB598" i="1"/>
  <c r="BB583" i="1"/>
  <c r="BB636" i="1"/>
  <c r="BB621" i="1"/>
  <c r="BB250" i="1"/>
  <c r="BB228" i="1"/>
  <c r="BB1020" i="1"/>
  <c r="BB1005" i="1"/>
  <c r="BB201" i="1"/>
  <c r="BB177" i="1"/>
  <c r="BB140" i="1"/>
  <c r="BB39" i="1"/>
  <c r="BB72" i="1"/>
  <c r="E22" i="50" l="1"/>
  <c r="E23" i="50" s="1"/>
  <c r="V25" i="61"/>
  <c r="V29" i="61" s="1"/>
  <c r="V11" i="61"/>
  <c r="C17" i="141"/>
  <c r="C31" i="141" s="1"/>
  <c r="W25" i="61"/>
  <c r="W29" i="61" s="1"/>
  <c r="D23" i="50"/>
  <c r="D37" i="50"/>
  <c r="D46" i="50" s="1"/>
  <c r="E37" i="50"/>
  <c r="E46" i="50" s="1"/>
  <c r="AI82" i="6"/>
  <c r="AH82" i="6"/>
  <c r="I24" i="53"/>
  <c r="D68" i="40"/>
  <c r="D17" i="47"/>
  <c r="D69" i="40"/>
  <c r="L39" i="59"/>
  <c r="E32" i="35"/>
  <c r="E54" i="35"/>
  <c r="E20" i="35"/>
  <c r="D14" i="47"/>
  <c r="E37" i="36"/>
  <c r="L40" i="59"/>
  <c r="D16" i="47"/>
  <c r="AI140" i="6"/>
  <c r="B1474" i="1"/>
  <c r="B1475" i="1" s="1"/>
  <c r="B1476" i="1" s="1"/>
  <c r="B1477" i="1" s="1"/>
  <c r="B1478" i="1" s="1"/>
  <c r="B1479" i="1" s="1"/>
  <c r="B1480" i="1" s="1"/>
  <c r="B1481" i="1" s="1"/>
  <c r="B1482" i="1" s="1"/>
  <c r="B1483" i="1" s="1"/>
  <c r="B1484" i="1" s="1"/>
  <c r="B1485" i="1" s="1"/>
  <c r="B1486" i="1" s="1"/>
  <c r="B1487" i="1" s="1"/>
  <c r="B1488" i="1" s="1"/>
  <c r="B1489" i="1" s="1"/>
  <c r="B1490" i="1" s="1"/>
  <c r="B1491" i="1" s="1"/>
  <c r="B1492" i="1" s="1"/>
  <c r="B1493" i="1" s="1"/>
  <c r="B1494" i="1" s="1"/>
  <c r="B1495" i="1" s="1"/>
  <c r="B1496" i="1" s="1"/>
  <c r="B1497" i="1" s="1"/>
  <c r="B1498" i="1" s="1"/>
  <c r="E38" i="36"/>
  <c r="AW73" i="22"/>
  <c r="U44" i="22"/>
  <c r="D15" i="47"/>
  <c r="AH18" i="6"/>
  <c r="E38" i="35"/>
  <c r="D67" i="40"/>
  <c r="F44" i="22"/>
  <c r="N1356" i="1"/>
  <c r="X30" i="37" s="1"/>
  <c r="N1400" i="1"/>
  <c r="D18" i="47"/>
  <c r="F27" i="22"/>
  <c r="G193" i="138" s="1"/>
  <c r="U27" i="22"/>
  <c r="AW32" i="22"/>
  <c r="F41" i="22"/>
  <c r="E14" i="42" s="1"/>
  <c r="U41" i="22"/>
  <c r="AX57" i="22"/>
  <c r="AX32" i="22"/>
  <c r="F45" i="22"/>
  <c r="F113" i="22" s="1"/>
  <c r="U45" i="22"/>
  <c r="AX48" i="22"/>
  <c r="F55" i="22"/>
  <c r="U55" i="22"/>
  <c r="N1977" i="1"/>
  <c r="AW48" i="22"/>
  <c r="AW57" i="22"/>
  <c r="F43" i="22"/>
  <c r="U43" i="22"/>
  <c r="U22" i="22"/>
  <c r="BB270" i="1"/>
  <c r="BB286" i="1"/>
  <c r="BB145" i="1"/>
  <c r="BB143" i="1"/>
  <c r="BB85" i="1"/>
  <c r="C32" i="141" l="1"/>
  <c r="B25" i="61"/>
  <c r="B29" i="61" s="1"/>
  <c r="F111" i="22"/>
  <c r="F112" i="22"/>
  <c r="F96" i="22"/>
  <c r="I14" i="53"/>
  <c r="I11" i="53"/>
  <c r="I13" i="53"/>
  <c r="I15" i="53"/>
  <c r="F21" i="53"/>
  <c r="I16" i="53"/>
  <c r="I17" i="53"/>
  <c r="C21" i="53"/>
  <c r="I12" i="53"/>
  <c r="L41" i="59"/>
  <c r="L44" i="59" s="1"/>
  <c r="B1499" i="1"/>
  <c r="B1500" i="1" s="1"/>
  <c r="B1501" i="1" s="1"/>
  <c r="B1502" i="1" s="1"/>
  <c r="B1503" i="1" s="1"/>
  <c r="B1504" i="1" s="1"/>
  <c r="B1505" i="1" s="1"/>
  <c r="B1506" i="1" s="1"/>
  <c r="B1507" i="1" s="1"/>
  <c r="B1508" i="1" s="1"/>
  <c r="B1509" i="1" s="1"/>
  <c r="D20" i="47"/>
  <c r="AW60" i="22"/>
  <c r="AX60" i="22"/>
  <c r="AY148" i="1"/>
  <c r="AY2032" i="1"/>
  <c r="AY2019" i="1"/>
  <c r="AY1551" i="1"/>
  <c r="AY1765" i="1"/>
  <c r="AY1754" i="1"/>
  <c r="AY1748" i="1"/>
  <c r="AY1742" i="1"/>
  <c r="AY1567" i="1"/>
  <c r="AY1410" i="1"/>
  <c r="AY1405" i="1"/>
  <c r="AY1395" i="1"/>
  <c r="AY1390" i="1"/>
  <c r="AY1385" i="1"/>
  <c r="AY1380" i="1"/>
  <c r="AY1375" i="1"/>
  <c r="AY1370" i="1"/>
  <c r="AY1363" i="1"/>
  <c r="AY1349" i="1"/>
  <c r="AY1342" i="1"/>
  <c r="AY1328" i="1"/>
  <c r="AY1321" i="1"/>
  <c r="AY1307" i="1"/>
  <c r="AY1303" i="1"/>
  <c r="AY1298" i="1"/>
  <c r="AY1293" i="1"/>
  <c r="AY1211" i="1"/>
  <c r="AY1203" i="1"/>
  <c r="AY1199" i="1"/>
  <c r="AY1177" i="1"/>
  <c r="AY1169" i="1"/>
  <c r="AY1153" i="1"/>
  <c r="AY1150" i="1"/>
  <c r="AY1129" i="1"/>
  <c r="AY1093" i="1"/>
  <c r="AY1057" i="1"/>
  <c r="AY1021" i="1"/>
  <c r="AY985" i="1"/>
  <c r="AY959" i="1"/>
  <c r="AY955" i="1"/>
  <c r="AY949" i="1"/>
  <c r="AY913" i="1"/>
  <c r="AY901" i="1"/>
  <c r="AY877" i="1"/>
  <c r="AY819" i="1"/>
  <c r="AY813" i="1"/>
  <c r="AY757" i="1"/>
  <c r="AY681" i="1"/>
  <c r="AY643" i="1"/>
  <c r="AY625" i="1"/>
  <c r="AY605" i="1"/>
  <c r="AY567" i="1"/>
  <c r="AY561" i="1"/>
  <c r="AY522" i="1"/>
  <c r="AY478" i="1"/>
  <c r="AY406" i="1"/>
  <c r="AY387" i="1"/>
  <c r="AY372" i="1"/>
  <c r="AY342" i="1"/>
  <c r="AY327" i="1"/>
  <c r="AY310" i="1"/>
  <c r="AY277" i="1"/>
  <c r="AY237" i="1"/>
  <c r="AY215" i="1"/>
  <c r="AY206" i="1"/>
  <c r="AY187" i="1"/>
  <c r="AY162" i="1"/>
  <c r="AY139" i="1"/>
  <c r="AY132" i="1"/>
  <c r="AY119" i="1"/>
  <c r="AY92" i="1"/>
  <c r="AY83" i="1"/>
  <c r="AY70" i="1"/>
  <c r="AY59" i="1"/>
  <c r="AY49" i="1"/>
  <c r="AY20" i="1"/>
  <c r="AY11" i="1"/>
  <c r="I21" i="53" l="1"/>
  <c r="B1510" i="1"/>
  <c r="B1511" i="1" s="1"/>
  <c r="B1512" i="1" s="1"/>
  <c r="B1513" i="1" s="1"/>
  <c r="B1514" i="1" s="1"/>
  <c r="B1515" i="1" s="1"/>
  <c r="B1516" i="1" s="1"/>
  <c r="B1517" i="1" s="1"/>
  <c r="B1518" i="1" s="1"/>
  <c r="B1519" i="1" s="1"/>
  <c r="B1520" i="1" s="1"/>
  <c r="B1521" i="1" s="1"/>
  <c r="AX64" i="22"/>
  <c r="AW64" i="22"/>
  <c r="AY151" i="1"/>
  <c r="AY911" i="1"/>
  <c r="AY969" i="1"/>
  <c r="AY713" i="1"/>
  <c r="AY686" i="1"/>
  <c r="AY749" i="1"/>
  <c r="AY739" i="1"/>
  <c r="AY875" i="1"/>
  <c r="AY865" i="1"/>
  <c r="AY933" i="1"/>
  <c r="AY923" i="1"/>
  <c r="AY1263" i="1"/>
  <c r="AY1253" i="1"/>
  <c r="AY637" i="1"/>
  <c r="AY610" i="1"/>
  <c r="AY675" i="1"/>
  <c r="AY648" i="1"/>
  <c r="AY711" i="1"/>
  <c r="AY701" i="1"/>
  <c r="AY947" i="1"/>
  <c r="AY937" i="1"/>
  <c r="AY995" i="1"/>
  <c r="AY1041" i="1"/>
  <c r="AY1031" i="1"/>
  <c r="AY1067" i="1"/>
  <c r="AY1113" i="1"/>
  <c r="AY1103" i="1"/>
  <c r="AY1265" i="1"/>
  <c r="AY1259" i="1"/>
  <c r="AY254" i="1"/>
  <c r="AY426" i="1"/>
  <c r="AY425" i="1"/>
  <c r="AY545" i="1"/>
  <c r="AY534" i="1"/>
  <c r="AY599" i="1"/>
  <c r="AY572" i="1"/>
  <c r="AY673" i="1"/>
  <c r="AY663" i="1"/>
  <c r="AY789" i="1"/>
  <c r="AY762" i="1"/>
  <c r="AY983" i="1"/>
  <c r="AY973" i="1"/>
  <c r="AY1019" i="1"/>
  <c r="AY1009" i="1"/>
  <c r="AY1055" i="1"/>
  <c r="AY1045" i="1"/>
  <c r="AY1091" i="1"/>
  <c r="AY1081" i="1"/>
  <c r="AY1127" i="1"/>
  <c r="AY1117" i="1"/>
  <c r="AY508" i="1"/>
  <c r="AY497" i="1"/>
  <c r="AY559" i="1"/>
  <c r="AY549" i="1"/>
  <c r="AY597" i="1"/>
  <c r="AY587" i="1"/>
  <c r="AY635" i="1"/>
  <c r="AY751" i="1"/>
  <c r="AY724" i="1"/>
  <c r="AY787" i="1"/>
  <c r="AY777" i="1"/>
  <c r="AY861" i="1"/>
  <c r="AY851" i="1"/>
  <c r="AY897" i="1"/>
  <c r="AY887" i="1"/>
  <c r="AY1157" i="1"/>
  <c r="AY1156" i="1"/>
  <c r="AY1264" i="1"/>
  <c r="AY1737" i="1"/>
  <c r="AY1735" i="1"/>
  <c r="AY697" i="1"/>
  <c r="AY388" i="1"/>
  <c r="AY479" i="1"/>
  <c r="AY1309" i="1"/>
  <c r="AY61" i="1"/>
  <c r="AY1310" i="1"/>
  <c r="AY524" i="1"/>
  <c r="B1522" i="1" l="1"/>
  <c r="B1523" i="1" s="1"/>
  <c r="B1524" i="1" s="1"/>
  <c r="B1525" i="1" s="1"/>
  <c r="B1526" i="1" s="1"/>
  <c r="B1527" i="1" s="1"/>
  <c r="B1528" i="1" s="1"/>
  <c r="B1529" i="1" s="1"/>
  <c r="B1530" i="1" s="1"/>
  <c r="B1531" i="1" s="1"/>
  <c r="B1532" i="1" s="1"/>
  <c r="AY177" i="1"/>
  <c r="AY948" i="1"/>
  <c r="AY523" i="1"/>
  <c r="AY712" i="1"/>
  <c r="AY560" i="1"/>
  <c r="AY912" i="1"/>
  <c r="AY1128" i="1"/>
  <c r="AY1056" i="1"/>
  <c r="AY876" i="1"/>
  <c r="AY750" i="1"/>
  <c r="AY735" i="1"/>
  <c r="AY39" i="1"/>
  <c r="AY24" i="1"/>
  <c r="AY140" i="1"/>
  <c r="AY1092" i="1"/>
  <c r="AY1077" i="1"/>
  <c r="AY1020" i="1"/>
  <c r="AY1005" i="1"/>
  <c r="AY598" i="1"/>
  <c r="AY583" i="1"/>
  <c r="AY788" i="1"/>
  <c r="AY773" i="1"/>
  <c r="AY674" i="1"/>
  <c r="AY659" i="1"/>
  <c r="AY201" i="1"/>
  <c r="AY1266" i="1"/>
  <c r="AY636" i="1"/>
  <c r="AY621" i="1"/>
  <c r="AY250" i="1"/>
  <c r="AY228" i="1"/>
  <c r="AY261" i="1"/>
  <c r="AY984" i="1"/>
  <c r="AY1311" i="1"/>
  <c r="B1875" i="1" l="1"/>
  <c r="B1755" i="1"/>
  <c r="AY85" i="1"/>
  <c r="AY72" i="1"/>
  <c r="AY270" i="1"/>
  <c r="AY286" i="1"/>
  <c r="AY145" i="1"/>
  <c r="AY143" i="1"/>
  <c r="B1964" i="1" l="1"/>
  <c r="B1876" i="1"/>
  <c r="B1877" i="1" s="1"/>
  <c r="B1878" i="1" s="1"/>
  <c r="B1879" i="1" s="1"/>
  <c r="B1880" i="1" s="1"/>
  <c r="B1881" i="1" s="1"/>
  <c r="B1882" i="1" s="1"/>
  <c r="B1883" i="1" s="1"/>
  <c r="B1884" i="1" s="1"/>
  <c r="B1885" i="1" s="1"/>
  <c r="B1886" i="1" s="1"/>
  <c r="B1887" i="1" s="1"/>
  <c r="B1888" i="1" s="1"/>
  <c r="B1889" i="1" s="1"/>
  <c r="E1875" i="1"/>
  <c r="B1760" i="1"/>
  <c r="A6" i="49"/>
  <c r="V277" i="1"/>
  <c r="CP277" i="1" s="1"/>
  <c r="T277" i="1"/>
  <c r="Q277" i="1"/>
  <c r="P277" i="1"/>
  <c r="O277" i="1"/>
  <c r="M277" i="1"/>
  <c r="T254" i="1"/>
  <c r="Q254" i="1"/>
  <c r="P254" i="1"/>
  <c r="O119" i="1"/>
  <c r="N357" i="1"/>
  <c r="B1890" i="1" l="1"/>
  <c r="B1761" i="1"/>
  <c r="B1762" i="1" s="1"/>
  <c r="B1763" i="1" s="1"/>
  <c r="B1764" i="1" s="1"/>
  <c r="B1765" i="1" s="1"/>
  <c r="B2003" i="1"/>
  <c r="B2004" i="1" s="1"/>
  <c r="B2005" i="1" s="1"/>
  <c r="B2006" i="1" s="1"/>
  <c r="B2007" i="1" s="1"/>
  <c r="B2008" i="1" s="1"/>
  <c r="B2009" i="1" s="1"/>
  <c r="B2010" i="1" s="1"/>
  <c r="B2011" i="1" s="1"/>
  <c r="B2012" i="1" s="1"/>
  <c r="B2013" i="1" s="1"/>
  <c r="B2014" i="1" s="1"/>
  <c r="B2015" i="1" s="1"/>
  <c r="B2016" i="1" s="1"/>
  <c r="B2017" i="1" s="1"/>
  <c r="B2018" i="1" s="1"/>
  <c r="B1965" i="1"/>
  <c r="B1966" i="1" s="1"/>
  <c r="B1967" i="1" s="1"/>
  <c r="B1968" i="1" s="1"/>
  <c r="B1969" i="1" s="1"/>
  <c r="B1970" i="1" s="1"/>
  <c r="B1971" i="1" s="1"/>
  <c r="B1972" i="1" s="1"/>
  <c r="B1973" i="1" s="1"/>
  <c r="B1974" i="1" s="1"/>
  <c r="B1975" i="1" s="1"/>
  <c r="B1976" i="1" s="1"/>
  <c r="B1977" i="1" s="1"/>
  <c r="B1978" i="1" s="1"/>
  <c r="B1979" i="1" s="1"/>
  <c r="B1980" i="1" s="1"/>
  <c r="B1981" i="1" s="1"/>
  <c r="B1982" i="1" s="1"/>
  <c r="B1983" i="1" s="1"/>
  <c r="B1984" i="1" s="1"/>
  <c r="B1985" i="1" s="1"/>
  <c r="B1986" i="1" s="1"/>
  <c r="B1987" i="1" s="1"/>
  <c r="B1988" i="1" s="1"/>
  <c r="B1989" i="1" s="1"/>
  <c r="B1990" i="1" s="1"/>
  <c r="B1991" i="1" s="1"/>
  <c r="B1992" i="1" s="1"/>
  <c r="B1993" i="1" s="1"/>
  <c r="B1994" i="1" s="1"/>
  <c r="B1995" i="1" s="1"/>
  <c r="B1996" i="1" s="1"/>
  <c r="B1997" i="1" s="1"/>
  <c r="B1998" i="1" s="1"/>
  <c r="B1999" i="1" s="1"/>
  <c r="B2000" i="1" s="1"/>
  <c r="B2001" i="1" s="1"/>
  <c r="B2002" i="1" s="1"/>
  <c r="E1964" i="1"/>
  <c r="AK25" i="6"/>
  <c r="N254" i="1"/>
  <c r="N277" i="1"/>
  <c r="AM25" i="6"/>
  <c r="AJ25" i="6"/>
  <c r="AL25" i="6"/>
  <c r="B1892" i="1" l="1"/>
  <c r="B1893" i="1" s="1"/>
  <c r="B1894" i="1" s="1"/>
  <c r="B1895" i="1" s="1"/>
  <c r="B1891" i="1"/>
  <c r="B2086" i="1"/>
  <c r="B2019" i="1"/>
  <c r="B2020" i="1" s="1"/>
  <c r="B2021" i="1" s="1"/>
  <c r="B2022" i="1" s="1"/>
  <c r="B2023" i="1" s="1"/>
  <c r="B2024" i="1" s="1"/>
  <c r="E2003" i="1"/>
  <c r="Z71" i="22"/>
  <c r="Z70" i="22" s="1"/>
  <c r="K30" i="6" s="1"/>
  <c r="D59" i="50" l="1"/>
  <c r="E60" i="50"/>
  <c r="D11" i="50"/>
  <c r="E12" i="50"/>
  <c r="B1896" i="1"/>
  <c r="B1897" i="1" s="1"/>
  <c r="B1898" i="1" s="1"/>
  <c r="B1906" i="1" s="1"/>
  <c r="H59" i="50"/>
  <c r="I60" i="50"/>
  <c r="H11" i="50"/>
  <c r="I12" i="50"/>
  <c r="B2025" i="1"/>
  <c r="B2026" i="1" s="1"/>
  <c r="B2027" i="1" s="1"/>
  <c r="B2028" i="1" s="1"/>
  <c r="B2029" i="1" s="1"/>
  <c r="B2030" i="1" s="1"/>
  <c r="B2031" i="1" s="1"/>
  <c r="B2032" i="1" s="1"/>
  <c r="B2033" i="1" s="1"/>
  <c r="B2034" i="1" s="1"/>
  <c r="B2035" i="1" s="1"/>
  <c r="B2036" i="1" s="1"/>
  <c r="B2087" i="1"/>
  <c r="B2088" i="1" s="1"/>
  <c r="B2089" i="1" s="1"/>
  <c r="B2090" i="1" s="1"/>
  <c r="B2091" i="1" s="1"/>
  <c r="B2092" i="1" s="1"/>
  <c r="B2093" i="1" s="1"/>
  <c r="B2094" i="1" s="1"/>
  <c r="B2095" i="1" s="1"/>
  <c r="B2096" i="1" s="1"/>
  <c r="B2097" i="1" s="1"/>
  <c r="E2086" i="1"/>
  <c r="AH25" i="6"/>
  <c r="AI25" i="6"/>
  <c r="K121" i="6"/>
  <c r="B1899" i="1" l="1"/>
  <c r="B1900" i="1" s="1"/>
  <c r="B1901" i="1" s="1"/>
  <c r="B1902" i="1" s="1"/>
  <c r="B1903" i="1" s="1"/>
  <c r="B1904" i="1" s="1"/>
  <c r="B1905" i="1" s="1"/>
  <c r="B2037" i="1"/>
  <c r="B2040" i="1" s="1"/>
  <c r="B2039" i="1"/>
  <c r="B2042" i="1" s="1"/>
  <c r="B1918" i="1"/>
  <c r="B1907" i="1"/>
  <c r="B1908" i="1" s="1"/>
  <c r="B1909" i="1" s="1"/>
  <c r="B1910" i="1" s="1"/>
  <c r="B1911" i="1" s="1"/>
  <c r="B1912" i="1" s="1"/>
  <c r="B1913" i="1" s="1"/>
  <c r="B1914" i="1" s="1"/>
  <c r="B1915" i="1" s="1"/>
  <c r="B1916" i="1" s="1"/>
  <c r="B1917" i="1" s="1"/>
  <c r="B2045" i="1" l="1"/>
  <c r="B2046" i="1" s="1"/>
  <c r="B2047" i="1" s="1"/>
  <c r="B2043" i="1"/>
  <c r="B1919" i="1"/>
  <c r="B1920" i="1" s="1"/>
  <c r="B1921" i="1" s="1"/>
  <c r="B1922" i="1" s="1"/>
  <c r="B1923" i="1" s="1"/>
  <c r="B1924" i="1" s="1"/>
  <c r="B1925" i="1" s="1"/>
  <c r="B1926" i="1" s="1"/>
  <c r="B1937" i="1"/>
  <c r="B2038" i="1"/>
  <c r="B2050" i="1" l="1"/>
  <c r="B2051" i="1" s="1"/>
  <c r="B2052" i="1" s="1"/>
  <c r="B2053" i="1" s="1"/>
  <c r="B2054" i="1" s="1"/>
  <c r="B2055" i="1" s="1"/>
  <c r="B2056" i="1" s="1"/>
  <c r="B2057" i="1" s="1"/>
  <c r="B2058" i="1" s="1"/>
  <c r="B2059" i="1" s="1"/>
  <c r="B2060" i="1" s="1"/>
  <c r="B2061" i="1" s="1"/>
  <c r="B2062" i="1" s="1"/>
  <c r="B2063" i="1" s="1"/>
  <c r="B2048" i="1"/>
  <c r="B2049" i="1" s="1"/>
  <c r="B2070" i="1"/>
  <c r="B2071" i="1" s="1"/>
  <c r="B2072" i="1" s="1"/>
  <c r="B2073" i="1" s="1"/>
  <c r="B2074" i="1" s="1"/>
  <c r="B2075" i="1" s="1"/>
  <c r="B2076" i="1" s="1"/>
  <c r="B2077" i="1" s="1"/>
  <c r="B2078" i="1" s="1"/>
  <c r="B2079" i="1" s="1"/>
  <c r="B2080" i="1" s="1"/>
  <c r="B2081" i="1" s="1"/>
  <c r="B2082" i="1" s="1"/>
  <c r="B2083" i="1" s="1"/>
  <c r="B2084" i="1" s="1"/>
  <c r="B2085" i="1" s="1"/>
  <c r="B2041" i="1"/>
  <c r="B2044" i="1" s="1"/>
  <c r="B1938" i="1"/>
  <c r="B1962" i="1"/>
  <c r="B1945" i="1"/>
  <c r="B1927" i="1"/>
  <c r="E807" i="1"/>
  <c r="C16" i="136" s="1"/>
  <c r="L16" i="136" s="1"/>
  <c r="M597" i="1"/>
  <c r="B1946" i="1" l="1"/>
  <c r="B1928" i="1"/>
  <c r="B1939" i="1"/>
  <c r="B1940" i="1" s="1"/>
  <c r="B1941" i="1" s="1"/>
  <c r="B1942" i="1" s="1"/>
  <c r="B1943" i="1" s="1"/>
  <c r="B1944" i="1" s="1"/>
  <c r="B1963" i="1"/>
  <c r="AM70" i="6"/>
  <c r="AM73" i="6" s="1"/>
  <c r="AD70" i="6"/>
  <c r="AD73" i="6" s="1"/>
  <c r="V70" i="6"/>
  <c r="V73" i="6" s="1"/>
  <c r="N70" i="6"/>
  <c r="N73" i="6" s="1"/>
  <c r="I70" i="6"/>
  <c r="I73" i="6" s="1"/>
  <c r="AL70" i="6"/>
  <c r="AL73" i="6" s="1"/>
  <c r="AC70" i="6"/>
  <c r="AC73" i="6" s="1"/>
  <c r="U70" i="6"/>
  <c r="U73" i="6" s="1"/>
  <c r="M70" i="6"/>
  <c r="R70" i="6"/>
  <c r="R73" i="6" s="1"/>
  <c r="AK70" i="6"/>
  <c r="AK73" i="6" s="1"/>
  <c r="AB70" i="6"/>
  <c r="AB73" i="6" s="1"/>
  <c r="T70" i="6"/>
  <c r="T73" i="6" s="1"/>
  <c r="K70" i="6"/>
  <c r="AJ70" i="6"/>
  <c r="AJ73" i="6" s="1"/>
  <c r="AA70" i="6"/>
  <c r="AA73" i="6" s="1"/>
  <c r="S70" i="6"/>
  <c r="S73" i="6" s="1"/>
  <c r="J70" i="6"/>
  <c r="J73" i="6" s="1"/>
  <c r="Z70" i="6"/>
  <c r="Z73" i="6" s="1"/>
  <c r="AI70" i="6"/>
  <c r="AI73" i="6" s="1"/>
  <c r="H70" i="6"/>
  <c r="H73" i="6" s="1"/>
  <c r="AH70" i="6"/>
  <c r="AH73" i="6" s="1"/>
  <c r="Y70" i="6"/>
  <c r="Y73" i="6" s="1"/>
  <c r="Q70" i="6"/>
  <c r="Q73" i="6" s="1"/>
  <c r="AF70" i="6"/>
  <c r="AF73" i="6" s="1"/>
  <c r="AG70" i="6"/>
  <c r="AG73" i="6" s="1"/>
  <c r="X70" i="6"/>
  <c r="X73" i="6" s="1"/>
  <c r="P70" i="6"/>
  <c r="P73" i="6" s="1"/>
  <c r="G70" i="6"/>
  <c r="G73" i="6" s="1"/>
  <c r="AE70" i="6"/>
  <c r="AE73" i="6" s="1"/>
  <c r="W70" i="6"/>
  <c r="W73" i="6" s="1"/>
  <c r="B1947" i="1" l="1"/>
  <c r="B1953" i="1"/>
  <c r="B1929" i="1"/>
  <c r="V1410" i="1"/>
  <c r="CM1410" i="1" s="1"/>
  <c r="CP1410" i="1" s="1"/>
  <c r="T1410" i="1"/>
  <c r="Q1410" i="1"/>
  <c r="P1410" i="1"/>
  <c r="O1410" i="1"/>
  <c r="M1410" i="1"/>
  <c r="V1405" i="1"/>
  <c r="CM1405" i="1" s="1"/>
  <c r="CP1405" i="1" s="1"/>
  <c r="T1405" i="1"/>
  <c r="Q1405" i="1"/>
  <c r="P1405" i="1"/>
  <c r="O1405" i="1"/>
  <c r="M1405" i="1"/>
  <c r="D1407" i="1"/>
  <c r="D1408" i="1" s="1"/>
  <c r="D1409" i="1" s="1"/>
  <c r="D1410" i="1" s="1"/>
  <c r="D1403" i="1"/>
  <c r="D1404" i="1" l="1"/>
  <c r="D1405" i="1" s="1"/>
  <c r="X34" i="37"/>
  <c r="B1948" i="1"/>
  <c r="B1930" i="1"/>
  <c r="B1954" i="1"/>
  <c r="N1405" i="1"/>
  <c r="N1410" i="1"/>
  <c r="Z34" i="37" s="1"/>
  <c r="V1370" i="1"/>
  <c r="CM1370" i="1" s="1"/>
  <c r="CP1370" i="1" s="1"/>
  <c r="T1370" i="1"/>
  <c r="Q1370" i="1"/>
  <c r="P1370" i="1"/>
  <c r="O1370" i="1"/>
  <c r="M1370" i="1"/>
  <c r="V1363" i="1"/>
  <c r="CM1363" i="1" s="1"/>
  <c r="CP1363" i="1" s="1"/>
  <c r="T1363" i="1"/>
  <c r="Q1363" i="1"/>
  <c r="P1363" i="1"/>
  <c r="O1363" i="1"/>
  <c r="M1363" i="1"/>
  <c r="J1364" i="1"/>
  <c r="J1357" i="1"/>
  <c r="AA34" i="37" l="1"/>
  <c r="B1949" i="1"/>
  <c r="B1931" i="1"/>
  <c r="B1955" i="1"/>
  <c r="K1364" i="1"/>
  <c r="L1370" i="1"/>
  <c r="K1357" i="1"/>
  <c r="L1363" i="1"/>
  <c r="N1363" i="1"/>
  <c r="H18" i="37" s="1"/>
  <c r="N1370" i="1"/>
  <c r="D833" i="1"/>
  <c r="D834" i="1" s="1"/>
  <c r="D835" i="1" s="1"/>
  <c r="D836" i="1" s="1"/>
  <c r="D837" i="1" s="1"/>
  <c r="D827" i="1"/>
  <c r="D828" i="1" s="1"/>
  <c r="D829" i="1" s="1"/>
  <c r="D830" i="1" s="1"/>
  <c r="D831" i="1" s="1"/>
  <c r="D809" i="1"/>
  <c r="D810" i="1" s="1"/>
  <c r="D811" i="1" s="1"/>
  <c r="D812" i="1" s="1"/>
  <c r="D813" i="1" s="1"/>
  <c r="AA30" i="37" l="1"/>
  <c r="Z30" i="37"/>
  <c r="B1950" i="1"/>
  <c r="B1956" i="1"/>
  <c r="B1932" i="1"/>
  <c r="D815" i="1"/>
  <c r="D816" i="1" s="1"/>
  <c r="D817" i="1" s="1"/>
  <c r="D818" i="1" s="1"/>
  <c r="D819" i="1" s="1"/>
  <c r="B1951" i="1" l="1"/>
  <c r="B1957" i="1"/>
  <c r="B1933" i="1"/>
  <c r="O254" i="1"/>
  <c r="M254" i="1"/>
  <c r="B1952" i="1" l="1"/>
  <c r="B1958" i="1"/>
  <c r="B1934" i="1"/>
  <c r="V1551" i="1"/>
  <c r="CM1551" i="1" s="1"/>
  <c r="CP1551" i="1" s="1"/>
  <c r="T1551" i="1"/>
  <c r="Q1551" i="1"/>
  <c r="P1551" i="1"/>
  <c r="O1551" i="1"/>
  <c r="M1551" i="1"/>
  <c r="V1735" i="1"/>
  <c r="T1735" i="1"/>
  <c r="Q1735" i="1"/>
  <c r="Q1737" i="1" s="1"/>
  <c r="P1735" i="1"/>
  <c r="P1737" i="1" s="1"/>
  <c r="O1735" i="1"/>
  <c r="M1735" i="1"/>
  <c r="M1737" i="1" s="1"/>
  <c r="V1742" i="1"/>
  <c r="CM1742" i="1" s="1"/>
  <c r="CP1742" i="1" s="1"/>
  <c r="T1742" i="1"/>
  <c r="Q1742" i="1"/>
  <c r="P1742" i="1"/>
  <c r="O1742" i="1"/>
  <c r="M1742" i="1"/>
  <c r="B1720" i="1"/>
  <c r="E1719" i="1"/>
  <c r="C92" i="39" s="1"/>
  <c r="AG128" i="6"/>
  <c r="AD128" i="6"/>
  <c r="AC128" i="6"/>
  <c r="AA128" i="6"/>
  <c r="Z128" i="6"/>
  <c r="Y128" i="6"/>
  <c r="X128" i="6"/>
  <c r="U128" i="6"/>
  <c r="AG127" i="6"/>
  <c r="AD127" i="6"/>
  <c r="AC127" i="6"/>
  <c r="AA127" i="6"/>
  <c r="Z127" i="6"/>
  <c r="Y127" i="6"/>
  <c r="X127" i="6"/>
  <c r="U127" i="6"/>
  <c r="V1737" i="1" l="1"/>
  <c r="CM1737" i="1" s="1"/>
  <c r="CP1737" i="1" s="1"/>
  <c r="CM1735" i="1"/>
  <c r="CP1735" i="1" s="1"/>
  <c r="B1959" i="1"/>
  <c r="B1935" i="1"/>
  <c r="N1735" i="1"/>
  <c r="N1742" i="1"/>
  <c r="N1551" i="1"/>
  <c r="T1737" i="1"/>
  <c r="O1737" i="1"/>
  <c r="B1960" i="1" l="1"/>
  <c r="B1936" i="1"/>
  <c r="B1961" i="1" s="1"/>
  <c r="N1737" i="1"/>
  <c r="R127" i="6"/>
  <c r="R128" i="6" l="1"/>
  <c r="D518" i="1" l="1"/>
  <c r="D783" i="1"/>
  <c r="D769" i="1"/>
  <c r="D655" i="1"/>
  <c r="D504" i="1"/>
  <c r="V261" i="1" l="1"/>
  <c r="P261" i="1"/>
  <c r="P270" i="1" s="1"/>
  <c r="P286" i="1" s="1"/>
  <c r="M261" i="1"/>
  <c r="M270" i="1" s="1"/>
  <c r="M286" i="1" s="1"/>
  <c r="E286" i="1"/>
  <c r="E271" i="1"/>
  <c r="K71" i="23" s="1"/>
  <c r="E270" i="1"/>
  <c r="E255" i="1"/>
  <c r="E254" i="1"/>
  <c r="J251" i="1"/>
  <c r="L251" i="1" s="1"/>
  <c r="E201" i="1"/>
  <c r="V270" i="1" l="1"/>
  <c r="CP261" i="1"/>
  <c r="K251" i="1"/>
  <c r="L254" i="1"/>
  <c r="L261" i="1" s="1"/>
  <c r="L270" i="1" s="1"/>
  <c r="L286" i="1" s="1"/>
  <c r="AD26" i="6"/>
  <c r="Y26" i="6"/>
  <c r="U26" i="6"/>
  <c r="V286" i="1" l="1"/>
  <c r="CP286" i="1" s="1"/>
  <c r="CP270" i="1"/>
  <c r="B1715" i="1"/>
  <c r="B1315" i="1"/>
  <c r="E1314" i="1"/>
  <c r="E1832" i="1"/>
  <c r="E1744" i="1"/>
  <c r="E1721" i="1"/>
  <c r="E1703" i="1"/>
  <c r="E1755" i="1"/>
  <c r="E1554" i="1"/>
  <c r="E1313" i="1"/>
  <c r="E1269" i="1"/>
  <c r="E1147" i="1"/>
  <c r="E846" i="1"/>
  <c r="E492" i="1"/>
  <c r="E485" i="1"/>
  <c r="E460" i="1"/>
  <c r="E389" i="1"/>
  <c r="E1158" i="1"/>
  <c r="E1161" i="1"/>
  <c r="E1192" i="1"/>
  <c r="E1235" i="1"/>
  <c r="E847" i="1"/>
  <c r="B294" i="1"/>
  <c r="B295" i="1" s="1"/>
  <c r="B296" i="1" s="1"/>
  <c r="B297" i="1" s="1"/>
  <c r="B298" i="1" s="1"/>
  <c r="B299" i="1" s="1"/>
  <c r="B300" i="1" s="1"/>
  <c r="B301" i="1" s="1"/>
  <c r="B302" i="1" s="1"/>
  <c r="B303" i="1" s="1"/>
  <c r="B304" i="1" s="1"/>
  <c r="B305" i="1" s="1"/>
  <c r="B306" i="1" s="1"/>
  <c r="B307" i="1" s="1"/>
  <c r="B308" i="1" s="1"/>
  <c r="B309" i="1" s="1"/>
  <c r="B310" i="1" s="1"/>
  <c r="B288" i="1"/>
  <c r="V1765" i="1"/>
  <c r="CM1765" i="1" s="1"/>
  <c r="CP1765" i="1" s="1"/>
  <c r="Q1765" i="1"/>
  <c r="P1765" i="1"/>
  <c r="O1765" i="1"/>
  <c r="M1765" i="1"/>
  <c r="V1748" i="1"/>
  <c r="Q1748" i="1"/>
  <c r="P1748" i="1"/>
  <c r="O1748" i="1"/>
  <c r="M1748" i="1"/>
  <c r="V1754" i="1"/>
  <c r="Q1754" i="1"/>
  <c r="P1754" i="1"/>
  <c r="O1754" i="1"/>
  <c r="M1754" i="1"/>
  <c r="V1567" i="1"/>
  <c r="CM1567" i="1" s="1"/>
  <c r="CP1567" i="1" s="1"/>
  <c r="T1567" i="1"/>
  <c r="Q1567" i="1"/>
  <c r="P1567" i="1"/>
  <c r="O1567" i="1"/>
  <c r="G1343" i="1"/>
  <c r="G1315" i="1"/>
  <c r="V1156" i="1"/>
  <c r="CP1156" i="1" s="1"/>
  <c r="Q1156" i="1"/>
  <c r="P1156" i="1"/>
  <c r="O1156" i="1"/>
  <c r="V1150" i="1"/>
  <c r="Q1150" i="1"/>
  <c r="P1150" i="1"/>
  <c r="O1150" i="1"/>
  <c r="V1153" i="1"/>
  <c r="CP1153" i="1" s="1"/>
  <c r="Q1153" i="1"/>
  <c r="P1153" i="1"/>
  <c r="O1153" i="1"/>
  <c r="V1169" i="1"/>
  <c r="CP1169" i="1" s="1"/>
  <c r="Q1169" i="1"/>
  <c r="P1169" i="1"/>
  <c r="O1169" i="1"/>
  <c r="V1177" i="1"/>
  <c r="CP1177" i="1" s="1"/>
  <c r="Q1177" i="1"/>
  <c r="P1177" i="1"/>
  <c r="O1177" i="1"/>
  <c r="E545" i="1"/>
  <c r="E522" i="1"/>
  <c r="E1127" i="1"/>
  <c r="E1113" i="1"/>
  <c r="E1091" i="1"/>
  <c r="E1077" i="1"/>
  <c r="E1055" i="1"/>
  <c r="E1041" i="1"/>
  <c r="E1019" i="1"/>
  <c r="E1005" i="1"/>
  <c r="E983" i="1"/>
  <c r="E969" i="1"/>
  <c r="E947" i="1"/>
  <c r="E933" i="1"/>
  <c r="E911" i="1"/>
  <c r="E897" i="1"/>
  <c r="E861" i="1"/>
  <c r="E773" i="1"/>
  <c r="E735" i="1"/>
  <c r="E697" i="1"/>
  <c r="E659" i="1"/>
  <c r="E621" i="1"/>
  <c r="E597" i="1"/>
  <c r="E559" i="1"/>
  <c r="E508" i="1"/>
  <c r="V522" i="1"/>
  <c r="Q522" i="1"/>
  <c r="P522" i="1"/>
  <c r="O522" i="1"/>
  <c r="E495" i="1"/>
  <c r="E1101" i="1"/>
  <c r="E1065" i="1"/>
  <c r="E1029" i="1"/>
  <c r="E993" i="1"/>
  <c r="E957" i="1"/>
  <c r="E921" i="1"/>
  <c r="E885" i="1"/>
  <c r="E849" i="1"/>
  <c r="E760" i="1"/>
  <c r="E722" i="1"/>
  <c r="E608" i="1"/>
  <c r="E583" i="1"/>
  <c r="E570" i="1"/>
  <c r="E228" i="1"/>
  <c r="E206" i="1"/>
  <c r="B289" i="1" l="1"/>
  <c r="B290" i="1" s="1"/>
  <c r="B291" i="1" s="1"/>
  <c r="B292" i="1" s="1"/>
  <c r="F19" i="50"/>
  <c r="F23" i="50" s="1"/>
  <c r="O15" i="27"/>
  <c r="F19" i="23"/>
  <c r="F19" i="30"/>
  <c r="F12" i="34"/>
  <c r="F19" i="40"/>
  <c r="F12" i="30"/>
  <c r="F12" i="40"/>
  <c r="F12" i="23"/>
  <c r="F19" i="35"/>
  <c r="F12" i="129"/>
  <c r="F19" i="24"/>
  <c r="F19" i="31"/>
  <c r="F12" i="35"/>
  <c r="F19" i="41"/>
  <c r="F19" i="32"/>
  <c r="F12" i="41"/>
  <c r="F19" i="33"/>
  <c r="F12" i="49"/>
  <c r="F19" i="22"/>
  <c r="F12" i="130"/>
  <c r="Q22" i="27"/>
  <c r="F19" i="20"/>
  <c r="F19" i="25"/>
  <c r="F19" i="36"/>
  <c r="F12" i="39"/>
  <c r="F19" i="132"/>
  <c r="O22" i="27"/>
  <c r="F12" i="20"/>
  <c r="F12" i="25"/>
  <c r="F12" i="32"/>
  <c r="F12" i="36"/>
  <c r="F19" i="49"/>
  <c r="F19" i="37"/>
  <c r="F12" i="132"/>
  <c r="F22" i="27"/>
  <c r="F20" i="21"/>
  <c r="F19" i="28"/>
  <c r="F12" i="133"/>
  <c r="D22" i="27"/>
  <c r="T22" i="27" s="1"/>
  <c r="F12" i="21"/>
  <c r="F12" i="28"/>
  <c r="F12" i="33"/>
  <c r="F12" i="134"/>
  <c r="F19" i="34"/>
  <c r="F30" i="12"/>
  <c r="F36" i="12"/>
  <c r="F31" i="141"/>
  <c r="F32" i="141" s="1"/>
  <c r="F21" i="39"/>
  <c r="G18" i="137"/>
  <c r="G17" i="137"/>
  <c r="G16" i="137"/>
  <c r="G23" i="137"/>
  <c r="G15" i="137"/>
  <c r="G22" i="137"/>
  <c r="G13" i="137"/>
  <c r="G21" i="137"/>
  <c r="G20" i="137"/>
  <c r="G19" i="137"/>
  <c r="N76" i="6"/>
  <c r="W76" i="6"/>
  <c r="AE76" i="6"/>
  <c r="AM76" i="6"/>
  <c r="AK76" i="6"/>
  <c r="AD76" i="6"/>
  <c r="G76" i="6"/>
  <c r="O76" i="6"/>
  <c r="X76" i="6"/>
  <c r="AF76" i="6"/>
  <c r="P76" i="6"/>
  <c r="AL76" i="6"/>
  <c r="H76" i="6"/>
  <c r="Q76" i="6"/>
  <c r="Y76" i="6"/>
  <c r="AG76" i="6"/>
  <c r="AH76" i="6"/>
  <c r="M76" i="6"/>
  <c r="I76" i="6"/>
  <c r="R76" i="6"/>
  <c r="Z76" i="6"/>
  <c r="J76" i="6"/>
  <c r="S76" i="6"/>
  <c r="AA76" i="6"/>
  <c r="AI76" i="6"/>
  <c r="AC76" i="6"/>
  <c r="V76" i="6"/>
  <c r="K76" i="6"/>
  <c r="T76" i="6"/>
  <c r="AB76" i="6"/>
  <c r="AJ76" i="6"/>
  <c r="U76" i="6"/>
  <c r="L76" i="6"/>
  <c r="AM96" i="6"/>
  <c r="AJ104" i="6"/>
  <c r="AM104" i="6"/>
  <c r="AK104" i="6"/>
  <c r="AL96" i="6"/>
  <c r="AK96" i="6"/>
  <c r="AJ96" i="6"/>
  <c r="AL104" i="6"/>
  <c r="D63" i="27"/>
  <c r="F63" i="27"/>
  <c r="AI104" i="6"/>
  <c r="AC104" i="6"/>
  <c r="G104" i="6"/>
  <c r="H104" i="6"/>
  <c r="AF104" i="6"/>
  <c r="P104" i="6"/>
  <c r="AG104" i="6"/>
  <c r="AE104" i="6"/>
  <c r="S104" i="6"/>
  <c r="U104" i="6"/>
  <c r="V104" i="6"/>
  <c r="Y104" i="6"/>
  <c r="N104" i="6"/>
  <c r="AA104" i="6"/>
  <c r="T104" i="6"/>
  <c r="J104" i="6"/>
  <c r="AB104" i="6"/>
  <c r="Q104" i="6"/>
  <c r="Z104" i="6"/>
  <c r="AD104" i="6"/>
  <c r="I104" i="6"/>
  <c r="AH104" i="6"/>
  <c r="W104" i="6"/>
  <c r="X104" i="6"/>
  <c r="R104" i="6"/>
  <c r="AF96" i="6"/>
  <c r="AG96" i="6"/>
  <c r="U96" i="6"/>
  <c r="Y96" i="6"/>
  <c r="X96" i="6"/>
  <c r="N96" i="6"/>
  <c r="S96" i="6"/>
  <c r="V96" i="6"/>
  <c r="P96" i="6"/>
  <c r="AH96" i="6"/>
  <c r="J96" i="6"/>
  <c r="AI96" i="6"/>
  <c r="AB96" i="6"/>
  <c r="Z96" i="6"/>
  <c r="AC96" i="6"/>
  <c r="R96" i="6"/>
  <c r="Q96" i="6"/>
  <c r="AD96" i="6"/>
  <c r="W96" i="6"/>
  <c r="AE96" i="6"/>
  <c r="H96" i="6"/>
  <c r="G96" i="6"/>
  <c r="I96" i="6"/>
  <c r="T96" i="6"/>
  <c r="AA96" i="6"/>
  <c r="P16" i="12"/>
  <c r="Q16" i="12"/>
  <c r="N1567" i="1"/>
  <c r="G1336" i="1"/>
  <c r="G1329" i="1"/>
  <c r="J722" i="1"/>
  <c r="K722" i="1" s="1"/>
  <c r="K751" i="1" s="1"/>
  <c r="J532" i="1"/>
  <c r="J646" i="1"/>
  <c r="K646" i="1" s="1"/>
  <c r="K675" i="1" s="1"/>
  <c r="J495" i="1"/>
  <c r="J570" i="1"/>
  <c r="J684" i="1"/>
  <c r="K684" i="1" s="1"/>
  <c r="K713" i="1" s="1"/>
  <c r="J885" i="1"/>
  <c r="L885" i="1" s="1"/>
  <c r="J1029" i="1"/>
  <c r="L1029" i="1" s="1"/>
  <c r="J1315" i="1"/>
  <c r="L1321" i="1" s="1"/>
  <c r="J921" i="1"/>
  <c r="L921" i="1" s="1"/>
  <c r="J1322" i="1"/>
  <c r="L1322" i="1" s="1"/>
  <c r="J608" i="1"/>
  <c r="K608" i="1" s="1"/>
  <c r="K637" i="1" s="1"/>
  <c r="J760" i="1"/>
  <c r="K760" i="1" s="1"/>
  <c r="K789" i="1" s="1"/>
  <c r="J957" i="1"/>
  <c r="L957" i="1" s="1"/>
  <c r="J1101" i="1"/>
  <c r="L1101" i="1" s="1"/>
  <c r="J1329" i="1"/>
  <c r="K1329" i="1" s="1"/>
  <c r="K1335" i="1" s="1"/>
  <c r="J1065" i="1"/>
  <c r="L1065" i="1" s="1"/>
  <c r="J1336" i="1"/>
  <c r="J1343" i="1"/>
  <c r="J993" i="1"/>
  <c r="J849" i="1"/>
  <c r="L849" i="1" s="1"/>
  <c r="J203" i="1"/>
  <c r="L203" i="1" s="1"/>
  <c r="G21" i="31"/>
  <c r="H11" i="59" s="1"/>
  <c r="G17" i="31"/>
  <c r="G19" i="31"/>
  <c r="G22" i="31"/>
  <c r="H24" i="59" s="1"/>
  <c r="G13" i="31"/>
  <c r="G20" i="31"/>
  <c r="G16" i="31"/>
  <c r="G23" i="31"/>
  <c r="G15" i="31"/>
  <c r="G18" i="31"/>
  <c r="C16" i="30"/>
  <c r="L16" i="30" s="1"/>
  <c r="B311" i="1"/>
  <c r="B312" i="1" s="1"/>
  <c r="B313" i="1" s="1"/>
  <c r="B314" i="1" s="1"/>
  <c r="B315" i="1" s="1"/>
  <c r="B316" i="1" s="1"/>
  <c r="B317" i="1" s="1"/>
  <c r="B318" i="1" s="1"/>
  <c r="B319" i="1" s="1"/>
  <c r="B320" i="1" s="1"/>
  <c r="B321" i="1" s="1"/>
  <c r="B322" i="1" s="1"/>
  <c r="B323" i="1" s="1"/>
  <c r="B324" i="1" s="1"/>
  <c r="B325" i="1" s="1"/>
  <c r="B326" i="1" s="1"/>
  <c r="B327"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9" i="1" s="1"/>
  <c r="B360" i="1" s="1"/>
  <c r="B361" i="1" s="1"/>
  <c r="B362" i="1" s="1"/>
  <c r="O1157" i="1"/>
  <c r="V1157" i="1"/>
  <c r="Q1157" i="1"/>
  <c r="P1157" i="1"/>
  <c r="F28" i="23" l="1"/>
  <c r="G19" i="23"/>
  <c r="H19" i="131"/>
  <c r="F26" i="131"/>
  <c r="F34" i="131" s="1"/>
  <c r="F72" i="131" s="1"/>
  <c r="M18" i="30"/>
  <c r="AM112" i="6"/>
  <c r="AM90" i="6"/>
  <c r="AL86" i="6"/>
  <c r="AK92" i="6"/>
  <c r="AJ92" i="6"/>
  <c r="AJ91" i="6"/>
  <c r="AM88" i="6"/>
  <c r="AK113" i="6"/>
  <c r="AK91" i="6"/>
  <c r="AJ113" i="6"/>
  <c r="AM102" i="6"/>
  <c r="AM87" i="6"/>
  <c r="AL113" i="6"/>
  <c r="AK112" i="6"/>
  <c r="AK90" i="6"/>
  <c r="AJ112" i="6"/>
  <c r="AJ90" i="6"/>
  <c r="AM101" i="6"/>
  <c r="AM86" i="6"/>
  <c r="AL112" i="6"/>
  <c r="AL92" i="6"/>
  <c r="AK88" i="6"/>
  <c r="AJ88" i="6"/>
  <c r="AL91" i="6"/>
  <c r="AK102" i="6"/>
  <c r="AK87" i="6"/>
  <c r="AJ102" i="6"/>
  <c r="AJ87" i="6"/>
  <c r="AL90" i="6"/>
  <c r="AK101" i="6"/>
  <c r="AK86" i="6"/>
  <c r="AJ101" i="6"/>
  <c r="AJ86" i="6"/>
  <c r="AM92" i="6"/>
  <c r="AL102" i="6"/>
  <c r="AL88" i="6"/>
  <c r="AM113" i="6"/>
  <c r="AM91" i="6"/>
  <c r="AL101" i="6"/>
  <c r="AL87" i="6"/>
  <c r="L495" i="1"/>
  <c r="L760" i="1"/>
  <c r="L762" i="1" s="1"/>
  <c r="L570" i="1"/>
  <c r="L722" i="1"/>
  <c r="L724" i="1" s="1"/>
  <c r="L993" i="1"/>
  <c r="L995" i="1" s="1"/>
  <c r="L1005" i="1" s="1"/>
  <c r="L1020" i="1" s="1"/>
  <c r="L608" i="1"/>
  <c r="L646" i="1"/>
  <c r="L684" i="1"/>
  <c r="L686" i="1" s="1"/>
  <c r="L532" i="1"/>
  <c r="L877" i="1"/>
  <c r="L851" i="1"/>
  <c r="L861" i="1" s="1"/>
  <c r="L876" i="1" s="1"/>
  <c r="L1057" i="1"/>
  <c r="L1031" i="1"/>
  <c r="L1041" i="1" s="1"/>
  <c r="L1056" i="1" s="1"/>
  <c r="L1093" i="1"/>
  <c r="L1067" i="1"/>
  <c r="L1077" i="1" s="1"/>
  <c r="L1092" i="1" s="1"/>
  <c r="K1343" i="1"/>
  <c r="L1349" i="1"/>
  <c r="L1129" i="1"/>
  <c r="L1103" i="1"/>
  <c r="L1113" i="1" s="1"/>
  <c r="L1128" i="1" s="1"/>
  <c r="K1322" i="1"/>
  <c r="L1328" i="1"/>
  <c r="L913" i="1"/>
  <c r="L887" i="1"/>
  <c r="L897" i="1" s="1"/>
  <c r="L912" i="1" s="1"/>
  <c r="K203" i="1"/>
  <c r="L206" i="1"/>
  <c r="L228" i="1" s="1"/>
  <c r="L250" i="1" s="1"/>
  <c r="L985" i="1"/>
  <c r="L959" i="1"/>
  <c r="L969" i="1" s="1"/>
  <c r="L984" i="1" s="1"/>
  <c r="L949" i="1"/>
  <c r="L923" i="1"/>
  <c r="L933" i="1" s="1"/>
  <c r="L948" i="1" s="1"/>
  <c r="AH102" i="6"/>
  <c r="AD102" i="6"/>
  <c r="Z102" i="6"/>
  <c r="V102" i="6"/>
  <c r="R102" i="6"/>
  <c r="N102" i="6"/>
  <c r="J102" i="6"/>
  <c r="AF101" i="6"/>
  <c r="AB101" i="6"/>
  <c r="X101" i="6"/>
  <c r="T101" i="6"/>
  <c r="P101" i="6"/>
  <c r="H101" i="6"/>
  <c r="AF102" i="6"/>
  <c r="T102" i="6"/>
  <c r="H102" i="6"/>
  <c r="AD101" i="6"/>
  <c r="V101" i="6"/>
  <c r="N101" i="6"/>
  <c r="AI102" i="6"/>
  <c r="AE102" i="6"/>
  <c r="W102" i="6"/>
  <c r="G102" i="6"/>
  <c r="AC101" i="6"/>
  <c r="U101" i="6"/>
  <c r="AG102" i="6"/>
  <c r="AC102" i="6"/>
  <c r="Y102" i="6"/>
  <c r="U102" i="6"/>
  <c r="Q102" i="6"/>
  <c r="I102" i="6"/>
  <c r="AI101" i="6"/>
  <c r="AE101" i="6"/>
  <c r="AA101" i="6"/>
  <c r="W101" i="6"/>
  <c r="S101" i="6"/>
  <c r="G101" i="6"/>
  <c r="AB102" i="6"/>
  <c r="X102" i="6"/>
  <c r="P102" i="6"/>
  <c r="AH101" i="6"/>
  <c r="Z101" i="6"/>
  <c r="R101" i="6"/>
  <c r="J101" i="6"/>
  <c r="AA102" i="6"/>
  <c r="S102" i="6"/>
  <c r="AG101" i="6"/>
  <c r="Y101" i="6"/>
  <c r="Q101" i="6"/>
  <c r="I101" i="6"/>
  <c r="V91" i="6"/>
  <c r="AI113" i="6"/>
  <c r="AE113" i="6"/>
  <c r="AA113" i="6"/>
  <c r="W113" i="6"/>
  <c r="S113" i="6"/>
  <c r="G113" i="6"/>
  <c r="AG112" i="6"/>
  <c r="AC112" i="6"/>
  <c r="Y112" i="6"/>
  <c r="U112" i="6"/>
  <c r="Q112" i="6"/>
  <c r="I112" i="6"/>
  <c r="T91" i="6"/>
  <c r="AH113" i="6"/>
  <c r="AD113" i="6"/>
  <c r="Z113" i="6"/>
  <c r="V113" i="6"/>
  <c r="R113" i="6"/>
  <c r="N113" i="6"/>
  <c r="J113" i="6"/>
  <c r="AF112" i="6"/>
  <c r="AB112" i="6"/>
  <c r="X112" i="6"/>
  <c r="T112" i="6"/>
  <c r="P112" i="6"/>
  <c r="H112" i="6"/>
  <c r="R90" i="6"/>
  <c r="AG113" i="6"/>
  <c r="AC113" i="6"/>
  <c r="Y113" i="6"/>
  <c r="U113" i="6"/>
  <c r="Q113" i="6"/>
  <c r="I113" i="6"/>
  <c r="AI112" i="6"/>
  <c r="AE112" i="6"/>
  <c r="AA112" i="6"/>
  <c r="W112" i="6"/>
  <c r="S112" i="6"/>
  <c r="G112" i="6"/>
  <c r="AF113" i="6"/>
  <c r="P113" i="6"/>
  <c r="AD112" i="6"/>
  <c r="N112" i="6"/>
  <c r="AB113" i="6"/>
  <c r="Z112" i="6"/>
  <c r="J112" i="6"/>
  <c r="X113" i="6"/>
  <c r="H113" i="6"/>
  <c r="V112" i="6"/>
  <c r="T113" i="6"/>
  <c r="R112" i="6"/>
  <c r="AH112" i="6"/>
  <c r="AI92" i="6"/>
  <c r="AE92" i="6"/>
  <c r="AA92" i="6"/>
  <c r="W92" i="6"/>
  <c r="S92" i="6"/>
  <c r="G92" i="6"/>
  <c r="AG91" i="6"/>
  <c r="AC91" i="6"/>
  <c r="Y91" i="6"/>
  <c r="U91" i="6"/>
  <c r="Q91" i="6"/>
  <c r="I91" i="6"/>
  <c r="AG90" i="6"/>
  <c r="AC90" i="6"/>
  <c r="Y90" i="6"/>
  <c r="U90" i="6"/>
  <c r="Q90" i="6"/>
  <c r="I90" i="6"/>
  <c r="AH92" i="6"/>
  <c r="AD92" i="6"/>
  <c r="Z92" i="6"/>
  <c r="V92" i="6"/>
  <c r="R92" i="6"/>
  <c r="N92" i="6"/>
  <c r="J92" i="6"/>
  <c r="AF91" i="6"/>
  <c r="AB91" i="6"/>
  <c r="X91" i="6"/>
  <c r="P91" i="6"/>
  <c r="H91" i="6"/>
  <c r="AF90" i="6"/>
  <c r="AB90" i="6"/>
  <c r="X90" i="6"/>
  <c r="T90" i="6"/>
  <c r="P90" i="6"/>
  <c r="H90" i="6"/>
  <c r="AG92" i="6"/>
  <c r="AC92" i="6"/>
  <c r="Y92" i="6"/>
  <c r="U92" i="6"/>
  <c r="Q92" i="6"/>
  <c r="I92" i="6"/>
  <c r="AI91" i="6"/>
  <c r="AE91" i="6"/>
  <c r="AA91" i="6"/>
  <c r="W91" i="6"/>
  <c r="S91" i="6"/>
  <c r="G91" i="6"/>
  <c r="AI90" i="6"/>
  <c r="AE90" i="6"/>
  <c r="AA90" i="6"/>
  <c r="W90" i="6"/>
  <c r="S90" i="6"/>
  <c r="G90" i="6"/>
  <c r="AF92" i="6"/>
  <c r="AB92" i="6"/>
  <c r="X92" i="6"/>
  <c r="T92" i="6"/>
  <c r="P92" i="6"/>
  <c r="H92" i="6"/>
  <c r="AH91" i="6"/>
  <c r="AD91" i="6"/>
  <c r="Z91" i="6"/>
  <c r="R91" i="6"/>
  <c r="N91" i="6"/>
  <c r="J91" i="6"/>
  <c r="AH90" i="6"/>
  <c r="AD90" i="6"/>
  <c r="Z90" i="6"/>
  <c r="V90" i="6"/>
  <c r="N90" i="6"/>
  <c r="J90" i="6"/>
  <c r="AH88" i="6"/>
  <c r="AD88" i="6"/>
  <c r="Z88" i="6"/>
  <c r="V88" i="6"/>
  <c r="R88" i="6"/>
  <c r="N88" i="6"/>
  <c r="J88" i="6"/>
  <c r="AF87" i="6"/>
  <c r="AB87" i="6"/>
  <c r="X87" i="6"/>
  <c r="T87" i="6"/>
  <c r="P87" i="6"/>
  <c r="H87" i="6"/>
  <c r="AF86" i="6"/>
  <c r="AB86" i="6"/>
  <c r="X86" i="6"/>
  <c r="T86" i="6"/>
  <c r="P86" i="6"/>
  <c r="H86" i="6"/>
  <c r="G86" i="6"/>
  <c r="AG88" i="6"/>
  <c r="AC88" i="6"/>
  <c r="Y88" i="6"/>
  <c r="U88" i="6"/>
  <c r="Q88" i="6"/>
  <c r="I88" i="6"/>
  <c r="AI87" i="6"/>
  <c r="AE87" i="6"/>
  <c r="AA87" i="6"/>
  <c r="W87" i="6"/>
  <c r="S87" i="6"/>
  <c r="G87" i="6"/>
  <c r="AI86" i="6"/>
  <c r="AE86" i="6"/>
  <c r="AA86" i="6"/>
  <c r="W86" i="6"/>
  <c r="S86" i="6"/>
  <c r="AI88" i="6"/>
  <c r="AA88" i="6"/>
  <c r="S88" i="6"/>
  <c r="AG87" i="6"/>
  <c r="Y87" i="6"/>
  <c r="Q87" i="6"/>
  <c r="I87" i="6"/>
  <c r="AC86" i="6"/>
  <c r="U86" i="6"/>
  <c r="AF88" i="6"/>
  <c r="X88" i="6"/>
  <c r="P88" i="6"/>
  <c r="H88" i="6"/>
  <c r="AD87" i="6"/>
  <c r="V87" i="6"/>
  <c r="N87" i="6"/>
  <c r="AH86" i="6"/>
  <c r="Z86" i="6"/>
  <c r="R86" i="6"/>
  <c r="J86" i="6"/>
  <c r="AE88" i="6"/>
  <c r="W88" i="6"/>
  <c r="G88" i="6"/>
  <c r="AC87" i="6"/>
  <c r="U87" i="6"/>
  <c r="AG86" i="6"/>
  <c r="Y86" i="6"/>
  <c r="Q86" i="6"/>
  <c r="I86" i="6"/>
  <c r="AB88" i="6"/>
  <c r="T88" i="6"/>
  <c r="AH87" i="6"/>
  <c r="Z87" i="6"/>
  <c r="R87" i="6"/>
  <c r="J87" i="6"/>
  <c r="AD86" i="6"/>
  <c r="V86" i="6"/>
  <c r="N86" i="6"/>
  <c r="K148" i="1"/>
  <c r="K849" i="1"/>
  <c r="K877" i="1" s="1"/>
  <c r="K921" i="1"/>
  <c r="K949" i="1" s="1"/>
  <c r="K1315" i="1"/>
  <c r="K495" i="1"/>
  <c r="K524" i="1" s="1"/>
  <c r="K993" i="1"/>
  <c r="K1021" i="1" s="1"/>
  <c r="K1101" i="1"/>
  <c r="K1129" i="1" s="1"/>
  <c r="K1029" i="1"/>
  <c r="K1057" i="1" s="1"/>
  <c r="K570" i="1"/>
  <c r="K599" i="1" s="1"/>
  <c r="K1065" i="1"/>
  <c r="K1093" i="1" s="1"/>
  <c r="K957" i="1"/>
  <c r="K985" i="1" s="1"/>
  <c r="K885" i="1"/>
  <c r="K913" i="1" s="1"/>
  <c r="K532" i="1"/>
  <c r="K561" i="1" s="1"/>
  <c r="B366" i="1"/>
  <c r="B368" i="1" s="1"/>
  <c r="B369" i="1" s="1"/>
  <c r="B370" i="1" s="1"/>
  <c r="B363" i="1"/>
  <c r="B364" i="1" l="1"/>
  <c r="H26" i="131"/>
  <c r="H34" i="131" s="1"/>
  <c r="H72" i="131" s="1"/>
  <c r="I19" i="131"/>
  <c r="I26" i="131" s="1"/>
  <c r="I34" i="131" s="1"/>
  <c r="I72" i="131" s="1"/>
  <c r="L572" i="1"/>
  <c r="L583" i="1" s="1"/>
  <c r="L598" i="1" s="1"/>
  <c r="L599" i="1"/>
  <c r="L534" i="1"/>
  <c r="L545" i="1" s="1"/>
  <c r="L560" i="1" s="1"/>
  <c r="L561" i="1"/>
  <c r="L497" i="1"/>
  <c r="L508" i="1" s="1"/>
  <c r="L523" i="1" s="1"/>
  <c r="L524" i="1"/>
  <c r="L648" i="1"/>
  <c r="L659" i="1" s="1"/>
  <c r="L674" i="1" s="1"/>
  <c r="L675" i="1"/>
  <c r="L610" i="1"/>
  <c r="L621" i="1" s="1"/>
  <c r="L636" i="1" s="1"/>
  <c r="L637" i="1"/>
  <c r="Y103" i="6"/>
  <c r="Y105" i="6" s="1"/>
  <c r="Z103" i="6"/>
  <c r="Z105" i="6" s="1"/>
  <c r="W103" i="6"/>
  <c r="W105" i="6" s="1"/>
  <c r="B371" i="1"/>
  <c r="N103" i="6"/>
  <c r="N105" i="6" s="1"/>
  <c r="AM103" i="6"/>
  <c r="AM105" i="6" s="1"/>
  <c r="AL103" i="6"/>
  <c r="AL105" i="6" s="1"/>
  <c r="AK93" i="6"/>
  <c r="AK95" i="6" s="1"/>
  <c r="AM93" i="6"/>
  <c r="AM95" i="6" s="1"/>
  <c r="AL93" i="6"/>
  <c r="AL95" i="6" s="1"/>
  <c r="AK103" i="6"/>
  <c r="AK105" i="6" s="1"/>
  <c r="AJ103" i="6"/>
  <c r="AJ105" i="6" s="1"/>
  <c r="AJ93" i="6"/>
  <c r="AJ95" i="6" s="1"/>
  <c r="AH103" i="6"/>
  <c r="AH105" i="6" s="1"/>
  <c r="L713" i="1"/>
  <c r="L697" i="1"/>
  <c r="L712" i="1" s="1"/>
  <c r="L751" i="1"/>
  <c r="L735" i="1"/>
  <c r="L750" i="1" s="1"/>
  <c r="L789" i="1"/>
  <c r="L773" i="1"/>
  <c r="L788" i="1" s="1"/>
  <c r="L1136" i="1"/>
  <c r="R103" i="6"/>
  <c r="R105" i="6" s="1"/>
  <c r="AD103" i="6"/>
  <c r="AD105" i="6" s="1"/>
  <c r="I103" i="6"/>
  <c r="I105" i="6" s="1"/>
  <c r="AE103" i="6"/>
  <c r="AE105" i="6" s="1"/>
  <c r="T103" i="6"/>
  <c r="T105" i="6" s="1"/>
  <c r="U103" i="6"/>
  <c r="U105" i="6" s="1"/>
  <c r="J103" i="6"/>
  <c r="J105" i="6" s="1"/>
  <c r="Q103" i="6"/>
  <c r="Q105" i="6" s="1"/>
  <c r="S103" i="6"/>
  <c r="S105" i="6" s="1"/>
  <c r="AI103" i="6"/>
  <c r="AI105" i="6" s="1"/>
  <c r="H103" i="6"/>
  <c r="H105" i="6" s="1"/>
  <c r="X103" i="6"/>
  <c r="X105" i="6" s="1"/>
  <c r="G103" i="6"/>
  <c r="G105" i="6" s="1"/>
  <c r="AB103" i="6"/>
  <c r="AB105" i="6" s="1"/>
  <c r="AG103" i="6"/>
  <c r="AG105" i="6" s="1"/>
  <c r="AA103" i="6"/>
  <c r="AA105" i="6" s="1"/>
  <c r="AC103" i="6"/>
  <c r="AC105" i="6" s="1"/>
  <c r="V103" i="6"/>
  <c r="V105" i="6" s="1"/>
  <c r="P103" i="6"/>
  <c r="P105" i="6" s="1"/>
  <c r="AF103" i="6"/>
  <c r="AF105" i="6" s="1"/>
  <c r="Q93" i="6"/>
  <c r="Q95" i="6" s="1"/>
  <c r="V93" i="6"/>
  <c r="V95" i="6" s="1"/>
  <c r="AG93" i="6"/>
  <c r="AG95" i="6" s="1"/>
  <c r="Z93" i="6"/>
  <c r="Z95" i="6" s="1"/>
  <c r="AA93" i="6"/>
  <c r="AA95" i="6" s="1"/>
  <c r="P93" i="6"/>
  <c r="P95" i="6" s="1"/>
  <c r="AF93" i="6"/>
  <c r="AF95" i="6" s="1"/>
  <c r="N93" i="6"/>
  <c r="N95" i="6" s="1"/>
  <c r="Y93" i="6"/>
  <c r="Y95" i="6" s="1"/>
  <c r="AH93" i="6"/>
  <c r="AH95" i="6" s="1"/>
  <c r="AE93" i="6"/>
  <c r="AE95" i="6" s="1"/>
  <c r="G93" i="6"/>
  <c r="G95" i="6" s="1"/>
  <c r="T93" i="6"/>
  <c r="T95" i="6" s="1"/>
  <c r="J93" i="6"/>
  <c r="J95" i="6" s="1"/>
  <c r="U93" i="6"/>
  <c r="U95" i="6" s="1"/>
  <c r="S93" i="6"/>
  <c r="S95" i="6" s="1"/>
  <c r="H93" i="6"/>
  <c r="H95" i="6" s="1"/>
  <c r="X93" i="6"/>
  <c r="X95" i="6" s="1"/>
  <c r="AI93" i="6"/>
  <c r="AI95" i="6" s="1"/>
  <c r="AD93" i="6"/>
  <c r="AD95" i="6" s="1"/>
  <c r="I93" i="6"/>
  <c r="I95" i="6" s="1"/>
  <c r="R93" i="6"/>
  <c r="R95" i="6" s="1"/>
  <c r="AC93" i="6"/>
  <c r="AC95" i="6" s="1"/>
  <c r="W93" i="6"/>
  <c r="W95" i="6" s="1"/>
  <c r="AB93" i="6"/>
  <c r="AB95" i="6" s="1"/>
  <c r="B1704" i="1"/>
  <c r="B1705" i="1" s="1"/>
  <c r="B1706" i="1" s="1"/>
  <c r="B1707" i="1" s="1"/>
  <c r="B1708" i="1" s="1"/>
  <c r="B1709" i="1" s="1"/>
  <c r="B1710" i="1" s="1"/>
  <c r="B1711" i="1" s="1"/>
  <c r="B1712" i="1" s="1"/>
  <c r="B1713" i="1" s="1"/>
  <c r="B365" i="1" l="1"/>
  <c r="I39" i="129"/>
  <c r="E274" i="60" s="1"/>
  <c r="B372" i="1"/>
  <c r="L796" i="1"/>
  <c r="B1716" i="1"/>
  <c r="B1717" i="1" s="1"/>
  <c r="B1718" i="1" s="1"/>
  <c r="E1714" i="1"/>
  <c r="B367" i="1" l="1"/>
  <c r="B373" i="1"/>
  <c r="B374" i="1" s="1"/>
  <c r="B375" i="1" s="1"/>
  <c r="B379" i="1" s="1"/>
  <c r="B380" i="1" s="1"/>
  <c r="B381" i="1" s="1"/>
  <c r="B382" i="1" s="1"/>
  <c r="B383" i="1" s="1"/>
  <c r="B384" i="1" s="1"/>
  <c r="B385" i="1" s="1"/>
  <c r="B386" i="1" s="1"/>
  <c r="B387" i="1" s="1"/>
  <c r="B388" i="1" s="1"/>
  <c r="B390" i="1" s="1"/>
  <c r="B391" i="1" s="1"/>
  <c r="B392" i="1" s="1"/>
  <c r="B393" i="1" s="1"/>
  <c r="B394" i="1" s="1"/>
  <c r="B395" i="1" s="1"/>
  <c r="B396" i="1" s="1"/>
  <c r="B398" i="1" s="1"/>
  <c r="B399" i="1" s="1"/>
  <c r="B400" i="1" s="1"/>
  <c r="B402" i="1" s="1"/>
  <c r="B403" i="1" s="1"/>
  <c r="B404" i="1" s="1"/>
  <c r="B405" i="1" s="1"/>
  <c r="B406" i="1" s="1"/>
  <c r="B407" i="1" s="1"/>
  <c r="B408" i="1" s="1"/>
  <c r="B409" i="1" s="1"/>
  <c r="B410" i="1" s="1"/>
  <c r="B411" i="1" s="1"/>
  <c r="B412" i="1" s="1"/>
  <c r="B413" i="1" s="1"/>
  <c r="E36" i="133"/>
  <c r="E49" i="129" s="1"/>
  <c r="G30" i="138" s="1"/>
  <c r="I71" i="138" s="1"/>
  <c r="F11" i="133"/>
  <c r="B1723" i="1"/>
  <c r="B1724" i="1" s="1"/>
  <c r="B1725" i="1" s="1"/>
  <c r="B1726" i="1" s="1"/>
  <c r="B1730" i="1"/>
  <c r="B1731" i="1" s="1"/>
  <c r="B1732" i="1" s="1"/>
  <c r="B1733" i="1" s="1"/>
  <c r="B376" i="1" l="1"/>
  <c r="B377" i="1" s="1"/>
  <c r="B378" i="1" s="1"/>
  <c r="B397" i="1"/>
  <c r="B401" i="1"/>
  <c r="B417" i="1"/>
  <c r="B418" i="1" s="1"/>
  <c r="B420" i="1" s="1"/>
  <c r="B421" i="1" s="1"/>
  <c r="B422" i="1" s="1"/>
  <c r="B423" i="1" s="1"/>
  <c r="B414" i="1"/>
  <c r="B415" i="1" s="1"/>
  <c r="B416" i="1" s="1"/>
  <c r="B1728" i="1"/>
  <c r="B1727" i="1"/>
  <c r="B1735" i="1"/>
  <c r="B1736" i="1" s="1"/>
  <c r="B1737" i="1" s="1"/>
  <c r="B1738" i="1" s="1"/>
  <c r="B1739" i="1" s="1"/>
  <c r="B1740" i="1" s="1"/>
  <c r="B1741" i="1" s="1"/>
  <c r="B1742" i="1" s="1"/>
  <c r="B1734" i="1"/>
  <c r="B424" i="1" l="1"/>
  <c r="B425" i="1" s="1"/>
  <c r="B426" i="1" s="1"/>
  <c r="B427" i="1" s="1"/>
  <c r="B428" i="1" s="1"/>
  <c r="B429" i="1" s="1"/>
  <c r="B430" i="1" s="1"/>
  <c r="B431" i="1" s="1"/>
  <c r="B432" i="1" s="1"/>
  <c r="B433" i="1" s="1"/>
  <c r="B434" i="1" s="1"/>
  <c r="B435" i="1" s="1"/>
  <c r="B436" i="1" s="1"/>
  <c r="B419" i="1"/>
  <c r="B1746" i="1"/>
  <c r="B1747" i="1" s="1"/>
  <c r="B1748" i="1" s="1"/>
  <c r="B1752" i="1" s="1"/>
  <c r="B1753" i="1" s="1"/>
  <c r="B1754" i="1" s="1"/>
  <c r="B1743" i="1"/>
  <c r="B461" i="1" l="1"/>
  <c r="B462" i="1" s="1"/>
  <c r="B464" i="1" l="1"/>
  <c r="B465" i="1" s="1"/>
  <c r="B466" i="1" s="1"/>
  <c r="B467" i="1" s="1"/>
  <c r="B468" i="1" s="1"/>
  <c r="B469" i="1" s="1"/>
  <c r="B463" i="1"/>
  <c r="B470" i="1" l="1"/>
  <c r="B471" i="1" l="1"/>
  <c r="B472" i="1" s="1"/>
  <c r="X26" i="6"/>
  <c r="J26" i="6"/>
  <c r="H26" i="6"/>
  <c r="AG26" i="6" l="1"/>
  <c r="B473" i="1"/>
  <c r="B474" i="1" l="1"/>
  <c r="B475" i="1" s="1"/>
  <c r="AA26" i="6" l="1"/>
  <c r="B476" i="1"/>
  <c r="B477" i="1" s="1"/>
  <c r="B478" i="1" s="1"/>
  <c r="V1385" i="1"/>
  <c r="CM1385" i="1" s="1"/>
  <c r="CP1385" i="1" s="1"/>
  <c r="Q1385" i="1"/>
  <c r="P1385" i="1"/>
  <c r="O1385" i="1"/>
  <c r="D1121" i="1"/>
  <c r="D1085" i="1"/>
  <c r="D1049" i="1"/>
  <c r="D1013" i="1"/>
  <c r="D977" i="1"/>
  <c r="D941" i="1"/>
  <c r="D905" i="1"/>
  <c r="D869" i="1"/>
  <c r="T1153" i="1" l="1"/>
  <c r="N1153" i="1" s="1"/>
  <c r="T1156" i="1"/>
  <c r="N1156" i="1" s="1"/>
  <c r="V1395" i="1" l="1"/>
  <c r="CM1395" i="1" s="1"/>
  <c r="CP1395" i="1" s="1"/>
  <c r="Q1395" i="1"/>
  <c r="P1395" i="1"/>
  <c r="O1395" i="1"/>
  <c r="V1390" i="1"/>
  <c r="CM1390" i="1" s="1"/>
  <c r="CP1390" i="1" s="1"/>
  <c r="Q1390" i="1"/>
  <c r="P1390" i="1"/>
  <c r="O1390" i="1"/>
  <c r="V1380" i="1"/>
  <c r="Q1380" i="1"/>
  <c r="P1380" i="1"/>
  <c r="O1380" i="1"/>
  <c r="V1375" i="1"/>
  <c r="CM1375" i="1" s="1"/>
  <c r="CP1375" i="1" s="1"/>
  <c r="Q1375" i="1"/>
  <c r="P1375" i="1"/>
  <c r="O1375" i="1"/>
  <c r="V1342" i="1"/>
  <c r="CM1342" i="1" s="1"/>
  <c r="CP1342" i="1" s="1"/>
  <c r="Q1342" i="1"/>
  <c r="P1342" i="1"/>
  <c r="O1342" i="1"/>
  <c r="V1328" i="1"/>
  <c r="Q1328" i="1"/>
  <c r="P1328" i="1"/>
  <c r="O1328" i="1"/>
  <c r="V1321" i="1"/>
  <c r="CM1321" i="1" s="1"/>
  <c r="CP1321" i="1" s="1"/>
  <c r="Q1321" i="1"/>
  <c r="P1321" i="1"/>
  <c r="O1321" i="1"/>
  <c r="V1349" i="1"/>
  <c r="CM1349" i="1" s="1"/>
  <c r="CP1349" i="1" s="1"/>
  <c r="Q1349" i="1"/>
  <c r="P1349" i="1"/>
  <c r="O1349" i="1"/>
  <c r="V1307" i="1"/>
  <c r="Q1307" i="1"/>
  <c r="P1307" i="1"/>
  <c r="O1307" i="1"/>
  <c r="V1303" i="1"/>
  <c r="Q1303" i="1"/>
  <c r="P1303" i="1"/>
  <c r="O1303" i="1"/>
  <c r="V1298" i="1"/>
  <c r="Q1298" i="1"/>
  <c r="P1298" i="1"/>
  <c r="O1298" i="1"/>
  <c r="AM124" i="6"/>
  <c r="AL124" i="6"/>
  <c r="AK124" i="6"/>
  <c r="AJ124" i="6"/>
  <c r="J124" i="6"/>
  <c r="Q1293" i="1"/>
  <c r="I124" i="6" s="1"/>
  <c r="P1293" i="1"/>
  <c r="H124" i="6" s="1"/>
  <c r="O1293" i="1"/>
  <c r="G124" i="6" s="1"/>
  <c r="V1259" i="1"/>
  <c r="V1265" i="1" s="1"/>
  <c r="Q1259" i="1"/>
  <c r="Q1265" i="1" s="1"/>
  <c r="P1259" i="1"/>
  <c r="P1265" i="1" s="1"/>
  <c r="O1259" i="1"/>
  <c r="O1265" i="1" s="1"/>
  <c r="V1253" i="1"/>
  <c r="Q1253" i="1"/>
  <c r="Q1264" i="1" s="1"/>
  <c r="P1253" i="1"/>
  <c r="P1264" i="1" s="1"/>
  <c r="O1253" i="1"/>
  <c r="AW71" i="22"/>
  <c r="V1211" i="1"/>
  <c r="Y71" i="22"/>
  <c r="Y70" i="22" s="1"/>
  <c r="J30" i="6" s="1"/>
  <c r="Q1211" i="1"/>
  <c r="X71" i="22" s="1"/>
  <c r="X70" i="22" s="1"/>
  <c r="I30" i="6" s="1"/>
  <c r="P1211" i="1"/>
  <c r="W71" i="22" s="1"/>
  <c r="W70" i="22" s="1"/>
  <c r="H30" i="6" s="1"/>
  <c r="O1211" i="1"/>
  <c r="V71" i="22" s="1"/>
  <c r="V70" i="22" s="1"/>
  <c r="G30" i="6" s="1"/>
  <c r="V1203" i="1"/>
  <c r="CP1203" i="1" s="1"/>
  <c r="Q1203" i="1"/>
  <c r="P1203" i="1"/>
  <c r="O1203" i="1"/>
  <c r="V1199" i="1"/>
  <c r="CP1199" i="1" s="1"/>
  <c r="Q1199" i="1"/>
  <c r="P1199" i="1"/>
  <c r="O1199" i="1"/>
  <c r="V937" i="1"/>
  <c r="V947" i="1" s="1"/>
  <c r="Q937" i="1"/>
  <c r="Q947" i="1" s="1"/>
  <c r="P937" i="1"/>
  <c r="P947" i="1" s="1"/>
  <c r="O937" i="1"/>
  <c r="V959" i="1"/>
  <c r="Q959" i="1"/>
  <c r="P959" i="1"/>
  <c r="O959" i="1"/>
  <c r="V973" i="1"/>
  <c r="V983" i="1" s="1"/>
  <c r="Q973" i="1"/>
  <c r="Q983" i="1" s="1"/>
  <c r="P973" i="1"/>
  <c r="P983" i="1" s="1"/>
  <c r="O973" i="1"/>
  <c r="V995" i="1"/>
  <c r="Q995" i="1"/>
  <c r="P995" i="1"/>
  <c r="O995" i="1"/>
  <c r="V1009" i="1"/>
  <c r="V1019" i="1" s="1"/>
  <c r="Q1009" i="1"/>
  <c r="Q1019" i="1" s="1"/>
  <c r="P1009" i="1"/>
  <c r="P1019" i="1" s="1"/>
  <c r="O1009" i="1"/>
  <c r="V1031" i="1"/>
  <c r="Q1031" i="1"/>
  <c r="P1031" i="1"/>
  <c r="O1031" i="1"/>
  <c r="V1045" i="1"/>
  <c r="Q1045" i="1"/>
  <c r="P1045" i="1"/>
  <c r="O1045" i="1"/>
  <c r="V1067" i="1"/>
  <c r="Q1067" i="1"/>
  <c r="P1067" i="1"/>
  <c r="O1067" i="1"/>
  <c r="V1081" i="1"/>
  <c r="Q1081" i="1"/>
  <c r="P1081" i="1"/>
  <c r="O1081" i="1"/>
  <c r="V1103" i="1"/>
  <c r="Q1103" i="1"/>
  <c r="P1103" i="1"/>
  <c r="O1103" i="1"/>
  <c r="V1117" i="1"/>
  <c r="Q1117" i="1"/>
  <c r="P1117" i="1"/>
  <c r="O1117" i="1"/>
  <c r="V1129" i="1"/>
  <c r="Q1129" i="1"/>
  <c r="P1129" i="1"/>
  <c r="O1129" i="1"/>
  <c r="V1093" i="1"/>
  <c r="Q1093" i="1"/>
  <c r="P1093" i="1"/>
  <c r="O1093" i="1"/>
  <c r="V1057" i="1"/>
  <c r="Q1057" i="1"/>
  <c r="P1057" i="1"/>
  <c r="O1057" i="1"/>
  <c r="V1021" i="1"/>
  <c r="Q1021" i="1"/>
  <c r="P1021" i="1"/>
  <c r="O1021" i="1"/>
  <c r="V985" i="1"/>
  <c r="Q985" i="1"/>
  <c r="P985" i="1"/>
  <c r="O985" i="1"/>
  <c r="V949" i="1"/>
  <c r="Q949" i="1"/>
  <c r="P949" i="1"/>
  <c r="O949" i="1"/>
  <c r="V877" i="1"/>
  <c r="Q877" i="1"/>
  <c r="P877" i="1"/>
  <c r="O877" i="1"/>
  <c r="V913" i="1"/>
  <c r="Q913" i="1"/>
  <c r="P913" i="1"/>
  <c r="O913" i="1"/>
  <c r="AC71" i="22" l="1"/>
  <c r="AC70" i="22" s="1"/>
  <c r="N30" i="6" s="1"/>
  <c r="CP1211" i="1"/>
  <c r="O1264" i="1"/>
  <c r="O1266" i="1" s="1"/>
  <c r="AJ127" i="6"/>
  <c r="AJ128" i="6"/>
  <c r="AK127" i="6"/>
  <c r="AK128" i="6"/>
  <c r="AL127" i="6"/>
  <c r="AL128" i="6"/>
  <c r="AM127" i="6"/>
  <c r="AM128" i="6"/>
  <c r="AX71" i="22"/>
  <c r="N819" i="1"/>
  <c r="AH124" i="6"/>
  <c r="AI124" i="6"/>
  <c r="V1310" i="1"/>
  <c r="O1309" i="1"/>
  <c r="P1309" i="1"/>
  <c r="P1266" i="1"/>
  <c r="Q1309" i="1"/>
  <c r="Q1266" i="1"/>
  <c r="T128" i="6"/>
  <c r="AF128" i="6"/>
  <c r="AE127" i="6"/>
  <c r="H128" i="6"/>
  <c r="N127" i="6"/>
  <c r="AF127" i="6"/>
  <c r="I128" i="6"/>
  <c r="V128" i="6"/>
  <c r="I127" i="6"/>
  <c r="P127" i="6"/>
  <c r="V127" i="6"/>
  <c r="AH127" i="6"/>
  <c r="J128" i="6"/>
  <c r="Q128" i="6"/>
  <c r="AI128" i="6"/>
  <c r="G127" i="6"/>
  <c r="S127" i="6"/>
  <c r="N128" i="6"/>
  <c r="H127" i="6"/>
  <c r="T127" i="6"/>
  <c r="P128" i="6"/>
  <c r="AH128" i="6"/>
  <c r="J127" i="6"/>
  <c r="Q127" i="6"/>
  <c r="AI127" i="6"/>
  <c r="G128" i="6"/>
  <c r="K128" i="6"/>
  <c r="S128" i="6"/>
  <c r="AE128" i="6"/>
  <c r="O1019" i="1"/>
  <c r="O983" i="1"/>
  <c r="O947" i="1"/>
  <c r="Q1310" i="1"/>
  <c r="P1310" i="1"/>
  <c r="O1310" i="1"/>
  <c r="O1311" i="1" l="1"/>
  <c r="Q1311" i="1"/>
  <c r="P1311" i="1"/>
  <c r="D1125" i="1" l="1"/>
  <c r="D1089" i="1"/>
  <c r="D1053" i="1"/>
  <c r="D1017" i="1"/>
  <c r="D1018" i="1" s="1"/>
  <c r="D981" i="1"/>
  <c r="D945" i="1"/>
  <c r="D909" i="1"/>
  <c r="D873" i="1"/>
  <c r="V1113" i="1"/>
  <c r="V1127" i="1" s="1"/>
  <c r="V1128" i="1" s="1"/>
  <c r="Q1113" i="1"/>
  <c r="Q1127" i="1" s="1"/>
  <c r="Q1128" i="1" s="1"/>
  <c r="P1113" i="1"/>
  <c r="P1127" i="1" s="1"/>
  <c r="P1128" i="1" s="1"/>
  <c r="O1113" i="1"/>
  <c r="V1077" i="1"/>
  <c r="V1091" i="1" s="1"/>
  <c r="V1092" i="1" s="1"/>
  <c r="Q1077" i="1"/>
  <c r="Q1091" i="1" s="1"/>
  <c r="Q1092" i="1" s="1"/>
  <c r="P1077" i="1"/>
  <c r="P1091" i="1" s="1"/>
  <c r="P1092" i="1" s="1"/>
  <c r="O1077" i="1"/>
  <c r="V1041" i="1"/>
  <c r="V1055" i="1" s="1"/>
  <c r="V1056" i="1" s="1"/>
  <c r="Q1041" i="1"/>
  <c r="Q1055" i="1" s="1"/>
  <c r="Q1056" i="1" s="1"/>
  <c r="P1041" i="1"/>
  <c r="P1055" i="1" s="1"/>
  <c r="P1056" i="1" s="1"/>
  <c r="O1041" i="1"/>
  <c r="V1005" i="1"/>
  <c r="V1020" i="1" s="1"/>
  <c r="Q1005" i="1"/>
  <c r="Q1020" i="1" s="1"/>
  <c r="P1005" i="1"/>
  <c r="P1020" i="1" s="1"/>
  <c r="O1005" i="1"/>
  <c r="V969" i="1"/>
  <c r="V984" i="1" s="1"/>
  <c r="Q969" i="1"/>
  <c r="Q984" i="1" s="1"/>
  <c r="P969" i="1"/>
  <c r="P984" i="1" s="1"/>
  <c r="O969" i="1"/>
  <c r="V923" i="1"/>
  <c r="V933" i="1" s="1"/>
  <c r="V948" i="1" s="1"/>
  <c r="Q923" i="1"/>
  <c r="Q933" i="1" s="1"/>
  <c r="Q948" i="1" s="1"/>
  <c r="P923" i="1"/>
  <c r="P933" i="1" s="1"/>
  <c r="P948" i="1" s="1"/>
  <c r="O923" i="1"/>
  <c r="V901" i="1"/>
  <c r="V911" i="1" s="1"/>
  <c r="Q911" i="1"/>
  <c r="P901" i="1"/>
  <c r="P911" i="1" s="1"/>
  <c r="O901" i="1"/>
  <c r="V887" i="1"/>
  <c r="V897" i="1" s="1"/>
  <c r="Q887" i="1"/>
  <c r="Q897" i="1" s="1"/>
  <c r="P887" i="1"/>
  <c r="P897" i="1" s="1"/>
  <c r="O887" i="1"/>
  <c r="V865" i="1"/>
  <c r="V875" i="1" s="1"/>
  <c r="Q865" i="1"/>
  <c r="Q875" i="1" s="1"/>
  <c r="P865" i="1"/>
  <c r="P875" i="1" s="1"/>
  <c r="O865" i="1"/>
  <c r="V851" i="1"/>
  <c r="V861" i="1" s="1"/>
  <c r="Q851" i="1"/>
  <c r="Q861" i="1" s="1"/>
  <c r="P851" i="1"/>
  <c r="P861" i="1" s="1"/>
  <c r="O851" i="1"/>
  <c r="V757" i="1"/>
  <c r="Q757" i="1"/>
  <c r="P757" i="1"/>
  <c r="O757" i="1"/>
  <c r="V567" i="1"/>
  <c r="Q567" i="1"/>
  <c r="P567" i="1"/>
  <c r="O567" i="1"/>
  <c r="V637" i="1"/>
  <c r="Q637" i="1"/>
  <c r="P637" i="1"/>
  <c r="O637" i="1"/>
  <c r="Q599" i="1"/>
  <c r="P599" i="1"/>
  <c r="O599" i="1"/>
  <c r="E673" i="1"/>
  <c r="V777" i="1"/>
  <c r="V787" i="1" s="1"/>
  <c r="Q777" i="1"/>
  <c r="Q787" i="1" s="1"/>
  <c r="P777" i="1"/>
  <c r="P787" i="1" s="1"/>
  <c r="O777" i="1"/>
  <c r="V739" i="1"/>
  <c r="V749" i="1" s="1"/>
  <c r="Q739" i="1"/>
  <c r="Q749" i="1" s="1"/>
  <c r="P739" i="1"/>
  <c r="P749" i="1" s="1"/>
  <c r="O739" i="1"/>
  <c r="V701" i="1"/>
  <c r="V711" i="1" s="1"/>
  <c r="Q701" i="1"/>
  <c r="Q711" i="1" s="1"/>
  <c r="P701" i="1"/>
  <c r="P711" i="1" s="1"/>
  <c r="O701" i="1"/>
  <c r="V663" i="1"/>
  <c r="V673" i="1" s="1"/>
  <c r="Q663" i="1"/>
  <c r="Q673" i="1" s="1"/>
  <c r="P663" i="1"/>
  <c r="P673" i="1" s="1"/>
  <c r="O663" i="1"/>
  <c r="V625" i="1"/>
  <c r="V635" i="1" s="1"/>
  <c r="V636" i="1" s="1"/>
  <c r="Q625" i="1"/>
  <c r="Q635" i="1" s="1"/>
  <c r="Q636" i="1" s="1"/>
  <c r="P625" i="1"/>
  <c r="P635" i="1" s="1"/>
  <c r="P636" i="1" s="1"/>
  <c r="O625" i="1"/>
  <c r="V587" i="1"/>
  <c r="Q587" i="1"/>
  <c r="P587" i="1"/>
  <c r="O587" i="1"/>
  <c r="V549" i="1"/>
  <c r="V559" i="1" s="1"/>
  <c r="Q549" i="1"/>
  <c r="Q559" i="1" s="1"/>
  <c r="P549" i="1"/>
  <c r="P559" i="1" s="1"/>
  <c r="O549" i="1"/>
  <c r="V534" i="1"/>
  <c r="Q534" i="1"/>
  <c r="P534" i="1"/>
  <c r="O534" i="1"/>
  <c r="O545" i="1" s="1"/>
  <c r="V497" i="1"/>
  <c r="V524" i="1" s="1"/>
  <c r="Q497" i="1"/>
  <c r="Q524" i="1" s="1"/>
  <c r="P497" i="1"/>
  <c r="P524" i="1" s="1"/>
  <c r="O497" i="1"/>
  <c r="O524" i="1" s="1"/>
  <c r="V762" i="1"/>
  <c r="Q762" i="1"/>
  <c r="P762" i="1"/>
  <c r="O762" i="1"/>
  <c r="O773" i="1" s="1"/>
  <c r="V724" i="1"/>
  <c r="V735" i="1" s="1"/>
  <c r="Q724" i="1"/>
  <c r="Q735" i="1" s="1"/>
  <c r="P724" i="1"/>
  <c r="P735" i="1" s="1"/>
  <c r="O724" i="1"/>
  <c r="V686" i="1"/>
  <c r="V697" i="1" s="1"/>
  <c r="Q686" i="1"/>
  <c r="Q697" i="1" s="1"/>
  <c r="P686" i="1"/>
  <c r="P697" i="1" s="1"/>
  <c r="O686" i="1"/>
  <c r="V648" i="1"/>
  <c r="Q648" i="1"/>
  <c r="P648" i="1"/>
  <c r="O648" i="1"/>
  <c r="O659" i="1" s="1"/>
  <c r="E875" i="1"/>
  <c r="E787" i="1"/>
  <c r="E749" i="1"/>
  <c r="E711" i="1"/>
  <c r="E635" i="1"/>
  <c r="V675" i="1" l="1"/>
  <c r="V659" i="1"/>
  <c r="V789" i="1"/>
  <c r="V773" i="1"/>
  <c r="V561" i="1"/>
  <c r="V545" i="1"/>
  <c r="P675" i="1"/>
  <c r="P659" i="1"/>
  <c r="P674" i="1" s="1"/>
  <c r="P789" i="1"/>
  <c r="P773" i="1"/>
  <c r="P788" i="1" s="1"/>
  <c r="P561" i="1"/>
  <c r="P545" i="1"/>
  <c r="P560" i="1" s="1"/>
  <c r="Q675" i="1"/>
  <c r="Q659" i="1"/>
  <c r="Q674" i="1" s="1"/>
  <c r="Q789" i="1"/>
  <c r="Q773" i="1"/>
  <c r="Q788" i="1" s="1"/>
  <c r="Q561" i="1"/>
  <c r="Q545" i="1"/>
  <c r="Q560" i="1" s="1"/>
  <c r="O597" i="1"/>
  <c r="Q597" i="1"/>
  <c r="Q598" i="1" s="1"/>
  <c r="P597" i="1"/>
  <c r="P598" i="1" s="1"/>
  <c r="V597" i="1"/>
  <c r="V598" i="1" s="1"/>
  <c r="Q750" i="1"/>
  <c r="O1127" i="1"/>
  <c r="O789" i="1"/>
  <c r="O561" i="1"/>
  <c r="O559" i="1"/>
  <c r="O560" i="1" s="1"/>
  <c r="O635" i="1"/>
  <c r="O673" i="1"/>
  <c r="O875" i="1"/>
  <c r="O1020" i="1"/>
  <c r="O861" i="1"/>
  <c r="O984" i="1"/>
  <c r="O735" i="1"/>
  <c r="O897" i="1"/>
  <c r="O1055" i="1"/>
  <c r="O697" i="1"/>
  <c r="O711" i="1"/>
  <c r="O749" i="1"/>
  <c r="O675" i="1"/>
  <c r="O787" i="1"/>
  <c r="O788" i="1" s="1"/>
  <c r="O911" i="1"/>
  <c r="O933" i="1"/>
  <c r="O1091" i="1"/>
  <c r="P712" i="1"/>
  <c r="V712" i="1"/>
  <c r="V713" i="1" s="1"/>
  <c r="Q712" i="1"/>
  <c r="V750" i="1"/>
  <c r="Q912" i="1"/>
  <c r="P876" i="1"/>
  <c r="V876" i="1"/>
  <c r="V912" i="1"/>
  <c r="P713" i="1"/>
  <c r="P751" i="1"/>
  <c r="V751" i="1"/>
  <c r="Q713" i="1"/>
  <c r="Q751" i="1"/>
  <c r="O713" i="1"/>
  <c r="O751" i="1"/>
  <c r="P912" i="1"/>
  <c r="Q876" i="1"/>
  <c r="P750" i="1"/>
  <c r="V674" i="1" l="1"/>
  <c r="V560" i="1"/>
  <c r="V788" i="1"/>
  <c r="G113" i="31"/>
  <c r="F113" i="31"/>
  <c r="AM120" i="6"/>
  <c r="J120" i="6"/>
  <c r="P1136" i="1"/>
  <c r="H120" i="6" s="1"/>
  <c r="AL120" i="6"/>
  <c r="AK120" i="6"/>
  <c r="AJ120" i="6"/>
  <c r="S120" i="6"/>
  <c r="T120" i="6"/>
  <c r="Q1136" i="1"/>
  <c r="I120" i="6" s="1"/>
  <c r="V1136" i="1"/>
  <c r="N120" i="6" s="1"/>
  <c r="B479" i="1"/>
  <c r="O750" i="1"/>
  <c r="O912" i="1"/>
  <c r="O876" i="1"/>
  <c r="O636" i="1"/>
  <c r="O948" i="1"/>
  <c r="O1056" i="1"/>
  <c r="O712" i="1"/>
  <c r="O674" i="1"/>
  <c r="O598" i="1"/>
  <c r="O1092" i="1"/>
  <c r="O1128" i="1"/>
  <c r="B481" i="1" l="1"/>
  <c r="B480" i="1"/>
  <c r="D113" i="31"/>
  <c r="AI120" i="6"/>
  <c r="C113" i="31"/>
  <c r="I113" i="31"/>
  <c r="H113" i="31"/>
  <c r="E113" i="31"/>
  <c r="J113" i="31"/>
  <c r="O1136" i="1"/>
  <c r="G120" i="6" s="1"/>
  <c r="AH120" i="6" l="1"/>
  <c r="K113" i="31"/>
  <c r="B482" i="1"/>
  <c r="B483" i="1" s="1"/>
  <c r="B484" i="1" s="1"/>
  <c r="B486" i="1"/>
  <c r="B487" i="1" s="1"/>
  <c r="B488" i="1" s="1"/>
  <c r="B489" i="1" s="1"/>
  <c r="B490" i="1" s="1"/>
  <c r="B491" i="1" s="1"/>
  <c r="B494" i="1" s="1"/>
  <c r="B495" i="1" s="1"/>
  <c r="B496" i="1" s="1"/>
  <c r="B497" i="1" s="1"/>
  <c r="B498" i="1" s="1"/>
  <c r="B499" i="1" s="1"/>
  <c r="B500" i="1" s="1"/>
  <c r="B501" i="1" s="1"/>
  <c r="B502" i="1" s="1"/>
  <c r="B503" i="1" s="1"/>
  <c r="B505" i="1" l="1"/>
  <c r="B506" i="1" s="1"/>
  <c r="B507" i="1" s="1"/>
  <c r="B508" i="1" s="1"/>
  <c r="B509" i="1" s="1"/>
  <c r="B510" i="1" s="1"/>
  <c r="B511" i="1" s="1"/>
  <c r="B512" i="1" s="1"/>
  <c r="B513" i="1" s="1"/>
  <c r="B514" i="1" s="1"/>
  <c r="B515" i="1" s="1"/>
  <c r="B516" i="1" s="1"/>
  <c r="B517" i="1" s="1"/>
  <c r="B518" i="1" s="1"/>
  <c r="B504" i="1"/>
  <c r="J27" i="42"/>
  <c r="J26" i="42"/>
  <c r="I47" i="36"/>
  <c r="I57" i="36" s="1"/>
  <c r="I59" i="36" s="1"/>
  <c r="B85" i="31"/>
  <c r="B75" i="31"/>
  <c r="J75" i="31"/>
  <c r="J85" i="31" s="1"/>
  <c r="H75" i="31"/>
  <c r="H85" i="31" s="1"/>
  <c r="G75" i="31"/>
  <c r="G85" i="31" s="1"/>
  <c r="F75" i="31"/>
  <c r="F85" i="31" s="1"/>
  <c r="D75" i="31"/>
  <c r="D85" i="31" s="1"/>
  <c r="C75" i="31"/>
  <c r="C85" i="31" s="1"/>
  <c r="B73" i="31"/>
  <c r="J60" i="31"/>
  <c r="I60" i="31"/>
  <c r="H60" i="31"/>
  <c r="H70" i="31" s="1"/>
  <c r="G60" i="31"/>
  <c r="F60" i="31"/>
  <c r="E60" i="31"/>
  <c r="C60" i="31"/>
  <c r="N20" i="30"/>
  <c r="G10" i="30"/>
  <c r="M10" i="30" s="1"/>
  <c r="F10" i="30"/>
  <c r="J126" i="29"/>
  <c r="I126" i="29"/>
  <c r="E126" i="29"/>
  <c r="D126" i="29"/>
  <c r="B89" i="29"/>
  <c r="B92" i="29" s="1"/>
  <c r="I79" i="29"/>
  <c r="I89" i="29" s="1"/>
  <c r="H79" i="29"/>
  <c r="H89" i="29" s="1"/>
  <c r="G79" i="29"/>
  <c r="G89" i="29" s="1"/>
  <c r="E79" i="29"/>
  <c r="E89" i="29" s="1"/>
  <c r="D79" i="29"/>
  <c r="D89" i="29" s="1"/>
  <c r="C79" i="29"/>
  <c r="C89" i="29" s="1"/>
  <c r="B77" i="29"/>
  <c r="J63" i="29"/>
  <c r="J74" i="29" s="1"/>
  <c r="I63" i="29"/>
  <c r="I74" i="29" s="1"/>
  <c r="H63" i="29"/>
  <c r="H74" i="29" s="1"/>
  <c r="G63" i="29"/>
  <c r="F63" i="29"/>
  <c r="F74" i="29" s="1"/>
  <c r="E63" i="29"/>
  <c r="E74" i="29" s="1"/>
  <c r="C63" i="29"/>
  <c r="K50" i="27"/>
  <c r="B31" i="25"/>
  <c r="B39" i="24"/>
  <c r="F36" i="17"/>
  <c r="F18" i="17"/>
  <c r="C72" i="12"/>
  <c r="C70" i="31" l="1"/>
  <c r="C89" i="31"/>
  <c r="C105" i="31" s="1"/>
  <c r="G74" i="29"/>
  <c r="C74" i="29"/>
  <c r="C92" i="29" s="1"/>
  <c r="C104" i="29" s="1"/>
  <c r="E70" i="31"/>
  <c r="I70" i="31"/>
  <c r="F70" i="31"/>
  <c r="J70" i="31"/>
  <c r="G70" i="31"/>
  <c r="L10" i="30"/>
  <c r="B519" i="1"/>
  <c r="B520" i="1" s="1"/>
  <c r="B521" i="1" s="1"/>
  <c r="B522" i="1" s="1"/>
  <c r="B523" i="1" s="1"/>
  <c r="B524" i="1" s="1"/>
  <c r="B525" i="1" s="1"/>
  <c r="B526" i="1" s="1"/>
  <c r="B527" i="1" s="1"/>
  <c r="B528" i="1" s="1"/>
  <c r="H126" i="29"/>
  <c r="F19" i="17"/>
  <c r="J39" i="42"/>
  <c r="J40" i="42"/>
  <c r="F24" i="17"/>
  <c r="G30" i="43"/>
  <c r="G44" i="24"/>
  <c r="G49" i="24"/>
  <c r="G14" i="25"/>
  <c r="G21" i="25"/>
  <c r="G32" i="25"/>
  <c r="J37" i="42"/>
  <c r="J38" i="42"/>
  <c r="G54" i="24"/>
  <c r="G45" i="24"/>
  <c r="G48" i="24"/>
  <c r="G20" i="25"/>
  <c r="G15" i="42"/>
  <c r="G15" i="24"/>
  <c r="G17" i="24"/>
  <c r="G19" i="24"/>
  <c r="G55" i="24"/>
  <c r="I35" i="35"/>
  <c r="G22" i="25"/>
  <c r="G24" i="24"/>
  <c r="G50" i="39"/>
  <c r="G52" i="39" s="1"/>
  <c r="H34" i="41"/>
  <c r="G20" i="24"/>
  <c r="K12" i="32"/>
  <c r="H17" i="41"/>
  <c r="G18" i="24"/>
  <c r="G41" i="24"/>
  <c r="K23" i="27"/>
  <c r="G24" i="42"/>
  <c r="G40" i="24"/>
  <c r="G17" i="25"/>
  <c r="G58" i="39"/>
  <c r="G60" i="39" s="1"/>
  <c r="G37" i="40"/>
  <c r="F78" i="12"/>
  <c r="D63" i="29"/>
  <c r="G50" i="24"/>
  <c r="G57" i="24"/>
  <c r="G18" i="25"/>
  <c r="E111" i="29"/>
  <c r="E112" i="29" s="1"/>
  <c r="K80" i="29"/>
  <c r="K84" i="29"/>
  <c r="K86" i="29"/>
  <c r="K87" i="29"/>
  <c r="F126" i="29"/>
  <c r="D20" i="30"/>
  <c r="G43" i="24"/>
  <c r="G16" i="24"/>
  <c r="G46" i="24"/>
  <c r="G13" i="25"/>
  <c r="L19" i="26"/>
  <c r="K125" i="29"/>
  <c r="K63" i="31"/>
  <c r="K65" i="31"/>
  <c r="K67" i="31"/>
  <c r="K68" i="31"/>
  <c r="E75" i="31"/>
  <c r="I75" i="31"/>
  <c r="I85" i="31" s="1"/>
  <c r="D37" i="40"/>
  <c r="D61" i="40"/>
  <c r="D63" i="40" s="1"/>
  <c r="M59" i="34" s="1"/>
  <c r="G70" i="40"/>
  <c r="G32" i="43"/>
  <c r="G23" i="24"/>
  <c r="G25" i="24"/>
  <c r="G12" i="25"/>
  <c r="G15" i="25"/>
  <c r="E47" i="25"/>
  <c r="K66" i="29"/>
  <c r="J22" i="42" s="1"/>
  <c r="K67" i="29"/>
  <c r="K70" i="29"/>
  <c r="K71" i="29"/>
  <c r="K72" i="29"/>
  <c r="G20" i="30"/>
  <c r="K59" i="31"/>
  <c r="G63" i="40"/>
  <c r="D70" i="40"/>
  <c r="G42" i="42"/>
  <c r="D60" i="31"/>
  <c r="K76" i="31"/>
  <c r="K79" i="31"/>
  <c r="K84" i="31"/>
  <c r="C47" i="25"/>
  <c r="I18" i="34"/>
  <c r="I28" i="34" s="1"/>
  <c r="F42" i="17"/>
  <c r="I15" i="12"/>
  <c r="H111" i="29"/>
  <c r="H112" i="29" s="1"/>
  <c r="H89" i="31"/>
  <c r="L31" i="26"/>
  <c r="C111" i="29"/>
  <c r="C112" i="29" s="1"/>
  <c r="K69" i="29"/>
  <c r="K85" i="29"/>
  <c r="F89" i="31"/>
  <c r="J89" i="31"/>
  <c r="K69" i="31"/>
  <c r="G21" i="24"/>
  <c r="G42" i="24"/>
  <c r="G53" i="24"/>
  <c r="H57" i="24"/>
  <c r="G16" i="25"/>
  <c r="K58" i="31"/>
  <c r="K73" i="31"/>
  <c r="E30" i="43"/>
  <c r="I111" i="29"/>
  <c r="I112" i="29" s="1"/>
  <c r="G111" i="29"/>
  <c r="G112" i="29" s="1"/>
  <c r="K64" i="29"/>
  <c r="K65" i="29"/>
  <c r="K73" i="29"/>
  <c r="F79" i="29"/>
  <c r="F89" i="29" s="1"/>
  <c r="J79" i="29"/>
  <c r="J89" i="29" s="1"/>
  <c r="J92" i="29" s="1"/>
  <c r="J23" i="42"/>
  <c r="K82" i="29"/>
  <c r="K66" i="31"/>
  <c r="K77" i="31"/>
  <c r="K81" i="31"/>
  <c r="K82" i="31"/>
  <c r="K83" i="31"/>
  <c r="I22" i="34"/>
  <c r="J41" i="42"/>
  <c r="K123" i="29"/>
  <c r="G126" i="29"/>
  <c r="G89" i="31"/>
  <c r="K61" i="31"/>
  <c r="K62" i="31"/>
  <c r="K74" i="31"/>
  <c r="C126" i="29"/>
  <c r="G17" i="43"/>
  <c r="E32" i="43"/>
  <c r="D1179" i="1"/>
  <c r="D1180" i="1" s="1"/>
  <c r="D1181" i="1" s="1"/>
  <c r="D1182" i="1" s="1"/>
  <c r="D1183" i="1" s="1"/>
  <c r="D1184" i="1" s="1"/>
  <c r="D1185" i="1" s="1"/>
  <c r="D1171" i="1"/>
  <c r="D1172" i="1" s="1"/>
  <c r="D1173" i="1" s="1"/>
  <c r="D1174" i="1" s="1"/>
  <c r="D1175" i="1" s="1"/>
  <c r="D1176" i="1" s="1"/>
  <c r="D1177" i="1" s="1"/>
  <c r="D1164" i="1"/>
  <c r="D1165" i="1" s="1"/>
  <c r="D1166" i="1" s="1"/>
  <c r="D1167" i="1" s="1"/>
  <c r="D1168" i="1" s="1"/>
  <c r="D1169" i="1" s="1"/>
  <c r="D1116" i="1"/>
  <c r="D1117" i="1" s="1"/>
  <c r="D1105" i="1"/>
  <c r="D1106" i="1" s="1"/>
  <c r="D1069" i="1"/>
  <c r="D1070" i="1" s="1"/>
  <c r="D1033" i="1"/>
  <c r="D1034" i="1" s="1"/>
  <c r="D972" i="1"/>
  <c r="D973" i="1" s="1"/>
  <c r="D936" i="1"/>
  <c r="D937" i="1" s="1"/>
  <c r="D900" i="1"/>
  <c r="D901" i="1" s="1"/>
  <c r="D917" i="1"/>
  <c r="D918" i="1" s="1"/>
  <c r="D919" i="1" s="1"/>
  <c r="D925" i="1"/>
  <c r="D961" i="1"/>
  <c r="D997" i="1"/>
  <c r="D1080" i="1"/>
  <c r="D1081" i="1" s="1"/>
  <c r="D1044" i="1"/>
  <c r="D1045" i="1" s="1"/>
  <c r="D1008" i="1"/>
  <c r="D1009" i="1" s="1"/>
  <c r="D864" i="1"/>
  <c r="D865" i="1" s="1"/>
  <c r="D922" i="1"/>
  <c r="D923" i="1" s="1"/>
  <c r="D1102" i="1"/>
  <c r="D1103" i="1" s="1"/>
  <c r="D1066" i="1"/>
  <c r="D1067" i="1" s="1"/>
  <c r="D1030" i="1"/>
  <c r="D1031" i="1" s="1"/>
  <c r="D994" i="1"/>
  <c r="D995" i="1" s="1"/>
  <c r="D958" i="1"/>
  <c r="D959" i="1" s="1"/>
  <c r="D886" i="1"/>
  <c r="D887" i="1" s="1"/>
  <c r="E1099" i="1"/>
  <c r="E1093" i="1"/>
  <c r="E1092" i="1"/>
  <c r="E1063" i="1"/>
  <c r="E1057" i="1"/>
  <c r="E1056" i="1"/>
  <c r="E1027" i="1"/>
  <c r="E1021" i="1"/>
  <c r="E1020" i="1"/>
  <c r="E991" i="1"/>
  <c r="E985" i="1"/>
  <c r="E984" i="1"/>
  <c r="E1128" i="1"/>
  <c r="E1129" i="1"/>
  <c r="E1135" i="1"/>
  <c r="E955" i="1"/>
  <c r="E949" i="1"/>
  <c r="E948" i="1"/>
  <c r="AM121" i="6"/>
  <c r="AL121" i="6"/>
  <c r="AK121" i="6"/>
  <c r="AJ121" i="6"/>
  <c r="E560" i="1"/>
  <c r="E561" i="1"/>
  <c r="E567" i="1"/>
  <c r="E250" i="1"/>
  <c r="E229" i="1"/>
  <c r="E207" i="1"/>
  <c r="E177" i="1"/>
  <c r="E178" i="1"/>
  <c r="J178" i="1" s="1"/>
  <c r="L178" i="1" s="1"/>
  <c r="E913" i="1"/>
  <c r="E877" i="1"/>
  <c r="E789" i="1"/>
  <c r="E751" i="1"/>
  <c r="E713" i="1"/>
  <c r="E675" i="1"/>
  <c r="E637" i="1"/>
  <c r="E524" i="1"/>
  <c r="E530" i="1"/>
  <c r="E523" i="1"/>
  <c r="E919" i="1"/>
  <c r="E912" i="1"/>
  <c r="E883" i="1"/>
  <c r="E876" i="1"/>
  <c r="E795" i="1"/>
  <c r="E788" i="1"/>
  <c r="E757" i="1"/>
  <c r="E750" i="1"/>
  <c r="E719" i="1"/>
  <c r="E712" i="1"/>
  <c r="E643" i="1"/>
  <c r="E681" i="1"/>
  <c r="E674" i="1"/>
  <c r="E636" i="1"/>
  <c r="E605" i="1"/>
  <c r="E599" i="1"/>
  <c r="E598" i="1"/>
  <c r="V508" i="1"/>
  <c r="V523" i="1" s="1"/>
  <c r="Q508" i="1"/>
  <c r="P508" i="1"/>
  <c r="O508" i="1"/>
  <c r="D70" i="31" l="1"/>
  <c r="D89" i="31"/>
  <c r="D74" i="29"/>
  <c r="L59" i="34"/>
  <c r="F195" i="60"/>
  <c r="F47" i="137"/>
  <c r="F48" i="137"/>
  <c r="D48" i="31"/>
  <c r="D48" i="137"/>
  <c r="I48" i="31"/>
  <c r="I48" i="137"/>
  <c r="E48" i="31"/>
  <c r="E48" i="137"/>
  <c r="J48" i="137"/>
  <c r="J48" i="31"/>
  <c r="H48" i="31"/>
  <c r="H48" i="137"/>
  <c r="C48" i="137"/>
  <c r="H49" i="135"/>
  <c r="H51" i="135"/>
  <c r="H50" i="135"/>
  <c r="D49" i="135"/>
  <c r="D50" i="135"/>
  <c r="D51" i="135"/>
  <c r="E49" i="135"/>
  <c r="E51" i="135"/>
  <c r="E50" i="135"/>
  <c r="I49" i="135"/>
  <c r="I51" i="135"/>
  <c r="I50" i="135"/>
  <c r="C49" i="135"/>
  <c r="C51" i="135"/>
  <c r="C50" i="135"/>
  <c r="F50" i="135"/>
  <c r="F49" i="135"/>
  <c r="F51" i="135"/>
  <c r="J49" i="135"/>
  <c r="J50" i="135"/>
  <c r="J51" i="135"/>
  <c r="G49" i="135"/>
  <c r="G51" i="135"/>
  <c r="G50" i="135"/>
  <c r="I45" i="35"/>
  <c r="K63" i="29"/>
  <c r="L84" i="29"/>
  <c r="D51" i="29"/>
  <c r="J51" i="29"/>
  <c r="G51" i="29"/>
  <c r="H51" i="29"/>
  <c r="E51" i="29"/>
  <c r="F51" i="29"/>
  <c r="I51" i="29"/>
  <c r="C51" i="29"/>
  <c r="E85" i="31"/>
  <c r="E87" i="31" s="1"/>
  <c r="G105" i="31"/>
  <c r="D188" i="60"/>
  <c r="V796" i="1"/>
  <c r="N118" i="6" s="1"/>
  <c r="K178" i="1"/>
  <c r="L187" i="1"/>
  <c r="J105" i="31"/>
  <c r="M60" i="31"/>
  <c r="B529" i="1"/>
  <c r="B530" i="1" s="1"/>
  <c r="B531" i="1" s="1"/>
  <c r="D50" i="29"/>
  <c r="O523" i="1"/>
  <c r="O796" i="1" s="1"/>
  <c r="G118" i="6" s="1"/>
  <c r="P523" i="1"/>
  <c r="P796" i="1" s="1"/>
  <c r="H118" i="6" s="1"/>
  <c r="Q523" i="1"/>
  <c r="Q796" i="1" s="1"/>
  <c r="I118" i="6" s="1"/>
  <c r="Q71" i="22"/>
  <c r="I37" i="34"/>
  <c r="G49" i="29"/>
  <c r="G50" i="29"/>
  <c r="E49" i="29"/>
  <c r="E50" i="29"/>
  <c r="F49" i="29"/>
  <c r="F50" i="29"/>
  <c r="C49" i="29"/>
  <c r="C50" i="29"/>
  <c r="F105" i="31"/>
  <c r="M75" i="31"/>
  <c r="H105" i="31"/>
  <c r="G61" i="39"/>
  <c r="AH121" i="6"/>
  <c r="AI121" i="6"/>
  <c r="E89" i="31"/>
  <c r="K60" i="31"/>
  <c r="I49" i="29"/>
  <c r="I50" i="29"/>
  <c r="C48" i="31"/>
  <c r="D49" i="29"/>
  <c r="H49" i="29"/>
  <c r="H50" i="29"/>
  <c r="J49" i="29"/>
  <c r="J50" i="29"/>
  <c r="D71" i="40"/>
  <c r="D121" i="31"/>
  <c r="E175" i="60" s="1"/>
  <c r="I43" i="35"/>
  <c r="M20" i="30"/>
  <c r="E51" i="17"/>
  <c r="E66" i="17" s="1"/>
  <c r="E38" i="133" s="1"/>
  <c r="F294" i="60" s="1"/>
  <c r="E92" i="29"/>
  <c r="E104" i="29" s="1"/>
  <c r="I92" i="29"/>
  <c r="I104" i="29" s="1"/>
  <c r="G32" i="42"/>
  <c r="J43" i="42" s="1"/>
  <c r="D111" i="29"/>
  <c r="D112" i="29" s="1"/>
  <c r="G30" i="28"/>
  <c r="L63" i="29"/>
  <c r="I89" i="31"/>
  <c r="G71" i="40"/>
  <c r="K126" i="29"/>
  <c r="L33" i="26"/>
  <c r="H92" i="29"/>
  <c r="H104" i="29" s="1"/>
  <c r="G87" i="31"/>
  <c r="G121" i="31"/>
  <c r="H175" i="60" s="1"/>
  <c r="K79" i="29"/>
  <c r="K89" i="29" s="1"/>
  <c r="I17" i="12"/>
  <c r="J111" i="29"/>
  <c r="J112" i="29" s="1"/>
  <c r="H87" i="31"/>
  <c r="E121" i="31"/>
  <c r="F175" i="60" s="1"/>
  <c r="F87" i="31"/>
  <c r="F121" i="31"/>
  <c r="G175" i="60" s="1"/>
  <c r="L79" i="29"/>
  <c r="F92" i="29"/>
  <c r="F104" i="29" s="1"/>
  <c r="G22" i="43"/>
  <c r="G31" i="43"/>
  <c r="E18" i="34"/>
  <c r="E28" i="34" s="1"/>
  <c r="G92" i="29"/>
  <c r="G104" i="29" s="1"/>
  <c r="K75" i="31"/>
  <c r="K85" i="31" s="1"/>
  <c r="C87" i="31"/>
  <c r="J121" i="31"/>
  <c r="K185" i="60" s="1"/>
  <c r="J87" i="31"/>
  <c r="K44" i="27"/>
  <c r="J103" i="29"/>
  <c r="H121" i="31"/>
  <c r="I175" i="60" s="1"/>
  <c r="F111" i="29"/>
  <c r="F112" i="29" s="1"/>
  <c r="J6" i="6"/>
  <c r="Q479" i="1"/>
  <c r="P479" i="1"/>
  <c r="H6" i="6" s="1"/>
  <c r="O479" i="1"/>
  <c r="CP480" i="1" l="1"/>
  <c r="K74" i="29"/>
  <c r="K53" i="27"/>
  <c r="C60" i="24"/>
  <c r="H47" i="25"/>
  <c r="H45" i="25"/>
  <c r="K51" i="135"/>
  <c r="K49" i="135"/>
  <c r="K50" i="135"/>
  <c r="K51" i="29"/>
  <c r="D92" i="29"/>
  <c r="D104" i="29" s="1"/>
  <c r="J104" i="29"/>
  <c r="B532" i="1"/>
  <c r="B533" i="1" s="1"/>
  <c r="B534" i="1" s="1"/>
  <c r="B535" i="1" s="1"/>
  <c r="B536" i="1" s="1"/>
  <c r="B537" i="1" s="1"/>
  <c r="B538" i="1" s="1"/>
  <c r="B539" i="1" s="1"/>
  <c r="B540" i="1" s="1"/>
  <c r="B541" i="1" s="1"/>
  <c r="F97" i="31"/>
  <c r="G97" i="31"/>
  <c r="E97" i="31"/>
  <c r="I105" i="31"/>
  <c r="G192" i="60"/>
  <c r="H21" i="6"/>
  <c r="J21" i="6"/>
  <c r="H97" i="31"/>
  <c r="J97" i="31"/>
  <c r="E105" i="31"/>
  <c r="F119" i="29"/>
  <c r="K70" i="31"/>
  <c r="K87" i="31" s="1"/>
  <c r="K49" i="29"/>
  <c r="C119" i="29"/>
  <c r="I87" i="31"/>
  <c r="I121" i="31"/>
  <c r="J185" i="60" s="1"/>
  <c r="D87" i="31"/>
  <c r="D97" i="31" s="1"/>
  <c r="I47" i="35"/>
  <c r="I63" i="36"/>
  <c r="J42" i="42"/>
  <c r="E60" i="24"/>
  <c r="C121" i="31"/>
  <c r="K89" i="31"/>
  <c r="E45" i="17"/>
  <c r="F291" i="60" s="1"/>
  <c r="H59" i="24"/>
  <c r="G34" i="43"/>
  <c r="G33" i="43"/>
  <c r="K111" i="29"/>
  <c r="K112" i="29" s="1"/>
  <c r="K92" i="29" l="1"/>
  <c r="K128" i="29" s="1"/>
  <c r="C97" i="31"/>
  <c r="D175" i="60"/>
  <c r="I97" i="31"/>
  <c r="B542" i="1"/>
  <c r="B543" i="1" s="1"/>
  <c r="B544" i="1" s="1"/>
  <c r="B545" i="1" s="1"/>
  <c r="B546" i="1" s="1"/>
  <c r="B547" i="1" s="1"/>
  <c r="B548" i="1" s="1"/>
  <c r="B549" i="1" s="1"/>
  <c r="B550" i="1" s="1"/>
  <c r="B551" i="1" s="1"/>
  <c r="B552" i="1" s="1"/>
  <c r="B553" i="1" s="1"/>
  <c r="B554" i="1" s="1"/>
  <c r="B556" i="1" s="1"/>
  <c r="B557" i="1" s="1"/>
  <c r="B558" i="1" s="1"/>
  <c r="B559" i="1" s="1"/>
  <c r="B560" i="1" s="1"/>
  <c r="B561" i="1" s="1"/>
  <c r="B562" i="1" s="1"/>
  <c r="B563" i="1" s="1"/>
  <c r="B564" i="1" s="1"/>
  <c r="B565" i="1" s="1"/>
  <c r="B566" i="1" s="1"/>
  <c r="B567" i="1" s="1"/>
  <c r="K105" i="31"/>
  <c r="J119" i="29"/>
  <c r="E119" i="29"/>
  <c r="K92" i="31"/>
  <c r="K96" i="31" s="1"/>
  <c r="K50" i="29"/>
  <c r="K104" i="29" l="1"/>
  <c r="K97" i="31"/>
  <c r="K121" i="31"/>
  <c r="B568" i="1"/>
  <c r="B569" i="1" s="1"/>
  <c r="B570" i="1" s="1"/>
  <c r="B571" i="1" s="1"/>
  <c r="B572" i="1" s="1"/>
  <c r="B573" i="1" s="1"/>
  <c r="B574" i="1" s="1"/>
  <c r="B575" i="1" s="1"/>
  <c r="B576" i="1" s="1"/>
  <c r="B577" i="1" s="1"/>
  <c r="B578" i="1" s="1"/>
  <c r="B580" i="1" s="1"/>
  <c r="B581" i="1" s="1"/>
  <c r="B582" i="1" s="1"/>
  <c r="B583" i="1" s="1"/>
  <c r="B584" i="1" s="1"/>
  <c r="B585" i="1" s="1"/>
  <c r="B586" i="1" s="1"/>
  <c r="B587" i="1" s="1"/>
  <c r="B588" i="1" s="1"/>
  <c r="B589" i="1" s="1"/>
  <c r="B590" i="1" s="1"/>
  <c r="B591" i="1" s="1"/>
  <c r="B592" i="1" s="1"/>
  <c r="B555" i="1"/>
  <c r="B579" i="1" l="1"/>
  <c r="B593" i="1"/>
  <c r="B594" i="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B804" i="1" s="1"/>
  <c r="B805" i="1" s="1"/>
  <c r="B806" i="1" s="1"/>
  <c r="B809" i="1" l="1"/>
  <c r="B810" i="1" s="1"/>
  <c r="B811" i="1" s="1"/>
  <c r="B812" i="1" s="1"/>
  <c r="B813" i="1" s="1"/>
  <c r="B814" i="1" s="1"/>
  <c r="B815" i="1" s="1"/>
  <c r="B816" i="1" s="1"/>
  <c r="B817" i="1" s="1"/>
  <c r="B818" i="1" s="1"/>
  <c r="B819" i="1" s="1"/>
  <c r="B820" i="1" s="1"/>
  <c r="B821" i="1" s="1"/>
  <c r="B822" i="1" s="1"/>
  <c r="B823" i="1" s="1"/>
  <c r="B824" i="1" s="1"/>
  <c r="B825" i="1" s="1"/>
  <c r="B1162" i="1"/>
  <c r="B1163" i="1" s="1"/>
  <c r="B1164" i="1" s="1"/>
  <c r="B1165" i="1" s="1"/>
  <c r="B1166" i="1" s="1"/>
  <c r="B1167" i="1" s="1"/>
  <c r="B1168" i="1" s="1"/>
  <c r="B1169" i="1" s="1"/>
  <c r="B1170" i="1" s="1"/>
  <c r="B1171" i="1" s="1"/>
  <c r="B1172" i="1" s="1"/>
  <c r="B1173" i="1" s="1"/>
  <c r="B1174" i="1" s="1"/>
  <c r="B1175" i="1" s="1"/>
  <c r="B1176" i="1" s="1"/>
  <c r="B1177" i="1" s="1"/>
  <c r="B1178" i="1" s="1"/>
  <c r="B1179" i="1" s="1"/>
  <c r="B1180" i="1" s="1"/>
  <c r="B1181" i="1" s="1"/>
  <c r="B1182" i="1" s="1"/>
  <c r="B1183" i="1" s="1"/>
  <c r="B1184" i="1" s="1"/>
  <c r="B1185" i="1" s="1"/>
  <c r="B1186" i="1" s="1"/>
  <c r="B1187" i="1" s="1"/>
  <c r="B1188" i="1" s="1"/>
  <c r="B1189" i="1" s="1"/>
  <c r="B1190" i="1" s="1"/>
  <c r="B1191" i="1" s="1"/>
  <c r="B1202" i="1"/>
  <c r="B1203" i="1" s="1"/>
  <c r="B1204" i="1" s="1"/>
  <c r="B1205" i="1" s="1"/>
  <c r="B1206" i="1" s="1"/>
  <c r="B1207" i="1" s="1"/>
  <c r="B1208" i="1" s="1"/>
  <c r="B1210" i="1" l="1"/>
  <c r="B1211" i="1" s="1"/>
  <c r="B1212" i="1" s="1"/>
  <c r="B1213" i="1" s="1"/>
  <c r="B1214" i="1" s="1"/>
  <c r="B1215" i="1" s="1"/>
  <c r="B1236" i="1" s="1"/>
  <c r="B1237" i="1" s="1"/>
  <c r="B1238" i="1" s="1"/>
  <c r="B1239" i="1" s="1"/>
  <c r="B1240" i="1" s="1"/>
  <c r="B1241" i="1" s="1"/>
  <c r="B1242" i="1" s="1"/>
  <c r="B1243" i="1" s="1"/>
  <c r="B1244" i="1" s="1"/>
  <c r="B1245" i="1" s="1"/>
  <c r="B1246" i="1" s="1"/>
  <c r="B1247" i="1" s="1"/>
  <c r="B1209" i="1"/>
  <c r="B1193" i="1"/>
  <c r="B1194" i="1" s="1"/>
  <c r="B1195" i="1" s="1"/>
  <c r="B1196" i="1" s="1"/>
  <c r="B1197" i="1" s="1"/>
  <c r="B1198" i="1" s="1"/>
  <c r="B1199" i="1" s="1"/>
  <c r="B826" i="1"/>
  <c r="T2032" i="1"/>
  <c r="I28" i="50" s="1"/>
  <c r="T2019" i="1"/>
  <c r="H27" i="50" l="1"/>
  <c r="N2019" i="1"/>
  <c r="D27" i="50" s="1"/>
  <c r="B1248" i="1"/>
  <c r="B1249" i="1" s="1"/>
  <c r="B1250" i="1" s="1"/>
  <c r="N2032" i="1"/>
  <c r="E28" i="50" s="1"/>
  <c r="B827" i="1"/>
  <c r="B828" i="1" s="1"/>
  <c r="B829" i="1" s="1"/>
  <c r="B830" i="1" s="1"/>
  <c r="B831" i="1" s="1"/>
  <c r="B832" i="1" s="1"/>
  <c r="B833" i="1" s="1"/>
  <c r="B834" i="1" s="1"/>
  <c r="B835" i="1" s="1"/>
  <c r="B836" i="1" s="1"/>
  <c r="B837" i="1" s="1"/>
  <c r="B838" i="1" s="1"/>
  <c r="B839" i="1" s="1"/>
  <c r="B840" i="1" s="1"/>
  <c r="B841" i="1" s="1"/>
  <c r="B842" i="1" s="1"/>
  <c r="B843" i="1" s="1"/>
  <c r="B844" i="1"/>
  <c r="B845" i="1" s="1"/>
  <c r="B848" i="1"/>
  <c r="B849" i="1" s="1"/>
  <c r="B850" i="1" s="1"/>
  <c r="B851" i="1" s="1"/>
  <c r="B852" i="1" s="1"/>
  <c r="B853" i="1" s="1"/>
  <c r="B854" i="1" s="1"/>
  <c r="B855" i="1" s="1"/>
  <c r="B856" i="1" s="1"/>
  <c r="B857" i="1" s="1"/>
  <c r="B858" i="1" s="1"/>
  <c r="B859" i="1" s="1"/>
  <c r="B860" i="1" s="1"/>
  <c r="B861" i="1" s="1"/>
  <c r="B862" i="1" s="1"/>
  <c r="B863" i="1" s="1"/>
  <c r="B864" i="1" s="1"/>
  <c r="B865" i="1" s="1"/>
  <c r="B866" i="1" s="1"/>
  <c r="B867" i="1" s="1"/>
  <c r="B868" i="1" s="1"/>
  <c r="B869" i="1" s="1"/>
  <c r="B870" i="1" s="1"/>
  <c r="B871" i="1" s="1"/>
  <c r="B872" i="1" s="1"/>
  <c r="B873" i="1" s="1"/>
  <c r="B874" i="1" s="1"/>
  <c r="B875" i="1" s="1"/>
  <c r="B876" i="1" s="1"/>
  <c r="B877" i="1" s="1"/>
  <c r="B878" i="1" s="1"/>
  <c r="B879" i="1" s="1"/>
  <c r="B880" i="1" s="1"/>
  <c r="B881" i="1" s="1"/>
  <c r="B882" i="1" l="1"/>
  <c r="B883" i="1" s="1"/>
  <c r="B884" i="1" s="1"/>
  <c r="B885" i="1" s="1"/>
  <c r="B886" i="1" s="1"/>
  <c r="B887" i="1" s="1"/>
  <c r="B888" i="1" s="1"/>
  <c r="B889" i="1" s="1"/>
  <c r="B890" i="1" s="1"/>
  <c r="B891" i="1" s="1"/>
  <c r="B892" i="1" s="1"/>
  <c r="B893" i="1" s="1"/>
  <c r="B894" i="1" s="1"/>
  <c r="B895" i="1" s="1"/>
  <c r="B896" i="1" s="1"/>
  <c r="B897" i="1" s="1"/>
  <c r="B898" i="1" s="1"/>
  <c r="B899" i="1" s="1"/>
  <c r="B900" i="1" s="1"/>
  <c r="B901" i="1" s="1"/>
  <c r="B902" i="1" s="1"/>
  <c r="B903" i="1" s="1"/>
  <c r="B904" i="1" s="1"/>
  <c r="B905" i="1" s="1"/>
  <c r="B906" i="1" s="1"/>
  <c r="B907" i="1" s="1"/>
  <c r="B908" i="1" s="1"/>
  <c r="B909" i="1" s="1"/>
  <c r="B910" i="1" s="1"/>
  <c r="B911" i="1" s="1"/>
  <c r="B912" i="1" s="1"/>
  <c r="B913" i="1" s="1"/>
  <c r="B914" i="1" s="1"/>
  <c r="B915" i="1" s="1"/>
  <c r="B916" i="1" s="1"/>
  <c r="B917" i="1" s="1"/>
  <c r="B1251" i="1"/>
  <c r="B1252" i="1"/>
  <c r="B1253" i="1" s="1"/>
  <c r="B1254" i="1" s="1"/>
  <c r="B1255" i="1" s="1"/>
  <c r="B1148" i="1"/>
  <c r="B1149" i="1" s="1"/>
  <c r="B1150" i="1" s="1"/>
  <c r="B1151" i="1" s="1"/>
  <c r="B1152" i="1" s="1"/>
  <c r="B1153" i="1" s="1"/>
  <c r="B1154" i="1" s="1"/>
  <c r="B1155" i="1" s="1"/>
  <c r="B1156" i="1" s="1"/>
  <c r="B1157" i="1" s="1"/>
  <c r="B1257" i="1" l="1"/>
  <c r="B1258" i="1" s="1"/>
  <c r="B1259" i="1" s="1"/>
  <c r="B1260" i="1" s="1"/>
  <c r="B1261" i="1" s="1"/>
  <c r="B1262" i="1" s="1"/>
  <c r="B1263" i="1" s="1"/>
  <c r="B1264" i="1" s="1"/>
  <c r="B1256" i="1"/>
  <c r="B918" i="1"/>
  <c r="B919" i="1" s="1"/>
  <c r="B920" i="1" s="1"/>
  <c r="B921" i="1" s="1"/>
  <c r="B922" i="1" s="1"/>
  <c r="B923" i="1" s="1"/>
  <c r="B924" i="1" s="1"/>
  <c r="B925" i="1" s="1"/>
  <c r="B926" i="1" s="1"/>
  <c r="B927" i="1" s="1"/>
  <c r="B928" i="1" s="1"/>
  <c r="B929" i="1" s="1"/>
  <c r="B930" i="1" s="1"/>
  <c r="B931" i="1" s="1"/>
  <c r="B932" i="1" s="1"/>
  <c r="B933" i="1" s="1"/>
  <c r="B934" i="1" s="1"/>
  <c r="B935" i="1" s="1"/>
  <c r="B936" i="1" s="1"/>
  <c r="B937" i="1" s="1"/>
  <c r="B938" i="1" s="1"/>
  <c r="B939" i="1" s="1"/>
  <c r="B940" i="1" s="1"/>
  <c r="B941" i="1" s="1"/>
  <c r="B942" i="1" s="1"/>
  <c r="B943" i="1" s="1"/>
  <c r="B944" i="1" s="1"/>
  <c r="B945" i="1" s="1"/>
  <c r="B946" i="1" s="1"/>
  <c r="B947" i="1" s="1"/>
  <c r="B948" i="1" s="1"/>
  <c r="B949" i="1" s="1"/>
  <c r="B950" i="1" s="1"/>
  <c r="B951" i="1" s="1"/>
  <c r="B952" i="1" s="1"/>
  <c r="B953" i="1" s="1"/>
  <c r="B1270" i="1"/>
  <c r="B1271" i="1" s="1"/>
  <c r="B1272" i="1" s="1"/>
  <c r="B1273" i="1" s="1"/>
  <c r="B1274" i="1" s="1"/>
  <c r="B1275" i="1" s="1"/>
  <c r="B1276" i="1" s="1"/>
  <c r="B1277" i="1" s="1"/>
  <c r="B1278" i="1" s="1"/>
  <c r="B1279" i="1" s="1"/>
  <c r="B1280" i="1" s="1"/>
  <c r="B1281" i="1" s="1"/>
  <c r="B1282" i="1" s="1"/>
  <c r="B1283" i="1" s="1"/>
  <c r="B1284" i="1" s="1"/>
  <c r="B1285" i="1" s="1"/>
  <c r="B1286" i="1" s="1"/>
  <c r="B1287" i="1" s="1"/>
  <c r="B1288" i="1" s="1"/>
  <c r="B1289" i="1" s="1"/>
  <c r="B1290" i="1" s="1"/>
  <c r="B1291" i="1" s="1"/>
  <c r="B1292" i="1" s="1"/>
  <c r="B1293" i="1" s="1"/>
  <c r="B1294" i="1" s="1"/>
  <c r="B1295" i="1" s="1"/>
  <c r="B1296" i="1" s="1"/>
  <c r="B1297" i="1" s="1"/>
  <c r="B954" i="1" l="1"/>
  <c r="B955" i="1" s="1"/>
  <c r="B956" i="1" s="1"/>
  <c r="B957" i="1" s="1"/>
  <c r="B958" i="1" s="1"/>
  <c r="B959" i="1" s="1"/>
  <c r="B960" i="1" s="1"/>
  <c r="B961" i="1" s="1"/>
  <c r="B962" i="1" s="1"/>
  <c r="B963" i="1" s="1"/>
  <c r="B964" i="1" s="1"/>
  <c r="B965" i="1" s="1"/>
  <c r="B966" i="1" s="1"/>
  <c r="B967" i="1" s="1"/>
  <c r="B968" i="1" s="1"/>
  <c r="B969" i="1" s="1"/>
  <c r="B970" i="1" s="1"/>
  <c r="B971" i="1" s="1"/>
  <c r="B972" i="1" s="1"/>
  <c r="B973" i="1" s="1"/>
  <c r="B974" i="1" s="1"/>
  <c r="B975" i="1" s="1"/>
  <c r="B976" i="1" s="1"/>
  <c r="B977" i="1" s="1"/>
  <c r="B978" i="1" s="1"/>
  <c r="B979" i="1" s="1"/>
  <c r="B980" i="1" s="1"/>
  <c r="B981" i="1" s="1"/>
  <c r="B982" i="1" s="1"/>
  <c r="B983" i="1" s="1"/>
  <c r="B984" i="1" s="1"/>
  <c r="B985" i="1" s="1"/>
  <c r="B986" i="1" s="1"/>
  <c r="B987" i="1" s="1"/>
  <c r="B988" i="1" s="1"/>
  <c r="B989" i="1" s="1"/>
  <c r="B1265" i="1"/>
  <c r="B1266" i="1" s="1"/>
  <c r="B1267" i="1" s="1"/>
  <c r="B1268" i="1" s="1"/>
  <c r="B1298" i="1"/>
  <c r="B1299" i="1" s="1"/>
  <c r="B1300" i="1" s="1"/>
  <c r="B1301" i="1" s="1"/>
  <c r="B1302" i="1" s="1"/>
  <c r="B1303" i="1" s="1"/>
  <c r="B1304" i="1" s="1"/>
  <c r="B1305" i="1" s="1"/>
  <c r="B1306" i="1" s="1"/>
  <c r="B1307" i="1" s="1"/>
  <c r="B1308" i="1" s="1"/>
  <c r="B1309" i="1" s="1"/>
  <c r="B1310" i="1" s="1"/>
  <c r="B1311" i="1" s="1"/>
  <c r="B1312" i="1" s="1"/>
  <c r="B1555" i="1"/>
  <c r="B1556" i="1" s="1"/>
  <c r="B1557" i="1" s="1"/>
  <c r="B1558" i="1" s="1"/>
  <c r="B1559" i="1" s="1"/>
  <c r="B1560" i="1" s="1"/>
  <c r="B1561" i="1" s="1"/>
  <c r="B1562" i="1" s="1"/>
  <c r="B1563" i="1" s="1"/>
  <c r="B1564" i="1" s="1"/>
  <c r="B1565" i="1" s="1"/>
  <c r="B1566" i="1" s="1"/>
  <c r="B1567" i="1" s="1"/>
  <c r="B1756" i="1" s="1"/>
  <c r="B1757" i="1" s="1"/>
  <c r="B1758" i="1" s="1"/>
  <c r="B1759" i="1" s="1"/>
  <c r="B990" i="1" l="1"/>
  <c r="B991" i="1" s="1"/>
  <c r="B992" i="1" s="1"/>
  <c r="B993" i="1" s="1"/>
  <c r="B994" i="1" s="1"/>
  <c r="B995" i="1" s="1"/>
  <c r="B996" i="1" s="1"/>
  <c r="B997" i="1" s="1"/>
  <c r="B998" i="1" s="1"/>
  <c r="B999" i="1" s="1"/>
  <c r="B1000" i="1" s="1"/>
  <c r="B1001" i="1" s="1"/>
  <c r="B1002" i="1" s="1"/>
  <c r="B1003" i="1" s="1"/>
  <c r="B1004" i="1" s="1"/>
  <c r="B1005" i="1" s="1"/>
  <c r="B1006" i="1" s="1"/>
  <c r="B1007" i="1" s="1"/>
  <c r="B1008" i="1" s="1"/>
  <c r="B1009" i="1" s="1"/>
  <c r="B1010" i="1" s="1"/>
  <c r="B1011" i="1" s="1"/>
  <c r="B1012" i="1" s="1"/>
  <c r="B1013" i="1" s="1"/>
  <c r="B1014" i="1" s="1"/>
  <c r="B1015" i="1" s="1"/>
  <c r="B1016" i="1" s="1"/>
  <c r="B1017" i="1" s="1"/>
  <c r="B1018" i="1" s="1"/>
  <c r="B1019" i="1" s="1"/>
  <c r="B1020" i="1" s="1"/>
  <c r="B1021" i="1" s="1"/>
  <c r="B1022" i="1" s="1"/>
  <c r="B1023" i="1" s="1"/>
  <c r="B1024" i="1" s="1"/>
  <c r="B1025" i="1" s="1"/>
  <c r="B1316" i="1"/>
  <c r="B1317" i="1" s="1"/>
  <c r="B1318" i="1" s="1"/>
  <c r="B1319" i="1" s="1"/>
  <c r="B1320" i="1" s="1"/>
  <c r="B1321" i="1" s="1"/>
  <c r="B1322" i="1" s="1"/>
  <c r="B1323" i="1" s="1"/>
  <c r="B1324" i="1" s="1"/>
  <c r="B1325" i="1" s="1"/>
  <c r="B1326" i="1" s="1"/>
  <c r="B1327" i="1" s="1"/>
  <c r="B1328" i="1" s="1"/>
  <c r="B1329" i="1" s="1"/>
  <c r="B1330" i="1" s="1"/>
  <c r="B1331" i="1" s="1"/>
  <c r="B1332" i="1" s="1"/>
  <c r="B1333" i="1" s="1"/>
  <c r="B1334" i="1" s="1"/>
  <c r="B1335" i="1" s="1"/>
  <c r="B1336" i="1" s="1"/>
  <c r="B1337" i="1" s="1"/>
  <c r="B1338" i="1" s="1"/>
  <c r="B1339" i="1" s="1"/>
  <c r="B1340" i="1" s="1"/>
  <c r="B1341" i="1" s="1"/>
  <c r="B1342" i="1" s="1"/>
  <c r="B1343" i="1" s="1"/>
  <c r="B1344" i="1" s="1"/>
  <c r="B1345" i="1" s="1"/>
  <c r="B1346" i="1" s="1"/>
  <c r="B1347" i="1" s="1"/>
  <c r="B1348" i="1" s="1"/>
  <c r="B1349" i="1" s="1"/>
  <c r="B1350" i="1" s="1"/>
  <c r="B1351" i="1" s="1"/>
  <c r="B1352" i="1" s="1"/>
  <c r="B1353" i="1" s="1"/>
  <c r="B1354" i="1" s="1"/>
  <c r="B1355" i="1" s="1"/>
  <c r="B1356" i="1" s="1"/>
  <c r="V387" i="1"/>
  <c r="Q387" i="1"/>
  <c r="O387" i="1"/>
  <c r="V342" i="1"/>
  <c r="CP342" i="1" s="1"/>
  <c r="O342" i="1"/>
  <c r="B1026" i="1" l="1"/>
  <c r="B1357" i="1"/>
  <c r="B1358" i="1" s="1"/>
  <c r="B1359" i="1" s="1"/>
  <c r="B1360" i="1" s="1"/>
  <c r="B1361" i="1" s="1"/>
  <c r="B1362" i="1" s="1"/>
  <c r="B1363" i="1" s="1"/>
  <c r="B1364" i="1" s="1"/>
  <c r="B1365" i="1" s="1"/>
  <c r="B1366" i="1" s="1"/>
  <c r="B1367" i="1" s="1"/>
  <c r="B1368" i="1" s="1"/>
  <c r="B1369" i="1" s="1"/>
  <c r="B1370" i="1" s="1"/>
  <c r="B1371" i="1"/>
  <c r="B1372" i="1" s="1"/>
  <c r="B1373" i="1" s="1"/>
  <c r="B1374" i="1" s="1"/>
  <c r="B1375" i="1" s="1"/>
  <c r="B1376" i="1" s="1"/>
  <c r="B1377" i="1" s="1"/>
  <c r="B1378" i="1" s="1"/>
  <c r="B1379" i="1" s="1"/>
  <c r="B1380" i="1" s="1"/>
  <c r="B1381" i="1" s="1"/>
  <c r="B1382" i="1" s="1"/>
  <c r="B1383" i="1" s="1"/>
  <c r="B1384" i="1" s="1"/>
  <c r="B1385" i="1" s="1"/>
  <c r="B1386" i="1" s="1"/>
  <c r="B1387" i="1" s="1"/>
  <c r="B1388" i="1" s="1"/>
  <c r="B1389" i="1" s="1"/>
  <c r="B1390" i="1" s="1"/>
  <c r="B1391" i="1" s="1"/>
  <c r="B1392" i="1" s="1"/>
  <c r="B1393" i="1" s="1"/>
  <c r="B1394" i="1" s="1"/>
  <c r="B1395" i="1" s="1"/>
  <c r="B1396" i="1" s="1"/>
  <c r="B1397" i="1" s="1"/>
  <c r="B1398" i="1" s="1"/>
  <c r="B1399" i="1" s="1"/>
  <c r="B1400" i="1" s="1"/>
  <c r="V388" i="1"/>
  <c r="O388" i="1"/>
  <c r="Q388" i="1"/>
  <c r="V327" i="1"/>
  <c r="CP327" i="1" s="1"/>
  <c r="V310" i="1"/>
  <c r="CP310" i="1" s="1"/>
  <c r="Q310" i="1"/>
  <c r="O310" i="1"/>
  <c r="O162" i="1"/>
  <c r="O187" i="1"/>
  <c r="Q206" i="1"/>
  <c r="O206" i="1"/>
  <c r="Q215" i="1"/>
  <c r="O215" i="1"/>
  <c r="Q237" i="1"/>
  <c r="O237" i="1"/>
  <c r="Q151" i="1"/>
  <c r="O151" i="1"/>
  <c r="O139" i="1"/>
  <c r="Q132" i="1"/>
  <c r="Q140" i="1" s="1"/>
  <c r="O132" i="1"/>
  <c r="B1027" i="1" l="1"/>
  <c r="B1401" i="1"/>
  <c r="B1402" i="1" s="1"/>
  <c r="B1403" i="1" s="1"/>
  <c r="B1404" i="1" s="1"/>
  <c r="B1405" i="1" s="1"/>
  <c r="B1406" i="1" s="1"/>
  <c r="B1407" i="1" s="1"/>
  <c r="B1408" i="1" s="1"/>
  <c r="B1409" i="1" s="1"/>
  <c r="B1410" i="1" s="1"/>
  <c r="O228" i="1"/>
  <c r="Q228" i="1"/>
  <c r="Q250" i="1" s="1"/>
  <c r="Q261" i="1" s="1"/>
  <c r="Q270" i="1" s="1"/>
  <c r="Q286" i="1" s="1"/>
  <c r="O177" i="1"/>
  <c r="AX67" i="22"/>
  <c r="AX70" i="22" s="1"/>
  <c r="AI30" i="6" s="1"/>
  <c r="O140" i="1"/>
  <c r="Q143" i="1"/>
  <c r="B1028" i="1" l="1"/>
  <c r="AX69" i="22"/>
  <c r="AI29" i="6" s="1"/>
  <c r="AX74" i="22"/>
  <c r="AW67" i="22"/>
  <c r="AW70" i="22" s="1"/>
  <c r="AH30" i="6" s="1"/>
  <c r="N215" i="1"/>
  <c r="O143" i="1"/>
  <c r="O201" i="1"/>
  <c r="G25" i="6" s="1"/>
  <c r="O250" i="1"/>
  <c r="Q26" i="6"/>
  <c r="T237" i="1"/>
  <c r="P26" i="6"/>
  <c r="T215" i="1"/>
  <c r="B1029" i="1" l="1"/>
  <c r="AW69" i="22"/>
  <c r="AH29" i="6" s="1"/>
  <c r="AW74" i="22"/>
  <c r="O261" i="1"/>
  <c r="B1030" i="1" l="1"/>
  <c r="G119" i="29"/>
  <c r="O270" i="1"/>
  <c r="O286" i="1" s="1"/>
  <c r="Q92" i="1"/>
  <c r="O92" i="1"/>
  <c r="Q70" i="1"/>
  <c r="O70" i="1"/>
  <c r="Q59" i="1"/>
  <c r="O59" i="1"/>
  <c r="Q49" i="1"/>
  <c r="O49" i="1"/>
  <c r="O11" i="1"/>
  <c r="G6" i="6" s="1"/>
  <c r="Q11" i="1"/>
  <c r="I6" i="6" s="1"/>
  <c r="Q20" i="1"/>
  <c r="I8" i="6" s="1"/>
  <c r="O20" i="1"/>
  <c r="G8" i="6" s="1"/>
  <c r="B1031" i="1" l="1"/>
  <c r="G21" i="6"/>
  <c r="I21" i="6"/>
  <c r="T261" i="1"/>
  <c r="T270" i="1" s="1"/>
  <c r="T286" i="1" s="1"/>
  <c r="AC26" i="6"/>
  <c r="Q61" i="1"/>
  <c r="AB26" i="6"/>
  <c r="AF26" i="6"/>
  <c r="O61" i="1"/>
  <c r="O72" i="1" s="1"/>
  <c r="R26" i="6"/>
  <c r="AE26" i="6"/>
  <c r="Q24" i="1"/>
  <c r="Z26" i="6"/>
  <c r="O24" i="1"/>
  <c r="B1032" i="1" l="1"/>
  <c r="Q72" i="1"/>
  <c r="Q85" i="1" s="1"/>
  <c r="AM26" i="6"/>
  <c r="AK26" i="6"/>
  <c r="AL26" i="6"/>
  <c r="AJ26" i="6"/>
  <c r="BA11" i="22"/>
  <c r="CF11" i="22" s="1"/>
  <c r="BC11" i="22"/>
  <c r="CH11" i="22" s="1"/>
  <c r="Q39" i="1"/>
  <c r="O39" i="1"/>
  <c r="V26" i="6"/>
  <c r="T26" i="6"/>
  <c r="N261" i="1"/>
  <c r="N270" i="1" s="1"/>
  <c r="C30" i="146" l="1"/>
  <c r="C28" i="146"/>
  <c r="C29" i="146"/>
  <c r="C41" i="146"/>
  <c r="B1033" i="1"/>
  <c r="B1034" i="1" s="1"/>
  <c r="B1035" i="1" s="1"/>
  <c r="B1036" i="1" s="1"/>
  <c r="B1037" i="1" s="1"/>
  <c r="B1038" i="1" s="1"/>
  <c r="B1039" i="1" s="1"/>
  <c r="B1040" i="1" s="1"/>
  <c r="B1041" i="1" s="1"/>
  <c r="B1042" i="1" s="1"/>
  <c r="B1043" i="1" s="1"/>
  <c r="B1044" i="1" s="1"/>
  <c r="B1045" i="1" s="1"/>
  <c r="B1046" i="1" s="1"/>
  <c r="B1047" i="1" s="1"/>
  <c r="B1048" i="1" s="1"/>
  <c r="B1049" i="1" s="1"/>
  <c r="B1050" i="1" s="1"/>
  <c r="B1051" i="1" s="1"/>
  <c r="B1052" i="1" s="1"/>
  <c r="B1053" i="1" s="1"/>
  <c r="B1054" i="1" s="1"/>
  <c r="B1055" i="1" s="1"/>
  <c r="B1056" i="1" s="1"/>
  <c r="B1057" i="1" s="1"/>
  <c r="B1058" i="1" s="1"/>
  <c r="B1059" i="1" s="1"/>
  <c r="B1060" i="1" s="1"/>
  <c r="B1061" i="1" s="1"/>
  <c r="B1062" i="1" s="1"/>
  <c r="B1063" i="1" s="1"/>
  <c r="B1064" i="1" s="1"/>
  <c r="B1065" i="1" s="1"/>
  <c r="B1066" i="1" s="1"/>
  <c r="B1067" i="1" s="1"/>
  <c r="B1068" i="1" s="1"/>
  <c r="B1069" i="1" s="1"/>
  <c r="B1070" i="1" s="1"/>
  <c r="B1071" i="1" s="1"/>
  <c r="B1072" i="1" s="1"/>
  <c r="B1073" i="1" s="1"/>
  <c r="B1074" i="1" s="1"/>
  <c r="B1075" i="1" s="1"/>
  <c r="B1076" i="1" s="1"/>
  <c r="B1077" i="1" s="1"/>
  <c r="B1078" i="1" s="1"/>
  <c r="B1079" i="1" s="1"/>
  <c r="B1080" i="1" s="1"/>
  <c r="B1081" i="1" s="1"/>
  <c r="B1082" i="1" s="1"/>
  <c r="B1083" i="1" s="1"/>
  <c r="B1084" i="1" s="1"/>
  <c r="B1085" i="1" s="1"/>
  <c r="B1086" i="1" s="1"/>
  <c r="B1087" i="1" s="1"/>
  <c r="B1088" i="1" s="1"/>
  <c r="B1089" i="1" s="1"/>
  <c r="B1090" i="1" s="1"/>
  <c r="B1091" i="1" s="1"/>
  <c r="B1092" i="1" s="1"/>
  <c r="B1093" i="1" s="1"/>
  <c r="B1094" i="1" s="1"/>
  <c r="B1095" i="1" s="1"/>
  <c r="B1096" i="1" s="1"/>
  <c r="B1097" i="1" s="1"/>
  <c r="B1098" i="1" s="1"/>
  <c r="B1099" i="1" s="1"/>
  <c r="B1100" i="1" s="1"/>
  <c r="B1101" i="1" s="1"/>
  <c r="B1102" i="1" s="1"/>
  <c r="B1103" i="1" s="1"/>
  <c r="B1104" i="1" s="1"/>
  <c r="B1105" i="1" s="1"/>
  <c r="B1106" i="1" s="1"/>
  <c r="B1107" i="1" s="1"/>
  <c r="B1108" i="1" s="1"/>
  <c r="B1109" i="1" s="1"/>
  <c r="B1110" i="1" s="1"/>
  <c r="B1111" i="1" s="1"/>
  <c r="B1112" i="1" s="1"/>
  <c r="B1113" i="1" s="1"/>
  <c r="B1114" i="1" s="1"/>
  <c r="B1115" i="1" s="1"/>
  <c r="B1116" i="1" s="1"/>
  <c r="B1117" i="1" s="1"/>
  <c r="B1118" i="1" s="1"/>
  <c r="B1119" i="1" s="1"/>
  <c r="B1120" i="1" s="1"/>
  <c r="B1121" i="1" s="1"/>
  <c r="B1122" i="1" s="1"/>
  <c r="B1123" i="1" s="1"/>
  <c r="B1124" i="1" s="1"/>
  <c r="B1125" i="1" s="1"/>
  <c r="B1126" i="1" s="1"/>
  <c r="B1127" i="1" s="1"/>
  <c r="B1128" i="1" s="1"/>
  <c r="B1129" i="1" s="1"/>
  <c r="B1130" i="1" s="1"/>
  <c r="B1131" i="1" s="1"/>
  <c r="B1132" i="1" s="1"/>
  <c r="B1133" i="1" s="1"/>
  <c r="B1134" i="1" s="1"/>
  <c r="B1135" i="1" s="1"/>
  <c r="B1136" i="1" s="1"/>
  <c r="B1137" i="1" s="1"/>
  <c r="B1138" i="1" s="1"/>
  <c r="B1139" i="1" s="1"/>
  <c r="B1140" i="1" s="1"/>
  <c r="B1141" i="1" s="1"/>
  <c r="B1142" i="1" s="1"/>
  <c r="B1143" i="1" s="1"/>
  <c r="B1144" i="1" s="1"/>
  <c r="B1145" i="1" s="1"/>
  <c r="B1146" i="1" s="1"/>
  <c r="C23" i="146"/>
  <c r="C26" i="146"/>
  <c r="C14" i="146"/>
  <c r="C17" i="146"/>
  <c r="C15" i="146"/>
  <c r="C19" i="146"/>
  <c r="C16" i="146"/>
  <c r="Q93" i="1"/>
  <c r="I26" i="6"/>
  <c r="S26" i="6"/>
  <c r="O85" i="1"/>
  <c r="O93" i="1" s="1"/>
  <c r="C42" i="146" l="1"/>
  <c r="C90" i="146"/>
  <c r="C78" i="146"/>
  <c r="C79" i="146"/>
  <c r="C65" i="146"/>
  <c r="C93" i="146"/>
  <c r="C48" i="146"/>
  <c r="C50" i="146"/>
  <c r="C45" i="146"/>
  <c r="C89" i="146"/>
  <c r="C44" i="146"/>
  <c r="C77" i="146"/>
  <c r="C64" i="146"/>
  <c r="C49" i="146"/>
  <c r="C99" i="146"/>
  <c r="C70" i="146"/>
  <c r="C68" i="146"/>
  <c r="C98" i="146"/>
  <c r="C66" i="146"/>
  <c r="C47" i="146"/>
  <c r="C75" i="146"/>
  <c r="C67" i="146"/>
  <c r="C37" i="146"/>
  <c r="C92" i="146"/>
  <c r="C69" i="146"/>
  <c r="C91" i="146"/>
  <c r="C76" i="146"/>
  <c r="C43" i="146"/>
  <c r="C40" i="146"/>
  <c r="C46" i="146"/>
  <c r="C74" i="146"/>
  <c r="C86" i="146"/>
  <c r="C96" i="146"/>
  <c r="C27" i="146"/>
  <c r="C31" i="146"/>
  <c r="C24" i="146"/>
  <c r="C18" i="146"/>
  <c r="C25" i="146"/>
  <c r="C13" i="146"/>
  <c r="N286" i="1"/>
  <c r="AI26" i="6"/>
  <c r="AH26" i="6"/>
  <c r="G26" i="6"/>
  <c r="C80" i="146" l="1"/>
  <c r="C51" i="146"/>
  <c r="C95" i="146"/>
  <c r="C71" i="146"/>
  <c r="C97" i="146"/>
  <c r="C32" i="146"/>
  <c r="C20" i="146"/>
  <c r="AI6" i="6"/>
  <c r="AH6" i="6"/>
  <c r="D722" i="1"/>
  <c r="D684" i="1"/>
  <c r="D665" i="1"/>
  <c r="D666" i="1" s="1"/>
  <c r="D667" i="1" s="1"/>
  <c r="D668" i="1" s="1"/>
  <c r="D608" i="1"/>
  <c r="D570" i="1"/>
  <c r="D532" i="1"/>
  <c r="C82" i="146" l="1"/>
  <c r="C100" i="146"/>
  <c r="C34" i="146"/>
  <c r="C53" i="146" s="1"/>
  <c r="C55" i="146" s="1"/>
  <c r="AJ6" i="6"/>
  <c r="AJ21" i="6"/>
  <c r="AK21" i="6"/>
  <c r="AK6" i="6"/>
  <c r="AL21" i="6"/>
  <c r="AL6" i="6"/>
  <c r="AM6" i="6"/>
  <c r="AM21" i="6"/>
  <c r="AH21" i="6"/>
  <c r="AI21" i="6"/>
  <c r="D685" i="1"/>
  <c r="D686" i="1" s="1"/>
  <c r="D687" i="1" s="1"/>
  <c r="D688" i="1" s="1"/>
  <c r="D689" i="1" s="1"/>
  <c r="D690" i="1" s="1"/>
  <c r="D691" i="1" s="1"/>
  <c r="D692" i="1" s="1"/>
  <c r="D571" i="1"/>
  <c r="D572" i="1" s="1"/>
  <c r="D573" i="1" s="1"/>
  <c r="D574" i="1" s="1"/>
  <c r="D575" i="1" s="1"/>
  <c r="D576" i="1" s="1"/>
  <c r="D577" i="1" s="1"/>
  <c r="D578" i="1" s="1"/>
  <c r="D723" i="1"/>
  <c r="D724" i="1" s="1"/>
  <c r="D725" i="1" s="1"/>
  <c r="D726" i="1" s="1"/>
  <c r="D727" i="1" s="1"/>
  <c r="D728" i="1" s="1"/>
  <c r="D729" i="1" s="1"/>
  <c r="D730" i="1" s="1"/>
  <c r="D732" i="1" s="1"/>
  <c r="D733" i="1" s="1"/>
  <c r="D734" i="1" s="1"/>
  <c r="D735" i="1" s="1"/>
  <c r="D736" i="1" s="1"/>
  <c r="D737" i="1" s="1"/>
  <c r="D609" i="1"/>
  <c r="D610" i="1" s="1"/>
  <c r="D611" i="1" s="1"/>
  <c r="D612" i="1" s="1"/>
  <c r="D613" i="1" s="1"/>
  <c r="D614" i="1" s="1"/>
  <c r="D615" i="1" s="1"/>
  <c r="D616" i="1" s="1"/>
  <c r="D533" i="1"/>
  <c r="D670" i="1"/>
  <c r="D671" i="1" s="1"/>
  <c r="D672" i="1" s="1"/>
  <c r="D673" i="1" s="1"/>
  <c r="D674" i="1" s="1"/>
  <c r="D675" i="1" s="1"/>
  <c r="D676" i="1" s="1"/>
  <c r="D677" i="1" s="1"/>
  <c r="D678" i="1" s="1"/>
  <c r="D679" i="1" s="1"/>
  <c r="D680" i="1" s="1"/>
  <c r="D681" i="1" s="1"/>
  <c r="D669" i="1"/>
  <c r="C102" i="146" l="1"/>
  <c r="CB11" i="22"/>
  <c r="DG11" i="22" s="1"/>
  <c r="CC11" i="22"/>
  <c r="DH11" i="22" s="1"/>
  <c r="D731" i="1"/>
  <c r="D534" i="1"/>
  <c r="D738" i="1"/>
  <c r="D739" i="1" s="1"/>
  <c r="D740" i="1" s="1"/>
  <c r="D741" i="1" s="1"/>
  <c r="D742" i="1" s="1"/>
  <c r="D743" i="1" s="1"/>
  <c r="D744" i="1" s="1"/>
  <c r="D745" i="1" s="1"/>
  <c r="D694" i="1"/>
  <c r="D695" i="1" s="1"/>
  <c r="D696" i="1" s="1"/>
  <c r="D697" i="1" s="1"/>
  <c r="D698" i="1" s="1"/>
  <c r="D699" i="1" s="1"/>
  <c r="D693" i="1"/>
  <c r="D580" i="1"/>
  <c r="D581" i="1" s="1"/>
  <c r="D582" i="1" s="1"/>
  <c r="D583" i="1" s="1"/>
  <c r="D584" i="1" s="1"/>
  <c r="D585" i="1" s="1"/>
  <c r="D579" i="1"/>
  <c r="D618" i="1"/>
  <c r="D619" i="1" s="1"/>
  <c r="D620" i="1" s="1"/>
  <c r="D621" i="1" s="1"/>
  <c r="D622" i="1" s="1"/>
  <c r="D623" i="1" s="1"/>
  <c r="D617" i="1"/>
  <c r="D535" i="1" l="1"/>
  <c r="D746" i="1"/>
  <c r="D747" i="1" s="1"/>
  <c r="D748" i="1" s="1"/>
  <c r="D749" i="1" s="1"/>
  <c r="D750" i="1" s="1"/>
  <c r="D751" i="1" s="1"/>
  <c r="D752" i="1" s="1"/>
  <c r="D753" i="1" s="1"/>
  <c r="D754" i="1" s="1"/>
  <c r="D755" i="1" s="1"/>
  <c r="D700" i="1"/>
  <c r="D701" i="1" s="1"/>
  <c r="D702" i="1" s="1"/>
  <c r="D703" i="1" s="1"/>
  <c r="D704" i="1" s="1"/>
  <c r="D705" i="1" s="1"/>
  <c r="D706" i="1" s="1"/>
  <c r="D707" i="1" s="1"/>
  <c r="D586" i="1"/>
  <c r="D587" i="1" s="1"/>
  <c r="D588" i="1" s="1"/>
  <c r="D589" i="1" s="1"/>
  <c r="D590" i="1" s="1"/>
  <c r="D591" i="1" s="1"/>
  <c r="D592" i="1" s="1"/>
  <c r="D593" i="1" s="1"/>
  <c r="D624" i="1"/>
  <c r="D625" i="1" s="1"/>
  <c r="D626" i="1" s="1"/>
  <c r="D627" i="1" s="1"/>
  <c r="D628" i="1" s="1"/>
  <c r="D629" i="1" s="1"/>
  <c r="D630" i="1" s="1"/>
  <c r="D631" i="1" s="1"/>
  <c r="D757" i="1" l="1"/>
  <c r="D756" i="1"/>
  <c r="D536" i="1"/>
  <c r="D708" i="1"/>
  <c r="D709" i="1" s="1"/>
  <c r="D710" i="1" s="1"/>
  <c r="D711" i="1" s="1"/>
  <c r="D712" i="1" s="1"/>
  <c r="D713" i="1" s="1"/>
  <c r="D714" i="1" s="1"/>
  <c r="D715" i="1" s="1"/>
  <c r="D716" i="1" s="1"/>
  <c r="D717" i="1" s="1"/>
  <c r="D718" i="1" s="1"/>
  <c r="D719" i="1" s="1"/>
  <c r="D632" i="1"/>
  <c r="D633" i="1" s="1"/>
  <c r="D634" i="1" s="1"/>
  <c r="D635" i="1" s="1"/>
  <c r="D636" i="1" s="1"/>
  <c r="D637" i="1" s="1"/>
  <c r="D638" i="1" s="1"/>
  <c r="D639" i="1" s="1"/>
  <c r="D640" i="1" s="1"/>
  <c r="D641" i="1" s="1"/>
  <c r="D642" i="1" s="1"/>
  <c r="D643" i="1" s="1"/>
  <c r="D594" i="1"/>
  <c r="D595" i="1" s="1"/>
  <c r="D596" i="1" s="1"/>
  <c r="D597" i="1" s="1"/>
  <c r="D598" i="1" s="1"/>
  <c r="D599" i="1" s="1"/>
  <c r="D600" i="1" s="1"/>
  <c r="D601" i="1" s="1"/>
  <c r="D602" i="1" s="1"/>
  <c r="D603" i="1" s="1"/>
  <c r="D537" i="1" l="1"/>
  <c r="D538" i="1" l="1"/>
  <c r="D539" i="1" l="1"/>
  <c r="D540" i="1" l="1"/>
  <c r="D542" i="1" l="1"/>
  <c r="D543" i="1" s="1"/>
  <c r="D544" i="1" s="1"/>
  <c r="D545" i="1" s="1"/>
  <c r="D546" i="1" s="1"/>
  <c r="D547" i="1" s="1"/>
  <c r="D541" i="1"/>
  <c r="D548" i="1" l="1"/>
  <c r="D549" i="1" l="1"/>
  <c r="D550" i="1" l="1"/>
  <c r="D551" i="1" l="1"/>
  <c r="D552" i="1" l="1"/>
  <c r="D553" i="1" s="1"/>
  <c r="D554" i="1" s="1"/>
  <c r="D555" i="1" l="1"/>
  <c r="D556" i="1"/>
  <c r="D557" i="1" s="1"/>
  <c r="D558" i="1" s="1"/>
  <c r="D559" i="1" s="1"/>
  <c r="D560" i="1" s="1"/>
  <c r="D561" i="1" s="1"/>
  <c r="D562" i="1" s="1"/>
  <c r="D563" i="1" s="1"/>
  <c r="D564" i="1" s="1"/>
  <c r="D565" i="1" s="1"/>
  <c r="D566" i="1" s="1"/>
  <c r="D567" i="1" s="1"/>
  <c r="K50" i="23" s="1"/>
  <c r="D29" i="37" l="1"/>
  <c r="K29" i="37"/>
  <c r="H29" i="37"/>
  <c r="G29" i="37"/>
  <c r="E29" i="37"/>
  <c r="F29" i="37"/>
  <c r="C29" i="37"/>
  <c r="I29" i="37"/>
  <c r="G30" i="37" l="1"/>
  <c r="I119" i="29" l="1"/>
  <c r="K119" i="29" l="1"/>
  <c r="F27" i="17" l="1"/>
  <c r="AB128" i="6" l="1"/>
  <c r="AB127" i="6"/>
  <c r="K1303" i="1" l="1"/>
  <c r="K1307" i="1"/>
  <c r="K1310" i="1" l="1"/>
  <c r="K206" i="1" l="1"/>
  <c r="K162" i="1"/>
  <c r="K254" i="1"/>
  <c r="K261" i="1" s="1"/>
  <c r="K187" i="1"/>
  <c r="K277" i="1"/>
  <c r="K215" i="1"/>
  <c r="K151" i="1"/>
  <c r="K237" i="1"/>
  <c r="K1067" i="1" l="1"/>
  <c r="K995" i="1" l="1"/>
  <c r="K1005" i="1" s="1"/>
  <c r="K923" i="1"/>
  <c r="K933" i="1" s="1"/>
  <c r="K1081" i="1"/>
  <c r="K1091" i="1" s="1"/>
  <c r="K887" i="1"/>
  <c r="K897" i="1" s="1"/>
  <c r="K851" i="1"/>
  <c r="K861" i="1" s="1"/>
  <c r="K1009" i="1"/>
  <c r="K1019" i="1" s="1"/>
  <c r="K865" i="1"/>
  <c r="K875" i="1" s="1"/>
  <c r="K959" i="1"/>
  <c r="K969" i="1" s="1"/>
  <c r="K937" i="1"/>
  <c r="K947" i="1" s="1"/>
  <c r="K1103" i="1"/>
  <c r="K1113" i="1" s="1"/>
  <c r="K1117" i="1"/>
  <c r="K1127" i="1" s="1"/>
  <c r="K1077" i="1"/>
  <c r="K1045" i="1"/>
  <c r="K1055" i="1" s="1"/>
  <c r="K973" i="1"/>
  <c r="K983" i="1" s="1"/>
  <c r="K901" i="1"/>
  <c r="K911" i="1" s="1"/>
  <c r="K1031" i="1"/>
  <c r="K1041" i="1" s="1"/>
  <c r="K1092" i="1" l="1"/>
  <c r="K1056" i="1"/>
  <c r="K948" i="1"/>
  <c r="K876" i="1"/>
  <c r="K1128" i="1"/>
  <c r="K912" i="1"/>
  <c r="K984" i="1"/>
  <c r="K1020" i="1"/>
  <c r="K1136" i="1" l="1"/>
  <c r="K139" i="1" l="1"/>
  <c r="K132" i="1"/>
  <c r="K49" i="1" l="1"/>
  <c r="K70" i="1"/>
  <c r="K228" i="1"/>
  <c r="K478" i="1" l="1"/>
  <c r="K479" i="1" s="1"/>
  <c r="K480" i="1" s="1"/>
  <c r="K549" i="1"/>
  <c r="K250" i="1"/>
  <c r="K819" i="1" l="1"/>
  <c r="K813" i="1"/>
  <c r="K825" i="1"/>
  <c r="K739" i="1"/>
  <c r="K749" i="1" s="1"/>
  <c r="K512" i="1"/>
  <c r="K522" i="1" s="1"/>
  <c r="K724" i="1"/>
  <c r="K757" i="1"/>
  <c r="K686" i="1"/>
  <c r="K534" i="1"/>
  <c r="K559" i="1"/>
  <c r="K663" i="1"/>
  <c r="K673" i="1" s="1"/>
  <c r="K605" i="1"/>
  <c r="K625" i="1"/>
  <c r="K635" i="1" s="1"/>
  <c r="K701" i="1"/>
  <c r="K711" i="1" s="1"/>
  <c r="K587" i="1"/>
  <c r="K597" i="1" s="1"/>
  <c r="K762" i="1"/>
  <c r="K572" i="1"/>
  <c r="K497" i="1"/>
  <c r="K610" i="1"/>
  <c r="K777" i="1"/>
  <c r="K787" i="1" s="1"/>
  <c r="K648" i="1"/>
  <c r="K59" i="1"/>
  <c r="K61" i="1" s="1"/>
  <c r="K72" i="1" s="1"/>
  <c r="K83" i="1"/>
  <c r="K270" i="1"/>
  <c r="K735" i="1" l="1"/>
  <c r="K750" i="1" s="1"/>
  <c r="K545" i="1"/>
  <c r="K560" i="1" s="1"/>
  <c r="K85" i="1"/>
  <c r="K508" i="1"/>
  <c r="K523" i="1" s="1"/>
  <c r="K773" i="1"/>
  <c r="K788" i="1" s="1"/>
  <c r="K659" i="1"/>
  <c r="K674" i="1" s="1"/>
  <c r="K697" i="1"/>
  <c r="K712" i="1" s="1"/>
  <c r="K583" i="1"/>
  <c r="K598" i="1" s="1"/>
  <c r="K621" i="1"/>
  <c r="K636" i="1" s="1"/>
  <c r="K1153" i="1"/>
  <c r="K286" i="1"/>
  <c r="K796" i="1" l="1"/>
  <c r="K1199" i="1"/>
  <c r="K1263" i="1" l="1"/>
  <c r="K1253" i="1"/>
  <c r="K1248" i="1"/>
  <c r="K1259" i="1"/>
  <c r="K1203" i="1" l="1"/>
  <c r="K1265" i="1"/>
  <c r="K1264" i="1"/>
  <c r="K1298" i="1"/>
  <c r="K1266" i="1" l="1"/>
  <c r="K1293" i="1"/>
  <c r="K1309" i="1" s="1"/>
  <c r="K1311" i="1" s="1"/>
  <c r="K1395" i="1" l="1"/>
  <c r="K1380" i="1"/>
  <c r="K1356" i="1"/>
  <c r="K1321" i="1"/>
  <c r="K1370" i="1"/>
  <c r="K1405" i="1"/>
  <c r="K1349" i="1"/>
  <c r="K1400" i="1"/>
  <c r="K1375" i="1"/>
  <c r="K1363" i="1"/>
  <c r="K1410" i="1"/>
  <c r="K1328" i="1"/>
  <c r="K1748" i="1" l="1"/>
  <c r="K1742" i="1" l="1"/>
  <c r="K1735" i="1"/>
  <c r="K1737" i="1" s="1"/>
  <c r="K1754" i="1" l="1"/>
  <c r="K1567" i="1" l="1"/>
  <c r="K1551" i="1" l="1"/>
  <c r="K1765" i="1" l="1"/>
  <c r="E1760" i="1" l="1"/>
  <c r="P42" i="6" l="1"/>
  <c r="G43" i="6"/>
  <c r="AF43" i="6"/>
  <c r="AJ43" i="6"/>
  <c r="Q43" i="6"/>
  <c r="AK43" i="6"/>
  <c r="P43" i="6"/>
  <c r="AB43" i="6"/>
  <c r="R43" i="6"/>
  <c r="AL43" i="6"/>
  <c r="AE43" i="6"/>
  <c r="U43" i="6"/>
  <c r="AG43" i="6"/>
  <c r="V43" i="6"/>
  <c r="AA43" i="6"/>
  <c r="AH43" i="6"/>
  <c r="Y43" i="6"/>
  <c r="T43" i="6"/>
  <c r="N43" i="6"/>
  <c r="AI43" i="6"/>
  <c r="AD43" i="6"/>
  <c r="AC43" i="6"/>
  <c r="S43" i="6"/>
  <c r="W43" i="6"/>
  <c r="I43" i="6"/>
  <c r="H43" i="6"/>
  <c r="J43" i="6"/>
  <c r="X43" i="6"/>
  <c r="AM43" i="6"/>
  <c r="Z43" i="6"/>
  <c r="BE17" i="1"/>
  <c r="BD17" i="1" s="1"/>
  <c r="BE7" i="1"/>
  <c r="BE15" i="1"/>
  <c r="BE8" i="1"/>
  <c r="BE19" i="1"/>
  <c r="BE16" i="1"/>
  <c r="AL41" i="6"/>
  <c r="AM38" i="6"/>
  <c r="AJ63" i="6"/>
  <c r="AL58" i="6"/>
  <c r="AL57" i="6"/>
  <c r="AM57" i="6"/>
  <c r="AJ58" i="6"/>
  <c r="AK58" i="6"/>
  <c r="AM42" i="6"/>
  <c r="AK64" i="6"/>
  <c r="AL32" i="6"/>
  <c r="AL34" i="6" s="1"/>
  <c r="AM64" i="6"/>
  <c r="AM58" i="6"/>
  <c r="AL63" i="6"/>
  <c r="AJ32" i="6"/>
  <c r="AJ34" i="6" s="1"/>
  <c r="AJ64" i="6"/>
  <c r="AK32" i="6"/>
  <c r="AK34" i="6" s="1"/>
  <c r="AL64" i="6"/>
  <c r="AK57" i="6"/>
  <c r="AJ42" i="6"/>
  <c r="AJ38" i="6"/>
  <c r="AJ41" i="6"/>
  <c r="AM32" i="6"/>
  <c r="AM34" i="6" s="1"/>
  <c r="AM63" i="6"/>
  <c r="AK38" i="6"/>
  <c r="AJ57" i="6"/>
  <c r="AK63" i="6"/>
  <c r="AL42" i="6"/>
  <c r="AM41" i="6"/>
  <c r="AK42" i="6"/>
  <c r="AK41" i="6"/>
  <c r="AL38" i="6"/>
  <c r="AI64" i="6"/>
  <c r="AG57" i="6"/>
  <c r="S57" i="6"/>
  <c r="AH64" i="6"/>
  <c r="AB57" i="6"/>
  <c r="W57" i="6"/>
  <c r="AG64" i="6"/>
  <c r="T64" i="6"/>
  <c r="AE64" i="6"/>
  <c r="AC57" i="6"/>
  <c r="G57" i="6"/>
  <c r="AD64" i="6"/>
  <c r="X57" i="6"/>
  <c r="AC64" i="6"/>
  <c r="S63" i="6"/>
  <c r="AD57" i="6"/>
  <c r="J63" i="6"/>
  <c r="T58" i="6"/>
  <c r="I63" i="6"/>
  <c r="AI57" i="6"/>
  <c r="P58" i="6"/>
  <c r="AA57" i="6"/>
  <c r="AF57" i="6"/>
  <c r="AE57" i="6"/>
  <c r="G58" i="6"/>
  <c r="Y58" i="6"/>
  <c r="S64" i="6"/>
  <c r="Q57" i="6"/>
  <c r="R64" i="6"/>
  <c r="H58" i="6"/>
  <c r="Q64" i="6"/>
  <c r="AF64" i="6"/>
  <c r="P64" i="6"/>
  <c r="N64" i="6"/>
  <c r="H57" i="6"/>
  <c r="AB64" i="6"/>
  <c r="AA64" i="6"/>
  <c r="Y57" i="6"/>
  <c r="AC58" i="6"/>
  <c r="Z64" i="6"/>
  <c r="T57" i="6"/>
  <c r="AG58" i="6"/>
  <c r="W64" i="6"/>
  <c r="U57" i="6"/>
  <c r="U58" i="6"/>
  <c r="V64" i="6"/>
  <c r="P57" i="6"/>
  <c r="Q58" i="6"/>
  <c r="U64" i="6"/>
  <c r="AF58" i="6"/>
  <c r="AH63" i="6"/>
  <c r="AE58" i="6"/>
  <c r="AG63" i="6"/>
  <c r="Z58" i="6"/>
  <c r="AB63" i="6"/>
  <c r="T63" i="6"/>
  <c r="AD63" i="6"/>
  <c r="AA58" i="6"/>
  <c r="AH57" i="6"/>
  <c r="AC63" i="6"/>
  <c r="V58" i="6"/>
  <c r="G63" i="6"/>
  <c r="X63" i="6"/>
  <c r="Y64" i="6"/>
  <c r="I57" i="6"/>
  <c r="AI63" i="6"/>
  <c r="J64" i="6"/>
  <c r="AH58" i="6"/>
  <c r="H64" i="6"/>
  <c r="G64" i="6"/>
  <c r="AI58" i="6"/>
  <c r="AA63" i="6"/>
  <c r="AD58" i="6"/>
  <c r="AE63" i="6"/>
  <c r="AF63" i="6"/>
  <c r="W63" i="6"/>
  <c r="R63" i="6"/>
  <c r="J57" i="6"/>
  <c r="Q63" i="6"/>
  <c r="I58" i="6"/>
  <c r="X64" i="6"/>
  <c r="N63" i="6"/>
  <c r="J58" i="6"/>
  <c r="AB58" i="6"/>
  <c r="X58" i="6"/>
  <c r="H63" i="6"/>
  <c r="I64" i="6"/>
  <c r="Z63" i="6"/>
  <c r="W58" i="6"/>
  <c r="V57" i="6"/>
  <c r="Y63" i="6"/>
  <c r="R58" i="6"/>
  <c r="Z57" i="6"/>
  <c r="V63" i="6"/>
  <c r="S58" i="6"/>
  <c r="N57" i="6"/>
  <c r="U63" i="6"/>
  <c r="N58" i="6"/>
  <c r="R57" i="6"/>
  <c r="P63" i="6"/>
  <c r="G32" i="6"/>
  <c r="G34" i="6" s="1"/>
  <c r="AH32" i="6"/>
  <c r="AH34" i="6" s="1"/>
  <c r="AG32" i="6"/>
  <c r="AG34" i="6" s="1"/>
  <c r="AD32" i="6"/>
  <c r="AD34" i="6" s="1"/>
  <c r="AC32" i="6"/>
  <c r="AC34" i="6" s="1"/>
  <c r="Z32" i="6"/>
  <c r="Z34" i="6" s="1"/>
  <c r="Y32" i="6"/>
  <c r="Y34" i="6" s="1"/>
  <c r="AA32" i="6"/>
  <c r="AA34" i="6" s="1"/>
  <c r="V32" i="6"/>
  <c r="V34" i="6" s="1"/>
  <c r="U32" i="6"/>
  <c r="U34" i="6" s="1"/>
  <c r="R32" i="6"/>
  <c r="R34" i="6" s="1"/>
  <c r="Q32" i="6"/>
  <c r="Q34" i="6" s="1"/>
  <c r="N32" i="6"/>
  <c r="N34" i="6" s="1"/>
  <c r="J32" i="6"/>
  <c r="J34" i="6" s="1"/>
  <c r="I32" i="6"/>
  <c r="I34" i="6" s="1"/>
  <c r="X32" i="6"/>
  <c r="X34" i="6" s="1"/>
  <c r="T32" i="6"/>
  <c r="T34" i="6" s="1"/>
  <c r="AE32" i="6"/>
  <c r="AE34" i="6" s="1"/>
  <c r="P32" i="6"/>
  <c r="P34" i="6" s="1"/>
  <c r="W32" i="6"/>
  <c r="W34" i="6" s="1"/>
  <c r="H32" i="6"/>
  <c r="H34" i="6" s="1"/>
  <c r="S32" i="6"/>
  <c r="S34" i="6" s="1"/>
  <c r="AI32" i="6"/>
  <c r="AI34" i="6" s="1"/>
  <c r="AF32" i="6"/>
  <c r="AF34" i="6" s="1"/>
  <c r="AB32" i="6"/>
  <c r="AB34" i="6" s="1"/>
  <c r="AG38" i="6"/>
  <c r="O38" i="6"/>
  <c r="Z38" i="6"/>
  <c r="I38" i="6"/>
  <c r="S38" i="6"/>
  <c r="X38" i="6"/>
  <c r="H38" i="6"/>
  <c r="AC38" i="6"/>
  <c r="J38" i="6"/>
  <c r="AE38" i="6"/>
  <c r="Q38" i="6"/>
  <c r="T38" i="6"/>
  <c r="Y38" i="6"/>
  <c r="V38" i="6"/>
  <c r="AH38" i="6"/>
  <c r="AF38" i="6"/>
  <c r="AD38" i="6"/>
  <c r="N38" i="6"/>
  <c r="W38" i="6"/>
  <c r="R38" i="6"/>
  <c r="AA38" i="6"/>
  <c r="AI38" i="6"/>
  <c r="G38" i="6"/>
  <c r="P38" i="6"/>
  <c r="U38" i="6"/>
  <c r="AB38" i="6"/>
  <c r="J42" i="6"/>
  <c r="AH42" i="6"/>
  <c r="G41" i="6"/>
  <c r="I42" i="6"/>
  <c r="AC41" i="6"/>
  <c r="AI42" i="6"/>
  <c r="AA42" i="6"/>
  <c r="T41" i="6"/>
  <c r="U42" i="6"/>
  <c r="AE41" i="6"/>
  <c r="AF42" i="6"/>
  <c r="J41" i="6"/>
  <c r="AH41" i="6"/>
  <c r="U41" i="6"/>
  <c r="R42" i="6"/>
  <c r="AB42" i="6"/>
  <c r="W42" i="6"/>
  <c r="AC42" i="6"/>
  <c r="T42" i="6"/>
  <c r="S42" i="6"/>
  <c r="AE42" i="6"/>
  <c r="N42" i="6"/>
  <c r="AI41" i="6"/>
  <c r="AF41" i="6"/>
  <c r="I41" i="6"/>
  <c r="AA41" i="6"/>
  <c r="G42" i="6"/>
  <c r="AD41" i="6"/>
  <c r="R41" i="6"/>
  <c r="Q41" i="6"/>
  <c r="P41" i="6"/>
  <c r="Q42" i="6"/>
  <c r="W41" i="6"/>
  <c r="H41" i="6"/>
  <c r="H42" i="6"/>
  <c r="K41" i="6"/>
  <c r="AG42" i="6"/>
  <c r="Y42" i="6"/>
  <c r="M41" i="6"/>
  <c r="S41" i="6"/>
  <c r="X42" i="6"/>
  <c r="AG41" i="6"/>
  <c r="AB41" i="6"/>
  <c r="V42" i="6"/>
  <c r="V41" i="6"/>
  <c r="Y41" i="6"/>
  <c r="Z42" i="6"/>
  <c r="AD42" i="6"/>
  <c r="Z41" i="6"/>
  <c r="N41" i="6"/>
  <c r="X41" i="6"/>
  <c r="S17" i="1" l="1"/>
  <c r="N17" i="1" s="1"/>
  <c r="Y44" i="6"/>
  <c r="P44" i="6"/>
  <c r="W44" i="6"/>
  <c r="AB44" i="6"/>
  <c r="AI44" i="6"/>
  <c r="AH44" i="6"/>
  <c r="I44" i="6"/>
  <c r="S44" i="6"/>
  <c r="AF44" i="6"/>
  <c r="AM44" i="6"/>
  <c r="N44" i="6"/>
  <c r="AJ44" i="6"/>
  <c r="H44" i="6"/>
  <c r="AA44" i="6"/>
  <c r="Z44" i="6"/>
  <c r="V44" i="6"/>
  <c r="R44" i="6"/>
  <c r="AC44" i="6"/>
  <c r="X44" i="6"/>
  <c r="G44" i="6"/>
  <c r="AG44" i="6"/>
  <c r="AE44" i="6"/>
  <c r="AL44" i="6"/>
  <c r="T44" i="6"/>
  <c r="AK44" i="6"/>
  <c r="Q44" i="6"/>
  <c r="U44" i="6"/>
  <c r="AD44" i="6"/>
  <c r="J44" i="6"/>
  <c r="AL65" i="6"/>
  <c r="AJ65" i="6"/>
  <c r="BE11" i="1"/>
  <c r="AM65" i="6"/>
  <c r="AK65" i="6"/>
  <c r="J65" i="6"/>
  <c r="I65" i="6"/>
  <c r="X65" i="6"/>
  <c r="S65" i="6"/>
  <c r="G65" i="6"/>
  <c r="Y65" i="6"/>
  <c r="V65" i="6"/>
  <c r="AD65" i="6"/>
  <c r="T65" i="6"/>
  <c r="AH65" i="6"/>
  <c r="U65" i="6"/>
  <c r="AA65" i="6"/>
  <c r="AC65" i="6"/>
  <c r="AG65" i="6"/>
  <c r="H65" i="6"/>
  <c r="Z65" i="6"/>
  <c r="AB65" i="6"/>
  <c r="N65" i="6"/>
  <c r="AF65" i="6"/>
  <c r="R65" i="6"/>
  <c r="W65" i="6"/>
  <c r="P65" i="6"/>
  <c r="Q65" i="6"/>
  <c r="AE65" i="6"/>
  <c r="AI65" i="6"/>
  <c r="F52" i="20"/>
  <c r="D52" i="20"/>
  <c r="V39" i="21"/>
  <c r="T49" i="21"/>
  <c r="V49" i="21"/>
  <c r="T24" i="21"/>
  <c r="O29" i="20"/>
  <c r="V24" i="21"/>
  <c r="V28" i="21"/>
  <c r="V25" i="21"/>
  <c r="T29" i="21"/>
  <c r="Q65" i="20"/>
  <c r="V36" i="21"/>
  <c r="T59" i="21"/>
  <c r="O61" i="20"/>
  <c r="Q61" i="20"/>
  <c r="T36" i="21"/>
  <c r="V48" i="21"/>
  <c r="T39" i="21"/>
  <c r="O67" i="20"/>
  <c r="T28" i="21"/>
  <c r="O65" i="20"/>
  <c r="T48" i="21"/>
  <c r="T25" i="21"/>
  <c r="V59" i="21"/>
  <c r="T17" i="21"/>
  <c r="O66" i="20"/>
  <c r="Q67" i="20"/>
  <c r="Q66" i="20"/>
  <c r="G59" i="21"/>
  <c r="E39" i="21"/>
  <c r="D65" i="20"/>
  <c r="D67" i="20"/>
  <c r="E36" i="21"/>
  <c r="E28" i="21"/>
  <c r="I28" i="21" s="1"/>
  <c r="E59" i="21"/>
  <c r="G48" i="21"/>
  <c r="G28" i="21"/>
  <c r="D29" i="20"/>
  <c r="D61" i="20"/>
  <c r="G61" i="20" s="1"/>
  <c r="G49" i="21"/>
  <c r="E48" i="21"/>
  <c r="F65" i="20"/>
  <c r="G36" i="21"/>
  <c r="F61" i="20"/>
  <c r="H61" i="20" s="1"/>
  <c r="G39" i="21"/>
  <c r="D66" i="20"/>
  <c r="F66" i="20"/>
  <c r="F67" i="20"/>
  <c r="E49" i="21"/>
  <c r="F46" i="60" l="1"/>
  <c r="D33" i="141"/>
  <c r="F20" i="60"/>
  <c r="M40" i="33"/>
  <c r="D185" i="60" s="1"/>
  <c r="H28" i="21"/>
  <c r="D36" i="60" s="1"/>
  <c r="S407" i="1"/>
  <c r="N407" i="1" s="1"/>
  <c r="G40" i="33"/>
  <c r="D182" i="60" s="1"/>
  <c r="Q29" i="20"/>
  <c r="F19" i="60" l="1"/>
  <c r="F29" i="20"/>
  <c r="D222" i="60" l="1"/>
  <c r="D233" i="60"/>
  <c r="K1836" i="1"/>
  <c r="K1845" i="1"/>
  <c r="K1839" i="1"/>
  <c r="K1835" i="1"/>
  <c r="K1833" i="1"/>
  <c r="K1841" i="1"/>
  <c r="K1842" i="1"/>
  <c r="K1838" i="1"/>
  <c r="K1840" i="1"/>
  <c r="K1834" i="1"/>
  <c r="K1875" i="1"/>
  <c r="K1843" i="1"/>
  <c r="D67" i="77" l="1"/>
  <c r="K1208" i="1"/>
  <c r="K410" i="1" l="1"/>
  <c r="K425" i="1" s="1"/>
  <c r="K426" i="1" s="1"/>
  <c r="K431" i="1" s="1"/>
  <c r="K97" i="1"/>
  <c r="C110" i="71"/>
  <c r="C112" i="71" s="1"/>
  <c r="D110" i="71" s="1"/>
  <c r="AC25" i="79"/>
  <c r="AC41" i="79" s="1"/>
  <c r="K15" i="1"/>
  <c r="AD25" i="79"/>
  <c r="D255" i="71" s="1"/>
  <c r="K1148" i="1"/>
  <c r="K1150" i="1" s="1"/>
  <c r="K1157" i="1" s="1"/>
  <c r="D266" i="71" l="1"/>
  <c r="E112" i="71"/>
  <c r="H10" i="86"/>
  <c r="P10" i="86"/>
  <c r="Y11" i="67" l="1"/>
  <c r="H13" i="86"/>
  <c r="O10" i="86"/>
  <c r="O13" i="86" s="1"/>
  <c r="C29" i="74"/>
  <c r="K19" i="1"/>
  <c r="K20" i="1" s="1"/>
  <c r="N19" i="36" l="1"/>
  <c r="L19" i="36"/>
  <c r="O48" i="27" l="1"/>
  <c r="O50" i="27" s="1"/>
  <c r="Q48" i="27" l="1"/>
  <c r="Q50" i="27" s="1"/>
  <c r="BD1136" i="1" l="1"/>
  <c r="S1136" i="1" s="1"/>
  <c r="BD796" i="1" l="1"/>
  <c r="S796" i="1" s="1"/>
  <c r="BE43" i="1"/>
  <c r="BG49" i="1" l="1"/>
  <c r="BG61" i="1" s="1"/>
  <c r="BG72" i="1" s="1"/>
  <c r="BG85" i="1" s="1"/>
  <c r="BE49" i="1"/>
  <c r="BE61" i="1" s="1"/>
  <c r="T813" i="1" l="1"/>
  <c r="N813" i="1" s="1"/>
  <c r="F76" i="6" s="1"/>
  <c r="Q67" i="22" l="1"/>
  <c r="Q74" i="22" s="1"/>
  <c r="T57" i="21" l="1"/>
  <c r="BF140" i="1" l="1"/>
  <c r="BF143" i="1" s="1"/>
  <c r="BF145" i="1" s="1"/>
  <c r="BE119" i="1"/>
  <c r="BE140" i="1" s="1"/>
  <c r="BE143" i="1" s="1"/>
  <c r="BE145" i="1" s="1"/>
  <c r="W1208" i="1" l="1"/>
  <c r="T1208" i="1" l="1"/>
  <c r="N1208" i="1" l="1"/>
  <c r="E32" i="34" s="1"/>
  <c r="C32" i="34"/>
  <c r="B37" i="80" l="1"/>
  <c r="C15" i="74"/>
  <c r="K7" i="1" s="1"/>
  <c r="K11" i="1" s="1"/>
  <c r="K24" i="1" s="1"/>
  <c r="K29" i="1" s="1"/>
  <c r="K39" i="1" s="1"/>
  <c r="C18" i="74" l="1"/>
  <c r="C32" i="74" l="1"/>
  <c r="C39" i="74" s="1"/>
  <c r="C34" i="143" s="1"/>
  <c r="K1784" i="1" l="1"/>
  <c r="C48" i="143"/>
  <c r="C47" i="74"/>
  <c r="AA37" i="80"/>
  <c r="D273" i="71"/>
  <c r="C37" i="80"/>
  <c r="L37" i="80"/>
  <c r="J12" i="67" s="1"/>
  <c r="J31" i="67" s="1"/>
  <c r="J38" i="67" s="1"/>
  <c r="O37" i="80"/>
  <c r="M12" i="67" s="1"/>
  <c r="M31" i="67" s="1"/>
  <c r="M38" i="67" s="1"/>
  <c r="R37" i="80"/>
  <c r="P12" i="67" s="1"/>
  <c r="P31" i="67" s="1"/>
  <c r="P38" i="67" s="1"/>
  <c r="Y37" i="80"/>
  <c r="W12" i="67" s="1"/>
  <c r="W31" i="67" s="1"/>
  <c r="W38" i="67" s="1"/>
  <c r="V37" i="80"/>
  <c r="T12" i="67" s="1"/>
  <c r="T31" i="67" s="1"/>
  <c r="T38" i="67" s="1"/>
  <c r="F37" i="80"/>
  <c r="D12" i="67" s="1"/>
  <c r="D31" i="67" s="1"/>
  <c r="D38" i="67" s="1"/>
  <c r="X37" i="80"/>
  <c r="V12" i="67" s="1"/>
  <c r="V31" i="67" s="1"/>
  <c r="V38" i="67" s="1"/>
  <c r="S37" i="80"/>
  <c r="Q12" i="67" s="1"/>
  <c r="Q31" i="67" s="1"/>
  <c r="Q38" i="67" s="1"/>
  <c r="Q37" i="80"/>
  <c r="O12" i="67" s="1"/>
  <c r="O31" i="67" s="1"/>
  <c r="O38" i="67" s="1"/>
  <c r="P37" i="80"/>
  <c r="N12" i="67" s="1"/>
  <c r="N31" i="67" s="1"/>
  <c r="N38" i="67" s="1"/>
  <c r="K37" i="80"/>
  <c r="I12" i="67" s="1"/>
  <c r="I31" i="67" s="1"/>
  <c r="I38" i="67" s="1"/>
  <c r="M37" i="80"/>
  <c r="K12" i="67" s="1"/>
  <c r="K31" i="67" s="1"/>
  <c r="K38" i="67" s="1"/>
  <c r="W37" i="80"/>
  <c r="U12" i="67" s="1"/>
  <c r="U31" i="67" s="1"/>
  <c r="U38" i="67" s="1"/>
  <c r="U37" i="80"/>
  <c r="S12" i="67" s="1"/>
  <c r="S31" i="67" s="1"/>
  <c r="S38" i="67" s="1"/>
  <c r="Z37" i="80"/>
  <c r="X12" i="67" s="1"/>
  <c r="X31" i="67" s="1"/>
  <c r="X38" i="67" s="1"/>
  <c r="E37" i="80"/>
  <c r="D37" i="80" s="1"/>
  <c r="Y12" i="67" s="1"/>
  <c r="G37" i="80"/>
  <c r="E12" i="67" s="1"/>
  <c r="E31" i="67" s="1"/>
  <c r="E38" i="67" s="1"/>
  <c r="F15" i="74"/>
  <c r="F18" i="74" s="1"/>
  <c r="F32" i="74" s="1"/>
  <c r="F39" i="74" s="1"/>
  <c r="T37" i="80"/>
  <c r="R12" i="67" s="1"/>
  <c r="R31" i="67" s="1"/>
  <c r="R38" i="67" s="1"/>
  <c r="H37" i="80"/>
  <c r="F12" i="67" s="1"/>
  <c r="F31" i="67" s="1"/>
  <c r="F38" i="67" s="1"/>
  <c r="N37" i="80"/>
  <c r="L12" i="67" s="1"/>
  <c r="L31" i="67" s="1"/>
  <c r="L38" i="67" s="1"/>
  <c r="I37" i="80"/>
  <c r="G12" i="67" s="1"/>
  <c r="G31" i="67" s="1"/>
  <c r="G38" i="67" s="1"/>
  <c r="J37" i="80"/>
  <c r="H12" i="67" s="1"/>
  <c r="H31" i="67" s="1"/>
  <c r="H38" i="67" s="1"/>
  <c r="D15" i="74"/>
  <c r="D18" i="74" s="1"/>
  <c r="D32" i="74" s="1"/>
  <c r="D39" i="74" s="1"/>
  <c r="D34" i="143" s="1"/>
  <c r="D48" i="143" s="1"/>
  <c r="D50" i="143" s="1"/>
  <c r="D52" i="143" s="1"/>
  <c r="C66" i="74" l="1"/>
  <c r="C216" i="71" s="1"/>
  <c r="C159" i="71"/>
  <c r="K1797" i="1"/>
  <c r="C50" i="143"/>
  <c r="C52" i="143" s="1"/>
  <c r="D47" i="74"/>
  <c r="D16" i="77" s="1"/>
  <c r="C16" i="77"/>
  <c r="C158" i="71" s="1"/>
  <c r="E159" i="71" s="1"/>
  <c r="D66" i="74"/>
  <c r="C12" i="67"/>
  <c r="B12" i="67" s="1"/>
  <c r="G16" i="77"/>
  <c r="F66" i="74"/>
  <c r="I32" i="76" s="1"/>
  <c r="D282" i="71"/>
  <c r="L7" i="1"/>
  <c r="L11" i="1" s="1"/>
  <c r="L24" i="1" s="1"/>
  <c r="L29" i="1" s="1"/>
  <c r="L39" i="1" s="1"/>
  <c r="C32" i="76" l="1"/>
  <c r="K96" i="1"/>
  <c r="K119" i="1" s="1"/>
  <c r="K140" i="1" s="1"/>
  <c r="K143" i="1" s="1"/>
  <c r="C40" i="77"/>
  <c r="C63" i="77" s="1"/>
  <c r="C165" i="71" s="1"/>
  <c r="D165" i="71" s="1"/>
  <c r="D158" i="71"/>
  <c r="B31" i="67"/>
  <c r="C21" i="76"/>
  <c r="L32" i="76"/>
  <c r="L36" i="76" s="1"/>
  <c r="I36" i="76"/>
  <c r="F63" i="75" s="1"/>
  <c r="L188" i="1"/>
  <c r="L201" i="1" s="1"/>
  <c r="D40" i="77"/>
  <c r="D63" i="77" s="1"/>
  <c r="L96" i="1"/>
  <c r="L119" i="1" s="1"/>
  <c r="L140" i="1" s="1"/>
  <c r="L143" i="1" s="1"/>
  <c r="L145" i="1" s="1"/>
  <c r="G40" i="77"/>
  <c r="G63" i="77" s="1"/>
  <c r="G65" i="77" s="1"/>
  <c r="F32" i="76" l="1"/>
  <c r="C217" i="71" s="1"/>
  <c r="D216" i="71" s="1"/>
  <c r="K188" i="1"/>
  <c r="G68" i="77"/>
  <c r="D169" i="71"/>
  <c r="D65" i="77"/>
  <c r="F66" i="75"/>
  <c r="L89" i="1"/>
  <c r="L92" i="1" s="1"/>
  <c r="C26" i="76"/>
  <c r="K163" i="1"/>
  <c r="K177" i="1" s="1"/>
  <c r="F21" i="76"/>
  <c r="B33" i="67"/>
  <c r="B38" i="67" s="1"/>
  <c r="K201" i="1" l="1"/>
  <c r="E217" i="71"/>
  <c r="F26" i="76"/>
  <c r="F36" i="76" s="1"/>
  <c r="D63" i="75"/>
  <c r="D66" i="75" s="1"/>
  <c r="D68" i="75" s="1"/>
  <c r="C36" i="76"/>
  <c r="C63" i="75" s="1"/>
  <c r="D68" i="77"/>
  <c r="C64" i="77"/>
  <c r="D70" i="77"/>
  <c r="C66" i="75" l="1"/>
  <c r="C68" i="75" s="1"/>
  <c r="K89" i="1"/>
  <c r="K92" i="1" s="1"/>
  <c r="K144" i="1"/>
  <c r="K145" i="1" s="1"/>
  <c r="C65" i="77"/>
  <c r="C70" i="77" l="1"/>
  <c r="D168" i="71" s="1"/>
  <c r="F48" i="27" l="1"/>
  <c r="D48" i="27"/>
  <c r="D50" i="27" s="1"/>
  <c r="F50" i="27" l="1"/>
  <c r="W135" i="1" l="1"/>
  <c r="AD53" i="22" l="1"/>
  <c r="AD121" i="22"/>
  <c r="T135" i="1"/>
  <c r="N135" i="1"/>
  <c r="U53" i="22" l="1"/>
  <c r="F121" i="22"/>
  <c r="U121" i="22"/>
  <c r="F53" i="22"/>
  <c r="D53" i="22"/>
  <c r="D121" i="22"/>
  <c r="AA121" i="22"/>
  <c r="AA53" i="22"/>
  <c r="CK121" i="22" l="1"/>
  <c r="H121" i="22"/>
  <c r="J121" i="22"/>
  <c r="CK53" i="22"/>
  <c r="U1706" i="1" l="1"/>
  <c r="CM1706" i="1" s="1"/>
  <c r="CP1706" i="1" s="1"/>
  <c r="U1709" i="1"/>
  <c r="U1834" i="1"/>
  <c r="CP1834" i="1" s="1"/>
  <c r="U1705" i="1"/>
  <c r="CM1705" i="1" s="1"/>
  <c r="CP1705" i="1" s="1"/>
  <c r="U1718" i="1"/>
  <c r="U1835" i="1"/>
  <c r="CP1835" i="1" s="1"/>
  <c r="U1710" i="1"/>
  <c r="T1716" i="1"/>
  <c r="C78" i="39" s="1"/>
  <c r="U1711" i="1"/>
  <c r="U1717" i="1"/>
  <c r="U1708" i="1"/>
  <c r="T1718" i="1" l="1"/>
  <c r="C82" i="39" s="1"/>
  <c r="CM1718" i="1"/>
  <c r="CP1718" i="1" s="1"/>
  <c r="T1709" i="1"/>
  <c r="C56" i="39" s="1"/>
  <c r="CM1709" i="1"/>
  <c r="CP1709" i="1" s="1"/>
  <c r="T1708" i="1"/>
  <c r="C55" i="39" s="1"/>
  <c r="CM1708" i="1"/>
  <c r="CP1708" i="1" s="1"/>
  <c r="T1717" i="1"/>
  <c r="C80" i="39" s="1"/>
  <c r="CM1717" i="1"/>
  <c r="CP1717" i="1" s="1"/>
  <c r="T1711" i="1"/>
  <c r="C59" i="39" s="1"/>
  <c r="CM1711" i="1"/>
  <c r="CP1711" i="1" s="1"/>
  <c r="T1710" i="1"/>
  <c r="C57" i="39" s="1"/>
  <c r="CM1710" i="1"/>
  <c r="CP1710" i="1" s="1"/>
  <c r="T1705" i="1"/>
  <c r="C48" i="39" s="1"/>
  <c r="T1706" i="1"/>
  <c r="C49" i="39" s="1"/>
  <c r="U1707" i="1"/>
  <c r="CM1707" i="1" s="1"/>
  <c r="CP1707" i="1" s="1"/>
  <c r="U1704" i="1"/>
  <c r="CM1704" i="1" s="1"/>
  <c r="CP1704" i="1" s="1"/>
  <c r="C58" i="39" l="1"/>
  <c r="C60" i="39" s="1"/>
  <c r="T1707" i="1"/>
  <c r="C51" i="39" s="1"/>
  <c r="U1715" i="1"/>
  <c r="CM1715" i="1" s="1"/>
  <c r="CP1715" i="1" s="1"/>
  <c r="T1704" i="1"/>
  <c r="C47" i="39" s="1"/>
  <c r="U116" i="1" l="1"/>
  <c r="CP116" i="1" s="1"/>
  <c r="T1715" i="1"/>
  <c r="C76" i="39" s="1"/>
  <c r="U66" i="1"/>
  <c r="CP66" i="1" s="1"/>
  <c r="U144" i="1"/>
  <c r="CP144" i="1" s="1"/>
  <c r="C50" i="39"/>
  <c r="C52" i="39" s="1"/>
  <c r="C62" i="39" s="1"/>
  <c r="D214" i="60" s="1"/>
  <c r="T38" i="21" l="1"/>
  <c r="T1713" i="1"/>
  <c r="T1712" i="1"/>
  <c r="U32" i="1"/>
  <c r="CP32" i="1" s="1"/>
  <c r="C61" i="39"/>
  <c r="U216" i="1"/>
  <c r="CP216" i="1" s="1"/>
  <c r="U74" i="1"/>
  <c r="CP74" i="1" s="1"/>
  <c r="U990" i="1"/>
  <c r="CP990" i="1" s="1"/>
  <c r="U1134" i="1"/>
  <c r="CP1134" i="1" s="1"/>
  <c r="Q134" i="22"/>
  <c r="Q66" i="22"/>
  <c r="Q99" i="22"/>
  <c r="Q30" i="22"/>
  <c r="C64" i="39" l="1"/>
  <c r="C66" i="39"/>
  <c r="U33" i="1"/>
  <c r="CP33" i="1" s="1"/>
  <c r="U228" i="1"/>
  <c r="U991" i="1"/>
  <c r="U1026" i="1"/>
  <c r="CP1026" i="1" s="1"/>
  <c r="M94" i="6"/>
  <c r="O58" i="20"/>
  <c r="U954" i="1"/>
  <c r="CP954" i="1" s="1"/>
  <c r="U163" i="1"/>
  <c r="CP163" i="1" s="1"/>
  <c r="U882" i="1"/>
  <c r="CP882" i="1" s="1"/>
  <c r="U1062" i="1"/>
  <c r="CP1062" i="1" s="1"/>
  <c r="U918" i="1"/>
  <c r="CP918" i="1" s="1"/>
  <c r="U90" i="1"/>
  <c r="CP90" i="1" s="1"/>
  <c r="U1098" i="1"/>
  <c r="CP1098" i="1" s="1"/>
  <c r="U1135" i="1"/>
  <c r="T46" i="21"/>
  <c r="M107" i="6" l="1"/>
  <c r="U919" i="1"/>
  <c r="U1099" i="1"/>
  <c r="U883" i="1"/>
  <c r="U955" i="1"/>
  <c r="U238" i="1"/>
  <c r="U1027" i="1"/>
  <c r="T58" i="21"/>
  <c r="T60" i="21" s="1"/>
  <c r="U92" i="1"/>
  <c r="U177" i="1"/>
  <c r="U45" i="1"/>
  <c r="U1063" i="1"/>
  <c r="O60" i="20"/>
  <c r="U250" i="1" l="1"/>
  <c r="CP238" i="1"/>
  <c r="T16" i="21"/>
  <c r="CP45" i="1"/>
  <c r="M18" i="6"/>
  <c r="U540" i="1" l="1"/>
  <c r="CP540" i="1" s="1"/>
  <c r="U618" i="1"/>
  <c r="CP618" i="1" s="1"/>
  <c r="U536" i="1"/>
  <c r="CP536" i="1" s="1"/>
  <c r="U733" i="1"/>
  <c r="CP733" i="1" s="1"/>
  <c r="U499" i="1"/>
  <c r="CP499" i="1" s="1"/>
  <c r="U655" i="1"/>
  <c r="CP655" i="1" s="1"/>
  <c r="U766" i="1"/>
  <c r="CP766" i="1" s="1"/>
  <c r="U581" i="1"/>
  <c r="CP581" i="1" s="1"/>
  <c r="U496" i="1"/>
  <c r="CP496" i="1" s="1"/>
  <c r="U616" i="1"/>
  <c r="CP616" i="1" s="1"/>
  <c r="U533" i="1"/>
  <c r="CP533" i="1" s="1"/>
  <c r="U726" i="1"/>
  <c r="CP726" i="1" s="1"/>
  <c r="U617" i="1"/>
  <c r="CP617" i="1" s="1"/>
  <c r="U544" i="1"/>
  <c r="CP544" i="1" s="1"/>
  <c r="U728" i="1"/>
  <c r="CP728" i="1" s="1"/>
  <c r="U619" i="1"/>
  <c r="CP619" i="1" s="1"/>
  <c r="U502" i="1"/>
  <c r="CP502" i="1" s="1"/>
  <c r="U609" i="1"/>
  <c r="CP609" i="1" s="1"/>
  <c r="U504" i="1"/>
  <c r="CP504" i="1" s="1"/>
  <c r="U693" i="1"/>
  <c r="CP693" i="1" s="1"/>
  <c r="U541" i="1"/>
  <c r="CP541" i="1" s="1"/>
  <c r="U580" i="1"/>
  <c r="CP580" i="1" s="1"/>
  <c r="U615" i="1"/>
  <c r="CP615" i="1" s="1"/>
  <c r="U571" i="1"/>
  <c r="CP571" i="1" s="1"/>
  <c r="U620" i="1"/>
  <c r="CP620" i="1" s="1"/>
  <c r="U653" i="1"/>
  <c r="CP653" i="1" s="1"/>
  <c r="U579" i="1"/>
  <c r="CP579" i="1" s="1"/>
  <c r="U768" i="1"/>
  <c r="CP768" i="1" s="1"/>
  <c r="U696" i="1"/>
  <c r="CP696" i="1" s="1"/>
  <c r="U539" i="1"/>
  <c r="CP539" i="1" s="1"/>
  <c r="U612" i="1"/>
  <c r="CP612" i="1" s="1"/>
  <c r="U765" i="1"/>
  <c r="CP765" i="1" s="1"/>
  <c r="U730" i="1"/>
  <c r="CP730" i="1" s="1"/>
  <c r="U578" i="1"/>
  <c r="CP578" i="1" s="1"/>
  <c r="U542" i="1"/>
  <c r="CP542" i="1" s="1"/>
  <c r="U695" i="1"/>
  <c r="CP695" i="1" s="1"/>
  <c r="U507" i="1"/>
  <c r="CP507" i="1" s="1"/>
  <c r="U647" i="1"/>
  <c r="CP647" i="1" s="1"/>
  <c r="U771" i="1"/>
  <c r="CP771" i="1" s="1"/>
  <c r="U575" i="1"/>
  <c r="CP575" i="1" s="1"/>
  <c r="U500" i="1"/>
  <c r="CP500" i="1" s="1"/>
  <c r="U764" i="1"/>
  <c r="CP764" i="1" s="1"/>
  <c r="U770" i="1"/>
  <c r="CP770" i="1" s="1"/>
  <c r="U654" i="1"/>
  <c r="CP654" i="1" s="1"/>
  <c r="U690" i="1"/>
  <c r="CP690" i="1" s="1"/>
  <c r="U688" i="1"/>
  <c r="CP688" i="1" s="1"/>
  <c r="U582" i="1"/>
  <c r="CP582" i="1" s="1"/>
  <c r="U543" i="1"/>
  <c r="CP543" i="1" s="1"/>
  <c r="U656" i="1"/>
  <c r="CP656" i="1" s="1"/>
  <c r="U657" i="1"/>
  <c r="CP657" i="1" s="1"/>
  <c r="U692" i="1"/>
  <c r="CP692" i="1" s="1"/>
  <c r="U769" i="1"/>
  <c r="CP769" i="1" s="1"/>
  <c r="U505" i="1"/>
  <c r="CP505" i="1" s="1"/>
  <c r="U652" i="1"/>
  <c r="CP652" i="1" s="1"/>
  <c r="U614" i="1"/>
  <c r="CP614" i="1" s="1"/>
  <c r="U650" i="1"/>
  <c r="CP650" i="1" s="1"/>
  <c r="U537" i="1"/>
  <c r="CP537" i="1" s="1"/>
  <c r="U577" i="1"/>
  <c r="CP577" i="1" s="1"/>
  <c r="U501" i="1"/>
  <c r="CP501" i="1" s="1"/>
  <c r="U761" i="1"/>
  <c r="CP761" i="1" s="1"/>
  <c r="U576" i="1"/>
  <c r="CP576" i="1" s="1"/>
  <c r="U727" i="1"/>
  <c r="CP727" i="1" s="1"/>
  <c r="U731" i="1"/>
  <c r="CP731" i="1" s="1"/>
  <c r="U538" i="1"/>
  <c r="CP538" i="1" s="1"/>
  <c r="U729" i="1"/>
  <c r="CP729" i="1" s="1"/>
  <c r="U503" i="1"/>
  <c r="CP503" i="1" s="1"/>
  <c r="U732" i="1"/>
  <c r="CP732" i="1" s="1"/>
  <c r="U767" i="1"/>
  <c r="CP767" i="1" s="1"/>
  <c r="U506" i="1"/>
  <c r="CP506" i="1" s="1"/>
  <c r="U723" i="1"/>
  <c r="CP723" i="1" s="1"/>
  <c r="U651" i="1"/>
  <c r="CP651" i="1" s="1"/>
  <c r="U574" i="1"/>
  <c r="CP574" i="1" s="1"/>
  <c r="U689" i="1"/>
  <c r="CP689" i="1" s="1"/>
  <c r="U772" i="1"/>
  <c r="CP772" i="1" s="1"/>
  <c r="U685" i="1"/>
  <c r="CP685" i="1" s="1"/>
  <c r="U734" i="1"/>
  <c r="CP734" i="1" s="1"/>
  <c r="U691" i="1"/>
  <c r="CP691" i="1" s="1"/>
  <c r="U613" i="1"/>
  <c r="CP613" i="1" s="1"/>
  <c r="U694" i="1"/>
  <c r="CP694" i="1" s="1"/>
  <c r="U658" i="1"/>
  <c r="CP658" i="1" s="1"/>
  <c r="U573" i="1" l="1"/>
  <c r="CP573" i="1" s="1"/>
  <c r="M101" i="6"/>
  <c r="M86" i="6"/>
  <c r="U532" i="1"/>
  <c r="CP532" i="1" s="1"/>
  <c r="U535" i="1"/>
  <c r="CP535" i="1" s="1"/>
  <c r="U763" i="1"/>
  <c r="CP763" i="1" s="1"/>
  <c r="M88" i="6"/>
  <c r="M112" i="6"/>
  <c r="U608" i="1"/>
  <c r="CP608" i="1" s="1"/>
  <c r="U611" i="1"/>
  <c r="CP611" i="1" s="1"/>
  <c r="U687" i="1"/>
  <c r="CP687" i="1" s="1"/>
  <c r="U649" i="1"/>
  <c r="CP649" i="1" s="1"/>
  <c r="U684" i="1"/>
  <c r="CP684" i="1" s="1"/>
  <c r="U495" i="1"/>
  <c r="CP495" i="1" s="1"/>
  <c r="U646" i="1"/>
  <c r="CP646" i="1" s="1"/>
  <c r="U760" i="1"/>
  <c r="CP760" i="1" s="1"/>
  <c r="U498" i="1"/>
  <c r="CP498" i="1" s="1"/>
  <c r="M87" i="6"/>
  <c r="U570" i="1"/>
  <c r="CP570" i="1" s="1"/>
  <c r="U725" i="1"/>
  <c r="CP725" i="1" s="1"/>
  <c r="U722" i="1"/>
  <c r="CP722" i="1" s="1"/>
  <c r="U572" i="1" l="1"/>
  <c r="U762" i="1"/>
  <c r="U724" i="1"/>
  <c r="U534" i="1"/>
  <c r="U648" i="1"/>
  <c r="U497" i="1"/>
  <c r="U610" i="1"/>
  <c r="U686" i="1"/>
  <c r="U508" i="1" l="1"/>
  <c r="U697" i="1"/>
  <c r="U773" i="1"/>
  <c r="U659" i="1"/>
  <c r="U735" i="1"/>
  <c r="U583" i="1"/>
  <c r="U561" i="1"/>
  <c r="U545" i="1"/>
  <c r="U621" i="1"/>
  <c r="U21" i="1" l="1"/>
  <c r="CP21" i="1" s="1"/>
  <c r="U1242" i="1"/>
  <c r="CP1242" i="1" s="1"/>
  <c r="U1238" i="1"/>
  <c r="U1256" i="1"/>
  <c r="CP1256" i="1" s="1"/>
  <c r="U1284" i="1"/>
  <c r="CP1284" i="1" s="1"/>
  <c r="U1286" i="1"/>
  <c r="U1247" i="1"/>
  <c r="CP1247" i="1" s="1"/>
  <c r="U1260" i="1"/>
  <c r="CP1260" i="1" s="1"/>
  <c r="U1276" i="1"/>
  <c r="CP1276" i="1" s="1"/>
  <c r="U1305" i="1"/>
  <c r="CP1305" i="1" s="1"/>
  <c r="U1262" i="1"/>
  <c r="U1274" i="1"/>
  <c r="CP1274" i="1" s="1"/>
  <c r="U1278" i="1"/>
  <c r="CP1278" i="1" s="1"/>
  <c r="U1306" i="1"/>
  <c r="CP1306" i="1" s="1"/>
  <c r="U1250" i="1"/>
  <c r="CP1250" i="1" s="1"/>
  <c r="U1283" i="1"/>
  <c r="CP1283" i="1" s="1"/>
  <c r="U1289" i="1"/>
  <c r="U1279" i="1"/>
  <c r="CP1279" i="1" s="1"/>
  <c r="U1246" i="1"/>
  <c r="CP1246" i="1" s="1"/>
  <c r="U1245" i="1"/>
  <c r="U1282" i="1"/>
  <c r="U1290" i="1"/>
  <c r="CP1290" i="1" s="1"/>
  <c r="U1241" i="1"/>
  <c r="CP1241" i="1" s="1"/>
  <c r="U1281" i="1"/>
  <c r="CP1281" i="1" s="1"/>
  <c r="U1295" i="1"/>
  <c r="CP1295" i="1" s="1"/>
  <c r="U1240" i="1"/>
  <c r="CP1240" i="1" s="1"/>
  <c r="U1257" i="1"/>
  <c r="CP1257" i="1" s="1"/>
  <c r="U1291" i="1"/>
  <c r="CP1291" i="1" s="1"/>
  <c r="U1239" i="1"/>
  <c r="CP1239" i="1" s="1"/>
  <c r="U1258" i="1"/>
  <c r="CP1258" i="1" s="1"/>
  <c r="U1280" i="1"/>
  <c r="CP1280" i="1" s="1"/>
  <c r="U1292" i="1"/>
  <c r="CP1292" i="1" s="1"/>
  <c r="T1286" i="1" l="1"/>
  <c r="CP1286" i="1"/>
  <c r="T1245" i="1"/>
  <c r="CP1245" i="1"/>
  <c r="T1262" i="1"/>
  <c r="CP1262" i="1"/>
  <c r="T1282" i="1"/>
  <c r="CP1282" i="1"/>
  <c r="L20" i="36"/>
  <c r="CP1289" i="1"/>
  <c r="T1290" i="1"/>
  <c r="C21" i="36" s="1"/>
  <c r="L21" i="36"/>
  <c r="U16" i="1"/>
  <c r="CP16" i="1" s="1"/>
  <c r="U15" i="1"/>
  <c r="CP15" i="1" s="1"/>
  <c r="U22" i="1"/>
  <c r="CP22" i="1" s="1"/>
  <c r="U115" i="1"/>
  <c r="CP115" i="1" s="1"/>
  <c r="U110" i="1"/>
  <c r="CP110" i="1" s="1"/>
  <c r="U114" i="1"/>
  <c r="CP114" i="1" s="1"/>
  <c r="U47" i="1"/>
  <c r="U103" i="1"/>
  <c r="CP103" i="1" s="1"/>
  <c r="L17" i="36"/>
  <c r="M38" i="6"/>
  <c r="T1280" i="1"/>
  <c r="O37" i="20"/>
  <c r="L29" i="36"/>
  <c r="L50" i="36"/>
  <c r="T1305" i="1"/>
  <c r="C50" i="36" s="1"/>
  <c r="T1284" i="1"/>
  <c r="C16" i="36" s="1"/>
  <c r="L16" i="36"/>
  <c r="U48" i="1"/>
  <c r="U102" i="1"/>
  <c r="CP102" i="1" s="1"/>
  <c r="L33" i="35"/>
  <c r="L27" i="36"/>
  <c r="U109" i="1"/>
  <c r="CP109" i="1" s="1"/>
  <c r="U101" i="1"/>
  <c r="CP101" i="1" s="1"/>
  <c r="U7" i="1"/>
  <c r="T1258" i="1"/>
  <c r="C34" i="35" s="1"/>
  <c r="V34" i="35" s="1"/>
  <c r="L34" i="35"/>
  <c r="L13" i="36"/>
  <c r="L11" i="36"/>
  <c r="U1237" i="1"/>
  <c r="U97" i="1"/>
  <c r="CP97" i="1" s="1"/>
  <c r="U1300" i="1"/>
  <c r="CP1300" i="1" s="1"/>
  <c r="L15" i="35"/>
  <c r="U111" i="1"/>
  <c r="CP111" i="1" s="1"/>
  <c r="U104" i="1"/>
  <c r="CP104" i="1" s="1"/>
  <c r="L16" i="35"/>
  <c r="U1255" i="1"/>
  <c r="CP1255" i="1" s="1"/>
  <c r="U1294" i="1"/>
  <c r="CP1294" i="1" s="1"/>
  <c r="L21" i="35"/>
  <c r="L25" i="35"/>
  <c r="U1304" i="1"/>
  <c r="CP1304" i="1" s="1"/>
  <c r="L12" i="35"/>
  <c r="U55" i="1"/>
  <c r="CP55" i="1" s="1"/>
  <c r="U112" i="1"/>
  <c r="CP112" i="1" s="1"/>
  <c r="T1292" i="1"/>
  <c r="C24" i="36" s="1"/>
  <c r="L24" i="36"/>
  <c r="L23" i="36"/>
  <c r="L37" i="35"/>
  <c r="L40" i="35" s="1"/>
  <c r="U1263" i="1"/>
  <c r="T1242" i="1"/>
  <c r="C19" i="35" s="1"/>
  <c r="V19" i="35" s="1"/>
  <c r="L19" i="35"/>
  <c r="U65" i="1"/>
  <c r="CP65" i="1" s="1"/>
  <c r="T1295" i="1"/>
  <c r="C36" i="36" s="1"/>
  <c r="L36" i="36"/>
  <c r="L17" i="35"/>
  <c r="T1241" i="1"/>
  <c r="C17" i="35" s="1"/>
  <c r="V17" i="35" s="1"/>
  <c r="L30" i="36"/>
  <c r="L51" i="36"/>
  <c r="T1306" i="1"/>
  <c r="C51" i="36" s="1"/>
  <c r="U1249" i="1"/>
  <c r="CP1249" i="1" s="1"/>
  <c r="C17" i="36" l="1"/>
  <c r="T19" i="21"/>
  <c r="CP48" i="1"/>
  <c r="T18" i="21"/>
  <c r="CP47" i="1"/>
  <c r="U1248" i="1"/>
  <c r="CP1237" i="1"/>
  <c r="T37" i="21"/>
  <c r="Q25" i="22"/>
  <c r="Q94" i="22"/>
  <c r="Q28" i="22"/>
  <c r="Q97" i="22"/>
  <c r="L11" i="35"/>
  <c r="L22" i="35" s="1"/>
  <c r="O27" i="20"/>
  <c r="Q95" i="22"/>
  <c r="Q26" i="22"/>
  <c r="L49" i="36"/>
  <c r="L53" i="36" s="1"/>
  <c r="U1307" i="1"/>
  <c r="L35" i="36"/>
  <c r="L39" i="36" s="1"/>
  <c r="U1298" i="1"/>
  <c r="U1303" i="1"/>
  <c r="L45" i="36"/>
  <c r="L47" i="36" s="1"/>
  <c r="Q17" i="22"/>
  <c r="Q24" i="22"/>
  <c r="Q93" i="22"/>
  <c r="O39" i="20"/>
  <c r="L31" i="35"/>
  <c r="L35" i="35" s="1"/>
  <c r="L45" i="35" s="1"/>
  <c r="U1259" i="1"/>
  <c r="Q85" i="22"/>
  <c r="M32" i="6"/>
  <c r="Q12" i="22"/>
  <c r="Q92" i="22"/>
  <c r="Q23" i="22"/>
  <c r="Q16" i="22"/>
  <c r="BG84" i="22"/>
  <c r="CL84" i="22" s="1"/>
  <c r="L14" i="36"/>
  <c r="Q98" i="22"/>
  <c r="Q29" i="22"/>
  <c r="U1253" i="1"/>
  <c r="L24" i="35"/>
  <c r="L27" i="35" s="1"/>
  <c r="O25" i="20"/>
  <c r="Q88" i="22"/>
  <c r="Q15" i="22"/>
  <c r="T27" i="21"/>
  <c r="L40" i="36"/>
  <c r="L56" i="35"/>
  <c r="O14" i="20"/>
  <c r="L38" i="6"/>
  <c r="U1265" i="1" l="1"/>
  <c r="U1264" i="1"/>
  <c r="L43" i="35"/>
  <c r="L47" i="35" s="1"/>
  <c r="U81" i="1"/>
  <c r="CP81" i="1" s="1"/>
  <c r="L57" i="36"/>
  <c r="U1310" i="1"/>
  <c r="T26" i="21"/>
  <c r="T30" i="21" s="1"/>
  <c r="U59" i="1"/>
  <c r="U1266" i="1" l="1"/>
  <c r="T47" i="21"/>
  <c r="T50" i="21" s="1"/>
  <c r="U83" i="1"/>
  <c r="L48" i="35" l="1"/>
  <c r="F205" i="60" s="1"/>
  <c r="F16" i="17" l="1"/>
  <c r="F23" i="17" l="1"/>
  <c r="U1752" i="1" l="1"/>
  <c r="CM1752" i="1" s="1"/>
  <c r="CP1752" i="1" s="1"/>
  <c r="U1753" i="1"/>
  <c r="CM1753" i="1" s="1"/>
  <c r="CP1753" i="1" s="1"/>
  <c r="U1747" i="1"/>
  <c r="CM1747" i="1" s="1"/>
  <c r="CP1747" i="1" s="1"/>
  <c r="U1751" i="1" l="1"/>
  <c r="CM1751" i="1" s="1"/>
  <c r="CP1751" i="1" s="1"/>
  <c r="U1746" i="1"/>
  <c r="CM1746" i="1" s="1"/>
  <c r="CP1746" i="1" s="1"/>
  <c r="U1748" i="1" l="1"/>
  <c r="CM1748" i="1" s="1"/>
  <c r="U1754" i="1"/>
  <c r="CM1754" i="1" s="1"/>
  <c r="U664" i="1" l="1"/>
  <c r="CP664" i="1" s="1"/>
  <c r="U776" i="1"/>
  <c r="CP776" i="1" s="1"/>
  <c r="U706" i="1"/>
  <c r="CP706" i="1" s="1"/>
  <c r="U780" i="1"/>
  <c r="CP780" i="1" s="1"/>
  <c r="U703" i="1"/>
  <c r="CP703" i="1" s="1"/>
  <c r="U629" i="1"/>
  <c r="CP629" i="1" s="1"/>
  <c r="U551" i="1"/>
  <c r="CP551" i="1" s="1"/>
  <c r="U555" i="1"/>
  <c r="CP555" i="1" s="1"/>
  <c r="U558" i="1"/>
  <c r="CP558" i="1" s="1"/>
  <c r="U550" i="1"/>
  <c r="CP550" i="1" s="1"/>
  <c r="U519" i="1"/>
  <c r="CP519" i="1" s="1"/>
  <c r="U966" i="1"/>
  <c r="CP966" i="1" s="1"/>
  <c r="U1068" i="1"/>
  <c r="CP1068" i="1" s="1"/>
  <c r="U854" i="1"/>
  <c r="CP854" i="1" s="1"/>
  <c r="U1033" i="1"/>
  <c r="CP1033" i="1" s="1"/>
  <c r="U860" i="1"/>
  <c r="CP860" i="1" s="1"/>
  <c r="U895" i="1"/>
  <c r="CP895" i="1" s="1"/>
  <c r="U894" i="1"/>
  <c r="CP894" i="1" s="1"/>
  <c r="U1044" i="1"/>
  <c r="CP1044" i="1" s="1"/>
  <c r="U1015" i="1"/>
  <c r="CP1015" i="1" s="1"/>
  <c r="U910" i="1"/>
  <c r="CP910" i="1" s="1"/>
  <c r="U1116" i="1"/>
  <c r="CP1116" i="1" s="1"/>
  <c r="U1053" i="1"/>
  <c r="CP1053" i="1" s="1"/>
  <c r="U1017" i="1"/>
  <c r="CP1017" i="1" s="1"/>
  <c r="U1049" i="1"/>
  <c r="CP1049" i="1" s="1"/>
  <c r="U1008" i="1"/>
  <c r="CP1008" i="1" s="1"/>
  <c r="U1048" i="1"/>
  <c r="CP1048" i="1" s="1"/>
  <c r="U903" i="1"/>
  <c r="CP903" i="1" s="1"/>
  <c r="U867" i="1"/>
  <c r="CP867" i="1" s="1"/>
  <c r="U403" i="1"/>
  <c r="CP403" i="1" s="1"/>
  <c r="U401" i="1"/>
  <c r="U383" i="1"/>
  <c r="CP383" i="1" s="1"/>
  <c r="U382" i="1"/>
  <c r="CP382" i="1" s="1"/>
  <c r="U744" i="1"/>
  <c r="CP744" i="1" s="1"/>
  <c r="U1069" i="1"/>
  <c r="CP1069" i="1" s="1"/>
  <c r="U1037" i="1"/>
  <c r="CP1037" i="1" s="1"/>
  <c r="U890" i="1"/>
  <c r="CP890" i="1" s="1"/>
  <c r="U904" i="1"/>
  <c r="CP904" i="1" s="1"/>
  <c r="U874" i="1"/>
  <c r="CP874" i="1" s="1"/>
  <c r="U1378" i="1"/>
  <c r="CM1378" i="1" s="1"/>
  <c r="CP1378" i="1" s="1"/>
  <c r="U365" i="1"/>
  <c r="CP365" i="1" s="1"/>
  <c r="U746" i="1"/>
  <c r="CP746" i="1" s="1"/>
  <c r="U627" i="1"/>
  <c r="CP627" i="1" s="1"/>
  <c r="U630" i="1"/>
  <c r="CP630" i="1" s="1"/>
  <c r="U781" i="1"/>
  <c r="CP781" i="1" s="1"/>
  <c r="U557" i="1"/>
  <c r="CP557" i="1" s="1"/>
  <c r="U702" i="1"/>
  <c r="CP702" i="1" s="1"/>
  <c r="U785" i="1"/>
  <c r="CP785" i="1" s="1"/>
  <c r="U705" i="1"/>
  <c r="CP705" i="1" s="1"/>
  <c r="U741" i="1"/>
  <c r="CP741" i="1" s="1"/>
  <c r="U668" i="1"/>
  <c r="CP668" i="1" s="1"/>
  <c r="U592" i="1"/>
  <c r="CP592" i="1" s="1"/>
  <c r="U514" i="1"/>
  <c r="CP514" i="1" s="1"/>
  <c r="U624" i="1"/>
  <c r="CP624" i="1" s="1"/>
  <c r="U1075" i="1"/>
  <c r="CP1075" i="1" s="1"/>
  <c r="U1076" i="1"/>
  <c r="CP1076" i="1" s="1"/>
  <c r="U928" i="1"/>
  <c r="CP928" i="1" s="1"/>
  <c r="U1108" i="1"/>
  <c r="CP1108" i="1" s="1"/>
  <c r="U927" i="1"/>
  <c r="CP927" i="1" s="1"/>
  <c r="U857" i="1"/>
  <c r="CP857" i="1" s="1"/>
  <c r="U893" i="1"/>
  <c r="CP893" i="1" s="1"/>
  <c r="U962" i="1"/>
  <c r="CP962" i="1" s="1"/>
  <c r="U965" i="1"/>
  <c r="CP965" i="1" s="1"/>
  <c r="U871" i="1"/>
  <c r="CP871" i="1" s="1"/>
  <c r="U905" i="1"/>
  <c r="CP905" i="1" s="1"/>
  <c r="U1011" i="1"/>
  <c r="CP1011" i="1" s="1"/>
  <c r="U972" i="1"/>
  <c r="CP972" i="1" s="1"/>
  <c r="U907" i="1"/>
  <c r="CP907" i="1" s="1"/>
  <c r="U981" i="1"/>
  <c r="CP981" i="1" s="1"/>
  <c r="U1120" i="1"/>
  <c r="CP1120" i="1" s="1"/>
  <c r="U974" i="1"/>
  <c r="CP974" i="1" s="1"/>
  <c r="U936" i="1"/>
  <c r="CP936" i="1" s="1"/>
  <c r="U1323" i="1"/>
  <c r="CM1323" i="1" s="1"/>
  <c r="CP1323" i="1" s="1"/>
  <c r="U398" i="1"/>
  <c r="U370" i="1"/>
  <c r="CP370" i="1" s="1"/>
  <c r="U381" i="1"/>
  <c r="CP381" i="1" s="1"/>
  <c r="U378" i="1"/>
  <c r="CP378" i="1" s="1"/>
  <c r="U1030" i="1"/>
  <c r="CP1030" i="1" s="1"/>
  <c r="U1036" i="1"/>
  <c r="CP1036" i="1" s="1"/>
  <c r="U1088" i="1"/>
  <c r="CP1088" i="1" s="1"/>
  <c r="U633" i="1"/>
  <c r="CP633" i="1" s="1"/>
  <c r="U553" i="1"/>
  <c r="CP553" i="1" s="1"/>
  <c r="U672" i="1"/>
  <c r="CP672" i="1" s="1"/>
  <c r="U669" i="1"/>
  <c r="CP669" i="1" s="1"/>
  <c r="U665" i="1"/>
  <c r="CP665" i="1" s="1"/>
  <c r="U628" i="1"/>
  <c r="CP628" i="1" s="1"/>
  <c r="U740" i="1"/>
  <c r="CP740" i="1" s="1"/>
  <c r="U556" i="1"/>
  <c r="CP556" i="1" s="1"/>
  <c r="U786" i="1"/>
  <c r="CP786" i="1" s="1"/>
  <c r="U670" i="1"/>
  <c r="CP670" i="1" s="1"/>
  <c r="U1072" i="1"/>
  <c r="CP1072" i="1" s="1"/>
  <c r="U1040" i="1"/>
  <c r="CP1040" i="1" s="1"/>
  <c r="U1002" i="1"/>
  <c r="CP1002" i="1" s="1"/>
  <c r="U1105" i="1"/>
  <c r="CP1105" i="1" s="1"/>
  <c r="U892" i="1"/>
  <c r="CP892" i="1" s="1"/>
  <c r="U850" i="1"/>
  <c r="CP850" i="1" s="1"/>
  <c r="U1071" i="1"/>
  <c r="CP1071" i="1" s="1"/>
  <c r="U929" i="1"/>
  <c r="CP929" i="1" s="1"/>
  <c r="U864" i="1"/>
  <c r="CP864" i="1" s="1"/>
  <c r="U943" i="1"/>
  <c r="CP943" i="1" s="1"/>
  <c r="U1123" i="1"/>
  <c r="CP1123" i="1" s="1"/>
  <c r="U1125" i="1"/>
  <c r="CP1125" i="1" s="1"/>
  <c r="U900" i="1"/>
  <c r="CP900" i="1" s="1"/>
  <c r="U870" i="1"/>
  <c r="CP870" i="1" s="1"/>
  <c r="U1089" i="1"/>
  <c r="CP1089" i="1" s="1"/>
  <c r="U1082" i="1"/>
  <c r="CP1082" i="1" s="1"/>
  <c r="U938" i="1"/>
  <c r="CP938" i="1" s="1"/>
  <c r="U941" i="1"/>
  <c r="CP941" i="1" s="1"/>
  <c r="U945" i="1"/>
  <c r="CP945" i="1" s="1"/>
  <c r="U1012" i="1"/>
  <c r="CP1012" i="1" s="1"/>
  <c r="U394" i="1"/>
  <c r="U361" i="1"/>
  <c r="CP361" i="1" s="1"/>
  <c r="U379" i="1"/>
  <c r="CP379" i="1" s="1"/>
  <c r="U384" i="1"/>
  <c r="CP384" i="1" s="1"/>
  <c r="U779" i="1"/>
  <c r="CP779" i="1" s="1"/>
  <c r="U509" i="1"/>
  <c r="U588" i="1"/>
  <c r="CP588" i="1" s="1"/>
  <c r="U931" i="1"/>
  <c r="CP931" i="1" s="1"/>
  <c r="U886" i="1"/>
  <c r="CP886" i="1" s="1"/>
  <c r="U889" i="1"/>
  <c r="CP889" i="1" s="1"/>
  <c r="U866" i="1"/>
  <c r="CP866" i="1" s="1"/>
  <c r="U1121" i="1"/>
  <c r="CP1121" i="1" s="1"/>
  <c r="U978" i="1"/>
  <c r="CP978" i="1" s="1"/>
  <c r="U377" i="1"/>
  <c r="CP377" i="1" s="1"/>
  <c r="U634" i="1"/>
  <c r="CP634" i="1" s="1"/>
  <c r="U626" i="1"/>
  <c r="CP626" i="1" s="1"/>
  <c r="U671" i="1"/>
  <c r="CP671" i="1" s="1"/>
  <c r="U784" i="1"/>
  <c r="CP784" i="1" s="1"/>
  <c r="U667" i="1"/>
  <c r="CP667" i="1" s="1"/>
  <c r="U738" i="1"/>
  <c r="CP738" i="1" s="1"/>
  <c r="U778" i="1"/>
  <c r="CP778" i="1" s="1"/>
  <c r="U745" i="1"/>
  <c r="CP745" i="1" s="1"/>
  <c r="U511" i="1"/>
  <c r="CP511" i="1" s="1"/>
  <c r="U516" i="1"/>
  <c r="CP516" i="1" s="1"/>
  <c r="U1039" i="1"/>
  <c r="CP1039" i="1" s="1"/>
  <c r="U1035" i="1"/>
  <c r="CP1035" i="1" s="1"/>
  <c r="U998" i="1"/>
  <c r="CP998" i="1" s="1"/>
  <c r="U930" i="1"/>
  <c r="CP930" i="1" s="1"/>
  <c r="U1066" i="1"/>
  <c r="CP1066" i="1" s="1"/>
  <c r="U852" i="1"/>
  <c r="CP852" i="1" s="1"/>
  <c r="U855" i="1"/>
  <c r="CP855" i="1" s="1"/>
  <c r="U999" i="1"/>
  <c r="CP999" i="1" s="1"/>
  <c r="U997" i="1"/>
  <c r="CP997" i="1" s="1"/>
  <c r="U1038" i="1"/>
  <c r="CP1038" i="1" s="1"/>
  <c r="U853" i="1"/>
  <c r="CP853" i="1" s="1"/>
  <c r="U1073" i="1"/>
  <c r="CP1073" i="1" s="1"/>
  <c r="U932" i="1"/>
  <c r="CP932" i="1" s="1"/>
  <c r="U1104" i="1"/>
  <c r="CP1104" i="1" s="1"/>
  <c r="U1070" i="1"/>
  <c r="CP1070" i="1" s="1"/>
  <c r="U976" i="1"/>
  <c r="CP976" i="1" s="1"/>
  <c r="U1046" i="1"/>
  <c r="CP1046" i="1" s="1"/>
  <c r="U906" i="1"/>
  <c r="CP906" i="1" s="1"/>
  <c r="U975" i="1"/>
  <c r="CP975" i="1" s="1"/>
  <c r="U1087" i="1"/>
  <c r="CP1087" i="1" s="1"/>
  <c r="U1118" i="1"/>
  <c r="CP1118" i="1" s="1"/>
  <c r="U1052" i="1"/>
  <c r="CP1052" i="1" s="1"/>
  <c r="U869" i="1"/>
  <c r="CP869" i="1" s="1"/>
  <c r="U979" i="1"/>
  <c r="CP979" i="1" s="1"/>
  <c r="U1326" i="1"/>
  <c r="CM1326" i="1" s="1"/>
  <c r="CP1326" i="1" s="1"/>
  <c r="U399" i="1"/>
  <c r="U405" i="1"/>
  <c r="CP405" i="1" s="1"/>
  <c r="U362" i="1"/>
  <c r="CP362" i="1" s="1"/>
  <c r="U368" i="1"/>
  <c r="CP368" i="1" s="1"/>
  <c r="U385" i="1"/>
  <c r="CP385" i="1" s="1"/>
  <c r="U376" i="1"/>
  <c r="CP376" i="1" s="1"/>
  <c r="U364" i="1"/>
  <c r="CP364" i="1" s="1"/>
  <c r="U710" i="1"/>
  <c r="CP710" i="1" s="1"/>
  <c r="U782" i="1"/>
  <c r="CP782" i="1" s="1"/>
  <c r="U704" i="1"/>
  <c r="CP704" i="1" s="1"/>
  <c r="U513" i="1"/>
  <c r="CP513" i="1" s="1"/>
  <c r="U888" i="1"/>
  <c r="CP888" i="1" s="1"/>
  <c r="U859" i="1"/>
  <c r="CP859" i="1" s="1"/>
  <c r="U1047" i="1"/>
  <c r="CP1047" i="1" s="1"/>
  <c r="U371" i="1"/>
  <c r="CP371" i="1" s="1"/>
  <c r="U707" i="1"/>
  <c r="CP707" i="1" s="1"/>
  <c r="U517" i="1"/>
  <c r="CP517" i="1" s="1"/>
  <c r="U631" i="1"/>
  <c r="CP631" i="1" s="1"/>
  <c r="U589" i="1"/>
  <c r="CP589" i="1" s="1"/>
  <c r="U554" i="1"/>
  <c r="CP554" i="1" s="1"/>
  <c r="U742" i="1"/>
  <c r="CP742" i="1" s="1"/>
  <c r="U590" i="1"/>
  <c r="CP590" i="1" s="1"/>
  <c r="U700" i="1"/>
  <c r="CP700" i="1" s="1"/>
  <c r="U1074" i="1"/>
  <c r="CP1074" i="1" s="1"/>
  <c r="U891" i="1"/>
  <c r="CP891" i="1" s="1"/>
  <c r="U856" i="1"/>
  <c r="CP856" i="1" s="1"/>
  <c r="U961" i="1"/>
  <c r="CP961" i="1" s="1"/>
  <c r="U967" i="1"/>
  <c r="CP967" i="1" s="1"/>
  <c r="U964" i="1"/>
  <c r="CP964" i="1" s="1"/>
  <c r="U1109" i="1"/>
  <c r="CP1109" i="1" s="1"/>
  <c r="U960" i="1"/>
  <c r="CP960" i="1" s="1"/>
  <c r="U1102" i="1"/>
  <c r="CP1102" i="1" s="1"/>
  <c r="U1112" i="1"/>
  <c r="CP1112" i="1" s="1"/>
  <c r="U1054" i="1"/>
  <c r="CP1054" i="1" s="1"/>
  <c r="U1013" i="1"/>
  <c r="CP1013" i="1" s="1"/>
  <c r="U1010" i="1"/>
  <c r="CP1010" i="1" s="1"/>
  <c r="U1119" i="1"/>
  <c r="CP1119" i="1" s="1"/>
  <c r="U939" i="1"/>
  <c r="CP939" i="1" s="1"/>
  <c r="U1051" i="1"/>
  <c r="CP1051" i="1" s="1"/>
  <c r="U977" i="1"/>
  <c r="CP977" i="1" s="1"/>
  <c r="U1086" i="1"/>
  <c r="CP1086" i="1" s="1"/>
  <c r="U1327" i="1"/>
  <c r="CM1327" i="1" s="1"/>
  <c r="CP1327" i="1" s="1"/>
  <c r="U1324" i="1"/>
  <c r="CM1324" i="1" s="1"/>
  <c r="CP1324" i="1" s="1"/>
  <c r="U404" i="1"/>
  <c r="CP404" i="1" s="1"/>
  <c r="U400" i="1"/>
  <c r="U366" i="1"/>
  <c r="CP366" i="1" s="1"/>
  <c r="U380" i="1"/>
  <c r="CP380" i="1" s="1"/>
  <c r="U375" i="1"/>
  <c r="CP375" i="1" s="1"/>
  <c r="U518" i="1"/>
  <c r="CP518" i="1" s="1"/>
  <c r="U968" i="1"/>
  <c r="CP968" i="1" s="1"/>
  <c r="U1016" i="1"/>
  <c r="CP1016" i="1" s="1"/>
  <c r="U872" i="1"/>
  <c r="CP872" i="1" s="1"/>
  <c r="U393" i="1"/>
  <c r="U666" i="1"/>
  <c r="CP666" i="1" s="1"/>
  <c r="U783" i="1"/>
  <c r="CP783" i="1" s="1"/>
  <c r="U594" i="1"/>
  <c r="CP594" i="1" s="1"/>
  <c r="U632" i="1"/>
  <c r="CP632" i="1" s="1"/>
  <c r="U662" i="1"/>
  <c r="CP662" i="1" s="1"/>
  <c r="U552" i="1"/>
  <c r="CP552" i="1" s="1"/>
  <c r="U521" i="1"/>
  <c r="CP521" i="1" s="1"/>
  <c r="U596" i="1"/>
  <c r="CP596" i="1" s="1"/>
  <c r="U586" i="1"/>
  <c r="CP586" i="1" s="1"/>
  <c r="U1003" i="1"/>
  <c r="CP1003" i="1" s="1"/>
  <c r="U926" i="1"/>
  <c r="CP926" i="1" s="1"/>
  <c r="U1110" i="1"/>
  <c r="CP1110" i="1" s="1"/>
  <c r="U1032" i="1"/>
  <c r="CP1032" i="1" s="1"/>
  <c r="U963" i="1"/>
  <c r="CP963" i="1" s="1"/>
  <c r="U858" i="1"/>
  <c r="CP858" i="1" s="1"/>
  <c r="U996" i="1"/>
  <c r="CP996" i="1" s="1"/>
  <c r="U925" i="1"/>
  <c r="CP925" i="1" s="1"/>
  <c r="U924" i="1"/>
  <c r="CP924" i="1" s="1"/>
  <c r="U1111" i="1"/>
  <c r="CP1111" i="1" s="1"/>
  <c r="U1001" i="1"/>
  <c r="CP1001" i="1" s="1"/>
  <c r="U1004" i="1"/>
  <c r="CP1004" i="1" s="1"/>
  <c r="U1106" i="1"/>
  <c r="CP1106" i="1" s="1"/>
  <c r="U1122" i="1"/>
  <c r="CP1122" i="1" s="1"/>
  <c r="U946" i="1"/>
  <c r="CP946" i="1" s="1"/>
  <c r="U902" i="1"/>
  <c r="CP902" i="1" s="1"/>
  <c r="U1124" i="1"/>
  <c r="CP1124" i="1" s="1"/>
  <c r="U1126" i="1"/>
  <c r="CP1126" i="1" s="1"/>
  <c r="U868" i="1"/>
  <c r="CP868" i="1" s="1"/>
  <c r="U1085" i="1"/>
  <c r="CP1085" i="1" s="1"/>
  <c r="U980" i="1"/>
  <c r="CP980" i="1" s="1"/>
  <c r="U982" i="1"/>
  <c r="CP982" i="1" s="1"/>
  <c r="U1090" i="1"/>
  <c r="CP1090" i="1" s="1"/>
  <c r="U1083" i="1"/>
  <c r="CP1083" i="1" s="1"/>
  <c r="U1080" i="1"/>
  <c r="CP1080" i="1" s="1"/>
  <c r="U1325" i="1"/>
  <c r="CM1325" i="1" s="1"/>
  <c r="CP1325" i="1" s="1"/>
  <c r="U1379" i="1"/>
  <c r="CM1379" i="1" s="1"/>
  <c r="CP1379" i="1" s="1"/>
  <c r="U396" i="1"/>
  <c r="O16" i="27" s="1"/>
  <c r="U363" i="1"/>
  <c r="CP363" i="1" s="1"/>
  <c r="U369" i="1"/>
  <c r="CP369" i="1" s="1"/>
  <c r="U709" i="1"/>
  <c r="CP709" i="1" s="1"/>
  <c r="U591" i="1"/>
  <c r="CP591" i="1" s="1"/>
  <c r="U708" i="1"/>
  <c r="CP708" i="1" s="1"/>
  <c r="U743" i="1"/>
  <c r="CP743" i="1" s="1"/>
  <c r="U595" i="1"/>
  <c r="CP595" i="1" s="1"/>
  <c r="U593" i="1"/>
  <c r="CP593" i="1" s="1"/>
  <c r="U515" i="1"/>
  <c r="CP515" i="1" s="1"/>
  <c r="U748" i="1"/>
  <c r="CP748" i="1" s="1"/>
  <c r="U520" i="1"/>
  <c r="CP520" i="1" s="1"/>
  <c r="U747" i="1"/>
  <c r="CP747" i="1" s="1"/>
  <c r="U548" i="1"/>
  <c r="CP548" i="1" s="1"/>
  <c r="U958" i="1"/>
  <c r="CP958" i="1" s="1"/>
  <c r="U1107" i="1"/>
  <c r="CP1107" i="1" s="1"/>
  <c r="U1000" i="1"/>
  <c r="CP1000" i="1" s="1"/>
  <c r="U896" i="1"/>
  <c r="CP896" i="1" s="1"/>
  <c r="U922" i="1"/>
  <c r="CP922" i="1" s="1"/>
  <c r="U1034" i="1"/>
  <c r="CP1034" i="1" s="1"/>
  <c r="U1018" i="1"/>
  <c r="CP1018" i="1" s="1"/>
  <c r="U873" i="1"/>
  <c r="CP873" i="1" s="1"/>
  <c r="U1084" i="1"/>
  <c r="CP1084" i="1" s="1"/>
  <c r="U908" i="1"/>
  <c r="CP908" i="1" s="1"/>
  <c r="U1014" i="1"/>
  <c r="CP1014" i="1" s="1"/>
  <c r="U940" i="1"/>
  <c r="CP940" i="1" s="1"/>
  <c r="U942" i="1"/>
  <c r="CP942" i="1" s="1"/>
  <c r="U1050" i="1"/>
  <c r="CP1050" i="1" s="1"/>
  <c r="U944" i="1"/>
  <c r="CP944" i="1" s="1"/>
  <c r="U909" i="1"/>
  <c r="CP909" i="1" s="1"/>
  <c r="U1149" i="1"/>
  <c r="CP1149" i="1" s="1"/>
  <c r="U395" i="1"/>
  <c r="U386" i="1"/>
  <c r="CP386" i="1" s="1"/>
  <c r="CP395" i="1" l="1"/>
  <c r="O14" i="27"/>
  <c r="CP399" i="1"/>
  <c r="O18" i="27"/>
  <c r="CP394" i="1"/>
  <c r="O13" i="27"/>
  <c r="CP401" i="1"/>
  <c r="O21" i="27"/>
  <c r="CP393" i="1"/>
  <c r="O12" i="27"/>
  <c r="CP400" i="1"/>
  <c r="O20" i="27"/>
  <c r="CP398" i="1"/>
  <c r="O17" i="27"/>
  <c r="T509" i="1"/>
  <c r="CP509" i="1"/>
  <c r="CP396" i="1"/>
  <c r="U474" i="1"/>
  <c r="U935" i="1"/>
  <c r="CP935" i="1" s="1"/>
  <c r="O26" i="26"/>
  <c r="O30" i="26"/>
  <c r="U921" i="1"/>
  <c r="CP921" i="1" s="1"/>
  <c r="O16" i="26"/>
  <c r="M58" i="6"/>
  <c r="O27" i="26"/>
  <c r="M64" i="6"/>
  <c r="U1065" i="1"/>
  <c r="CP1065" i="1" s="1"/>
  <c r="U622" i="1"/>
  <c r="CP622" i="1" s="1"/>
  <c r="U428" i="1"/>
  <c r="CP428" i="1" s="1"/>
  <c r="U994" i="1"/>
  <c r="CP994" i="1" s="1"/>
  <c r="U774" i="1"/>
  <c r="CP774" i="1" s="1"/>
  <c r="U472" i="1"/>
  <c r="CP472" i="1" s="1"/>
  <c r="O29" i="26"/>
  <c r="U993" i="1"/>
  <c r="CP993" i="1" s="1"/>
  <c r="U1079" i="1"/>
  <c r="M104" i="6"/>
  <c r="M81" i="6"/>
  <c r="M96" i="6"/>
  <c r="U476" i="1"/>
  <c r="CP476" i="1" s="1"/>
  <c r="U1007" i="1"/>
  <c r="CP1007" i="1" s="1"/>
  <c r="U473" i="1"/>
  <c r="CP473" i="1" s="1"/>
  <c r="M90" i="6"/>
  <c r="M102" i="6"/>
  <c r="M103" i="6" s="1"/>
  <c r="M80" i="6"/>
  <c r="O23" i="26"/>
  <c r="U465" i="1"/>
  <c r="CP465" i="1" s="1"/>
  <c r="U374" i="1"/>
  <c r="U411" i="1"/>
  <c r="U1029" i="1"/>
  <c r="CP1029" i="1" s="1"/>
  <c r="U475" i="1"/>
  <c r="CP475" i="1" s="1"/>
  <c r="O14" i="26"/>
  <c r="U510" i="1"/>
  <c r="O25" i="26"/>
  <c r="U477" i="1"/>
  <c r="CP477" i="1" s="1"/>
  <c r="M69" i="6"/>
  <c r="U585" i="1"/>
  <c r="CP585" i="1" s="1"/>
  <c r="U737" i="1"/>
  <c r="CP737" i="1" s="1"/>
  <c r="O13" i="26"/>
  <c r="U468" i="1"/>
  <c r="CP468" i="1" s="1"/>
  <c r="U1148" i="1"/>
  <c r="CP1148" i="1" s="1"/>
  <c r="U1101" i="1"/>
  <c r="CP1101" i="1" s="1"/>
  <c r="U412" i="1"/>
  <c r="CP412" i="1" s="1"/>
  <c r="M113" i="6"/>
  <c r="U423" i="1"/>
  <c r="CP423" i="1" s="1"/>
  <c r="U899" i="1"/>
  <c r="CP899" i="1" s="1"/>
  <c r="M92" i="6"/>
  <c r="U1377" i="1"/>
  <c r="CM1377" i="1" s="1"/>
  <c r="CP1377" i="1" s="1"/>
  <c r="O11" i="26"/>
  <c r="M91" i="6"/>
  <c r="M10" i="6"/>
  <c r="U698" i="1"/>
  <c r="CP698" i="1" s="1"/>
  <c r="U420" i="1"/>
  <c r="O30" i="27" s="1"/>
  <c r="U971" i="1"/>
  <c r="CP971" i="1" s="1"/>
  <c r="U849" i="1"/>
  <c r="CP849" i="1" s="1"/>
  <c r="U419" i="1"/>
  <c r="CP419" i="1" s="1"/>
  <c r="U775" i="1"/>
  <c r="CP775" i="1" s="1"/>
  <c r="O22" i="26"/>
  <c r="U736" i="1"/>
  <c r="CP736" i="1" s="1"/>
  <c r="U661" i="1"/>
  <c r="CP661" i="1" s="1"/>
  <c r="O18" i="26"/>
  <c r="U584" i="1"/>
  <c r="CP584" i="1" s="1"/>
  <c r="U957" i="1"/>
  <c r="CP957" i="1" s="1"/>
  <c r="U660" i="1"/>
  <c r="CP660" i="1" s="1"/>
  <c r="O17" i="26"/>
  <c r="U546" i="1"/>
  <c r="CP546" i="1" s="1"/>
  <c r="U623" i="1"/>
  <c r="CP623" i="1" s="1"/>
  <c r="O24" i="26"/>
  <c r="U1115" i="1"/>
  <c r="CP1115" i="1" s="1"/>
  <c r="O12" i="26"/>
  <c r="O28" i="26"/>
  <c r="U413" i="1"/>
  <c r="CP413" i="1" s="1"/>
  <c r="U1322" i="1"/>
  <c r="CM1322" i="1" s="1"/>
  <c r="CP1322" i="1" s="1"/>
  <c r="U863" i="1"/>
  <c r="CP863" i="1" s="1"/>
  <c r="U1043" i="1"/>
  <c r="CP1043" i="1" s="1"/>
  <c r="U885" i="1"/>
  <c r="CP885" i="1" s="1"/>
  <c r="CP411" i="1" l="1"/>
  <c r="O35" i="27"/>
  <c r="U387" i="1"/>
  <c r="CP374" i="1"/>
  <c r="M43" i="6"/>
  <c r="CP420" i="1"/>
  <c r="U512" i="1"/>
  <c r="CP510" i="1"/>
  <c r="M108" i="6"/>
  <c r="M109" i="6" s="1"/>
  <c r="CP1079" i="1"/>
  <c r="M11" i="6"/>
  <c r="M82" i="6"/>
  <c r="M93" i="6"/>
  <c r="M95" i="6" s="1"/>
  <c r="M42" i="6"/>
  <c r="U1117" i="1"/>
  <c r="U949" i="1"/>
  <c r="U937" i="1"/>
  <c r="U887" i="1"/>
  <c r="U913" i="1"/>
  <c r="T546" i="1"/>
  <c r="U549" i="1"/>
  <c r="U973" i="1"/>
  <c r="T698" i="1"/>
  <c r="U701" i="1"/>
  <c r="U1380" i="1"/>
  <c r="CM1380" i="1" s="1"/>
  <c r="K22" i="28"/>
  <c r="T774" i="1"/>
  <c r="U777" i="1"/>
  <c r="U524" i="1"/>
  <c r="U865" i="1"/>
  <c r="U637" i="1"/>
  <c r="U1103" i="1"/>
  <c r="U1129" i="1"/>
  <c r="U429" i="1"/>
  <c r="U959" i="1"/>
  <c r="U985" i="1"/>
  <c r="U851" i="1"/>
  <c r="U877" i="1"/>
  <c r="U1045" i="1"/>
  <c r="U1328" i="1"/>
  <c r="CM1328" i="1" s="1"/>
  <c r="U675" i="1"/>
  <c r="U789" i="1"/>
  <c r="U901" i="1"/>
  <c r="U599" i="1"/>
  <c r="K15" i="28"/>
  <c r="K23" i="28"/>
  <c r="U1093" i="1"/>
  <c r="U1067" i="1"/>
  <c r="K24" i="28"/>
  <c r="T584" i="1"/>
  <c r="U587" i="1"/>
  <c r="U995" i="1"/>
  <c r="M71" i="6"/>
  <c r="M73" i="6" s="1"/>
  <c r="U1150" i="1"/>
  <c r="T660" i="1"/>
  <c r="U663" i="1"/>
  <c r="T736" i="1"/>
  <c r="U739" i="1"/>
  <c r="O21" i="26"/>
  <c r="O31" i="26" s="1"/>
  <c r="O39" i="26" s="1"/>
  <c r="H153" i="60" s="1"/>
  <c r="M105" i="6"/>
  <c r="U1009" i="1"/>
  <c r="K26" i="28"/>
  <c r="T622" i="1"/>
  <c r="U625" i="1"/>
  <c r="U471" i="1"/>
  <c r="CP471" i="1" s="1"/>
  <c r="U923" i="1"/>
  <c r="U1021" i="1"/>
  <c r="U751" i="1"/>
  <c r="U1057" i="1"/>
  <c r="U1031" i="1"/>
  <c r="U1081" i="1"/>
  <c r="M44" i="6" l="1"/>
  <c r="U1041" i="1"/>
  <c r="U673" i="1"/>
  <c r="U597" i="1"/>
  <c r="U1127" i="1"/>
  <c r="U911" i="1"/>
  <c r="U1113" i="1"/>
  <c r="U559" i="1"/>
  <c r="U1077" i="1"/>
  <c r="U969" i="1"/>
  <c r="U522" i="1"/>
  <c r="U861" i="1"/>
  <c r="U1157" i="1"/>
  <c r="U711" i="1"/>
  <c r="U897" i="1"/>
  <c r="U1019" i="1"/>
  <c r="U933" i="1"/>
  <c r="U875" i="1"/>
  <c r="U635" i="1"/>
  <c r="U1055" i="1"/>
  <c r="U947" i="1"/>
  <c r="U787" i="1"/>
  <c r="U749" i="1"/>
  <c r="U1091" i="1"/>
  <c r="U1005" i="1"/>
  <c r="U983" i="1"/>
  <c r="K21" i="28"/>
  <c r="K28" i="28" s="1"/>
  <c r="U478" i="1"/>
  <c r="U791" i="1"/>
  <c r="CP791" i="1" s="1"/>
  <c r="U1128" i="1" l="1"/>
  <c r="U1056" i="1"/>
  <c r="U948" i="1"/>
  <c r="U1020" i="1"/>
  <c r="U984" i="1"/>
  <c r="U523" i="1"/>
  <c r="U560" i="1"/>
  <c r="U598" i="1"/>
  <c r="U912" i="1"/>
  <c r="U674" i="1"/>
  <c r="U636" i="1"/>
  <c r="U712" i="1"/>
  <c r="U1092" i="1"/>
  <c r="U750" i="1"/>
  <c r="U788" i="1"/>
  <c r="U876" i="1"/>
  <c r="U753" i="1"/>
  <c r="CP753" i="1" s="1"/>
  <c r="U795" i="1"/>
  <c r="U796" i="1" l="1"/>
  <c r="U1136" i="1"/>
  <c r="U713" i="1"/>
  <c r="CP796" i="1"/>
  <c r="U757" i="1"/>
  <c r="M120" i="6" l="1"/>
  <c r="CP1136" i="1"/>
  <c r="U639" i="1"/>
  <c r="CP639" i="1" s="1"/>
  <c r="U601" i="1" l="1"/>
  <c r="CP601" i="1" s="1"/>
  <c r="U643" i="1"/>
  <c r="U605" i="1" l="1"/>
  <c r="U715" i="1"/>
  <c r="CP715" i="1" s="1"/>
  <c r="U563" i="1"/>
  <c r="CP563" i="1" s="1"/>
  <c r="U719" i="1" l="1"/>
  <c r="U567" i="1"/>
  <c r="U677" i="1" l="1"/>
  <c r="CP677" i="1" s="1"/>
  <c r="U526" i="1"/>
  <c r="CP526" i="1" s="1"/>
  <c r="U681" i="1" l="1"/>
  <c r="CP681" i="1" s="1"/>
  <c r="U43" i="1"/>
  <c r="U530" i="1"/>
  <c r="CP43" i="1" l="1"/>
  <c r="M118" i="6"/>
  <c r="T14" i="21"/>
  <c r="T20" i="21" s="1"/>
  <c r="U49" i="1"/>
  <c r="U61" i="1" l="1"/>
  <c r="T32" i="21"/>
  <c r="CP8" i="1" l="1"/>
  <c r="U11" i="1" l="1"/>
  <c r="O16" i="20"/>
  <c r="O18" i="20" s="1"/>
  <c r="E29" i="24" l="1"/>
  <c r="G29" i="24" s="1"/>
  <c r="BD196" i="1" l="1"/>
  <c r="S196" i="1" s="1"/>
  <c r="N196" i="1" s="1"/>
  <c r="BK55" i="1" l="1"/>
  <c r="Q162" i="1" l="1"/>
  <c r="Q177" i="1" s="1"/>
  <c r="Q201" i="1" s="1"/>
  <c r="I25" i="6" s="1"/>
  <c r="B112" i="6" l="1"/>
  <c r="B113" i="6" s="1"/>
  <c r="B114" i="6" l="1"/>
  <c r="B115" i="6" s="1"/>
  <c r="B116" i="6" s="1"/>
  <c r="B118" i="6" l="1"/>
  <c r="B120" i="6" l="1"/>
  <c r="B121" i="6" l="1"/>
  <c r="B122" i="6" l="1"/>
  <c r="B123" i="6" s="1"/>
  <c r="B124" i="6" l="1"/>
  <c r="B125" i="6" l="1"/>
  <c r="B126" i="6" l="1"/>
  <c r="B127" i="6" s="1"/>
  <c r="B128" i="6" s="1"/>
  <c r="B129" i="6" s="1"/>
  <c r="B130" i="6" s="1"/>
  <c r="B131" i="6" s="1"/>
  <c r="B132" i="6" s="1"/>
  <c r="B134" i="6" s="1"/>
  <c r="B135" i="6" s="1"/>
  <c r="B136" i="6" s="1"/>
  <c r="B137" i="6" s="1"/>
  <c r="B138" i="6" s="1"/>
  <c r="B139" i="6" s="1"/>
  <c r="B140" i="6" s="1"/>
  <c r="B141" i="6" l="1"/>
  <c r="B142" i="6" s="1"/>
  <c r="B143" i="6" s="1"/>
  <c r="B144" i="6" l="1"/>
  <c r="B145" i="6" s="1"/>
  <c r="B146" i="6" s="1"/>
  <c r="B147" i="6" s="1"/>
  <c r="B148" i="6" s="1"/>
  <c r="B149" i="6" s="1"/>
  <c r="B150" i="6" s="1"/>
  <c r="B151" i="6" s="1"/>
  <c r="B152" i="6" s="1"/>
  <c r="B153" i="6" s="1"/>
  <c r="B154" i="6" s="1"/>
  <c r="B155" i="6" s="1"/>
  <c r="B156" i="6" s="1"/>
  <c r="B157" i="6" s="1"/>
  <c r="B158" i="6" s="1"/>
  <c r="B159" i="6" s="1"/>
  <c r="B160" i="6" s="1"/>
  <c r="B161" i="6" s="1"/>
  <c r="B162" i="6" s="1"/>
  <c r="BK677" i="1" l="1"/>
  <c r="BD677" i="1" s="1"/>
  <c r="S677" i="1" s="1"/>
  <c r="BK681" i="1"/>
  <c r="BD681" i="1" s="1"/>
  <c r="S681" i="1" l="1"/>
  <c r="S84" i="22" l="1"/>
  <c r="AD84" i="22" l="1"/>
  <c r="U84" i="22" l="1"/>
  <c r="AA84" i="22"/>
  <c r="W148" i="1" l="1"/>
  <c r="W203" i="1"/>
  <c r="W206" i="1" l="1"/>
  <c r="N203" i="1"/>
  <c r="N206" i="1" s="1"/>
  <c r="T203" i="1"/>
  <c r="T206" i="1" s="1"/>
  <c r="N148" i="1"/>
  <c r="N151" i="1" s="1"/>
  <c r="T148" i="1"/>
  <c r="T151" i="1" s="1"/>
  <c r="W151" i="1"/>
  <c r="BE177" i="1" l="1"/>
  <c r="BE201" i="1" l="1"/>
  <c r="W1572" i="1" l="1"/>
  <c r="T1572" i="1" s="1"/>
  <c r="C16" i="39" s="1"/>
  <c r="J16" i="39" s="1"/>
  <c r="BK1574" i="1"/>
  <c r="BD1574" i="1" s="1"/>
  <c r="S1574" i="1" s="1"/>
  <c r="W1575" i="1"/>
  <c r="T1575" i="1" s="1"/>
  <c r="C19" i="39" s="1"/>
  <c r="J19" i="39" s="1"/>
  <c r="BK1570" i="1"/>
  <c r="BD1570" i="1" s="1"/>
  <c r="S1570" i="1" s="1"/>
  <c r="W1569" i="1"/>
  <c r="T1569" i="1" s="1"/>
  <c r="C13" i="39" s="1"/>
  <c r="W1678" i="1"/>
  <c r="T1678" i="1" s="1"/>
  <c r="I14" i="39" s="1"/>
  <c r="W1573" i="1"/>
  <c r="T1573" i="1" s="1"/>
  <c r="C17" i="39" s="1"/>
  <c r="J17" i="39" s="1"/>
  <c r="BK1572" i="1"/>
  <c r="BD1572" i="1" s="1"/>
  <c r="S1572" i="1" s="1"/>
  <c r="BK1575" i="1"/>
  <c r="BD1575" i="1" s="1"/>
  <c r="S1575" i="1" s="1"/>
  <c r="BK1678" i="1"/>
  <c r="BD1678" i="1" s="1"/>
  <c r="S1678" i="1" s="1"/>
  <c r="BK1677" i="1"/>
  <c r="BD1677" i="1" s="1"/>
  <c r="S1677" i="1" s="1"/>
  <c r="BK1573" i="1"/>
  <c r="BD1573" i="1" s="1"/>
  <c r="S1573" i="1" s="1"/>
  <c r="W1574" i="1"/>
  <c r="T1574" i="1" s="1"/>
  <c r="C18" i="39" s="1"/>
  <c r="J18" i="39" s="1"/>
  <c r="W1571" i="1"/>
  <c r="T1571" i="1" s="1"/>
  <c r="C15" i="39" s="1"/>
  <c r="J15" i="39" s="1"/>
  <c r="BK1569" i="1"/>
  <c r="BD1569" i="1" s="1"/>
  <c r="S1569" i="1" s="1"/>
  <c r="BK1576" i="1"/>
  <c r="BD1576" i="1" s="1"/>
  <c r="S1576" i="1" s="1"/>
  <c r="W1570" i="1"/>
  <c r="T1570" i="1" s="1"/>
  <c r="C14" i="39" s="1"/>
  <c r="W1677" i="1"/>
  <c r="T1677" i="1" s="1"/>
  <c r="I13" i="39" s="1"/>
  <c r="BK1571" i="1"/>
  <c r="BD1571" i="1" s="1"/>
  <c r="S1571" i="1" s="1"/>
  <c r="W1576" i="1"/>
  <c r="T1576" i="1" s="1"/>
  <c r="C20" i="39" s="1"/>
  <c r="J20" i="39" s="1"/>
  <c r="I21" i="39" l="1"/>
  <c r="J14" i="39"/>
  <c r="C21" i="39"/>
  <c r="J13" i="39"/>
  <c r="N1678" i="1"/>
  <c r="R14" i="39" s="1"/>
  <c r="N1573" i="1"/>
  <c r="L17" i="39" s="1"/>
  <c r="S17" i="39" s="1"/>
  <c r="N1572" i="1"/>
  <c r="L16" i="39" s="1"/>
  <c r="S16" i="39" s="1"/>
  <c r="N1575" i="1"/>
  <c r="L19" i="39" s="1"/>
  <c r="S19" i="39" s="1"/>
  <c r="N1570" i="1"/>
  <c r="L14" i="39" s="1"/>
  <c r="N1576" i="1"/>
  <c r="L20" i="39" s="1"/>
  <c r="S20" i="39" s="1"/>
  <c r="N1571" i="1"/>
  <c r="L15" i="39" s="1"/>
  <c r="S15" i="39" s="1"/>
  <c r="N1569" i="1"/>
  <c r="L13" i="39" s="1"/>
  <c r="N1677" i="1"/>
  <c r="R13" i="39" s="1"/>
  <c r="N1574" i="1"/>
  <c r="L18" i="39" s="1"/>
  <c r="S18" i="39" s="1"/>
  <c r="R21" i="39" l="1"/>
  <c r="S14" i="39"/>
  <c r="L21" i="39"/>
  <c r="S13" i="39"/>
  <c r="J21" i="39"/>
  <c r="S21" i="39" l="1"/>
  <c r="H28" i="60" l="1"/>
  <c r="G51" i="34" l="1"/>
  <c r="G61" i="34" l="1"/>
  <c r="BJ140" i="1" l="1"/>
  <c r="BJ143" i="1" s="1"/>
  <c r="BJ145" i="1" l="1"/>
  <c r="BK99" i="1" l="1"/>
  <c r="BK106" i="1" l="1"/>
  <c r="W1240" i="1" l="1"/>
  <c r="T1240" i="1" l="1"/>
  <c r="C16" i="35" s="1"/>
  <c r="V16" i="35" s="1"/>
  <c r="F22" i="133" l="1"/>
  <c r="W990" i="1" l="1"/>
  <c r="T990" i="1" l="1"/>
  <c r="N990" i="1"/>
  <c r="F49" i="31" s="1"/>
  <c r="F49" i="137" l="1"/>
  <c r="W1228" i="1" l="1"/>
  <c r="T1228" i="1" s="1"/>
  <c r="W1226" i="1"/>
  <c r="T1226" i="1" l="1"/>
  <c r="N1226" i="1" s="1"/>
  <c r="F58" i="34" s="1"/>
  <c r="H48" i="34"/>
  <c r="N1228" i="1"/>
  <c r="H58" i="34" s="1"/>
  <c r="F48" i="34" l="1"/>
  <c r="I48" i="34" s="1"/>
  <c r="I58" i="34"/>
  <c r="F61" i="34"/>
  <c r="F51" i="34" l="1"/>
  <c r="L48" i="34"/>
  <c r="M48" i="34"/>
  <c r="D194" i="60" s="1"/>
  <c r="D69" i="102" l="1"/>
  <c r="D83" i="102" s="1"/>
  <c r="F83" i="102"/>
  <c r="W1217" i="1" l="1"/>
  <c r="T1217" i="1" s="1"/>
  <c r="N1217" i="1" l="1"/>
  <c r="C51" i="34" l="1"/>
  <c r="C61" i="34"/>
  <c r="C67" i="77" l="1"/>
  <c r="C68" i="77" s="1"/>
  <c r="B20" i="89"/>
  <c r="K1210" i="1"/>
  <c r="K1211" i="1" s="1"/>
  <c r="K1212" i="1" s="1"/>
  <c r="BK1696" i="1" l="1"/>
  <c r="BD1696" i="1" s="1"/>
  <c r="S1696" i="1" s="1"/>
  <c r="N1696" i="1" s="1"/>
  <c r="L35" i="39" s="1"/>
  <c r="BK1702" i="1"/>
  <c r="BD1702" i="1" s="1"/>
  <c r="S1702" i="1" s="1"/>
  <c r="N1702" i="1" s="1"/>
  <c r="R35" i="39" s="1"/>
  <c r="S35" i="39" l="1"/>
  <c r="K78" i="23" l="1"/>
  <c r="F144" i="60" s="1"/>
  <c r="G35" i="43" l="1"/>
  <c r="K28" i="23"/>
  <c r="D28" i="23"/>
  <c r="I28" i="23"/>
  <c r="I78" i="23"/>
  <c r="D144" i="60" s="1"/>
  <c r="L28" i="23" l="1"/>
  <c r="G28" i="23"/>
  <c r="V24" i="23" l="1"/>
  <c r="X41" i="23"/>
  <c r="Y41" i="23" s="1"/>
  <c r="X16" i="23"/>
  <c r="J66" i="23"/>
  <c r="AB50" i="6"/>
  <c r="M49" i="6"/>
  <c r="AI48" i="6"/>
  <c r="Y24" i="37"/>
  <c r="X23" i="23"/>
  <c r="Q50" i="6"/>
  <c r="AI49" i="6"/>
  <c r="AH48" i="6"/>
  <c r="Z50" i="6"/>
  <c r="K16" i="23"/>
  <c r="V20" i="23"/>
  <c r="AA49" i="6"/>
  <c r="AL50" i="6"/>
  <c r="U48" i="6"/>
  <c r="AJ50" i="6"/>
  <c r="S16" i="23"/>
  <c r="T48" i="6"/>
  <c r="E69" i="23"/>
  <c r="R37" i="23"/>
  <c r="E16" i="23"/>
  <c r="X25" i="23"/>
  <c r="AL47" i="6"/>
  <c r="AL48" i="6"/>
  <c r="W14" i="23"/>
  <c r="D15" i="23"/>
  <c r="AM49" i="6"/>
  <c r="Q41" i="23"/>
  <c r="T41" i="23" s="1"/>
  <c r="AH49" i="6"/>
  <c r="Q20" i="23"/>
  <c r="T20" i="23" s="1"/>
  <c r="AI47" i="6"/>
  <c r="S37" i="23"/>
  <c r="Q33" i="23"/>
  <c r="T33" i="23" s="1"/>
  <c r="AG48" i="6"/>
  <c r="X48" i="6"/>
  <c r="Q25" i="23"/>
  <c r="T25" i="23" s="1"/>
  <c r="O50" i="6"/>
  <c r="G47" i="6"/>
  <c r="V23" i="23"/>
  <c r="V49" i="6"/>
  <c r="Y26" i="37"/>
  <c r="Y22" i="37"/>
  <c r="S42" i="23"/>
  <c r="F50" i="6"/>
  <c r="W38" i="23"/>
  <c r="K51" i="23"/>
  <c r="Q21" i="23"/>
  <c r="T21" i="23" s="1"/>
  <c r="I73" i="23"/>
  <c r="X36" i="23"/>
  <c r="Y36" i="23" s="1"/>
  <c r="V16" i="23"/>
  <c r="AH50" i="6"/>
  <c r="Q40" i="23"/>
  <c r="I48" i="6"/>
  <c r="F16" i="23"/>
  <c r="S49" i="6"/>
  <c r="Y21" i="37"/>
  <c r="AG50" i="6"/>
  <c r="W37" i="23"/>
  <c r="Q49" i="6"/>
  <c r="W15" i="23"/>
  <c r="K61" i="23"/>
  <c r="L61" i="23" s="1"/>
  <c r="X26" i="37"/>
  <c r="I51" i="23"/>
  <c r="S14" i="23"/>
  <c r="P48" i="6"/>
  <c r="K54" i="23"/>
  <c r="V47" i="6"/>
  <c r="AI50" i="6"/>
  <c r="Z49" i="6"/>
  <c r="R40" i="23"/>
  <c r="D72" i="23"/>
  <c r="X24" i="23"/>
  <c r="Z24" i="37"/>
  <c r="Y19" i="37"/>
  <c r="Z22" i="37"/>
  <c r="X43" i="23"/>
  <c r="V15" i="23"/>
  <c r="R49" i="6"/>
  <c r="AF48" i="6"/>
  <c r="P49" i="6"/>
  <c r="J69" i="23"/>
  <c r="X35" i="23"/>
  <c r="Y35" i="23" s="1"/>
  <c r="D51" i="23"/>
  <c r="AE48" i="6"/>
  <c r="J59" i="23"/>
  <c r="R48" i="6"/>
  <c r="T47" i="6"/>
  <c r="V34" i="23"/>
  <c r="V27" i="23"/>
  <c r="D14" i="23"/>
  <c r="M47" i="6"/>
  <c r="AH47" i="6"/>
  <c r="R15" i="23"/>
  <c r="AF47" i="6"/>
  <c r="Z21" i="37"/>
  <c r="J73" i="23"/>
  <c r="N49" i="6"/>
  <c r="AF50" i="6"/>
  <c r="S47" i="6"/>
  <c r="X47" i="6"/>
  <c r="K59" i="23"/>
  <c r="K67" i="23"/>
  <c r="AD50" i="6"/>
  <c r="Z19" i="37"/>
  <c r="K52" i="23"/>
  <c r="Q27" i="23"/>
  <c r="T27" i="23" s="1"/>
  <c r="X21" i="23"/>
  <c r="X27" i="23"/>
  <c r="I72" i="23"/>
  <c r="X22" i="23"/>
  <c r="V22" i="23"/>
  <c r="J48" i="6"/>
  <c r="AM47" i="6"/>
  <c r="K69" i="23"/>
  <c r="X20" i="37"/>
  <c r="V48" i="6"/>
  <c r="T49" i="6"/>
  <c r="AB49" i="6"/>
  <c r="AJ48" i="6"/>
  <c r="AC47" i="6"/>
  <c r="S15" i="23"/>
  <c r="K65" i="23"/>
  <c r="Q14" i="23"/>
  <c r="S13" i="23"/>
  <c r="AM48" i="6"/>
  <c r="X15" i="23"/>
  <c r="Q47" i="6"/>
  <c r="Q42" i="23"/>
  <c r="F72" i="23"/>
  <c r="Y50" i="6"/>
  <c r="AK50" i="6"/>
  <c r="F15" i="23"/>
  <c r="Q23" i="23"/>
  <c r="T23" i="23" s="1"/>
  <c r="X39" i="23"/>
  <c r="Y39" i="23" s="1"/>
  <c r="H48" i="6"/>
  <c r="X34" i="23"/>
  <c r="X19" i="23"/>
  <c r="N50" i="6"/>
  <c r="Y18" i="37"/>
  <c r="K14" i="23"/>
  <c r="J47" i="6"/>
  <c r="V25" i="23"/>
  <c r="E72" i="23"/>
  <c r="G48" i="6"/>
  <c r="T50" i="6"/>
  <c r="V42" i="23"/>
  <c r="AD47" i="6"/>
  <c r="D59" i="23"/>
  <c r="K70" i="23"/>
  <c r="L70" i="23" s="1"/>
  <c r="K49" i="23"/>
  <c r="P50" i="6"/>
  <c r="W40" i="23"/>
  <c r="AC50" i="6"/>
  <c r="D49" i="23"/>
  <c r="G49" i="23" s="1"/>
  <c r="V37" i="23"/>
  <c r="Z18" i="37"/>
  <c r="F67" i="23"/>
  <c r="Q13" i="23"/>
  <c r="Y20" i="37"/>
  <c r="F66" i="23"/>
  <c r="D56" i="23"/>
  <c r="H55" i="22" s="1"/>
  <c r="Q24" i="23"/>
  <c r="T24" i="23" s="1"/>
  <c r="X40" i="23"/>
  <c r="X42" i="23"/>
  <c r="AC49" i="6"/>
  <c r="W42" i="23"/>
  <c r="X33" i="23"/>
  <c r="S40" i="23"/>
  <c r="K66" i="23"/>
  <c r="AE50" i="6"/>
  <c r="Q39" i="23"/>
  <c r="T39" i="23" s="1"/>
  <c r="Y48" i="6"/>
  <c r="AA50" i="6"/>
  <c r="H47" i="6"/>
  <c r="S38" i="23"/>
  <c r="K56" i="23"/>
  <c r="K77" i="23" s="1"/>
  <c r="F143" i="60" s="1"/>
  <c r="AK48" i="6"/>
  <c r="K58" i="23"/>
  <c r="K79" i="23" s="1"/>
  <c r="H145" i="60" s="1"/>
  <c r="R42" i="23"/>
  <c r="X19" i="37"/>
  <c r="AB47" i="6"/>
  <c r="Q38" i="23"/>
  <c r="Y49" i="6"/>
  <c r="I56" i="23"/>
  <c r="I77" i="23" s="1"/>
  <c r="Q19" i="23"/>
  <c r="T19" i="23" s="1"/>
  <c r="M48" i="6"/>
  <c r="Y25" i="37"/>
  <c r="V13" i="23"/>
  <c r="E15" i="23"/>
  <c r="M50" i="6"/>
  <c r="R47" i="6"/>
  <c r="Q34" i="23"/>
  <c r="T34" i="23" s="1"/>
  <c r="AD49" i="6"/>
  <c r="E14" i="23"/>
  <c r="F59" i="23"/>
  <c r="AM50" i="6"/>
  <c r="Z48" i="6"/>
  <c r="D67" i="23"/>
  <c r="D73" i="23"/>
  <c r="W13" i="23"/>
  <c r="D66" i="23"/>
  <c r="AK47" i="6"/>
  <c r="U47" i="6"/>
  <c r="L50" i="6"/>
  <c r="J67" i="23"/>
  <c r="H16" i="17" s="1"/>
  <c r="AD48" i="6"/>
  <c r="W50" i="6"/>
  <c r="V43" i="23"/>
  <c r="F69" i="23"/>
  <c r="U49" i="6"/>
  <c r="I67" i="23"/>
  <c r="F73" i="23"/>
  <c r="AG49" i="6"/>
  <c r="Q43" i="23"/>
  <c r="T43" i="23" s="1"/>
  <c r="Z20" i="37"/>
  <c r="AC48" i="6"/>
  <c r="W47" i="6"/>
  <c r="K72" i="23"/>
  <c r="X32" i="23"/>
  <c r="Y32" i="23" s="1"/>
  <c r="K74" i="23"/>
  <c r="F14" i="23"/>
  <c r="X18" i="37"/>
  <c r="R50" i="6"/>
  <c r="I49" i="23"/>
  <c r="X21" i="37"/>
  <c r="N47" i="6"/>
  <c r="AJ49" i="6"/>
  <c r="J16" i="23"/>
  <c r="K48" i="23"/>
  <c r="I66" i="23"/>
  <c r="K47" i="6"/>
  <c r="W48" i="6"/>
  <c r="X38" i="23"/>
  <c r="K53" i="23"/>
  <c r="P47" i="6"/>
  <c r="AE49" i="6"/>
  <c r="X14" i="23"/>
  <c r="F58" i="23"/>
  <c r="Q37" i="23"/>
  <c r="R14" i="23"/>
  <c r="D74" i="23"/>
  <c r="W49" i="6"/>
  <c r="K62" i="23"/>
  <c r="AK49" i="6"/>
  <c r="X22" i="37"/>
  <c r="X49" i="6"/>
  <c r="I74" i="23"/>
  <c r="AA48" i="6"/>
  <c r="Q15" i="23"/>
  <c r="I16" i="23"/>
  <c r="S48" i="6"/>
  <c r="Q22" i="23"/>
  <c r="T22" i="23" s="1"/>
  <c r="J14" i="23"/>
  <c r="X24" i="37"/>
  <c r="R13" i="23"/>
  <c r="R16" i="23"/>
  <c r="AA47" i="6"/>
  <c r="V50" i="6"/>
  <c r="Z47" i="6"/>
  <c r="Z26" i="37"/>
  <c r="E74" i="23"/>
  <c r="X37" i="23"/>
  <c r="V21" i="23"/>
  <c r="V38" i="23"/>
  <c r="J72" i="23"/>
  <c r="AB48" i="6"/>
  <c r="R38" i="23"/>
  <c r="Y47" i="6"/>
  <c r="F71" i="23"/>
  <c r="D16" i="23"/>
  <c r="K15" i="23"/>
  <c r="K68" i="23"/>
  <c r="L68" i="23" s="1"/>
  <c r="I47" i="6"/>
  <c r="AG47" i="6"/>
  <c r="K63" i="23"/>
  <c r="U50" i="6"/>
  <c r="E66" i="23"/>
  <c r="K48" i="6"/>
  <c r="AF49" i="6"/>
  <c r="I59" i="23"/>
  <c r="V40" i="23"/>
  <c r="AL49" i="6"/>
  <c r="E73" i="23"/>
  <c r="K73" i="23"/>
  <c r="X20" i="23"/>
  <c r="J74" i="23"/>
  <c r="Q16" i="23"/>
  <c r="AE47" i="6"/>
  <c r="X13" i="23"/>
  <c r="S50" i="6"/>
  <c r="X50" i="6"/>
  <c r="N48" i="6"/>
  <c r="V19" i="23"/>
  <c r="Z25" i="37"/>
  <c r="Q48" i="6"/>
  <c r="X25" i="37"/>
  <c r="F74" i="23"/>
  <c r="V33" i="23"/>
  <c r="E67" i="23"/>
  <c r="W16" i="23"/>
  <c r="E59" i="23"/>
  <c r="AJ47" i="6"/>
  <c r="G51" i="23" l="1"/>
  <c r="I70" i="138"/>
  <c r="F292" i="60"/>
  <c r="Y25" i="23"/>
  <c r="R52" i="6"/>
  <c r="U52" i="6"/>
  <c r="S52" i="6"/>
  <c r="T37" i="23"/>
  <c r="Y43" i="23"/>
  <c r="I52" i="6"/>
  <c r="Y19" i="23"/>
  <c r="F17" i="23"/>
  <c r="S59" i="21" s="1"/>
  <c r="G16" i="23"/>
  <c r="L16" i="23"/>
  <c r="L59" i="23"/>
  <c r="G52" i="6"/>
  <c r="AJ52" i="6"/>
  <c r="Y40" i="23"/>
  <c r="T15" i="23"/>
  <c r="AG52" i="6"/>
  <c r="L49" i="23"/>
  <c r="Y24" i="23"/>
  <c r="Y21" i="23"/>
  <c r="Y34" i="23"/>
  <c r="S17" i="23"/>
  <c r="S46" i="23" s="1"/>
  <c r="L51" i="23"/>
  <c r="Y23" i="23"/>
  <c r="Y33" i="23"/>
  <c r="H52" i="6"/>
  <c r="J52" i="6"/>
  <c r="X17" i="23"/>
  <c r="X46" i="23" s="1"/>
  <c r="L66" i="23"/>
  <c r="AE52" i="6"/>
  <c r="Y22" i="23"/>
  <c r="Z52" i="6"/>
  <c r="Y38" i="23"/>
  <c r="AH52" i="6"/>
  <c r="P52" i="6"/>
  <c r="L67" i="23"/>
  <c r="E17" i="23"/>
  <c r="E46" i="23" s="1"/>
  <c r="N58" i="21" s="1"/>
  <c r="T16" i="23"/>
  <c r="Y52" i="6"/>
  <c r="AA52" i="6"/>
  <c r="K57" i="23"/>
  <c r="W17" i="23"/>
  <c r="AA25" i="37"/>
  <c r="Y27" i="23"/>
  <c r="AA19" i="37"/>
  <c r="V52" i="6"/>
  <c r="AA21" i="37"/>
  <c r="L73" i="23"/>
  <c r="AA26" i="37"/>
  <c r="Y20" i="23"/>
  <c r="G59" i="23"/>
  <c r="K17" i="23"/>
  <c r="R17" i="23"/>
  <c r="R46" i="23" s="1"/>
  <c r="AD52" i="6"/>
  <c r="Y23" i="37"/>
  <c r="Y32" i="37" s="1"/>
  <c r="AA18" i="37"/>
  <c r="Q52" i="6"/>
  <c r="G15" i="23"/>
  <c r="K52" i="6"/>
  <c r="N52" i="6"/>
  <c r="X23" i="37"/>
  <c r="X32" i="37" s="1"/>
  <c r="G211" i="60" s="1"/>
  <c r="AK52" i="6"/>
  <c r="L56" i="23"/>
  <c r="D143" i="60"/>
  <c r="AA20" i="37"/>
  <c r="T40" i="23"/>
  <c r="X27" i="37"/>
  <c r="X36" i="37" s="1"/>
  <c r="G212" i="60" s="1"/>
  <c r="G66" i="23"/>
  <c r="G73" i="23"/>
  <c r="Q17" i="23"/>
  <c r="Q46" i="23" s="1"/>
  <c r="T13" i="23"/>
  <c r="Y42" i="23"/>
  <c r="AC52" i="6"/>
  <c r="L72" i="23"/>
  <c r="X52" i="6"/>
  <c r="T52" i="6"/>
  <c r="Z27" i="37"/>
  <c r="Z36" i="37" s="1"/>
  <c r="AA22" i="37"/>
  <c r="Y27" i="37"/>
  <c r="Y36" i="37" s="1"/>
  <c r="AA24" i="37"/>
  <c r="L14" i="23"/>
  <c r="J17" i="23"/>
  <c r="W52" i="6"/>
  <c r="T38" i="23"/>
  <c r="AM52" i="6"/>
  <c r="M52" i="6"/>
  <c r="Y15" i="23"/>
  <c r="AL52" i="6"/>
  <c r="L74" i="23"/>
  <c r="I17" i="23"/>
  <c r="I46" i="23" s="1"/>
  <c r="L15" i="23"/>
  <c r="G67" i="23"/>
  <c r="AB52" i="6"/>
  <c r="Z23" i="37"/>
  <c r="Z32" i="37" s="1"/>
  <c r="T42" i="23"/>
  <c r="AF52" i="6"/>
  <c r="G14" i="23"/>
  <c r="D17" i="23"/>
  <c r="AI52" i="6"/>
  <c r="Y13" i="23"/>
  <c r="D96" i="60"/>
  <c r="G56" i="23"/>
  <c r="Y37" i="23"/>
  <c r="T14" i="23"/>
  <c r="G72" i="23"/>
  <c r="Y16" i="23"/>
  <c r="F46" i="23" l="1"/>
  <c r="N59" i="21" s="1"/>
  <c r="S58" i="21"/>
  <c r="G17" i="23"/>
  <c r="S60" i="21" s="1"/>
  <c r="T46" i="23"/>
  <c r="Z28" i="37"/>
  <c r="T17" i="23"/>
  <c r="X28" i="37"/>
  <c r="AA23" i="37"/>
  <c r="AA32" i="37" s="1"/>
  <c r="H211" i="60" s="1"/>
  <c r="S57" i="21"/>
  <c r="D46" i="23"/>
  <c r="N57" i="21" s="1"/>
  <c r="O57" i="21"/>
  <c r="X57" i="21"/>
  <c r="L17" i="23"/>
  <c r="Y28" i="37"/>
  <c r="N56" i="23"/>
  <c r="F122" i="60" s="1"/>
  <c r="J55" i="22"/>
  <c r="F96" i="60" s="1"/>
  <c r="X59" i="21"/>
  <c r="K46" i="23"/>
  <c r="O59" i="21" s="1"/>
  <c r="J46" i="23"/>
  <c r="X58" i="21"/>
  <c r="AA27" i="37"/>
  <c r="AA36" i="37" s="1"/>
  <c r="H212" i="60" s="1"/>
  <c r="F75" i="23" l="1"/>
  <c r="I59" i="21" s="1"/>
  <c r="G46" i="23"/>
  <c r="N60" i="21" s="1"/>
  <c r="AA28" i="37"/>
  <c r="X60" i="21"/>
  <c r="L46" i="23"/>
  <c r="O60" i="21" s="1"/>
  <c r="K75" i="23"/>
  <c r="O58" i="21"/>
  <c r="K81" i="23" l="1"/>
  <c r="F148" i="60" s="1"/>
  <c r="H59" i="21"/>
  <c r="D50" i="60" s="1"/>
  <c r="F81" i="23"/>
  <c r="F147" i="60" s="1"/>
  <c r="W2047" i="1" l="1"/>
  <c r="T2047" i="1" s="1"/>
  <c r="N2047" i="1" l="1"/>
  <c r="W1883" i="1" l="1"/>
  <c r="T1883" i="1" s="1"/>
  <c r="C16" i="120" s="1"/>
  <c r="D16" i="120" l="1"/>
  <c r="E16" i="120" s="1"/>
  <c r="N1883" i="1"/>
  <c r="H16" i="120" s="1"/>
  <c r="I16" i="120" s="1"/>
  <c r="J16" i="120" s="1"/>
  <c r="W138" i="1" l="1"/>
  <c r="AD124" i="22" l="1"/>
  <c r="N138" i="1"/>
  <c r="T138" i="1"/>
  <c r="AD56" i="22"/>
  <c r="D56" i="22" l="1"/>
  <c r="D39" i="17" s="1"/>
  <c r="D124" i="22"/>
  <c r="AA56" i="22"/>
  <c r="CK56" i="22" s="1"/>
  <c r="AA124" i="22"/>
  <c r="CK124" i="22" s="1"/>
  <c r="F124" i="22"/>
  <c r="U124" i="22"/>
  <c r="F56" i="22"/>
  <c r="U56" i="22"/>
  <c r="F39" i="17" l="1"/>
  <c r="W1887" i="1"/>
  <c r="T1887" i="1" s="1"/>
  <c r="D17" i="120" l="1"/>
  <c r="E17" i="120" s="1"/>
  <c r="N1887" i="1"/>
  <c r="I17" i="120" s="1"/>
  <c r="J17" i="120" s="1"/>
  <c r="F31" i="39" l="1"/>
  <c r="F32" i="39" s="1"/>
  <c r="CP228" i="1" l="1"/>
  <c r="CP177" i="1" l="1"/>
  <c r="W46" i="23"/>
  <c r="CP250" i="1" l="1"/>
  <c r="CP1259" i="1" l="1"/>
  <c r="CP1253" i="1"/>
  <c r="CP1307" i="1"/>
  <c r="CP1298" i="1"/>
  <c r="CP1303" i="1"/>
  <c r="CP1263" i="1" l="1"/>
  <c r="CP1310" i="1"/>
  <c r="CP1265" i="1"/>
  <c r="CP83" i="1" l="1"/>
  <c r="CP795" i="1" l="1"/>
  <c r="CP757" i="1" l="1"/>
  <c r="CP643" i="1" l="1"/>
  <c r="CP567" i="1" l="1"/>
  <c r="CP605" i="1"/>
  <c r="CP719" i="1" l="1"/>
  <c r="CP530" i="1" l="1"/>
  <c r="CP49" i="1" l="1"/>
  <c r="CP686" i="1" l="1"/>
  <c r="CP648" i="1"/>
  <c r="CP735" i="1"/>
  <c r="CP659" i="1"/>
  <c r="CP497" i="1"/>
  <c r="CP724" i="1"/>
  <c r="CP572" i="1"/>
  <c r="CP621" i="1"/>
  <c r="CP610" i="1"/>
  <c r="CP534" i="1"/>
  <c r="CP762" i="1"/>
  <c r="CP508" i="1" l="1"/>
  <c r="CP773" i="1"/>
  <c r="CP545" i="1"/>
  <c r="CP697" i="1"/>
  <c r="CP583" i="1"/>
  <c r="CP1748" i="1" l="1"/>
  <c r="CP1754" i="1"/>
  <c r="BK428" i="1" l="1"/>
  <c r="BD428" i="1" s="1"/>
  <c r="CP1150" i="1" l="1"/>
  <c r="CP387" i="1"/>
  <c r="CP429" i="1"/>
  <c r="CP1328" i="1"/>
  <c r="CP1380" i="1"/>
  <c r="S428" i="1"/>
  <c r="BD429" i="1"/>
  <c r="S429" i="1" s="1"/>
  <c r="CP1157" i="1" l="1"/>
  <c r="CP851" i="1" l="1"/>
  <c r="CP887" i="1"/>
  <c r="CP1067" i="1"/>
  <c r="CP995" i="1"/>
  <c r="CP923" i="1"/>
  <c r="CP959" i="1"/>
  <c r="CP1031" i="1"/>
  <c r="CP1103" i="1"/>
  <c r="CP1113" i="1" l="1"/>
  <c r="CP1041" i="1"/>
  <c r="CP1005" i="1"/>
  <c r="CP933" i="1"/>
  <c r="CP969" i="1"/>
  <c r="CP897" i="1"/>
  <c r="CP861" i="1"/>
  <c r="CP1077" i="1"/>
  <c r="BK11" i="1" l="1"/>
  <c r="CP625" i="1" l="1"/>
  <c r="CP587" i="1"/>
  <c r="CP512" i="1"/>
  <c r="CP549" i="1"/>
  <c r="CP777" i="1"/>
  <c r="CP663" i="1"/>
  <c r="CP701" i="1"/>
  <c r="CP739" i="1"/>
  <c r="CP561" i="1"/>
  <c r="CP599" i="1"/>
  <c r="CP675" i="1"/>
  <c r="CP789" i="1"/>
  <c r="CP751" i="1"/>
  <c r="CP524" i="1"/>
  <c r="CP713" i="1"/>
  <c r="CP637" i="1"/>
  <c r="CP787" i="1" l="1"/>
  <c r="CP711" i="1"/>
  <c r="CP673" i="1"/>
  <c r="CP522" i="1"/>
  <c r="CP597" i="1"/>
  <c r="CP749" i="1"/>
  <c r="CP559" i="1"/>
  <c r="CP635" i="1"/>
  <c r="CP788" i="1" l="1"/>
  <c r="CP712" i="1"/>
  <c r="CP750" i="1"/>
  <c r="CP523" i="1"/>
  <c r="CP560" i="1"/>
  <c r="CP636" i="1"/>
  <c r="CP598" i="1"/>
  <c r="CP674" i="1"/>
  <c r="CP1135" i="1" l="1"/>
  <c r="CP991" i="1"/>
  <c r="CP955" i="1"/>
  <c r="CP883" i="1"/>
  <c r="CP1063" i="1"/>
  <c r="CP1099" i="1"/>
  <c r="CP1027" i="1"/>
  <c r="CP919" i="1"/>
  <c r="CP973" i="1" l="1"/>
  <c r="CP937" i="1"/>
  <c r="CP865" i="1"/>
  <c r="CP1117" i="1"/>
  <c r="CP1045" i="1"/>
  <c r="CP1081" i="1"/>
  <c r="CP901" i="1"/>
  <c r="CP1009" i="1"/>
  <c r="CP877" i="1"/>
  <c r="CP1093" i="1"/>
  <c r="CP949" i="1"/>
  <c r="CP985" i="1"/>
  <c r="CP1057" i="1"/>
  <c r="CP1021" i="1"/>
  <c r="CP1129" i="1"/>
  <c r="CP913" i="1"/>
  <c r="CP875" i="1" l="1"/>
  <c r="CP1055" i="1"/>
  <c r="CP1019" i="1"/>
  <c r="CP947" i="1"/>
  <c r="CP1127" i="1"/>
  <c r="CP1091" i="1"/>
  <c r="CP983" i="1"/>
  <c r="CP911" i="1"/>
  <c r="CP1128" i="1" l="1"/>
  <c r="CP912" i="1"/>
  <c r="CP948" i="1"/>
  <c r="CP876" i="1"/>
  <c r="CP1020" i="1"/>
  <c r="CP1092" i="1"/>
  <c r="CP1056" i="1"/>
  <c r="CP984" i="1"/>
  <c r="U466" i="1" l="1"/>
  <c r="U464" i="1"/>
  <c r="CP466" i="1"/>
  <c r="K16" i="28"/>
  <c r="CP464" i="1"/>
  <c r="K14" i="28"/>
  <c r="U1275" i="1" l="1"/>
  <c r="U392" i="1"/>
  <c r="O11" i="27" s="1"/>
  <c r="CP1275" i="1" l="1"/>
  <c r="L22" i="36"/>
  <c r="CP392" i="1"/>
  <c r="U422" i="1" l="1"/>
  <c r="O32" i="27" s="1"/>
  <c r="CP1839" i="1"/>
  <c r="CP422" i="1"/>
  <c r="U418" i="1" l="1"/>
  <c r="O29" i="27" s="1"/>
  <c r="U409" i="1"/>
  <c r="O26" i="27" s="1"/>
  <c r="U408" i="1"/>
  <c r="O25" i="27" s="1"/>
  <c r="CP409" i="1"/>
  <c r="CP408" i="1"/>
  <c r="CP418" i="1"/>
  <c r="U410" i="1" l="1"/>
  <c r="O27" i="27" s="1"/>
  <c r="U463" i="1"/>
  <c r="U467" i="1"/>
  <c r="K17" i="28" s="1"/>
  <c r="CP463" i="1"/>
  <c r="K13" i="28"/>
  <c r="CP467" i="1"/>
  <c r="CP410" i="1"/>
  <c r="M57" i="6"/>
  <c r="M63" i="6"/>
  <c r="M65" i="6" s="1"/>
  <c r="U417" i="1" l="1"/>
  <c r="U421" i="1"/>
  <c r="O31" i="27" s="1"/>
  <c r="U462" i="1"/>
  <c r="K18" i="28"/>
  <c r="K30" i="28" s="1"/>
  <c r="CP421" i="1"/>
  <c r="CP417" i="1"/>
  <c r="O28" i="27" l="1"/>
  <c r="O42" i="27" s="1"/>
  <c r="M33" i="6"/>
  <c r="M34" i="6" s="1"/>
  <c r="U425" i="1"/>
  <c r="CP462" i="1"/>
  <c r="U469" i="1"/>
  <c r="O56" i="27" l="1"/>
  <c r="H156" i="60" s="1"/>
  <c r="CP425" i="1"/>
  <c r="CP469" i="1"/>
  <c r="U479" i="1"/>
  <c r="M6" i="6" l="1"/>
  <c r="M21" i="6"/>
  <c r="U1838" i="1" l="1"/>
  <c r="M131" i="6" s="1"/>
  <c r="M138" i="6" s="1"/>
  <c r="CP1838" i="1"/>
  <c r="U1833" i="1" l="1"/>
  <c r="CP1833" i="1"/>
  <c r="U1836" i="1" l="1"/>
  <c r="CP1836" i="1"/>
  <c r="U360" i="1" l="1"/>
  <c r="U1273" i="1"/>
  <c r="U402" i="1"/>
  <c r="O19" i="27" s="1"/>
  <c r="U13" i="1" l="1"/>
  <c r="O10" i="26"/>
  <c r="O19" i="26" s="1"/>
  <c r="CP360" i="1"/>
  <c r="U372" i="1"/>
  <c r="U63" i="1"/>
  <c r="CP1273" i="1"/>
  <c r="L18" i="36"/>
  <c r="L32" i="36" s="1"/>
  <c r="L55" i="36" s="1"/>
  <c r="L59" i="36" s="1"/>
  <c r="U1293" i="1"/>
  <c r="U14" i="1"/>
  <c r="O23" i="27"/>
  <c r="U406" i="1"/>
  <c r="CP13" i="1" l="1"/>
  <c r="M7" i="6"/>
  <c r="O21" i="20"/>
  <c r="M139" i="6"/>
  <c r="M140" i="6" s="1"/>
  <c r="U388" i="1"/>
  <c r="CP388" i="1" s="1"/>
  <c r="CP372" i="1"/>
  <c r="O33" i="26"/>
  <c r="O38" i="26"/>
  <c r="H152" i="60" s="1"/>
  <c r="U1309" i="1"/>
  <c r="U70" i="1"/>
  <c r="T35" i="21"/>
  <c r="T40" i="21" s="1"/>
  <c r="M124" i="6"/>
  <c r="U426" i="1"/>
  <c r="O55" i="27"/>
  <c r="H155" i="60" s="1"/>
  <c r="O44" i="27"/>
  <c r="O53" i="27" s="1"/>
  <c r="O23" i="20"/>
  <c r="U72" i="1" l="1"/>
  <c r="T42" i="21"/>
  <c r="T52" i="21"/>
  <c r="T62" i="21" s="1"/>
  <c r="U1311" i="1"/>
  <c r="U431" i="1"/>
  <c r="V474" i="1" l="1"/>
  <c r="V1271" i="1"/>
  <c r="V1238" i="1"/>
  <c r="L60" i="36"/>
  <c r="U85" i="1"/>
  <c r="O31" i="20"/>
  <c r="O33" i="20" s="1"/>
  <c r="CP19" i="1"/>
  <c r="M14" i="6"/>
  <c r="U20" i="1"/>
  <c r="U24" i="1" s="1"/>
  <c r="U188" i="1"/>
  <c r="V406" i="1" l="1"/>
  <c r="CP402" i="1"/>
  <c r="V478" i="1"/>
  <c r="V7" i="1"/>
  <c r="CP474" i="1"/>
  <c r="U93" i="1"/>
  <c r="M26" i="6"/>
  <c r="V53" i="1"/>
  <c r="CP1238" i="1"/>
  <c r="V1248" i="1"/>
  <c r="CP1271" i="1"/>
  <c r="V1293" i="1"/>
  <c r="V63" i="1"/>
  <c r="U201" i="1"/>
  <c r="O35" i="20"/>
  <c r="O41" i="20"/>
  <c r="M8" i="6"/>
  <c r="CP188" i="1" l="1"/>
  <c r="CP201" i="1"/>
  <c r="CP7" i="1"/>
  <c r="V11" i="1"/>
  <c r="V20" i="1"/>
  <c r="CP14" i="1"/>
  <c r="CP478" i="1"/>
  <c r="V479" i="1"/>
  <c r="CP479" i="1" s="1"/>
  <c r="V426" i="1"/>
  <c r="CP406" i="1"/>
  <c r="V1309" i="1"/>
  <c r="CP1293" i="1"/>
  <c r="V1264" i="1"/>
  <c r="CP1248" i="1"/>
  <c r="CP53" i="1"/>
  <c r="V59" i="1"/>
  <c r="V70" i="1"/>
  <c r="N124" i="6"/>
  <c r="CP63" i="1"/>
  <c r="U29" i="1"/>
  <c r="BG11" i="22"/>
  <c r="CL11" i="22" s="1"/>
  <c r="M25" i="6"/>
  <c r="O68" i="20"/>
  <c r="V119" i="1"/>
  <c r="V140" i="1" s="1"/>
  <c r="V143" i="1" s="1"/>
  <c r="Q11" i="22"/>
  <c r="V24" i="1" l="1"/>
  <c r="CP20" i="1"/>
  <c r="CP11" i="1"/>
  <c r="N6" i="6"/>
  <c r="N21" i="6"/>
  <c r="CP426" i="1"/>
  <c r="V431" i="1"/>
  <c r="CP431" i="1" s="1"/>
  <c r="V1266" i="1"/>
  <c r="CP1264" i="1"/>
  <c r="V61" i="1"/>
  <c r="CP59" i="1"/>
  <c r="CP70" i="1"/>
  <c r="V1311" i="1"/>
  <c r="CP1311" i="1" s="1"/>
  <c r="CP1309" i="1"/>
  <c r="CP96" i="1"/>
  <c r="M16" i="6"/>
  <c r="U39" i="1"/>
  <c r="O73" i="20" s="1"/>
  <c r="O72" i="20"/>
  <c r="BH11" i="22" l="1"/>
  <c r="CM11" i="22" s="1"/>
  <c r="V29" i="1"/>
  <c r="CP24" i="1"/>
  <c r="N8" i="6"/>
  <c r="V72" i="1"/>
  <c r="CP61" i="1"/>
  <c r="U99" i="1"/>
  <c r="V39" i="1" l="1"/>
  <c r="V89" i="1" s="1"/>
  <c r="N16" i="6"/>
  <c r="CP29" i="1"/>
  <c r="CP1266" i="1"/>
  <c r="Q13" i="22"/>
  <c r="Q86" i="22"/>
  <c r="U106" i="1"/>
  <c r="U119" i="1" s="1"/>
  <c r="V85" i="1"/>
  <c r="CP85" i="1" s="1"/>
  <c r="CP72" i="1"/>
  <c r="CP39" i="1" l="1"/>
  <c r="CP119" i="1"/>
  <c r="U140" i="1"/>
  <c r="Q21" i="22"/>
  <c r="Q32" i="22" s="1"/>
  <c r="Q60" i="22" s="1"/>
  <c r="Q64" i="22" s="1"/>
  <c r="Q69" i="22" s="1"/>
  <c r="Q90" i="22"/>
  <c r="Q101" i="22" s="1"/>
  <c r="Q128" i="22" s="1"/>
  <c r="Q132" i="22" s="1"/>
  <c r="CP89" i="1" l="1"/>
  <c r="V92" i="1"/>
  <c r="V93" i="1" s="1"/>
  <c r="N25" i="6"/>
  <c r="U143" i="1"/>
  <c r="CP143" i="1" s="1"/>
  <c r="CP140" i="1"/>
  <c r="CP93" i="1" l="1"/>
  <c r="CP92" i="1"/>
  <c r="N26" i="6"/>
  <c r="F30" i="37" l="1"/>
  <c r="E30" i="37"/>
  <c r="D30" i="37" l="1"/>
  <c r="W918" i="1" l="1"/>
  <c r="T918" i="1" l="1"/>
  <c r="D49" i="137" l="1"/>
  <c r="L29" i="37" l="1"/>
  <c r="K30" i="37"/>
  <c r="F276" i="60" l="1"/>
  <c r="F275" i="60"/>
  <c r="W1631" i="1" l="1"/>
  <c r="T1631" i="1" s="1"/>
  <c r="BK1667" i="1"/>
  <c r="BK1649" i="1"/>
  <c r="W1685" i="1"/>
  <c r="T1685" i="1" s="1"/>
  <c r="BK1631" i="1"/>
  <c r="W1667" i="1"/>
  <c r="T1667" i="1" s="1"/>
  <c r="W1649" i="1"/>
  <c r="T1649" i="1" s="1"/>
  <c r="W1613" i="1"/>
  <c r="T1613" i="1" s="1"/>
  <c r="BK1613" i="1"/>
  <c r="W1595" i="1"/>
  <c r="T1595" i="1" s="1"/>
  <c r="BK1595" i="1"/>
  <c r="BD1649" i="1" l="1"/>
  <c r="BD1667" i="1"/>
  <c r="BD1631" i="1"/>
  <c r="BD1613" i="1"/>
  <c r="BD1595" i="1"/>
  <c r="BK1097" i="1"/>
  <c r="BD1097" i="1" s="1"/>
  <c r="S1097" i="1" s="1"/>
  <c r="BK1025" i="1"/>
  <c r="BD1025" i="1" s="1"/>
  <c r="S1025" i="1" s="1"/>
  <c r="BK953" i="1"/>
  <c r="BD953" i="1" s="1"/>
  <c r="S953" i="1" s="1"/>
  <c r="BK881" i="1"/>
  <c r="BD881" i="1" s="1"/>
  <c r="S881" i="1" s="1"/>
  <c r="W1097" i="1"/>
  <c r="T1097" i="1" s="1"/>
  <c r="W1025" i="1"/>
  <c r="T1025" i="1" s="1"/>
  <c r="G48" i="137" s="1"/>
  <c r="K48" i="137" s="1"/>
  <c r="W953" i="1"/>
  <c r="T953" i="1" s="1"/>
  <c r="W881" i="1"/>
  <c r="T881" i="1" s="1"/>
  <c r="BK1096" i="1"/>
  <c r="BD1096" i="1" s="1"/>
  <c r="S1096" i="1" s="1"/>
  <c r="BK1024" i="1"/>
  <c r="BD1024" i="1" s="1"/>
  <c r="S1024" i="1" s="1"/>
  <c r="BK952" i="1"/>
  <c r="BD952" i="1" s="1"/>
  <c r="S952" i="1" s="1"/>
  <c r="BK880" i="1"/>
  <c r="BD880" i="1" s="1"/>
  <c r="S880" i="1" s="1"/>
  <c r="W1096" i="1"/>
  <c r="T1096" i="1" s="1"/>
  <c r="I47" i="137" s="1"/>
  <c r="W1024" i="1"/>
  <c r="T1024" i="1" s="1"/>
  <c r="G47" i="137" s="1"/>
  <c r="W952" i="1"/>
  <c r="T952" i="1" s="1"/>
  <c r="E47" i="137" s="1"/>
  <c r="W880" i="1"/>
  <c r="T880" i="1" s="1"/>
  <c r="C47" i="137" s="1"/>
  <c r="BK1133" i="1"/>
  <c r="BD1133" i="1" s="1"/>
  <c r="S1133" i="1" s="1"/>
  <c r="BK1061" i="1"/>
  <c r="BD1061" i="1" s="1"/>
  <c r="S1061" i="1" s="1"/>
  <c r="BK989" i="1"/>
  <c r="BD989" i="1" s="1"/>
  <c r="S989" i="1" s="1"/>
  <c r="N989" i="1" s="1"/>
  <c r="F48" i="31" s="1"/>
  <c r="BK917" i="1"/>
  <c r="BD917" i="1" s="1"/>
  <c r="S917" i="1" s="1"/>
  <c r="W1133" i="1"/>
  <c r="T1133" i="1" s="1"/>
  <c r="W1061" i="1"/>
  <c r="T1061" i="1" s="1"/>
  <c r="W917" i="1"/>
  <c r="T917" i="1" s="1"/>
  <c r="BK1132" i="1"/>
  <c r="BD1132" i="1" s="1"/>
  <c r="S1132" i="1" s="1"/>
  <c r="BK1060" i="1"/>
  <c r="BD1060" i="1" s="1"/>
  <c r="S1060" i="1" s="1"/>
  <c r="BK988" i="1"/>
  <c r="BD988" i="1" s="1"/>
  <c r="S988" i="1" s="1"/>
  <c r="N988" i="1" s="1"/>
  <c r="F47" i="31" s="1"/>
  <c r="BK916" i="1"/>
  <c r="BD916" i="1" s="1"/>
  <c r="S916" i="1" s="1"/>
  <c r="W1132" i="1"/>
  <c r="T1132" i="1" s="1"/>
  <c r="J47" i="137" s="1"/>
  <c r="W1060" i="1"/>
  <c r="T1060" i="1" s="1"/>
  <c r="H47" i="137" s="1"/>
  <c r="W916" i="1"/>
  <c r="T916" i="1" s="1"/>
  <c r="D47" i="137" s="1"/>
  <c r="S1631" i="1" l="1"/>
  <c r="S1667" i="1"/>
  <c r="S1649" i="1"/>
  <c r="S1613" i="1"/>
  <c r="S1595" i="1"/>
  <c r="N952" i="1"/>
  <c r="E47" i="31" s="1"/>
  <c r="N880" i="1"/>
  <c r="C47" i="31" s="1"/>
  <c r="N916" i="1"/>
  <c r="D47" i="31" s="1"/>
  <c r="N1061" i="1"/>
  <c r="W1059" i="1"/>
  <c r="BK1059" i="1"/>
  <c r="BD1059" i="1" s="1"/>
  <c r="W1131" i="1"/>
  <c r="BK951" i="1"/>
  <c r="BD951" i="1" s="1"/>
  <c r="S951" i="1" s="1"/>
  <c r="W951" i="1"/>
  <c r="W1023" i="1"/>
  <c r="BK1023" i="1"/>
  <c r="BD1023" i="1" s="1"/>
  <c r="N1097" i="1"/>
  <c r="W1095" i="1"/>
  <c r="BK1095" i="1"/>
  <c r="BD1095" i="1" s="1"/>
  <c r="N1024" i="1"/>
  <c r="G47" i="31" s="1"/>
  <c r="N881" i="1"/>
  <c r="BK1131" i="1"/>
  <c r="BD1131" i="1" s="1"/>
  <c r="N1060" i="1"/>
  <c r="H47" i="31" s="1"/>
  <c r="N1133" i="1"/>
  <c r="N1096" i="1"/>
  <c r="I47" i="31" s="1"/>
  <c r="BK915" i="1"/>
  <c r="BD915" i="1" s="1"/>
  <c r="N1132" i="1"/>
  <c r="J47" i="31" s="1"/>
  <c r="BK879" i="1"/>
  <c r="BD879" i="1" s="1"/>
  <c r="K47" i="137"/>
  <c r="N953" i="1"/>
  <c r="W879" i="1"/>
  <c r="N917" i="1"/>
  <c r="BK987" i="1"/>
  <c r="BD987" i="1" s="1"/>
  <c r="S987" i="1" s="1"/>
  <c r="N1025" i="1"/>
  <c r="G48" i="31" s="1"/>
  <c r="K48" i="31" s="1"/>
  <c r="N1649" i="1" l="1"/>
  <c r="N1667" i="1"/>
  <c r="N1631" i="1"/>
  <c r="N1613" i="1"/>
  <c r="N1595" i="1"/>
  <c r="K47" i="31"/>
  <c r="N951" i="1"/>
  <c r="E46" i="31" s="1"/>
  <c r="T879" i="1"/>
  <c r="S1059" i="1"/>
  <c r="BD1135" i="1"/>
  <c r="S1131" i="1"/>
  <c r="S1023" i="1"/>
  <c r="T1131" i="1"/>
  <c r="T1095" i="1"/>
  <c r="S879" i="1"/>
  <c r="T1059" i="1"/>
  <c r="S991" i="1"/>
  <c r="S915" i="1"/>
  <c r="T1023" i="1"/>
  <c r="S1095" i="1"/>
  <c r="T951" i="1"/>
  <c r="S1135" i="1" l="1"/>
  <c r="N1131" i="1"/>
  <c r="J46" i="31" s="1"/>
  <c r="C46" i="137"/>
  <c r="N1023" i="1"/>
  <c r="G46" i="31" s="1"/>
  <c r="G46" i="137"/>
  <c r="I46" i="137"/>
  <c r="E46" i="137"/>
  <c r="J46" i="137"/>
  <c r="N1095" i="1"/>
  <c r="I46" i="31" s="1"/>
  <c r="H46" i="137"/>
  <c r="N879" i="1"/>
  <c r="C46" i="31" s="1"/>
  <c r="N1059" i="1"/>
  <c r="H46" i="31" s="1"/>
  <c r="C50" i="137" l="1"/>
  <c r="BK1685" i="1" l="1"/>
  <c r="W1577" i="1"/>
  <c r="T1577" i="1" s="1"/>
  <c r="BK1577" i="1"/>
  <c r="BD1685" i="1" l="1"/>
  <c r="BD1577" i="1"/>
  <c r="BK1715" i="1"/>
  <c r="BD1715" i="1" s="1"/>
  <c r="S1715" i="1" s="1"/>
  <c r="N1715" i="1" s="1"/>
  <c r="D76" i="39" s="1"/>
  <c r="S1685" i="1" l="1"/>
  <c r="S1577" i="1"/>
  <c r="BK1720" i="1"/>
  <c r="BD1720" i="1" s="1"/>
  <c r="S1720" i="1" s="1"/>
  <c r="N1720" i="1" s="1"/>
  <c r="D92" i="39" s="1"/>
  <c r="BK1718" i="1"/>
  <c r="BD1718" i="1" s="1"/>
  <c r="S1718" i="1" s="1"/>
  <c r="N1718" i="1" s="1"/>
  <c r="D82" i="39" s="1"/>
  <c r="BK1717" i="1"/>
  <c r="BD1717" i="1" s="1"/>
  <c r="S1717" i="1" s="1"/>
  <c r="N1717" i="1" s="1"/>
  <c r="D80" i="39" s="1"/>
  <c r="BK1716" i="1"/>
  <c r="BD1716" i="1" s="1"/>
  <c r="S1716" i="1" s="1"/>
  <c r="N1716" i="1" s="1"/>
  <c r="D78" i="39" s="1"/>
  <c r="BK1713" i="1"/>
  <c r="BD1713" i="1" s="1"/>
  <c r="S1713" i="1" s="1"/>
  <c r="N1713" i="1" s="1"/>
  <c r="D66" i="39" s="1"/>
  <c r="BK1712" i="1"/>
  <c r="BD1712" i="1" s="1"/>
  <c r="S1712" i="1" s="1"/>
  <c r="N1712" i="1" s="1"/>
  <c r="D64" i="39" s="1"/>
  <c r="N1685" i="1" l="1"/>
  <c r="N1577" i="1"/>
  <c r="BK1239" i="1"/>
  <c r="BD1239" i="1" s="1"/>
  <c r="N15" i="35" l="1"/>
  <c r="S1239" i="1"/>
  <c r="W2044" i="1" l="1"/>
  <c r="T2044" i="1" s="1"/>
  <c r="N2044" i="1" s="1"/>
  <c r="W2043" i="1"/>
  <c r="T2043" i="1" s="1"/>
  <c r="N2043" i="1" s="1"/>
  <c r="W2036" i="1" l="1"/>
  <c r="T2036" i="1" s="1"/>
  <c r="N2036" i="1" s="1"/>
  <c r="W2035" i="1"/>
  <c r="E121" i="50" l="1"/>
  <c r="D121" i="50" s="1"/>
  <c r="T2035" i="1"/>
  <c r="N2035" i="1" s="1"/>
  <c r="BK1833" i="1" l="1"/>
  <c r="BD1833" i="1" s="1"/>
  <c r="S1833" i="1" s="1"/>
  <c r="BK1835" i="1"/>
  <c r="BD1835" i="1" s="1"/>
  <c r="S1835" i="1" s="1"/>
  <c r="BK1834" i="1"/>
  <c r="BD1834" i="1" s="1"/>
  <c r="S1834" i="1" s="1"/>
  <c r="BK1704" i="1"/>
  <c r="BD1704" i="1" s="1"/>
  <c r="S1704" i="1" s="1"/>
  <c r="N1704" i="1" s="1"/>
  <c r="BK1711" i="1"/>
  <c r="BD1711" i="1" s="1"/>
  <c r="S1711" i="1" s="1"/>
  <c r="N1711" i="1" s="1"/>
  <c r="D59" i="39" s="1"/>
  <c r="BK1710" i="1"/>
  <c r="BD1710" i="1" s="1"/>
  <c r="S1710" i="1" s="1"/>
  <c r="N1710" i="1" s="1"/>
  <c r="D57" i="39" s="1"/>
  <c r="BK1709" i="1"/>
  <c r="BD1709" i="1" s="1"/>
  <c r="S1709" i="1" s="1"/>
  <c r="N1709" i="1" s="1"/>
  <c r="D56" i="39" s="1"/>
  <c r="BK1708" i="1"/>
  <c r="BD1708" i="1" s="1"/>
  <c r="S1708" i="1" s="1"/>
  <c r="N1708" i="1" s="1"/>
  <c r="D55" i="39" s="1"/>
  <c r="BK1707" i="1"/>
  <c r="BD1707" i="1" s="1"/>
  <c r="S1707" i="1" s="1"/>
  <c r="N1707" i="1" s="1"/>
  <c r="D51" i="39" s="1"/>
  <c r="BK1706" i="1"/>
  <c r="BD1706" i="1" s="1"/>
  <c r="S1706" i="1" s="1"/>
  <c r="N1706" i="1" s="1"/>
  <c r="D49" i="39" s="1"/>
  <c r="BK1705" i="1"/>
  <c r="BD1705" i="1" s="1"/>
  <c r="S1705" i="1" s="1"/>
  <c r="N1705" i="1" s="1"/>
  <c r="D48" i="39" s="1"/>
  <c r="D58" i="39" l="1"/>
  <c r="D60" i="39" s="1"/>
  <c r="D47" i="39"/>
  <c r="D50" i="39" s="1"/>
  <c r="D52" i="39" s="1"/>
  <c r="BK1836" i="1"/>
  <c r="BD1836" i="1" s="1"/>
  <c r="S1836" i="1" s="1"/>
  <c r="D61" i="39" l="1"/>
  <c r="M58" i="34" s="1"/>
  <c r="F194" i="60" s="1"/>
  <c r="D62" i="39"/>
  <c r="E214" i="60" s="1"/>
  <c r="L58" i="34" l="1"/>
  <c r="BK144" i="1"/>
  <c r="BD144" i="1" s="1"/>
  <c r="BK116" i="1"/>
  <c r="BD116" i="1" s="1"/>
  <c r="BK1134" i="1" l="1"/>
  <c r="I1135" i="1"/>
  <c r="BK1135" i="1" s="1"/>
  <c r="S134" i="22"/>
  <c r="S144" i="1"/>
  <c r="S66" i="22"/>
  <c r="BK216" i="1"/>
  <c r="BD216" i="1" s="1"/>
  <c r="S216" i="1" s="1"/>
  <c r="I228" i="1"/>
  <c r="BK228" i="1" s="1"/>
  <c r="BD228" i="1" s="1"/>
  <c r="S228" i="1" s="1"/>
  <c r="BK990" i="1"/>
  <c r="BD990" i="1" s="1"/>
  <c r="BD991" i="1" s="1"/>
  <c r="I991" i="1"/>
  <c r="BK991" i="1" s="1"/>
  <c r="S99" i="22"/>
  <c r="S116" i="1"/>
  <c r="S30" i="22"/>
  <c r="BK32" i="1"/>
  <c r="BD32" i="1" s="1"/>
  <c r="BK33" i="1"/>
  <c r="BD33" i="1" s="1"/>
  <c r="S33" i="1" l="1"/>
  <c r="Q60" i="20"/>
  <c r="BK954" i="1"/>
  <c r="BD954" i="1" s="1"/>
  <c r="S954" i="1" s="1"/>
  <c r="I955" i="1"/>
  <c r="BK955" i="1" s="1"/>
  <c r="BD955" i="1" s="1"/>
  <c r="BK1026" i="1"/>
  <c r="BD1026" i="1" s="1"/>
  <c r="I1027" i="1"/>
  <c r="BK1027" i="1" s="1"/>
  <c r="S32" i="1"/>
  <c r="Q58" i="20"/>
  <c r="BK882" i="1"/>
  <c r="BD882" i="1" s="1"/>
  <c r="I883" i="1"/>
  <c r="BK883" i="1" s="1"/>
  <c r="BK163" i="1"/>
  <c r="BD163" i="1" s="1"/>
  <c r="S163" i="1" s="1"/>
  <c r="I177" i="1"/>
  <c r="BK177" i="1" s="1"/>
  <c r="BK1098" i="1"/>
  <c r="BD1098" i="1" s="1"/>
  <c r="I1099" i="1"/>
  <c r="BK1099" i="1" s="1"/>
  <c r="BK1062" i="1"/>
  <c r="BD1062" i="1" s="1"/>
  <c r="I1063" i="1"/>
  <c r="BK1063" i="1" s="1"/>
  <c r="BK918" i="1"/>
  <c r="BD918" i="1" s="1"/>
  <c r="I919" i="1"/>
  <c r="BK919" i="1" s="1"/>
  <c r="S955" i="1" l="1"/>
  <c r="S1098" i="1"/>
  <c r="BD1099" i="1"/>
  <c r="K107" i="6"/>
  <c r="K94" i="6"/>
  <c r="S918" i="1"/>
  <c r="BD919" i="1"/>
  <c r="S882" i="1"/>
  <c r="BD883" i="1"/>
  <c r="S1026" i="1"/>
  <c r="BD1027" i="1"/>
  <c r="BK238" i="1"/>
  <c r="BD238" i="1" s="1"/>
  <c r="S238" i="1" s="1"/>
  <c r="K18" i="6" s="1"/>
  <c r="I250" i="1"/>
  <c r="BK250" i="1" s="1"/>
  <c r="BD250" i="1" s="1"/>
  <c r="S250" i="1" s="1"/>
  <c r="S1062" i="1"/>
  <c r="BD1063" i="1"/>
  <c r="S1027" i="1" l="1"/>
  <c r="S1099" i="1"/>
  <c r="S883" i="1"/>
  <c r="S1063" i="1"/>
  <c r="N918" i="1"/>
  <c r="D49" i="31" s="1"/>
  <c r="S919" i="1"/>
  <c r="W123" i="1" l="1"/>
  <c r="AD109" i="22" l="1"/>
  <c r="T123" i="1"/>
  <c r="AD38" i="22"/>
  <c r="N123" i="1"/>
  <c r="W127" i="1"/>
  <c r="D38" i="22" l="1"/>
  <c r="D109" i="22" s="1"/>
  <c r="AA38" i="22"/>
  <c r="CK38" i="22" s="1"/>
  <c r="AA109" i="22"/>
  <c r="AD110" i="22"/>
  <c r="T127" i="1"/>
  <c r="N127" i="1"/>
  <c r="AD42" i="22"/>
  <c r="F38" i="22"/>
  <c r="F109" i="22" s="1"/>
  <c r="U109" i="22"/>
  <c r="U38" i="22"/>
  <c r="F42" i="22" l="1"/>
  <c r="F110" i="22" s="1"/>
  <c r="U110" i="22"/>
  <c r="U42" i="22"/>
  <c r="CK109" i="22"/>
  <c r="AA110" i="22"/>
  <c r="CK110" i="22" s="1"/>
  <c r="D42" i="22"/>
  <c r="D110" i="22" s="1"/>
  <c r="AA42" i="22"/>
  <c r="CK42" i="22" s="1"/>
  <c r="BK1306" i="1" l="1"/>
  <c r="BD1306" i="1" s="1"/>
  <c r="BK1305" i="1"/>
  <c r="BD1305" i="1" s="1"/>
  <c r="BK1295" i="1"/>
  <c r="BD1295" i="1" s="1"/>
  <c r="BK1279" i="1"/>
  <c r="BD1279" i="1" s="1"/>
  <c r="BK1278" i="1"/>
  <c r="BD1278" i="1" s="1"/>
  <c r="BK1276" i="1"/>
  <c r="BD1276" i="1" s="1"/>
  <c r="BK1286" i="1"/>
  <c r="BD1286" i="1" s="1"/>
  <c r="S1286" i="1" s="1"/>
  <c r="N1286" i="1" s="1"/>
  <c r="BK1292" i="1"/>
  <c r="BD1292" i="1" s="1"/>
  <c r="BK1291" i="1"/>
  <c r="BD1291" i="1" s="1"/>
  <c r="BK1275" i="1"/>
  <c r="BD1275" i="1" s="1"/>
  <c r="BK1290" i="1"/>
  <c r="BD1290" i="1" s="1"/>
  <c r="BK1289" i="1"/>
  <c r="BD1289" i="1" s="1"/>
  <c r="BK1274" i="1"/>
  <c r="BD1274" i="1" s="1"/>
  <c r="S1274" i="1" s="1"/>
  <c r="BK1273" i="1"/>
  <c r="BD1273" i="1" s="1"/>
  <c r="BK1284" i="1"/>
  <c r="BD1284" i="1" s="1"/>
  <c r="BK1280" i="1"/>
  <c r="BD1280" i="1" s="1"/>
  <c r="BK1281" i="1"/>
  <c r="BD1281" i="1" s="1"/>
  <c r="BK1282" i="1"/>
  <c r="BD1282" i="1" s="1"/>
  <c r="S1282" i="1" s="1"/>
  <c r="N1282" i="1" s="1"/>
  <c r="BK1283" i="1"/>
  <c r="BD1283" i="1" s="1"/>
  <c r="BK1262" i="1"/>
  <c r="BD1262" i="1" s="1"/>
  <c r="S1262" i="1" s="1"/>
  <c r="N1262" i="1" s="1"/>
  <c r="BK1260" i="1"/>
  <c r="BD1260" i="1" s="1"/>
  <c r="BK1256" i="1"/>
  <c r="BD1256" i="1" s="1"/>
  <c r="S1256" i="1" s="1"/>
  <c r="BK1258" i="1"/>
  <c r="BD1258" i="1" s="1"/>
  <c r="BK1257" i="1"/>
  <c r="BD1257" i="1" s="1"/>
  <c r="BK1245" i="1"/>
  <c r="BD1245" i="1" s="1"/>
  <c r="S1245" i="1" s="1"/>
  <c r="N1245" i="1" s="1"/>
  <c r="BK1250" i="1"/>
  <c r="BD1250" i="1" s="1"/>
  <c r="BK1247" i="1"/>
  <c r="BD1247" i="1" s="1"/>
  <c r="S1247" i="1" s="1"/>
  <c r="BK1238" i="1"/>
  <c r="BK1240" i="1"/>
  <c r="BD1240" i="1" s="1"/>
  <c r="BK1241" i="1"/>
  <c r="BD1241" i="1" s="1"/>
  <c r="BK1242" i="1"/>
  <c r="BD1242" i="1" s="1"/>
  <c r="BK1246" i="1"/>
  <c r="BD1246" i="1" s="1"/>
  <c r="BK21" i="1"/>
  <c r="BD21" i="1" s="1"/>
  <c r="S1257" i="1" l="1"/>
  <c r="N33" i="35"/>
  <c r="BK1271" i="1"/>
  <c r="I1293" i="1"/>
  <c r="BK1293" i="1" s="1"/>
  <c r="N34" i="35"/>
  <c r="S1258" i="1"/>
  <c r="N1258" i="1" s="1"/>
  <c r="E34" i="35" s="1"/>
  <c r="N17" i="36"/>
  <c r="S1280" i="1"/>
  <c r="N24" i="36"/>
  <c r="S1292" i="1"/>
  <c r="N1292" i="1" s="1"/>
  <c r="E24" i="36" s="1"/>
  <c r="BK1300" i="1"/>
  <c r="BD1300" i="1" s="1"/>
  <c r="I1303" i="1"/>
  <c r="BK1303" i="1" s="1"/>
  <c r="BD1303" i="1" s="1"/>
  <c r="S1303" i="1" s="1"/>
  <c r="N16" i="36"/>
  <c r="S1284" i="1"/>
  <c r="N1284" i="1" s="1"/>
  <c r="E16" i="36" s="1"/>
  <c r="BK1304" i="1"/>
  <c r="BD1304" i="1" s="1"/>
  <c r="I1307" i="1"/>
  <c r="S1240" i="1"/>
  <c r="N1240" i="1" s="1"/>
  <c r="E16" i="35" s="1"/>
  <c r="N16" i="35"/>
  <c r="S1291" i="1"/>
  <c r="N23" i="36"/>
  <c r="BK1237" i="1"/>
  <c r="BD1237" i="1" s="1"/>
  <c r="I1248" i="1"/>
  <c r="S1260" i="1"/>
  <c r="N37" i="35"/>
  <c r="N40" i="35" s="1"/>
  <c r="N18" i="36"/>
  <c r="S1273" i="1"/>
  <c r="N27" i="36"/>
  <c r="S1276" i="1"/>
  <c r="S1305" i="1"/>
  <c r="N1305" i="1" s="1"/>
  <c r="E50" i="36" s="1"/>
  <c r="N50" i="36"/>
  <c r="S1246" i="1"/>
  <c r="N21" i="35"/>
  <c r="I1253" i="1"/>
  <c r="BK1249" i="1"/>
  <c r="BD1249" i="1" s="1"/>
  <c r="N29" i="36"/>
  <c r="S1278" i="1"/>
  <c r="S1306" i="1"/>
  <c r="N1306" i="1" s="1"/>
  <c r="E51" i="36" s="1"/>
  <c r="N51" i="36"/>
  <c r="S1289" i="1"/>
  <c r="N20" i="36"/>
  <c r="N30" i="36"/>
  <c r="S1279" i="1"/>
  <c r="N19" i="35"/>
  <c r="S1242" i="1"/>
  <c r="N1242" i="1" s="1"/>
  <c r="E19" i="35" s="1"/>
  <c r="N25" i="35"/>
  <c r="S1250" i="1"/>
  <c r="S1283" i="1"/>
  <c r="N11" i="36"/>
  <c r="S1290" i="1"/>
  <c r="N1290" i="1" s="1"/>
  <c r="E21" i="36" s="1"/>
  <c r="N21" i="36"/>
  <c r="I1298" i="1"/>
  <c r="BK1294" i="1"/>
  <c r="BD1294" i="1" s="1"/>
  <c r="S21" i="1"/>
  <c r="Q37" i="20"/>
  <c r="N17" i="35"/>
  <c r="S1241" i="1"/>
  <c r="N1241" i="1" s="1"/>
  <c r="E17" i="35" s="1"/>
  <c r="BK1255" i="1"/>
  <c r="BD1255" i="1" s="1"/>
  <c r="I1259" i="1"/>
  <c r="N13" i="36"/>
  <c r="S1281" i="1"/>
  <c r="S1275" i="1"/>
  <c r="N22" i="36"/>
  <c r="S1295" i="1"/>
  <c r="N1295" i="1" s="1"/>
  <c r="E36" i="36" s="1"/>
  <c r="N36" i="36"/>
  <c r="BK7" i="1"/>
  <c r="BK104" i="1"/>
  <c r="BD104" i="1" s="1"/>
  <c r="S104" i="1" s="1"/>
  <c r="BK16" i="1"/>
  <c r="BD16" i="1" s="1"/>
  <c r="BK103" i="1"/>
  <c r="BD103" i="1" s="1"/>
  <c r="BK114" i="1"/>
  <c r="BD114" i="1" s="1"/>
  <c r="BK112" i="1"/>
  <c r="BD112" i="1" s="1"/>
  <c r="BK110" i="1"/>
  <c r="BD110" i="1" s="1"/>
  <c r="BK111" i="1"/>
  <c r="BD111" i="1" s="1"/>
  <c r="BK15" i="1"/>
  <c r="BD15" i="1" s="1"/>
  <c r="BK101" i="1"/>
  <c r="BD101" i="1" s="1"/>
  <c r="BK102" i="1"/>
  <c r="BD102" i="1" s="1"/>
  <c r="BK115" i="1"/>
  <c r="BD115" i="1" s="1"/>
  <c r="BK109" i="1"/>
  <c r="BD109" i="1" s="1"/>
  <c r="BK22" i="1"/>
  <c r="BD22" i="1" s="1"/>
  <c r="BK14" i="1"/>
  <c r="BK97" i="1"/>
  <c r="BD97" i="1" s="1"/>
  <c r="BK8" i="1"/>
  <c r="BD8" i="1" s="1"/>
  <c r="G188" i="138" l="1"/>
  <c r="S1237" i="1"/>
  <c r="N11" i="35"/>
  <c r="S115" i="1"/>
  <c r="S29" i="22"/>
  <c r="S98" i="22"/>
  <c r="S24" i="22"/>
  <c r="S110" i="1"/>
  <c r="S93" i="22"/>
  <c r="S97" i="22"/>
  <c r="S28" i="22"/>
  <c r="S114" i="1"/>
  <c r="S103" i="1"/>
  <c r="S17" i="22"/>
  <c r="N35" i="36"/>
  <c r="N39" i="36" s="1"/>
  <c r="S1294" i="1"/>
  <c r="S102" i="1"/>
  <c r="S16" i="22"/>
  <c r="BK1298" i="1"/>
  <c r="BD1298" i="1" s="1"/>
  <c r="S1298" i="1" s="1"/>
  <c r="I1309" i="1"/>
  <c r="BK1309" i="1" s="1"/>
  <c r="BK13" i="1"/>
  <c r="S109" i="1"/>
  <c r="S92" i="22"/>
  <c r="S23" i="22"/>
  <c r="S88" i="22"/>
  <c r="S101" i="1"/>
  <c r="S15" i="22"/>
  <c r="S16" i="1"/>
  <c r="Q27" i="20"/>
  <c r="I1265" i="1"/>
  <c r="BK1265" i="1" s="1"/>
  <c r="BD1265" i="1" s="1"/>
  <c r="S1265" i="1" s="1"/>
  <c r="BK1259" i="1"/>
  <c r="BD1259" i="1" s="1"/>
  <c r="S1259" i="1" s="1"/>
  <c r="I187" i="138"/>
  <c r="S1300" i="1"/>
  <c r="N45" i="36"/>
  <c r="N47" i="36" s="1"/>
  <c r="Q16" i="20"/>
  <c r="S8" i="1"/>
  <c r="S15" i="1"/>
  <c r="Q25" i="20"/>
  <c r="N31" i="35"/>
  <c r="N35" i="35" s="1"/>
  <c r="N45" i="35" s="1"/>
  <c r="S1255" i="1"/>
  <c r="N40" i="36"/>
  <c r="N56" i="35"/>
  <c r="BK1307" i="1"/>
  <c r="BD1307" i="1" s="1"/>
  <c r="S1307" i="1" s="1"/>
  <c r="I1310" i="1"/>
  <c r="S94" i="22"/>
  <c r="S25" i="22"/>
  <c r="S111" i="1"/>
  <c r="N49" i="36"/>
  <c r="N53" i="36" s="1"/>
  <c r="S1304" i="1"/>
  <c r="BK1253" i="1"/>
  <c r="BD1253" i="1" s="1"/>
  <c r="I1263" i="1"/>
  <c r="S85" i="22"/>
  <c r="S12" i="22"/>
  <c r="S97" i="1"/>
  <c r="S22" i="1"/>
  <c r="Q39" i="20"/>
  <c r="S95" i="22"/>
  <c r="S26" i="22"/>
  <c r="S112" i="1"/>
  <c r="S1249" i="1"/>
  <c r="N24" i="35"/>
  <c r="N27" i="35" s="1"/>
  <c r="BK1248" i="1"/>
  <c r="I1264" i="1"/>
  <c r="BK1264" i="1" s="1"/>
  <c r="N1280" i="1"/>
  <c r="K38" i="6"/>
  <c r="N57" i="36" l="1"/>
  <c r="K32" i="6"/>
  <c r="F38" i="6"/>
  <c r="E17" i="36"/>
  <c r="I1266" i="1"/>
  <c r="BK1266" i="1" s="1"/>
  <c r="BK1263" i="1"/>
  <c r="BD1263" i="1" s="1"/>
  <c r="S1263" i="1" s="1"/>
  <c r="BE84" i="22"/>
  <c r="CJ84" i="22" s="1"/>
  <c r="S1253" i="1"/>
  <c r="BF55" i="1"/>
  <c r="BD55" i="1" s="1"/>
  <c r="BK1310" i="1"/>
  <c r="I1311" i="1"/>
  <c r="BK1311" i="1" s="1"/>
  <c r="BJ1271" i="1" l="1"/>
  <c r="BJ1238" i="1"/>
  <c r="BK19" i="1"/>
  <c r="BD19" i="1" s="1"/>
  <c r="I20" i="1"/>
  <c r="BE81" i="1"/>
  <c r="BE65" i="1"/>
  <c r="BD1310" i="1"/>
  <c r="S1310" i="1" s="1"/>
  <c r="V27" i="21"/>
  <c r="W27" i="21" s="1"/>
  <c r="H35" i="60" s="1"/>
  <c r="S55" i="1"/>
  <c r="BK188" i="1" l="1"/>
  <c r="BJ188" i="1" s="1"/>
  <c r="I201" i="1"/>
  <c r="BK201" i="1" s="1"/>
  <c r="Q31" i="20"/>
  <c r="S19" i="1"/>
  <c r="BE83" i="1"/>
  <c r="I24" i="1"/>
  <c r="I29" i="1" s="1"/>
  <c r="I39" i="1" s="1"/>
  <c r="BJ99" i="1"/>
  <c r="BJ1248" i="1"/>
  <c r="BJ1264" i="1" s="1"/>
  <c r="BD1238" i="1"/>
  <c r="BD1271" i="1"/>
  <c r="BJ106" i="1"/>
  <c r="BJ1293" i="1"/>
  <c r="BE70" i="1"/>
  <c r="BE72" i="1" s="1"/>
  <c r="BK96" i="1" l="1"/>
  <c r="I119" i="1"/>
  <c r="BJ63" i="1"/>
  <c r="BD106" i="1"/>
  <c r="BJ53" i="1"/>
  <c r="BD99" i="1"/>
  <c r="BJ1309" i="1"/>
  <c r="BD1293" i="1"/>
  <c r="S1293" i="1" s="1"/>
  <c r="BJ1266" i="1"/>
  <c r="BD1266" i="1" s="1"/>
  <c r="BD1264" i="1"/>
  <c r="S1264" i="1" s="1"/>
  <c r="BJ1267" i="1"/>
  <c r="BD1267" i="1" s="1"/>
  <c r="S1267" i="1" s="1"/>
  <c r="N1267" i="1" s="1"/>
  <c r="S1238" i="1"/>
  <c r="N12" i="35"/>
  <c r="N22" i="35" s="1"/>
  <c r="N43" i="35" s="1"/>
  <c r="N47" i="35" s="1"/>
  <c r="BD1248" i="1"/>
  <c r="BF53" i="1" s="1"/>
  <c r="BE85" i="1"/>
  <c r="S1271" i="1"/>
  <c r="N14" i="36"/>
  <c r="N32" i="36" s="1"/>
  <c r="N55" i="36" s="1"/>
  <c r="N59" i="36" s="1"/>
  <c r="BK20" i="1"/>
  <c r="BD188" i="1"/>
  <c r="S188" i="1" s="1"/>
  <c r="BJ201" i="1"/>
  <c r="BK145" i="1"/>
  <c r="BD145" i="1" s="1"/>
  <c r="S1266" i="1" l="1"/>
  <c r="S99" i="1"/>
  <c r="S135" i="22"/>
  <c r="S67" i="22"/>
  <c r="S74" i="22" s="1"/>
  <c r="BD1309" i="1"/>
  <c r="S1309" i="1" s="1"/>
  <c r="BJ1311" i="1"/>
  <c r="BD1311" i="1" s="1"/>
  <c r="S1311" i="1" s="1"/>
  <c r="BF59" i="1"/>
  <c r="S86" i="22"/>
  <c r="S13" i="22"/>
  <c r="N48" i="35"/>
  <c r="G205" i="60" s="1"/>
  <c r="BK39" i="1"/>
  <c r="BK24" i="1"/>
  <c r="BK29" i="1" s="1"/>
  <c r="S1248" i="1"/>
  <c r="S90" i="22"/>
  <c r="S21" i="22"/>
  <c r="BJ70" i="1"/>
  <c r="BK119" i="1"/>
  <c r="I140" i="1"/>
  <c r="S101" i="22" l="1"/>
  <c r="S128" i="22" s="1"/>
  <c r="S132" i="22" s="1"/>
  <c r="BF61" i="1"/>
  <c r="BF72" i="1" s="1"/>
  <c r="BF85" i="1" s="1"/>
  <c r="N60" i="36"/>
  <c r="BK140" i="1"/>
  <c r="I143" i="1"/>
  <c r="BK143" i="1" s="1"/>
  <c r="S106" i="1"/>
  <c r="E13" i="134" l="1"/>
  <c r="E19" i="134" s="1"/>
  <c r="E29" i="43"/>
  <c r="F55" i="138"/>
  <c r="G31" i="130" l="1"/>
  <c r="W1730" i="1"/>
  <c r="T1730" i="1" s="1"/>
  <c r="N1730" i="1" s="1"/>
  <c r="W103" i="1"/>
  <c r="W104" i="1"/>
  <c r="W110" i="1"/>
  <c r="W112" i="1"/>
  <c r="H31" i="130" l="1"/>
  <c r="I31" i="130" s="1"/>
  <c r="G33" i="130"/>
  <c r="G35" i="130" s="1"/>
  <c r="G77" i="130" s="1"/>
  <c r="AD95" i="22"/>
  <c r="T112" i="1"/>
  <c r="AD26" i="22"/>
  <c r="N112" i="1"/>
  <c r="AD93" i="22"/>
  <c r="AD24" i="22"/>
  <c r="T110" i="1"/>
  <c r="N110" i="1"/>
  <c r="AD17" i="22"/>
  <c r="T103" i="1"/>
  <c r="N103" i="1"/>
  <c r="T104" i="1"/>
  <c r="N104" i="1"/>
  <c r="W125" i="1"/>
  <c r="M31" i="130" l="1"/>
  <c r="E24" i="134"/>
  <c r="F296" i="60" s="1"/>
  <c r="U17" i="22"/>
  <c r="F17" i="22"/>
  <c r="J17" i="22" s="1"/>
  <c r="F60" i="60" s="1"/>
  <c r="H1177" i="1"/>
  <c r="W1170" i="1"/>
  <c r="N125" i="1"/>
  <c r="T125" i="1"/>
  <c r="AD40" i="22"/>
  <c r="F24" i="22"/>
  <c r="U24" i="22"/>
  <c r="U93" i="22"/>
  <c r="AA93" i="22"/>
  <c r="CK93" i="22" s="1"/>
  <c r="AA24" i="22"/>
  <c r="CK24" i="22" s="1"/>
  <c r="D24" i="22"/>
  <c r="U26" i="22"/>
  <c r="F26" i="22"/>
  <c r="U95" i="22"/>
  <c r="D17" i="22"/>
  <c r="H17" i="22" s="1"/>
  <c r="D60" i="60" s="1"/>
  <c r="AA17" i="22"/>
  <c r="CK17" i="22" s="1"/>
  <c r="D26" i="22"/>
  <c r="AA95" i="22"/>
  <c r="CK95" i="22" s="1"/>
  <c r="AA26" i="22"/>
  <c r="CK26" i="22" s="1"/>
  <c r="W1190" i="1"/>
  <c r="D40" i="22" l="1"/>
  <c r="AA40" i="22"/>
  <c r="CK40" i="22" s="1"/>
  <c r="T1190" i="1"/>
  <c r="D41" i="33" s="1"/>
  <c r="D42" i="33" s="1"/>
  <c r="N1190" i="1"/>
  <c r="J41" i="33" s="1"/>
  <c r="J42" i="33" s="1"/>
  <c r="U40" i="22"/>
  <c r="F40" i="22"/>
  <c r="E13" i="42" s="1"/>
  <c r="F93" i="22"/>
  <c r="J93" i="22" s="1"/>
  <c r="J24" i="22"/>
  <c r="F66" i="60" s="1"/>
  <c r="F95" i="22"/>
  <c r="J95" i="22" s="1"/>
  <c r="J26" i="22"/>
  <c r="F68" i="60" s="1"/>
  <c r="H24" i="22"/>
  <c r="D66" i="60" s="1"/>
  <c r="D93" i="22"/>
  <c r="H93" i="22" s="1"/>
  <c r="T1170" i="1"/>
  <c r="N1170" i="1"/>
  <c r="J26" i="33" s="1"/>
  <c r="J33" i="33" s="1"/>
  <c r="W1177" i="1"/>
  <c r="H26" i="22"/>
  <c r="D68" i="60" s="1"/>
  <c r="D95" i="22"/>
  <c r="H95" i="22" s="1"/>
  <c r="E18" i="37"/>
  <c r="J44" i="33" l="1"/>
  <c r="E184" i="60" s="1"/>
  <c r="I795" i="1"/>
  <c r="BK795" i="1" s="1"/>
  <c r="BK791" i="1"/>
  <c r="BD791" i="1" s="1"/>
  <c r="W882" i="1"/>
  <c r="H883" i="1"/>
  <c r="D26" i="33"/>
  <c r="D33" i="33" s="1"/>
  <c r="D44" i="33" s="1"/>
  <c r="E181" i="60" s="1"/>
  <c r="T1177" i="1"/>
  <c r="N1177" i="1" s="1"/>
  <c r="BD795" i="1" l="1"/>
  <c r="S791" i="1"/>
  <c r="W1098" i="1"/>
  <c r="H1099" i="1"/>
  <c r="W1134" i="1"/>
  <c r="H1135" i="1"/>
  <c r="W954" i="1"/>
  <c r="H955" i="1"/>
  <c r="W1026" i="1"/>
  <c r="H1027" i="1"/>
  <c r="W1062" i="1"/>
  <c r="H1063" i="1"/>
  <c r="I757" i="1"/>
  <c r="BK757" i="1" s="1"/>
  <c r="BD757" i="1" s="1"/>
  <c r="S757" i="1" s="1"/>
  <c r="BK753" i="1"/>
  <c r="BD753" i="1" s="1"/>
  <c r="S753" i="1" s="1"/>
  <c r="W791" i="1"/>
  <c r="H795" i="1"/>
  <c r="T882" i="1"/>
  <c r="W883" i="1"/>
  <c r="N882" i="1"/>
  <c r="C49" i="31" s="1"/>
  <c r="C50" i="31" l="1"/>
  <c r="N1134" i="1"/>
  <c r="J49" i="31" s="1"/>
  <c r="J50" i="31" s="1"/>
  <c r="T1134" i="1"/>
  <c r="W1135" i="1"/>
  <c r="C49" i="137"/>
  <c r="T883" i="1"/>
  <c r="N883" i="1" s="1"/>
  <c r="S795" i="1"/>
  <c r="N791" i="1"/>
  <c r="J48" i="29" s="1"/>
  <c r="J52" i="29" s="1"/>
  <c r="W795" i="1"/>
  <c r="T791" i="1"/>
  <c r="T1062" i="1"/>
  <c r="W1063" i="1"/>
  <c r="N1062" i="1"/>
  <c r="H49" i="31" s="1"/>
  <c r="H50" i="31" s="1"/>
  <c r="T1098" i="1"/>
  <c r="W1099" i="1"/>
  <c r="N1098" i="1"/>
  <c r="I49" i="31" s="1"/>
  <c r="I50" i="31" s="1"/>
  <c r="T1026" i="1"/>
  <c r="W1027" i="1"/>
  <c r="N1026" i="1"/>
  <c r="G49" i="31" s="1"/>
  <c r="G50" i="31" s="1"/>
  <c r="T954" i="1"/>
  <c r="W955" i="1"/>
  <c r="N954" i="1"/>
  <c r="E49" i="31" s="1"/>
  <c r="E50" i="31" s="1"/>
  <c r="G49" i="137" l="1"/>
  <c r="T1027" i="1"/>
  <c r="N1027" i="1" s="1"/>
  <c r="J48" i="135"/>
  <c r="J52" i="135" s="1"/>
  <c r="T795" i="1"/>
  <c r="N795" i="1" s="1"/>
  <c r="E49" i="137"/>
  <c r="T955" i="1"/>
  <c r="N955" i="1" s="1"/>
  <c r="I49" i="137"/>
  <c r="T1099" i="1"/>
  <c r="N1099" i="1" s="1"/>
  <c r="J49" i="137"/>
  <c r="T1135" i="1"/>
  <c r="N1135" i="1" s="1"/>
  <c r="K49" i="31"/>
  <c r="H49" i="137"/>
  <c r="T1063" i="1"/>
  <c r="N1063" i="1" s="1"/>
  <c r="H1169" i="1" l="1"/>
  <c r="W1162" i="1"/>
  <c r="W1189" i="1"/>
  <c r="T1189" i="1" l="1"/>
  <c r="C41" i="33" s="1"/>
  <c r="N1189" i="1"/>
  <c r="I41" i="33" s="1"/>
  <c r="W1169" i="1"/>
  <c r="N1162" i="1"/>
  <c r="I26" i="33" s="1"/>
  <c r="T1162" i="1"/>
  <c r="T1169" i="1" l="1"/>
  <c r="N1169" i="1" s="1"/>
  <c r="C26" i="33"/>
  <c r="I33" i="33"/>
  <c r="I42" i="33"/>
  <c r="C42" i="33"/>
  <c r="BK639" i="1"/>
  <c r="BD639" i="1" s="1"/>
  <c r="S639" i="1" s="1"/>
  <c r="I643" i="1"/>
  <c r="BK643" i="1" s="1"/>
  <c r="BD643" i="1" s="1"/>
  <c r="I44" i="33" l="1"/>
  <c r="D184" i="60" s="1"/>
  <c r="I605" i="1"/>
  <c r="BK605" i="1" s="1"/>
  <c r="BD605" i="1" s="1"/>
  <c r="BK601" i="1"/>
  <c r="BD601" i="1" s="1"/>
  <c r="S601" i="1" s="1"/>
  <c r="C33" i="33"/>
  <c r="C44" i="33" s="1"/>
  <c r="D181" i="60" s="1"/>
  <c r="S643" i="1"/>
  <c r="I719" i="1" l="1"/>
  <c r="BK719" i="1" s="1"/>
  <c r="BD719" i="1" s="1"/>
  <c r="BK715" i="1"/>
  <c r="BD715" i="1" s="1"/>
  <c r="S715" i="1" s="1"/>
  <c r="S605" i="1"/>
  <c r="BK563" i="1"/>
  <c r="BD563" i="1" s="1"/>
  <c r="S563" i="1" s="1"/>
  <c r="I567" i="1"/>
  <c r="BK567" i="1" s="1"/>
  <c r="BD567" i="1" s="1"/>
  <c r="S567" i="1" s="1"/>
  <c r="S719" i="1" l="1"/>
  <c r="BK526" i="1" l="1"/>
  <c r="BD526" i="1" s="1"/>
  <c r="I530" i="1"/>
  <c r="BK530" i="1" s="1"/>
  <c r="BD530" i="1" l="1"/>
  <c r="S530" i="1" s="1"/>
  <c r="S526" i="1"/>
  <c r="BK66" i="1" l="1"/>
  <c r="BD66" i="1" s="1"/>
  <c r="BK74" i="1" l="1"/>
  <c r="BD74" i="1" s="1"/>
  <c r="V38" i="21"/>
  <c r="S66" i="1"/>
  <c r="V46" i="21" l="1"/>
  <c r="S74" i="1"/>
  <c r="BK90" i="1" l="1"/>
  <c r="BD90" i="1" s="1"/>
  <c r="BK45" i="1"/>
  <c r="BD45" i="1" s="1"/>
  <c r="V58" i="21" l="1"/>
  <c r="S90" i="1"/>
  <c r="S45" i="1"/>
  <c r="V16" i="21"/>
  <c r="K120" i="6" l="1"/>
  <c r="BK48" i="1" l="1"/>
  <c r="BD48" i="1" s="1"/>
  <c r="BK47" i="1"/>
  <c r="BD47" i="1" s="1"/>
  <c r="BK65" i="1"/>
  <c r="BD65" i="1" s="1"/>
  <c r="I70" i="1" l="1"/>
  <c r="BK70" i="1" s="1"/>
  <c r="BK63" i="1"/>
  <c r="BD63" i="1" s="1"/>
  <c r="S47" i="1"/>
  <c r="V18" i="21"/>
  <c r="S65" i="1"/>
  <c r="V37" i="21"/>
  <c r="W37" i="21" s="1"/>
  <c r="H41" i="60" s="1"/>
  <c r="I59" i="1"/>
  <c r="BK59" i="1" s="1"/>
  <c r="BK53" i="1"/>
  <c r="BD53" i="1" s="1"/>
  <c r="S48" i="1"/>
  <c r="V19" i="21"/>
  <c r="S53" i="1" l="1"/>
  <c r="V26" i="21"/>
  <c r="S63" i="1"/>
  <c r="V35" i="21"/>
  <c r="BD70" i="1"/>
  <c r="S70" i="1" s="1"/>
  <c r="BK81" i="1"/>
  <c r="BD81" i="1" s="1"/>
  <c r="I83" i="1"/>
  <c r="BK83" i="1" s="1"/>
  <c r="S81" i="1" l="1"/>
  <c r="V47" i="21"/>
  <c r="V50" i="21" s="1"/>
  <c r="BD83" i="1"/>
  <c r="S83" i="1" s="1"/>
  <c r="W26" i="21"/>
  <c r="H34" i="60" s="1"/>
  <c r="V40" i="21"/>
  <c r="W35" i="21"/>
  <c r="H39" i="60" s="1"/>
  <c r="K124" i="6"/>
  <c r="BK89" i="1" l="1"/>
  <c r="I92" i="1"/>
  <c r="BK92" i="1" s="1"/>
  <c r="I49" i="1" l="1"/>
  <c r="BK43" i="1"/>
  <c r="BD43" i="1" s="1"/>
  <c r="I61" i="1" l="1"/>
  <c r="BK49" i="1"/>
  <c r="S43" i="1"/>
  <c r="V14" i="21"/>
  <c r="BK61" i="1" l="1"/>
  <c r="I72" i="1"/>
  <c r="BK72" i="1" l="1"/>
  <c r="I85" i="1"/>
  <c r="BK85" i="1" s="1"/>
  <c r="W157" i="1" l="1"/>
  <c r="T157" i="1" l="1"/>
  <c r="N157" i="1"/>
  <c r="W142" i="1" l="1"/>
  <c r="T142" i="1" l="1"/>
  <c r="N142" i="1"/>
  <c r="AD63" i="22"/>
  <c r="AD131" i="22"/>
  <c r="U63" i="22" l="1"/>
  <c r="U131" i="22"/>
  <c r="F131" i="22"/>
  <c r="F63" i="22"/>
  <c r="D63" i="22"/>
  <c r="D131" i="22"/>
  <c r="AA131" i="22"/>
  <c r="AA63" i="22"/>
  <c r="CK131" i="22" l="1"/>
  <c r="CK63" i="22"/>
  <c r="H178" i="138"/>
  <c r="E28" i="43" l="1"/>
  <c r="E17" i="43"/>
  <c r="F54" i="138"/>
  <c r="F57" i="138" s="1"/>
  <c r="D13" i="134" l="1"/>
  <c r="D19" i="134" s="1"/>
  <c r="H51" i="34" s="1"/>
  <c r="C87" i="17"/>
  <c r="E22" i="43"/>
  <c r="E34" i="43" l="1"/>
  <c r="BK770" i="1" l="1"/>
  <c r="BD770" i="1" s="1"/>
  <c r="S770" i="1" s="1"/>
  <c r="BK685" i="1"/>
  <c r="BD685" i="1" s="1"/>
  <c r="S685" i="1" s="1"/>
  <c r="W761" i="1"/>
  <c r="T761" i="1" s="1"/>
  <c r="J11" i="135" s="1"/>
  <c r="BK575" i="1"/>
  <c r="BD575" i="1" s="1"/>
  <c r="S575" i="1" s="1"/>
  <c r="BK769" i="1"/>
  <c r="BD769" i="1" s="1"/>
  <c r="S769" i="1" s="1"/>
  <c r="W579" i="1"/>
  <c r="T579" i="1" s="1"/>
  <c r="E17" i="135" s="1"/>
  <c r="BK654" i="1"/>
  <c r="BD654" i="1" s="1"/>
  <c r="S654" i="1" s="1"/>
  <c r="BK544" i="1"/>
  <c r="BD544" i="1" s="1"/>
  <c r="S544" i="1" s="1"/>
  <c r="BK768" i="1"/>
  <c r="BD768" i="1" s="1"/>
  <c r="S768" i="1" s="1"/>
  <c r="W650" i="1"/>
  <c r="T650" i="1" s="1"/>
  <c r="G14" i="135" s="1"/>
  <c r="W726" i="1"/>
  <c r="T726" i="1" s="1"/>
  <c r="I14" i="135" s="1"/>
  <c r="BK577" i="1"/>
  <c r="BD577" i="1" s="1"/>
  <c r="S577" i="1" s="1"/>
  <c r="BK729" i="1"/>
  <c r="BD729" i="1" s="1"/>
  <c r="S729" i="1" s="1"/>
  <c r="W539" i="1"/>
  <c r="T539" i="1" s="1"/>
  <c r="D18" i="135" s="1"/>
  <c r="BK652" i="1"/>
  <c r="BD652" i="1" s="1"/>
  <c r="S652" i="1" s="1"/>
  <c r="BK542" i="1"/>
  <c r="BD542" i="1" s="1"/>
  <c r="S542" i="1" s="1"/>
  <c r="BK576" i="1"/>
  <c r="BD576" i="1" s="1"/>
  <c r="S576" i="1" s="1"/>
  <c r="BK766" i="1"/>
  <c r="BD766" i="1" s="1"/>
  <c r="S766" i="1" s="1"/>
  <c r="BK541" i="1"/>
  <c r="BD541" i="1" s="1"/>
  <c r="S541" i="1" s="1"/>
  <c r="BK765" i="1"/>
  <c r="BD765" i="1" s="1"/>
  <c r="S765" i="1" s="1"/>
  <c r="W541" i="1"/>
  <c r="T541" i="1" s="1"/>
  <c r="D17" i="135" s="1"/>
  <c r="BK650" i="1"/>
  <c r="BD650" i="1" s="1"/>
  <c r="S650" i="1" s="1"/>
  <c r="BK540" i="1"/>
  <c r="BD540" i="1" s="1"/>
  <c r="S540" i="1" s="1"/>
  <c r="BK764" i="1"/>
  <c r="BD764" i="1" s="1"/>
  <c r="S764" i="1" s="1"/>
  <c r="W612" i="1"/>
  <c r="T612" i="1" s="1"/>
  <c r="F14" i="135" s="1"/>
  <c r="W688" i="1"/>
  <c r="T688" i="1" s="1"/>
  <c r="H14" i="135" s="1"/>
  <c r="BK543" i="1"/>
  <c r="BD543" i="1" s="1"/>
  <c r="S543" i="1" s="1"/>
  <c r="W502" i="1"/>
  <c r="BK647" i="1"/>
  <c r="BD647" i="1" s="1"/>
  <c r="S647" i="1" s="1"/>
  <c r="BK538" i="1"/>
  <c r="BD538" i="1" s="1"/>
  <c r="S538" i="1" s="1"/>
  <c r="BK761" i="1"/>
  <c r="BD761" i="1" s="1"/>
  <c r="S761" i="1" s="1"/>
  <c r="N761" i="1" s="1"/>
  <c r="J11" i="29" s="1"/>
  <c r="BK537" i="1"/>
  <c r="BD537" i="1" s="1"/>
  <c r="S537" i="1" s="1"/>
  <c r="BK731" i="1"/>
  <c r="BD731" i="1" s="1"/>
  <c r="S731" i="1" s="1"/>
  <c r="W504" i="1"/>
  <c r="BK620" i="1"/>
  <c r="BD620" i="1" s="1"/>
  <c r="S620" i="1" s="1"/>
  <c r="BK536" i="1"/>
  <c r="BD536" i="1" s="1"/>
  <c r="S536" i="1" s="1"/>
  <c r="BK734" i="1"/>
  <c r="BD734" i="1" s="1"/>
  <c r="S734" i="1" s="1"/>
  <c r="W574" i="1"/>
  <c r="T574" i="1" s="1"/>
  <c r="E14" i="135" s="1"/>
  <c r="BK657" i="1"/>
  <c r="BD657" i="1" s="1"/>
  <c r="S657" i="1" s="1"/>
  <c r="BK695" i="1"/>
  <c r="BD695" i="1" s="1"/>
  <c r="S695" i="1" s="1"/>
  <c r="W771" i="1"/>
  <c r="T771" i="1" s="1"/>
  <c r="J21" i="135" s="1"/>
  <c r="BK618" i="1"/>
  <c r="BD618" i="1" s="1"/>
  <c r="S618" i="1" s="1"/>
  <c r="BK533" i="1"/>
  <c r="BD533" i="1" s="1"/>
  <c r="S533" i="1" s="1"/>
  <c r="BK505" i="1"/>
  <c r="BD505" i="1" s="1"/>
  <c r="S505" i="1" s="1"/>
  <c r="BK732" i="1"/>
  <c r="BD732" i="1" s="1"/>
  <c r="S732" i="1" s="1"/>
  <c r="BK655" i="1"/>
  <c r="BD655" i="1" s="1"/>
  <c r="S655" i="1" s="1"/>
  <c r="BK504" i="1"/>
  <c r="BD504" i="1" s="1"/>
  <c r="S504" i="1" s="1"/>
  <c r="BK727" i="1"/>
  <c r="BD727" i="1" s="1"/>
  <c r="S727" i="1" s="1"/>
  <c r="W769" i="1"/>
  <c r="T769" i="1" s="1"/>
  <c r="J17" i="135" s="1"/>
  <c r="BK616" i="1"/>
  <c r="BD616" i="1" s="1"/>
  <c r="S616" i="1" s="1"/>
  <c r="BK507" i="1"/>
  <c r="BD507" i="1" s="1"/>
  <c r="S507" i="1" s="1"/>
  <c r="BK730" i="1"/>
  <c r="BD730" i="1" s="1"/>
  <c r="S730" i="1" s="1"/>
  <c r="W544" i="1"/>
  <c r="T544" i="1" s="1"/>
  <c r="D22" i="135" s="1"/>
  <c r="BK653" i="1"/>
  <c r="BD653" i="1" s="1"/>
  <c r="S653" i="1" s="1"/>
  <c r="BK502" i="1"/>
  <c r="BD502" i="1" s="1"/>
  <c r="S502" i="1" s="1"/>
  <c r="BK691" i="1"/>
  <c r="BD691" i="1" s="1"/>
  <c r="S691" i="1" s="1"/>
  <c r="W767" i="1"/>
  <c r="T767" i="1" s="1"/>
  <c r="J18" i="135" s="1"/>
  <c r="BK614" i="1"/>
  <c r="BD614" i="1" s="1"/>
  <c r="S614" i="1" s="1"/>
  <c r="BK728" i="1"/>
  <c r="BD728" i="1" s="1"/>
  <c r="S728" i="1" s="1"/>
  <c r="BK651" i="1"/>
  <c r="BD651" i="1" s="1"/>
  <c r="S651" i="1" s="1"/>
  <c r="BK500" i="1"/>
  <c r="BD500" i="1" s="1"/>
  <c r="S500" i="1" s="1"/>
  <c r="BK693" i="1"/>
  <c r="BD693" i="1" s="1"/>
  <c r="S693" i="1" s="1"/>
  <c r="W765" i="1"/>
  <c r="T765" i="1" s="1"/>
  <c r="J15" i="135" s="1"/>
  <c r="BK612" i="1"/>
  <c r="BD612" i="1" s="1"/>
  <c r="S612" i="1" s="1"/>
  <c r="N612" i="1" s="1"/>
  <c r="F14" i="29" s="1"/>
  <c r="BK503" i="1"/>
  <c r="BD503" i="1" s="1"/>
  <c r="S503" i="1" s="1"/>
  <c r="BK726" i="1"/>
  <c r="BD726" i="1" s="1"/>
  <c r="S726" i="1" s="1"/>
  <c r="W536" i="1"/>
  <c r="T536" i="1" s="1"/>
  <c r="D14" i="135" s="1"/>
  <c r="BK771" i="1"/>
  <c r="BD771" i="1" s="1"/>
  <c r="S771" i="1" s="1"/>
  <c r="W763" i="1"/>
  <c r="T763" i="1" s="1"/>
  <c r="J13" i="135" s="1"/>
  <c r="BK609" i="1"/>
  <c r="BD609" i="1" s="1"/>
  <c r="S609" i="1" s="1"/>
  <c r="BK501" i="1"/>
  <c r="BD501" i="1" s="1"/>
  <c r="S501" i="1" s="1"/>
  <c r="BK723" i="1"/>
  <c r="BD723" i="1" s="1"/>
  <c r="S723" i="1" s="1"/>
  <c r="BK617" i="1"/>
  <c r="BD617" i="1" s="1"/>
  <c r="S617" i="1" s="1"/>
  <c r="BK611" i="1"/>
  <c r="BD611" i="1" s="1"/>
  <c r="S611" i="1" s="1"/>
  <c r="BK689" i="1"/>
  <c r="BD689" i="1" s="1"/>
  <c r="S689" i="1" s="1"/>
  <c r="W731" i="1"/>
  <c r="T731" i="1" s="1"/>
  <c r="I17" i="135" s="1"/>
  <c r="BK582" i="1"/>
  <c r="BD582" i="1" s="1"/>
  <c r="S582" i="1" s="1"/>
  <c r="BK499" i="1"/>
  <c r="BD499" i="1" s="1"/>
  <c r="S499" i="1" s="1"/>
  <c r="BK696" i="1"/>
  <c r="BD696" i="1" s="1"/>
  <c r="S696" i="1" s="1"/>
  <c r="W772" i="1"/>
  <c r="T772" i="1" s="1"/>
  <c r="J22" i="135" s="1"/>
  <c r="BK619" i="1"/>
  <c r="BD619" i="1" s="1"/>
  <c r="S619" i="1" s="1"/>
  <c r="BK767" i="1"/>
  <c r="BD767" i="1" s="1"/>
  <c r="S767" i="1" s="1"/>
  <c r="W653" i="1"/>
  <c r="T653" i="1" s="1"/>
  <c r="G18" i="135" s="1"/>
  <c r="W729" i="1"/>
  <c r="T729" i="1" s="1"/>
  <c r="I18" i="135" s="1"/>
  <c r="BK580" i="1"/>
  <c r="BD580" i="1" s="1"/>
  <c r="S580" i="1" s="1"/>
  <c r="BK496" i="1"/>
  <c r="BD496" i="1" s="1"/>
  <c r="S496" i="1" s="1"/>
  <c r="BK694" i="1"/>
  <c r="BD694" i="1" s="1"/>
  <c r="S694" i="1" s="1"/>
  <c r="W770" i="1"/>
  <c r="T770" i="1" s="1"/>
  <c r="J20" i="135" s="1"/>
  <c r="BK613" i="1"/>
  <c r="BD613" i="1" s="1"/>
  <c r="S613" i="1" s="1"/>
  <c r="BK539" i="1"/>
  <c r="BD539" i="1" s="1"/>
  <c r="S539" i="1" s="1"/>
  <c r="W655" i="1"/>
  <c r="T655" i="1" s="1"/>
  <c r="G17" i="135" s="1"/>
  <c r="W693" i="1"/>
  <c r="T693" i="1" s="1"/>
  <c r="H17" i="135" s="1"/>
  <c r="BK578" i="1"/>
  <c r="BD578" i="1" s="1"/>
  <c r="S578" i="1" s="1"/>
  <c r="W499" i="1"/>
  <c r="T499" i="1" s="1"/>
  <c r="C14" i="135" s="1"/>
  <c r="BK692" i="1"/>
  <c r="BD692" i="1" s="1"/>
  <c r="S692" i="1" s="1"/>
  <c r="W768" i="1"/>
  <c r="T768" i="1" s="1"/>
  <c r="J19" i="135" s="1"/>
  <c r="BK615" i="1"/>
  <c r="BD615" i="1" s="1"/>
  <c r="S615" i="1" s="1"/>
  <c r="W615" i="1"/>
  <c r="T615" i="1" s="1"/>
  <c r="F18" i="135" s="1"/>
  <c r="W691" i="1"/>
  <c r="T691" i="1" s="1"/>
  <c r="H18" i="135" s="1"/>
  <c r="BK690" i="1"/>
  <c r="BD690" i="1" s="1"/>
  <c r="S690" i="1" s="1"/>
  <c r="W766" i="1"/>
  <c r="T766" i="1" s="1"/>
  <c r="J16" i="135" s="1"/>
  <c r="BK579" i="1"/>
  <c r="BD579" i="1" s="1"/>
  <c r="S579" i="1" s="1"/>
  <c r="BK506" i="1"/>
  <c r="BD506" i="1" s="1"/>
  <c r="S506" i="1" s="1"/>
  <c r="W617" i="1"/>
  <c r="T617" i="1" s="1"/>
  <c r="F17" i="135" s="1"/>
  <c r="BK658" i="1"/>
  <c r="BD658" i="1" s="1"/>
  <c r="S658" i="1" s="1"/>
  <c r="BK574" i="1"/>
  <c r="BD574" i="1" s="1"/>
  <c r="S574" i="1" s="1"/>
  <c r="BK772" i="1"/>
  <c r="BD772" i="1" s="1"/>
  <c r="S772" i="1" s="1"/>
  <c r="BK688" i="1"/>
  <c r="BD688" i="1" s="1"/>
  <c r="S688" i="1" s="1"/>
  <c r="N688" i="1" s="1"/>
  <c r="H14" i="29" s="1"/>
  <c r="W764" i="1"/>
  <c r="T764" i="1" s="1"/>
  <c r="J14" i="135" s="1"/>
  <c r="BK581" i="1"/>
  <c r="BD581" i="1" s="1"/>
  <c r="S581" i="1" s="1"/>
  <c r="BK733" i="1"/>
  <c r="BD733" i="1" s="1"/>
  <c r="S733" i="1" s="1"/>
  <c r="W577" i="1"/>
  <c r="T577" i="1" s="1"/>
  <c r="E18" i="135" s="1"/>
  <c r="BK656" i="1"/>
  <c r="BD656" i="1" s="1"/>
  <c r="S656" i="1" s="1"/>
  <c r="BK571" i="1"/>
  <c r="BD571" i="1" s="1"/>
  <c r="S571" i="1" s="1"/>
  <c r="N539" i="1" l="1"/>
  <c r="D18" i="29" s="1"/>
  <c r="E10" i="59" s="1"/>
  <c r="N772" i="1"/>
  <c r="J22" i="29" s="1"/>
  <c r="N767" i="1"/>
  <c r="J18" i="29" s="1"/>
  <c r="K10" i="59" s="1"/>
  <c r="N726" i="1"/>
  <c r="I14" i="29" s="1"/>
  <c r="N579" i="1"/>
  <c r="E17" i="29" s="1"/>
  <c r="F23" i="59" s="1"/>
  <c r="N574" i="1"/>
  <c r="E14" i="29" s="1"/>
  <c r="N615" i="1"/>
  <c r="F18" i="29" s="1"/>
  <c r="G10" i="59" s="1"/>
  <c r="N650" i="1"/>
  <c r="G14" i="29" s="1"/>
  <c r="N771" i="1"/>
  <c r="J21" i="29" s="1"/>
  <c r="N541" i="1"/>
  <c r="D17" i="29" s="1"/>
  <c r="E23" i="59" s="1"/>
  <c r="I572" i="1"/>
  <c r="I583" i="1" s="1"/>
  <c r="BK570" i="1"/>
  <c r="BD570" i="1" s="1"/>
  <c r="S570" i="1" s="1"/>
  <c r="BK535" i="1"/>
  <c r="BD535" i="1" s="1"/>
  <c r="S535" i="1" s="1"/>
  <c r="O101" i="6"/>
  <c r="O86" i="6"/>
  <c r="T502" i="1"/>
  <c r="N544" i="1"/>
  <c r="D22" i="29" s="1"/>
  <c r="BK498" i="1"/>
  <c r="BD498" i="1" s="1"/>
  <c r="S498" i="1" s="1"/>
  <c r="K88" i="6"/>
  <c r="I724" i="1"/>
  <c r="I735" i="1" s="1"/>
  <c r="BK722" i="1"/>
  <c r="BD722" i="1" s="1"/>
  <c r="S722" i="1" s="1"/>
  <c r="BK725" i="1"/>
  <c r="BD725" i="1" s="1"/>
  <c r="S725" i="1" s="1"/>
  <c r="N765" i="1"/>
  <c r="J15" i="29" s="1"/>
  <c r="BK763" i="1"/>
  <c r="BD763" i="1" s="1"/>
  <c r="S763" i="1" s="1"/>
  <c r="N763" i="1" s="1"/>
  <c r="J13" i="29" s="1"/>
  <c r="K87" i="6"/>
  <c r="I648" i="1"/>
  <c r="I659" i="1" s="1"/>
  <c r="BK646" i="1"/>
  <c r="BD646" i="1" s="1"/>
  <c r="S646" i="1" s="1"/>
  <c r="N729" i="1"/>
  <c r="I18" i="29" s="1"/>
  <c r="J10" i="59" s="1"/>
  <c r="N769" i="1"/>
  <c r="J17" i="29" s="1"/>
  <c r="K23" i="59" s="1"/>
  <c r="N617" i="1"/>
  <c r="F17" i="29" s="1"/>
  <c r="G23" i="59" s="1"/>
  <c r="BK687" i="1"/>
  <c r="BD687" i="1" s="1"/>
  <c r="S687" i="1" s="1"/>
  <c r="N693" i="1"/>
  <c r="H17" i="29" s="1"/>
  <c r="I23" i="59" s="1"/>
  <c r="N691" i="1"/>
  <c r="H18" i="29" s="1"/>
  <c r="I10" i="59" s="1"/>
  <c r="N536" i="1"/>
  <c r="D14" i="29" s="1"/>
  <c r="BK760" i="1"/>
  <c r="BD760" i="1" s="1"/>
  <c r="S760" i="1" s="1"/>
  <c r="I762" i="1"/>
  <c r="N577" i="1"/>
  <c r="E18" i="29" s="1"/>
  <c r="F10" i="59" s="1"/>
  <c r="K101" i="6"/>
  <c r="N502" i="1"/>
  <c r="K86" i="6"/>
  <c r="N504" i="1"/>
  <c r="K112" i="6"/>
  <c r="BK608" i="1"/>
  <c r="BD608" i="1" s="1"/>
  <c r="S608" i="1" s="1"/>
  <c r="I610" i="1"/>
  <c r="N764" i="1"/>
  <c r="J14" i="29" s="1"/>
  <c r="N766" i="1"/>
  <c r="J16" i="29" s="1"/>
  <c r="K14" i="135"/>
  <c r="I686" i="1"/>
  <c r="I697" i="1" s="1"/>
  <c r="BK684" i="1"/>
  <c r="BD684" i="1" s="1"/>
  <c r="S684" i="1" s="1"/>
  <c r="BK649" i="1"/>
  <c r="BD649" i="1" s="1"/>
  <c r="S649" i="1" s="1"/>
  <c r="N653" i="1"/>
  <c r="G18" i="29" s="1"/>
  <c r="H10" i="59" s="1"/>
  <c r="N655" i="1"/>
  <c r="G17" i="29" s="1"/>
  <c r="H23" i="59" s="1"/>
  <c r="O112" i="6"/>
  <c r="T504" i="1"/>
  <c r="W760" i="1"/>
  <c r="H762" i="1"/>
  <c r="H773" i="1" s="1"/>
  <c r="BK573" i="1"/>
  <c r="BD573" i="1" s="1"/>
  <c r="S573" i="1" s="1"/>
  <c r="N499" i="1"/>
  <c r="C14" i="29" s="1"/>
  <c r="I534" i="1"/>
  <c r="BK532" i="1"/>
  <c r="BD532" i="1" s="1"/>
  <c r="S532" i="1" s="1"/>
  <c r="N731" i="1"/>
  <c r="I17" i="29" s="1"/>
  <c r="J23" i="59" s="1"/>
  <c r="BK495" i="1"/>
  <c r="BD495" i="1" s="1"/>
  <c r="S495" i="1" s="1"/>
  <c r="I497" i="1"/>
  <c r="I508" i="1" s="1"/>
  <c r="N768" i="1"/>
  <c r="J19" i="29" s="1"/>
  <c r="K22" i="59" s="1"/>
  <c r="N770" i="1"/>
  <c r="J20" i="29" s="1"/>
  <c r="K14" i="29" l="1"/>
  <c r="BK697" i="1"/>
  <c r="BD697" i="1" s="1"/>
  <c r="S697" i="1" s="1"/>
  <c r="BK508" i="1"/>
  <c r="BD508" i="1" s="1"/>
  <c r="S508" i="1" s="1"/>
  <c r="BK659" i="1"/>
  <c r="BD659" i="1" s="1"/>
  <c r="S659" i="1" s="1"/>
  <c r="BK735" i="1"/>
  <c r="BD735" i="1" s="1"/>
  <c r="S735" i="1" s="1"/>
  <c r="I621" i="1"/>
  <c r="BK610" i="1"/>
  <c r="BD610" i="1" s="1"/>
  <c r="S610" i="1" s="1"/>
  <c r="F86" i="6"/>
  <c r="F101" i="6"/>
  <c r="C18" i="29"/>
  <c r="BK762" i="1"/>
  <c r="BD762" i="1" s="1"/>
  <c r="S762" i="1" s="1"/>
  <c r="C18" i="135"/>
  <c r="K18" i="135" s="1"/>
  <c r="L86" i="6"/>
  <c r="L101" i="6"/>
  <c r="N760" i="1"/>
  <c r="J10" i="29" s="1"/>
  <c r="J12" i="29" s="1"/>
  <c r="BK686" i="1"/>
  <c r="BD686" i="1" s="1"/>
  <c r="S686" i="1" s="1"/>
  <c r="BK572" i="1"/>
  <c r="BD572" i="1" s="1"/>
  <c r="S572" i="1" s="1"/>
  <c r="BK534" i="1"/>
  <c r="BD534" i="1" s="1"/>
  <c r="S534" i="1" s="1"/>
  <c r="C17" i="135"/>
  <c r="K17" i="135" s="1"/>
  <c r="L112" i="6"/>
  <c r="BK724" i="1"/>
  <c r="BD724" i="1" s="1"/>
  <c r="S724" i="1" s="1"/>
  <c r="T760" i="1"/>
  <c r="W762" i="1"/>
  <c r="I545" i="1"/>
  <c r="BK497" i="1"/>
  <c r="BD497" i="1" s="1"/>
  <c r="S497" i="1" s="1"/>
  <c r="BK583" i="1"/>
  <c r="BD583" i="1" s="1"/>
  <c r="S583" i="1" s="1"/>
  <c r="C17" i="29"/>
  <c r="F112" i="6"/>
  <c r="BK648" i="1"/>
  <c r="BD648" i="1" s="1"/>
  <c r="S648" i="1" s="1"/>
  <c r="I773" i="1"/>
  <c r="K17" i="29" l="1"/>
  <c r="D23" i="59"/>
  <c r="L23" i="59" s="1"/>
  <c r="W773" i="1"/>
  <c r="T773" i="1" s="1"/>
  <c r="J23" i="29"/>
  <c r="BK621" i="1"/>
  <c r="BD621" i="1" s="1"/>
  <c r="S621" i="1" s="1"/>
  <c r="T762" i="1"/>
  <c r="N762" i="1" s="1"/>
  <c r="J10" i="135"/>
  <c r="BK773" i="1"/>
  <c r="BD773" i="1" s="1"/>
  <c r="S773" i="1" s="1"/>
  <c r="BK545" i="1"/>
  <c r="BD545" i="1" s="1"/>
  <c r="S545" i="1" s="1"/>
  <c r="D10" i="59"/>
  <c r="K18" i="29"/>
  <c r="N773" i="1" l="1"/>
  <c r="J24" i="29" s="1"/>
  <c r="K173" i="60" s="1"/>
  <c r="L10" i="59"/>
  <c r="J12" i="135"/>
  <c r="J23" i="135" s="1"/>
  <c r="J24" i="135" l="1"/>
  <c r="W1956" i="1" l="1"/>
  <c r="T1956" i="1" s="1"/>
  <c r="W1892" i="1"/>
  <c r="T1892" i="1" s="1"/>
  <c r="W1915" i="1"/>
  <c r="T1915" i="1" s="1"/>
  <c r="W1930" i="1"/>
  <c r="T1930" i="1" s="1"/>
  <c r="W1945" i="1"/>
  <c r="T1945" i="1" s="1"/>
  <c r="W1960" i="1"/>
  <c r="T1960" i="1" s="1"/>
  <c r="W1896" i="1"/>
  <c r="T1896" i="1" s="1"/>
  <c r="W1911" i="1"/>
  <c r="T1911" i="1" s="1"/>
  <c r="W1926" i="1"/>
  <c r="T1926" i="1" s="1"/>
  <c r="W1941" i="1"/>
  <c r="T1941" i="1" s="1"/>
  <c r="W1933" i="1"/>
  <c r="T1933" i="1" s="1"/>
  <c r="W1919" i="1"/>
  <c r="T1919" i="1" s="1"/>
  <c r="W1948" i="1"/>
  <c r="T1948" i="1" s="1"/>
  <c r="W1876" i="1"/>
  <c r="T1876" i="1" s="1"/>
  <c r="W1907" i="1"/>
  <c r="T1907" i="1" s="1"/>
  <c r="W1922" i="1"/>
  <c r="T1922" i="1" s="1"/>
  <c r="W1937" i="1"/>
  <c r="T1937" i="1" s="1"/>
  <c r="W1952" i="1"/>
  <c r="T1952" i="1" s="1"/>
  <c r="W1880" i="1"/>
  <c r="T1880" i="1" s="1"/>
  <c r="W1903" i="1"/>
  <c r="T1903" i="1" s="1"/>
  <c r="N1903" i="1" s="1"/>
  <c r="D42" i="120" s="1"/>
  <c r="W1918" i="1"/>
  <c r="T1918" i="1" s="1"/>
  <c r="W1938" i="1"/>
  <c r="T1938" i="1" s="1"/>
  <c r="W1940" i="1"/>
  <c r="T1940" i="1" s="1"/>
  <c r="W1963" i="1"/>
  <c r="T1963" i="1" s="1"/>
  <c r="W1899" i="1"/>
  <c r="T1899" i="1" s="1"/>
  <c r="N1899" i="1" s="1"/>
  <c r="D36" i="120" s="1"/>
  <c r="W1914" i="1"/>
  <c r="T1914" i="1" s="1"/>
  <c r="W1929" i="1"/>
  <c r="T1929" i="1" s="1"/>
  <c r="W1944" i="1"/>
  <c r="T1944" i="1" s="1"/>
  <c r="W1959" i="1"/>
  <c r="T1959" i="1" s="1"/>
  <c r="W1895" i="1"/>
  <c r="T1895" i="1" s="1"/>
  <c r="W1910" i="1"/>
  <c r="T1910" i="1" s="1"/>
  <c r="W1925" i="1"/>
  <c r="T1925" i="1" s="1"/>
  <c r="W1881" i="1"/>
  <c r="T1881" i="1" s="1"/>
  <c r="W1877" i="1"/>
  <c r="T1877" i="1" s="1"/>
  <c r="W1932" i="1"/>
  <c r="T1932" i="1" s="1"/>
  <c r="W1955" i="1"/>
  <c r="T1955" i="1" s="1"/>
  <c r="W1891" i="1"/>
  <c r="T1891" i="1" s="1"/>
  <c r="W1906" i="1"/>
  <c r="T1906" i="1" s="1"/>
  <c r="W1921" i="1"/>
  <c r="T1921" i="1" s="1"/>
  <c r="W1936" i="1"/>
  <c r="T1936" i="1" s="1"/>
  <c r="W1951" i="1"/>
  <c r="T1951" i="1" s="1"/>
  <c r="W1879" i="1"/>
  <c r="T1879" i="1" s="1"/>
  <c r="W1902" i="1"/>
  <c r="T1902" i="1" s="1"/>
  <c r="N1902" i="1" s="1"/>
  <c r="D40" i="120" s="1"/>
  <c r="W1917" i="1"/>
  <c r="T1917" i="1" s="1"/>
  <c r="W1893" i="1"/>
  <c r="T1893" i="1" s="1"/>
  <c r="W1953" i="1"/>
  <c r="T1953" i="1" s="1"/>
  <c r="W1924" i="1"/>
  <c r="T1924" i="1" s="1"/>
  <c r="W1947" i="1"/>
  <c r="T1947" i="1" s="1"/>
  <c r="W1962" i="1"/>
  <c r="T1962" i="1" s="1"/>
  <c r="W1898" i="1"/>
  <c r="T1898" i="1" s="1"/>
  <c r="W1913" i="1"/>
  <c r="T1913" i="1" s="1"/>
  <c r="W1928" i="1"/>
  <c r="T1928" i="1" s="1"/>
  <c r="W1943" i="1"/>
  <c r="T1943" i="1" s="1"/>
  <c r="W1958" i="1"/>
  <c r="T1958" i="1" s="1"/>
  <c r="W1894" i="1"/>
  <c r="T1894" i="1" s="1"/>
  <c r="W1909" i="1"/>
  <c r="T1909" i="1" s="1"/>
  <c r="W1904" i="1"/>
  <c r="T1904" i="1" s="1"/>
  <c r="N1904" i="1" s="1"/>
  <c r="D43" i="120" s="1"/>
  <c r="W1916" i="1"/>
  <c r="T1916" i="1" s="1"/>
  <c r="W1939" i="1"/>
  <c r="T1939" i="1" s="1"/>
  <c r="W1954" i="1"/>
  <c r="T1954" i="1" s="1"/>
  <c r="W1890" i="1"/>
  <c r="T1890" i="1" s="1"/>
  <c r="W1905" i="1"/>
  <c r="T1905" i="1" s="1"/>
  <c r="N1905" i="1" s="1"/>
  <c r="D45" i="120" s="1"/>
  <c r="W1920" i="1"/>
  <c r="T1920" i="1" s="1"/>
  <c r="W1935" i="1"/>
  <c r="T1935" i="1" s="1"/>
  <c r="W1950" i="1"/>
  <c r="T1950" i="1" s="1"/>
  <c r="W1878" i="1"/>
  <c r="T1878" i="1" s="1"/>
  <c r="W1901" i="1"/>
  <c r="T1901" i="1" s="1"/>
  <c r="N1901" i="1" s="1"/>
  <c r="D39" i="120" s="1"/>
  <c r="W1923" i="1"/>
  <c r="T1923" i="1" s="1"/>
  <c r="W1949" i="1"/>
  <c r="T1949" i="1" s="1"/>
  <c r="W1908" i="1"/>
  <c r="T1908" i="1" s="1"/>
  <c r="W1931" i="1"/>
  <c r="T1931" i="1" s="1"/>
  <c r="W1946" i="1"/>
  <c r="T1946" i="1" s="1"/>
  <c r="W1961" i="1"/>
  <c r="T1961" i="1" s="1"/>
  <c r="W1897" i="1"/>
  <c r="T1897" i="1" s="1"/>
  <c r="W1912" i="1"/>
  <c r="T1912" i="1" s="1"/>
  <c r="W1927" i="1"/>
  <c r="T1927" i="1" s="1"/>
  <c r="W1942" i="1"/>
  <c r="T1942" i="1" s="1"/>
  <c r="W1957" i="1"/>
  <c r="T1957" i="1" s="1"/>
  <c r="W1900" i="1"/>
  <c r="T1900" i="1" s="1"/>
  <c r="N1900" i="1" s="1"/>
  <c r="D38" i="120" s="1"/>
  <c r="W1934" i="1"/>
  <c r="T1934" i="1" s="1"/>
  <c r="B78" i="120" l="1"/>
  <c r="N1934" i="1"/>
  <c r="G78" i="120" s="1"/>
  <c r="N1946" i="1"/>
  <c r="G90" i="120" s="1"/>
  <c r="B90" i="120"/>
  <c r="N1935" i="1"/>
  <c r="G79" i="120" s="1"/>
  <c r="B79" i="120"/>
  <c r="B53" i="120"/>
  <c r="N1909" i="1"/>
  <c r="G53" i="120" s="1"/>
  <c r="B91" i="120"/>
  <c r="N1947" i="1"/>
  <c r="G91" i="120" s="1"/>
  <c r="B80" i="120"/>
  <c r="N1936" i="1"/>
  <c r="G80" i="120" s="1"/>
  <c r="N1925" i="1"/>
  <c r="G69" i="120" s="1"/>
  <c r="B69" i="120"/>
  <c r="N1963" i="1"/>
  <c r="G107" i="120" s="1"/>
  <c r="B107" i="120"/>
  <c r="N1922" i="1"/>
  <c r="G66" i="120" s="1"/>
  <c r="B66" i="120"/>
  <c r="N1911" i="1"/>
  <c r="G55" i="120" s="1"/>
  <c r="B55" i="120"/>
  <c r="B75" i="120"/>
  <c r="N1931" i="1"/>
  <c r="G75" i="120" s="1"/>
  <c r="B64" i="120"/>
  <c r="N1920" i="1"/>
  <c r="G64" i="120" s="1"/>
  <c r="D28" i="120"/>
  <c r="N1894" i="1"/>
  <c r="G28" i="120" s="1"/>
  <c r="B68" i="120"/>
  <c r="N1924" i="1"/>
  <c r="G68" i="120" s="1"/>
  <c r="N1921" i="1"/>
  <c r="G65" i="120" s="1"/>
  <c r="B65" i="120"/>
  <c r="N1910" i="1"/>
  <c r="G54" i="120" s="1"/>
  <c r="B54" i="120"/>
  <c r="B84" i="120"/>
  <c r="N1940" i="1"/>
  <c r="G84" i="120" s="1"/>
  <c r="N1907" i="1"/>
  <c r="G51" i="120" s="1"/>
  <c r="B51" i="120"/>
  <c r="D30" i="120"/>
  <c r="N1896" i="1"/>
  <c r="G30" i="120" s="1"/>
  <c r="B101" i="120"/>
  <c r="N1957" i="1"/>
  <c r="G101" i="120" s="1"/>
  <c r="N1908" i="1"/>
  <c r="G52" i="120" s="1"/>
  <c r="B52" i="120"/>
  <c r="N1958" i="1"/>
  <c r="G102" i="120" s="1"/>
  <c r="B102" i="120"/>
  <c r="N1953" i="1"/>
  <c r="G97" i="120" s="1"/>
  <c r="B97" i="120"/>
  <c r="N1906" i="1"/>
  <c r="G50" i="120" s="1"/>
  <c r="B50" i="120"/>
  <c r="D29" i="120"/>
  <c r="N1895" i="1"/>
  <c r="G29" i="120" s="1"/>
  <c r="N1938" i="1"/>
  <c r="G82" i="120" s="1"/>
  <c r="B82" i="120"/>
  <c r="B9" i="120"/>
  <c r="N1876" i="1"/>
  <c r="G9" i="120" s="1"/>
  <c r="B104" i="120"/>
  <c r="N1960" i="1"/>
  <c r="G104" i="120" s="1"/>
  <c r="B86" i="120"/>
  <c r="N1942" i="1"/>
  <c r="G86" i="120" s="1"/>
  <c r="N1949" i="1"/>
  <c r="G93" i="120" s="1"/>
  <c r="B93" i="120"/>
  <c r="D21" i="120"/>
  <c r="N1890" i="1"/>
  <c r="G21" i="120" s="1"/>
  <c r="N1943" i="1"/>
  <c r="G87" i="120" s="1"/>
  <c r="B87" i="120"/>
  <c r="D27" i="120"/>
  <c r="N1893" i="1"/>
  <c r="G27" i="120" s="1"/>
  <c r="E21" i="120"/>
  <c r="N1891" i="1"/>
  <c r="N1959" i="1"/>
  <c r="G103" i="120" s="1"/>
  <c r="B103" i="120"/>
  <c r="N1918" i="1"/>
  <c r="G62" i="120" s="1"/>
  <c r="B62" i="120"/>
  <c r="B92" i="120"/>
  <c r="N1948" i="1"/>
  <c r="G92" i="120" s="1"/>
  <c r="B108" i="120"/>
  <c r="N1945" i="1"/>
  <c r="B89" i="120"/>
  <c r="N1923" i="1"/>
  <c r="G67" i="120" s="1"/>
  <c r="B67" i="120"/>
  <c r="N1954" i="1"/>
  <c r="G98" i="120" s="1"/>
  <c r="B98" i="120"/>
  <c r="N1928" i="1"/>
  <c r="G72" i="120" s="1"/>
  <c r="B72" i="120"/>
  <c r="B61" i="120"/>
  <c r="N1917" i="1"/>
  <c r="G61" i="120" s="1"/>
  <c r="N1955" i="1"/>
  <c r="G99" i="120" s="1"/>
  <c r="B99" i="120"/>
  <c r="N1944" i="1"/>
  <c r="G88" i="120" s="1"/>
  <c r="B88" i="120"/>
  <c r="N1919" i="1"/>
  <c r="G63" i="120" s="1"/>
  <c r="B63" i="120"/>
  <c r="B74" i="120"/>
  <c r="N1930" i="1"/>
  <c r="G74" i="120" s="1"/>
  <c r="B56" i="120"/>
  <c r="N1912" i="1"/>
  <c r="G56" i="120" s="1"/>
  <c r="B83" i="120"/>
  <c r="N1939" i="1"/>
  <c r="G83" i="120" s="1"/>
  <c r="B57" i="120"/>
  <c r="N1913" i="1"/>
  <c r="G57" i="120" s="1"/>
  <c r="N1932" i="1"/>
  <c r="G76" i="120" s="1"/>
  <c r="B76" i="120"/>
  <c r="B73" i="120"/>
  <c r="N1929" i="1"/>
  <c r="G73" i="120" s="1"/>
  <c r="N1880" i="1"/>
  <c r="H10" i="120" s="1"/>
  <c r="C10" i="120"/>
  <c r="B77" i="120"/>
  <c r="N1933" i="1"/>
  <c r="G77" i="120" s="1"/>
  <c r="N1915" i="1"/>
  <c r="G59" i="120" s="1"/>
  <c r="B59" i="120"/>
  <c r="B71" i="120"/>
  <c r="N1927" i="1"/>
  <c r="G71" i="120" s="1"/>
  <c r="N1897" i="1"/>
  <c r="G31" i="120" s="1"/>
  <c r="D31" i="120"/>
  <c r="B11" i="120"/>
  <c r="N1878" i="1"/>
  <c r="G11" i="120" s="1"/>
  <c r="N1916" i="1"/>
  <c r="G60" i="120" s="1"/>
  <c r="B60" i="120"/>
  <c r="D32" i="120"/>
  <c r="N1898" i="1"/>
  <c r="G32" i="120" s="1"/>
  <c r="C9" i="120"/>
  <c r="N1879" i="1"/>
  <c r="H9" i="120" s="1"/>
  <c r="B10" i="120"/>
  <c r="N1877" i="1"/>
  <c r="G10" i="120" s="1"/>
  <c r="B58" i="120"/>
  <c r="N1914" i="1"/>
  <c r="G58" i="120" s="1"/>
  <c r="B96" i="120"/>
  <c r="N1952" i="1"/>
  <c r="G96" i="120" s="1"/>
  <c r="N1941" i="1"/>
  <c r="G85" i="120" s="1"/>
  <c r="B85" i="120"/>
  <c r="D26" i="120"/>
  <c r="N1892" i="1"/>
  <c r="G26" i="120" s="1"/>
  <c r="N1961" i="1"/>
  <c r="G105" i="120" s="1"/>
  <c r="B105" i="120"/>
  <c r="N1950" i="1"/>
  <c r="G94" i="120" s="1"/>
  <c r="B94" i="120"/>
  <c r="N1962" i="1"/>
  <c r="G106" i="120" s="1"/>
  <c r="B106" i="120"/>
  <c r="B95" i="120"/>
  <c r="N1951" i="1"/>
  <c r="G95" i="120" s="1"/>
  <c r="C11" i="120"/>
  <c r="N1881" i="1"/>
  <c r="H11" i="120" s="1"/>
  <c r="B81" i="120"/>
  <c r="N1937" i="1"/>
  <c r="G81" i="120" s="1"/>
  <c r="N1926" i="1"/>
  <c r="G70" i="120" s="1"/>
  <c r="B70" i="120"/>
  <c r="B100" i="120"/>
  <c r="N1956" i="1"/>
  <c r="G100" i="120" s="1"/>
  <c r="D10" i="120" l="1"/>
  <c r="I10" i="120"/>
  <c r="C12" i="120"/>
  <c r="B109" i="120"/>
  <c r="I9" i="120"/>
  <c r="G12" i="120"/>
  <c r="B12" i="120"/>
  <c r="D9" i="120"/>
  <c r="G89" i="120"/>
  <c r="G108" i="120"/>
  <c r="I11" i="120"/>
  <c r="D11" i="120"/>
  <c r="H12" i="120"/>
  <c r="D12" i="120" l="1"/>
  <c r="G109" i="120"/>
  <c r="I12" i="120"/>
  <c r="W1752" i="1"/>
  <c r="T1752" i="1" s="1"/>
  <c r="D32" i="41" s="1"/>
  <c r="W1747" i="1"/>
  <c r="T1747" i="1" s="1"/>
  <c r="D16" i="41" s="1"/>
  <c r="W1753" i="1"/>
  <c r="T1753" i="1" s="1"/>
  <c r="D33" i="41" s="1"/>
  <c r="W1761" i="1"/>
  <c r="W1764" i="1"/>
  <c r="T1764" i="1" s="1"/>
  <c r="BK1753" i="1"/>
  <c r="BD1753" i="1" s="1"/>
  <c r="S1753" i="1" s="1"/>
  <c r="W1763" i="1"/>
  <c r="T1763" i="1" s="1"/>
  <c r="BK1747" i="1"/>
  <c r="BD1747" i="1" s="1"/>
  <c r="S1747" i="1" s="1"/>
  <c r="BK1752" i="1"/>
  <c r="BD1752" i="1" s="1"/>
  <c r="S1752" i="1" s="1"/>
  <c r="N1752" i="1" l="1"/>
  <c r="E32" i="41" s="1"/>
  <c r="N1747" i="1"/>
  <c r="E16" i="41" s="1"/>
  <c r="N1753" i="1"/>
  <c r="E33" i="41" s="1"/>
  <c r="BK1746" i="1"/>
  <c r="BD1746" i="1" s="1"/>
  <c r="S1746" i="1" s="1"/>
  <c r="I1748" i="1"/>
  <c r="BK1748" i="1" s="1"/>
  <c r="BD1748" i="1" s="1"/>
  <c r="S1748" i="1" s="1"/>
  <c r="BK1751" i="1"/>
  <c r="BD1751" i="1" s="1"/>
  <c r="S1751" i="1" s="1"/>
  <c r="I1754" i="1"/>
  <c r="BK1754" i="1" s="1"/>
  <c r="BD1754" i="1" s="1"/>
  <c r="S1754" i="1" s="1"/>
  <c r="N1763" i="1"/>
  <c r="D14" i="49" s="1"/>
  <c r="C14" i="49"/>
  <c r="W1762" i="1"/>
  <c r="T1762" i="1" s="1"/>
  <c r="H1765" i="1"/>
  <c r="W1751" i="1"/>
  <c r="H1754" i="1"/>
  <c r="N1764" i="1"/>
  <c r="D15" i="49" s="1"/>
  <c r="C15" i="49"/>
  <c r="T1761" i="1"/>
  <c r="H1748" i="1"/>
  <c r="W1746" i="1"/>
  <c r="W1765" i="1" l="1"/>
  <c r="W1748" i="1"/>
  <c r="T1746" i="1"/>
  <c r="T1765" i="1"/>
  <c r="N1765" i="1" s="1"/>
  <c r="N1761" i="1"/>
  <c r="C13" i="49"/>
  <c r="C16" i="49" s="1"/>
  <c r="C17" i="49" s="1"/>
  <c r="D263" i="60" s="1"/>
  <c r="N1762" i="1"/>
  <c r="D13" i="49" s="1"/>
  <c r="D16" i="49" s="1"/>
  <c r="D17" i="49" s="1"/>
  <c r="F263" i="60" s="1"/>
  <c r="N1751" i="1"/>
  <c r="E31" i="41" s="1"/>
  <c r="E34" i="41" s="1"/>
  <c r="W1754" i="1"/>
  <c r="T1751" i="1"/>
  <c r="T1748" i="1" l="1"/>
  <c r="N1748" i="1" s="1"/>
  <c r="D15" i="41"/>
  <c r="D17" i="41" s="1"/>
  <c r="D18" i="41" s="1"/>
  <c r="D261" i="60" s="1"/>
  <c r="N1746" i="1"/>
  <c r="E15" i="41" s="1"/>
  <c r="E17" i="41" s="1"/>
  <c r="D31" i="41"/>
  <c r="D34" i="41" s="1"/>
  <c r="T1754" i="1"/>
  <c r="N1754" i="1" s="1"/>
  <c r="E35" i="41" s="1"/>
  <c r="F262" i="60" s="1"/>
  <c r="E18" i="41" l="1"/>
  <c r="F261" i="60" s="1"/>
  <c r="D35" i="41"/>
  <c r="D262" i="60" s="1"/>
  <c r="BK365" i="1"/>
  <c r="BD365" i="1" s="1"/>
  <c r="S365" i="1" s="1"/>
  <c r="W365" i="1"/>
  <c r="T365" i="1" s="1"/>
  <c r="BK364" i="1"/>
  <c r="BD364" i="1" s="1"/>
  <c r="S364" i="1" s="1"/>
  <c r="BK380" i="1"/>
  <c r="BD380" i="1" s="1"/>
  <c r="BK361" i="1"/>
  <c r="BD361" i="1" s="1"/>
  <c r="W364" i="1"/>
  <c r="T364" i="1" s="1"/>
  <c r="BK376" i="1"/>
  <c r="BD376" i="1" s="1"/>
  <c r="S376" i="1" s="1"/>
  <c r="W370" i="1"/>
  <c r="T370" i="1" s="1"/>
  <c r="D17" i="26" s="1"/>
  <c r="U17" i="26" s="1"/>
  <c r="BK381" i="1"/>
  <c r="BD381" i="1" s="1"/>
  <c r="BK367" i="1"/>
  <c r="BD367" i="1" s="1"/>
  <c r="S367" i="1" s="1"/>
  <c r="BK371" i="1"/>
  <c r="BD371" i="1" s="1"/>
  <c r="BK370" i="1"/>
  <c r="BD370" i="1" s="1"/>
  <c r="W363" i="1"/>
  <c r="T363" i="1" s="1"/>
  <c r="BK386" i="1"/>
  <c r="BD386" i="1" s="1"/>
  <c r="BK363" i="1"/>
  <c r="BD363" i="1" s="1"/>
  <c r="S363" i="1" s="1"/>
  <c r="BK366" i="1"/>
  <c r="BD366" i="1" s="1"/>
  <c r="BK383" i="1"/>
  <c r="BD383" i="1" s="1"/>
  <c r="BK382" i="1"/>
  <c r="BD382" i="1" s="1"/>
  <c r="BK362" i="1"/>
  <c r="BD362" i="1" s="1"/>
  <c r="BK379" i="1"/>
  <c r="BD379" i="1" s="1"/>
  <c r="BK378" i="1"/>
  <c r="BD378" i="1" s="1"/>
  <c r="S378" i="1" s="1"/>
  <c r="BK385" i="1"/>
  <c r="BD385" i="1" s="1"/>
  <c r="BK377" i="1"/>
  <c r="BD377" i="1" s="1"/>
  <c r="S377" i="1" s="1"/>
  <c r="BK375" i="1"/>
  <c r="BD375" i="1" s="1"/>
  <c r="BK369" i="1"/>
  <c r="BD369" i="1" s="1"/>
  <c r="W369" i="1"/>
  <c r="T369" i="1" s="1"/>
  <c r="D16" i="26" s="1"/>
  <c r="U16" i="26" s="1"/>
  <c r="BK368" i="1"/>
  <c r="BD368" i="1" s="1"/>
  <c r="BK384" i="1"/>
  <c r="BD384" i="1" s="1"/>
  <c r="W456" i="1"/>
  <c r="BK394" i="1"/>
  <c r="BD394" i="1" s="1"/>
  <c r="W404" i="1"/>
  <c r="T404" i="1" s="1"/>
  <c r="W445" i="1"/>
  <c r="W452" i="1"/>
  <c r="W442" i="1"/>
  <c r="W448" i="1"/>
  <c r="W400" i="1"/>
  <c r="T400" i="1" s="1"/>
  <c r="BK403" i="1"/>
  <c r="BD403" i="1" s="1"/>
  <c r="S403" i="1" s="1"/>
  <c r="I429" i="1"/>
  <c r="BK398" i="1"/>
  <c r="BD398" i="1" s="1"/>
  <c r="W457" i="1"/>
  <c r="W440" i="1"/>
  <c r="W455" i="1"/>
  <c r="BK399" i="1"/>
  <c r="BD399" i="1" s="1"/>
  <c r="BK405" i="1"/>
  <c r="BD405" i="1" s="1"/>
  <c r="S405" i="1" s="1"/>
  <c r="W449" i="1"/>
  <c r="W447" i="1"/>
  <c r="BK395" i="1"/>
  <c r="BD395" i="1" s="1"/>
  <c r="BK401" i="1"/>
  <c r="BD401" i="1" s="1"/>
  <c r="W444" i="1"/>
  <c r="BK404" i="1"/>
  <c r="W439" i="1"/>
  <c r="W443" i="1"/>
  <c r="W451" i="1"/>
  <c r="BK397" i="1"/>
  <c r="BD397" i="1" s="1"/>
  <c r="BK424" i="1"/>
  <c r="BD424" i="1" s="1"/>
  <c r="S424" i="1" s="1"/>
  <c r="N424" i="1" s="1"/>
  <c r="F33" i="27" s="1"/>
  <c r="BK400" i="1"/>
  <c r="BD400" i="1" s="1"/>
  <c r="W454" i="1"/>
  <c r="BK402" i="1"/>
  <c r="BK393" i="1"/>
  <c r="BD393" i="1" s="1"/>
  <c r="BK396" i="1"/>
  <c r="BD396" i="1" s="1"/>
  <c r="W446" i="1"/>
  <c r="W458" i="1"/>
  <c r="W453" i="1"/>
  <c r="W450" i="1"/>
  <c r="W405" i="1"/>
  <c r="T405" i="1" s="1"/>
  <c r="W1198" i="1"/>
  <c r="T1198" i="1" s="1"/>
  <c r="N1198" i="1" s="1"/>
  <c r="W1196" i="1"/>
  <c r="T1196" i="1" s="1"/>
  <c r="W1197" i="1"/>
  <c r="T1197" i="1" s="1"/>
  <c r="W1194" i="1"/>
  <c r="T1194" i="1" s="1"/>
  <c r="W1195" i="1"/>
  <c r="T1195" i="1" s="1"/>
  <c r="W1149" i="1"/>
  <c r="BK1149" i="1"/>
  <c r="BD1149" i="1" s="1"/>
  <c r="S1149" i="1" s="1"/>
  <c r="BK474" i="1"/>
  <c r="BD474" i="1" s="1"/>
  <c r="BK472" i="1"/>
  <c r="BD472" i="1" s="1"/>
  <c r="BK475" i="1"/>
  <c r="BD475" i="1" s="1"/>
  <c r="W473" i="1"/>
  <c r="T473" i="1" s="1"/>
  <c r="C23" i="28" s="1"/>
  <c r="W474" i="1"/>
  <c r="T474" i="1" s="1"/>
  <c r="C24" i="28" s="1"/>
  <c r="BK473" i="1"/>
  <c r="BD473" i="1" s="1"/>
  <c r="W472" i="1"/>
  <c r="T472" i="1" s="1"/>
  <c r="C22" i="28" s="1"/>
  <c r="BK477" i="1"/>
  <c r="BD477" i="1" s="1"/>
  <c r="BK476" i="1"/>
  <c r="BD476" i="1" s="1"/>
  <c r="W1330" i="1"/>
  <c r="T1330" i="1" s="1"/>
  <c r="W1316" i="1"/>
  <c r="T1316" i="1" s="1"/>
  <c r="N1316" i="1" s="1"/>
  <c r="BK1326" i="1"/>
  <c r="BD1326" i="1" s="1"/>
  <c r="S1326" i="1" s="1"/>
  <c r="W1373" i="1"/>
  <c r="T1373" i="1" s="1"/>
  <c r="N1373" i="1" s="1"/>
  <c r="W1340" i="1"/>
  <c r="T1340" i="1" s="1"/>
  <c r="N1340" i="1" s="1"/>
  <c r="W1324" i="1"/>
  <c r="T1324" i="1" s="1"/>
  <c r="R19" i="37" s="1"/>
  <c r="W1388" i="1"/>
  <c r="T1388" i="1" s="1"/>
  <c r="N1388" i="1" s="1"/>
  <c r="W1384" i="1"/>
  <c r="T1384" i="1" s="1"/>
  <c r="W1383" i="1"/>
  <c r="T1383" i="1" s="1"/>
  <c r="W1341" i="1"/>
  <c r="T1341" i="1" s="1"/>
  <c r="N1341" i="1" s="1"/>
  <c r="W1331" i="1"/>
  <c r="T1331" i="1" s="1"/>
  <c r="W1317" i="1"/>
  <c r="T1317" i="1" s="1"/>
  <c r="N1317" i="1" s="1"/>
  <c r="W1378" i="1"/>
  <c r="T1378" i="1" s="1"/>
  <c r="R25" i="37" s="1"/>
  <c r="W1374" i="1"/>
  <c r="T1374" i="1" s="1"/>
  <c r="N1374" i="1" s="1"/>
  <c r="W1332" i="1"/>
  <c r="T1332" i="1" s="1"/>
  <c r="BK1324" i="1"/>
  <c r="BD1324" i="1" s="1"/>
  <c r="S1324" i="1" s="1"/>
  <c r="W1389" i="1"/>
  <c r="T1389" i="1" s="1"/>
  <c r="N1389" i="1" s="1"/>
  <c r="W1337" i="1"/>
  <c r="T1337" i="1" s="1"/>
  <c r="N1337" i="1" s="1"/>
  <c r="W1344" i="1"/>
  <c r="T1344" i="1" s="1"/>
  <c r="W1333" i="1"/>
  <c r="T1333" i="1" s="1"/>
  <c r="W1325" i="1"/>
  <c r="T1325" i="1" s="1"/>
  <c r="R20" i="37" s="1"/>
  <c r="W1318" i="1"/>
  <c r="T1318" i="1" s="1"/>
  <c r="N1318" i="1" s="1"/>
  <c r="BK1378" i="1"/>
  <c r="BD1378" i="1" s="1"/>
  <c r="S1378" i="1" s="1"/>
  <c r="W1327" i="1"/>
  <c r="T1327" i="1" s="1"/>
  <c r="R22" i="37" s="1"/>
  <c r="W1334" i="1"/>
  <c r="T1334" i="1" s="1"/>
  <c r="BK1325" i="1"/>
  <c r="BD1325" i="1" s="1"/>
  <c r="S1325" i="1" s="1"/>
  <c r="W1319" i="1"/>
  <c r="T1319" i="1" s="1"/>
  <c r="N1319" i="1" s="1"/>
  <c r="W1338" i="1"/>
  <c r="T1338" i="1" s="1"/>
  <c r="N1338" i="1" s="1"/>
  <c r="W1323" i="1"/>
  <c r="T1323" i="1" s="1"/>
  <c r="R18" i="37" s="1"/>
  <c r="W1326" i="1"/>
  <c r="T1326" i="1" s="1"/>
  <c r="R21" i="37" s="1"/>
  <c r="W1320" i="1"/>
  <c r="T1320" i="1" s="1"/>
  <c r="N1320" i="1" s="1"/>
  <c r="W1379" i="1"/>
  <c r="T1379" i="1" s="1"/>
  <c r="R26" i="37" s="1"/>
  <c r="BK1327" i="1"/>
  <c r="BD1327" i="1" s="1"/>
  <c r="S1327" i="1" s="1"/>
  <c r="BK1379" i="1"/>
  <c r="BD1379" i="1" s="1"/>
  <c r="S1379" i="1" s="1"/>
  <c r="W1339" i="1"/>
  <c r="T1339" i="1" s="1"/>
  <c r="N1339" i="1" s="1"/>
  <c r="BK1323" i="1"/>
  <c r="BD1323" i="1" s="1"/>
  <c r="S1323" i="1" s="1"/>
  <c r="BK1040" i="1"/>
  <c r="BD1040" i="1" s="1"/>
  <c r="S1040" i="1" s="1"/>
  <c r="BK930" i="1"/>
  <c r="BD930" i="1" s="1"/>
  <c r="S930" i="1" s="1"/>
  <c r="W1108" i="1"/>
  <c r="T1108" i="1" s="1"/>
  <c r="J19" i="137" s="1"/>
  <c r="W998" i="1"/>
  <c r="T998" i="1" s="1"/>
  <c r="BK1039" i="1"/>
  <c r="BD1039" i="1" s="1"/>
  <c r="S1039" i="1" s="1"/>
  <c r="BK929" i="1"/>
  <c r="BD929" i="1" s="1"/>
  <c r="S929" i="1" s="1"/>
  <c r="W1107" i="1"/>
  <c r="T1107" i="1" s="1"/>
  <c r="J17" i="137" s="1"/>
  <c r="W997" i="1"/>
  <c r="T997" i="1" s="1"/>
  <c r="W886" i="1"/>
  <c r="T886" i="1" s="1"/>
  <c r="D13" i="137" s="1"/>
  <c r="BK1038" i="1"/>
  <c r="BD1038" i="1" s="1"/>
  <c r="S1038" i="1" s="1"/>
  <c r="BK928" i="1"/>
  <c r="BD928" i="1" s="1"/>
  <c r="S928" i="1" s="1"/>
  <c r="W1106" i="1"/>
  <c r="T1106" i="1" s="1"/>
  <c r="J18" i="137" s="1"/>
  <c r="W996" i="1"/>
  <c r="T996" i="1" s="1"/>
  <c r="W860" i="1"/>
  <c r="T860" i="1" s="1"/>
  <c r="C23" i="137" s="1"/>
  <c r="BK1037" i="1"/>
  <c r="BD1037" i="1" s="1"/>
  <c r="S1037" i="1" s="1"/>
  <c r="BK927" i="1"/>
  <c r="BD927" i="1" s="1"/>
  <c r="S927" i="1" s="1"/>
  <c r="W1105" i="1"/>
  <c r="T1105" i="1" s="1"/>
  <c r="J16" i="137" s="1"/>
  <c r="W859" i="1"/>
  <c r="T859" i="1" s="1"/>
  <c r="C22" i="137" s="1"/>
  <c r="BK1036" i="1"/>
  <c r="BD1036" i="1" s="1"/>
  <c r="S1036" i="1" s="1"/>
  <c r="BK926" i="1"/>
  <c r="BD926" i="1" s="1"/>
  <c r="S926" i="1" s="1"/>
  <c r="W1104" i="1"/>
  <c r="T1104" i="1" s="1"/>
  <c r="J15" i="137" s="1"/>
  <c r="W858" i="1"/>
  <c r="T858" i="1" s="1"/>
  <c r="C21" i="137" s="1"/>
  <c r="BK1035" i="1"/>
  <c r="BD1035" i="1" s="1"/>
  <c r="S1035" i="1" s="1"/>
  <c r="BK925" i="1"/>
  <c r="BD925" i="1" s="1"/>
  <c r="S925" i="1" s="1"/>
  <c r="W1102" i="1"/>
  <c r="T1102" i="1" s="1"/>
  <c r="J13" i="137" s="1"/>
  <c r="W857" i="1"/>
  <c r="BK1034" i="1"/>
  <c r="BD1034" i="1" s="1"/>
  <c r="S1034" i="1" s="1"/>
  <c r="BK924" i="1"/>
  <c r="BD924" i="1" s="1"/>
  <c r="S924" i="1" s="1"/>
  <c r="W1076" i="1"/>
  <c r="T1076" i="1" s="1"/>
  <c r="I23" i="137" s="1"/>
  <c r="W966" i="1"/>
  <c r="T966" i="1" s="1"/>
  <c r="F21" i="137" s="1"/>
  <c r="W856" i="1"/>
  <c r="T856" i="1" s="1"/>
  <c r="C19" i="137" s="1"/>
  <c r="BK1033" i="1"/>
  <c r="BD1033" i="1" s="1"/>
  <c r="S1033" i="1" s="1"/>
  <c r="BK922" i="1"/>
  <c r="BD922" i="1" s="1"/>
  <c r="S922" i="1" s="1"/>
  <c r="W1075" i="1"/>
  <c r="T1075" i="1" s="1"/>
  <c r="I22" i="137" s="1"/>
  <c r="W855" i="1"/>
  <c r="T855" i="1" s="1"/>
  <c r="C17" i="137" s="1"/>
  <c r="BK1032" i="1"/>
  <c r="BD1032" i="1" s="1"/>
  <c r="S1032" i="1" s="1"/>
  <c r="BK896" i="1"/>
  <c r="BD896" i="1" s="1"/>
  <c r="S896" i="1" s="1"/>
  <c r="W1074" i="1"/>
  <c r="T1074" i="1" s="1"/>
  <c r="I21" i="137" s="1"/>
  <c r="W854" i="1"/>
  <c r="T854" i="1" s="1"/>
  <c r="C18" i="137" s="1"/>
  <c r="BK1030" i="1"/>
  <c r="BD1030" i="1" s="1"/>
  <c r="S1030" i="1" s="1"/>
  <c r="BK895" i="1"/>
  <c r="BD895" i="1" s="1"/>
  <c r="S895" i="1" s="1"/>
  <c r="W1073" i="1"/>
  <c r="T1073" i="1" s="1"/>
  <c r="I20" i="137" s="1"/>
  <c r="W853" i="1"/>
  <c r="T853" i="1" s="1"/>
  <c r="C16" i="137" s="1"/>
  <c r="BK1004" i="1"/>
  <c r="BD1004" i="1" s="1"/>
  <c r="S1004" i="1" s="1"/>
  <c r="BK894" i="1"/>
  <c r="BD894" i="1" s="1"/>
  <c r="S894" i="1" s="1"/>
  <c r="W1072" i="1"/>
  <c r="T1072" i="1" s="1"/>
  <c r="I19" i="137" s="1"/>
  <c r="W962" i="1"/>
  <c r="T962" i="1" s="1"/>
  <c r="F18" i="137" s="1"/>
  <c r="W852" i="1"/>
  <c r="T852" i="1" s="1"/>
  <c r="C15" i="137" s="1"/>
  <c r="BK1003" i="1"/>
  <c r="BD1003" i="1" s="1"/>
  <c r="S1003" i="1" s="1"/>
  <c r="BK893" i="1"/>
  <c r="BD893" i="1" s="1"/>
  <c r="S893" i="1" s="1"/>
  <c r="W1071" i="1"/>
  <c r="T1071" i="1" s="1"/>
  <c r="I17" i="137" s="1"/>
  <c r="W961" i="1"/>
  <c r="T961" i="1" s="1"/>
  <c r="F16" i="137" s="1"/>
  <c r="W850" i="1"/>
  <c r="T850" i="1" s="1"/>
  <c r="C13" i="137" s="1"/>
  <c r="BK1112" i="1"/>
  <c r="BD1112" i="1" s="1"/>
  <c r="S1112" i="1" s="1"/>
  <c r="BK1002" i="1"/>
  <c r="BD1002" i="1" s="1"/>
  <c r="S1002" i="1" s="1"/>
  <c r="BK892" i="1"/>
  <c r="BD892" i="1" s="1"/>
  <c r="S892" i="1" s="1"/>
  <c r="W1070" i="1"/>
  <c r="T1070" i="1" s="1"/>
  <c r="I18" i="137" s="1"/>
  <c r="BK1111" i="1"/>
  <c r="BD1111" i="1" s="1"/>
  <c r="S1111" i="1" s="1"/>
  <c r="BK1001" i="1"/>
  <c r="BD1001" i="1" s="1"/>
  <c r="S1001" i="1" s="1"/>
  <c r="BK891" i="1"/>
  <c r="BD891" i="1" s="1"/>
  <c r="S891" i="1" s="1"/>
  <c r="W1069" i="1"/>
  <c r="T1069" i="1" s="1"/>
  <c r="I16" i="137" s="1"/>
  <c r="W958" i="1"/>
  <c r="T958" i="1" s="1"/>
  <c r="F13" i="137" s="1"/>
  <c r="BK1110" i="1"/>
  <c r="BD1110" i="1" s="1"/>
  <c r="S1110" i="1" s="1"/>
  <c r="BK1000" i="1"/>
  <c r="BD1000" i="1" s="1"/>
  <c r="S1000" i="1" s="1"/>
  <c r="BK890" i="1"/>
  <c r="BD890" i="1" s="1"/>
  <c r="S890" i="1" s="1"/>
  <c r="W1068" i="1"/>
  <c r="T1068" i="1" s="1"/>
  <c r="I15" i="137" s="1"/>
  <c r="W932" i="1"/>
  <c r="T932" i="1" s="1"/>
  <c r="E23" i="137" s="1"/>
  <c r="BK1109" i="1"/>
  <c r="BD1109" i="1" s="1"/>
  <c r="S1109" i="1" s="1"/>
  <c r="BK999" i="1"/>
  <c r="BD999" i="1" s="1"/>
  <c r="S999" i="1" s="1"/>
  <c r="BK889" i="1"/>
  <c r="BD889" i="1" s="1"/>
  <c r="S889" i="1" s="1"/>
  <c r="W1066" i="1"/>
  <c r="T1066" i="1" s="1"/>
  <c r="I13" i="137" s="1"/>
  <c r="W931" i="1"/>
  <c r="T931" i="1" s="1"/>
  <c r="E22" i="137" s="1"/>
  <c r="BK1108" i="1"/>
  <c r="BD1108" i="1" s="1"/>
  <c r="S1108" i="1" s="1"/>
  <c r="N1108" i="1" s="1"/>
  <c r="J19" i="31" s="1"/>
  <c r="BK998" i="1"/>
  <c r="BD998" i="1" s="1"/>
  <c r="S998" i="1" s="1"/>
  <c r="BK888" i="1"/>
  <c r="BD888" i="1" s="1"/>
  <c r="S888" i="1" s="1"/>
  <c r="W1040" i="1"/>
  <c r="T1040" i="1" s="1"/>
  <c r="H23" i="137" s="1"/>
  <c r="W930" i="1"/>
  <c r="T930" i="1" s="1"/>
  <c r="E21" i="137" s="1"/>
  <c r="BK1107" i="1"/>
  <c r="BD1107" i="1" s="1"/>
  <c r="S1107" i="1" s="1"/>
  <c r="BK997" i="1"/>
  <c r="BD997" i="1" s="1"/>
  <c r="S997" i="1" s="1"/>
  <c r="BK886" i="1"/>
  <c r="BD886" i="1" s="1"/>
  <c r="S886" i="1" s="1"/>
  <c r="W1039" i="1"/>
  <c r="T1039" i="1" s="1"/>
  <c r="H22" i="137" s="1"/>
  <c r="W929" i="1"/>
  <c r="T929" i="1" s="1"/>
  <c r="E20" i="137" s="1"/>
  <c r="BK1106" i="1"/>
  <c r="BD1106" i="1" s="1"/>
  <c r="S1106" i="1" s="1"/>
  <c r="BK996" i="1"/>
  <c r="BD996" i="1" s="1"/>
  <c r="S996" i="1" s="1"/>
  <c r="BK860" i="1"/>
  <c r="BD860" i="1" s="1"/>
  <c r="S860" i="1" s="1"/>
  <c r="W1038" i="1"/>
  <c r="T1038" i="1" s="1"/>
  <c r="H21" i="137" s="1"/>
  <c r="W928" i="1"/>
  <c r="T928" i="1" s="1"/>
  <c r="E19" i="137" s="1"/>
  <c r="BK1105" i="1"/>
  <c r="BD1105" i="1" s="1"/>
  <c r="S1105" i="1" s="1"/>
  <c r="BK859" i="1"/>
  <c r="BD859" i="1" s="1"/>
  <c r="S859" i="1" s="1"/>
  <c r="W1037" i="1"/>
  <c r="T1037" i="1" s="1"/>
  <c r="H20" i="137" s="1"/>
  <c r="W927" i="1"/>
  <c r="T927" i="1" s="1"/>
  <c r="E17" i="137" s="1"/>
  <c r="BK1104" i="1"/>
  <c r="BD1104" i="1" s="1"/>
  <c r="S1104" i="1" s="1"/>
  <c r="BK968" i="1"/>
  <c r="BD968" i="1" s="1"/>
  <c r="S968" i="1" s="1"/>
  <c r="BK858" i="1"/>
  <c r="BD858" i="1" s="1"/>
  <c r="S858" i="1" s="1"/>
  <c r="N858" i="1" s="1"/>
  <c r="C21" i="31" s="1"/>
  <c r="W1036" i="1"/>
  <c r="T1036" i="1" s="1"/>
  <c r="H19" i="137" s="1"/>
  <c r="W926" i="1"/>
  <c r="T926" i="1" s="1"/>
  <c r="E18" i="137" s="1"/>
  <c r="BK1102" i="1"/>
  <c r="BD1102" i="1" s="1"/>
  <c r="S1102" i="1" s="1"/>
  <c r="BK967" i="1"/>
  <c r="BD967" i="1" s="1"/>
  <c r="S967" i="1" s="1"/>
  <c r="BK857" i="1"/>
  <c r="BD857" i="1" s="1"/>
  <c r="S857" i="1" s="1"/>
  <c r="W1035" i="1"/>
  <c r="T1035" i="1" s="1"/>
  <c r="H17" i="137" s="1"/>
  <c r="W925" i="1"/>
  <c r="T925" i="1" s="1"/>
  <c r="E16" i="137" s="1"/>
  <c r="BK1076" i="1"/>
  <c r="BD1076" i="1" s="1"/>
  <c r="S1076" i="1" s="1"/>
  <c r="BK966" i="1"/>
  <c r="BD966" i="1" s="1"/>
  <c r="S966" i="1" s="1"/>
  <c r="BK856" i="1"/>
  <c r="BD856" i="1" s="1"/>
  <c r="S856" i="1" s="1"/>
  <c r="W1034" i="1"/>
  <c r="T1034" i="1" s="1"/>
  <c r="H18" i="137" s="1"/>
  <c r="W924" i="1"/>
  <c r="T924" i="1" s="1"/>
  <c r="E15" i="137" s="1"/>
  <c r="BK1075" i="1"/>
  <c r="BD1075" i="1" s="1"/>
  <c r="S1075" i="1" s="1"/>
  <c r="BK965" i="1"/>
  <c r="BD965" i="1" s="1"/>
  <c r="S965" i="1" s="1"/>
  <c r="BK855" i="1"/>
  <c r="BD855" i="1" s="1"/>
  <c r="S855" i="1" s="1"/>
  <c r="W1033" i="1"/>
  <c r="T1033" i="1" s="1"/>
  <c r="H16" i="137" s="1"/>
  <c r="W922" i="1"/>
  <c r="T922" i="1" s="1"/>
  <c r="E13" i="137" s="1"/>
  <c r="BK1074" i="1"/>
  <c r="BD1074" i="1" s="1"/>
  <c r="S1074" i="1" s="1"/>
  <c r="BK964" i="1"/>
  <c r="BD964" i="1" s="1"/>
  <c r="S964" i="1" s="1"/>
  <c r="BK854" i="1"/>
  <c r="BD854" i="1" s="1"/>
  <c r="S854" i="1" s="1"/>
  <c r="W1032" i="1"/>
  <c r="T1032" i="1" s="1"/>
  <c r="H15" i="137" s="1"/>
  <c r="BK1073" i="1"/>
  <c r="BD1073" i="1" s="1"/>
  <c r="S1073" i="1" s="1"/>
  <c r="BK963" i="1"/>
  <c r="BD963" i="1" s="1"/>
  <c r="S963" i="1" s="1"/>
  <c r="BK853" i="1"/>
  <c r="BD853" i="1" s="1"/>
  <c r="S853" i="1" s="1"/>
  <c r="W1030" i="1"/>
  <c r="T1030" i="1" s="1"/>
  <c r="H13" i="137" s="1"/>
  <c r="BK1072" i="1"/>
  <c r="BD1072" i="1" s="1"/>
  <c r="S1072" i="1" s="1"/>
  <c r="BK962" i="1"/>
  <c r="BD962" i="1" s="1"/>
  <c r="S962" i="1" s="1"/>
  <c r="BK852" i="1"/>
  <c r="BD852" i="1" s="1"/>
  <c r="S852" i="1" s="1"/>
  <c r="N852" i="1" s="1"/>
  <c r="C15" i="31" s="1"/>
  <c r="W1004" i="1"/>
  <c r="T1004" i="1" s="1"/>
  <c r="W894" i="1"/>
  <c r="T894" i="1" s="1"/>
  <c r="D21" i="137" s="1"/>
  <c r="BK1071" i="1"/>
  <c r="BD1071" i="1" s="1"/>
  <c r="S1071" i="1" s="1"/>
  <c r="BK961" i="1"/>
  <c r="BD961" i="1" s="1"/>
  <c r="S961" i="1" s="1"/>
  <c r="BK850" i="1"/>
  <c r="BD850" i="1" s="1"/>
  <c r="S850" i="1" s="1"/>
  <c r="W1003" i="1"/>
  <c r="T1003" i="1" s="1"/>
  <c r="BK1070" i="1"/>
  <c r="BD1070" i="1" s="1"/>
  <c r="S1070" i="1" s="1"/>
  <c r="N1070" i="1" s="1"/>
  <c r="I18" i="31" s="1"/>
  <c r="BK960" i="1"/>
  <c r="BD960" i="1" s="1"/>
  <c r="S960" i="1" s="1"/>
  <c r="W1112" i="1"/>
  <c r="T1112" i="1" s="1"/>
  <c r="J23" i="137" s="1"/>
  <c r="W1002" i="1"/>
  <c r="T1002" i="1" s="1"/>
  <c r="BK1069" i="1"/>
  <c r="BD1069" i="1" s="1"/>
  <c r="S1069" i="1" s="1"/>
  <c r="BK958" i="1"/>
  <c r="BD958" i="1" s="1"/>
  <c r="S958" i="1" s="1"/>
  <c r="W1111" i="1"/>
  <c r="T1111" i="1" s="1"/>
  <c r="J22" i="137" s="1"/>
  <c r="W1001" i="1"/>
  <c r="T1001" i="1" s="1"/>
  <c r="BK1068" i="1"/>
  <c r="BD1068" i="1" s="1"/>
  <c r="S1068" i="1" s="1"/>
  <c r="BK932" i="1"/>
  <c r="BD932" i="1" s="1"/>
  <c r="S932" i="1" s="1"/>
  <c r="W1110" i="1"/>
  <c r="T1110" i="1" s="1"/>
  <c r="J21" i="137" s="1"/>
  <c r="W1000" i="1"/>
  <c r="T1000" i="1" s="1"/>
  <c r="W890" i="1"/>
  <c r="T890" i="1" s="1"/>
  <c r="D18" i="137" s="1"/>
  <c r="BK1066" i="1"/>
  <c r="BD1066" i="1" s="1"/>
  <c r="S1066" i="1" s="1"/>
  <c r="BK931" i="1"/>
  <c r="BD931" i="1" s="1"/>
  <c r="S931" i="1" s="1"/>
  <c r="W1109" i="1"/>
  <c r="T1109" i="1" s="1"/>
  <c r="J20" i="137" s="1"/>
  <c r="W999" i="1"/>
  <c r="T999" i="1" s="1"/>
  <c r="W889" i="1"/>
  <c r="T889" i="1" s="1"/>
  <c r="D16" i="137" s="1"/>
  <c r="BK665" i="1"/>
  <c r="BD665" i="1" s="1"/>
  <c r="S665" i="1" s="1"/>
  <c r="BK555" i="1"/>
  <c r="BD555" i="1" s="1"/>
  <c r="S555" i="1" s="1"/>
  <c r="W555" i="1"/>
  <c r="T555" i="1" s="1"/>
  <c r="D32" i="135" s="1"/>
  <c r="BK553" i="1"/>
  <c r="BD553" i="1" s="1"/>
  <c r="S553" i="1" s="1"/>
  <c r="BK596" i="1"/>
  <c r="BD596" i="1" s="1"/>
  <c r="S596" i="1" s="1"/>
  <c r="BK513" i="1"/>
  <c r="BD513" i="1" s="1"/>
  <c r="S513" i="1" s="1"/>
  <c r="BK744" i="1"/>
  <c r="BD744" i="1" s="1"/>
  <c r="S744" i="1" s="1"/>
  <c r="BK548" i="1"/>
  <c r="BD548" i="1" s="1"/>
  <c r="S548" i="1" s="1"/>
  <c r="BK629" i="1"/>
  <c r="BD629" i="1" s="1"/>
  <c r="S629" i="1" s="1"/>
  <c r="BK743" i="1"/>
  <c r="BD743" i="1" s="1"/>
  <c r="S743" i="1" s="1"/>
  <c r="W548" i="1"/>
  <c r="T548" i="1" s="1"/>
  <c r="D27" i="135" s="1"/>
  <c r="BK632" i="1"/>
  <c r="BD632" i="1" s="1"/>
  <c r="S632" i="1" s="1"/>
  <c r="BK588" i="1"/>
  <c r="BD588" i="1" s="1"/>
  <c r="S588" i="1" s="1"/>
  <c r="BK591" i="1"/>
  <c r="BD591" i="1" s="1"/>
  <c r="S591" i="1" s="1"/>
  <c r="W624" i="1"/>
  <c r="T624" i="1" s="1"/>
  <c r="F27" i="135" s="1"/>
  <c r="BK594" i="1"/>
  <c r="BD594" i="1" s="1"/>
  <c r="S594" i="1" s="1"/>
  <c r="W511" i="1"/>
  <c r="W785" i="1"/>
  <c r="T785" i="1" s="1"/>
  <c r="J36" i="135" s="1"/>
  <c r="W667" i="1"/>
  <c r="T667" i="1" s="1"/>
  <c r="G33" i="135" s="1"/>
  <c r="BK784" i="1"/>
  <c r="BD784" i="1" s="1"/>
  <c r="S784" i="1" s="1"/>
  <c r="W784" i="1"/>
  <c r="T784" i="1" s="1"/>
  <c r="J35" i="135" s="1"/>
  <c r="BK551" i="1"/>
  <c r="BD551" i="1" s="1"/>
  <c r="S551" i="1" s="1"/>
  <c r="BK745" i="1"/>
  <c r="BD745" i="1" s="1"/>
  <c r="S745" i="1" s="1"/>
  <c r="W783" i="1"/>
  <c r="BK592" i="1"/>
  <c r="BD592" i="1" s="1"/>
  <c r="S592" i="1" s="1"/>
  <c r="BK740" i="1"/>
  <c r="BD740" i="1" s="1"/>
  <c r="S740" i="1" s="1"/>
  <c r="BK520" i="1"/>
  <c r="BD520" i="1" s="1"/>
  <c r="S520" i="1" s="1"/>
  <c r="BK624" i="1"/>
  <c r="BD624" i="1" s="1"/>
  <c r="S624" i="1" s="1"/>
  <c r="BK738" i="1"/>
  <c r="BD738" i="1" s="1"/>
  <c r="S738" i="1" s="1"/>
  <c r="W629" i="1"/>
  <c r="T629" i="1" s="1"/>
  <c r="F33" i="135" s="1"/>
  <c r="W743" i="1"/>
  <c r="T743" i="1" s="1"/>
  <c r="I33" i="135" s="1"/>
  <c r="BK628" i="1"/>
  <c r="BD628" i="1" s="1"/>
  <c r="S628" i="1" s="1"/>
  <c r="BK672" i="1"/>
  <c r="BD672" i="1" s="1"/>
  <c r="S672" i="1" s="1"/>
  <c r="BK511" i="1"/>
  <c r="BD511" i="1" s="1"/>
  <c r="S511" i="1" s="1"/>
  <c r="BK709" i="1"/>
  <c r="BD709" i="1" s="1"/>
  <c r="S709" i="1" s="1"/>
  <c r="W516" i="1"/>
  <c r="W778" i="1"/>
  <c r="T778" i="1" s="1"/>
  <c r="J29" i="135" s="1"/>
  <c r="BK552" i="1"/>
  <c r="BD552" i="1" s="1"/>
  <c r="S552" i="1" s="1"/>
  <c r="BK670" i="1"/>
  <c r="BD670" i="1" s="1"/>
  <c r="S670" i="1" s="1"/>
  <c r="BK780" i="1"/>
  <c r="BD780" i="1" s="1"/>
  <c r="S780" i="1" s="1"/>
  <c r="W780" i="1"/>
  <c r="T780" i="1" s="1"/>
  <c r="J31" i="135" s="1"/>
  <c r="BK631" i="1"/>
  <c r="BD631" i="1" s="1"/>
  <c r="S631" i="1" s="1"/>
  <c r="BK741" i="1"/>
  <c r="BD741" i="1" s="1"/>
  <c r="S741" i="1" s="1"/>
  <c r="W631" i="1"/>
  <c r="T631" i="1" s="1"/>
  <c r="F32" i="135" s="1"/>
  <c r="W779" i="1"/>
  <c r="T779" i="1" s="1"/>
  <c r="J30" i="135" s="1"/>
  <c r="BK710" i="1"/>
  <c r="BD710" i="1" s="1"/>
  <c r="S710" i="1" s="1"/>
  <c r="W738" i="1"/>
  <c r="T738" i="1" s="1"/>
  <c r="I27" i="135" s="1"/>
  <c r="BK590" i="1"/>
  <c r="BD590" i="1" s="1"/>
  <c r="S590" i="1" s="1"/>
  <c r="BK782" i="1"/>
  <c r="BD782" i="1" s="1"/>
  <c r="S782" i="1" s="1"/>
  <c r="W586" i="1"/>
  <c r="T586" i="1" s="1"/>
  <c r="E27" i="135" s="1"/>
  <c r="BK630" i="1"/>
  <c r="BD630" i="1" s="1"/>
  <c r="S630" i="1" s="1"/>
  <c r="BK776" i="1"/>
  <c r="BD776" i="1" s="1"/>
  <c r="S776" i="1" s="1"/>
  <c r="BK746" i="1"/>
  <c r="BD746" i="1" s="1"/>
  <c r="S746" i="1" s="1"/>
  <c r="BK627" i="1"/>
  <c r="BD627" i="1" s="1"/>
  <c r="S627" i="1" s="1"/>
  <c r="BK518" i="1"/>
  <c r="BD518" i="1" s="1"/>
  <c r="S518" i="1" s="1"/>
  <c r="W518" i="1"/>
  <c r="BK668" i="1"/>
  <c r="BD668" i="1" s="1"/>
  <c r="S668" i="1" s="1"/>
  <c r="BK558" i="1"/>
  <c r="BD558" i="1" s="1"/>
  <c r="S558" i="1" s="1"/>
  <c r="BK516" i="1"/>
  <c r="BD516" i="1" s="1"/>
  <c r="S516" i="1" s="1"/>
  <c r="BK706" i="1"/>
  <c r="BD706" i="1" s="1"/>
  <c r="S706" i="1" s="1"/>
  <c r="W786" i="1"/>
  <c r="T786" i="1" s="1"/>
  <c r="J37" i="135" s="1"/>
  <c r="BK586" i="1"/>
  <c r="BD586" i="1" s="1"/>
  <c r="S586" i="1" s="1"/>
  <c r="BK705" i="1"/>
  <c r="BD705" i="1" s="1"/>
  <c r="S705" i="1" s="1"/>
  <c r="BK550" i="1"/>
  <c r="BD550" i="1" s="1"/>
  <c r="S550" i="1" s="1"/>
  <c r="BK667" i="1"/>
  <c r="BD667" i="1" s="1"/>
  <c r="S667" i="1" s="1"/>
  <c r="W700" i="1"/>
  <c r="T700" i="1" s="1"/>
  <c r="H27" i="135" s="1"/>
  <c r="BK778" i="1"/>
  <c r="BD778" i="1" s="1"/>
  <c r="S778" i="1" s="1"/>
  <c r="W781" i="1"/>
  <c r="T781" i="1" s="1"/>
  <c r="J33" i="135" s="1"/>
  <c r="BK742" i="1"/>
  <c r="BD742" i="1" s="1"/>
  <c r="S742" i="1" s="1"/>
  <c r="BK514" i="1"/>
  <c r="BD514" i="1" s="1"/>
  <c r="S514" i="1" s="1"/>
  <c r="BK707" i="1"/>
  <c r="BD707" i="1" s="1"/>
  <c r="S707" i="1" s="1"/>
  <c r="W745" i="1"/>
  <c r="T745" i="1" s="1"/>
  <c r="I32" i="135" s="1"/>
  <c r="BK664" i="1"/>
  <c r="BD664" i="1" s="1"/>
  <c r="S664" i="1" s="1"/>
  <c r="BK554" i="1"/>
  <c r="BD554" i="1" s="1"/>
  <c r="S554" i="1" s="1"/>
  <c r="BK786" i="1"/>
  <c r="BD786" i="1" s="1"/>
  <c r="S786" i="1" s="1"/>
  <c r="BK702" i="1"/>
  <c r="BD702" i="1" s="1"/>
  <c r="S702" i="1" s="1"/>
  <c r="W782" i="1"/>
  <c r="T782" i="1" s="1"/>
  <c r="J34" i="135" s="1"/>
  <c r="BK671" i="1"/>
  <c r="BD671" i="1" s="1"/>
  <c r="S671" i="1" s="1"/>
  <c r="BK785" i="1"/>
  <c r="BD785" i="1" s="1"/>
  <c r="S785" i="1" s="1"/>
  <c r="BK700" i="1"/>
  <c r="BD700" i="1" s="1"/>
  <c r="S700" i="1" s="1"/>
  <c r="W591" i="1"/>
  <c r="T591" i="1" s="1"/>
  <c r="E33" i="135" s="1"/>
  <c r="BK557" i="1"/>
  <c r="BD557" i="1" s="1"/>
  <c r="S557" i="1" s="1"/>
  <c r="W705" i="1"/>
  <c r="T705" i="1" s="1"/>
  <c r="H33" i="135" s="1"/>
  <c r="BK556" i="1"/>
  <c r="BD556" i="1" s="1"/>
  <c r="S556" i="1" s="1"/>
  <c r="BK708" i="1"/>
  <c r="BD708" i="1" s="1"/>
  <c r="S708" i="1" s="1"/>
  <c r="BK593" i="1"/>
  <c r="BD593" i="1" s="1"/>
  <c r="S593" i="1" s="1"/>
  <c r="BK509" i="1"/>
  <c r="BD509" i="1" s="1"/>
  <c r="S509" i="1" s="1"/>
  <c r="N509" i="1" s="1"/>
  <c r="BK703" i="1"/>
  <c r="BD703" i="1" s="1"/>
  <c r="S703" i="1" s="1"/>
  <c r="W593" i="1"/>
  <c r="T593" i="1" s="1"/>
  <c r="E32" i="135" s="1"/>
  <c r="BK634" i="1"/>
  <c r="BD634" i="1" s="1"/>
  <c r="S634" i="1" s="1"/>
  <c r="BK781" i="1"/>
  <c r="BD781" i="1" s="1"/>
  <c r="S781" i="1" s="1"/>
  <c r="BK519" i="1"/>
  <c r="BD519" i="1" s="1"/>
  <c r="S519" i="1" s="1"/>
  <c r="BK704" i="1"/>
  <c r="BD704" i="1" s="1"/>
  <c r="S704" i="1" s="1"/>
  <c r="BK589" i="1"/>
  <c r="BD589" i="1" s="1"/>
  <c r="S589" i="1" s="1"/>
  <c r="BK783" i="1"/>
  <c r="BD783" i="1" s="1"/>
  <c r="S783" i="1" s="1"/>
  <c r="BK662" i="1"/>
  <c r="BD662" i="1" s="1"/>
  <c r="S662" i="1" s="1"/>
  <c r="BK669" i="1"/>
  <c r="BD669" i="1" s="1"/>
  <c r="S669" i="1" s="1"/>
  <c r="BK779" i="1"/>
  <c r="BD779" i="1" s="1"/>
  <c r="S779" i="1" s="1"/>
  <c r="W669" i="1"/>
  <c r="T669" i="1" s="1"/>
  <c r="G32" i="135" s="1"/>
  <c r="BK595" i="1"/>
  <c r="BD595" i="1" s="1"/>
  <c r="S595" i="1" s="1"/>
  <c r="W707" i="1"/>
  <c r="T707" i="1" s="1"/>
  <c r="H32" i="135" s="1"/>
  <c r="BK626" i="1"/>
  <c r="BD626" i="1" s="1"/>
  <c r="S626" i="1" s="1"/>
  <c r="BK517" i="1"/>
  <c r="BD517" i="1" s="1"/>
  <c r="S517" i="1" s="1"/>
  <c r="BK748" i="1"/>
  <c r="BD748" i="1" s="1"/>
  <c r="S748" i="1" s="1"/>
  <c r="BK633" i="1"/>
  <c r="BD633" i="1" s="1"/>
  <c r="S633" i="1" s="1"/>
  <c r="BK747" i="1"/>
  <c r="BD747" i="1" s="1"/>
  <c r="S747" i="1" s="1"/>
  <c r="W662" i="1"/>
  <c r="T662" i="1" s="1"/>
  <c r="G27" i="135" s="1"/>
  <c r="W553" i="1"/>
  <c r="T553" i="1" s="1"/>
  <c r="D33" i="135" s="1"/>
  <c r="W776" i="1"/>
  <c r="T776" i="1" s="1"/>
  <c r="J27" i="135" s="1"/>
  <c r="BK666" i="1"/>
  <c r="BD666" i="1" s="1"/>
  <c r="S666" i="1" s="1"/>
  <c r="BK515" i="1"/>
  <c r="BD515" i="1" s="1"/>
  <c r="S515" i="1" s="1"/>
  <c r="BK521" i="1"/>
  <c r="BD521" i="1" s="1"/>
  <c r="S521" i="1" s="1"/>
  <c r="N1106" i="1" l="1"/>
  <c r="J18" i="31" s="1"/>
  <c r="N931" i="1"/>
  <c r="E22" i="31" s="1"/>
  <c r="F24" i="59" s="1"/>
  <c r="N783" i="1"/>
  <c r="N1076" i="1"/>
  <c r="I23" i="31" s="1"/>
  <c r="N860" i="1"/>
  <c r="C23" i="31" s="1"/>
  <c r="N958" i="1"/>
  <c r="F13" i="31" s="1"/>
  <c r="N511" i="1"/>
  <c r="C27" i="29" s="1"/>
  <c r="N856" i="1"/>
  <c r="C19" i="31" s="1"/>
  <c r="N853" i="1"/>
  <c r="C16" i="31" s="1"/>
  <c r="N1071" i="1"/>
  <c r="I17" i="31" s="1"/>
  <c r="N784" i="1"/>
  <c r="J35" i="29" s="1"/>
  <c r="N624" i="1"/>
  <c r="F27" i="29" s="1"/>
  <c r="N363" i="1"/>
  <c r="N786" i="1"/>
  <c r="J37" i="29" s="1"/>
  <c r="N785" i="1"/>
  <c r="J36" i="29" s="1"/>
  <c r="N1069" i="1"/>
  <c r="I16" i="31" s="1"/>
  <c r="N1075" i="1"/>
  <c r="I22" i="31" s="1"/>
  <c r="J24" i="59" s="1"/>
  <c r="N1107" i="1"/>
  <c r="J17" i="31" s="1"/>
  <c r="N962" i="1"/>
  <c r="F18" i="31" s="1"/>
  <c r="N1325" i="1"/>
  <c r="V20" i="37" s="1"/>
  <c r="N779" i="1"/>
  <c r="J30" i="29" s="1"/>
  <c r="N778" i="1"/>
  <c r="J29" i="29" s="1"/>
  <c r="N966" i="1"/>
  <c r="F21" i="31" s="1"/>
  <c r="G11" i="59" s="1"/>
  <c r="N859" i="1"/>
  <c r="C22" i="31" s="1"/>
  <c r="D24" i="59" s="1"/>
  <c r="N998" i="1"/>
  <c r="N365" i="1"/>
  <c r="N1104" i="1"/>
  <c r="J15" i="31" s="1"/>
  <c r="N997" i="1"/>
  <c r="N1105" i="1"/>
  <c r="J16" i="31" s="1"/>
  <c r="N886" i="1"/>
  <c r="D13" i="31" s="1"/>
  <c r="N850" i="1"/>
  <c r="C13" i="31" s="1"/>
  <c r="N932" i="1"/>
  <c r="E23" i="31" s="1"/>
  <c r="N961" i="1"/>
  <c r="F16" i="31" s="1"/>
  <c r="N1074" i="1"/>
  <c r="I21" i="31" s="1"/>
  <c r="J11" i="59" s="1"/>
  <c r="N1323" i="1"/>
  <c r="V18" i="37" s="1"/>
  <c r="N855" i="1"/>
  <c r="C17" i="31" s="1"/>
  <c r="N1068" i="1"/>
  <c r="I15" i="31" s="1"/>
  <c r="N669" i="1"/>
  <c r="G32" i="29" s="1"/>
  <c r="H27" i="59" s="1"/>
  <c r="N667" i="1"/>
  <c r="G33" i="29" s="1"/>
  <c r="H12" i="59" s="1"/>
  <c r="N1324" i="1"/>
  <c r="V19" i="37" s="1"/>
  <c r="S476" i="1"/>
  <c r="M26" i="28"/>
  <c r="O81" i="6"/>
  <c r="O96" i="6"/>
  <c r="T1149" i="1"/>
  <c r="O104" i="6"/>
  <c r="BK392" i="1"/>
  <c r="I406" i="1"/>
  <c r="BK406" i="1" s="1"/>
  <c r="Q16" i="27"/>
  <c r="S396" i="1"/>
  <c r="S400" i="1"/>
  <c r="N400" i="1" s="1"/>
  <c r="Q20" i="27"/>
  <c r="T439" i="1"/>
  <c r="D79" i="27" s="1"/>
  <c r="N439" i="1"/>
  <c r="F79" i="27" s="1"/>
  <c r="Q18" i="27"/>
  <c r="S399" i="1"/>
  <c r="BK429" i="1"/>
  <c r="T452" i="1"/>
  <c r="D94" i="27" s="1"/>
  <c r="N452" i="1"/>
  <c r="F94" i="27" s="1"/>
  <c r="S384" i="1"/>
  <c r="Q28" i="26"/>
  <c r="Q12" i="26"/>
  <c r="S362" i="1"/>
  <c r="N1195" i="1"/>
  <c r="E11" i="34" s="1"/>
  <c r="C11" i="34"/>
  <c r="BK412" i="1"/>
  <c r="BD412" i="1" s="1"/>
  <c r="S412" i="1" s="1"/>
  <c r="W412" i="1"/>
  <c r="T412" i="1" s="1"/>
  <c r="D36" i="27" s="1"/>
  <c r="T36" i="27" s="1"/>
  <c r="BD404" i="1"/>
  <c r="S404" i="1" s="1"/>
  <c r="N404" i="1" s="1"/>
  <c r="BE18" i="1"/>
  <c r="BD18" i="1" s="1"/>
  <c r="S18" i="1" s="1"/>
  <c r="N18" i="1" s="1"/>
  <c r="N447" i="1"/>
  <c r="F89" i="27" s="1"/>
  <c r="T447" i="1"/>
  <c r="D89" i="27" s="1"/>
  <c r="N445" i="1"/>
  <c r="F87" i="27" s="1"/>
  <c r="T445" i="1"/>
  <c r="D87" i="27" s="1"/>
  <c r="S361" i="1"/>
  <c r="Q11" i="26"/>
  <c r="S475" i="1"/>
  <c r="M25" i="28"/>
  <c r="N1194" i="1"/>
  <c r="E10" i="34" s="1"/>
  <c r="C10" i="34"/>
  <c r="Q12" i="27"/>
  <c r="S393" i="1"/>
  <c r="BK423" i="1"/>
  <c r="BD423" i="1" s="1"/>
  <c r="S423" i="1" s="1"/>
  <c r="W423" i="1"/>
  <c r="T423" i="1" s="1"/>
  <c r="D34" i="27" s="1"/>
  <c r="T444" i="1"/>
  <c r="D86" i="27" s="1"/>
  <c r="N444" i="1"/>
  <c r="F86" i="27" s="1"/>
  <c r="T455" i="1"/>
  <c r="D97" i="27" s="1"/>
  <c r="N455" i="1"/>
  <c r="F97" i="27" s="1"/>
  <c r="S368" i="1"/>
  <c r="Q14" i="26"/>
  <c r="Q30" i="26"/>
  <c r="S386" i="1"/>
  <c r="BK468" i="1"/>
  <c r="BD468" i="1" s="1"/>
  <c r="S468" i="1" s="1"/>
  <c r="W468" i="1"/>
  <c r="T468" i="1" s="1"/>
  <c r="M22" i="28"/>
  <c r="S472" i="1"/>
  <c r="N472" i="1" s="1"/>
  <c r="E22" i="28" s="1"/>
  <c r="C13" i="34"/>
  <c r="N1197" i="1"/>
  <c r="E13" i="34" s="1"/>
  <c r="T450" i="1"/>
  <c r="D92" i="27" s="1"/>
  <c r="N450" i="1"/>
  <c r="F92" i="27" s="1"/>
  <c r="N458" i="1"/>
  <c r="F100" i="27" s="1"/>
  <c r="T458" i="1"/>
  <c r="D100" i="27" s="1"/>
  <c r="Q15" i="27"/>
  <c r="S397" i="1"/>
  <c r="T440" i="1"/>
  <c r="D80" i="27" s="1"/>
  <c r="N440" i="1"/>
  <c r="F80" i="27" s="1"/>
  <c r="S385" i="1"/>
  <c r="Q29" i="26"/>
  <c r="S382" i="1"/>
  <c r="Q26" i="26"/>
  <c r="S381" i="1"/>
  <c r="Q25" i="26"/>
  <c r="S380" i="1"/>
  <c r="Q24" i="26"/>
  <c r="S473" i="1"/>
  <c r="N473" i="1" s="1"/>
  <c r="E23" i="28" s="1"/>
  <c r="M23" i="28"/>
  <c r="M24" i="28"/>
  <c r="S474" i="1"/>
  <c r="N474" i="1" s="1"/>
  <c r="E24" i="28" s="1"/>
  <c r="N1196" i="1"/>
  <c r="E12" i="34" s="1"/>
  <c r="C12" i="34"/>
  <c r="N451" i="1"/>
  <c r="F93" i="27" s="1"/>
  <c r="T451" i="1"/>
  <c r="D93" i="27" s="1"/>
  <c r="Q21" i="27"/>
  <c r="S401" i="1"/>
  <c r="T449" i="1"/>
  <c r="D91" i="27" s="1"/>
  <c r="N449" i="1"/>
  <c r="F91" i="27" s="1"/>
  <c r="N448" i="1"/>
  <c r="F90" i="27" s="1"/>
  <c r="T448" i="1"/>
  <c r="D90" i="27" s="1"/>
  <c r="Q13" i="27"/>
  <c r="S394" i="1"/>
  <c r="Q16" i="26"/>
  <c r="S369" i="1"/>
  <c r="N369" i="1" s="1"/>
  <c r="F16" i="26" s="1"/>
  <c r="S477" i="1"/>
  <c r="M27" i="28"/>
  <c r="T453" i="1"/>
  <c r="D95" i="27" s="1"/>
  <c r="N453" i="1"/>
  <c r="F95" i="27" s="1"/>
  <c r="BK414" i="1"/>
  <c r="BD414" i="1" s="1"/>
  <c r="S414" i="1" s="1"/>
  <c r="W414" i="1"/>
  <c r="T414" i="1" s="1"/>
  <c r="D38" i="27" s="1"/>
  <c r="N405" i="1"/>
  <c r="N457" i="1"/>
  <c r="F99" i="27" s="1"/>
  <c r="T457" i="1"/>
  <c r="D99" i="27" s="1"/>
  <c r="N456" i="1"/>
  <c r="F98" i="27" s="1"/>
  <c r="T456" i="1"/>
  <c r="D98" i="27" s="1"/>
  <c r="BK374" i="1"/>
  <c r="BD374" i="1" s="1"/>
  <c r="I387" i="1"/>
  <c r="Q27" i="26"/>
  <c r="S383" i="1"/>
  <c r="S370" i="1"/>
  <c r="N370" i="1" s="1"/>
  <c r="F17" i="26" s="1"/>
  <c r="Q17" i="26"/>
  <c r="N364" i="1"/>
  <c r="BK1148" i="1"/>
  <c r="BD1148" i="1" s="1"/>
  <c r="S1148" i="1" s="1"/>
  <c r="I1150" i="1"/>
  <c r="N446" i="1"/>
  <c r="F88" i="27" s="1"/>
  <c r="T446" i="1"/>
  <c r="D88" i="27" s="1"/>
  <c r="N454" i="1"/>
  <c r="F96" i="27" s="1"/>
  <c r="T454" i="1"/>
  <c r="D96" i="27" s="1"/>
  <c r="BK415" i="1"/>
  <c r="BD415" i="1" s="1"/>
  <c r="S415" i="1" s="1"/>
  <c r="W415" i="1"/>
  <c r="T415" i="1" s="1"/>
  <c r="D39" i="27" s="1"/>
  <c r="BK419" i="1"/>
  <c r="BD419" i="1" s="1"/>
  <c r="S419" i="1" s="1"/>
  <c r="W419" i="1"/>
  <c r="T419" i="1" s="1"/>
  <c r="BK413" i="1"/>
  <c r="BD413" i="1" s="1"/>
  <c r="S413" i="1" s="1"/>
  <c r="W413" i="1"/>
  <c r="T413" i="1" s="1"/>
  <c r="D37" i="27" s="1"/>
  <c r="T37" i="27" s="1"/>
  <c r="BK471" i="1"/>
  <c r="BD471" i="1" s="1"/>
  <c r="I478" i="1"/>
  <c r="K96" i="6"/>
  <c r="K104" i="6"/>
  <c r="K81" i="6"/>
  <c r="N1149" i="1"/>
  <c r="BK411" i="1"/>
  <c r="BD411" i="1" s="1"/>
  <c r="W411" i="1"/>
  <c r="T411" i="1" s="1"/>
  <c r="D35" i="27" s="1"/>
  <c r="BK416" i="1"/>
  <c r="BD416" i="1" s="1"/>
  <c r="S416" i="1" s="1"/>
  <c r="W416" i="1"/>
  <c r="T416" i="1" s="1"/>
  <c r="D40" i="27" s="1"/>
  <c r="N443" i="1"/>
  <c r="F85" i="27" s="1"/>
  <c r="T443" i="1"/>
  <c r="D85" i="27" s="1"/>
  <c r="Q14" i="27"/>
  <c r="S395" i="1"/>
  <c r="BK420" i="1"/>
  <c r="BD420" i="1" s="1"/>
  <c r="W420" i="1"/>
  <c r="Q17" i="27"/>
  <c r="S398" i="1"/>
  <c r="N442" i="1"/>
  <c r="F84" i="27" s="1"/>
  <c r="T442" i="1"/>
  <c r="D84" i="27" s="1"/>
  <c r="Q22" i="26"/>
  <c r="S375" i="1"/>
  <c r="S379" i="1"/>
  <c r="Q23" i="26"/>
  <c r="S366" i="1"/>
  <c r="Q13" i="26"/>
  <c r="S371" i="1"/>
  <c r="Q18" i="26"/>
  <c r="I372" i="1"/>
  <c r="BK372" i="1" s="1"/>
  <c r="BD372" i="1" s="1"/>
  <c r="BK360" i="1"/>
  <c r="BD360" i="1" s="1"/>
  <c r="N1073" i="1"/>
  <c r="I20" i="31" s="1"/>
  <c r="R23" i="37"/>
  <c r="N1378" i="1"/>
  <c r="V25" i="37" s="1"/>
  <c r="S20" i="37"/>
  <c r="N1332" i="1"/>
  <c r="W20" i="37" s="1"/>
  <c r="S25" i="37"/>
  <c r="N1383" i="1"/>
  <c r="W25" i="37" s="1"/>
  <c r="N1326" i="1"/>
  <c r="V21" i="37" s="1"/>
  <c r="N1066" i="1"/>
  <c r="I13" i="31" s="1"/>
  <c r="I1328" i="1"/>
  <c r="BK1328" i="1" s="1"/>
  <c r="BD1328" i="1" s="1"/>
  <c r="S1328" i="1" s="1"/>
  <c r="BK1322" i="1"/>
  <c r="BD1322" i="1" s="1"/>
  <c r="S1322" i="1" s="1"/>
  <c r="N700" i="1"/>
  <c r="H27" i="29" s="1"/>
  <c r="W1343" i="1"/>
  <c r="H1390" i="1"/>
  <c r="W1387" i="1"/>
  <c r="S26" i="37"/>
  <c r="N1384" i="1"/>
  <c r="W26" i="37" s="1"/>
  <c r="N1330" i="1"/>
  <c r="W18" i="37" s="1"/>
  <c r="S18" i="37"/>
  <c r="N631" i="1"/>
  <c r="F32" i="29" s="1"/>
  <c r="G27" i="59" s="1"/>
  <c r="N1072" i="1"/>
  <c r="I19" i="31" s="1"/>
  <c r="N854" i="1"/>
  <c r="C18" i="31" s="1"/>
  <c r="N1327" i="1"/>
  <c r="V22" i="37" s="1"/>
  <c r="S21" i="37"/>
  <c r="N1333" i="1"/>
  <c r="W21" i="37" s="1"/>
  <c r="W1377" i="1"/>
  <c r="H1380" i="1"/>
  <c r="H1375" i="1"/>
  <c r="W1372" i="1"/>
  <c r="I1380" i="1"/>
  <c r="BK1380" i="1" s="1"/>
  <c r="BD1380" i="1" s="1"/>
  <c r="S1380" i="1" s="1"/>
  <c r="BK1377" i="1"/>
  <c r="BD1377" i="1" s="1"/>
  <c r="S1377" i="1" s="1"/>
  <c r="N1344" i="1"/>
  <c r="AB18" i="37" s="1"/>
  <c r="T18" i="37"/>
  <c r="H1385" i="1"/>
  <c r="W1382" i="1"/>
  <c r="N781" i="1"/>
  <c r="J33" i="29" s="1"/>
  <c r="K12" i="59" s="1"/>
  <c r="N1102" i="1"/>
  <c r="J13" i="31" s="1"/>
  <c r="N996" i="1"/>
  <c r="H1321" i="1"/>
  <c r="W1315" i="1"/>
  <c r="W1329" i="1"/>
  <c r="H1335" i="1"/>
  <c r="N780" i="1"/>
  <c r="J31" i="29" s="1"/>
  <c r="N1334" i="1"/>
  <c r="W22" i="37" s="1"/>
  <c r="S22" i="37"/>
  <c r="S19" i="37"/>
  <c r="N1331" i="1"/>
  <c r="W19" i="37" s="1"/>
  <c r="W1322" i="1"/>
  <c r="H1328" i="1"/>
  <c r="N1379" i="1"/>
  <c r="V26" i="37" s="1"/>
  <c r="W1336" i="1"/>
  <c r="H1342" i="1"/>
  <c r="H777" i="1"/>
  <c r="H787" i="1" s="1"/>
  <c r="H788" i="1" s="1"/>
  <c r="W775" i="1"/>
  <c r="H789" i="1"/>
  <c r="K92" i="6"/>
  <c r="N662" i="1"/>
  <c r="G27" i="29" s="1"/>
  <c r="BK546" i="1"/>
  <c r="BD546" i="1" s="1"/>
  <c r="S546" i="1" s="1"/>
  <c r="N546" i="1" s="1"/>
  <c r="I549" i="1"/>
  <c r="N745" i="1"/>
  <c r="I32" i="29" s="1"/>
  <c r="J27" i="59" s="1"/>
  <c r="N629" i="1"/>
  <c r="F33" i="29" s="1"/>
  <c r="G12" i="59" s="1"/>
  <c r="N553" i="1"/>
  <c r="D33" i="29" s="1"/>
  <c r="E12" i="59" s="1"/>
  <c r="BK899" i="1"/>
  <c r="BD899" i="1" s="1"/>
  <c r="S899" i="1" s="1"/>
  <c r="I959" i="1"/>
  <c r="BK957" i="1"/>
  <c r="BD957" i="1" s="1"/>
  <c r="S957" i="1" s="1"/>
  <c r="N890" i="1"/>
  <c r="D18" i="31" s="1"/>
  <c r="K16" i="137"/>
  <c r="T857" i="1"/>
  <c r="N926" i="1"/>
  <c r="E18" i="31" s="1"/>
  <c r="N1037" i="1"/>
  <c r="H20" i="31" s="1"/>
  <c r="N705" i="1"/>
  <c r="H33" i="29" s="1"/>
  <c r="I12" i="59" s="1"/>
  <c r="BK547" i="1"/>
  <c r="BD547" i="1" s="1"/>
  <c r="S547" i="1" s="1"/>
  <c r="I561" i="1"/>
  <c r="BK561" i="1" s="1"/>
  <c r="BD561" i="1" s="1"/>
  <c r="S561" i="1" s="1"/>
  <c r="BK510" i="1"/>
  <c r="BD510" i="1" s="1"/>
  <c r="S510" i="1" s="1"/>
  <c r="I512" i="1"/>
  <c r="I524" i="1"/>
  <c r="BK524" i="1" s="1"/>
  <c r="BD524" i="1" s="1"/>
  <c r="S524" i="1" s="1"/>
  <c r="BK935" i="1"/>
  <c r="BD935" i="1" s="1"/>
  <c r="S935" i="1" s="1"/>
  <c r="N857" i="1"/>
  <c r="W921" i="1"/>
  <c r="H923" i="1"/>
  <c r="H933" i="1" s="1"/>
  <c r="N1000" i="1"/>
  <c r="N1032" i="1"/>
  <c r="H15" i="31" s="1"/>
  <c r="N922" i="1"/>
  <c r="E13" i="31" s="1"/>
  <c r="N1036" i="1"/>
  <c r="H19" i="31" s="1"/>
  <c r="N929" i="1"/>
  <c r="E20" i="31" s="1"/>
  <c r="BK737" i="1"/>
  <c r="BD737" i="1" s="1"/>
  <c r="S737" i="1" s="1"/>
  <c r="I751" i="1"/>
  <c r="BK751" i="1" s="1"/>
  <c r="BD751" i="1" s="1"/>
  <c r="S751" i="1" s="1"/>
  <c r="N586" i="1"/>
  <c r="E27" i="29" s="1"/>
  <c r="O90" i="6"/>
  <c r="T516" i="1"/>
  <c r="O102" i="6"/>
  <c r="O103" i="6" s="1"/>
  <c r="BK660" i="1"/>
  <c r="BD660" i="1" s="1"/>
  <c r="S660" i="1" s="1"/>
  <c r="N660" i="1" s="1"/>
  <c r="I663" i="1"/>
  <c r="BK623" i="1"/>
  <c r="BD623" i="1" s="1"/>
  <c r="S623" i="1" s="1"/>
  <c r="I637" i="1"/>
  <c r="BK637" i="1" s="1"/>
  <c r="BD637" i="1" s="1"/>
  <c r="S637" i="1" s="1"/>
  <c r="N548" i="1"/>
  <c r="D27" i="29" s="1"/>
  <c r="BK971" i="1"/>
  <c r="BD971" i="1" s="1"/>
  <c r="S971" i="1" s="1"/>
  <c r="BK863" i="1"/>
  <c r="BD863" i="1" s="1"/>
  <c r="S863" i="1" s="1"/>
  <c r="I1067" i="1"/>
  <c r="BK1065" i="1"/>
  <c r="BD1065" i="1" s="1"/>
  <c r="S1065" i="1" s="1"/>
  <c r="I851" i="1"/>
  <c r="BK849" i="1"/>
  <c r="BD849" i="1" s="1"/>
  <c r="S849" i="1" s="1"/>
  <c r="N1110" i="1"/>
  <c r="J21" i="31" s="1"/>
  <c r="K11" i="59" s="1"/>
  <c r="N1003" i="1"/>
  <c r="W1029" i="1"/>
  <c r="H1031" i="1"/>
  <c r="H1041" i="1" s="1"/>
  <c r="N1033" i="1"/>
  <c r="H16" i="31" s="1"/>
  <c r="W1101" i="1"/>
  <c r="H1103" i="1"/>
  <c r="H1113" i="1" s="1"/>
  <c r="N1039" i="1"/>
  <c r="H22" i="31" s="1"/>
  <c r="I24" i="59" s="1"/>
  <c r="BK698" i="1"/>
  <c r="BD698" i="1" s="1"/>
  <c r="S698" i="1" s="1"/>
  <c r="N698" i="1" s="1"/>
  <c r="I701" i="1"/>
  <c r="BK699" i="1"/>
  <c r="BD699" i="1" s="1"/>
  <c r="S699" i="1" s="1"/>
  <c r="I713" i="1"/>
  <c r="BK713" i="1" s="1"/>
  <c r="BD713" i="1" s="1"/>
  <c r="S713" i="1" s="1"/>
  <c r="T518" i="1"/>
  <c r="O113" i="6"/>
  <c r="N776" i="1"/>
  <c r="J27" i="29" s="1"/>
  <c r="T511" i="1"/>
  <c r="I777" i="1"/>
  <c r="BK774" i="1"/>
  <c r="BD774" i="1" s="1"/>
  <c r="S774" i="1" s="1"/>
  <c r="N774" i="1" s="1"/>
  <c r="BK1115" i="1"/>
  <c r="BD1115" i="1" s="1"/>
  <c r="S1115" i="1" s="1"/>
  <c r="N889" i="1"/>
  <c r="D16" i="31" s="1"/>
  <c r="N1002" i="1"/>
  <c r="W993" i="1"/>
  <c r="H995" i="1"/>
  <c r="H1005" i="1" s="1"/>
  <c r="N925" i="1"/>
  <c r="E16" i="31" s="1"/>
  <c r="BK885" i="1"/>
  <c r="BD885" i="1" s="1"/>
  <c r="S885" i="1" s="1"/>
  <c r="I887" i="1"/>
  <c r="I587" i="1"/>
  <c r="BK584" i="1"/>
  <c r="BD584" i="1" s="1"/>
  <c r="S584" i="1" s="1"/>
  <c r="N584" i="1" s="1"/>
  <c r="J32" i="29"/>
  <c r="K27" i="59" s="1"/>
  <c r="N707" i="1"/>
  <c r="H32" i="29" s="1"/>
  <c r="I27" i="59" s="1"/>
  <c r="N738" i="1"/>
  <c r="I27" i="29" s="1"/>
  <c r="N555" i="1"/>
  <c r="D32" i="29" s="1"/>
  <c r="E27" i="59" s="1"/>
  <c r="BK1043" i="1"/>
  <c r="BD1043" i="1" s="1"/>
  <c r="S1043" i="1" s="1"/>
  <c r="BK1101" i="1"/>
  <c r="BD1101" i="1" s="1"/>
  <c r="S1101" i="1" s="1"/>
  <c r="I1103" i="1"/>
  <c r="N999" i="1"/>
  <c r="N1112" i="1"/>
  <c r="J23" i="31" s="1"/>
  <c r="N1030" i="1"/>
  <c r="H13" i="31" s="1"/>
  <c r="W1065" i="1"/>
  <c r="H1067" i="1"/>
  <c r="H1077" i="1" s="1"/>
  <c r="N1035" i="1"/>
  <c r="H17" i="31" s="1"/>
  <c r="N928" i="1"/>
  <c r="E19" i="31" s="1"/>
  <c r="BK661" i="1"/>
  <c r="BD661" i="1" s="1"/>
  <c r="S661" i="1" s="1"/>
  <c r="I675" i="1"/>
  <c r="BK675" i="1" s="1"/>
  <c r="BD675" i="1" s="1"/>
  <c r="S675" i="1" s="1"/>
  <c r="BK736" i="1"/>
  <c r="BD736" i="1" s="1"/>
  <c r="S736" i="1" s="1"/>
  <c r="N736" i="1" s="1"/>
  <c r="I739" i="1"/>
  <c r="T783" i="1"/>
  <c r="O68" i="6"/>
  <c r="BK1007" i="1"/>
  <c r="BD1007" i="1" s="1"/>
  <c r="S1007" i="1" s="1"/>
  <c r="N1109" i="1"/>
  <c r="J20" i="31" s="1"/>
  <c r="BK1029" i="1"/>
  <c r="BD1029" i="1" s="1"/>
  <c r="S1029" i="1" s="1"/>
  <c r="I1031" i="1"/>
  <c r="K18" i="137"/>
  <c r="BK921" i="1"/>
  <c r="BD921" i="1" s="1"/>
  <c r="S921" i="1" s="1"/>
  <c r="I923" i="1"/>
  <c r="K21" i="137"/>
  <c r="W994" i="1"/>
  <c r="N1038" i="1"/>
  <c r="H21" i="31" s="1"/>
  <c r="I11" i="59" s="1"/>
  <c r="I625" i="1"/>
  <c r="BK622" i="1"/>
  <c r="BD622" i="1" s="1"/>
  <c r="S622" i="1" s="1"/>
  <c r="N622" i="1" s="1"/>
  <c r="K113" i="6"/>
  <c r="N518" i="1"/>
  <c r="N782" i="1"/>
  <c r="J34" i="29" s="1"/>
  <c r="K26" i="59" s="1"/>
  <c r="BK585" i="1"/>
  <c r="BD585" i="1" s="1"/>
  <c r="S585" i="1" s="1"/>
  <c r="I599" i="1"/>
  <c r="BK599" i="1" s="1"/>
  <c r="BD599" i="1" s="1"/>
  <c r="S599" i="1" s="1"/>
  <c r="N591" i="1"/>
  <c r="E33" i="29" s="1"/>
  <c r="F12" i="59" s="1"/>
  <c r="BK1079" i="1"/>
  <c r="BD1079" i="1" s="1"/>
  <c r="S1079" i="1" s="1"/>
  <c r="D11" i="59"/>
  <c r="BK994" i="1"/>
  <c r="BD994" i="1" s="1"/>
  <c r="S994" i="1" s="1"/>
  <c r="N1001" i="1"/>
  <c r="K13" i="137"/>
  <c r="N894" i="1"/>
  <c r="D21" i="31" s="1"/>
  <c r="E11" i="59" s="1"/>
  <c r="N924" i="1"/>
  <c r="E15" i="31" s="1"/>
  <c r="N930" i="1"/>
  <c r="E21" i="31" s="1"/>
  <c r="F11" i="59" s="1"/>
  <c r="BK775" i="1"/>
  <c r="BD775" i="1" s="1"/>
  <c r="S775" i="1" s="1"/>
  <c r="I789" i="1"/>
  <c r="BK789" i="1" s="1"/>
  <c r="BD789" i="1" s="1"/>
  <c r="S789" i="1" s="1"/>
  <c r="N593" i="1"/>
  <c r="E32" i="29" s="1"/>
  <c r="F27" i="59" s="1"/>
  <c r="N516" i="1"/>
  <c r="K90" i="6"/>
  <c r="K102" i="6"/>
  <c r="K103" i="6" s="1"/>
  <c r="K91" i="6"/>
  <c r="K10" i="6"/>
  <c r="N743" i="1"/>
  <c r="I33" i="29" s="1"/>
  <c r="J12" i="59" s="1"/>
  <c r="W849" i="1"/>
  <c r="H851" i="1"/>
  <c r="H861" i="1" s="1"/>
  <c r="BK993" i="1"/>
  <c r="BD993" i="1" s="1"/>
  <c r="S993" i="1" s="1"/>
  <c r="I995" i="1"/>
  <c r="N1111" i="1"/>
  <c r="J22" i="31" s="1"/>
  <c r="K24" i="59" s="1"/>
  <c r="N1004" i="1"/>
  <c r="N1034" i="1"/>
  <c r="H18" i="31" s="1"/>
  <c r="N927" i="1"/>
  <c r="E17" i="31" s="1"/>
  <c r="N1040" i="1"/>
  <c r="H23" i="31" s="1"/>
  <c r="N468" i="1" l="1"/>
  <c r="O105" i="6"/>
  <c r="V23" i="37"/>
  <c r="K105" i="6"/>
  <c r="K16" i="31"/>
  <c r="N994" i="1"/>
  <c r="N414" i="1"/>
  <c r="F38" i="27" s="1"/>
  <c r="N412" i="1"/>
  <c r="F36" i="27" s="1"/>
  <c r="AC18" i="37"/>
  <c r="K18" i="31"/>
  <c r="N1101" i="1"/>
  <c r="J12" i="31" s="1"/>
  <c r="J14" i="31" s="1"/>
  <c r="N423" i="1"/>
  <c r="F34" i="27" s="1"/>
  <c r="N993" i="1"/>
  <c r="G12" i="31" s="1"/>
  <c r="G14" i="31" s="1"/>
  <c r="G24" i="31" s="1"/>
  <c r="K13" i="31"/>
  <c r="U18" i="37"/>
  <c r="N415" i="1"/>
  <c r="F39" i="27" s="1"/>
  <c r="N1029" i="1"/>
  <c r="H12" i="31" s="1"/>
  <c r="H14" i="31" s="1"/>
  <c r="N921" i="1"/>
  <c r="K27" i="29"/>
  <c r="G29" i="20"/>
  <c r="D12" i="60" s="1"/>
  <c r="T35" i="27"/>
  <c r="BK408" i="1"/>
  <c r="BD408" i="1" s="1"/>
  <c r="BD478" i="1"/>
  <c r="S471" i="1"/>
  <c r="M21" i="28"/>
  <c r="M28" i="28" s="1"/>
  <c r="R16" i="20" s="1"/>
  <c r="H6" i="60" s="1"/>
  <c r="Q35" i="27"/>
  <c r="R29" i="20" s="1"/>
  <c r="H12" i="60" s="1"/>
  <c r="S411" i="1"/>
  <c r="N411" i="1" s="1"/>
  <c r="N419" i="1"/>
  <c r="K42" i="6"/>
  <c r="BE13" i="1"/>
  <c r="BD392" i="1"/>
  <c r="BK478" i="1"/>
  <c r="S360" i="1"/>
  <c r="Q10" i="26"/>
  <c r="Q19" i="26" s="1"/>
  <c r="BK387" i="1"/>
  <c r="BD387" i="1" s="1"/>
  <c r="S387" i="1" s="1"/>
  <c r="I388" i="1"/>
  <c r="BK388" i="1" s="1"/>
  <c r="BD388" i="1" s="1"/>
  <c r="BK462" i="1"/>
  <c r="BD462" i="1" s="1"/>
  <c r="T420" i="1"/>
  <c r="O43" i="6"/>
  <c r="F81" i="6"/>
  <c r="F96" i="6"/>
  <c r="F104" i="6"/>
  <c r="E11" i="32"/>
  <c r="L17" i="59" s="1"/>
  <c r="BK1150" i="1"/>
  <c r="BD1150" i="1" s="1"/>
  <c r="S1150" i="1" s="1"/>
  <c r="I1157" i="1"/>
  <c r="BK1157" i="1" s="1"/>
  <c r="BD1157" i="1" s="1"/>
  <c r="S1157" i="1" s="1"/>
  <c r="Q21" i="26"/>
  <c r="Q31" i="26" s="1"/>
  <c r="Q39" i="26" s="1"/>
  <c r="I153" i="60" s="1"/>
  <c r="S374" i="1"/>
  <c r="Q30" i="27"/>
  <c r="S420" i="1"/>
  <c r="N416" i="1"/>
  <c r="F40" i="27" s="1"/>
  <c r="N413" i="1"/>
  <c r="F37" i="27" s="1"/>
  <c r="K71" i="6"/>
  <c r="C11" i="32"/>
  <c r="L96" i="6"/>
  <c r="L81" i="6"/>
  <c r="L104" i="6"/>
  <c r="T1322" i="1"/>
  <c r="T1328" i="1" s="1"/>
  <c r="R30" i="37" s="1"/>
  <c r="W1328" i="1"/>
  <c r="T1315" i="1"/>
  <c r="W1321" i="1"/>
  <c r="T1343" i="1"/>
  <c r="W1385" i="1"/>
  <c r="T1382" i="1"/>
  <c r="K127" i="6"/>
  <c r="T1372" i="1"/>
  <c r="W1375" i="1"/>
  <c r="S23" i="37"/>
  <c r="W23" i="37"/>
  <c r="W1390" i="1"/>
  <c r="T1387" i="1"/>
  <c r="W1380" i="1"/>
  <c r="T1377" i="1"/>
  <c r="W1342" i="1"/>
  <c r="T1336" i="1"/>
  <c r="T1329" i="1"/>
  <c r="N1329" i="1" s="1"/>
  <c r="W1335" i="1"/>
  <c r="T1335" i="1" s="1"/>
  <c r="I1005" i="1"/>
  <c r="BK995" i="1"/>
  <c r="BD995" i="1" s="1"/>
  <c r="S995" i="1" s="1"/>
  <c r="K93" i="6"/>
  <c r="K95" i="6" s="1"/>
  <c r="L11" i="59"/>
  <c r="I897" i="1"/>
  <c r="BK887" i="1"/>
  <c r="BD887" i="1" s="1"/>
  <c r="S887" i="1" s="1"/>
  <c r="L113" i="6"/>
  <c r="C32" i="135"/>
  <c r="I861" i="1"/>
  <c r="BK851" i="1"/>
  <c r="BD851" i="1" s="1"/>
  <c r="S851" i="1" s="1"/>
  <c r="C20" i="31"/>
  <c r="BK901" i="1"/>
  <c r="BD901" i="1" s="1"/>
  <c r="S901" i="1" s="1"/>
  <c r="F90" i="6"/>
  <c r="C33" i="29"/>
  <c r="F102" i="6"/>
  <c r="F103" i="6" s="1"/>
  <c r="BK1031" i="1"/>
  <c r="BD1031" i="1" s="1"/>
  <c r="S1031" i="1" s="1"/>
  <c r="I1041" i="1"/>
  <c r="F68" i="6"/>
  <c r="C27" i="135"/>
  <c r="K27" i="135" s="1"/>
  <c r="T1029" i="1"/>
  <c r="W1031" i="1"/>
  <c r="W1041" i="1" s="1"/>
  <c r="I522" i="1"/>
  <c r="BK512" i="1"/>
  <c r="BD512" i="1" s="1"/>
  <c r="S512" i="1" s="1"/>
  <c r="BK549" i="1"/>
  <c r="BD549" i="1" s="1"/>
  <c r="S549" i="1" s="1"/>
  <c r="I559" i="1"/>
  <c r="C32" i="29"/>
  <c r="F113" i="6"/>
  <c r="I969" i="1"/>
  <c r="BK959" i="1"/>
  <c r="BD959" i="1" s="1"/>
  <c r="S959" i="1" s="1"/>
  <c r="T994" i="1"/>
  <c r="BK1009" i="1"/>
  <c r="BD1009" i="1" s="1"/>
  <c r="S1009" i="1" s="1"/>
  <c r="BK739" i="1"/>
  <c r="BD739" i="1" s="1"/>
  <c r="S739" i="1" s="1"/>
  <c r="I749" i="1"/>
  <c r="W851" i="1"/>
  <c r="W861" i="1" s="1"/>
  <c r="T849" i="1"/>
  <c r="I1113" i="1"/>
  <c r="BK1103" i="1"/>
  <c r="BD1103" i="1" s="1"/>
  <c r="S1103" i="1" s="1"/>
  <c r="BK587" i="1"/>
  <c r="BD587" i="1" s="1"/>
  <c r="S587" i="1" s="1"/>
  <c r="I597" i="1"/>
  <c r="BK1117" i="1"/>
  <c r="BD1117" i="1" s="1"/>
  <c r="S1117" i="1" s="1"/>
  <c r="I711" i="1"/>
  <c r="BK701" i="1"/>
  <c r="BD701" i="1" s="1"/>
  <c r="S701" i="1" s="1"/>
  <c r="N1065" i="1"/>
  <c r="I12" i="31" s="1"/>
  <c r="I14" i="31" s="1"/>
  <c r="BK937" i="1"/>
  <c r="BD937" i="1" s="1"/>
  <c r="S937" i="1" s="1"/>
  <c r="C20" i="137"/>
  <c r="N775" i="1"/>
  <c r="J26" i="29" s="1"/>
  <c r="J28" i="29" s="1"/>
  <c r="W777" i="1"/>
  <c r="W787" i="1" s="1"/>
  <c r="W788" i="1" s="1"/>
  <c r="T775" i="1"/>
  <c r="W789" i="1"/>
  <c r="T1065" i="1"/>
  <c r="W1067" i="1"/>
  <c r="W1077" i="1" s="1"/>
  <c r="J24" i="31"/>
  <c r="W995" i="1"/>
  <c r="W1005" i="1" s="1"/>
  <c r="T993" i="1"/>
  <c r="W1103" i="1"/>
  <c r="W1113" i="1" s="1"/>
  <c r="T1101" i="1"/>
  <c r="BK1067" i="1"/>
  <c r="BD1067" i="1" s="1"/>
  <c r="S1067" i="1" s="1"/>
  <c r="I1077" i="1"/>
  <c r="BK625" i="1"/>
  <c r="BD625" i="1" s="1"/>
  <c r="S625" i="1" s="1"/>
  <c r="I635" i="1"/>
  <c r="BK923" i="1"/>
  <c r="BD923" i="1" s="1"/>
  <c r="S923" i="1" s="1"/>
  <c r="I933" i="1"/>
  <c r="BK777" i="1"/>
  <c r="BD777" i="1" s="1"/>
  <c r="S777" i="1" s="1"/>
  <c r="I787" i="1"/>
  <c r="L102" i="6"/>
  <c r="L103" i="6" s="1"/>
  <c r="C33" i="135"/>
  <c r="K33" i="135" s="1"/>
  <c r="L90" i="6"/>
  <c r="T921" i="1"/>
  <c r="W923" i="1"/>
  <c r="W933" i="1" s="1"/>
  <c r="K21" i="31"/>
  <c r="BK1081" i="1"/>
  <c r="BD1081" i="1" s="1"/>
  <c r="S1081" i="1" s="1"/>
  <c r="J32" i="135"/>
  <c r="L68" i="6"/>
  <c r="BK1045" i="1"/>
  <c r="BD1045" i="1" s="1"/>
  <c r="S1045" i="1" s="1"/>
  <c r="N849" i="1"/>
  <c r="C12" i="31" s="1"/>
  <c r="BK865" i="1"/>
  <c r="BD865" i="1" s="1"/>
  <c r="S865" i="1" s="1"/>
  <c r="BK973" i="1"/>
  <c r="BD973" i="1" s="1"/>
  <c r="S973" i="1" s="1"/>
  <c r="I673" i="1"/>
  <c r="BK663" i="1"/>
  <c r="BD663" i="1" s="1"/>
  <c r="S663" i="1" s="1"/>
  <c r="E12" i="31" l="1"/>
  <c r="E14" i="31" s="1"/>
  <c r="E24" i="31" s="1"/>
  <c r="O127" i="6"/>
  <c r="F105" i="6"/>
  <c r="L105" i="6"/>
  <c r="N1328" i="1"/>
  <c r="V30" i="37" s="1"/>
  <c r="V32" i="37" s="1"/>
  <c r="F211" i="60" s="1"/>
  <c r="D30" i="27"/>
  <c r="T30" i="27" s="1"/>
  <c r="L43" i="6"/>
  <c r="S478" i="1"/>
  <c r="Q11" i="27"/>
  <c r="S392" i="1"/>
  <c r="BE14" i="1"/>
  <c r="BE20" i="1" s="1"/>
  <c r="BD13" i="1"/>
  <c r="F35" i="27"/>
  <c r="E222" i="60"/>
  <c r="F222" i="60" s="1"/>
  <c r="Q38" i="26"/>
  <c r="I152" i="60" s="1"/>
  <c r="Q33" i="26"/>
  <c r="S462" i="1"/>
  <c r="M12" i="28"/>
  <c r="S372" i="1"/>
  <c r="S388" i="1" s="1"/>
  <c r="K43" i="6"/>
  <c r="K44" i="6" s="1"/>
  <c r="N420" i="1"/>
  <c r="BK425" i="1"/>
  <c r="S408" i="1"/>
  <c r="Q25" i="27"/>
  <c r="S30" i="37"/>
  <c r="S32" i="37" s="1"/>
  <c r="N1335" i="1"/>
  <c r="W30" i="37" s="1"/>
  <c r="W32" i="37" s="1"/>
  <c r="N1372" i="1"/>
  <c r="T1375" i="1"/>
  <c r="N1375" i="1" s="1"/>
  <c r="T1390" i="1"/>
  <c r="N1390" i="1" s="1"/>
  <c r="N1387" i="1"/>
  <c r="N1315" i="1"/>
  <c r="T1321" i="1"/>
  <c r="N1321" i="1" s="1"/>
  <c r="C18" i="37" s="1"/>
  <c r="N1336" i="1"/>
  <c r="T1342" i="1"/>
  <c r="N1342" i="1" s="1"/>
  <c r="F18" i="37" s="1"/>
  <c r="N1382" i="1"/>
  <c r="W24" i="37" s="1"/>
  <c r="W27" i="37" s="1"/>
  <c r="W28" i="37" s="1"/>
  <c r="S24" i="37"/>
  <c r="S27" i="37" s="1"/>
  <c r="S28" i="37" s="1"/>
  <c r="T1385" i="1"/>
  <c r="N1377" i="1"/>
  <c r="V24" i="37" s="1"/>
  <c r="T1380" i="1"/>
  <c r="R24" i="37"/>
  <c r="N1322" i="1"/>
  <c r="R32" i="37"/>
  <c r="D211" i="60" s="1"/>
  <c r="N1343" i="1"/>
  <c r="BK522" i="1"/>
  <c r="BD522" i="1" s="1"/>
  <c r="S522" i="1" s="1"/>
  <c r="I523" i="1"/>
  <c r="BK523" i="1" s="1"/>
  <c r="BD523" i="1" s="1"/>
  <c r="S523" i="1" s="1"/>
  <c r="BK1041" i="1"/>
  <c r="BD1041" i="1" s="1"/>
  <c r="S1041" i="1" s="1"/>
  <c r="I24" i="31"/>
  <c r="BK749" i="1"/>
  <c r="BD749" i="1" s="1"/>
  <c r="S749" i="1" s="1"/>
  <c r="I750" i="1"/>
  <c r="BK750" i="1" s="1"/>
  <c r="BD750" i="1" s="1"/>
  <c r="S750" i="1" s="1"/>
  <c r="BK861" i="1"/>
  <c r="BD861" i="1" s="1"/>
  <c r="S861" i="1" s="1"/>
  <c r="BK1113" i="1"/>
  <c r="BD1113" i="1" s="1"/>
  <c r="S1113" i="1" s="1"/>
  <c r="C12" i="137"/>
  <c r="T851" i="1"/>
  <c r="T861" i="1" s="1"/>
  <c r="K32" i="135"/>
  <c r="BK1077" i="1"/>
  <c r="BD1077" i="1" s="1"/>
  <c r="S1077" i="1" s="1"/>
  <c r="BK559" i="1"/>
  <c r="BD559" i="1" s="1"/>
  <c r="S559" i="1" s="1"/>
  <c r="S560" i="1" s="1"/>
  <c r="I560" i="1"/>
  <c r="BK560" i="1" s="1"/>
  <c r="BD560" i="1" s="1"/>
  <c r="C14" i="31"/>
  <c r="BK673" i="1"/>
  <c r="BD673" i="1" s="1"/>
  <c r="S673" i="1" s="1"/>
  <c r="I674" i="1"/>
  <c r="BK674" i="1" s="1"/>
  <c r="BD674" i="1" s="1"/>
  <c r="S674" i="1" s="1"/>
  <c r="BK787" i="1"/>
  <c r="BD787" i="1" s="1"/>
  <c r="S787" i="1" s="1"/>
  <c r="I788" i="1"/>
  <c r="BK788" i="1" s="1"/>
  <c r="BD788" i="1" s="1"/>
  <c r="S788" i="1" s="1"/>
  <c r="BK933" i="1"/>
  <c r="BD933" i="1" s="1"/>
  <c r="S933" i="1" s="1"/>
  <c r="J12" i="137"/>
  <c r="J14" i="137" s="1"/>
  <c r="T1103" i="1"/>
  <c r="T1113" i="1" s="1"/>
  <c r="T923" i="1"/>
  <c r="T933" i="1" s="1"/>
  <c r="E12" i="137"/>
  <c r="E14" i="137" s="1"/>
  <c r="T789" i="1"/>
  <c r="N789" i="1" s="1"/>
  <c r="T777" i="1"/>
  <c r="T787" i="1" s="1"/>
  <c r="T788" i="1" s="1"/>
  <c r="J26" i="135"/>
  <c r="BK711" i="1"/>
  <c r="BD711" i="1" s="1"/>
  <c r="S711" i="1" s="1"/>
  <c r="I712" i="1"/>
  <c r="BK712" i="1" s="1"/>
  <c r="BD712" i="1" s="1"/>
  <c r="S712" i="1" s="1"/>
  <c r="K33" i="29"/>
  <c r="D12" i="59"/>
  <c r="G12" i="137"/>
  <c r="G14" i="137" s="1"/>
  <c r="T995" i="1"/>
  <c r="T1005" i="1" s="1"/>
  <c r="BK635" i="1"/>
  <c r="BD635" i="1" s="1"/>
  <c r="S635" i="1" s="1"/>
  <c r="I636" i="1"/>
  <c r="BK636" i="1" s="1"/>
  <c r="BD636" i="1" s="1"/>
  <c r="S636" i="1" s="1"/>
  <c r="H24" i="31"/>
  <c r="BK969" i="1"/>
  <c r="BD969" i="1" s="1"/>
  <c r="S969" i="1" s="1"/>
  <c r="H12" i="137"/>
  <c r="H14" i="137" s="1"/>
  <c r="T1031" i="1"/>
  <c r="T1041" i="1" s="1"/>
  <c r="BK897" i="1"/>
  <c r="BD897" i="1" s="1"/>
  <c r="S897" i="1" s="1"/>
  <c r="J38" i="29"/>
  <c r="J41" i="29" s="1"/>
  <c r="J53" i="29" s="1"/>
  <c r="K176" i="60" s="1"/>
  <c r="J44" i="29"/>
  <c r="J45" i="29" s="1"/>
  <c r="K175" i="60" s="1"/>
  <c r="I12" i="137"/>
  <c r="I14" i="137" s="1"/>
  <c r="T1067" i="1"/>
  <c r="T1077" i="1" s="1"/>
  <c r="BK597" i="1"/>
  <c r="BD597" i="1" s="1"/>
  <c r="S597" i="1" s="1"/>
  <c r="I598" i="1"/>
  <c r="BK598" i="1" s="1"/>
  <c r="BD598" i="1" s="1"/>
  <c r="S598" i="1" s="1"/>
  <c r="D27" i="59"/>
  <c r="L27" i="59" s="1"/>
  <c r="K32" i="29"/>
  <c r="BK1005" i="1"/>
  <c r="BD1005" i="1" s="1"/>
  <c r="S1005" i="1" s="1"/>
  <c r="N777" i="1" l="1"/>
  <c r="N923" i="1"/>
  <c r="N933" i="1"/>
  <c r="E25" i="31" s="1"/>
  <c r="F171" i="60" s="1"/>
  <c r="N788" i="1"/>
  <c r="H29" i="20"/>
  <c r="F12" i="60" s="1"/>
  <c r="H233" i="60"/>
  <c r="F233" i="60" s="1"/>
  <c r="E233" i="60" s="1"/>
  <c r="BK426" i="1"/>
  <c r="BE24" i="1"/>
  <c r="Q21" i="20"/>
  <c r="S13" i="1"/>
  <c r="F30" i="27"/>
  <c r="F43" i="6"/>
  <c r="BE407" i="1"/>
  <c r="BE425" i="1" s="1"/>
  <c r="BE426" i="1" s="1"/>
  <c r="BE431" i="1" s="1"/>
  <c r="R27" i="37"/>
  <c r="N1385" i="1"/>
  <c r="W34" i="37" s="1"/>
  <c r="W36" i="37" s="1"/>
  <c r="S34" i="37"/>
  <c r="S36" i="37" s="1"/>
  <c r="R34" i="37"/>
  <c r="L127" i="6"/>
  <c r="N1380" i="1"/>
  <c r="V27" i="37"/>
  <c r="V28" i="37" s="1"/>
  <c r="N787" i="1"/>
  <c r="J39" i="29" s="1"/>
  <c r="K174" i="60" s="1"/>
  <c r="N1005" i="1"/>
  <c r="G25" i="31" s="1"/>
  <c r="H171" i="60" s="1"/>
  <c r="N995" i="1"/>
  <c r="J24" i="137"/>
  <c r="N1031" i="1"/>
  <c r="I24" i="137"/>
  <c r="N1113" i="1"/>
  <c r="J25" i="31" s="1"/>
  <c r="K181" i="60" s="1"/>
  <c r="G24" i="137"/>
  <c r="H24" i="137"/>
  <c r="E24" i="137"/>
  <c r="C24" i="31"/>
  <c r="N1077" i="1"/>
  <c r="N1103" i="1"/>
  <c r="N1041" i="1"/>
  <c r="H25" i="31" s="1"/>
  <c r="I171" i="60" s="1"/>
  <c r="N861" i="1"/>
  <c r="J28" i="135"/>
  <c r="J38" i="135" s="1"/>
  <c r="J44" i="135"/>
  <c r="J45" i="135" s="1"/>
  <c r="L12" i="59"/>
  <c r="J116" i="135"/>
  <c r="J119" i="135" s="1"/>
  <c r="J117" i="29"/>
  <c r="J120" i="29" s="1"/>
  <c r="J121" i="29" s="1"/>
  <c r="K177" i="60" s="1"/>
  <c r="N1067" i="1"/>
  <c r="I25" i="31" s="1"/>
  <c r="J181" i="60" s="1"/>
  <c r="N851" i="1"/>
  <c r="K263" i="60"/>
  <c r="C14" i="137"/>
  <c r="K7" i="6" l="1"/>
  <c r="K139" i="6"/>
  <c r="R21" i="20"/>
  <c r="H8" i="60" s="1"/>
  <c r="BE29" i="1"/>
  <c r="BE39" i="1" s="1"/>
  <c r="R36" i="37"/>
  <c r="D212" i="60" s="1"/>
  <c r="R28" i="37"/>
  <c r="V34" i="37"/>
  <c r="F127" i="6"/>
  <c r="C25" i="31"/>
  <c r="D171" i="60" s="1"/>
  <c r="H25" i="137"/>
  <c r="J39" i="135"/>
  <c r="J41" i="135"/>
  <c r="J53" i="135" s="1"/>
  <c r="C24" i="137"/>
  <c r="E25" i="137"/>
  <c r="I25" i="137"/>
  <c r="J25" i="137"/>
  <c r="G25" i="137"/>
  <c r="J120" i="135" l="1"/>
  <c r="V36" i="37"/>
  <c r="F212" i="60" s="1"/>
  <c r="C25" i="137"/>
  <c r="W1393" i="1" l="1"/>
  <c r="T1393" i="1" s="1"/>
  <c r="T25" i="37" l="1"/>
  <c r="U25" i="37" s="1"/>
  <c r="N1393" i="1"/>
  <c r="AB25" i="37" s="1"/>
  <c r="AC25" i="37" s="1"/>
  <c r="W571" i="1" l="1"/>
  <c r="W533" i="1"/>
  <c r="W496" i="1"/>
  <c r="W685" i="1"/>
  <c r="W609" i="1"/>
  <c r="W723" i="1"/>
  <c r="T723" i="1" l="1"/>
  <c r="I11" i="135" s="1"/>
  <c r="N723" i="1"/>
  <c r="I11" i="29" s="1"/>
  <c r="T609" i="1"/>
  <c r="F11" i="135" s="1"/>
  <c r="N609" i="1"/>
  <c r="F11" i="29" s="1"/>
  <c r="T533" i="1"/>
  <c r="D11" i="135" s="1"/>
  <c r="N533" i="1"/>
  <c r="D11" i="29" s="1"/>
  <c r="T571" i="1"/>
  <c r="E11" i="135" s="1"/>
  <c r="N571" i="1"/>
  <c r="E11" i="29" s="1"/>
  <c r="T685" i="1"/>
  <c r="H11" i="135" s="1"/>
  <c r="N685" i="1"/>
  <c r="H11" i="29" s="1"/>
  <c r="T496" i="1"/>
  <c r="C11" i="135" s="1"/>
  <c r="N496" i="1"/>
  <c r="C11" i="29" s="1"/>
  <c r="W647" i="1"/>
  <c r="T647" i="1" l="1"/>
  <c r="G11" i="135" s="1"/>
  <c r="K11" i="135" s="1"/>
  <c r="N647" i="1"/>
  <c r="G11" i="29" s="1"/>
  <c r="K11" i="29" s="1"/>
  <c r="W742" i="1" l="1"/>
  <c r="W746" i="1"/>
  <c r="W747" i="1"/>
  <c r="W748" i="1"/>
  <c r="W741" i="1"/>
  <c r="W740" i="1"/>
  <c r="W728" i="1"/>
  <c r="W732" i="1"/>
  <c r="W733" i="1"/>
  <c r="W734" i="1"/>
  <c r="W727" i="1"/>
  <c r="T742" i="1" l="1"/>
  <c r="I31" i="135" s="1"/>
  <c r="N742" i="1"/>
  <c r="I31" i="29" s="1"/>
  <c r="T740" i="1"/>
  <c r="I29" i="135" s="1"/>
  <c r="N740" i="1"/>
  <c r="I29" i="29" s="1"/>
  <c r="T727" i="1"/>
  <c r="I15" i="135" s="1"/>
  <c r="N727" i="1"/>
  <c r="I15" i="29" s="1"/>
  <c r="T734" i="1"/>
  <c r="I22" i="135" s="1"/>
  <c r="N734" i="1"/>
  <c r="I22" i="29" s="1"/>
  <c r="T733" i="1"/>
  <c r="I21" i="135" s="1"/>
  <c r="N733" i="1"/>
  <c r="I21" i="29" s="1"/>
  <c r="T741" i="1"/>
  <c r="I30" i="135" s="1"/>
  <c r="N741" i="1"/>
  <c r="I30" i="29" s="1"/>
  <c r="T732" i="1"/>
  <c r="I20" i="135" s="1"/>
  <c r="N732" i="1"/>
  <c r="I20" i="29" s="1"/>
  <c r="T748" i="1"/>
  <c r="I37" i="135" s="1"/>
  <c r="N748" i="1"/>
  <c r="I37" i="29" s="1"/>
  <c r="T728" i="1"/>
  <c r="I16" i="135" s="1"/>
  <c r="N728" i="1"/>
  <c r="I16" i="29" s="1"/>
  <c r="T747" i="1"/>
  <c r="I36" i="135" s="1"/>
  <c r="N747" i="1"/>
  <c r="I36" i="29" s="1"/>
  <c r="T746" i="1"/>
  <c r="I35" i="135" s="1"/>
  <c r="N746" i="1"/>
  <c r="I35" i="29" s="1"/>
  <c r="W725" i="1"/>
  <c r="W744" i="1"/>
  <c r="W730" i="1"/>
  <c r="T730" i="1" l="1"/>
  <c r="I19" i="135" s="1"/>
  <c r="N730" i="1"/>
  <c r="I19" i="29" s="1"/>
  <c r="J22" i="59" s="1"/>
  <c r="T725" i="1"/>
  <c r="I13" i="135" s="1"/>
  <c r="N725" i="1"/>
  <c r="I13" i="29" s="1"/>
  <c r="T744" i="1"/>
  <c r="I34" i="135" s="1"/>
  <c r="N744" i="1"/>
  <c r="I34" i="29" s="1"/>
  <c r="J26" i="59" s="1"/>
  <c r="W1394" i="1" l="1"/>
  <c r="T1394" i="1" s="1"/>
  <c r="T26" i="37" l="1"/>
  <c r="U26" i="37" s="1"/>
  <c r="N1394" i="1"/>
  <c r="AB26" i="37" s="1"/>
  <c r="AC26" i="37" s="1"/>
  <c r="W1183" i="1" l="1"/>
  <c r="W1180" i="1"/>
  <c r="W1179" i="1"/>
  <c r="W811" i="1"/>
  <c r="W817" i="1"/>
  <c r="W809" i="1"/>
  <c r="W815" i="1"/>
  <c r="W628" i="1"/>
  <c r="W704" i="1"/>
  <c r="W515" i="1"/>
  <c r="W552" i="1"/>
  <c r="W590" i="1"/>
  <c r="W632" i="1"/>
  <c r="W519" i="1"/>
  <c r="W556" i="1"/>
  <c r="W594" i="1"/>
  <c r="W633" i="1"/>
  <c r="W709" i="1"/>
  <c r="W520" i="1"/>
  <c r="W557" i="1"/>
  <c r="W595" i="1"/>
  <c r="W634" i="1"/>
  <c r="W521" i="1"/>
  <c r="W558" i="1"/>
  <c r="W596" i="1"/>
  <c r="W627" i="1"/>
  <c r="W703" i="1"/>
  <c r="W514" i="1"/>
  <c r="W551" i="1"/>
  <c r="W626" i="1"/>
  <c r="W702" i="1"/>
  <c r="W513" i="1"/>
  <c r="W550" i="1"/>
  <c r="W588" i="1"/>
  <c r="W892" i="1"/>
  <c r="W614" i="1"/>
  <c r="W690" i="1"/>
  <c r="W501" i="1"/>
  <c r="W538" i="1"/>
  <c r="W576" i="1"/>
  <c r="W618" i="1"/>
  <c r="W694" i="1"/>
  <c r="W505" i="1"/>
  <c r="W542" i="1"/>
  <c r="W580" i="1"/>
  <c r="W893" i="1"/>
  <c r="W619" i="1"/>
  <c r="W506" i="1"/>
  <c r="W543" i="1"/>
  <c r="W581" i="1"/>
  <c r="W896" i="1"/>
  <c r="W620" i="1"/>
  <c r="W696" i="1"/>
  <c r="W507" i="1"/>
  <c r="W582" i="1"/>
  <c r="W891" i="1"/>
  <c r="W613" i="1"/>
  <c r="W689" i="1"/>
  <c r="W500" i="1"/>
  <c r="W537" i="1"/>
  <c r="W575" i="1"/>
  <c r="W611" i="1"/>
  <c r="W687" i="1"/>
  <c r="W535" i="1"/>
  <c r="W573" i="1"/>
  <c r="W304" i="1"/>
  <c r="W303" i="1"/>
  <c r="W302" i="1"/>
  <c r="W301" i="1"/>
  <c r="W300" i="1"/>
  <c r="W299" i="1"/>
  <c r="W298" i="1"/>
  <c r="W297" i="1" l="1"/>
  <c r="T573" i="1"/>
  <c r="E13" i="135" s="1"/>
  <c r="N573" i="1"/>
  <c r="E13" i="29" s="1"/>
  <c r="T542" i="1"/>
  <c r="D20" i="135" s="1"/>
  <c r="N542" i="1"/>
  <c r="D20" i="29" s="1"/>
  <c r="T558" i="1"/>
  <c r="D37" i="135" s="1"/>
  <c r="N558" i="1"/>
  <c r="D37" i="29" s="1"/>
  <c r="T556" i="1"/>
  <c r="D35" i="135" s="1"/>
  <c r="N556" i="1"/>
  <c r="D35" i="29" s="1"/>
  <c r="T817" i="1"/>
  <c r="F17" i="136" s="1"/>
  <c r="N817" i="1"/>
  <c r="F17" i="30" s="1"/>
  <c r="T298" i="1"/>
  <c r="N298" i="1"/>
  <c r="T535" i="1"/>
  <c r="D13" i="135" s="1"/>
  <c r="N535" i="1"/>
  <c r="D13" i="29" s="1"/>
  <c r="T507" i="1"/>
  <c r="N507" i="1"/>
  <c r="T505" i="1"/>
  <c r="C20" i="135" s="1"/>
  <c r="N505" i="1"/>
  <c r="C20" i="29" s="1"/>
  <c r="T521" i="1"/>
  <c r="N521" i="1"/>
  <c r="T519" i="1"/>
  <c r="C35" i="135" s="1"/>
  <c r="N519" i="1"/>
  <c r="C35" i="29" s="1"/>
  <c r="T811" i="1"/>
  <c r="C17" i="136" s="1"/>
  <c r="L17" i="136" s="1"/>
  <c r="N811" i="1"/>
  <c r="C17" i="30" s="1"/>
  <c r="T1179" i="1"/>
  <c r="E27" i="33" s="1"/>
  <c r="N1179" i="1"/>
  <c r="K27" i="33" s="1"/>
  <c r="L27" i="33" s="1"/>
  <c r="T613" i="1"/>
  <c r="F15" i="135" s="1"/>
  <c r="N613" i="1"/>
  <c r="F15" i="29" s="1"/>
  <c r="T696" i="1"/>
  <c r="H22" i="135" s="1"/>
  <c r="N696" i="1"/>
  <c r="H22" i="29" s="1"/>
  <c r="T619" i="1"/>
  <c r="F21" i="135" s="1"/>
  <c r="N619" i="1"/>
  <c r="F21" i="29" s="1"/>
  <c r="T694" i="1"/>
  <c r="H20" i="135" s="1"/>
  <c r="N694" i="1"/>
  <c r="H20" i="29" s="1"/>
  <c r="T614" i="1"/>
  <c r="F16" i="135" s="1"/>
  <c r="N614" i="1"/>
  <c r="F16" i="29" s="1"/>
  <c r="T626" i="1"/>
  <c r="F29" i="135" s="1"/>
  <c r="N626" i="1"/>
  <c r="F29" i="29" s="1"/>
  <c r="T627" i="1"/>
  <c r="F30" i="135" s="1"/>
  <c r="N627" i="1"/>
  <c r="F30" i="29" s="1"/>
  <c r="T633" i="1"/>
  <c r="F36" i="135" s="1"/>
  <c r="N633" i="1"/>
  <c r="F36" i="29" s="1"/>
  <c r="T628" i="1"/>
  <c r="F31" i="135" s="1"/>
  <c r="N628" i="1"/>
  <c r="F31" i="29" s="1"/>
  <c r="N300" i="1"/>
  <c r="T300" i="1"/>
  <c r="T687" i="1"/>
  <c r="H13" i="135" s="1"/>
  <c r="N687" i="1"/>
  <c r="H13" i="29" s="1"/>
  <c r="T575" i="1"/>
  <c r="E15" i="135" s="1"/>
  <c r="N575" i="1"/>
  <c r="E15" i="29" s="1"/>
  <c r="T891" i="1"/>
  <c r="D17" i="137" s="1"/>
  <c r="N891" i="1"/>
  <c r="D17" i="31" s="1"/>
  <c r="T581" i="1"/>
  <c r="E21" i="135" s="1"/>
  <c r="N581" i="1"/>
  <c r="E21" i="29" s="1"/>
  <c r="T893" i="1"/>
  <c r="N893" i="1"/>
  <c r="T576" i="1"/>
  <c r="E16" i="135" s="1"/>
  <c r="N576" i="1"/>
  <c r="E16" i="29" s="1"/>
  <c r="T892" i="1"/>
  <c r="D19" i="137" s="1"/>
  <c r="N892" i="1"/>
  <c r="D19" i="31" s="1"/>
  <c r="K19" i="31" s="1"/>
  <c r="T588" i="1"/>
  <c r="E29" i="135" s="1"/>
  <c r="N588" i="1"/>
  <c r="E29" i="29" s="1"/>
  <c r="W589" i="1"/>
  <c r="T595" i="1"/>
  <c r="E36" i="135" s="1"/>
  <c r="N595" i="1"/>
  <c r="E36" i="29" s="1"/>
  <c r="T590" i="1"/>
  <c r="E31" i="135" s="1"/>
  <c r="N590" i="1"/>
  <c r="E31" i="29" s="1"/>
  <c r="N1180" i="1"/>
  <c r="K28" i="33" s="1"/>
  <c r="L28" i="33" s="1"/>
  <c r="T1180" i="1"/>
  <c r="E28" i="33" s="1"/>
  <c r="F28" i="33" s="1"/>
  <c r="N301" i="1"/>
  <c r="T301" i="1"/>
  <c r="T537" i="1"/>
  <c r="D15" i="135" s="1"/>
  <c r="N537" i="1"/>
  <c r="D15" i="29" s="1"/>
  <c r="T543" i="1"/>
  <c r="D21" i="135" s="1"/>
  <c r="N543" i="1"/>
  <c r="D21" i="29" s="1"/>
  <c r="T538" i="1"/>
  <c r="D16" i="135" s="1"/>
  <c r="N538" i="1"/>
  <c r="D16" i="29" s="1"/>
  <c r="T550" i="1"/>
  <c r="D29" i="135" s="1"/>
  <c r="N550" i="1"/>
  <c r="D29" i="29" s="1"/>
  <c r="T551" i="1"/>
  <c r="D30" i="135" s="1"/>
  <c r="N551" i="1"/>
  <c r="D30" i="29" s="1"/>
  <c r="T557" i="1"/>
  <c r="D36" i="135" s="1"/>
  <c r="N557" i="1"/>
  <c r="D36" i="29" s="1"/>
  <c r="T552" i="1"/>
  <c r="D31" i="135" s="1"/>
  <c r="N552" i="1"/>
  <c r="D31" i="29" s="1"/>
  <c r="T815" i="1"/>
  <c r="N815" i="1"/>
  <c r="T299" i="1"/>
  <c r="N299" i="1"/>
  <c r="T500" i="1"/>
  <c r="C15" i="135" s="1"/>
  <c r="N500" i="1"/>
  <c r="C15" i="29" s="1"/>
  <c r="N506" i="1"/>
  <c r="T506" i="1"/>
  <c r="T501" i="1"/>
  <c r="C16" i="135" s="1"/>
  <c r="N501" i="1"/>
  <c r="C16" i="29" s="1"/>
  <c r="T513" i="1"/>
  <c r="N513" i="1"/>
  <c r="T514" i="1"/>
  <c r="C30" i="135" s="1"/>
  <c r="N514" i="1"/>
  <c r="C30" i="29" s="1"/>
  <c r="T520" i="1"/>
  <c r="N520" i="1"/>
  <c r="T515" i="1"/>
  <c r="C31" i="135" s="1"/>
  <c r="N515" i="1"/>
  <c r="C31" i="29" s="1"/>
  <c r="N809" i="1"/>
  <c r="T809" i="1"/>
  <c r="N1183" i="1"/>
  <c r="K31" i="33" s="1"/>
  <c r="T1183" i="1"/>
  <c r="E31" i="33" s="1"/>
  <c r="F31" i="33" s="1"/>
  <c r="T302" i="1"/>
  <c r="N302" i="1"/>
  <c r="T303" i="1"/>
  <c r="N303" i="1"/>
  <c r="T689" i="1"/>
  <c r="H15" i="135" s="1"/>
  <c r="N689" i="1"/>
  <c r="H15" i="29" s="1"/>
  <c r="T620" i="1"/>
  <c r="F22" i="135" s="1"/>
  <c r="N620" i="1"/>
  <c r="F22" i="29" s="1"/>
  <c r="T618" i="1"/>
  <c r="F20" i="135" s="1"/>
  <c r="N618" i="1"/>
  <c r="F20" i="29" s="1"/>
  <c r="T690" i="1"/>
  <c r="H16" i="135" s="1"/>
  <c r="N690" i="1"/>
  <c r="H16" i="29" s="1"/>
  <c r="T702" i="1"/>
  <c r="H29" i="135" s="1"/>
  <c r="N702" i="1"/>
  <c r="H29" i="29" s="1"/>
  <c r="T703" i="1"/>
  <c r="H30" i="135" s="1"/>
  <c r="N703" i="1"/>
  <c r="H30" i="29" s="1"/>
  <c r="T634" i="1"/>
  <c r="F37" i="135" s="1"/>
  <c r="N634" i="1"/>
  <c r="F37" i="29" s="1"/>
  <c r="T709" i="1"/>
  <c r="H36" i="135" s="1"/>
  <c r="N709" i="1"/>
  <c r="H36" i="29" s="1"/>
  <c r="T632" i="1"/>
  <c r="F35" i="135" s="1"/>
  <c r="N632" i="1"/>
  <c r="F35" i="29" s="1"/>
  <c r="T704" i="1"/>
  <c r="H31" i="135" s="1"/>
  <c r="N704" i="1"/>
  <c r="H31" i="29" s="1"/>
  <c r="T304" i="1"/>
  <c r="N304" i="1"/>
  <c r="N611" i="1"/>
  <c r="F13" i="29" s="1"/>
  <c r="T611" i="1"/>
  <c r="F13" i="135" s="1"/>
  <c r="T582" i="1"/>
  <c r="E22" i="135" s="1"/>
  <c r="N582" i="1"/>
  <c r="E22" i="29" s="1"/>
  <c r="T896" i="1"/>
  <c r="D23" i="137" s="1"/>
  <c r="N896" i="1"/>
  <c r="D23" i="31" s="1"/>
  <c r="T580" i="1"/>
  <c r="E20" i="135" s="1"/>
  <c r="N580" i="1"/>
  <c r="E20" i="29" s="1"/>
  <c r="T596" i="1"/>
  <c r="E37" i="135" s="1"/>
  <c r="N596" i="1"/>
  <c r="E37" i="29" s="1"/>
  <c r="T594" i="1"/>
  <c r="E35" i="135" s="1"/>
  <c r="N594" i="1"/>
  <c r="E35" i="29" s="1"/>
  <c r="W540" i="1"/>
  <c r="W1347" i="1"/>
  <c r="T1347" i="1" s="1"/>
  <c r="W1346" i="1"/>
  <c r="T1346" i="1" s="1"/>
  <c r="W1348" i="1"/>
  <c r="T1348" i="1" s="1"/>
  <c r="W810" i="1"/>
  <c r="W818" i="1"/>
  <c r="W816" i="1"/>
  <c r="W964" i="1"/>
  <c r="W967" i="1"/>
  <c r="W963" i="1"/>
  <c r="W968" i="1"/>
  <c r="W960" i="1"/>
  <c r="W965" i="1"/>
  <c r="W651" i="1"/>
  <c r="W657" i="1"/>
  <c r="W498" i="1"/>
  <c r="W652" i="1"/>
  <c r="W888" i="1"/>
  <c r="W503" i="1"/>
  <c r="W517" i="1"/>
  <c r="W554" i="1"/>
  <c r="W578" i="1"/>
  <c r="W592" i="1"/>
  <c r="W812" i="1"/>
  <c r="W1181" i="1"/>
  <c r="W1182" i="1"/>
  <c r="W692" i="1"/>
  <c r="W630" i="1"/>
  <c r="W695" i="1"/>
  <c r="W616" i="1"/>
  <c r="W706" i="1"/>
  <c r="W710" i="1"/>
  <c r="W708" i="1"/>
  <c r="W895" i="1"/>
  <c r="W305" i="1"/>
  <c r="W658" i="1"/>
  <c r="W656" i="1"/>
  <c r="W672" i="1"/>
  <c r="O92" i="6" s="1"/>
  <c r="W670" i="1"/>
  <c r="W1184" i="1"/>
  <c r="W664" i="1"/>
  <c r="W665" i="1"/>
  <c r="W671" i="1"/>
  <c r="O91" i="6" s="1"/>
  <c r="W666" i="1"/>
  <c r="L17" i="30" l="1"/>
  <c r="E30" i="42" s="1"/>
  <c r="W1193" i="1"/>
  <c r="H1199" i="1"/>
  <c r="T692" i="1"/>
  <c r="H19" i="135" s="1"/>
  <c r="N692" i="1"/>
  <c r="H19" i="29" s="1"/>
  <c r="I22" i="59" s="1"/>
  <c r="T554" i="1"/>
  <c r="D34" i="135" s="1"/>
  <c r="N554" i="1"/>
  <c r="D34" i="29" s="1"/>
  <c r="E26" i="59" s="1"/>
  <c r="T888" i="1"/>
  <c r="D15" i="137" s="1"/>
  <c r="N888" i="1"/>
  <c r="D15" i="31" s="1"/>
  <c r="T657" i="1"/>
  <c r="G21" i="135" s="1"/>
  <c r="N657" i="1"/>
  <c r="G21" i="29" s="1"/>
  <c r="T818" i="1"/>
  <c r="F18" i="136" s="1"/>
  <c r="N818" i="1"/>
  <c r="F18" i="30" s="1"/>
  <c r="C36" i="29"/>
  <c r="C37" i="135"/>
  <c r="N1184" i="1"/>
  <c r="K32" i="33" s="1"/>
  <c r="L32" i="33" s="1"/>
  <c r="T1184" i="1"/>
  <c r="E32" i="33" s="1"/>
  <c r="F32" i="33" s="1"/>
  <c r="G65" i="20" s="1"/>
  <c r="T658" i="1"/>
  <c r="G22" i="135" s="1"/>
  <c r="N658" i="1"/>
  <c r="G22" i="29" s="1"/>
  <c r="T651" i="1"/>
  <c r="G15" i="135" s="1"/>
  <c r="N651" i="1"/>
  <c r="G15" i="29" s="1"/>
  <c r="K15" i="29" s="1"/>
  <c r="D17" i="17"/>
  <c r="F17" i="17" s="1"/>
  <c r="F27" i="33"/>
  <c r="T710" i="1"/>
  <c r="H37" i="135" s="1"/>
  <c r="N710" i="1"/>
  <c r="H37" i="29" s="1"/>
  <c r="T671" i="1"/>
  <c r="G36" i="135" s="1"/>
  <c r="N671" i="1"/>
  <c r="G36" i="29" s="1"/>
  <c r="T895" i="1"/>
  <c r="D22" i="137" s="1"/>
  <c r="N895" i="1"/>
  <c r="D22" i="31" s="1"/>
  <c r="T695" i="1"/>
  <c r="H21" i="135" s="1"/>
  <c r="N695" i="1"/>
  <c r="H21" i="29" s="1"/>
  <c r="T965" i="1"/>
  <c r="F20" i="137" s="1"/>
  <c r="N965" i="1"/>
  <c r="F20" i="31" s="1"/>
  <c r="T968" i="1"/>
  <c r="F23" i="137" s="1"/>
  <c r="K23" i="137" s="1"/>
  <c r="N968" i="1"/>
  <c r="F23" i="31" s="1"/>
  <c r="K23" i="31" s="1"/>
  <c r="H139" i="138" s="1"/>
  <c r="N1348" i="1"/>
  <c r="AB22" i="37" s="1"/>
  <c r="AC22" i="37" s="1"/>
  <c r="T22" i="37"/>
  <c r="U22" i="37" s="1"/>
  <c r="L91" i="6"/>
  <c r="C36" i="135"/>
  <c r="K36" i="135" s="1"/>
  <c r="O87" i="6"/>
  <c r="N1182" i="1"/>
  <c r="K30" i="33" s="1"/>
  <c r="L30" i="33" s="1"/>
  <c r="T1182" i="1"/>
  <c r="E30" i="33" s="1"/>
  <c r="F30" i="33" s="1"/>
  <c r="N517" i="1"/>
  <c r="T517" i="1"/>
  <c r="T960" i="1"/>
  <c r="F15" i="137" s="1"/>
  <c r="N960" i="1"/>
  <c r="F15" i="31" s="1"/>
  <c r="T963" i="1"/>
  <c r="F17" i="137" s="1"/>
  <c r="K17" i="137" s="1"/>
  <c r="N963" i="1"/>
  <c r="F17" i="31" s="1"/>
  <c r="K17" i="31" s="1"/>
  <c r="E26" i="42" s="1"/>
  <c r="N1346" i="1"/>
  <c r="AB20" i="37" s="1"/>
  <c r="AC20" i="37" s="1"/>
  <c r="T20" i="37"/>
  <c r="U20" i="37" s="1"/>
  <c r="W1345" i="1"/>
  <c r="H1349" i="1"/>
  <c r="L31" i="33"/>
  <c r="C21" i="135"/>
  <c r="K21" i="135" s="1"/>
  <c r="O88" i="6"/>
  <c r="T706" i="1"/>
  <c r="H34" i="135" s="1"/>
  <c r="N706" i="1"/>
  <c r="H34" i="29" s="1"/>
  <c r="I26" i="59" s="1"/>
  <c r="N1181" i="1"/>
  <c r="K29" i="33" s="1"/>
  <c r="L29" i="33" s="1"/>
  <c r="T1181" i="1"/>
  <c r="E29" i="33" s="1"/>
  <c r="F29" i="33" s="1"/>
  <c r="T652" i="1"/>
  <c r="G16" i="135" s="1"/>
  <c r="K16" i="135" s="1"/>
  <c r="N652" i="1"/>
  <c r="G16" i="29" s="1"/>
  <c r="K16" i="29" s="1"/>
  <c r="T967" i="1"/>
  <c r="F22" i="137" s="1"/>
  <c r="N967" i="1"/>
  <c r="F22" i="31" s="1"/>
  <c r="G24" i="59" s="1"/>
  <c r="N816" i="1"/>
  <c r="F15" i="30" s="1"/>
  <c r="T816" i="1"/>
  <c r="N1347" i="1"/>
  <c r="AB21" i="37" s="1"/>
  <c r="AC21" i="37" s="1"/>
  <c r="T21" i="37"/>
  <c r="U21" i="37" s="1"/>
  <c r="D41" i="17" s="1"/>
  <c r="C21" i="29"/>
  <c r="F87" i="6"/>
  <c r="T589" i="1"/>
  <c r="E30" i="135" s="1"/>
  <c r="N589" i="1"/>
  <c r="E30" i="29" s="1"/>
  <c r="C22" i="29"/>
  <c r="K22" i="29" s="1"/>
  <c r="G139" i="138" s="1"/>
  <c r="N812" i="1"/>
  <c r="T812" i="1"/>
  <c r="O70" i="6"/>
  <c r="T498" i="1"/>
  <c r="C13" i="135" s="1"/>
  <c r="N498" i="1"/>
  <c r="C13" i="29" s="1"/>
  <c r="C29" i="29"/>
  <c r="L88" i="6"/>
  <c r="C22" i="135"/>
  <c r="K22" i="135" s="1"/>
  <c r="T664" i="1"/>
  <c r="G29" i="135" s="1"/>
  <c r="N664" i="1"/>
  <c r="G29" i="29" s="1"/>
  <c r="T656" i="1"/>
  <c r="G20" i="135" s="1"/>
  <c r="K20" i="135" s="1"/>
  <c r="N656" i="1"/>
  <c r="G20" i="29" s="1"/>
  <c r="K20" i="29" s="1"/>
  <c r="T666" i="1"/>
  <c r="G31" i="135" s="1"/>
  <c r="K31" i="135" s="1"/>
  <c r="N666" i="1"/>
  <c r="G31" i="29" s="1"/>
  <c r="K31" i="29" s="1"/>
  <c r="K260" i="60" s="1"/>
  <c r="T665" i="1"/>
  <c r="G30" i="135" s="1"/>
  <c r="N665" i="1"/>
  <c r="G30" i="29" s="1"/>
  <c r="T670" i="1"/>
  <c r="G35" i="135" s="1"/>
  <c r="N670" i="1"/>
  <c r="G35" i="29" s="1"/>
  <c r="T592" i="1"/>
  <c r="E34" i="135" s="1"/>
  <c r="N592" i="1"/>
  <c r="E34" i="29" s="1"/>
  <c r="F26" i="59" s="1"/>
  <c r="T964" i="1"/>
  <c r="F19" i="137" s="1"/>
  <c r="K19" i="137" s="1"/>
  <c r="N964" i="1"/>
  <c r="T810" i="1"/>
  <c r="C15" i="136" s="1"/>
  <c r="N810" i="1"/>
  <c r="C15" i="30" s="1"/>
  <c r="T540" i="1"/>
  <c r="D19" i="135" s="1"/>
  <c r="N540" i="1"/>
  <c r="D19" i="29" s="1"/>
  <c r="E22" i="59" s="1"/>
  <c r="K15" i="135"/>
  <c r="F15" i="136"/>
  <c r="D20" i="31"/>
  <c r="K20" i="31" s="1"/>
  <c r="H140" i="138" s="1"/>
  <c r="T672" i="1"/>
  <c r="G37" i="135" s="1"/>
  <c r="N672" i="1"/>
  <c r="G37" i="29" s="1"/>
  <c r="N305" i="1"/>
  <c r="T305" i="1"/>
  <c r="T708" i="1"/>
  <c r="H35" i="135" s="1"/>
  <c r="N708" i="1"/>
  <c r="H35" i="29" s="1"/>
  <c r="T616" i="1"/>
  <c r="F19" i="135" s="1"/>
  <c r="N616" i="1"/>
  <c r="F19" i="29" s="1"/>
  <c r="G22" i="59" s="1"/>
  <c r="T630" i="1"/>
  <c r="F34" i="135" s="1"/>
  <c r="N630" i="1"/>
  <c r="F34" i="29" s="1"/>
  <c r="G26" i="59" s="1"/>
  <c r="T578" i="1"/>
  <c r="E19" i="135" s="1"/>
  <c r="N578" i="1"/>
  <c r="E19" i="29" s="1"/>
  <c r="F22" i="59" s="1"/>
  <c r="T503" i="1"/>
  <c r="C19" i="135" s="1"/>
  <c r="N503" i="1"/>
  <c r="C19" i="29" s="1"/>
  <c r="C29" i="135"/>
  <c r="D20" i="137"/>
  <c r="C37" i="29"/>
  <c r="T297" i="1"/>
  <c r="N297" i="1"/>
  <c r="W195" i="1"/>
  <c r="W222" i="1"/>
  <c r="W649" i="1"/>
  <c r="W654" i="1"/>
  <c r="W668" i="1"/>
  <c r="W166" i="1"/>
  <c r="W159" i="1"/>
  <c r="L87" i="6" l="1"/>
  <c r="K21" i="29"/>
  <c r="G140" i="138" s="1"/>
  <c r="H65" i="20"/>
  <c r="F92" i="6"/>
  <c r="K30" i="135"/>
  <c r="K20" i="137"/>
  <c r="K29" i="135"/>
  <c r="K35" i="29"/>
  <c r="K259" i="60" s="1"/>
  <c r="K29" i="29"/>
  <c r="K257" i="60" s="1"/>
  <c r="K35" i="135"/>
  <c r="K36" i="29"/>
  <c r="K261" i="60" s="1"/>
  <c r="K30" i="29"/>
  <c r="E23" i="42" s="1"/>
  <c r="I23" i="42" s="1"/>
  <c r="L15" i="30"/>
  <c r="I26" i="42"/>
  <c r="O47" i="6"/>
  <c r="T195" i="1"/>
  <c r="N195" i="1"/>
  <c r="T649" i="1"/>
  <c r="G13" i="135" s="1"/>
  <c r="K13" i="135" s="1"/>
  <c r="N649" i="1"/>
  <c r="G13" i="29" s="1"/>
  <c r="K13" i="29" s="1"/>
  <c r="D22" i="59"/>
  <c r="F88" i="6"/>
  <c r="D63" i="17"/>
  <c r="D26" i="133"/>
  <c r="F41" i="17"/>
  <c r="F63" i="17" s="1"/>
  <c r="T654" i="1"/>
  <c r="G19" i="135" s="1"/>
  <c r="K19" i="135" s="1"/>
  <c r="N654" i="1"/>
  <c r="G19" i="29" s="1"/>
  <c r="H22" i="59" s="1"/>
  <c r="L15" i="136"/>
  <c r="T1345" i="1"/>
  <c r="W1349" i="1"/>
  <c r="O93" i="6"/>
  <c r="T668" i="1"/>
  <c r="G34" i="135" s="1"/>
  <c r="N668" i="1"/>
  <c r="G34" i="29" s="1"/>
  <c r="H26" i="59" s="1"/>
  <c r="K37" i="29"/>
  <c r="E22" i="42"/>
  <c r="H166" i="138"/>
  <c r="C34" i="135"/>
  <c r="K37" i="135"/>
  <c r="E24" i="59"/>
  <c r="L24" i="59" s="1"/>
  <c r="K22" i="31"/>
  <c r="L92" i="6"/>
  <c r="L93" i="6" s="1"/>
  <c r="C18" i="136"/>
  <c r="L18" i="136" s="1"/>
  <c r="L70" i="6"/>
  <c r="C34" i="29"/>
  <c r="K22" i="137"/>
  <c r="K15" i="31"/>
  <c r="C18" i="30"/>
  <c r="L18" i="30" s="1"/>
  <c r="F70" i="6"/>
  <c r="F91" i="6"/>
  <c r="K15" i="137"/>
  <c r="D15" i="17" s="1"/>
  <c r="T1193" i="1"/>
  <c r="W1199" i="1"/>
  <c r="W154" i="1"/>
  <c r="N166" i="1"/>
  <c r="T166" i="1"/>
  <c r="T222" i="1"/>
  <c r="N222" i="1"/>
  <c r="T159" i="1"/>
  <c r="N159" i="1"/>
  <c r="W191" i="1"/>
  <c r="W156" i="1"/>
  <c r="W170" i="1"/>
  <c r="W186" i="1"/>
  <c r="W160" i="1"/>
  <c r="W155" i="1"/>
  <c r="W183" i="1"/>
  <c r="W244" i="1"/>
  <c r="W184" i="1"/>
  <c r="W185" i="1"/>
  <c r="W194" i="1"/>
  <c r="W182" i="1"/>
  <c r="W169" i="1"/>
  <c r="W1202" i="1"/>
  <c r="T1202" i="1" s="1"/>
  <c r="W167" i="1"/>
  <c r="W192" i="1"/>
  <c r="K249" i="60" l="1"/>
  <c r="J249" i="60" s="1"/>
  <c r="F93" i="6"/>
  <c r="K258" i="60"/>
  <c r="G142" i="138"/>
  <c r="K34" i="135"/>
  <c r="L22" i="59"/>
  <c r="T244" i="1"/>
  <c r="N244" i="1"/>
  <c r="O48" i="6"/>
  <c r="W180" i="1"/>
  <c r="H187" i="1"/>
  <c r="O41" i="6"/>
  <c r="N191" i="1"/>
  <c r="T191" i="1"/>
  <c r="D26" i="59"/>
  <c r="L26" i="59" s="1"/>
  <c r="K34" i="29"/>
  <c r="G141" i="138"/>
  <c r="K265" i="60"/>
  <c r="I71" i="23"/>
  <c r="F47" i="6"/>
  <c r="T185" i="1"/>
  <c r="D53" i="23" s="1"/>
  <c r="G53" i="23" s="1"/>
  <c r="N185" i="1"/>
  <c r="I53" i="23" s="1"/>
  <c r="L53" i="23" s="1"/>
  <c r="T19" i="37"/>
  <c r="N1345" i="1"/>
  <c r="AB19" i="37" s="1"/>
  <c r="T1349" i="1"/>
  <c r="D71" i="23"/>
  <c r="L47" i="6"/>
  <c r="N186" i="1"/>
  <c r="T186" i="1"/>
  <c r="D55" i="23" s="1"/>
  <c r="T1199" i="1"/>
  <c r="N1199" i="1" s="1"/>
  <c r="N1193" i="1"/>
  <c r="E9" i="34" s="1"/>
  <c r="E14" i="34" s="1"/>
  <c r="C9" i="34"/>
  <c r="C14" i="34" s="1"/>
  <c r="I22" i="42"/>
  <c r="E24" i="42"/>
  <c r="T192" i="1"/>
  <c r="D63" i="23" s="1"/>
  <c r="G63" i="23" s="1"/>
  <c r="N192" i="1"/>
  <c r="I63" i="23" s="1"/>
  <c r="L63" i="23" s="1"/>
  <c r="T183" i="1"/>
  <c r="D54" i="23" s="1"/>
  <c r="G54" i="23" s="1"/>
  <c r="M54" i="23" s="1"/>
  <c r="D121" i="60" s="1"/>
  <c r="N183" i="1"/>
  <c r="I54" i="23" s="1"/>
  <c r="F15" i="17"/>
  <c r="H148" i="138"/>
  <c r="N241" i="60"/>
  <c r="N242" i="60" s="1"/>
  <c r="T194" i="1"/>
  <c r="O49" i="6"/>
  <c r="N194" i="1"/>
  <c r="O241" i="60"/>
  <c r="O242" i="60" s="1"/>
  <c r="L30" i="59"/>
  <c r="N184" i="1"/>
  <c r="I50" i="23" s="1"/>
  <c r="L50" i="23" s="1"/>
  <c r="J53" i="22" s="1"/>
  <c r="F95" i="60" s="1"/>
  <c r="T184" i="1"/>
  <c r="D50" i="23" s="1"/>
  <c r="T182" i="1"/>
  <c r="D52" i="23" s="1"/>
  <c r="G52" i="23" s="1"/>
  <c r="N182" i="1"/>
  <c r="I52" i="23" s="1"/>
  <c r="H104" i="138"/>
  <c r="F26" i="133"/>
  <c r="K19" i="29"/>
  <c r="T156" i="1"/>
  <c r="N156" i="1"/>
  <c r="N155" i="1"/>
  <c r="T155" i="1"/>
  <c r="N167" i="1"/>
  <c r="T167" i="1"/>
  <c r="C21" i="34"/>
  <c r="N1202" i="1"/>
  <c r="E21" i="34" s="1"/>
  <c r="N169" i="1"/>
  <c r="T169" i="1"/>
  <c r="N170" i="1"/>
  <c r="T170" i="1"/>
  <c r="T160" i="1"/>
  <c r="N160" i="1"/>
  <c r="H162" i="1"/>
  <c r="T154" i="1"/>
  <c r="N154" i="1"/>
  <c r="W162" i="1"/>
  <c r="W137" i="1"/>
  <c r="I55" i="23" l="1"/>
  <c r="L55" i="23" s="1"/>
  <c r="F30" i="130"/>
  <c r="D32" i="133"/>
  <c r="G143" i="138"/>
  <c r="O52" i="6"/>
  <c r="W134" i="1"/>
  <c r="H139" i="1"/>
  <c r="W1148" i="1"/>
  <c r="H1150" i="1"/>
  <c r="H1157" i="1" s="1"/>
  <c r="L251" i="60"/>
  <c r="L252" i="60" s="1"/>
  <c r="G148" i="138"/>
  <c r="L49" i="6"/>
  <c r="D69" i="23"/>
  <c r="G69" i="23" s="1"/>
  <c r="U19" i="37"/>
  <c r="T23" i="37"/>
  <c r="L54" i="23"/>
  <c r="E35" i="43"/>
  <c r="G55" i="23"/>
  <c r="D12" i="17" s="1"/>
  <c r="I99" i="138"/>
  <c r="C7" i="61"/>
  <c r="W187" i="1"/>
  <c r="N180" i="1"/>
  <c r="T180" i="1"/>
  <c r="G50" i="23"/>
  <c r="H53" i="22"/>
  <c r="D95" i="60" s="1"/>
  <c r="T137" i="1"/>
  <c r="AD54" i="22"/>
  <c r="N137" i="1"/>
  <c r="K264" i="60"/>
  <c r="K251" i="60"/>
  <c r="G150" i="138"/>
  <c r="D62" i="23"/>
  <c r="G62" i="23" s="1"/>
  <c r="L41" i="6"/>
  <c r="L52" i="23"/>
  <c r="F49" i="6"/>
  <c r="I69" i="23"/>
  <c r="L69" i="23" s="1"/>
  <c r="G110" i="138"/>
  <c r="I110" i="138" s="1"/>
  <c r="D30" i="17"/>
  <c r="N1349" i="1"/>
  <c r="AB30" i="37" s="1"/>
  <c r="T30" i="37"/>
  <c r="U30" i="37" s="1"/>
  <c r="F41" i="6"/>
  <c r="I62" i="23"/>
  <c r="L62" i="23" s="1"/>
  <c r="F48" i="6"/>
  <c r="J71" i="23"/>
  <c r="L71" i="23" s="1"/>
  <c r="AB23" i="37"/>
  <c r="AC19" i="37"/>
  <c r="L48" i="6"/>
  <c r="E71" i="23"/>
  <c r="M71" i="23" s="1"/>
  <c r="D136" i="60" s="1"/>
  <c r="T162" i="1"/>
  <c r="N162" i="1"/>
  <c r="W1222" i="1"/>
  <c r="T1222" i="1" s="1"/>
  <c r="N1222" i="1" s="1"/>
  <c r="H61" i="34" s="1"/>
  <c r="W1218" i="1"/>
  <c r="T1218" i="1" s="1"/>
  <c r="N1218" i="1" s="1"/>
  <c r="F32" i="133" l="1"/>
  <c r="F34" i="133" s="1"/>
  <c r="D34" i="133"/>
  <c r="F33" i="130"/>
  <c r="F35" i="130" s="1"/>
  <c r="F77" i="130" s="1"/>
  <c r="H30" i="130"/>
  <c r="L52" i="6"/>
  <c r="F52" i="6"/>
  <c r="AA54" i="22"/>
  <c r="D54" i="22"/>
  <c r="H54" i="22" s="1"/>
  <c r="D122" i="22"/>
  <c r="H175" i="138"/>
  <c r="N54" i="23"/>
  <c r="F121" i="60" s="1"/>
  <c r="J110" i="138"/>
  <c r="K110" i="138" s="1"/>
  <c r="AC23" i="37"/>
  <c r="K252" i="60"/>
  <c r="T32" i="37"/>
  <c r="E211" i="60" s="1"/>
  <c r="T1148" i="1"/>
  <c r="W1150" i="1"/>
  <c r="W1157" i="1" s="1"/>
  <c r="N1148" i="1"/>
  <c r="O71" i="6"/>
  <c r="D48" i="23"/>
  <c r="T187" i="1"/>
  <c r="U23" i="37"/>
  <c r="U32" i="37" s="1"/>
  <c r="I48" i="23"/>
  <c r="N187" i="1"/>
  <c r="G71" i="23"/>
  <c r="AD52" i="22"/>
  <c r="AD57" i="22" s="1"/>
  <c r="AD120" i="22"/>
  <c r="AD125" i="22" s="1"/>
  <c r="W139" i="1"/>
  <c r="T134" i="1"/>
  <c r="N134" i="1"/>
  <c r="BK417" i="1"/>
  <c r="BD417" i="1" s="1"/>
  <c r="BK469" i="1"/>
  <c r="N71" i="23"/>
  <c r="F136" i="60" s="1"/>
  <c r="C11" i="61"/>
  <c r="C25" i="61"/>
  <c r="C29" i="61" s="1"/>
  <c r="B7" i="61"/>
  <c r="B11" i="61" s="1"/>
  <c r="AB32" i="37"/>
  <c r="I211" i="60" s="1"/>
  <c r="AC30" i="37"/>
  <c r="F122" i="22"/>
  <c r="U54" i="22"/>
  <c r="F54" i="22"/>
  <c r="J54" i="22" s="1"/>
  <c r="F12" i="17"/>
  <c r="F30" i="17"/>
  <c r="H33" i="130" l="1"/>
  <c r="I30" i="130"/>
  <c r="AC32" i="37"/>
  <c r="S417" i="1"/>
  <c r="Q28" i="27"/>
  <c r="E10" i="32"/>
  <c r="F71" i="6"/>
  <c r="C10" i="32"/>
  <c r="L71" i="6"/>
  <c r="T1150" i="1"/>
  <c r="G48" i="23"/>
  <c r="D57" i="23"/>
  <c r="I57" i="23"/>
  <c r="L48" i="23"/>
  <c r="U52" i="22"/>
  <c r="U57" i="22" s="1"/>
  <c r="F120" i="22"/>
  <c r="U120" i="22"/>
  <c r="U125" i="22" s="1"/>
  <c r="N139" i="1"/>
  <c r="F52" i="22"/>
  <c r="AA120" i="22"/>
  <c r="D120" i="22"/>
  <c r="D52" i="22"/>
  <c r="T139" i="1"/>
  <c r="AA52" i="22"/>
  <c r="D15" i="133" l="1"/>
  <c r="I33" i="130"/>
  <c r="M30" i="130"/>
  <c r="M33" i="130" s="1"/>
  <c r="M35" i="130" s="1"/>
  <c r="M77" i="130" s="1"/>
  <c r="H35" i="130"/>
  <c r="C12" i="32"/>
  <c r="L34" i="59"/>
  <c r="E12" i="32"/>
  <c r="J120" i="22"/>
  <c r="F125" i="22"/>
  <c r="AA57" i="22"/>
  <c r="CK57" i="22" s="1"/>
  <c r="CK52" i="22"/>
  <c r="M48" i="23"/>
  <c r="D115" i="60" s="1"/>
  <c r="H52" i="22"/>
  <c r="D94" i="60" s="1"/>
  <c r="D47" i="34"/>
  <c r="D57" i="22"/>
  <c r="C82" i="17"/>
  <c r="G57" i="23"/>
  <c r="D125" i="22"/>
  <c r="H120" i="22"/>
  <c r="AA125" i="22"/>
  <c r="CK125" i="22" s="1"/>
  <c r="CK120" i="22"/>
  <c r="L57" i="23"/>
  <c r="I69" i="138"/>
  <c r="N48" i="23"/>
  <c r="F115" i="60" s="1"/>
  <c r="T1157" i="1"/>
  <c r="N1157" i="1" s="1"/>
  <c r="N1150" i="1"/>
  <c r="F57" i="22"/>
  <c r="J52" i="22"/>
  <c r="F94" i="60" s="1"/>
  <c r="W1392" i="1"/>
  <c r="H1395" i="1"/>
  <c r="H77" i="130" l="1"/>
  <c r="E13" i="129"/>
  <c r="I35" i="130"/>
  <c r="I77" i="130" s="1"/>
  <c r="F15" i="133"/>
  <c r="H99" i="138"/>
  <c r="J99" i="138" s="1"/>
  <c r="D51" i="34"/>
  <c r="D57" i="34"/>
  <c r="D61" i="34" s="1"/>
  <c r="W1395" i="1"/>
  <c r="O128" i="6" s="1"/>
  <c r="T1392" i="1"/>
  <c r="D10" i="132" l="1"/>
  <c r="D25" i="132" s="1"/>
  <c r="D10" i="133"/>
  <c r="F10" i="133" s="1"/>
  <c r="E16" i="129"/>
  <c r="E25" i="129"/>
  <c r="F13" i="129"/>
  <c r="G80" i="130"/>
  <c r="F278" i="60" s="1"/>
  <c r="T1395" i="1"/>
  <c r="N1392" i="1"/>
  <c r="AB24" i="37" s="1"/>
  <c r="T24" i="37"/>
  <c r="F16" i="129" l="1"/>
  <c r="K13" i="129"/>
  <c r="K16" i="129" s="1"/>
  <c r="H80" i="130"/>
  <c r="F279" i="60" s="1"/>
  <c r="E28" i="129"/>
  <c r="E36" i="129" s="1"/>
  <c r="F25" i="129"/>
  <c r="I79" i="130"/>
  <c r="T27" i="37"/>
  <c r="T28" i="37" s="1"/>
  <c r="U24" i="37"/>
  <c r="U27" i="37" s="1"/>
  <c r="AB27" i="37"/>
  <c r="AB28" i="37" s="1"/>
  <c r="AC24" i="37"/>
  <c r="AC27" i="37" s="1"/>
  <c r="AC28" i="37" s="1"/>
  <c r="T34" i="37"/>
  <c r="N1395" i="1"/>
  <c r="L128" i="6"/>
  <c r="F28" i="129" l="1"/>
  <c r="F36" i="129" s="1"/>
  <c r="F39" i="129" s="1"/>
  <c r="F274" i="60" s="1"/>
  <c r="K25" i="129"/>
  <c r="K28" i="129" s="1"/>
  <c r="K36" i="129" s="1"/>
  <c r="AB34" i="37"/>
  <c r="F128" i="6"/>
  <c r="U28" i="37"/>
  <c r="T36" i="37"/>
  <c r="E212" i="60" s="1"/>
  <c r="U34" i="37"/>
  <c r="U36" i="37" s="1"/>
  <c r="AB36" i="37" l="1"/>
  <c r="I212" i="60" s="1"/>
  <c r="AC34" i="37"/>
  <c r="AC36" i="37" s="1"/>
  <c r="H1185" i="1" l="1"/>
  <c r="W1178" i="1"/>
  <c r="H739" i="1"/>
  <c r="H749" i="1" s="1"/>
  <c r="W737" i="1"/>
  <c r="W74" i="1"/>
  <c r="T74" i="1" l="1"/>
  <c r="E46" i="21" s="1"/>
  <c r="I46" i="21" s="1"/>
  <c r="N74" i="1"/>
  <c r="G46" i="21" s="1"/>
  <c r="H46" i="21" s="1"/>
  <c r="D44" i="60" s="1"/>
  <c r="N737" i="1"/>
  <c r="I26" i="29" s="1"/>
  <c r="I28" i="29" s="1"/>
  <c r="I38" i="29" s="1"/>
  <c r="T737" i="1"/>
  <c r="W739" i="1"/>
  <c r="W749" i="1" s="1"/>
  <c r="W722" i="1"/>
  <c r="H724" i="1"/>
  <c r="H735" i="1" s="1"/>
  <c r="H750" i="1" s="1"/>
  <c r="H751" i="1"/>
  <c r="W1185" i="1"/>
  <c r="T1185" i="1" s="1"/>
  <c r="BH1178" i="1" s="1"/>
  <c r="T1178" i="1"/>
  <c r="E26" i="33" s="1"/>
  <c r="W1191" i="1"/>
  <c r="T1191" i="1" s="1"/>
  <c r="E41" i="33" s="1"/>
  <c r="BH1191" i="1" l="1"/>
  <c r="BD1191" i="1" s="1"/>
  <c r="S1191" i="1" s="1"/>
  <c r="N1191" i="1" s="1"/>
  <c r="K41" i="33" s="1"/>
  <c r="BD1178" i="1"/>
  <c r="S1178" i="1" s="1"/>
  <c r="BH1185" i="1"/>
  <c r="BD1185" i="1" s="1"/>
  <c r="BH175" i="1"/>
  <c r="BH46" i="1"/>
  <c r="W724" i="1"/>
  <c r="T722" i="1"/>
  <c r="N722" i="1"/>
  <c r="I10" i="29" s="1"/>
  <c r="I12" i="29" s="1"/>
  <c r="E42" i="33"/>
  <c r="F41" i="33"/>
  <c r="I26" i="135"/>
  <c r="I28" i="135" s="1"/>
  <c r="I38" i="135" s="1"/>
  <c r="T739" i="1"/>
  <c r="E33" i="33"/>
  <c r="F26" i="33"/>
  <c r="F33" i="33" s="1"/>
  <c r="E44" i="33" l="1"/>
  <c r="F181" i="60" s="1"/>
  <c r="I23" i="29"/>
  <c r="I41" i="29" s="1"/>
  <c r="I44" i="29"/>
  <c r="I45" i="29" s="1"/>
  <c r="J175" i="60" s="1"/>
  <c r="BD46" i="1"/>
  <c r="BH49" i="1"/>
  <c r="BH89" i="1"/>
  <c r="BH177" i="1"/>
  <c r="BD175" i="1"/>
  <c r="I10" i="135"/>
  <c r="T724" i="1"/>
  <c r="F42" i="33"/>
  <c r="F44" i="33" s="1"/>
  <c r="G181" i="60" s="1"/>
  <c r="W735" i="1"/>
  <c r="W750" i="1" s="1"/>
  <c r="W751" i="1"/>
  <c r="T749" i="1"/>
  <c r="I39" i="135" s="1"/>
  <c r="N739" i="1"/>
  <c r="N1178" i="1"/>
  <c r="K26" i="33" s="1"/>
  <c r="S1185" i="1"/>
  <c r="N1185" i="1" s="1"/>
  <c r="K42" i="33"/>
  <c r="L41" i="33"/>
  <c r="H757" i="1"/>
  <c r="V14" i="23" l="1"/>
  <c r="S175" i="1"/>
  <c r="N175" i="1" s="1"/>
  <c r="BD177" i="1"/>
  <c r="S177" i="1" s="1"/>
  <c r="BH201" i="1"/>
  <c r="BD201" i="1" s="1"/>
  <c r="S201" i="1" s="1"/>
  <c r="BH92" i="1"/>
  <c r="L42" i="33"/>
  <c r="BH61" i="1"/>
  <c r="BD49" i="1"/>
  <c r="S49" i="1" s="1"/>
  <c r="N749" i="1"/>
  <c r="I39" i="29" s="1"/>
  <c r="J174" i="60" s="1"/>
  <c r="S46" i="1"/>
  <c r="V17" i="21"/>
  <c r="V20" i="21" s="1"/>
  <c r="K33" i="33"/>
  <c r="K44" i="33" s="1"/>
  <c r="F184" i="60" s="1"/>
  <c r="L26" i="33"/>
  <c r="L33" i="33" s="1"/>
  <c r="T735" i="1"/>
  <c r="N735" i="1" s="1"/>
  <c r="I24" i="29" s="1"/>
  <c r="J173" i="60" s="1"/>
  <c r="N724" i="1"/>
  <c r="T751" i="1"/>
  <c r="N751" i="1" s="1"/>
  <c r="W753" i="1"/>
  <c r="I12" i="135"/>
  <c r="I23" i="135" s="1"/>
  <c r="I44" i="135"/>
  <c r="I45" i="135" s="1"/>
  <c r="L44" i="33" l="1"/>
  <c r="G184" i="60" s="1"/>
  <c r="T750" i="1"/>
  <c r="BH72" i="1"/>
  <c r="BH85" i="1" s="1"/>
  <c r="I24" i="135"/>
  <c r="I41" i="135"/>
  <c r="T753" i="1"/>
  <c r="W757" i="1"/>
  <c r="N753" i="1"/>
  <c r="I48" i="29" s="1"/>
  <c r="I52" i="29" s="1"/>
  <c r="I53" i="29" s="1"/>
  <c r="J176" i="60" s="1"/>
  <c r="Y14" i="23"/>
  <c r="V17" i="23"/>
  <c r="I48" i="135" l="1"/>
  <c r="I52" i="135" s="1"/>
  <c r="I53" i="135" s="1"/>
  <c r="T757" i="1"/>
  <c r="N757" i="1" s="1"/>
  <c r="V46" i="23"/>
  <c r="Y46" i="23" s="1"/>
  <c r="Y17" i="23"/>
  <c r="N750" i="1"/>
  <c r="I117" i="29"/>
  <c r="I120" i="29" s="1"/>
  <c r="I121" i="29" s="1"/>
  <c r="J177" i="60" s="1"/>
  <c r="I116" i="135"/>
  <c r="I119" i="135" s="1"/>
  <c r="I120" i="135" s="1"/>
  <c r="W129" i="1" l="1"/>
  <c r="N129" i="1" l="1"/>
  <c r="AD114" i="22"/>
  <c r="AD116" i="22" s="1"/>
  <c r="AD46" i="22"/>
  <c r="T129" i="1"/>
  <c r="W116" i="1"/>
  <c r="D46" i="22" l="1"/>
  <c r="D114" i="22" s="1"/>
  <c r="AA46" i="22"/>
  <c r="CK46" i="22" s="1"/>
  <c r="AA114" i="22"/>
  <c r="N116" i="1"/>
  <c r="AD99" i="22"/>
  <c r="AD30" i="22"/>
  <c r="T116" i="1"/>
  <c r="U46" i="22"/>
  <c r="F46" i="22"/>
  <c r="F114" i="22" s="1"/>
  <c r="U114" i="22"/>
  <c r="U116" i="22" s="1"/>
  <c r="W118" i="1"/>
  <c r="W124" i="1"/>
  <c r="AA30" i="22" l="1"/>
  <c r="CK30" i="22" s="1"/>
  <c r="D30" i="22"/>
  <c r="AA99" i="22"/>
  <c r="CK99" i="22" s="1"/>
  <c r="U99" i="22"/>
  <c r="F30" i="22"/>
  <c r="U30" i="22"/>
  <c r="AD39" i="22"/>
  <c r="N124" i="1"/>
  <c r="T124" i="1"/>
  <c r="CK114" i="22"/>
  <c r="AA116" i="22"/>
  <c r="CK116" i="22" s="1"/>
  <c r="AD100" i="22"/>
  <c r="AD31" i="22"/>
  <c r="N118" i="1"/>
  <c r="T118" i="1"/>
  <c r="W32" i="1"/>
  <c r="W33" i="1"/>
  <c r="W122" i="1"/>
  <c r="W52" i="1"/>
  <c r="F39" i="22" l="1"/>
  <c r="U39" i="22"/>
  <c r="AA100" i="22"/>
  <c r="CK100" i="22" s="1"/>
  <c r="AA31" i="22"/>
  <c r="CK31" i="22" s="1"/>
  <c r="D31" i="22"/>
  <c r="D100" i="22" s="1"/>
  <c r="F31" i="22"/>
  <c r="U100" i="22"/>
  <c r="U31" i="22"/>
  <c r="T122" i="1"/>
  <c r="N122" i="1"/>
  <c r="AD37" i="22"/>
  <c r="F99" i="22"/>
  <c r="J99" i="22" s="1"/>
  <c r="J30" i="22"/>
  <c r="F72" i="60" s="1"/>
  <c r="T32" i="1"/>
  <c r="O94" i="6"/>
  <c r="O95" i="6" s="1"/>
  <c r="N32" i="1"/>
  <c r="O10" i="6"/>
  <c r="N52" i="1"/>
  <c r="G25" i="21" s="1"/>
  <c r="H25" i="21" s="1"/>
  <c r="D33" i="60" s="1"/>
  <c r="T52" i="1"/>
  <c r="E25" i="21" s="1"/>
  <c r="I25" i="21" s="1"/>
  <c r="D99" i="22"/>
  <c r="H99" i="22" s="1"/>
  <c r="I104" i="138"/>
  <c r="J104" i="138" s="1"/>
  <c r="H30" i="22"/>
  <c r="D72" i="60" s="1"/>
  <c r="O107" i="6"/>
  <c r="T33" i="1"/>
  <c r="N33" i="1"/>
  <c r="AA39" i="22"/>
  <c r="CK39" i="22" s="1"/>
  <c r="D39" i="22"/>
  <c r="D106" i="22" s="1"/>
  <c r="W238" i="1"/>
  <c r="D58" i="20" l="1"/>
  <c r="L94" i="6"/>
  <c r="L95" i="6" s="1"/>
  <c r="L10" i="6"/>
  <c r="F100" i="22"/>
  <c r="J100" i="22" s="1"/>
  <c r="J31" i="22"/>
  <c r="F73" i="60" s="1"/>
  <c r="F60" i="20"/>
  <c r="F107" i="6"/>
  <c r="U37" i="22"/>
  <c r="F37" i="22"/>
  <c r="T238" i="1"/>
  <c r="E58" i="23" s="1"/>
  <c r="N238" i="1"/>
  <c r="J58" i="23" s="1"/>
  <c r="O18" i="6"/>
  <c r="AA37" i="22"/>
  <c r="CK37" i="22" s="1"/>
  <c r="D37" i="22"/>
  <c r="D60" i="20"/>
  <c r="L107" i="6"/>
  <c r="F94" i="6"/>
  <c r="F95" i="6" s="1"/>
  <c r="I58" i="20" s="1"/>
  <c r="F58" i="20"/>
  <c r="F10" i="6"/>
  <c r="H165" i="138"/>
  <c r="F106" i="22"/>
  <c r="E12" i="42"/>
  <c r="E15" i="42" s="1"/>
  <c r="N58" i="23" l="1"/>
  <c r="J79" i="23"/>
  <c r="G145" i="60" s="1"/>
  <c r="J75" i="23"/>
  <c r="H144" i="138"/>
  <c r="E79" i="23"/>
  <c r="E145" i="60" s="1"/>
  <c r="E75" i="23"/>
  <c r="M58" i="23"/>
  <c r="F18" i="6"/>
  <c r="L18" i="6"/>
  <c r="G144" i="138"/>
  <c r="H58" i="20"/>
  <c r="F17" i="60" s="1"/>
  <c r="G58" i="20"/>
  <c r="K144" i="138" l="1"/>
  <c r="G145" i="138"/>
  <c r="W105" i="1" l="1"/>
  <c r="W808" i="1" l="1"/>
  <c r="H813" i="1"/>
  <c r="AD89" i="22"/>
  <c r="N105" i="1"/>
  <c r="AD20" i="22"/>
  <c r="T105" i="1"/>
  <c r="W661" i="1"/>
  <c r="H663" i="1"/>
  <c r="H673" i="1" s="1"/>
  <c r="W608" i="1"/>
  <c r="H610" i="1"/>
  <c r="H621" i="1" s="1"/>
  <c r="H637" i="1"/>
  <c r="W623" i="1"/>
  <c r="H625" i="1"/>
  <c r="H635" i="1" s="1"/>
  <c r="H636" i="1" s="1"/>
  <c r="H587" i="1"/>
  <c r="H597" i="1" s="1"/>
  <c r="W585" i="1"/>
  <c r="H887" i="1" l="1"/>
  <c r="H897" i="1" s="1"/>
  <c r="W885" i="1"/>
  <c r="H512" i="1"/>
  <c r="H522" i="1" s="1"/>
  <c r="W510" i="1"/>
  <c r="W547" i="1"/>
  <c r="H549" i="1"/>
  <c r="H559" i="1" s="1"/>
  <c r="T585" i="1"/>
  <c r="W587" i="1"/>
  <c r="W597" i="1" s="1"/>
  <c r="N585" i="1"/>
  <c r="E26" i="29" s="1"/>
  <c r="E28" i="29" s="1"/>
  <c r="N661" i="1"/>
  <c r="G26" i="29" s="1"/>
  <c r="G28" i="29" s="1"/>
  <c r="G38" i="29" s="1"/>
  <c r="T661" i="1"/>
  <c r="W663" i="1"/>
  <c r="W673" i="1" s="1"/>
  <c r="W814" i="1"/>
  <c r="H819" i="1"/>
  <c r="D20" i="22"/>
  <c r="AA89" i="22"/>
  <c r="CK89" i="22" s="1"/>
  <c r="AA20" i="22"/>
  <c r="CK20" i="22" s="1"/>
  <c r="N623" i="1"/>
  <c r="F26" i="29" s="1"/>
  <c r="F28" i="29" s="1"/>
  <c r="F38" i="29" s="1"/>
  <c r="T623" i="1"/>
  <c r="W625" i="1"/>
  <c r="W635" i="1" s="1"/>
  <c r="U89" i="22"/>
  <c r="F20" i="22"/>
  <c r="U20" i="22"/>
  <c r="H701" i="1"/>
  <c r="H711" i="1" s="1"/>
  <c r="W699" i="1"/>
  <c r="H959" i="1"/>
  <c r="H969" i="1" s="1"/>
  <c r="W957" i="1"/>
  <c r="W610" i="1"/>
  <c r="T608" i="1"/>
  <c r="F10" i="135" s="1"/>
  <c r="N608" i="1"/>
  <c r="F10" i="29" s="1"/>
  <c r="F12" i="29" s="1"/>
  <c r="T808" i="1"/>
  <c r="C14" i="136" s="1"/>
  <c r="N808" i="1"/>
  <c r="C14" i="30" s="1"/>
  <c r="D22" i="30" s="1"/>
  <c r="W684" i="1" l="1"/>
  <c r="H686" i="1"/>
  <c r="H697" i="1" s="1"/>
  <c r="H712" i="1" s="1"/>
  <c r="H713" i="1"/>
  <c r="T625" i="1"/>
  <c r="F26" i="135"/>
  <c r="F28" i="135" s="1"/>
  <c r="F38" i="135" s="1"/>
  <c r="W570" i="1"/>
  <c r="H572" i="1"/>
  <c r="H583" i="1" s="1"/>
  <c r="H598" i="1" s="1"/>
  <c r="H599" i="1"/>
  <c r="T814" i="1"/>
  <c r="F14" i="136" s="1"/>
  <c r="L14" i="136" s="1"/>
  <c r="N814" i="1"/>
  <c r="F14" i="30" s="1"/>
  <c r="L14" i="30" s="1"/>
  <c r="T547" i="1"/>
  <c r="W549" i="1"/>
  <c r="W559" i="1" s="1"/>
  <c r="N547" i="1"/>
  <c r="D26" i="29" s="1"/>
  <c r="D28" i="29" s="1"/>
  <c r="D38" i="29" s="1"/>
  <c r="D169" i="60"/>
  <c r="C20" i="30"/>
  <c r="T699" i="1"/>
  <c r="W701" i="1"/>
  <c r="W711" i="1" s="1"/>
  <c r="N699" i="1"/>
  <c r="H26" i="29" s="1"/>
  <c r="H28" i="29" s="1"/>
  <c r="H38" i="29" s="1"/>
  <c r="W512" i="1"/>
  <c r="W522" i="1" s="1"/>
  <c r="N510" i="1"/>
  <c r="C26" i="29" s="1"/>
  <c r="T510" i="1"/>
  <c r="W51" i="1"/>
  <c r="C20" i="136"/>
  <c r="D22" i="136"/>
  <c r="T663" i="1"/>
  <c r="G26" i="135"/>
  <c r="G28" i="135" s="1"/>
  <c r="G38" i="135" s="1"/>
  <c r="F23" i="29"/>
  <c r="F41" i="29" s="1"/>
  <c r="F44" i="29"/>
  <c r="F45" i="29" s="1"/>
  <c r="G164" i="60" s="1"/>
  <c r="F12" i="135"/>
  <c r="F23" i="135" s="1"/>
  <c r="F89" i="22"/>
  <c r="J89" i="22" s="1"/>
  <c r="J20" i="22"/>
  <c r="F62" i="60" s="1"/>
  <c r="E38" i="29"/>
  <c r="T610" i="1"/>
  <c r="W621" i="1"/>
  <c r="T621" i="1" s="1"/>
  <c r="W637" i="1"/>
  <c r="D89" i="22"/>
  <c r="H89" i="22" s="1"/>
  <c r="H20" i="22"/>
  <c r="D62" i="60" s="1"/>
  <c r="N885" i="1"/>
  <c r="D12" i="31" s="1"/>
  <c r="T885" i="1"/>
  <c r="W887" i="1"/>
  <c r="W897" i="1" s="1"/>
  <c r="W532" i="1"/>
  <c r="H534" i="1"/>
  <c r="H545" i="1" s="1"/>
  <c r="H560" i="1" s="1"/>
  <c r="H561" i="1"/>
  <c r="T957" i="1"/>
  <c r="W959" i="1"/>
  <c r="W969" i="1" s="1"/>
  <c r="N957" i="1"/>
  <c r="F12" i="31" s="1"/>
  <c r="F14" i="31" s="1"/>
  <c r="F24" i="31" s="1"/>
  <c r="T587" i="1"/>
  <c r="E26" i="135"/>
  <c r="E28" i="135" s="1"/>
  <c r="E38" i="135" s="1"/>
  <c r="W46" i="1"/>
  <c r="F44" i="135" l="1"/>
  <c r="F45" i="135" s="1"/>
  <c r="W636" i="1"/>
  <c r="T46" i="1"/>
  <c r="E17" i="21" s="1"/>
  <c r="N46" i="1"/>
  <c r="G17" i="21" s="1"/>
  <c r="F12" i="137"/>
  <c r="F14" i="137" s="1"/>
  <c r="T959" i="1"/>
  <c r="D14" i="31"/>
  <c r="K12" i="31"/>
  <c r="K14" i="31" s="1"/>
  <c r="T51" i="1"/>
  <c r="O121" i="6"/>
  <c r="N51" i="1"/>
  <c r="T512" i="1"/>
  <c r="C26" i="135"/>
  <c r="T673" i="1"/>
  <c r="N673" i="1" s="1"/>
  <c r="G39" i="29" s="1"/>
  <c r="H163" i="60" s="1"/>
  <c r="N663" i="1"/>
  <c r="C28" i="29"/>
  <c r="K26" i="29"/>
  <c r="T701" i="1"/>
  <c r="H26" i="135"/>
  <c r="H28" i="135" s="1"/>
  <c r="H38" i="135" s="1"/>
  <c r="N570" i="1"/>
  <c r="E10" i="29" s="1"/>
  <c r="E12" i="29" s="1"/>
  <c r="W572" i="1"/>
  <c r="T570" i="1"/>
  <c r="H497" i="1"/>
  <c r="H508" i="1" s="1"/>
  <c r="H523" i="1" s="1"/>
  <c r="W495" i="1"/>
  <c r="H524" i="1"/>
  <c r="L20" i="30"/>
  <c r="M22" i="30"/>
  <c r="G169" i="60" s="1"/>
  <c r="W646" i="1"/>
  <c r="H648" i="1"/>
  <c r="H659" i="1" s="1"/>
  <c r="H674" i="1" s="1"/>
  <c r="H675" i="1"/>
  <c r="T597" i="1"/>
  <c r="N597" i="1" s="1"/>
  <c r="E39" i="29" s="1"/>
  <c r="F163" i="60" s="1"/>
  <c r="N587" i="1"/>
  <c r="N532" i="1"/>
  <c r="D10" i="29" s="1"/>
  <c r="T532" i="1"/>
  <c r="W534" i="1"/>
  <c r="F24" i="135"/>
  <c r="F41" i="135"/>
  <c r="T549" i="1"/>
  <c r="D26" i="135"/>
  <c r="D28" i="135" s="1"/>
  <c r="D38" i="135" s="1"/>
  <c r="N684" i="1"/>
  <c r="H10" i="29" s="1"/>
  <c r="H12" i="29" s="1"/>
  <c r="T684" i="1"/>
  <c r="W686" i="1"/>
  <c r="N621" i="1"/>
  <c r="F24" i="29" s="1"/>
  <c r="G162" i="60" s="1"/>
  <c r="G22" i="30"/>
  <c r="E169" i="60" s="1"/>
  <c r="F20" i="30"/>
  <c r="T635" i="1"/>
  <c r="N635" i="1" s="1"/>
  <c r="F39" i="29" s="1"/>
  <c r="G163" i="60" s="1"/>
  <c r="N625" i="1"/>
  <c r="H228" i="1"/>
  <c r="H250" i="1" s="1"/>
  <c r="W216" i="1"/>
  <c r="T887" i="1"/>
  <c r="D12" i="137"/>
  <c r="N610" i="1"/>
  <c r="T637" i="1"/>
  <c r="N637" i="1" s="1"/>
  <c r="M22" i="136"/>
  <c r="L20" i="136"/>
  <c r="G22" i="136"/>
  <c r="F20" i="136"/>
  <c r="L28" i="29" l="1"/>
  <c r="L174" i="60" s="1"/>
  <c r="E39" i="135"/>
  <c r="G39" i="135"/>
  <c r="F24" i="137"/>
  <c r="T897" i="1"/>
  <c r="N887" i="1"/>
  <c r="W639" i="1"/>
  <c r="H643" i="1"/>
  <c r="T636" i="1"/>
  <c r="T559" i="1"/>
  <c r="N559" i="1" s="1"/>
  <c r="D39" i="29" s="1"/>
  <c r="E163" i="60" s="1"/>
  <c r="N549" i="1"/>
  <c r="T711" i="1"/>
  <c r="N711" i="1" s="1"/>
  <c r="H39" i="29" s="1"/>
  <c r="I163" i="60" s="1"/>
  <c r="N701" i="1"/>
  <c r="N495" i="1"/>
  <c r="C10" i="29" s="1"/>
  <c r="W497" i="1"/>
  <c r="T495" i="1"/>
  <c r="G24" i="21"/>
  <c r="H24" i="21" s="1"/>
  <c r="D32" i="60" s="1"/>
  <c r="F121" i="6"/>
  <c r="N646" i="1"/>
  <c r="G10" i="29" s="1"/>
  <c r="G12" i="29" s="1"/>
  <c r="T646" i="1"/>
  <c r="W648" i="1"/>
  <c r="K28" i="29"/>
  <c r="K38" i="29" s="1"/>
  <c r="C38" i="29"/>
  <c r="W66" i="1"/>
  <c r="D14" i="137"/>
  <c r="K12" i="137"/>
  <c r="K14" i="137" s="1"/>
  <c r="W697" i="1"/>
  <c r="W712" i="1" s="1"/>
  <c r="W713" i="1"/>
  <c r="W545" i="1"/>
  <c r="W561" i="1"/>
  <c r="T572" i="1"/>
  <c r="E10" i="135"/>
  <c r="E24" i="21"/>
  <c r="L121" i="6"/>
  <c r="T686" i="1"/>
  <c r="H10" i="135"/>
  <c r="T534" i="1"/>
  <c r="D10" i="135"/>
  <c r="W583" i="1"/>
  <c r="W599" i="1"/>
  <c r="K24" i="31"/>
  <c r="H17" i="21"/>
  <c r="D28" i="60" s="1"/>
  <c r="M41" i="33"/>
  <c r="D186" i="60" s="1"/>
  <c r="H23" i="29"/>
  <c r="H41" i="29" s="1"/>
  <c r="H44" i="29"/>
  <c r="H45" i="29" s="1"/>
  <c r="I164" i="60" s="1"/>
  <c r="K26" i="135"/>
  <c r="C28" i="135"/>
  <c r="D24" i="31"/>
  <c r="M14" i="31"/>
  <c r="L181" i="60" s="1"/>
  <c r="I17" i="21"/>
  <c r="G41" i="33"/>
  <c r="D183" i="60" s="1"/>
  <c r="D12" i="29"/>
  <c r="D23" i="29" s="1"/>
  <c r="D41" i="29" s="1"/>
  <c r="D44" i="29"/>
  <c r="D45" i="29" s="1"/>
  <c r="E164" i="60" s="1"/>
  <c r="E23" i="29"/>
  <c r="E41" i="29" s="1"/>
  <c r="E44" i="29"/>
  <c r="E45" i="29" s="1"/>
  <c r="F164" i="60" s="1"/>
  <c r="T216" i="1"/>
  <c r="T228" i="1" s="1"/>
  <c r="T250" i="1" s="1"/>
  <c r="W228" i="1"/>
  <c r="W250" i="1" s="1"/>
  <c r="N216" i="1"/>
  <c r="N228" i="1" s="1"/>
  <c r="N250" i="1" s="1"/>
  <c r="F39" i="135"/>
  <c r="T522" i="1"/>
  <c r="N522" i="1" s="1"/>
  <c r="N512" i="1"/>
  <c r="T969" i="1"/>
  <c r="N959" i="1"/>
  <c r="H39" i="135" l="1"/>
  <c r="N969" i="1"/>
  <c r="F25" i="31" s="1"/>
  <c r="G171" i="60" s="1"/>
  <c r="G23" i="29"/>
  <c r="G41" i="29" s="1"/>
  <c r="G44" i="29"/>
  <c r="G45" i="29" s="1"/>
  <c r="H164" i="60" s="1"/>
  <c r="N636" i="1"/>
  <c r="F116" i="135"/>
  <c r="F119" i="135" s="1"/>
  <c r="F120" i="135" s="1"/>
  <c r="F117" i="29"/>
  <c r="F120" i="29" s="1"/>
  <c r="F121" i="29" s="1"/>
  <c r="G166" i="60" s="1"/>
  <c r="F25" i="137"/>
  <c r="W563" i="1"/>
  <c r="H567" i="1"/>
  <c r="H605" i="1"/>
  <c r="W601" i="1"/>
  <c r="C38" i="135"/>
  <c r="C39" i="135" s="1"/>
  <c r="K28" i="135"/>
  <c r="K38" i="135" s="1"/>
  <c r="L28" i="135"/>
  <c r="K24" i="137"/>
  <c r="D24" i="137"/>
  <c r="M14" i="137"/>
  <c r="T497" i="1"/>
  <c r="C10" i="135"/>
  <c r="T583" i="1"/>
  <c r="W598" i="1"/>
  <c r="E12" i="135"/>
  <c r="E23" i="135" s="1"/>
  <c r="E44" i="135"/>
  <c r="E45" i="135" s="1"/>
  <c r="W508" i="1"/>
  <c r="W524" i="1"/>
  <c r="W526" i="1"/>
  <c r="H530" i="1"/>
  <c r="D12" i="135"/>
  <c r="D23" i="135" s="1"/>
  <c r="D44" i="135"/>
  <c r="D45" i="135" s="1"/>
  <c r="N572" i="1"/>
  <c r="T599" i="1"/>
  <c r="N599" i="1" s="1"/>
  <c r="C39" i="29"/>
  <c r="D163" i="60" s="1"/>
  <c r="C12" i="29"/>
  <c r="K10" i="29"/>
  <c r="W715" i="1"/>
  <c r="H719" i="1"/>
  <c r="N534" i="1"/>
  <c r="T561" i="1"/>
  <c r="N561" i="1" s="1"/>
  <c r="T66" i="1"/>
  <c r="N66" i="1"/>
  <c r="N639" i="1"/>
  <c r="F48" i="29" s="1"/>
  <c r="F52" i="29" s="1"/>
  <c r="F53" i="29" s="1"/>
  <c r="G165" i="60" s="1"/>
  <c r="T639" i="1"/>
  <c r="W643" i="1"/>
  <c r="D39" i="135"/>
  <c r="H12" i="135"/>
  <c r="H23" i="135" s="1"/>
  <c r="H44" i="135"/>
  <c r="H45" i="135" s="1"/>
  <c r="T545" i="1"/>
  <c r="N545" i="1" s="1"/>
  <c r="D24" i="29" s="1"/>
  <c r="E162" i="60" s="1"/>
  <c r="W560" i="1"/>
  <c r="T560" i="1" s="1"/>
  <c r="W659" i="1"/>
  <c r="W675" i="1"/>
  <c r="N686" i="1"/>
  <c r="T697" i="1"/>
  <c r="T713" i="1"/>
  <c r="N713" i="1" s="1"/>
  <c r="T648" i="1"/>
  <c r="G10" i="135"/>
  <c r="N897" i="1"/>
  <c r="D25" i="31" s="1"/>
  <c r="E171" i="60" s="1"/>
  <c r="N648" i="1" l="1"/>
  <c r="T675" i="1"/>
  <c r="N675" i="1" s="1"/>
  <c r="F48" i="135"/>
  <c r="F52" i="135" s="1"/>
  <c r="F53" i="135" s="1"/>
  <c r="T643" i="1"/>
  <c r="N643" i="1" s="1"/>
  <c r="T526" i="1"/>
  <c r="W530" i="1"/>
  <c r="N526" i="1"/>
  <c r="C48" i="29" s="1"/>
  <c r="N697" i="1"/>
  <c r="H24" i="29" s="1"/>
  <c r="I162" i="60" s="1"/>
  <c r="T712" i="1"/>
  <c r="W719" i="1"/>
  <c r="T715" i="1"/>
  <c r="N715" i="1"/>
  <c r="H48" i="29" s="1"/>
  <c r="H52" i="29" s="1"/>
  <c r="H53" i="29" s="1"/>
  <c r="I165" i="60" s="1"/>
  <c r="E24" i="135"/>
  <c r="E41" i="135"/>
  <c r="C12" i="135"/>
  <c r="K10" i="135"/>
  <c r="C44" i="135"/>
  <c r="N563" i="1"/>
  <c r="D48" i="29" s="1"/>
  <c r="D52" i="29" s="1"/>
  <c r="D53" i="29" s="1"/>
  <c r="E165" i="60" s="1"/>
  <c r="W567" i="1"/>
  <c r="T563" i="1"/>
  <c r="H24" i="135"/>
  <c r="H41" i="135"/>
  <c r="G38" i="21"/>
  <c r="T508" i="1"/>
  <c r="N497" i="1"/>
  <c r="T524" i="1"/>
  <c r="N524" i="1" s="1"/>
  <c r="D25" i="137"/>
  <c r="C23" i="29"/>
  <c r="C41" i="29" s="1"/>
  <c r="K12" i="29"/>
  <c r="K23" i="29" s="1"/>
  <c r="L12" i="29"/>
  <c r="L173" i="60" s="1"/>
  <c r="C44" i="29"/>
  <c r="N583" i="1"/>
  <c r="E24" i="29" s="1"/>
  <c r="F162" i="60" s="1"/>
  <c r="T598" i="1"/>
  <c r="E38" i="21"/>
  <c r="W523" i="1"/>
  <c r="H681" i="1"/>
  <c r="W677" i="1"/>
  <c r="T659" i="1"/>
  <c r="W674" i="1"/>
  <c r="G12" i="135"/>
  <c r="G23" i="135" s="1"/>
  <c r="G44" i="135"/>
  <c r="G45" i="135" s="1"/>
  <c r="D117" i="29"/>
  <c r="D120" i="29" s="1"/>
  <c r="D121" i="29" s="1"/>
  <c r="E166" i="60" s="1"/>
  <c r="D116" i="135"/>
  <c r="D119" i="135" s="1"/>
  <c r="N560" i="1"/>
  <c r="D24" i="135"/>
  <c r="D41" i="135"/>
  <c r="N601" i="1"/>
  <c r="E48" i="29" s="1"/>
  <c r="E52" i="29" s="1"/>
  <c r="E53" i="29" s="1"/>
  <c r="F165" i="60" s="1"/>
  <c r="W605" i="1"/>
  <c r="T601" i="1"/>
  <c r="W796" i="1" l="1"/>
  <c r="H38" i="21"/>
  <c r="D42" i="60" s="1"/>
  <c r="K44" i="29"/>
  <c r="C45" i="29"/>
  <c r="D164" i="60" s="1"/>
  <c r="N659" i="1"/>
  <c r="G24" i="29" s="1"/>
  <c r="H162" i="60" s="1"/>
  <c r="T674" i="1"/>
  <c r="T567" i="1"/>
  <c r="N567" i="1" s="1"/>
  <c r="D48" i="135"/>
  <c r="D52" i="135" s="1"/>
  <c r="D53" i="135" s="1"/>
  <c r="G24" i="135"/>
  <c r="G41" i="135"/>
  <c r="W915" i="1"/>
  <c r="H919" i="1"/>
  <c r="N508" i="1"/>
  <c r="C24" i="29" s="1"/>
  <c r="D162" i="60" s="1"/>
  <c r="T523" i="1"/>
  <c r="T719" i="1"/>
  <c r="N719" i="1" s="1"/>
  <c r="H48" i="135"/>
  <c r="H52" i="135" s="1"/>
  <c r="H53" i="135" s="1"/>
  <c r="C52" i="29"/>
  <c r="C53" i="29" s="1"/>
  <c r="D165" i="60" s="1"/>
  <c r="N677" i="1"/>
  <c r="G48" i="29" s="1"/>
  <c r="G52" i="29" s="1"/>
  <c r="G53" i="29" s="1"/>
  <c r="H165" i="60" s="1"/>
  <c r="T677" i="1"/>
  <c r="W681" i="1"/>
  <c r="D120" i="135"/>
  <c r="K41" i="29"/>
  <c r="E48" i="135"/>
  <c r="E52" i="135" s="1"/>
  <c r="E53" i="135" s="1"/>
  <c r="T605" i="1"/>
  <c r="N605" i="1" s="1"/>
  <c r="K44" i="135"/>
  <c r="C45" i="135"/>
  <c r="N712" i="1"/>
  <c r="H117" i="29"/>
  <c r="H120" i="29" s="1"/>
  <c r="H121" i="29" s="1"/>
  <c r="I166" i="60" s="1"/>
  <c r="H116" i="135"/>
  <c r="H119" i="135" s="1"/>
  <c r="H120" i="135" s="1"/>
  <c r="T530" i="1"/>
  <c r="N530" i="1" s="1"/>
  <c r="C48" i="135"/>
  <c r="I38" i="21"/>
  <c r="E117" i="29"/>
  <c r="E120" i="29" s="1"/>
  <c r="E121" i="29" s="1"/>
  <c r="F166" i="60" s="1"/>
  <c r="E116" i="135"/>
  <c r="E119" i="135" s="1"/>
  <c r="E120" i="135" s="1"/>
  <c r="N598" i="1"/>
  <c r="C23" i="135"/>
  <c r="L12" i="135"/>
  <c r="K12" i="135"/>
  <c r="K23" i="135" s="1"/>
  <c r="K126" i="135" l="1"/>
  <c r="K45" i="135"/>
  <c r="C116" i="135"/>
  <c r="N523" i="1"/>
  <c r="C117" i="29"/>
  <c r="T796" i="1"/>
  <c r="N796" i="1" s="1"/>
  <c r="K127" i="29"/>
  <c r="K45" i="29"/>
  <c r="K48" i="29"/>
  <c r="K52" i="29" s="1"/>
  <c r="K53" i="29" s="1"/>
  <c r="C24" i="135"/>
  <c r="C41" i="135"/>
  <c r="C52" i="135"/>
  <c r="G48" i="135"/>
  <c r="G52" i="135" s="1"/>
  <c r="G53" i="135" s="1"/>
  <c r="T681" i="1"/>
  <c r="N681" i="1" s="1"/>
  <c r="T915" i="1"/>
  <c r="W919" i="1"/>
  <c r="N915" i="1"/>
  <c r="D46" i="31" s="1"/>
  <c r="N674" i="1"/>
  <c r="G116" i="135"/>
  <c r="G119" i="135" s="1"/>
  <c r="G120" i="135" s="1"/>
  <c r="G117" i="29"/>
  <c r="G120" i="29" s="1"/>
  <c r="G121" i="29" s="1"/>
  <c r="H166" i="60" s="1"/>
  <c r="C120" i="29" l="1"/>
  <c r="C121" i="29" s="1"/>
  <c r="D166" i="60" s="1"/>
  <c r="K117" i="29"/>
  <c r="K120" i="29" s="1"/>
  <c r="K121" i="29" s="1"/>
  <c r="K41" i="135"/>
  <c r="C53" i="135"/>
  <c r="D50" i="31"/>
  <c r="C119" i="135"/>
  <c r="C120" i="135" s="1"/>
  <c r="K116" i="135"/>
  <c r="K119" i="135" s="1"/>
  <c r="T919" i="1"/>
  <c r="N919" i="1" s="1"/>
  <c r="D46" i="137"/>
  <c r="K48" i="135"/>
  <c r="K52" i="135" s="1"/>
  <c r="K53" i="135" l="1"/>
  <c r="K120" i="135"/>
  <c r="D50" i="137"/>
  <c r="W90" i="1" l="1"/>
  <c r="T90" i="1" l="1"/>
  <c r="E58" i="21" s="1"/>
  <c r="N90" i="1"/>
  <c r="G58" i="21" s="1"/>
  <c r="H58" i="21" l="1"/>
  <c r="D49" i="60" s="1"/>
  <c r="J81" i="23"/>
  <c r="E148" i="60" s="1"/>
  <c r="I58" i="21"/>
  <c r="E81" i="23"/>
  <c r="E147" i="60" s="1"/>
  <c r="W1691" i="1" l="1"/>
  <c r="T1691" i="1" s="1"/>
  <c r="W1602" i="1"/>
  <c r="T1602" i="1" s="1"/>
  <c r="BK1635" i="1"/>
  <c r="BD1635" i="1" s="1"/>
  <c r="S1635" i="1" s="1"/>
  <c r="W1669" i="1"/>
  <c r="T1669" i="1" s="1"/>
  <c r="W1580" i="1"/>
  <c r="T1580" i="1" s="1"/>
  <c r="BK1600" i="1"/>
  <c r="BD1600" i="1" s="1"/>
  <c r="S1600" i="1" s="1"/>
  <c r="W1634" i="1"/>
  <c r="T1634" i="1" s="1"/>
  <c r="BK1654" i="1"/>
  <c r="BD1654" i="1" s="1"/>
  <c r="S1654" i="1" s="1"/>
  <c r="W1688" i="1"/>
  <c r="T1688" i="1" s="1"/>
  <c r="W1582" i="1"/>
  <c r="T1582" i="1" s="1"/>
  <c r="BK1615" i="1"/>
  <c r="BD1615" i="1" s="1"/>
  <c r="S1615" i="1" s="1"/>
  <c r="W1668" i="1"/>
  <c r="T1668" i="1" s="1"/>
  <c r="BK1686" i="1"/>
  <c r="BD1686" i="1" s="1"/>
  <c r="S1686" i="1" s="1"/>
  <c r="W1687" i="1"/>
  <c r="T1687" i="1" s="1"/>
  <c r="I25" i="39" s="1"/>
  <c r="W1598" i="1"/>
  <c r="T1598" i="1" s="1"/>
  <c r="BK1618" i="1"/>
  <c r="BD1618" i="1" s="1"/>
  <c r="S1618" i="1" s="1"/>
  <c r="W1656" i="1"/>
  <c r="T1656" i="1" s="1"/>
  <c r="BK1689" i="1"/>
  <c r="BD1689" i="1" s="1"/>
  <c r="S1689" i="1" s="1"/>
  <c r="BK1583" i="1"/>
  <c r="BD1583" i="1" s="1"/>
  <c r="S1583" i="1" s="1"/>
  <c r="W1617" i="1"/>
  <c r="T1617" i="1" s="1"/>
  <c r="BK1637" i="1"/>
  <c r="BD1637" i="1" s="1"/>
  <c r="S1637" i="1" s="1"/>
  <c r="W1671" i="1"/>
  <c r="T1671" i="1" s="1"/>
  <c r="BK1691" i="1"/>
  <c r="BD1691" i="1" s="1"/>
  <c r="S1691" i="1" s="1"/>
  <c r="BK1602" i="1"/>
  <c r="BD1602" i="1" s="1"/>
  <c r="S1602" i="1" s="1"/>
  <c r="BK1614" i="1"/>
  <c r="BD1614" i="1" s="1"/>
  <c r="S1614" i="1" s="1"/>
  <c r="W1596" i="1"/>
  <c r="T1596" i="1" s="1"/>
  <c r="W1673" i="1"/>
  <c r="T1673" i="1" s="1"/>
  <c r="W1599" i="1"/>
  <c r="T1599" i="1" s="1"/>
  <c r="W1674" i="1"/>
  <c r="T1674" i="1" s="1"/>
  <c r="H30" i="39" s="1"/>
  <c r="W1581" i="1"/>
  <c r="T1581" i="1" s="1"/>
  <c r="C27" i="39" s="1"/>
  <c r="BK1601" i="1"/>
  <c r="BD1601" i="1" s="1"/>
  <c r="S1601" i="1" s="1"/>
  <c r="W1652" i="1"/>
  <c r="T1652" i="1" s="1"/>
  <c r="BK1672" i="1"/>
  <c r="BD1672" i="1" s="1"/>
  <c r="S1672" i="1" s="1"/>
  <c r="BK1579" i="1"/>
  <c r="BD1579" i="1" s="1"/>
  <c r="S1579" i="1" s="1"/>
  <c r="W1600" i="1"/>
  <c r="T1600" i="1" s="1"/>
  <c r="BK1633" i="1"/>
  <c r="BD1633" i="1" s="1"/>
  <c r="S1633" i="1" s="1"/>
  <c r="W1654" i="1"/>
  <c r="T1654" i="1" s="1"/>
  <c r="BK1687" i="1"/>
  <c r="BD1687" i="1" s="1"/>
  <c r="S1687" i="1" s="1"/>
  <c r="BK1598" i="1"/>
  <c r="BD1598" i="1" s="1"/>
  <c r="S1598" i="1" s="1"/>
  <c r="W1578" i="1"/>
  <c r="T1578" i="1" s="1"/>
  <c r="W1638" i="1"/>
  <c r="T1638" i="1" s="1"/>
  <c r="W1670" i="1"/>
  <c r="T1670" i="1" s="1"/>
  <c r="H26" i="39" s="1"/>
  <c r="BK1690" i="1"/>
  <c r="BD1690" i="1" s="1"/>
  <c r="S1690" i="1" s="1"/>
  <c r="BK1597" i="1"/>
  <c r="BD1597" i="1" s="1"/>
  <c r="S1597" i="1" s="1"/>
  <c r="W1635" i="1"/>
  <c r="T1635" i="1" s="1"/>
  <c r="N1635" i="1" s="1"/>
  <c r="O27" i="39" s="1"/>
  <c r="BK1655" i="1"/>
  <c r="BD1655" i="1" s="1"/>
  <c r="S1655" i="1" s="1"/>
  <c r="W1689" i="1"/>
  <c r="T1689" i="1" s="1"/>
  <c r="W1583" i="1"/>
  <c r="T1583" i="1" s="1"/>
  <c r="BK1620" i="1"/>
  <c r="BD1620" i="1" s="1"/>
  <c r="S1620" i="1" s="1"/>
  <c r="W1637" i="1"/>
  <c r="T1637" i="1" s="1"/>
  <c r="N1637" i="1" s="1"/>
  <c r="O29" i="39" s="1"/>
  <c r="BK1674" i="1"/>
  <c r="BD1674" i="1" s="1"/>
  <c r="S1674" i="1" s="1"/>
  <c r="BK1581" i="1"/>
  <c r="BD1581" i="1" s="1"/>
  <c r="S1581" i="1" s="1"/>
  <c r="W1650" i="1"/>
  <c r="T1650" i="1" s="1"/>
  <c r="BK1652" i="1"/>
  <c r="BD1652" i="1" s="1"/>
  <c r="S1652" i="1" s="1"/>
  <c r="BK1671" i="1"/>
  <c r="BD1671" i="1" s="1"/>
  <c r="S1671" i="1" s="1"/>
  <c r="W1653" i="1"/>
  <c r="T1653" i="1" s="1"/>
  <c r="G27" i="39" s="1"/>
  <c r="BK1673" i="1"/>
  <c r="BD1673" i="1" s="1"/>
  <c r="S1673" i="1" s="1"/>
  <c r="BK1584" i="1"/>
  <c r="BD1584" i="1" s="1"/>
  <c r="S1584" i="1" s="1"/>
  <c r="W1618" i="1"/>
  <c r="T1618" i="1" s="1"/>
  <c r="BK1651" i="1"/>
  <c r="BD1651" i="1" s="1"/>
  <c r="S1651" i="1" s="1"/>
  <c r="W1672" i="1"/>
  <c r="T1672" i="1" s="1"/>
  <c r="W1579" i="1"/>
  <c r="T1579" i="1" s="1"/>
  <c r="BK1616" i="1"/>
  <c r="BD1616" i="1" s="1"/>
  <c r="S1616" i="1" s="1"/>
  <c r="W1633" i="1"/>
  <c r="T1633" i="1" s="1"/>
  <c r="N1633" i="1" s="1"/>
  <c r="O25" i="39" s="1"/>
  <c r="BK1670" i="1"/>
  <c r="BD1670" i="1" s="1"/>
  <c r="S1670" i="1" s="1"/>
  <c r="W1614" i="1"/>
  <c r="T1614" i="1" s="1"/>
  <c r="BK1596" i="1"/>
  <c r="BD1596" i="1" s="1"/>
  <c r="S1596" i="1" s="1"/>
  <c r="W1632" i="1"/>
  <c r="T1632" i="1" s="1"/>
  <c r="W1584" i="1"/>
  <c r="T1584" i="1" s="1"/>
  <c r="W1692" i="1"/>
  <c r="T1692" i="1" s="1"/>
  <c r="W1636" i="1"/>
  <c r="T1636" i="1" s="1"/>
  <c r="BK1669" i="1"/>
  <c r="BD1669" i="1" s="1"/>
  <c r="S1669" i="1" s="1"/>
  <c r="BK1580" i="1"/>
  <c r="BD1580" i="1" s="1"/>
  <c r="S1580" i="1" s="1"/>
  <c r="W1601" i="1"/>
  <c r="T1601" i="1" s="1"/>
  <c r="BK1638" i="1"/>
  <c r="BD1638" i="1" s="1"/>
  <c r="S1638" i="1" s="1"/>
  <c r="W1655" i="1"/>
  <c r="T1655" i="1" s="1"/>
  <c r="BK1692" i="1"/>
  <c r="BD1692" i="1" s="1"/>
  <c r="S1692" i="1" s="1"/>
  <c r="BK1599" i="1"/>
  <c r="BD1599" i="1" s="1"/>
  <c r="S1599" i="1" s="1"/>
  <c r="W1620" i="1"/>
  <c r="T1620" i="1" s="1"/>
  <c r="BK1653" i="1"/>
  <c r="BD1653" i="1" s="1"/>
  <c r="S1653" i="1" s="1"/>
  <c r="BK1668" i="1"/>
  <c r="BD1668" i="1" s="1"/>
  <c r="S1668" i="1" s="1"/>
  <c r="W1686" i="1"/>
  <c r="T1686" i="1" s="1"/>
  <c r="W1615" i="1"/>
  <c r="T1615" i="1" s="1"/>
  <c r="BK1617" i="1"/>
  <c r="BD1617" i="1" s="1"/>
  <c r="S1617" i="1" s="1"/>
  <c r="BK1619" i="1"/>
  <c r="BD1619" i="1" s="1"/>
  <c r="S1619" i="1" s="1"/>
  <c r="W1619" i="1"/>
  <c r="T1619" i="1" s="1"/>
  <c r="E29" i="39" s="1"/>
  <c r="BK1656" i="1"/>
  <c r="BD1656" i="1" s="1"/>
  <c r="S1656" i="1" s="1"/>
  <c r="W1690" i="1"/>
  <c r="T1690" i="1" s="1"/>
  <c r="W1597" i="1"/>
  <c r="T1597" i="1" s="1"/>
  <c r="BK1634" i="1"/>
  <c r="BD1634" i="1" s="1"/>
  <c r="S1634" i="1" s="1"/>
  <c r="W1651" i="1"/>
  <c r="T1651" i="1" s="1"/>
  <c r="BK1688" i="1"/>
  <c r="BD1688" i="1" s="1"/>
  <c r="S1688" i="1" s="1"/>
  <c r="BK1582" i="1"/>
  <c r="BD1582" i="1" s="1"/>
  <c r="S1582" i="1" s="1"/>
  <c r="W1616" i="1"/>
  <c r="T1616" i="1" s="1"/>
  <c r="BK1636" i="1"/>
  <c r="BD1636" i="1" s="1"/>
  <c r="S1636" i="1" s="1"/>
  <c r="BK1650" i="1"/>
  <c r="BD1650" i="1" s="1"/>
  <c r="S1650" i="1" s="1"/>
  <c r="BK1632" i="1"/>
  <c r="BD1632" i="1" s="1"/>
  <c r="S1632" i="1" s="1"/>
  <c r="BK1578" i="1"/>
  <c r="BD1578" i="1" s="1"/>
  <c r="S1578" i="1" s="1"/>
  <c r="N1581" i="1" l="1"/>
  <c r="L27" i="39" s="1"/>
  <c r="N1687" i="1"/>
  <c r="R25" i="39" s="1"/>
  <c r="W1639" i="1"/>
  <c r="T1639" i="1" s="1"/>
  <c r="T1640" i="1" s="1"/>
  <c r="H1640" i="1"/>
  <c r="W1640" i="1" s="1"/>
  <c r="W1675" i="1"/>
  <c r="T1675" i="1" s="1"/>
  <c r="T1676" i="1" s="1"/>
  <c r="H1676" i="1"/>
  <c r="W1676" i="1" s="1"/>
  <c r="BK1693" i="1"/>
  <c r="I1694" i="1"/>
  <c r="W1657" i="1"/>
  <c r="T1657" i="1" s="1"/>
  <c r="T1658" i="1" s="1"/>
  <c r="H1658" i="1"/>
  <c r="W1658" i="1" s="1"/>
  <c r="BK1675" i="1"/>
  <c r="I1676" i="1"/>
  <c r="BK1657" i="1"/>
  <c r="I1658" i="1"/>
  <c r="BK1639" i="1"/>
  <c r="I1640" i="1"/>
  <c r="W1693" i="1"/>
  <c r="T1693" i="1" s="1"/>
  <c r="T1694" i="1" s="1"/>
  <c r="H1694" i="1"/>
  <c r="W1621" i="1"/>
  <c r="T1621" i="1" s="1"/>
  <c r="T1622" i="1" s="1"/>
  <c r="H1622" i="1"/>
  <c r="W1622" i="1" s="1"/>
  <c r="BK1621" i="1"/>
  <c r="I1622" i="1"/>
  <c r="BK1603" i="1"/>
  <c r="I1604" i="1"/>
  <c r="W1603" i="1"/>
  <c r="T1603" i="1" s="1"/>
  <c r="H1604" i="1"/>
  <c r="W1604" i="1" s="1"/>
  <c r="BK1585" i="1"/>
  <c r="I1586" i="1"/>
  <c r="W1585" i="1"/>
  <c r="T1585" i="1" s="1"/>
  <c r="H1586" i="1"/>
  <c r="W1586" i="1" s="1"/>
  <c r="N1636" i="1"/>
  <c r="O28" i="39" s="1"/>
  <c r="N1634" i="1"/>
  <c r="O26" i="39" s="1"/>
  <c r="N1638" i="1"/>
  <c r="O30" i="39" s="1"/>
  <c r="N1632" i="1"/>
  <c r="O24" i="39" s="1"/>
  <c r="D26" i="39"/>
  <c r="N1598" i="1"/>
  <c r="M26" i="39" s="1"/>
  <c r="N1619" i="1"/>
  <c r="N29" i="39" s="1"/>
  <c r="I30" i="39"/>
  <c r="N1692" i="1"/>
  <c r="R30" i="39" s="1"/>
  <c r="H27" i="39"/>
  <c r="N1671" i="1"/>
  <c r="Q27" i="39" s="1"/>
  <c r="C30" i="39"/>
  <c r="N1584" i="1"/>
  <c r="L30" i="39" s="1"/>
  <c r="C25" i="39"/>
  <c r="N1579" i="1"/>
  <c r="L25" i="39" s="1"/>
  <c r="C29" i="39"/>
  <c r="N1583" i="1"/>
  <c r="L29" i="39" s="1"/>
  <c r="D28" i="39"/>
  <c r="N1600" i="1"/>
  <c r="M28" i="39" s="1"/>
  <c r="D27" i="39"/>
  <c r="N1599" i="1"/>
  <c r="M27" i="39" s="1"/>
  <c r="E26" i="39"/>
  <c r="N1616" i="1"/>
  <c r="N26" i="39" s="1"/>
  <c r="H28" i="39"/>
  <c r="N1672" i="1"/>
  <c r="Q28" i="39" s="1"/>
  <c r="I27" i="39"/>
  <c r="N1689" i="1"/>
  <c r="R27" i="39" s="1"/>
  <c r="C24" i="39"/>
  <c r="N1578" i="1"/>
  <c r="L24" i="39" s="1"/>
  <c r="H29" i="39"/>
  <c r="N1673" i="1"/>
  <c r="Q29" i="39" s="1"/>
  <c r="E27" i="39"/>
  <c r="N1617" i="1"/>
  <c r="N27" i="39" s="1"/>
  <c r="C26" i="39"/>
  <c r="N1580" i="1"/>
  <c r="L26" i="39" s="1"/>
  <c r="E25" i="39"/>
  <c r="N1615" i="1"/>
  <c r="N25" i="39" s="1"/>
  <c r="I24" i="39"/>
  <c r="N1686" i="1"/>
  <c r="R24" i="39" s="1"/>
  <c r="D24" i="39"/>
  <c r="N1596" i="1"/>
  <c r="M24" i="39" s="1"/>
  <c r="H24" i="39"/>
  <c r="N1668" i="1"/>
  <c r="Q24" i="39" s="1"/>
  <c r="H25" i="39"/>
  <c r="N1669" i="1"/>
  <c r="Q25" i="39" s="1"/>
  <c r="G29" i="39"/>
  <c r="N1655" i="1"/>
  <c r="P29" i="39" s="1"/>
  <c r="D25" i="39"/>
  <c r="N1597" i="1"/>
  <c r="M25" i="39" s="1"/>
  <c r="D29" i="39"/>
  <c r="N1601" i="1"/>
  <c r="M29" i="39" s="1"/>
  <c r="E28" i="39"/>
  <c r="N1618" i="1"/>
  <c r="N28" i="39" s="1"/>
  <c r="G24" i="39"/>
  <c r="N1650" i="1"/>
  <c r="P24" i="39" s="1"/>
  <c r="G26" i="39"/>
  <c r="N1652" i="1"/>
  <c r="P26" i="39" s="1"/>
  <c r="E30" i="39"/>
  <c r="N1620" i="1"/>
  <c r="N30" i="39" s="1"/>
  <c r="G28" i="39"/>
  <c r="N1654" i="1"/>
  <c r="P28" i="39" s="1"/>
  <c r="G25" i="39"/>
  <c r="N1651" i="1"/>
  <c r="P25" i="39" s="1"/>
  <c r="I28" i="39"/>
  <c r="N1690" i="1"/>
  <c r="R28" i="39" s="1"/>
  <c r="E24" i="39"/>
  <c r="N1614" i="1"/>
  <c r="N24" i="39" s="1"/>
  <c r="G30" i="39"/>
  <c r="N1656" i="1"/>
  <c r="P30" i="39" s="1"/>
  <c r="C28" i="39"/>
  <c r="N1582" i="1"/>
  <c r="L28" i="39" s="1"/>
  <c r="D30" i="39"/>
  <c r="N1602" i="1"/>
  <c r="M30" i="39" s="1"/>
  <c r="N1653" i="1"/>
  <c r="P27" i="39" s="1"/>
  <c r="N1670" i="1"/>
  <c r="Q26" i="39" s="1"/>
  <c r="N1674" i="1"/>
  <c r="Q30" i="39" s="1"/>
  <c r="I26" i="39"/>
  <c r="N1688" i="1"/>
  <c r="R26" i="39" s="1"/>
  <c r="I29" i="39"/>
  <c r="N1691" i="1"/>
  <c r="R29" i="39" s="1"/>
  <c r="I1695" i="1" l="1"/>
  <c r="W1694" i="1"/>
  <c r="H1695" i="1"/>
  <c r="W1695" i="1" s="1"/>
  <c r="BD1639" i="1"/>
  <c r="BK1640" i="1"/>
  <c r="BD1693" i="1"/>
  <c r="BK1694" i="1"/>
  <c r="BD1657" i="1"/>
  <c r="BK1658" i="1"/>
  <c r="BD1675" i="1"/>
  <c r="BK1676" i="1"/>
  <c r="J27" i="39"/>
  <c r="BD1621" i="1"/>
  <c r="BK1622" i="1"/>
  <c r="T1604" i="1"/>
  <c r="T1695" i="1" s="1"/>
  <c r="BD1603" i="1"/>
  <c r="BK1604" i="1"/>
  <c r="T1586" i="1"/>
  <c r="O31" i="39"/>
  <c r="O32" i="39" s="1"/>
  <c r="BD1585" i="1"/>
  <c r="BK1586" i="1"/>
  <c r="J28" i="39"/>
  <c r="E31" i="39"/>
  <c r="E32" i="39" s="1"/>
  <c r="J30" i="39"/>
  <c r="H31" i="39"/>
  <c r="H32" i="39" s="1"/>
  <c r="S27" i="39"/>
  <c r="S26" i="39"/>
  <c r="Q31" i="39"/>
  <c r="Q32" i="39" s="1"/>
  <c r="S28" i="39"/>
  <c r="N31" i="39"/>
  <c r="N32" i="39" s="1"/>
  <c r="J26" i="39"/>
  <c r="M23" i="39"/>
  <c r="S23" i="39" s="1"/>
  <c r="M31" i="39"/>
  <c r="M32" i="39" s="1"/>
  <c r="D31" i="39"/>
  <c r="D32" i="39" s="1"/>
  <c r="S29" i="39"/>
  <c r="P31" i="39"/>
  <c r="P32" i="39" s="1"/>
  <c r="J29" i="39"/>
  <c r="R31" i="39"/>
  <c r="R32" i="39" s="1"/>
  <c r="G31" i="39"/>
  <c r="G32" i="39" s="1"/>
  <c r="I31" i="39"/>
  <c r="I32" i="39" s="1"/>
  <c r="S25" i="39"/>
  <c r="S24" i="39"/>
  <c r="L31" i="39"/>
  <c r="J25" i="39"/>
  <c r="C31" i="39"/>
  <c r="J24" i="39"/>
  <c r="S30" i="39"/>
  <c r="S1657" i="1" l="1"/>
  <c r="BD1658" i="1"/>
  <c r="S1693" i="1"/>
  <c r="BD1694" i="1"/>
  <c r="S1639" i="1"/>
  <c r="BD1640" i="1"/>
  <c r="S1675" i="1"/>
  <c r="BD1676" i="1"/>
  <c r="S1621" i="1"/>
  <c r="BD1622" i="1"/>
  <c r="S1603" i="1"/>
  <c r="BD1604" i="1"/>
  <c r="S1585" i="1"/>
  <c r="BD1586" i="1"/>
  <c r="S31" i="39"/>
  <c r="S32" i="39" s="1"/>
  <c r="L49" i="29" s="1"/>
  <c r="L32" i="39"/>
  <c r="J31" i="39"/>
  <c r="J32" i="39" s="1"/>
  <c r="C32" i="39"/>
  <c r="S1676" i="1" l="1"/>
  <c r="N1676" i="1" s="1"/>
  <c r="N1675" i="1"/>
  <c r="N1693" i="1"/>
  <c r="S1694" i="1"/>
  <c r="S1640" i="1"/>
  <c r="N1640" i="1" s="1"/>
  <c r="N1639" i="1"/>
  <c r="S1658" i="1"/>
  <c r="N1658" i="1" s="1"/>
  <c r="N1657" i="1"/>
  <c r="S1622" i="1"/>
  <c r="N1622" i="1" s="1"/>
  <c r="N1621" i="1"/>
  <c r="S1604" i="1"/>
  <c r="N1604" i="1" s="1"/>
  <c r="N1603" i="1"/>
  <c r="S1586" i="1"/>
  <c r="N1586" i="1" s="1"/>
  <c r="N1585" i="1"/>
  <c r="J33" i="39"/>
  <c r="D167" i="60"/>
  <c r="S33" i="39"/>
  <c r="N1694" i="1" l="1"/>
  <c r="N1695" i="1" s="1"/>
  <c r="S1695" i="1"/>
  <c r="W44" i="1"/>
  <c r="O119" i="6" s="1"/>
  <c r="K119" i="6" l="1"/>
  <c r="K118" i="6"/>
  <c r="T44" i="1"/>
  <c r="L119" i="6" s="1"/>
  <c r="N44" i="1"/>
  <c r="F119" i="6" s="1"/>
  <c r="G15" i="21" l="1"/>
  <c r="H15" i="21" s="1"/>
  <c r="E15" i="21"/>
  <c r="W1080" i="1" l="1"/>
  <c r="BK905" i="1"/>
  <c r="BD905" i="1" s="1"/>
  <c r="S905" i="1" s="1"/>
  <c r="BK1012" i="1"/>
  <c r="BD1012" i="1" s="1"/>
  <c r="S1012" i="1" s="1"/>
  <c r="W943" i="1"/>
  <c r="T943" i="1" s="1"/>
  <c r="E36" i="137" s="1"/>
  <c r="BK1089" i="1"/>
  <c r="BD1089" i="1" s="1"/>
  <c r="S1089" i="1" s="1"/>
  <c r="W1050" i="1"/>
  <c r="T1050" i="1" s="1"/>
  <c r="H35" i="137" s="1"/>
  <c r="BK980" i="1"/>
  <c r="BD980" i="1" s="1"/>
  <c r="S980" i="1" s="1"/>
  <c r="BK864" i="1"/>
  <c r="BD864" i="1" s="1"/>
  <c r="S864" i="1" s="1"/>
  <c r="BK977" i="1"/>
  <c r="BD977" i="1" s="1"/>
  <c r="S977" i="1" s="1"/>
  <c r="W1126" i="1"/>
  <c r="BK946" i="1"/>
  <c r="BD946" i="1" s="1"/>
  <c r="S946" i="1" s="1"/>
  <c r="W1008" i="1"/>
  <c r="W1121" i="1"/>
  <c r="BK940" i="1"/>
  <c r="BD940" i="1" s="1"/>
  <c r="S940" i="1" s="1"/>
  <c r="BK1048" i="1"/>
  <c r="BD1048" i="1" s="1"/>
  <c r="S1048" i="1" s="1"/>
  <c r="W864" i="1"/>
  <c r="W977" i="1"/>
  <c r="BK941" i="1"/>
  <c r="BD941" i="1" s="1"/>
  <c r="S941" i="1" s="1"/>
  <c r="W1053" i="1"/>
  <c r="BK1087" i="1"/>
  <c r="BD1087" i="1" s="1"/>
  <c r="S1087" i="1" s="1"/>
  <c r="W874" i="1"/>
  <c r="W945" i="1"/>
  <c r="T945" i="1" s="1"/>
  <c r="E34" i="137" s="1"/>
  <c r="W1083" i="1"/>
  <c r="BK902" i="1"/>
  <c r="BD902" i="1" s="1"/>
  <c r="S902" i="1" s="1"/>
  <c r="BK1120" i="1"/>
  <c r="BD1120" i="1" s="1"/>
  <c r="S1120" i="1" s="1"/>
  <c r="BK979" i="1"/>
  <c r="BD979" i="1" s="1"/>
  <c r="S979" i="1" s="1"/>
  <c r="W940" i="1"/>
  <c r="BK870" i="1"/>
  <c r="BD870" i="1" s="1"/>
  <c r="S870" i="1" s="1"/>
  <c r="W1017" i="1"/>
  <c r="T1017" i="1" s="1"/>
  <c r="G34" i="137" s="1"/>
  <c r="BK867" i="1"/>
  <c r="BD867" i="1" s="1"/>
  <c r="S867" i="1" s="1"/>
  <c r="W1016" i="1"/>
  <c r="W1124" i="1"/>
  <c r="W873" i="1"/>
  <c r="W1011" i="1"/>
  <c r="W1118" i="1"/>
  <c r="BK938" i="1"/>
  <c r="BD938" i="1" s="1"/>
  <c r="S938" i="1" s="1"/>
  <c r="BK1046" i="1"/>
  <c r="BD1046" i="1" s="1"/>
  <c r="S1046" i="1" s="1"/>
  <c r="W867" i="1"/>
  <c r="BK1053" i="1"/>
  <c r="BD1053" i="1" s="1"/>
  <c r="S1053" i="1" s="1"/>
  <c r="BK1015" i="1"/>
  <c r="BD1015" i="1" s="1"/>
  <c r="S1015" i="1" s="1"/>
  <c r="BK872" i="1"/>
  <c r="BD872" i="1" s="1"/>
  <c r="S872" i="1" s="1"/>
  <c r="BK1082" i="1"/>
  <c r="BD1082" i="1" s="1"/>
  <c r="S1082" i="1" s="1"/>
  <c r="W1085" i="1"/>
  <c r="BK1126" i="1"/>
  <c r="BD1126" i="1" s="1"/>
  <c r="S1126" i="1" s="1"/>
  <c r="W972" i="1"/>
  <c r="T972" i="1" s="1"/>
  <c r="F28" i="137" s="1"/>
  <c r="BK1119" i="1"/>
  <c r="BD1119" i="1" s="1"/>
  <c r="S1119" i="1" s="1"/>
  <c r="W1054" i="1"/>
  <c r="T1054" i="1" s="1"/>
  <c r="H38" i="137" s="1"/>
  <c r="BK1010" i="1"/>
  <c r="BD1010" i="1" s="1"/>
  <c r="S1010" i="1" s="1"/>
  <c r="BK869" i="1"/>
  <c r="BD869" i="1" s="1"/>
  <c r="S869" i="1" s="1"/>
  <c r="BK1116" i="1"/>
  <c r="BD1116" i="1" s="1"/>
  <c r="S1116" i="1" s="1"/>
  <c r="W1048" i="1"/>
  <c r="T1048" i="1" s="1"/>
  <c r="H33" i="137" s="1"/>
  <c r="W907" i="1"/>
  <c r="T907" i="1" s="1"/>
  <c r="D36" i="137" s="1"/>
  <c r="W1044" i="1"/>
  <c r="T1044" i="1" s="1"/>
  <c r="H28" i="137" s="1"/>
  <c r="BK1080" i="1"/>
  <c r="BD1080" i="1" s="1"/>
  <c r="S1080" i="1" s="1"/>
  <c r="BK1083" i="1"/>
  <c r="BD1083" i="1" s="1"/>
  <c r="S1083" i="1" s="1"/>
  <c r="W1014" i="1"/>
  <c r="BK1054" i="1"/>
  <c r="BD1054" i="1" s="1"/>
  <c r="S1054" i="1" s="1"/>
  <c r="W900" i="1"/>
  <c r="BK1047" i="1"/>
  <c r="BD1047" i="1" s="1"/>
  <c r="S1047" i="1" s="1"/>
  <c r="W872" i="1"/>
  <c r="W1090" i="1"/>
  <c r="BK910" i="1"/>
  <c r="BD910" i="1" s="1"/>
  <c r="S910" i="1" s="1"/>
  <c r="BK1018" i="1"/>
  <c r="BD1018" i="1" s="1"/>
  <c r="S1018" i="1" s="1"/>
  <c r="BK1017" i="1"/>
  <c r="BD1017" i="1" s="1"/>
  <c r="S1017" i="1" s="1"/>
  <c r="W1010" i="1"/>
  <c r="BK943" i="1"/>
  <c r="BD943" i="1" s="1"/>
  <c r="S943" i="1" s="1"/>
  <c r="BK1016" i="1"/>
  <c r="BD1016" i="1" s="1"/>
  <c r="S1016" i="1" s="1"/>
  <c r="BK1124" i="1"/>
  <c r="BD1124" i="1" s="1"/>
  <c r="S1124" i="1" s="1"/>
  <c r="BK1008" i="1"/>
  <c r="BD1008" i="1" s="1"/>
  <c r="S1008" i="1" s="1"/>
  <c r="W944" i="1"/>
  <c r="BK874" i="1"/>
  <c r="BD874" i="1" s="1"/>
  <c r="S874" i="1" s="1"/>
  <c r="W1047" i="1"/>
  <c r="BK981" i="1"/>
  <c r="BD981" i="1" s="1"/>
  <c r="S981" i="1" s="1"/>
  <c r="W938" i="1"/>
  <c r="BK1088" i="1"/>
  <c r="BD1088" i="1" s="1"/>
  <c r="S1088" i="1" s="1"/>
  <c r="W909" i="1"/>
  <c r="BK945" i="1"/>
  <c r="BD945" i="1" s="1"/>
  <c r="S945" i="1" s="1"/>
  <c r="BK972" i="1"/>
  <c r="BD972" i="1" s="1"/>
  <c r="S972" i="1" s="1"/>
  <c r="N972" i="1" s="1"/>
  <c r="F28" i="31" s="1"/>
  <c r="BK944" i="1"/>
  <c r="BD944" i="1" s="1"/>
  <c r="S944" i="1" s="1"/>
  <c r="BK1052" i="1"/>
  <c r="BD1052" i="1" s="1"/>
  <c r="S1052" i="1" s="1"/>
  <c r="BK936" i="1"/>
  <c r="BD936" i="1" s="1"/>
  <c r="S936" i="1" s="1"/>
  <c r="BK1049" i="1"/>
  <c r="BD1049" i="1" s="1"/>
  <c r="S1049" i="1" s="1"/>
  <c r="W870" i="1"/>
  <c r="W1088" i="1"/>
  <c r="BK908" i="1"/>
  <c r="BD908" i="1" s="1"/>
  <c r="S908" i="1" s="1"/>
  <c r="BK1044" i="1"/>
  <c r="BD1044" i="1" s="1"/>
  <c r="S1044" i="1" s="1"/>
  <c r="N1044" i="1" s="1"/>
  <c r="H28" i="31" s="1"/>
  <c r="W981" i="1"/>
  <c r="BK1122" i="1"/>
  <c r="BD1122" i="1" s="1"/>
  <c r="S1122" i="1" s="1"/>
  <c r="BK1090" i="1"/>
  <c r="BD1090" i="1" s="1"/>
  <c r="S1090" i="1" s="1"/>
  <c r="BK974" i="1"/>
  <c r="BD974" i="1" s="1"/>
  <c r="S974" i="1" s="1"/>
  <c r="W871" i="1"/>
  <c r="BK906" i="1"/>
  <c r="BD906" i="1" s="1"/>
  <c r="S906" i="1" s="1"/>
  <c r="BK1014" i="1"/>
  <c r="BD1014" i="1" s="1"/>
  <c r="S1014" i="1" s="1"/>
  <c r="BK873" i="1"/>
  <c r="BD873" i="1" s="1"/>
  <c r="S873" i="1" s="1"/>
  <c r="BK1121" i="1"/>
  <c r="BD1121" i="1" s="1"/>
  <c r="S1121" i="1" s="1"/>
  <c r="W1052" i="1"/>
  <c r="W936" i="1"/>
  <c r="BK871" i="1"/>
  <c r="BD871" i="1" s="1"/>
  <c r="S871" i="1" s="1"/>
  <c r="BK978" i="1"/>
  <c r="BD978" i="1" s="1"/>
  <c r="S978" i="1" s="1"/>
  <c r="BK1086" i="1"/>
  <c r="BD1086" i="1" s="1"/>
  <c r="S1086" i="1" s="1"/>
  <c r="W1123" i="1"/>
  <c r="W1125" i="1"/>
  <c r="W1122" i="1"/>
  <c r="BK942" i="1"/>
  <c r="BD942" i="1" s="1"/>
  <c r="S942" i="1" s="1"/>
  <c r="W1089" i="1"/>
  <c r="BK939" i="1"/>
  <c r="BD939" i="1" s="1"/>
  <c r="S939" i="1" s="1"/>
  <c r="W868" i="1"/>
  <c r="W1086" i="1"/>
  <c r="W866" i="1"/>
  <c r="W869" i="1"/>
  <c r="BK1123" i="1"/>
  <c r="BD1123" i="1" s="1"/>
  <c r="S1123" i="1" s="1"/>
  <c r="W1084" i="1"/>
  <c r="BK904" i="1"/>
  <c r="BD904" i="1" s="1"/>
  <c r="S904" i="1" s="1"/>
  <c r="W1051" i="1"/>
  <c r="BK1011" i="1"/>
  <c r="BD1011" i="1" s="1"/>
  <c r="S1011" i="1" s="1"/>
  <c r="W942" i="1"/>
  <c r="BK1118" i="1"/>
  <c r="BD1118" i="1" s="1"/>
  <c r="S1118" i="1" s="1"/>
  <c r="W1049" i="1"/>
  <c r="BK868" i="1"/>
  <c r="BD868" i="1" s="1"/>
  <c r="S868" i="1" s="1"/>
  <c r="BK976" i="1"/>
  <c r="BD976" i="1" s="1"/>
  <c r="S976" i="1" s="1"/>
  <c r="W1013" i="1"/>
  <c r="W1015" i="1"/>
  <c r="BK1051" i="1"/>
  <c r="BD1051" i="1" s="1"/>
  <c r="S1051" i="1" s="1"/>
  <c r="W1012" i="1"/>
  <c r="W1120" i="1"/>
  <c r="W979" i="1"/>
  <c r="W1116" i="1"/>
  <c r="BK909" i="1"/>
  <c r="BD909" i="1" s="1"/>
  <c r="S909" i="1" s="1"/>
  <c r="W946" i="1"/>
  <c r="BK975" i="1"/>
  <c r="BD975" i="1" s="1"/>
  <c r="S975" i="1" s="1"/>
  <c r="W1119" i="1"/>
  <c r="W1087" i="1"/>
  <c r="BK1013" i="1"/>
  <c r="BD1013" i="1" s="1"/>
  <c r="S1013" i="1" s="1"/>
  <c r="BK1125" i="1"/>
  <c r="BD1125" i="1" s="1"/>
  <c r="S1125" i="1" s="1"/>
  <c r="W1082" i="1"/>
  <c r="W941" i="1"/>
  <c r="BK900" i="1"/>
  <c r="BD900" i="1" s="1"/>
  <c r="S900" i="1" s="1"/>
  <c r="BK982" i="1"/>
  <c r="BD982" i="1" s="1"/>
  <c r="S982" i="1" s="1"/>
  <c r="W939" i="1"/>
  <c r="BK1085" i="1"/>
  <c r="BD1085" i="1" s="1"/>
  <c r="S1085" i="1" s="1"/>
  <c r="W1046" i="1"/>
  <c r="BK866" i="1"/>
  <c r="BD866" i="1" s="1"/>
  <c r="S866" i="1" s="1"/>
  <c r="K58" i="6" s="1"/>
  <c r="BK1084" i="1"/>
  <c r="BD1084" i="1" s="1"/>
  <c r="S1084" i="1" s="1"/>
  <c r="W905" i="1"/>
  <c r="BK907" i="1"/>
  <c r="BD907" i="1" s="1"/>
  <c r="S907" i="1" s="1"/>
  <c r="BK903" i="1"/>
  <c r="BD903" i="1" s="1"/>
  <c r="S903" i="1" s="1"/>
  <c r="W1018" i="1"/>
  <c r="BK1050" i="1"/>
  <c r="BD1050" i="1" s="1"/>
  <c r="S1050" i="1" s="1"/>
  <c r="N1050" i="1" s="1"/>
  <c r="H35" i="31" s="1"/>
  <c r="W903" i="1"/>
  <c r="W906" i="1"/>
  <c r="W904" i="1"/>
  <c r="W910" i="1"/>
  <c r="W902" i="1"/>
  <c r="W974" i="1"/>
  <c r="W978" i="1"/>
  <c r="W908" i="1"/>
  <c r="W976" i="1"/>
  <c r="W980" i="1"/>
  <c r="W982" i="1"/>
  <c r="W975" i="1"/>
  <c r="H1865" i="1"/>
  <c r="W1858" i="1"/>
  <c r="N1017" i="1" l="1"/>
  <c r="G34" i="31" s="1"/>
  <c r="N945" i="1"/>
  <c r="E34" i="31" s="1"/>
  <c r="N907" i="1"/>
  <c r="D36" i="31" s="1"/>
  <c r="E13" i="59" s="1"/>
  <c r="E14" i="59" s="1"/>
  <c r="N943" i="1"/>
  <c r="E36" i="31" s="1"/>
  <c r="F13" i="59" s="1"/>
  <c r="F14" i="59" s="1"/>
  <c r="N1054" i="1"/>
  <c r="H38" i="31" s="1"/>
  <c r="K64" i="6"/>
  <c r="K108" i="6"/>
  <c r="K109" i="6" s="1"/>
  <c r="K11" i="6"/>
  <c r="K80" i="6"/>
  <c r="K82" i="6" s="1"/>
  <c r="K69" i="6"/>
  <c r="K73" i="6" s="1"/>
  <c r="H865" i="1"/>
  <c r="H875" i="1" s="1"/>
  <c r="H876" i="1" s="1"/>
  <c r="H877" i="1"/>
  <c r="W863" i="1"/>
  <c r="T1012" i="1"/>
  <c r="G33" i="137" s="1"/>
  <c r="N1012" i="1"/>
  <c r="G33" i="31" s="1"/>
  <c r="T938" i="1"/>
  <c r="E30" i="137" s="1"/>
  <c r="N938" i="1"/>
  <c r="E30" i="31" s="1"/>
  <c r="I1045" i="1"/>
  <c r="I1055" i="1" s="1"/>
  <c r="I1057" i="1"/>
  <c r="BK1057" i="1" s="1"/>
  <c r="BD1057" i="1" s="1"/>
  <c r="S1057" i="1" s="1"/>
  <c r="H985" i="1"/>
  <c r="H973" i="1"/>
  <c r="H983" i="1" s="1"/>
  <c r="H984" i="1" s="1"/>
  <c r="W971" i="1"/>
  <c r="T902" i="1"/>
  <c r="D30" i="137" s="1"/>
  <c r="N902" i="1"/>
  <c r="D30" i="31" s="1"/>
  <c r="T1119" i="1"/>
  <c r="J31" i="137" s="1"/>
  <c r="N1119" i="1"/>
  <c r="J31" i="31" s="1"/>
  <c r="T942" i="1"/>
  <c r="E35" i="137" s="1"/>
  <c r="N942" i="1"/>
  <c r="E35" i="31" s="1"/>
  <c r="T1086" i="1"/>
  <c r="I35" i="137" s="1"/>
  <c r="N1086" i="1"/>
  <c r="I35" i="31" s="1"/>
  <c r="T1125" i="1"/>
  <c r="J34" i="137" s="1"/>
  <c r="N1125" i="1"/>
  <c r="J34" i="31" s="1"/>
  <c r="H1009" i="1"/>
  <c r="H1019" i="1" s="1"/>
  <c r="H1020" i="1" s="1"/>
  <c r="H1021" i="1"/>
  <c r="W1007" i="1"/>
  <c r="T1010" i="1"/>
  <c r="G30" i="137" s="1"/>
  <c r="N1010" i="1"/>
  <c r="G30" i="31" s="1"/>
  <c r="T1011" i="1"/>
  <c r="G31" i="137" s="1"/>
  <c r="N1011" i="1"/>
  <c r="G31" i="31" s="1"/>
  <c r="T940" i="1"/>
  <c r="E33" i="137" s="1"/>
  <c r="N940" i="1"/>
  <c r="E33" i="31" s="1"/>
  <c r="T1121" i="1"/>
  <c r="J32" i="137" s="1"/>
  <c r="N1121" i="1"/>
  <c r="J32" i="31" s="1"/>
  <c r="T874" i="1"/>
  <c r="C38" i="137" s="1"/>
  <c r="N874" i="1"/>
  <c r="C38" i="31" s="1"/>
  <c r="T975" i="1"/>
  <c r="F31" i="137" s="1"/>
  <c r="N975" i="1"/>
  <c r="F31" i="31" s="1"/>
  <c r="T910" i="1"/>
  <c r="D38" i="137" s="1"/>
  <c r="N910" i="1"/>
  <c r="D38" i="31" s="1"/>
  <c r="H937" i="1"/>
  <c r="H947" i="1" s="1"/>
  <c r="H948" i="1" s="1"/>
  <c r="W935" i="1"/>
  <c r="H949" i="1"/>
  <c r="T1015" i="1"/>
  <c r="G36" i="137" s="1"/>
  <c r="N1015" i="1"/>
  <c r="G36" i="31" s="1"/>
  <c r="H13" i="59" s="1"/>
  <c r="H14" i="59" s="1"/>
  <c r="T868" i="1"/>
  <c r="C33" i="137" s="1"/>
  <c r="N868" i="1"/>
  <c r="C33" i="31" s="1"/>
  <c r="T1123" i="1"/>
  <c r="J36" i="137" s="1"/>
  <c r="N1123" i="1"/>
  <c r="J36" i="31" s="1"/>
  <c r="K13" i="59" s="1"/>
  <c r="K14" i="59" s="1"/>
  <c r="T981" i="1"/>
  <c r="F34" i="137" s="1"/>
  <c r="N981" i="1"/>
  <c r="F34" i="31" s="1"/>
  <c r="T1047" i="1"/>
  <c r="H31" i="137" s="1"/>
  <c r="N1047" i="1"/>
  <c r="H31" i="31" s="1"/>
  <c r="T1014" i="1"/>
  <c r="G35" i="137" s="1"/>
  <c r="N1014" i="1"/>
  <c r="G35" i="31" s="1"/>
  <c r="T873" i="1"/>
  <c r="N873" i="1"/>
  <c r="T1053" i="1"/>
  <c r="H34" i="137" s="1"/>
  <c r="N1053" i="1"/>
  <c r="H34" i="31" s="1"/>
  <c r="T1008" i="1"/>
  <c r="G28" i="137" s="1"/>
  <c r="N1008" i="1"/>
  <c r="G28" i="31" s="1"/>
  <c r="T939" i="1"/>
  <c r="E31" i="137" s="1"/>
  <c r="N939" i="1"/>
  <c r="E31" i="31" s="1"/>
  <c r="T1052" i="1"/>
  <c r="H37" i="137" s="1"/>
  <c r="N1052" i="1"/>
  <c r="H37" i="31" s="1"/>
  <c r="I28" i="59" s="1"/>
  <c r="I31" i="59" s="1"/>
  <c r="I1021" i="1"/>
  <c r="BK1021" i="1" s="1"/>
  <c r="BD1021" i="1" s="1"/>
  <c r="S1021" i="1" s="1"/>
  <c r="I1009" i="1"/>
  <c r="I1019" i="1" s="1"/>
  <c r="T904" i="1"/>
  <c r="D33" i="137" s="1"/>
  <c r="N904" i="1"/>
  <c r="D33" i="31" s="1"/>
  <c r="T905" i="1"/>
  <c r="D32" i="137" s="1"/>
  <c r="N905" i="1"/>
  <c r="D32" i="31" s="1"/>
  <c r="T946" i="1"/>
  <c r="E38" i="137" s="1"/>
  <c r="N946" i="1"/>
  <c r="E38" i="31" s="1"/>
  <c r="T1013" i="1"/>
  <c r="G32" i="137" s="1"/>
  <c r="N1013" i="1"/>
  <c r="G32" i="31" s="1"/>
  <c r="T1051" i="1"/>
  <c r="H36" i="137" s="1"/>
  <c r="N1051" i="1"/>
  <c r="H36" i="31" s="1"/>
  <c r="I13" i="59" s="1"/>
  <c r="I14" i="59" s="1"/>
  <c r="H1057" i="1"/>
  <c r="W1043" i="1"/>
  <c r="H1045" i="1"/>
  <c r="H1055" i="1" s="1"/>
  <c r="H1056" i="1" s="1"/>
  <c r="H1129" i="1"/>
  <c r="H1117" i="1"/>
  <c r="H1127" i="1" s="1"/>
  <c r="H1128" i="1" s="1"/>
  <c r="W1115" i="1"/>
  <c r="T1124" i="1"/>
  <c r="N1124" i="1"/>
  <c r="O69" i="6"/>
  <c r="O73" i="6" s="1"/>
  <c r="H913" i="1"/>
  <c r="H901" i="1"/>
  <c r="H911" i="1" s="1"/>
  <c r="H912" i="1" s="1"/>
  <c r="W899" i="1"/>
  <c r="T982" i="1"/>
  <c r="F38" i="137" s="1"/>
  <c r="N982" i="1"/>
  <c r="F38" i="31" s="1"/>
  <c r="T980" i="1"/>
  <c r="F37" i="137" s="1"/>
  <c r="N980" i="1"/>
  <c r="F37" i="31" s="1"/>
  <c r="G28" i="59" s="1"/>
  <c r="G31" i="59" s="1"/>
  <c r="T906" i="1"/>
  <c r="D35" i="137" s="1"/>
  <c r="N906" i="1"/>
  <c r="D35" i="31" s="1"/>
  <c r="T941" i="1"/>
  <c r="E32" i="137" s="1"/>
  <c r="N941" i="1"/>
  <c r="E32" i="31" s="1"/>
  <c r="T944" i="1"/>
  <c r="E37" i="137" s="1"/>
  <c r="N944" i="1"/>
  <c r="E37" i="31" s="1"/>
  <c r="F28" i="59" s="1"/>
  <c r="F31" i="59" s="1"/>
  <c r="T867" i="1"/>
  <c r="C31" i="137" s="1"/>
  <c r="N867" i="1"/>
  <c r="C31" i="31" s="1"/>
  <c r="T1016" i="1"/>
  <c r="G37" i="137" s="1"/>
  <c r="N1016" i="1"/>
  <c r="G37" i="31" s="1"/>
  <c r="H28" i="59" s="1"/>
  <c r="H31" i="59" s="1"/>
  <c r="T977" i="1"/>
  <c r="F32" i="137" s="1"/>
  <c r="N977" i="1"/>
  <c r="F32" i="31" s="1"/>
  <c r="T1126" i="1"/>
  <c r="J38" i="137" s="1"/>
  <c r="N1126" i="1"/>
  <c r="J38" i="31" s="1"/>
  <c r="I973" i="1"/>
  <c r="I983" i="1" s="1"/>
  <c r="I985" i="1"/>
  <c r="BK985" i="1" s="1"/>
  <c r="BD985" i="1" s="1"/>
  <c r="S985" i="1" s="1"/>
  <c r="T903" i="1"/>
  <c r="D31" i="137" s="1"/>
  <c r="N903" i="1"/>
  <c r="D31" i="31" s="1"/>
  <c r="T1116" i="1"/>
  <c r="J28" i="137" s="1"/>
  <c r="N1116" i="1"/>
  <c r="J28" i="31" s="1"/>
  <c r="T1084" i="1"/>
  <c r="I33" i="137" s="1"/>
  <c r="N1084" i="1"/>
  <c r="I33" i="31" s="1"/>
  <c r="T1089" i="1"/>
  <c r="I34" i="137" s="1"/>
  <c r="N1089" i="1"/>
  <c r="I34" i="31" s="1"/>
  <c r="W1079" i="1"/>
  <c r="H1093" i="1"/>
  <c r="H1081" i="1"/>
  <c r="H1091" i="1" s="1"/>
  <c r="H1092" i="1" s="1"/>
  <c r="T871" i="1"/>
  <c r="N871" i="1"/>
  <c r="O80" i="6"/>
  <c r="O82" i="6" s="1"/>
  <c r="T1088" i="1"/>
  <c r="I37" i="137" s="1"/>
  <c r="N1088" i="1"/>
  <c r="I37" i="31" s="1"/>
  <c r="J28" i="59" s="1"/>
  <c r="J31" i="59" s="1"/>
  <c r="T1090" i="1"/>
  <c r="I38" i="137" s="1"/>
  <c r="N1090" i="1"/>
  <c r="I38" i="31" s="1"/>
  <c r="I913" i="1"/>
  <c r="BK913" i="1" s="1"/>
  <c r="BD913" i="1" s="1"/>
  <c r="S913" i="1" s="1"/>
  <c r="I901" i="1"/>
  <c r="I911" i="1" s="1"/>
  <c r="I865" i="1"/>
  <c r="I875" i="1" s="1"/>
  <c r="I877" i="1"/>
  <c r="BK877" i="1" s="1"/>
  <c r="BD877" i="1" s="1"/>
  <c r="S877" i="1" s="1"/>
  <c r="T864" i="1"/>
  <c r="C28" i="137" s="1"/>
  <c r="N864" i="1"/>
  <c r="C28" i="31" s="1"/>
  <c r="I937" i="1"/>
  <c r="I947" i="1" s="1"/>
  <c r="I949" i="1"/>
  <c r="BK949" i="1" s="1"/>
  <c r="BD949" i="1" s="1"/>
  <c r="S949" i="1" s="1"/>
  <c r="I1117" i="1"/>
  <c r="I1127" i="1" s="1"/>
  <c r="I1129" i="1"/>
  <c r="BK1129" i="1" s="1"/>
  <c r="BD1129" i="1" s="1"/>
  <c r="S1129" i="1" s="1"/>
  <c r="T974" i="1"/>
  <c r="F30" i="137" s="1"/>
  <c r="N974" i="1"/>
  <c r="F30" i="31" s="1"/>
  <c r="T866" i="1"/>
  <c r="N866" i="1"/>
  <c r="O58" i="6"/>
  <c r="T900" i="1"/>
  <c r="D28" i="137" s="1"/>
  <c r="N900" i="1"/>
  <c r="D28" i="31" s="1"/>
  <c r="T908" i="1"/>
  <c r="D37" i="137" s="1"/>
  <c r="N908" i="1"/>
  <c r="D37" i="31" s="1"/>
  <c r="E28" i="59" s="1"/>
  <c r="E31" i="59" s="1"/>
  <c r="T1046" i="1"/>
  <c r="H30" i="137" s="1"/>
  <c r="N1046" i="1"/>
  <c r="H30" i="31" s="1"/>
  <c r="T979" i="1"/>
  <c r="F36" i="137" s="1"/>
  <c r="N979" i="1"/>
  <c r="F36" i="31" s="1"/>
  <c r="G13" i="59" s="1"/>
  <c r="G14" i="59" s="1"/>
  <c r="I1093" i="1"/>
  <c r="BK1093" i="1" s="1"/>
  <c r="BD1093" i="1" s="1"/>
  <c r="S1093" i="1" s="1"/>
  <c r="I1081" i="1"/>
  <c r="I1091" i="1" s="1"/>
  <c r="T870" i="1"/>
  <c r="C35" i="137" s="1"/>
  <c r="N870" i="1"/>
  <c r="C35" i="31" s="1"/>
  <c r="T909" i="1"/>
  <c r="D34" i="137" s="1"/>
  <c r="N909" i="1"/>
  <c r="D34" i="31" s="1"/>
  <c r="T872" i="1"/>
  <c r="N872" i="1"/>
  <c r="O64" i="6"/>
  <c r="T1083" i="1"/>
  <c r="I31" i="137" s="1"/>
  <c r="N1083" i="1"/>
  <c r="I31" i="31" s="1"/>
  <c r="N1048" i="1"/>
  <c r="H33" i="31" s="1"/>
  <c r="T1087" i="1"/>
  <c r="I36" i="137" s="1"/>
  <c r="N1087" i="1"/>
  <c r="I36" i="31" s="1"/>
  <c r="J13" i="59" s="1"/>
  <c r="J14" i="59" s="1"/>
  <c r="T976" i="1"/>
  <c r="F33" i="137" s="1"/>
  <c r="N976" i="1"/>
  <c r="F33" i="31" s="1"/>
  <c r="T1082" i="1"/>
  <c r="I30" i="137" s="1"/>
  <c r="N1082" i="1"/>
  <c r="I30" i="31" s="1"/>
  <c r="N978" i="1"/>
  <c r="F35" i="31" s="1"/>
  <c r="T978" i="1"/>
  <c r="F35" i="137" s="1"/>
  <c r="T1018" i="1"/>
  <c r="G38" i="137" s="1"/>
  <c r="N1018" i="1"/>
  <c r="G38" i="31" s="1"/>
  <c r="T1120" i="1"/>
  <c r="J33" i="137" s="1"/>
  <c r="N1120" i="1"/>
  <c r="J33" i="31" s="1"/>
  <c r="T1049" i="1"/>
  <c r="H32" i="137" s="1"/>
  <c r="N1049" i="1"/>
  <c r="H32" i="31" s="1"/>
  <c r="T869" i="1"/>
  <c r="C32" i="137" s="1"/>
  <c r="N869" i="1"/>
  <c r="C32" i="31" s="1"/>
  <c r="T1122" i="1"/>
  <c r="J35" i="137" s="1"/>
  <c r="N1122" i="1"/>
  <c r="J35" i="31" s="1"/>
  <c r="T936" i="1"/>
  <c r="E28" i="137" s="1"/>
  <c r="N936" i="1"/>
  <c r="E28" i="31" s="1"/>
  <c r="T1085" i="1"/>
  <c r="I32" i="137" s="1"/>
  <c r="N1085" i="1"/>
  <c r="I32" i="31" s="1"/>
  <c r="T1118" i="1"/>
  <c r="J30" i="137" s="1"/>
  <c r="N1118" i="1"/>
  <c r="J30" i="31" s="1"/>
  <c r="T1080" i="1"/>
  <c r="I28" i="137" s="1"/>
  <c r="N1080" i="1"/>
  <c r="I28" i="31" s="1"/>
  <c r="N1858" i="1"/>
  <c r="D52" i="12" s="1"/>
  <c r="T1858" i="1"/>
  <c r="H1868" i="1"/>
  <c r="W1868" i="1" s="1"/>
  <c r="W1865" i="1"/>
  <c r="K33" i="31" l="1"/>
  <c r="L260" i="60" s="1"/>
  <c r="J260" i="60" s="1"/>
  <c r="BK947" i="1"/>
  <c r="BD947" i="1" s="1"/>
  <c r="S947" i="1" s="1"/>
  <c r="I948" i="1"/>
  <c r="BK948" i="1" s="1"/>
  <c r="BD948" i="1" s="1"/>
  <c r="S948" i="1" s="1"/>
  <c r="W1093" i="1"/>
  <c r="T1079" i="1"/>
  <c r="L108" i="6" s="1"/>
  <c r="L109" i="6" s="1"/>
  <c r="W1081" i="1"/>
  <c r="W1091" i="1" s="1"/>
  <c r="W1092" i="1" s="1"/>
  <c r="N1079" i="1"/>
  <c r="I27" i="31" s="1"/>
  <c r="C34" i="137"/>
  <c r="K34" i="137" s="1"/>
  <c r="C37" i="137"/>
  <c r="L64" i="6"/>
  <c r="C30" i="31"/>
  <c r="K30" i="31" s="1"/>
  <c r="F58" i="6"/>
  <c r="K28" i="31"/>
  <c r="J37" i="31"/>
  <c r="K28" i="59" s="1"/>
  <c r="K31" i="59" s="1"/>
  <c r="F69" i="6"/>
  <c r="F73" i="6" s="1"/>
  <c r="C30" i="137"/>
  <c r="K30" i="137" s="1"/>
  <c r="L58" i="6"/>
  <c r="K28" i="137"/>
  <c r="BK983" i="1"/>
  <c r="BD983" i="1" s="1"/>
  <c r="S983" i="1" s="1"/>
  <c r="I984" i="1"/>
  <c r="BK984" i="1" s="1"/>
  <c r="BD984" i="1" s="1"/>
  <c r="S984" i="1" s="1"/>
  <c r="J37" i="137"/>
  <c r="L69" i="6"/>
  <c r="L73" i="6" s="1"/>
  <c r="K33" i="137"/>
  <c r="K31" i="31"/>
  <c r="W1057" i="1"/>
  <c r="N1043" i="1"/>
  <c r="H27" i="31" s="1"/>
  <c r="W1045" i="1"/>
  <c r="W1055" i="1" s="1"/>
  <c r="W1056" i="1" s="1"/>
  <c r="T1043" i="1"/>
  <c r="C34" i="31"/>
  <c r="K34" i="31" s="1"/>
  <c r="F11" i="6"/>
  <c r="K38" i="31"/>
  <c r="T1115" i="1"/>
  <c r="W1117" i="1"/>
  <c r="W1127" i="1" s="1"/>
  <c r="W1128" i="1" s="1"/>
  <c r="N1115" i="1"/>
  <c r="J27" i="31" s="1"/>
  <c r="W1129" i="1"/>
  <c r="BK1019" i="1"/>
  <c r="BD1019" i="1" s="1"/>
  <c r="S1019" i="1" s="1"/>
  <c r="I1020" i="1"/>
  <c r="BK1020" i="1" s="1"/>
  <c r="BD1020" i="1" s="1"/>
  <c r="S1020" i="1" s="1"/>
  <c r="K31" i="137"/>
  <c r="W973" i="1"/>
  <c r="W983" i="1" s="1"/>
  <c r="W984" i="1" s="1"/>
  <c r="T971" i="1"/>
  <c r="N971" i="1"/>
  <c r="F27" i="31" s="1"/>
  <c r="W985" i="1"/>
  <c r="K32" i="31"/>
  <c r="L259" i="60" s="1"/>
  <c r="J259" i="60" s="1"/>
  <c r="K35" i="31"/>
  <c r="L262" i="60" s="1"/>
  <c r="J262" i="60" s="1"/>
  <c r="BK875" i="1"/>
  <c r="BD875" i="1" s="1"/>
  <c r="S875" i="1" s="1"/>
  <c r="I876" i="1"/>
  <c r="BK876" i="1" s="1"/>
  <c r="BD876" i="1" s="1"/>
  <c r="S876" i="1" s="1"/>
  <c r="C36" i="31"/>
  <c r="F80" i="6"/>
  <c r="F82" i="6" s="1"/>
  <c r="K38" i="137"/>
  <c r="N863" i="1"/>
  <c r="C27" i="31" s="1"/>
  <c r="W865" i="1"/>
  <c r="W875" i="1" s="1"/>
  <c r="W876" i="1" s="1"/>
  <c r="W877" i="1"/>
  <c r="T863" i="1"/>
  <c r="K32" i="137"/>
  <c r="BK911" i="1"/>
  <c r="BD911" i="1" s="1"/>
  <c r="S911" i="1" s="1"/>
  <c r="I912" i="1"/>
  <c r="BK912" i="1" s="1"/>
  <c r="BD912" i="1" s="1"/>
  <c r="S912" i="1" s="1"/>
  <c r="C36" i="137"/>
  <c r="K36" i="137" s="1"/>
  <c r="L34" i="135" s="1"/>
  <c r="L80" i="6"/>
  <c r="L82" i="6" s="1"/>
  <c r="N899" i="1"/>
  <c r="D27" i="31" s="1"/>
  <c r="W901" i="1"/>
  <c r="W911" i="1" s="1"/>
  <c r="W912" i="1" s="1"/>
  <c r="T899" i="1"/>
  <c r="W913" i="1"/>
  <c r="O11" i="6"/>
  <c r="BK1055" i="1"/>
  <c r="BD1055" i="1" s="1"/>
  <c r="S1055" i="1" s="1"/>
  <c r="I1056" i="1"/>
  <c r="BK1056" i="1" s="1"/>
  <c r="BD1056" i="1" s="1"/>
  <c r="S1056" i="1" s="1"/>
  <c r="C37" i="31"/>
  <c r="F64" i="6"/>
  <c r="K35" i="137"/>
  <c r="BK1091" i="1"/>
  <c r="BD1091" i="1" s="1"/>
  <c r="S1091" i="1" s="1"/>
  <c r="I1092" i="1"/>
  <c r="BK1092" i="1" s="1"/>
  <c r="BD1092" i="1" s="1"/>
  <c r="S1092" i="1" s="1"/>
  <c r="BK1127" i="1"/>
  <c r="BD1127" i="1" s="1"/>
  <c r="S1127" i="1" s="1"/>
  <c r="I1128" i="1"/>
  <c r="BK1128" i="1" s="1"/>
  <c r="BD1128" i="1" s="1"/>
  <c r="S1128" i="1" s="1"/>
  <c r="O108" i="6"/>
  <c r="O109" i="6" s="1"/>
  <c r="W949" i="1"/>
  <c r="N935" i="1"/>
  <c r="E27" i="31" s="1"/>
  <c r="W937" i="1"/>
  <c r="W947" i="1" s="1"/>
  <c r="W948" i="1" s="1"/>
  <c r="T935" i="1"/>
  <c r="W1021" i="1"/>
  <c r="T1007" i="1"/>
  <c r="W1009" i="1"/>
  <c r="W1019" i="1" s="1"/>
  <c r="W1020" i="1" s="1"/>
  <c r="N1007" i="1"/>
  <c r="G27" i="31" s="1"/>
  <c r="N1865" i="1"/>
  <c r="T1865" i="1"/>
  <c r="N1868" i="1"/>
  <c r="T1868" i="1"/>
  <c r="D77" i="12" s="1"/>
  <c r="F77" i="12" s="1"/>
  <c r="F52" i="12"/>
  <c r="D59" i="12"/>
  <c r="F108" i="6" l="1"/>
  <c r="F109" i="6" s="1"/>
  <c r="L257" i="60"/>
  <c r="J257" i="60" s="1"/>
  <c r="M240" i="60"/>
  <c r="J250" i="60" s="1"/>
  <c r="D43" i="31"/>
  <c r="D29" i="31"/>
  <c r="D39" i="31" s="1"/>
  <c r="D41" i="31" s="1"/>
  <c r="D51" i="31" s="1"/>
  <c r="E173" i="60" s="1"/>
  <c r="G60" i="20"/>
  <c r="E29" i="31"/>
  <c r="E39" i="31" s="1"/>
  <c r="E41" i="31" s="1"/>
  <c r="E51" i="31" s="1"/>
  <c r="F173" i="60" s="1"/>
  <c r="E43" i="31"/>
  <c r="C29" i="31"/>
  <c r="C43" i="31"/>
  <c r="K27" i="31"/>
  <c r="L261" i="60"/>
  <c r="J261" i="60" s="1"/>
  <c r="H142" i="138"/>
  <c r="I29" i="31"/>
  <c r="I39" i="31" s="1"/>
  <c r="I41" i="31" s="1"/>
  <c r="I51" i="31" s="1"/>
  <c r="J183" i="60" s="1"/>
  <c r="I43" i="31"/>
  <c r="G29" i="31"/>
  <c r="G39" i="31" s="1"/>
  <c r="G41" i="31" s="1"/>
  <c r="G51" i="31" s="1"/>
  <c r="H173" i="60" s="1"/>
  <c r="G43" i="31"/>
  <c r="T1057" i="1"/>
  <c r="N1057" i="1" s="1"/>
  <c r="H27" i="137"/>
  <c r="T1045" i="1"/>
  <c r="D28" i="59"/>
  <c r="K37" i="31"/>
  <c r="J29" i="31"/>
  <c r="J39" i="31" s="1"/>
  <c r="J41" i="31" s="1"/>
  <c r="J51" i="31" s="1"/>
  <c r="K183" i="60" s="1"/>
  <c r="J43" i="31"/>
  <c r="G27" i="137"/>
  <c r="T1021" i="1"/>
  <c r="N1021" i="1" s="1"/>
  <c r="T1009" i="1"/>
  <c r="F43" i="31"/>
  <c r="F29" i="31"/>
  <c r="F39" i="31" s="1"/>
  <c r="F41" i="31" s="1"/>
  <c r="T1093" i="1"/>
  <c r="N1093" i="1" s="1"/>
  <c r="I27" i="137"/>
  <c r="T1081" i="1"/>
  <c r="D13" i="59"/>
  <c r="K36" i="31"/>
  <c r="H60" i="20" s="1"/>
  <c r="F18" i="60" s="1"/>
  <c r="T973" i="1"/>
  <c r="F27" i="137"/>
  <c r="T985" i="1"/>
  <c r="N985" i="1" s="1"/>
  <c r="J27" i="137"/>
  <c r="T1117" i="1"/>
  <c r="T1129" i="1"/>
  <c r="N1129" i="1" s="1"/>
  <c r="H29" i="31"/>
  <c r="H39" i="31" s="1"/>
  <c r="H41" i="31" s="1"/>
  <c r="H51" i="31" s="1"/>
  <c r="I173" i="60" s="1"/>
  <c r="H43" i="31"/>
  <c r="T937" i="1"/>
  <c r="T949" i="1"/>
  <c r="N949" i="1" s="1"/>
  <c r="E27" i="137"/>
  <c r="T913" i="1"/>
  <c r="N913" i="1" s="1"/>
  <c r="D27" i="137"/>
  <c r="T901" i="1"/>
  <c r="K37" i="137"/>
  <c r="L265" i="60"/>
  <c r="J265" i="60" s="1"/>
  <c r="H141" i="138"/>
  <c r="W1136" i="1"/>
  <c r="C27" i="137"/>
  <c r="T877" i="1"/>
  <c r="N877" i="1" s="1"/>
  <c r="T865" i="1"/>
  <c r="L258" i="60"/>
  <c r="J258" i="60" s="1"/>
  <c r="E27" i="42"/>
  <c r="H167" i="138"/>
  <c r="L11" i="6"/>
  <c r="D63" i="12"/>
  <c r="D79" i="12" s="1"/>
  <c r="F79" i="12" s="1"/>
  <c r="F59" i="12"/>
  <c r="F63" i="12" s="1"/>
  <c r="F80" i="12" l="1"/>
  <c r="D267" i="60" s="1"/>
  <c r="H143" i="138"/>
  <c r="G29" i="137"/>
  <c r="G39" i="137" s="1"/>
  <c r="G43" i="137"/>
  <c r="C39" i="31"/>
  <c r="M29" i="31"/>
  <c r="L182" i="60" s="1"/>
  <c r="T875" i="1"/>
  <c r="N865" i="1"/>
  <c r="N901" i="1"/>
  <c r="T911" i="1"/>
  <c r="T1091" i="1"/>
  <c r="N1081" i="1"/>
  <c r="D43" i="137"/>
  <c r="D29" i="137"/>
  <c r="D39" i="137" s="1"/>
  <c r="T1127" i="1"/>
  <c r="N1117" i="1"/>
  <c r="I29" i="137"/>
  <c r="I39" i="137" s="1"/>
  <c r="I43" i="137"/>
  <c r="J29" i="137"/>
  <c r="J39" i="137" s="1"/>
  <c r="J43" i="137"/>
  <c r="H150" i="138"/>
  <c r="G152" i="138" s="1"/>
  <c r="M241" i="60"/>
  <c r="L264" i="60"/>
  <c r="J264" i="60" s="1"/>
  <c r="E29" i="137"/>
  <c r="E39" i="137" s="1"/>
  <c r="E43" i="137"/>
  <c r="L28" i="59"/>
  <c r="L31" i="59" s="1"/>
  <c r="L35" i="59" s="1"/>
  <c r="D31" i="59"/>
  <c r="C29" i="137"/>
  <c r="C43" i="137"/>
  <c r="K27" i="137"/>
  <c r="F29" i="137"/>
  <c r="F39" i="137" s="1"/>
  <c r="F43" i="137"/>
  <c r="T1055" i="1"/>
  <c r="N1045" i="1"/>
  <c r="L144" i="138"/>
  <c r="H145" i="138"/>
  <c r="T947" i="1"/>
  <c r="N937" i="1"/>
  <c r="T983" i="1"/>
  <c r="N973" i="1"/>
  <c r="T1019" i="1"/>
  <c r="N1009" i="1"/>
  <c r="H29" i="137"/>
  <c r="H39" i="137" s="1"/>
  <c r="H43" i="137"/>
  <c r="K29" i="31"/>
  <c r="K39" i="31" s="1"/>
  <c r="K41" i="31" s="1"/>
  <c r="K43" i="31"/>
  <c r="L13" i="59"/>
  <c r="L14" i="59" s="1"/>
  <c r="L18" i="59" s="1"/>
  <c r="D14" i="59"/>
  <c r="I27" i="42"/>
  <c r="E28" i="42"/>
  <c r="E32" i="42" s="1"/>
  <c r="L263" i="60"/>
  <c r="J263" i="60" s="1"/>
  <c r="L34" i="29"/>
  <c r="N983" i="1" l="1"/>
  <c r="F40" i="31" s="1"/>
  <c r="G172" i="60" s="1"/>
  <c r="T984" i="1"/>
  <c r="N1055" i="1"/>
  <c r="H40" i="31" s="1"/>
  <c r="I172" i="60" s="1"/>
  <c r="T1056" i="1"/>
  <c r="I40" i="137"/>
  <c r="I41" i="137"/>
  <c r="I50" i="137" s="1"/>
  <c r="I51" i="137" s="1"/>
  <c r="E40" i="137"/>
  <c r="E41" i="137"/>
  <c r="E50" i="137" s="1"/>
  <c r="E51" i="137" s="1"/>
  <c r="N947" i="1"/>
  <c r="E40" i="31" s="1"/>
  <c r="F172" i="60" s="1"/>
  <c r="T948" i="1"/>
  <c r="F40" i="137"/>
  <c r="F41" i="137"/>
  <c r="N1127" i="1"/>
  <c r="J40" i="31" s="1"/>
  <c r="K182" i="60" s="1"/>
  <c r="T1128" i="1"/>
  <c r="N875" i="1"/>
  <c r="C40" i="31" s="1"/>
  <c r="D172" i="60" s="1"/>
  <c r="T876" i="1"/>
  <c r="M242" i="60"/>
  <c r="J251" i="60"/>
  <c r="D41" i="137"/>
  <c r="D51" i="137" s="1"/>
  <c r="D40" i="137"/>
  <c r="H40" i="137"/>
  <c r="H41" i="137"/>
  <c r="H50" i="137" s="1"/>
  <c r="H51" i="137" s="1"/>
  <c r="C41" i="31"/>
  <c r="C51" i="31" s="1"/>
  <c r="D173" i="60" s="1"/>
  <c r="T912" i="1"/>
  <c r="N911" i="1"/>
  <c r="D40" i="31" s="1"/>
  <c r="E172" i="60" s="1"/>
  <c r="K29" i="137"/>
  <c r="K39" i="137" s="1"/>
  <c r="K41" i="137" s="1"/>
  <c r="K43" i="137"/>
  <c r="C39" i="137"/>
  <c r="M29" i="137"/>
  <c r="N1019" i="1"/>
  <c r="G40" i="31" s="1"/>
  <c r="H172" i="60" s="1"/>
  <c r="T1020" i="1"/>
  <c r="J40" i="137"/>
  <c r="J41" i="137"/>
  <c r="J50" i="137" s="1"/>
  <c r="J51" i="137" s="1"/>
  <c r="N1091" i="1"/>
  <c r="I40" i="31" s="1"/>
  <c r="J182" i="60" s="1"/>
  <c r="T1092" i="1"/>
  <c r="G40" i="137"/>
  <c r="G41" i="137"/>
  <c r="G50" i="137" s="1"/>
  <c r="G51" i="137" s="1"/>
  <c r="J252" i="60" l="1"/>
  <c r="E111" i="137"/>
  <c r="E114" i="137" s="1"/>
  <c r="E115" i="137" s="1"/>
  <c r="E111" i="31"/>
  <c r="E114" i="31" s="1"/>
  <c r="E115" i="31" s="1"/>
  <c r="F174" i="60" s="1"/>
  <c r="N948" i="1"/>
  <c r="H111" i="137"/>
  <c r="H114" i="137" s="1"/>
  <c r="H115" i="137" s="1"/>
  <c r="H111" i="31"/>
  <c r="H114" i="31" s="1"/>
  <c r="H115" i="31" s="1"/>
  <c r="I174" i="60" s="1"/>
  <c r="N1056" i="1"/>
  <c r="D111" i="31"/>
  <c r="D114" i="31" s="1"/>
  <c r="D115" i="31" s="1"/>
  <c r="E174" i="60" s="1"/>
  <c r="N912" i="1"/>
  <c r="D111" i="137"/>
  <c r="D114" i="137" s="1"/>
  <c r="D115" i="137" s="1"/>
  <c r="N1128" i="1"/>
  <c r="J111" i="31"/>
  <c r="J114" i="31" s="1"/>
  <c r="J115" i="31" s="1"/>
  <c r="K184" i="60" s="1"/>
  <c r="J111" i="137"/>
  <c r="J114" i="137" s="1"/>
  <c r="J115" i="137" s="1"/>
  <c r="N1020" i="1"/>
  <c r="G111" i="137"/>
  <c r="G114" i="137" s="1"/>
  <c r="G115" i="137" s="1"/>
  <c r="G111" i="31"/>
  <c r="G114" i="31" s="1"/>
  <c r="G115" i="31" s="1"/>
  <c r="H174" i="60" s="1"/>
  <c r="C40" i="137"/>
  <c r="C41" i="137"/>
  <c r="C51" i="137" s="1"/>
  <c r="N1092" i="1"/>
  <c r="I111" i="137"/>
  <c r="I114" i="137" s="1"/>
  <c r="I115" i="137" s="1"/>
  <c r="I111" i="31"/>
  <c r="I114" i="31" s="1"/>
  <c r="I115" i="31" s="1"/>
  <c r="J184" i="60" s="1"/>
  <c r="C111" i="31"/>
  <c r="N876" i="1"/>
  <c r="C111" i="137"/>
  <c r="T1136" i="1"/>
  <c r="N984" i="1"/>
  <c r="F111" i="31"/>
  <c r="F114" i="31" s="1"/>
  <c r="F111" i="137"/>
  <c r="F114" i="137" s="1"/>
  <c r="C114" i="31" l="1"/>
  <c r="C115" i="31" s="1"/>
  <c r="D174" i="60" s="1"/>
  <c r="K111" i="31"/>
  <c r="K114" i="31" s="1"/>
  <c r="N1136" i="1"/>
  <c r="C114" i="137"/>
  <c r="C115" i="137" s="1"/>
  <c r="K111" i="137"/>
  <c r="K114" i="137" s="1"/>
  <c r="W144" i="1" l="1"/>
  <c r="H1203" i="1" l="1"/>
  <c r="W1201" i="1"/>
  <c r="AD66" i="22"/>
  <c r="AD134" i="22"/>
  <c r="N144" i="1"/>
  <c r="T144" i="1"/>
  <c r="AA134" i="22" l="1"/>
  <c r="CK134" i="22" s="1"/>
  <c r="AA66" i="22"/>
  <c r="D134" i="22"/>
  <c r="D66" i="22"/>
  <c r="U134" i="22"/>
  <c r="U66" i="22"/>
  <c r="F134" i="22"/>
  <c r="F66" i="22"/>
  <c r="T1201" i="1"/>
  <c r="W1203" i="1"/>
  <c r="W145" i="1"/>
  <c r="W57" i="1" l="1"/>
  <c r="AD67" i="22"/>
  <c r="T145" i="1"/>
  <c r="AD135" i="22"/>
  <c r="N145" i="1"/>
  <c r="H1211" i="1"/>
  <c r="H1212" i="1" s="1"/>
  <c r="W1212" i="1" s="1"/>
  <c r="T1212" i="1" s="1"/>
  <c r="N1212" i="1" s="1"/>
  <c r="W1207" i="1"/>
  <c r="N1201" i="1"/>
  <c r="E20" i="34" s="1"/>
  <c r="E22" i="34" s="1"/>
  <c r="C20" i="34"/>
  <c r="T1203" i="1"/>
  <c r="N1203" i="1" s="1"/>
  <c r="CK66" i="22"/>
  <c r="H991" i="1" l="1"/>
  <c r="W987" i="1"/>
  <c r="AA135" i="22"/>
  <c r="CK135" i="22" s="1"/>
  <c r="D135" i="22"/>
  <c r="D67" i="22"/>
  <c r="AA67" i="22"/>
  <c r="C76" i="17"/>
  <c r="C22" i="34"/>
  <c r="F71" i="22"/>
  <c r="T1207" i="1"/>
  <c r="W1211" i="1"/>
  <c r="AD71" i="22" s="1"/>
  <c r="AD70" i="22" s="1"/>
  <c r="O30" i="6" s="1"/>
  <c r="AD73" i="22"/>
  <c r="AD74" i="22" s="1"/>
  <c r="T57" i="1"/>
  <c r="F135" i="22"/>
  <c r="U67" i="22"/>
  <c r="F67" i="22"/>
  <c r="U135" i="22"/>
  <c r="N987" i="1" l="1"/>
  <c r="F46" i="31" s="1"/>
  <c r="W991" i="1"/>
  <c r="T987" i="1"/>
  <c r="C25" i="34"/>
  <c r="D191" i="60" s="1"/>
  <c r="D71" i="22"/>
  <c r="D70" i="22" s="1"/>
  <c r="D111" i="60" s="1"/>
  <c r="C77" i="17"/>
  <c r="C91" i="17" s="1"/>
  <c r="E29" i="21"/>
  <c r="AA73" i="22"/>
  <c r="AA74" i="22" s="1"/>
  <c r="CK67" i="22"/>
  <c r="E25" i="34"/>
  <c r="E191" i="60" s="1"/>
  <c r="F70" i="22"/>
  <c r="F111" i="60" s="1"/>
  <c r="T1211" i="1"/>
  <c r="N1207" i="1"/>
  <c r="E31" i="34" s="1"/>
  <c r="E35" i="34" s="1"/>
  <c r="E37" i="34" s="1"/>
  <c r="E192" i="60" s="1"/>
  <c r="C31" i="34"/>
  <c r="C35" i="34" s="1"/>
  <c r="C37" i="34" s="1"/>
  <c r="D192" i="60" s="1"/>
  <c r="W43" i="1"/>
  <c r="O118" i="6" s="1"/>
  <c r="C78" i="17" l="1"/>
  <c r="T991" i="1"/>
  <c r="N991" i="1" s="1"/>
  <c r="F46" i="137"/>
  <c r="F50" i="31"/>
  <c r="K46" i="31"/>
  <c r="K50" i="31" s="1"/>
  <c r="D73" i="22"/>
  <c r="N1211" i="1"/>
  <c r="U71" i="22" s="1"/>
  <c r="U70" i="22" s="1"/>
  <c r="F30" i="6" s="1"/>
  <c r="AA71" i="22"/>
  <c r="AA70" i="22" s="1"/>
  <c r="L30" i="6" s="1"/>
  <c r="T43" i="1"/>
  <c r="L118" i="6" s="1"/>
  <c r="N43" i="1"/>
  <c r="F118" i="6" s="1"/>
  <c r="W45" i="1" l="1"/>
  <c r="K51" i="31"/>
  <c r="K115" i="31"/>
  <c r="F51" i="31"/>
  <c r="G173" i="60" s="1"/>
  <c r="F115" i="31"/>
  <c r="G174" i="60" s="1"/>
  <c r="F50" i="137"/>
  <c r="K46" i="137"/>
  <c r="K50" i="137" s="1"/>
  <c r="G14" i="21"/>
  <c r="E14" i="21"/>
  <c r="K51" i="137" l="1"/>
  <c r="K115" i="137"/>
  <c r="F51" i="137"/>
  <c r="F115" i="137"/>
  <c r="T45" i="1"/>
  <c r="N45" i="1"/>
  <c r="O120" i="6"/>
  <c r="H14" i="21"/>
  <c r="D26" i="60" s="1"/>
  <c r="E16" i="21" l="1"/>
  <c r="L120" i="6"/>
  <c r="G16" i="21"/>
  <c r="F120" i="6"/>
  <c r="H16" i="21" l="1"/>
  <c r="D27" i="60" s="1"/>
  <c r="W1884" i="1" l="1"/>
  <c r="T1884" i="1" s="1"/>
  <c r="N1884" i="1" s="1"/>
  <c r="W2034" i="1" l="1"/>
  <c r="T2034" i="1" s="1"/>
  <c r="N2034" i="1" s="1"/>
  <c r="W2033" i="1"/>
  <c r="E120" i="50" l="1"/>
  <c r="D120" i="50" s="1"/>
  <c r="T2033" i="1"/>
  <c r="N2033" i="1" s="1"/>
  <c r="BK465" i="1" l="1"/>
  <c r="BD465" i="1" s="1"/>
  <c r="W465" i="1"/>
  <c r="S465" i="1" l="1"/>
  <c r="M15" i="28"/>
  <c r="BK464" i="1"/>
  <c r="BD464" i="1" s="1"/>
  <c r="W464" i="1"/>
  <c r="BK466" i="1"/>
  <c r="W466" i="1"/>
  <c r="T465" i="1"/>
  <c r="C15" i="28" s="1"/>
  <c r="N465" i="1"/>
  <c r="E15" i="28" s="1"/>
  <c r="W477" i="1"/>
  <c r="S464" i="1" l="1"/>
  <c r="M14" i="28"/>
  <c r="T477" i="1"/>
  <c r="C27" i="28" s="1"/>
  <c r="N477" i="1"/>
  <c r="E27" i="28" s="1"/>
  <c r="E41" i="42" s="1"/>
  <c r="I41" i="42" s="1"/>
  <c r="T466" i="1"/>
  <c r="C16" i="28" s="1"/>
  <c r="T464" i="1"/>
  <c r="C14" i="28" s="1"/>
  <c r="N464" i="1"/>
  <c r="E14" i="28" s="1"/>
  <c r="W1888" i="1" l="1"/>
  <c r="T1888" i="1" s="1"/>
  <c r="N1888" i="1" s="1"/>
  <c r="W1885" i="1" l="1"/>
  <c r="T1885" i="1" s="1"/>
  <c r="N1885" i="1" s="1"/>
  <c r="W1889" i="1"/>
  <c r="T1889" i="1" s="1"/>
  <c r="N1889" i="1" s="1"/>
  <c r="H2001" i="1" l="1"/>
  <c r="W2001" i="1" s="1"/>
  <c r="T2001" i="1" s="1"/>
  <c r="N2001" i="1" s="1"/>
  <c r="W1279" i="1" l="1"/>
  <c r="N1279" i="1" l="1"/>
  <c r="E30" i="36" s="1"/>
  <c r="T1279" i="1"/>
  <c r="C30" i="36" s="1"/>
  <c r="C56" i="35" l="1"/>
  <c r="D206" i="60" s="1"/>
  <c r="D38" i="17"/>
  <c r="F38" i="17" s="1"/>
  <c r="C40" i="36"/>
  <c r="D208" i="60" s="1"/>
  <c r="D33" i="17"/>
  <c r="F33" i="17" s="1"/>
  <c r="E40" i="36"/>
  <c r="E208" i="60" s="1"/>
  <c r="E56" i="35"/>
  <c r="E206" i="60" s="1"/>
  <c r="W401" i="1"/>
  <c r="T401" i="1" l="1"/>
  <c r="D21" i="27" s="1"/>
  <c r="T21" i="27" s="1"/>
  <c r="N401" i="1"/>
  <c r="F21" i="27" s="1"/>
  <c r="W1289" i="1"/>
  <c r="W1291" i="1"/>
  <c r="W1256" i="1"/>
  <c r="W1250" i="1"/>
  <c r="W1247" i="1"/>
  <c r="T1291" i="1" l="1"/>
  <c r="C23" i="36" s="1"/>
  <c r="N1291" i="1"/>
  <c r="E23" i="36" s="1"/>
  <c r="N1289" i="1"/>
  <c r="E20" i="36" s="1"/>
  <c r="G194" i="138" s="1"/>
  <c r="T1289" i="1"/>
  <c r="C20" i="36" s="1"/>
  <c r="N1247" i="1"/>
  <c r="E13" i="35" s="1"/>
  <c r="T1247" i="1"/>
  <c r="C13" i="35" s="1"/>
  <c r="V13" i="35" s="1"/>
  <c r="W1255" i="1"/>
  <c r="T1256" i="1"/>
  <c r="N1256" i="1"/>
  <c r="T1250" i="1"/>
  <c r="C25" i="35" s="1"/>
  <c r="V25" i="35" s="1"/>
  <c r="N1250" i="1"/>
  <c r="E25" i="35" s="1"/>
  <c r="W1273" i="1"/>
  <c r="W1260" i="1"/>
  <c r="W1276" i="1"/>
  <c r="W1238" i="1"/>
  <c r="W1246" i="1"/>
  <c r="W1257" i="1"/>
  <c r="W1274" i="1"/>
  <c r="W1281" i="1"/>
  <c r="W1275" i="1"/>
  <c r="H1303" i="1" l="1"/>
  <c r="W1300" i="1"/>
  <c r="N1276" i="1"/>
  <c r="E27" i="36" s="1"/>
  <c r="G192" i="138" s="1"/>
  <c r="T1276" i="1"/>
  <c r="C27" i="36" s="1"/>
  <c r="W1304" i="1"/>
  <c r="H1307" i="1"/>
  <c r="H1310" i="1" s="1"/>
  <c r="T1275" i="1"/>
  <c r="C22" i="36" s="1"/>
  <c r="N1275" i="1"/>
  <c r="E22" i="36" s="1"/>
  <c r="T1281" i="1"/>
  <c r="C13" i="36" s="1"/>
  <c r="N1281" i="1"/>
  <c r="E13" i="36" s="1"/>
  <c r="T1273" i="1"/>
  <c r="N1273" i="1"/>
  <c r="G124" i="138"/>
  <c r="D14" i="17"/>
  <c r="T1274" i="1"/>
  <c r="C19" i="36" s="1"/>
  <c r="N1274" i="1"/>
  <c r="E19" i="36" s="1"/>
  <c r="W1271" i="1"/>
  <c r="W1294" i="1"/>
  <c r="H1298" i="1"/>
  <c r="T1257" i="1"/>
  <c r="C33" i="35" s="1"/>
  <c r="V33" i="35" s="1"/>
  <c r="N1257" i="1"/>
  <c r="E33" i="35" s="1"/>
  <c r="W1249" i="1"/>
  <c r="H1253" i="1"/>
  <c r="H1263" i="1" s="1"/>
  <c r="W1237" i="1"/>
  <c r="N1246" i="1"/>
  <c r="E21" i="35" s="1"/>
  <c r="T1246" i="1"/>
  <c r="C21" i="35" s="1"/>
  <c r="T1238" i="1"/>
  <c r="C12" i="35" s="1"/>
  <c r="V12" i="35" s="1"/>
  <c r="N1238" i="1"/>
  <c r="E12" i="35" s="1"/>
  <c r="H1259" i="1"/>
  <c r="H1265" i="1" s="1"/>
  <c r="N1255" i="1"/>
  <c r="E31" i="35" s="1"/>
  <c r="T1255" i="1"/>
  <c r="W1259" i="1"/>
  <c r="W1263" i="1"/>
  <c r="N1260" i="1"/>
  <c r="E37" i="35" s="1"/>
  <c r="E40" i="35" s="1"/>
  <c r="T1260" i="1"/>
  <c r="C37" i="35" s="1"/>
  <c r="BK422" i="1"/>
  <c r="BD422" i="1" s="1"/>
  <c r="W422" i="1"/>
  <c r="W374" i="1"/>
  <c r="W1839" i="1"/>
  <c r="BK1839" i="1"/>
  <c r="BD1839" i="1" s="1"/>
  <c r="S1839" i="1" s="1"/>
  <c r="K134" i="6" s="1"/>
  <c r="W380" i="1"/>
  <c r="E35" i="35" l="1"/>
  <c r="Q32" i="27"/>
  <c r="S422" i="1"/>
  <c r="C18" i="36"/>
  <c r="F14" i="17"/>
  <c r="F53" i="17" s="1"/>
  <c r="D53" i="17"/>
  <c r="N1304" i="1"/>
  <c r="E49" i="36" s="1"/>
  <c r="E53" i="36" s="1"/>
  <c r="W1307" i="1"/>
  <c r="T1304" i="1"/>
  <c r="E18" i="36"/>
  <c r="C89" i="17"/>
  <c r="G121" i="138"/>
  <c r="D35" i="17"/>
  <c r="F35" i="17" s="1"/>
  <c r="T1294" i="1"/>
  <c r="W1298" i="1"/>
  <c r="N1294" i="1"/>
  <c r="E35" i="36" s="1"/>
  <c r="N1300" i="1"/>
  <c r="E45" i="36" s="1"/>
  <c r="E47" i="36" s="1"/>
  <c r="W1303" i="1"/>
  <c r="T1300" i="1"/>
  <c r="T1271" i="1"/>
  <c r="N1271" i="1"/>
  <c r="E14" i="36" s="1"/>
  <c r="V21" i="35"/>
  <c r="C88" i="17"/>
  <c r="D34" i="17"/>
  <c r="F34" i="17" s="1"/>
  <c r="M52" i="23"/>
  <c r="D119" i="60" s="1"/>
  <c r="T1263" i="1"/>
  <c r="N1263" i="1"/>
  <c r="F40" i="35" s="1"/>
  <c r="D203" i="60" s="1"/>
  <c r="I74" i="138"/>
  <c r="F21" i="35"/>
  <c r="D198" i="60" s="1"/>
  <c r="N52" i="23"/>
  <c r="F119" i="60" s="1"/>
  <c r="W1265" i="1"/>
  <c r="T1265" i="1" s="1"/>
  <c r="T1259" i="1"/>
  <c r="N1259" i="1" s="1"/>
  <c r="C31" i="35"/>
  <c r="N1237" i="1"/>
  <c r="E11" i="35" s="1"/>
  <c r="T1237" i="1"/>
  <c r="E45" i="35"/>
  <c r="T1249" i="1"/>
  <c r="N1249" i="1"/>
  <c r="E24" i="35" s="1"/>
  <c r="E27" i="35" s="1"/>
  <c r="W1253" i="1"/>
  <c r="V37" i="35"/>
  <c r="V40" i="35" s="1"/>
  <c r="C40" i="35"/>
  <c r="BK418" i="1"/>
  <c r="BD418" i="1" s="1"/>
  <c r="W418" i="1"/>
  <c r="W408" i="1"/>
  <c r="W409" i="1"/>
  <c r="BK409" i="1"/>
  <c r="BD409" i="1" s="1"/>
  <c r="N1839" i="1"/>
  <c r="O134" i="6"/>
  <c r="T1839" i="1"/>
  <c r="L134" i="6" s="1"/>
  <c r="W471" i="1"/>
  <c r="T374" i="1"/>
  <c r="N374" i="1"/>
  <c r="T422" i="1"/>
  <c r="D32" i="27" s="1"/>
  <c r="N422" i="1"/>
  <c r="F32" i="27" s="1"/>
  <c r="H32" i="27" s="1"/>
  <c r="W376" i="1"/>
  <c r="W378" i="1"/>
  <c r="W377" i="1"/>
  <c r="T380" i="1"/>
  <c r="D24" i="26" s="1"/>
  <c r="N380" i="1"/>
  <c r="F24" i="26" s="1"/>
  <c r="W396" i="1"/>
  <c r="W480" i="1"/>
  <c r="W109" i="1"/>
  <c r="W383" i="1"/>
  <c r="W385" i="1"/>
  <c r="W476" i="1"/>
  <c r="W386" i="1"/>
  <c r="W384" i="1"/>
  <c r="W1841" i="1"/>
  <c r="C90" i="17" l="1"/>
  <c r="C92" i="17" s="1"/>
  <c r="Q26" i="27"/>
  <c r="S409" i="1"/>
  <c r="S418" i="1"/>
  <c r="K14" i="6" s="1"/>
  <c r="Q29" i="27"/>
  <c r="F41" i="35"/>
  <c r="D204" i="60" s="1"/>
  <c r="E57" i="36"/>
  <c r="N1265" i="1"/>
  <c r="C49" i="36"/>
  <c r="C53" i="36" s="1"/>
  <c r="T1307" i="1"/>
  <c r="G195" i="138"/>
  <c r="E39" i="36"/>
  <c r="W1310" i="1"/>
  <c r="T109" i="1"/>
  <c r="AD92" i="22"/>
  <c r="N109" i="1"/>
  <c r="AD23" i="22"/>
  <c r="C35" i="36"/>
  <c r="C39" i="36" s="1"/>
  <c r="T1298" i="1"/>
  <c r="N1298" i="1" s="1"/>
  <c r="C14" i="36"/>
  <c r="T1303" i="1"/>
  <c r="N1303" i="1" s="1"/>
  <c r="C45" i="36"/>
  <c r="C47" i="36" s="1"/>
  <c r="W1278" i="1"/>
  <c r="C11" i="35"/>
  <c r="V11" i="35" s="1"/>
  <c r="C35" i="35"/>
  <c r="V31" i="35"/>
  <c r="V35" i="35" s="1"/>
  <c r="V45" i="35" s="1"/>
  <c r="C24" i="35"/>
  <c r="T1253" i="1"/>
  <c r="N1253" i="1" s="1"/>
  <c r="F27" i="35" s="1"/>
  <c r="F35" i="35"/>
  <c r="D201" i="60" s="1"/>
  <c r="BK410" i="1"/>
  <c r="BD410" i="1" s="1"/>
  <c r="W410" i="1"/>
  <c r="T386" i="1"/>
  <c r="D30" i="26" s="1"/>
  <c r="U30" i="26" s="1"/>
  <c r="N386" i="1"/>
  <c r="F30" i="26" s="1"/>
  <c r="F134" i="6"/>
  <c r="E134" i="6" s="1"/>
  <c r="F16" i="12"/>
  <c r="T1841" i="1"/>
  <c r="N1841" i="1"/>
  <c r="D13" i="12" s="1"/>
  <c r="W1849" i="1"/>
  <c r="BK463" i="1"/>
  <c r="BD463" i="1" s="1"/>
  <c r="W463" i="1"/>
  <c r="W1847" i="1"/>
  <c r="E38" i="42"/>
  <c r="I38" i="42" s="1"/>
  <c r="U24" i="26"/>
  <c r="T384" i="1"/>
  <c r="O63" i="6"/>
  <c r="O65" i="6" s="1"/>
  <c r="N384" i="1"/>
  <c r="T476" i="1"/>
  <c r="C26" i="28" s="1"/>
  <c r="N476" i="1"/>
  <c r="E26" i="28" s="1"/>
  <c r="N377" i="1"/>
  <c r="T377" i="1"/>
  <c r="F21" i="26"/>
  <c r="T409" i="1"/>
  <c r="D26" i="27" s="1"/>
  <c r="T26" i="27" s="1"/>
  <c r="N409" i="1"/>
  <c r="F26" i="27" s="1"/>
  <c r="H240" i="60" s="1"/>
  <c r="N480" i="1"/>
  <c r="T480" i="1"/>
  <c r="W375" i="1"/>
  <c r="D21" i="26"/>
  <c r="W467" i="1"/>
  <c r="BK467" i="1"/>
  <c r="BD467" i="1" s="1"/>
  <c r="T378" i="1"/>
  <c r="N378" i="1"/>
  <c r="T396" i="1"/>
  <c r="D16" i="27" s="1"/>
  <c r="T16" i="27" s="1"/>
  <c r="N396" i="1"/>
  <c r="F16" i="27" s="1"/>
  <c r="T376" i="1"/>
  <c r="N376" i="1"/>
  <c r="T471" i="1"/>
  <c r="N471" i="1"/>
  <c r="T408" i="1"/>
  <c r="N408" i="1"/>
  <c r="W1848" i="1"/>
  <c r="T418" i="1"/>
  <c r="D29" i="27" s="1"/>
  <c r="T29" i="27" s="1"/>
  <c r="N418" i="1"/>
  <c r="F29" i="27" s="1"/>
  <c r="E40" i="42" s="1"/>
  <c r="I40" i="42" s="1"/>
  <c r="N385" i="1"/>
  <c r="F29" i="26" s="1"/>
  <c r="T385" i="1"/>
  <c r="D29" i="26" s="1"/>
  <c r="T383" i="1"/>
  <c r="D27" i="26" s="1"/>
  <c r="N383" i="1"/>
  <c r="F27" i="26" s="1"/>
  <c r="G32" i="27"/>
  <c r="T32" i="27"/>
  <c r="W381" i="1"/>
  <c r="W438" i="1"/>
  <c r="W1842" i="1"/>
  <c r="W1283" i="1"/>
  <c r="W1834" i="1"/>
  <c r="W309" i="1"/>
  <c r="W1835" i="1"/>
  <c r="W1833" i="1"/>
  <c r="W1840" i="1"/>
  <c r="W367" i="1"/>
  <c r="W368" i="1"/>
  <c r="W399" i="1"/>
  <c r="W379" i="1"/>
  <c r="W382" i="1"/>
  <c r="W21" i="1"/>
  <c r="W395" i="1"/>
  <c r="W402" i="1"/>
  <c r="W371" i="1"/>
  <c r="N63" i="23" l="1"/>
  <c r="F128" i="60" s="1"/>
  <c r="S463" i="1"/>
  <c r="M13" i="28"/>
  <c r="S410" i="1"/>
  <c r="Q27" i="27"/>
  <c r="R25" i="20" s="1"/>
  <c r="H10" i="60" s="1"/>
  <c r="M17" i="28"/>
  <c r="S467" i="1"/>
  <c r="C57" i="36"/>
  <c r="C70" i="36" s="1"/>
  <c r="H425" i="1"/>
  <c r="H1293" i="1"/>
  <c r="H1309" i="1" s="1"/>
  <c r="H1311" i="1" s="1"/>
  <c r="W111" i="1"/>
  <c r="AA23" i="22"/>
  <c r="CK23" i="22" s="1"/>
  <c r="D23" i="22"/>
  <c r="AA92" i="22"/>
  <c r="CK92" i="22" s="1"/>
  <c r="N1310" i="1"/>
  <c r="N1307" i="1"/>
  <c r="T1310" i="1"/>
  <c r="T1283" i="1"/>
  <c r="C11" i="36" s="1"/>
  <c r="N1283" i="1"/>
  <c r="E11" i="36" s="1"/>
  <c r="N1278" i="1"/>
  <c r="E29" i="36" s="1"/>
  <c r="T1278" i="1"/>
  <c r="W1293" i="1"/>
  <c r="U23" i="22"/>
  <c r="U92" i="22"/>
  <c r="F23" i="22"/>
  <c r="V24" i="35"/>
  <c r="V27" i="35" s="1"/>
  <c r="C27" i="35"/>
  <c r="F28" i="35" s="1"/>
  <c r="F36" i="35"/>
  <c r="D202" i="60" s="1"/>
  <c r="C45" i="35"/>
  <c r="T368" i="1"/>
  <c r="D14" i="26" s="1"/>
  <c r="U14" i="26" s="1"/>
  <c r="N368" i="1"/>
  <c r="F14" i="26" s="1"/>
  <c r="BK421" i="1"/>
  <c r="BD421" i="1" s="1"/>
  <c r="BD425" i="1" s="1"/>
  <c r="W421" i="1"/>
  <c r="T375" i="1"/>
  <c r="N375" i="1"/>
  <c r="C32" i="24"/>
  <c r="T371" i="1"/>
  <c r="D18" i="26" s="1"/>
  <c r="U18" i="26" s="1"/>
  <c r="N371" i="1"/>
  <c r="T21" i="1"/>
  <c r="D37" i="20" s="1"/>
  <c r="N21" i="1"/>
  <c r="F37" i="20" s="1"/>
  <c r="D225" i="60" s="1"/>
  <c r="T379" i="1"/>
  <c r="D23" i="26" s="1"/>
  <c r="N379" i="1"/>
  <c r="F23" i="26" s="1"/>
  <c r="N1840" i="1"/>
  <c r="D12" i="12" s="1"/>
  <c r="T1840" i="1"/>
  <c r="E21" i="28"/>
  <c r="T367" i="1"/>
  <c r="D15" i="26" s="1"/>
  <c r="N367" i="1"/>
  <c r="T1833" i="1"/>
  <c r="N1833" i="1"/>
  <c r="C12" i="12" s="1"/>
  <c r="T309" i="1"/>
  <c r="N309" i="1"/>
  <c r="C21" i="28"/>
  <c r="E15" i="12"/>
  <c r="E17" i="12" s="1"/>
  <c r="F35" i="12"/>
  <c r="C16" i="12"/>
  <c r="T399" i="1"/>
  <c r="D18" i="27" s="1"/>
  <c r="T18" i="27" s="1"/>
  <c r="N399" i="1"/>
  <c r="F18" i="27" s="1"/>
  <c r="T1835" i="1"/>
  <c r="N1835" i="1"/>
  <c r="C14" i="12" s="1"/>
  <c r="N1848" i="1"/>
  <c r="T1848" i="1"/>
  <c r="T467" i="1"/>
  <c r="C17" i="28" s="1"/>
  <c r="N467" i="1"/>
  <c r="T1847" i="1"/>
  <c r="N1847" i="1"/>
  <c r="T382" i="1"/>
  <c r="D26" i="26" s="1"/>
  <c r="N382" i="1"/>
  <c r="W428" i="1"/>
  <c r="H429" i="1"/>
  <c r="T1834" i="1"/>
  <c r="N1834" i="1"/>
  <c r="C13" i="12" s="1"/>
  <c r="F13" i="12" s="1"/>
  <c r="F28" i="26"/>
  <c r="G231" i="60" s="1"/>
  <c r="T463" i="1"/>
  <c r="C13" i="28" s="1"/>
  <c r="N463" i="1"/>
  <c r="E13" i="28" s="1"/>
  <c r="T1842" i="1"/>
  <c r="N1842" i="1"/>
  <c r="D14" i="12" s="1"/>
  <c r="M66" i="37"/>
  <c r="AE21" i="37"/>
  <c r="N212" i="60" s="1"/>
  <c r="T395" i="1"/>
  <c r="D14" i="27" s="1"/>
  <c r="T14" i="27" s="1"/>
  <c r="N395" i="1"/>
  <c r="F14" i="27" s="1"/>
  <c r="T402" i="1"/>
  <c r="D19" i="27" s="1"/>
  <c r="T19" i="27" s="1"/>
  <c r="W417" i="1"/>
  <c r="O33" i="6" s="1"/>
  <c r="T438" i="1"/>
  <c r="D78" i="27" s="1"/>
  <c r="D82" i="27" s="1"/>
  <c r="D102" i="27" s="1"/>
  <c r="N438" i="1"/>
  <c r="F78" i="27" s="1"/>
  <c r="F82" i="27" s="1"/>
  <c r="F102" i="27" s="1"/>
  <c r="AD21" i="37"/>
  <c r="M212" i="60" s="1"/>
  <c r="U27" i="26"/>
  <c r="F25" i="27"/>
  <c r="U21" i="26"/>
  <c r="D28" i="26"/>
  <c r="N1849" i="1"/>
  <c r="T1849" i="1"/>
  <c r="O57" i="6"/>
  <c r="T410" i="1"/>
  <c r="D27" i="27" s="1"/>
  <c r="T27" i="27" s="1"/>
  <c r="N410" i="1"/>
  <c r="F27" i="27" s="1"/>
  <c r="H469" i="1"/>
  <c r="W462" i="1"/>
  <c r="I469" i="1"/>
  <c r="I479" i="1" s="1"/>
  <c r="BK479" i="1" s="1"/>
  <c r="W387" i="1"/>
  <c r="N381" i="1"/>
  <c r="O42" i="6"/>
  <c r="O44" i="6" s="1"/>
  <c r="T381" i="1"/>
  <c r="U29" i="26"/>
  <c r="M63" i="23"/>
  <c r="D128" i="60" s="1"/>
  <c r="D25" i="27"/>
  <c r="H387" i="1"/>
  <c r="G239" i="60"/>
  <c r="D22" i="17"/>
  <c r="F22" i="17" s="1"/>
  <c r="W441" i="1"/>
  <c r="W325" i="1"/>
  <c r="W26" i="1"/>
  <c r="W101" i="1"/>
  <c r="W114" i="1"/>
  <c r="W397" i="1"/>
  <c r="W398" i="1"/>
  <c r="W394" i="1"/>
  <c r="W361" i="1"/>
  <c r="W403" i="1"/>
  <c r="W362" i="1"/>
  <c r="I425" i="1" l="1"/>
  <c r="I426" i="1" s="1"/>
  <c r="I431" i="1" s="1"/>
  <c r="BK431" i="1" s="1"/>
  <c r="D40" i="17"/>
  <c r="F40" i="17" s="1"/>
  <c r="G130" i="138"/>
  <c r="I130" i="138" s="1"/>
  <c r="J130" i="138" s="1"/>
  <c r="K130" i="138" s="1"/>
  <c r="S425" i="1"/>
  <c r="Q31" i="27"/>
  <c r="R27" i="20" s="1"/>
  <c r="H11" i="60" s="1"/>
  <c r="S421" i="1"/>
  <c r="K33" i="6" s="1"/>
  <c r="K34" i="6" s="1"/>
  <c r="K63" i="6"/>
  <c r="K65" i="6" s="1"/>
  <c r="K57" i="6"/>
  <c r="BJ466" i="1"/>
  <c r="BJ402" i="1"/>
  <c r="C24" i="34"/>
  <c r="C23" i="34" s="1"/>
  <c r="D190" i="60" s="1"/>
  <c r="D75" i="22"/>
  <c r="I29" i="21"/>
  <c r="D74" i="22"/>
  <c r="J23" i="22"/>
  <c r="F65" i="60" s="1"/>
  <c r="F92" i="22"/>
  <c r="J92" i="22" s="1"/>
  <c r="D92" i="22"/>
  <c r="H92" i="22" s="1"/>
  <c r="H23" i="22"/>
  <c r="D65" i="60" s="1"/>
  <c r="N1293" i="1"/>
  <c r="W1309" i="1"/>
  <c r="N111" i="1"/>
  <c r="AD25" i="22"/>
  <c r="AD94" i="22"/>
  <c r="T111" i="1"/>
  <c r="C29" i="36"/>
  <c r="T1293" i="1"/>
  <c r="T1309" i="1" s="1"/>
  <c r="T1312" i="1" s="1"/>
  <c r="N1312" i="1" s="1"/>
  <c r="G196" i="138"/>
  <c r="I192" i="138" s="1"/>
  <c r="H177" i="138"/>
  <c r="H179" i="138" s="1"/>
  <c r="E31" i="43"/>
  <c r="E33" i="43"/>
  <c r="AD97" i="22"/>
  <c r="T114" i="1"/>
  <c r="AD28" i="22"/>
  <c r="N114" i="1"/>
  <c r="E24" i="34"/>
  <c r="E32" i="36"/>
  <c r="D76" i="22"/>
  <c r="N101" i="1"/>
  <c r="T101" i="1"/>
  <c r="AD88" i="22"/>
  <c r="AD15" i="22"/>
  <c r="F63" i="6"/>
  <c r="F65" i="6" s="1"/>
  <c r="W475" i="1"/>
  <c r="H478" i="1"/>
  <c r="H479" i="1" s="1"/>
  <c r="L63" i="6"/>
  <c r="L65" i="6" s="1"/>
  <c r="F57" i="6"/>
  <c r="D15" i="12"/>
  <c r="D17" i="12" s="1"/>
  <c r="G32" i="24"/>
  <c r="W360" i="1"/>
  <c r="U26" i="26"/>
  <c r="W25" i="1"/>
  <c r="H27" i="1"/>
  <c r="W27" i="1" s="1"/>
  <c r="N325" i="1"/>
  <c r="T325" i="1"/>
  <c r="T25" i="27"/>
  <c r="N462" i="1"/>
  <c r="W469" i="1"/>
  <c r="T462" i="1"/>
  <c r="L57" i="6"/>
  <c r="G241" i="60"/>
  <c r="G10" i="32"/>
  <c r="E179" i="60" s="1"/>
  <c r="F12" i="12"/>
  <c r="C15" i="12"/>
  <c r="C17" i="12" s="1"/>
  <c r="F22" i="26"/>
  <c r="G240" i="60" s="1"/>
  <c r="F240" i="60" s="1"/>
  <c r="I240" i="60" s="1"/>
  <c r="E220" i="60"/>
  <c r="T403" i="1"/>
  <c r="D20" i="27" s="1"/>
  <c r="T20" i="27" s="1"/>
  <c r="N403" i="1"/>
  <c r="F20" i="27" s="1"/>
  <c r="T398" i="1"/>
  <c r="D17" i="27" s="1"/>
  <c r="N398" i="1"/>
  <c r="F17" i="27" s="1"/>
  <c r="N26" i="1"/>
  <c r="F45" i="20" s="1"/>
  <c r="T26" i="1"/>
  <c r="D45" i="20" s="1"/>
  <c r="W324" i="1"/>
  <c r="H327" i="1"/>
  <c r="W459" i="1"/>
  <c r="U28" i="26"/>
  <c r="F10" i="32"/>
  <c r="D179" i="60" s="1"/>
  <c r="E17" i="28"/>
  <c r="H37" i="20" s="1"/>
  <c r="F14" i="60" s="1"/>
  <c r="E225" i="60"/>
  <c r="F225" i="60" s="1"/>
  <c r="U23" i="26"/>
  <c r="E37" i="42"/>
  <c r="D22" i="26"/>
  <c r="H32" i="24" s="1"/>
  <c r="W7" i="1"/>
  <c r="T441" i="1"/>
  <c r="N441" i="1"/>
  <c r="H241" i="60"/>
  <c r="G154" i="138"/>
  <c r="G155" i="138" s="1"/>
  <c r="T417" i="1"/>
  <c r="D28" i="27" s="1"/>
  <c r="T28" i="27" s="1"/>
  <c r="N417" i="1"/>
  <c r="F28" i="27" s="1"/>
  <c r="E39" i="42" s="1"/>
  <c r="I39" i="42" s="1"/>
  <c r="W425" i="1"/>
  <c r="F15" i="26"/>
  <c r="G236" i="60" s="1"/>
  <c r="T421" i="1"/>
  <c r="D31" i="27" s="1"/>
  <c r="N397" i="1"/>
  <c r="F15" i="27" s="1"/>
  <c r="H236" i="60" s="1"/>
  <c r="T397" i="1"/>
  <c r="D15" i="27" s="1"/>
  <c r="T15" i="27" s="1"/>
  <c r="G37" i="20"/>
  <c r="D14" i="60" s="1"/>
  <c r="T387" i="1"/>
  <c r="N387" i="1" s="1"/>
  <c r="L42" i="6"/>
  <c r="L44" i="6" s="1"/>
  <c r="D25" i="26"/>
  <c r="N428" i="1"/>
  <c r="N429" i="1" s="1"/>
  <c r="W429" i="1"/>
  <c r="T428" i="1"/>
  <c r="T429" i="1" s="1"/>
  <c r="F18" i="26"/>
  <c r="G230" i="60" s="1"/>
  <c r="T394" i="1"/>
  <c r="D13" i="27" s="1"/>
  <c r="N394" i="1"/>
  <c r="F13" i="27" s="1"/>
  <c r="N14" i="12" s="1"/>
  <c r="T362" i="1"/>
  <c r="D12" i="26" s="1"/>
  <c r="N362" i="1"/>
  <c r="F12" i="26" s="1"/>
  <c r="L14" i="12" s="1"/>
  <c r="T361" i="1"/>
  <c r="D11" i="26" s="1"/>
  <c r="N361" i="1"/>
  <c r="F11" i="26" s="1"/>
  <c r="L13" i="12" s="1"/>
  <c r="F25" i="26"/>
  <c r="F42" i="6"/>
  <c r="F44" i="6" s="1"/>
  <c r="H231" i="60"/>
  <c r="F231" i="60" s="1"/>
  <c r="H239" i="60"/>
  <c r="F239" i="60" s="1"/>
  <c r="F26" i="26"/>
  <c r="F14" i="12"/>
  <c r="W308" i="1"/>
  <c r="W366" i="1"/>
  <c r="W22" i="1"/>
  <c r="W14" i="1"/>
  <c r="W393" i="1"/>
  <c r="N421" i="1" l="1"/>
  <c r="F31" i="27" s="1"/>
  <c r="F42" i="27" s="1"/>
  <c r="Q42" i="27"/>
  <c r="Q56" i="27" s="1"/>
  <c r="I156" i="60" s="1"/>
  <c r="H234" i="60"/>
  <c r="BJ7" i="1"/>
  <c r="BD466" i="1"/>
  <c r="BJ469" i="1"/>
  <c r="BJ479" i="1" s="1"/>
  <c r="BJ14" i="1"/>
  <c r="BD402" i="1"/>
  <c r="BJ406" i="1"/>
  <c r="O14" i="12"/>
  <c r="U94" i="22"/>
  <c r="F25" i="22"/>
  <c r="U25" i="22"/>
  <c r="F32" i="36"/>
  <c r="E55" i="36"/>
  <c r="E59" i="36" s="1"/>
  <c r="N1309" i="1"/>
  <c r="W1311" i="1"/>
  <c r="N1311" i="1" s="1"/>
  <c r="U28" i="22"/>
  <c r="F28" i="22"/>
  <c r="U97" i="22"/>
  <c r="G122" i="138"/>
  <c r="O53" i="23"/>
  <c r="F58" i="138"/>
  <c r="F59" i="138" s="1"/>
  <c r="D37" i="17"/>
  <c r="F37" i="17" s="1"/>
  <c r="AA97" i="22"/>
  <c r="CK97" i="22" s="1"/>
  <c r="D28" i="22"/>
  <c r="AA28" i="22"/>
  <c r="CK28" i="22" s="1"/>
  <c r="D25" i="22"/>
  <c r="AA94" i="22"/>
  <c r="CK94" i="22" s="1"/>
  <c r="AA25" i="22"/>
  <c r="CK25" i="22" s="1"/>
  <c r="T1311" i="1"/>
  <c r="C32" i="36"/>
  <c r="D15" i="22"/>
  <c r="AA15" i="22"/>
  <c r="CK15" i="22" s="1"/>
  <c r="AA88" i="22"/>
  <c r="CK88" i="22" s="1"/>
  <c r="U15" i="22"/>
  <c r="F15" i="22"/>
  <c r="U88" i="22"/>
  <c r="H168" i="138"/>
  <c r="H169" i="138" s="1"/>
  <c r="N425" i="1"/>
  <c r="D21" i="17"/>
  <c r="D54" i="17" s="1"/>
  <c r="D56" i="17" s="1"/>
  <c r="G232" i="60"/>
  <c r="M64" i="37"/>
  <c r="AE20" i="37"/>
  <c r="N211" i="60" s="1"/>
  <c r="T360" i="1"/>
  <c r="W372" i="1"/>
  <c r="W388" i="1" s="1"/>
  <c r="C28" i="24" s="1"/>
  <c r="N360" i="1"/>
  <c r="N366" i="1"/>
  <c r="T366" i="1"/>
  <c r="D13" i="26" s="1"/>
  <c r="U13" i="26" s="1"/>
  <c r="W307" i="1"/>
  <c r="H310" i="1"/>
  <c r="U12" i="26"/>
  <c r="K14" i="12"/>
  <c r="H31" i="27"/>
  <c r="H232" i="60"/>
  <c r="F241" i="60"/>
  <c r="I241" i="60" s="1"/>
  <c r="I37" i="42"/>
  <c r="E42" i="42"/>
  <c r="N324" i="1"/>
  <c r="T324" i="1"/>
  <c r="T327" i="1" s="1"/>
  <c r="W327" i="1"/>
  <c r="F33" i="6"/>
  <c r="T22" i="1"/>
  <c r="N22" i="1"/>
  <c r="I239" i="60"/>
  <c r="G31" i="27"/>
  <c r="T31" i="27"/>
  <c r="T42" i="27" s="1"/>
  <c r="C12" i="28"/>
  <c r="C18" i="28" s="1"/>
  <c r="T469" i="1"/>
  <c r="K156" i="138"/>
  <c r="G156" i="138"/>
  <c r="E226" i="60"/>
  <c r="N25" i="1"/>
  <c r="T25" i="1"/>
  <c r="T13" i="27"/>
  <c r="M14" i="12"/>
  <c r="F236" i="60"/>
  <c r="E12" i="28"/>
  <c r="D28" i="17"/>
  <c r="F31" i="26"/>
  <c r="F39" i="26" s="1"/>
  <c r="F153" i="60" s="1"/>
  <c r="N62" i="23"/>
  <c r="F127" i="60" s="1"/>
  <c r="T7" i="1"/>
  <c r="T17" i="27"/>
  <c r="V17" i="27"/>
  <c r="D42" i="27"/>
  <c r="AD20" i="37"/>
  <c r="M211" i="60" s="1"/>
  <c r="W392" i="1"/>
  <c r="H406" i="1"/>
  <c r="H426" i="1" s="1"/>
  <c r="H431" i="1" s="1"/>
  <c r="E34" i="24"/>
  <c r="T308" i="1"/>
  <c r="N308" i="1"/>
  <c r="L33" i="6"/>
  <c r="F15" i="12"/>
  <c r="N393" i="1"/>
  <c r="F12" i="27" s="1"/>
  <c r="N13" i="12" s="1"/>
  <c r="O13" i="12" s="1"/>
  <c r="T393" i="1"/>
  <c r="D12" i="27" s="1"/>
  <c r="D31" i="26"/>
  <c r="D39" i="26" s="1"/>
  <c r="D153" i="60" s="1"/>
  <c r="D29" i="17"/>
  <c r="U25" i="26"/>
  <c r="M62" i="23"/>
  <c r="D127" i="60" s="1"/>
  <c r="T14" i="1"/>
  <c r="D23" i="20" s="1"/>
  <c r="G23" i="20" s="1"/>
  <c r="D9" i="60" s="1"/>
  <c r="E221" i="60"/>
  <c r="U11" i="26"/>
  <c r="K13" i="12"/>
  <c r="U22" i="26"/>
  <c r="D26" i="17"/>
  <c r="N459" i="1"/>
  <c r="F104" i="27" s="1"/>
  <c r="T459" i="1"/>
  <c r="D104" i="27" s="1"/>
  <c r="T425" i="1"/>
  <c r="H372" i="1"/>
  <c r="H388" i="1" s="1"/>
  <c r="T475" i="1"/>
  <c r="N475" i="1"/>
  <c r="W478" i="1"/>
  <c r="W479" i="1" s="1"/>
  <c r="F56" i="27" l="1"/>
  <c r="F156" i="60" s="1"/>
  <c r="F242" i="60"/>
  <c r="I242" i="60" s="1"/>
  <c r="Q19" i="27"/>
  <c r="Q23" i="27" s="1"/>
  <c r="S402" i="1"/>
  <c r="N402" i="1" s="1"/>
  <c r="BD406" i="1"/>
  <c r="BD14" i="1"/>
  <c r="BJ20" i="1"/>
  <c r="BD20" i="1" s="1"/>
  <c r="S20" i="1" s="1"/>
  <c r="S466" i="1"/>
  <c r="N466" i="1" s="1"/>
  <c r="M16" i="28"/>
  <c r="M18" i="28" s="1"/>
  <c r="M30" i="28" s="1"/>
  <c r="BD469" i="1"/>
  <c r="BJ11" i="1"/>
  <c r="BD7" i="1"/>
  <c r="BJ407" i="1"/>
  <c r="BJ425" i="1" s="1"/>
  <c r="BJ426" i="1" s="1"/>
  <c r="BJ431" i="1" s="1"/>
  <c r="M169" i="138"/>
  <c r="F21" i="17"/>
  <c r="F54" i="17" s="1"/>
  <c r="F56" i="17" s="1"/>
  <c r="F33" i="36"/>
  <c r="C55" i="36"/>
  <c r="E63" i="36"/>
  <c r="E65" i="36" s="1"/>
  <c r="E60" i="36"/>
  <c r="E209" i="60" s="1"/>
  <c r="H25" i="22"/>
  <c r="D67" i="60" s="1"/>
  <c r="D94" i="22"/>
  <c r="H94" i="22" s="1"/>
  <c r="F97" i="22"/>
  <c r="J97" i="22" s="1"/>
  <c r="J28" i="22"/>
  <c r="F70" i="60" s="1"/>
  <c r="H28" i="22"/>
  <c r="D70" i="60" s="1"/>
  <c r="D97" i="22"/>
  <c r="H97" i="22" s="1"/>
  <c r="J25" i="22"/>
  <c r="F67" i="60" s="1"/>
  <c r="F94" i="22"/>
  <c r="J94" i="22" s="1"/>
  <c r="F88" i="22"/>
  <c r="J88" i="22" s="1"/>
  <c r="J15" i="22"/>
  <c r="F58" i="60" s="1"/>
  <c r="H15" i="22"/>
  <c r="D58" i="60" s="1"/>
  <c r="D88" i="22"/>
  <c r="H88" i="22" s="1"/>
  <c r="D56" i="27"/>
  <c r="D156" i="60" s="1"/>
  <c r="N327" i="1"/>
  <c r="D19" i="133"/>
  <c r="F28" i="17"/>
  <c r="F60" i="17" s="1"/>
  <c r="D60" i="17"/>
  <c r="T27" i="1"/>
  <c r="D43" i="20"/>
  <c r="D105" i="27" s="1"/>
  <c r="G28" i="24"/>
  <c r="F26" i="17"/>
  <c r="F59" i="17" s="1"/>
  <c r="D59" i="17"/>
  <c r="D18" i="133"/>
  <c r="I26" i="17"/>
  <c r="F43" i="20"/>
  <c r="F105" i="27" s="1"/>
  <c r="N27" i="1"/>
  <c r="T372" i="1"/>
  <c r="T388" i="1" s="1"/>
  <c r="D10" i="26"/>
  <c r="U31" i="26"/>
  <c r="E25" i="28"/>
  <c r="E28" i="28" s="1"/>
  <c r="N478" i="1"/>
  <c r="D61" i="17"/>
  <c r="F29" i="17"/>
  <c r="F61" i="17" s="1"/>
  <c r="I42" i="42"/>
  <c r="I43" i="42"/>
  <c r="F17" i="12"/>
  <c r="N372" i="1"/>
  <c r="N388" i="1" s="1"/>
  <c r="F10" i="26"/>
  <c r="C25" i="28"/>
  <c r="C28" i="28" s="1"/>
  <c r="Q28" i="28" s="1"/>
  <c r="T478" i="1"/>
  <c r="T479" i="1" s="1"/>
  <c r="D14" i="20"/>
  <c r="N307" i="1"/>
  <c r="T307" i="1"/>
  <c r="T310" i="1" s="1"/>
  <c r="W310" i="1"/>
  <c r="T12" i="27"/>
  <c r="M13" i="12"/>
  <c r="W406" i="1"/>
  <c r="W426" i="1" s="1"/>
  <c r="T392" i="1"/>
  <c r="N392" i="1"/>
  <c r="F39" i="20"/>
  <c r="U14" i="20"/>
  <c r="Q18" i="28"/>
  <c r="D39" i="20"/>
  <c r="E223" i="60"/>
  <c r="F13" i="26"/>
  <c r="G234" i="60" s="1"/>
  <c r="F234" i="60" s="1"/>
  <c r="F232" i="60"/>
  <c r="E16" i="28" l="1"/>
  <c r="E18" i="28" s="1"/>
  <c r="N469" i="1"/>
  <c r="S14" i="1"/>
  <c r="N14" i="1" s="1"/>
  <c r="F23" i="20" s="1"/>
  <c r="Q23" i="20"/>
  <c r="N479" i="1"/>
  <c r="S406" i="1"/>
  <c r="BD426" i="1"/>
  <c r="S7" i="1"/>
  <c r="N7" i="1" s="1"/>
  <c r="F14" i="20" s="1"/>
  <c r="H14" i="20" s="1"/>
  <c r="F5" i="60" s="1"/>
  <c r="Q14" i="20"/>
  <c r="F19" i="27"/>
  <c r="H230" i="60" s="1"/>
  <c r="F230" i="60" s="1"/>
  <c r="E219" i="60"/>
  <c r="BD11" i="1"/>
  <c r="S11" i="1" s="1"/>
  <c r="BJ24" i="1"/>
  <c r="Q44" i="27"/>
  <c r="Q53" i="27" s="1"/>
  <c r="Q55" i="27"/>
  <c r="I155" i="60" s="1"/>
  <c r="E30" i="28"/>
  <c r="S469" i="1"/>
  <c r="BD479" i="1"/>
  <c r="S479" i="1" s="1"/>
  <c r="C63" i="36"/>
  <c r="C65" i="36" s="1"/>
  <c r="C59" i="36"/>
  <c r="D32" i="17"/>
  <c r="F32" i="17" s="1"/>
  <c r="N310" i="1"/>
  <c r="C30" i="28"/>
  <c r="E35" i="24" s="1"/>
  <c r="H39" i="20"/>
  <c r="F15" i="60" s="1"/>
  <c r="D236" i="60"/>
  <c r="E236" i="60" s="1"/>
  <c r="D226" i="60"/>
  <c r="F226" i="60" s="1"/>
  <c r="F11" i="27"/>
  <c r="N406" i="1"/>
  <c r="N426" i="1" s="1"/>
  <c r="N431" i="1" s="1"/>
  <c r="F34" i="12"/>
  <c r="F37" i="12" s="1"/>
  <c r="F26" i="12"/>
  <c r="F47" i="20"/>
  <c r="D11" i="27"/>
  <c r="T406" i="1"/>
  <c r="T426" i="1" s="1"/>
  <c r="T431" i="1" s="1"/>
  <c r="C30" i="24"/>
  <c r="W431" i="1"/>
  <c r="D47" i="20"/>
  <c r="G39" i="20"/>
  <c r="D15" i="60" s="1"/>
  <c r="Q30" i="28"/>
  <c r="L12" i="12"/>
  <c r="L15" i="12" s="1"/>
  <c r="G229" i="60"/>
  <c r="F19" i="26"/>
  <c r="H100" i="138"/>
  <c r="F18" i="133"/>
  <c r="D28" i="133"/>
  <c r="D36" i="133" s="1"/>
  <c r="G14" i="20"/>
  <c r="D5" i="60" s="1"/>
  <c r="E218" i="60"/>
  <c r="U10" i="26"/>
  <c r="U19" i="26" s="1"/>
  <c r="U33" i="26" s="1"/>
  <c r="K12" i="12"/>
  <c r="K15" i="12" s="1"/>
  <c r="D19" i="26"/>
  <c r="H101" i="138"/>
  <c r="F19" i="133"/>
  <c r="S426" i="1" l="1"/>
  <c r="BD431" i="1"/>
  <c r="S431" i="1" s="1"/>
  <c r="K8" i="6" s="1"/>
  <c r="BD24" i="1"/>
  <c r="BD29" i="1" s="1"/>
  <c r="BJ29" i="1"/>
  <c r="BJ39" i="1" s="1"/>
  <c r="BC479" i="1"/>
  <c r="R23" i="20"/>
  <c r="H9" i="60" s="1"/>
  <c r="Q33" i="20"/>
  <c r="D219" i="60"/>
  <c r="F219" i="60" s="1"/>
  <c r="D230" i="60"/>
  <c r="E230" i="60" s="1"/>
  <c r="H23" i="20"/>
  <c r="F9" i="60" s="1"/>
  <c r="S24" i="1"/>
  <c r="K6" i="6"/>
  <c r="K21" i="6"/>
  <c r="R14" i="20"/>
  <c r="H5" i="60" s="1"/>
  <c r="Q18" i="20"/>
  <c r="C60" i="36"/>
  <c r="D209" i="60" s="1"/>
  <c r="G119" i="138"/>
  <c r="I119" i="138" s="1"/>
  <c r="C61" i="36"/>
  <c r="G30" i="24"/>
  <c r="C34" i="24"/>
  <c r="G34" i="24" s="1"/>
  <c r="N12" i="12"/>
  <c r="H229" i="60"/>
  <c r="F229" i="60" s="1"/>
  <c r="F23" i="27"/>
  <c r="F28" i="133"/>
  <c r="F36" i="133" s="1"/>
  <c r="D33" i="26"/>
  <c r="D38" i="26"/>
  <c r="D152" i="60" s="1"/>
  <c r="D23" i="27"/>
  <c r="M12" i="12"/>
  <c r="M15" i="12" s="1"/>
  <c r="T11" i="27"/>
  <c r="T23" i="27" s="1"/>
  <c r="T44" i="27" s="1"/>
  <c r="F33" i="26"/>
  <c r="F38" i="26"/>
  <c r="F152" i="60" s="1"/>
  <c r="D235" i="60"/>
  <c r="D224" i="60"/>
  <c r="Q35" i="20" l="1"/>
  <c r="Q41" i="20"/>
  <c r="R33" i="20"/>
  <c r="H13" i="60" s="1"/>
  <c r="BD39" i="1"/>
  <c r="S39" i="1" s="1"/>
  <c r="BJ89" i="1"/>
  <c r="BE11" i="22"/>
  <c r="CJ11" i="22" s="1"/>
  <c r="S29" i="1"/>
  <c r="K16" i="6" s="1"/>
  <c r="F55" i="27"/>
  <c r="F155" i="60" s="1"/>
  <c r="F44" i="27"/>
  <c r="F53" i="27" s="1"/>
  <c r="O12" i="12"/>
  <c r="O15" i="12" s="1"/>
  <c r="F38" i="12" s="1"/>
  <c r="N15" i="12"/>
  <c r="D55" i="27"/>
  <c r="D155" i="60" s="1"/>
  <c r="D44" i="27"/>
  <c r="D53" i="27" s="1"/>
  <c r="C35" i="24" s="1"/>
  <c r="H34" i="24"/>
  <c r="BJ96" i="1" l="1"/>
  <c r="BD96" i="1" s="1"/>
  <c r="BJ57" i="1"/>
  <c r="BJ92" i="1"/>
  <c r="BD89" i="1"/>
  <c r="Q68" i="20"/>
  <c r="Q73" i="20" s="1"/>
  <c r="F258" i="60"/>
  <c r="D266" i="60"/>
  <c r="S89" i="1" l="1"/>
  <c r="K25" i="6" s="1"/>
  <c r="V57" i="21"/>
  <c r="V60" i="21" s="1"/>
  <c r="BD92" i="1"/>
  <c r="S92" i="1" s="1"/>
  <c r="BD57" i="1"/>
  <c r="BJ59" i="1"/>
  <c r="S96" i="1"/>
  <c r="S11" i="22"/>
  <c r="BD119" i="1"/>
  <c r="W48" i="1"/>
  <c r="S119" i="1" l="1"/>
  <c r="BD140" i="1"/>
  <c r="BD143" i="1" s="1"/>
  <c r="S32" i="22"/>
  <c r="S60" i="22" s="1"/>
  <c r="S64" i="22" s="1"/>
  <c r="S69" i="22" s="1"/>
  <c r="Q72" i="20"/>
  <c r="BD59" i="1"/>
  <c r="S59" i="1" s="1"/>
  <c r="BJ61" i="1"/>
  <c r="S57" i="1"/>
  <c r="N57" i="1" s="1"/>
  <c r="V29" i="21"/>
  <c r="V30" i="21" s="1"/>
  <c r="N48" i="1"/>
  <c r="G19" i="21" s="1"/>
  <c r="H19" i="21" s="1"/>
  <c r="D30" i="60" s="1"/>
  <c r="T48" i="1"/>
  <c r="E19" i="21" s="1"/>
  <c r="V32" i="21" l="1"/>
  <c r="V52" i="21"/>
  <c r="V62" i="21" s="1"/>
  <c r="V42" i="21"/>
  <c r="G29" i="21"/>
  <c r="U73" i="22"/>
  <c r="U74" i="22" s="1"/>
  <c r="BJ72" i="1"/>
  <c r="BJ85" i="1" s="1"/>
  <c r="BD61" i="1"/>
  <c r="H83" i="1"/>
  <c r="W81" i="1"/>
  <c r="H132" i="1"/>
  <c r="W121" i="1"/>
  <c r="W47" i="1"/>
  <c r="H49" i="1"/>
  <c r="W55" i="1"/>
  <c r="W65" i="1"/>
  <c r="S61" i="1" l="1"/>
  <c r="BD72" i="1"/>
  <c r="F73" i="22"/>
  <c r="F74" i="22" s="1"/>
  <c r="H29" i="21"/>
  <c r="D37" i="60" s="1"/>
  <c r="E23" i="34"/>
  <c r="E190" i="60" s="1"/>
  <c r="N65" i="1"/>
  <c r="G37" i="21" s="1"/>
  <c r="H37" i="21" s="1"/>
  <c r="D41" i="60" s="1"/>
  <c r="T65" i="1"/>
  <c r="E37" i="21" s="1"/>
  <c r="I37" i="21" s="1"/>
  <c r="N121" i="1"/>
  <c r="W132" i="1"/>
  <c r="AD36" i="22"/>
  <c r="AD48" i="22" s="1"/>
  <c r="T121" i="1"/>
  <c r="W63" i="1"/>
  <c r="H70" i="1"/>
  <c r="W83" i="1"/>
  <c r="AD79" i="22"/>
  <c r="T81" i="1"/>
  <c r="N81" i="1"/>
  <c r="T55" i="1"/>
  <c r="E27" i="21" s="1"/>
  <c r="I27" i="21" s="1"/>
  <c r="N55" i="1"/>
  <c r="G27" i="21" s="1"/>
  <c r="H27" i="21" s="1"/>
  <c r="D35" i="60" s="1"/>
  <c r="T47" i="1"/>
  <c r="N47" i="1"/>
  <c r="W49" i="1"/>
  <c r="BD85" i="1" l="1"/>
  <c r="S85" i="1" s="1"/>
  <c r="S72" i="1"/>
  <c r="T63" i="1"/>
  <c r="O124" i="6"/>
  <c r="N63" i="1"/>
  <c r="W70" i="1"/>
  <c r="E24" i="25" s="1"/>
  <c r="E26" i="25" s="1"/>
  <c r="AA36" i="22"/>
  <c r="T132" i="1"/>
  <c r="D36" i="22"/>
  <c r="G47" i="21"/>
  <c r="N83" i="1"/>
  <c r="T83" i="1"/>
  <c r="E47" i="21"/>
  <c r="N132" i="1"/>
  <c r="U36" i="22"/>
  <c r="U48" i="22" s="1"/>
  <c r="F36" i="22"/>
  <c r="G18" i="21"/>
  <c r="N49" i="1"/>
  <c r="E18" i="21"/>
  <c r="E20" i="21" s="1"/>
  <c r="T49" i="1"/>
  <c r="S93" i="1" l="1"/>
  <c r="K26" i="6"/>
  <c r="D105" i="22"/>
  <c r="D116" i="22" s="1"/>
  <c r="H36" i="22"/>
  <c r="D78" i="60" s="1"/>
  <c r="D48" i="22"/>
  <c r="F48" i="22"/>
  <c r="F105" i="22"/>
  <c r="J36" i="22"/>
  <c r="F78" i="60" s="1"/>
  <c r="H47" i="21"/>
  <c r="D45" i="60" s="1"/>
  <c r="G50" i="21"/>
  <c r="CK36" i="22"/>
  <c r="AA48" i="22"/>
  <c r="CK48" i="22" s="1"/>
  <c r="E50" i="21"/>
  <c r="I47" i="21"/>
  <c r="F124" i="6"/>
  <c r="G35" i="21"/>
  <c r="N70" i="1"/>
  <c r="L124" i="6"/>
  <c r="E35" i="21"/>
  <c r="T70" i="1"/>
  <c r="H18" i="21"/>
  <c r="D29" i="60" s="1"/>
  <c r="G20" i="21"/>
  <c r="H35" i="21" l="1"/>
  <c r="D39" i="60" s="1"/>
  <c r="G40" i="21"/>
  <c r="W40" i="21" s="1"/>
  <c r="J105" i="22"/>
  <c r="F116" i="22"/>
  <c r="I35" i="21"/>
  <c r="E40" i="21"/>
  <c r="W115" i="1" l="1"/>
  <c r="N115" i="1" l="1"/>
  <c r="AD29" i="22"/>
  <c r="T115" i="1"/>
  <c r="AD98" i="22"/>
  <c r="D29" i="22" l="1"/>
  <c r="AA98" i="22"/>
  <c r="CK98" i="22" s="1"/>
  <c r="AA29" i="22"/>
  <c r="CK29" i="22" s="1"/>
  <c r="F29" i="22"/>
  <c r="U98" i="22"/>
  <c r="U29" i="22"/>
  <c r="F98" i="22" l="1"/>
  <c r="J98" i="22" s="1"/>
  <c r="E25" i="134"/>
  <c r="F297" i="60" s="1"/>
  <c r="J29" i="22"/>
  <c r="F71" i="60" s="1"/>
  <c r="J192" i="138"/>
  <c r="H29" i="22"/>
  <c r="D71" i="60" s="1"/>
  <c r="D98" i="22"/>
  <c r="H98" i="22" s="1"/>
  <c r="W106" i="1"/>
  <c r="L192" i="138" l="1"/>
  <c r="K192" i="138"/>
  <c r="AD90" i="22"/>
  <c r="T106" i="1"/>
  <c r="N106" i="1"/>
  <c r="AD21" i="22"/>
  <c r="AA21" i="22" l="1"/>
  <c r="CK21" i="22" s="1"/>
  <c r="AA90" i="22"/>
  <c r="CK90" i="22" s="1"/>
  <c r="D21" i="22"/>
  <c r="F21" i="22"/>
  <c r="U90" i="22"/>
  <c r="U21" i="22"/>
  <c r="J21" i="22" l="1"/>
  <c r="F63" i="60" s="1"/>
  <c r="F90" i="22"/>
  <c r="J90" i="22" s="1"/>
  <c r="H21" i="22"/>
  <c r="D63" i="60" s="1"/>
  <c r="D90" i="22"/>
  <c r="H90" i="22" s="1"/>
  <c r="H177" i="1" l="1"/>
  <c r="W163" i="1"/>
  <c r="T163" i="1" l="1"/>
  <c r="T177" i="1" s="1"/>
  <c r="N163" i="1"/>
  <c r="N177" i="1" s="1"/>
  <c r="W177" i="1"/>
  <c r="W1850" i="1" l="1"/>
  <c r="T1850" i="1" l="1"/>
  <c r="N1850" i="1"/>
  <c r="W15" i="1"/>
  <c r="W1852" i="1"/>
  <c r="T1852" i="1" l="1"/>
  <c r="L133" i="6" s="1"/>
  <c r="O133" i="6"/>
  <c r="N1852" i="1"/>
  <c r="F133" i="6" s="1"/>
  <c r="E133" i="6" s="1"/>
  <c r="T15" i="1"/>
  <c r="D25" i="20" s="1"/>
  <c r="N15" i="1"/>
  <c r="F25" i="20" s="1"/>
  <c r="D220" i="60" l="1"/>
  <c r="F220" i="60" s="1"/>
  <c r="D242" i="60"/>
  <c r="E242" i="60" s="1"/>
  <c r="H25" i="20"/>
  <c r="F10" i="60" s="1"/>
  <c r="D231" i="60"/>
  <c r="E231" i="60" s="1"/>
  <c r="G25" i="20"/>
  <c r="D10" i="60" s="1"/>
  <c r="I100" i="138"/>
  <c r="J100" i="138" s="1"/>
  <c r="W1843" i="1" l="1"/>
  <c r="T1843" i="1" l="1"/>
  <c r="N1843" i="1"/>
  <c r="W1845" i="1"/>
  <c r="W16" i="1"/>
  <c r="W97" i="1"/>
  <c r="W1836" i="1"/>
  <c r="T16" i="1" l="1"/>
  <c r="D27" i="20" s="1"/>
  <c r="N16" i="1"/>
  <c r="F27" i="20" s="1"/>
  <c r="O132" i="6"/>
  <c r="N1845" i="1"/>
  <c r="F132" i="6" s="1"/>
  <c r="E132" i="6" s="1"/>
  <c r="T1845" i="1"/>
  <c r="L132" i="6" s="1"/>
  <c r="N1836" i="1"/>
  <c r="T1836" i="1"/>
  <c r="T97" i="1"/>
  <c r="AD85" i="22"/>
  <c r="N97" i="1"/>
  <c r="AD12" i="22"/>
  <c r="O32" i="6"/>
  <c r="O34" i="6" s="1"/>
  <c r="U85" i="22" l="1"/>
  <c r="U12" i="22"/>
  <c r="F32" i="6"/>
  <c r="F34" i="6" s="1"/>
  <c r="F12" i="22"/>
  <c r="AA85" i="22"/>
  <c r="D12" i="22"/>
  <c r="L32" i="6"/>
  <c r="L34" i="6" s="1"/>
  <c r="AA12" i="22"/>
  <c r="CK12" i="22" s="1"/>
  <c r="W1838" i="1"/>
  <c r="BK1838" i="1"/>
  <c r="BD1838" i="1" s="1"/>
  <c r="S1838" i="1" s="1"/>
  <c r="K131" i="6" s="1"/>
  <c r="K138" i="6" s="1"/>
  <c r="K140" i="6" s="1"/>
  <c r="D221" i="60"/>
  <c r="F221" i="60" s="1"/>
  <c r="D232" i="60"/>
  <c r="E232" i="60" s="1"/>
  <c r="H27" i="20"/>
  <c r="F11" i="60" s="1"/>
  <c r="I101" i="138"/>
  <c r="J101" i="138" s="1"/>
  <c r="G27" i="20"/>
  <c r="D11" i="60" s="1"/>
  <c r="H12" i="22" l="1"/>
  <c r="D55" i="60" s="1"/>
  <c r="J26" i="17"/>
  <c r="K26" i="17" s="1"/>
  <c r="D85" i="22"/>
  <c r="H85" i="22" s="1"/>
  <c r="H26" i="17"/>
  <c r="CK85" i="22"/>
  <c r="F85" i="22"/>
  <c r="J85" i="22" s="1"/>
  <c r="J12" i="22"/>
  <c r="F55" i="60" s="1"/>
  <c r="W13" i="1"/>
  <c r="O131" i="6"/>
  <c r="O138" i="6" s="1"/>
  <c r="N1838" i="1"/>
  <c r="F131" i="6" s="1"/>
  <c r="T1838" i="1"/>
  <c r="L131" i="6" l="1"/>
  <c r="L138" i="6" s="1"/>
  <c r="D23" i="12"/>
  <c r="F138" i="6"/>
  <c r="E138" i="6" s="1"/>
  <c r="E131" i="6"/>
  <c r="O139" i="6"/>
  <c r="O140" i="6" s="1"/>
  <c r="O7" i="6"/>
  <c r="N13" i="1"/>
  <c r="T13" i="1"/>
  <c r="D26" i="12" l="1"/>
  <c r="E25" i="12" s="1"/>
  <c r="F23" i="12"/>
  <c r="W19" i="1"/>
  <c r="H20" i="1"/>
  <c r="L139" i="6"/>
  <c r="L140" i="6" s="1"/>
  <c r="D21" i="20"/>
  <c r="L7" i="6"/>
  <c r="F21" i="20"/>
  <c r="F139" i="6"/>
  <c r="F7" i="6"/>
  <c r="T19" i="1" l="1"/>
  <c r="N19" i="1"/>
  <c r="O14" i="6"/>
  <c r="W20" i="1"/>
  <c r="G21" i="20"/>
  <c r="D8" i="60" s="1"/>
  <c r="E139" i="6"/>
  <c r="F140" i="6"/>
  <c r="E140" i="6" s="1"/>
  <c r="H21" i="20"/>
  <c r="F8" i="60" s="1"/>
  <c r="D229" i="60"/>
  <c r="E229" i="60" s="1"/>
  <c r="D218" i="60"/>
  <c r="F218" i="60" s="1"/>
  <c r="G15" i="12"/>
  <c r="E26" i="12"/>
  <c r="F25" i="12"/>
  <c r="D265" i="60" l="1"/>
  <c r="F257" i="60"/>
  <c r="O8" i="6"/>
  <c r="F14" i="6"/>
  <c r="F31" i="20"/>
  <c r="N20" i="1"/>
  <c r="D31" i="20"/>
  <c r="L14" i="6"/>
  <c r="T20" i="1"/>
  <c r="D223" i="60" l="1"/>
  <c r="F223" i="60" s="1"/>
  <c r="D234" i="60"/>
  <c r="E234" i="60" s="1"/>
  <c r="H31" i="20"/>
  <c r="F33" i="20"/>
  <c r="G31" i="20"/>
  <c r="D33" i="20"/>
  <c r="F8" i="6"/>
  <c r="L8" i="6"/>
  <c r="G33" i="20" l="1"/>
  <c r="D13" i="60" s="1"/>
  <c r="S23" i="20"/>
  <c r="H33" i="20"/>
  <c r="F13" i="60" s="1"/>
  <c r="W8" i="1" l="1"/>
  <c r="H11" i="1"/>
  <c r="H24" i="1" s="1"/>
  <c r="H29" i="1" s="1"/>
  <c r="W29" i="1" l="1"/>
  <c r="H39" i="1"/>
  <c r="N8" i="1"/>
  <c r="T8" i="1"/>
  <c r="W11" i="1"/>
  <c r="W96" i="1" l="1"/>
  <c r="O6" i="6"/>
  <c r="O21" i="6"/>
  <c r="W24" i="1"/>
  <c r="BI11" i="22" s="1"/>
  <c r="D16" i="20"/>
  <c r="T11" i="1"/>
  <c r="F16" i="20"/>
  <c r="N11" i="1"/>
  <c r="W39" i="1"/>
  <c r="H16" i="20" l="1"/>
  <c r="F6" i="60" s="1"/>
  <c r="E31" i="28"/>
  <c r="F159" i="60" s="1"/>
  <c r="F18" i="20"/>
  <c r="G16" i="20"/>
  <c r="D6" i="60" s="1"/>
  <c r="D18" i="20"/>
  <c r="C31" i="28"/>
  <c r="D159" i="60" s="1"/>
  <c r="L21" i="6"/>
  <c r="L6" i="6"/>
  <c r="T24" i="1"/>
  <c r="W188" i="1"/>
  <c r="H201" i="1"/>
  <c r="F6" i="6"/>
  <c r="F21" i="6"/>
  <c r="N24" i="1"/>
  <c r="N96" i="1"/>
  <c r="T96" i="1"/>
  <c r="AD11" i="22"/>
  <c r="D11" i="22" l="1"/>
  <c r="AA11" i="22"/>
  <c r="D35" i="20"/>
  <c r="G18" i="20"/>
  <c r="D7" i="60" s="1"/>
  <c r="D41" i="20"/>
  <c r="H18" i="20"/>
  <c r="F7" i="60" s="1"/>
  <c r="F35" i="20"/>
  <c r="F41" i="20"/>
  <c r="U11" i="22"/>
  <c r="F11" i="22"/>
  <c r="AZ11" i="22"/>
  <c r="N29" i="1"/>
  <c r="T188" i="1"/>
  <c r="N188" i="1"/>
  <c r="W201" i="1"/>
  <c r="O16" i="6"/>
  <c r="CN11" i="22"/>
  <c r="BF11" i="22"/>
  <c r="T29" i="1"/>
  <c r="I58" i="23" l="1"/>
  <c r="N201" i="1"/>
  <c r="D58" i="23"/>
  <c r="T201" i="1"/>
  <c r="T39" i="1"/>
  <c r="L16" i="6"/>
  <c r="N39" i="1"/>
  <c r="F16" i="6"/>
  <c r="D49" i="20"/>
  <c r="D51" i="20"/>
  <c r="W89" i="1"/>
  <c r="H92" i="1"/>
  <c r="CK11" i="22"/>
  <c r="CE11" i="22"/>
  <c r="F84" i="22"/>
  <c r="E37" i="146"/>
  <c r="F37" i="146"/>
  <c r="F49" i="20"/>
  <c r="J11" i="22" s="1"/>
  <c r="F54" i="60" s="1"/>
  <c r="D20" i="132"/>
  <c r="F51" i="20"/>
  <c r="D84" i="22"/>
  <c r="D68" i="20" l="1"/>
  <c r="D73" i="20" s="1"/>
  <c r="D22" i="60" s="1"/>
  <c r="D72" i="20"/>
  <c r="D21" i="60" s="1"/>
  <c r="D11" i="17"/>
  <c r="G35" i="24"/>
  <c r="D22" i="132"/>
  <c r="F289" i="60" s="1"/>
  <c r="D27" i="132"/>
  <c r="J84" i="22"/>
  <c r="F78" i="20"/>
  <c r="F72" i="20"/>
  <c r="F21" i="60" s="1"/>
  <c r="F68" i="20"/>
  <c r="F73" i="20" s="1"/>
  <c r="H11" i="22"/>
  <c r="D54" i="60" s="1"/>
  <c r="T89" i="1"/>
  <c r="W92" i="1"/>
  <c r="O25" i="6"/>
  <c r="N89" i="1"/>
  <c r="D75" i="23"/>
  <c r="G58" i="23"/>
  <c r="D79" i="23"/>
  <c r="D145" i="60" s="1"/>
  <c r="H84" i="22"/>
  <c r="G41" i="20"/>
  <c r="D16" i="60" s="1"/>
  <c r="F76" i="20"/>
  <c r="H41" i="20"/>
  <c r="F16" i="60" s="1"/>
  <c r="I75" i="23"/>
  <c r="L58" i="23"/>
  <c r="I79" i="23"/>
  <c r="F145" i="60" s="1"/>
  <c r="N59" i="23" l="1"/>
  <c r="F124" i="60" s="1"/>
  <c r="P59" i="23"/>
  <c r="L75" i="23"/>
  <c r="M59" i="23"/>
  <c r="D124" i="60" s="1"/>
  <c r="Z58" i="23"/>
  <c r="G75" i="23"/>
  <c r="F25" i="6"/>
  <c r="N92" i="1"/>
  <c r="G57" i="21"/>
  <c r="I81" i="23" s="1"/>
  <c r="D148" i="60" s="1"/>
  <c r="F11" i="17"/>
  <c r="D51" i="17"/>
  <c r="L25" i="6"/>
  <c r="E57" i="21"/>
  <c r="D81" i="23" s="1"/>
  <c r="D147" i="60" s="1"/>
  <c r="T92" i="1"/>
  <c r="W1239" i="1" l="1"/>
  <c r="H1248" i="1"/>
  <c r="H1264" i="1" s="1"/>
  <c r="H1266" i="1" s="1"/>
  <c r="I57" i="21"/>
  <c r="E60" i="21"/>
  <c r="G81" i="23" s="1"/>
  <c r="G147" i="60" s="1"/>
  <c r="F51" i="17"/>
  <c r="M11" i="17"/>
  <c r="L79" i="23"/>
  <c r="F149" i="60" s="1"/>
  <c r="H57" i="21"/>
  <c r="D48" i="60" s="1"/>
  <c r="G60" i="21"/>
  <c r="G79" i="23"/>
  <c r="D149" i="60" s="1"/>
  <c r="T1239" i="1" l="1"/>
  <c r="N1239" i="1"/>
  <c r="E15" i="35" s="1"/>
  <c r="E18" i="35" s="1"/>
  <c r="E22" i="35" s="1"/>
  <c r="W1248" i="1"/>
  <c r="L81" i="23"/>
  <c r="G148" i="60" s="1"/>
  <c r="W1264" i="1" l="1"/>
  <c r="N1248" i="1"/>
  <c r="N1264" i="1" s="1"/>
  <c r="N1266" i="1" s="1"/>
  <c r="E43" i="35"/>
  <c r="E47" i="35" s="1"/>
  <c r="W53" i="1"/>
  <c r="H59" i="1"/>
  <c r="H61" i="1" s="1"/>
  <c r="H72" i="1" s="1"/>
  <c r="H85" i="1" s="1"/>
  <c r="C15" i="35"/>
  <c r="T1248" i="1"/>
  <c r="F22" i="35" l="1"/>
  <c r="D199" i="60" s="1"/>
  <c r="C18" i="35"/>
  <c r="C22" i="35" s="1"/>
  <c r="V15" i="35"/>
  <c r="V22" i="35" s="1"/>
  <c r="V43" i="35" s="1"/>
  <c r="V47" i="35" s="1"/>
  <c r="N53" i="1"/>
  <c r="T53" i="1"/>
  <c r="W59" i="1"/>
  <c r="W61" i="1" s="1"/>
  <c r="E48" i="35"/>
  <c r="E205" i="60" s="1"/>
  <c r="X48" i="35"/>
  <c r="E49" i="35"/>
  <c r="T1264" i="1"/>
  <c r="W1266" i="1"/>
  <c r="T1266" i="1" s="1"/>
  <c r="W341" i="1" l="1"/>
  <c r="H342" i="1"/>
  <c r="W72" i="1"/>
  <c r="W85" i="1" s="1"/>
  <c r="C24" i="25"/>
  <c r="E26" i="21"/>
  <c r="T59" i="1"/>
  <c r="T61" i="1" s="1"/>
  <c r="T72" i="1" s="1"/>
  <c r="T85" i="1" s="1"/>
  <c r="G26" i="21"/>
  <c r="N59" i="1"/>
  <c r="N61" i="1" s="1"/>
  <c r="N72" i="1" s="1"/>
  <c r="N85" i="1" s="1"/>
  <c r="F26" i="6" s="1"/>
  <c r="C43" i="35"/>
  <c r="C47" i="35" s="1"/>
  <c r="F23" i="35"/>
  <c r="D200" i="60" s="1"/>
  <c r="H26" i="21" l="1"/>
  <c r="D34" i="60" s="1"/>
  <c r="G30" i="21"/>
  <c r="L26" i="6"/>
  <c r="T93" i="1"/>
  <c r="N93" i="1" s="1"/>
  <c r="I26" i="21"/>
  <c r="E30" i="21"/>
  <c r="C26" i="25"/>
  <c r="G24" i="25"/>
  <c r="G26" i="25" s="1"/>
  <c r="W93" i="1"/>
  <c r="O26" i="6"/>
  <c r="C49" i="35"/>
  <c r="G112" i="138"/>
  <c r="I112" i="138" s="1"/>
  <c r="C48" i="35"/>
  <c r="D205" i="60" s="1"/>
  <c r="D31" i="17"/>
  <c r="W342" i="1"/>
  <c r="N341" i="1"/>
  <c r="T341" i="1"/>
  <c r="T342" i="1" s="1"/>
  <c r="E42" i="21" l="1"/>
  <c r="E32" i="21"/>
  <c r="E52" i="21"/>
  <c r="J112" i="138"/>
  <c r="J119" i="138" s="1"/>
  <c r="K119" i="138" s="1"/>
  <c r="I128" i="138"/>
  <c r="K128" i="138" s="1"/>
  <c r="K112" i="138"/>
  <c r="H24" i="25"/>
  <c r="H26" i="25"/>
  <c r="F31" i="17"/>
  <c r="D62" i="17"/>
  <c r="D65" i="17" s="1"/>
  <c r="D66" i="17" s="1"/>
  <c r="D43" i="17"/>
  <c r="W30" i="21"/>
  <c r="G42" i="21"/>
  <c r="G32" i="21"/>
  <c r="G52" i="21"/>
  <c r="N342" i="1"/>
  <c r="G63" i="21" l="1"/>
  <c r="G62" i="21"/>
  <c r="D49" i="129"/>
  <c r="D45" i="17" s="1"/>
  <c r="F290" i="60" s="1"/>
  <c r="E47" i="34"/>
  <c r="E63" i="21"/>
  <c r="E62" i="21"/>
  <c r="D1" i="1" s="1"/>
  <c r="H38" i="133"/>
  <c r="I38" i="133" s="1"/>
  <c r="C81" i="17"/>
  <c r="C83" i="17" s="1"/>
  <c r="D38" i="133"/>
  <c r="F293" i="60" s="1"/>
  <c r="F62" i="17"/>
  <c r="F65" i="17" s="1"/>
  <c r="F66" i="17" s="1"/>
  <c r="F43" i="17"/>
  <c r="I47" i="34" l="1"/>
  <c r="E51" i="34"/>
  <c r="E57" i="34"/>
  <c r="AH56" i="6"/>
  <c r="AH59" i="6" s="1"/>
  <c r="Z56" i="6"/>
  <c r="Z59" i="6" s="1"/>
  <c r="AA56" i="6"/>
  <c r="AA59" i="6" s="1"/>
  <c r="AC56" i="6"/>
  <c r="AC59" i="6" s="1"/>
  <c r="AG56" i="6"/>
  <c r="AG59" i="6" s="1"/>
  <c r="W56" i="6"/>
  <c r="W59" i="6" s="1"/>
  <c r="S56" i="6"/>
  <c r="S59" i="6" s="1"/>
  <c r="P56" i="6"/>
  <c r="P59" i="6" s="1"/>
  <c r="AL56" i="6"/>
  <c r="AL59" i="6" s="1"/>
  <c r="AM56" i="6"/>
  <c r="AM59" i="6" s="1"/>
  <c r="N56" i="6"/>
  <c r="N59" i="6" s="1"/>
  <c r="L56" i="6"/>
  <c r="L59" i="6" s="1"/>
  <c r="Q56" i="6"/>
  <c r="Q59" i="6" s="1"/>
  <c r="I56" i="6"/>
  <c r="I59" i="6" s="1"/>
  <c r="AF56" i="6"/>
  <c r="AF59" i="6" s="1"/>
  <c r="H56" i="6"/>
  <c r="H59" i="6" s="1"/>
  <c r="AI56" i="6"/>
  <c r="AI59" i="6" s="1"/>
  <c r="K56" i="6"/>
  <c r="K59" i="6" s="1"/>
  <c r="U56" i="6"/>
  <c r="U59" i="6" s="1"/>
  <c r="AD56" i="6"/>
  <c r="AD59" i="6" s="1"/>
  <c r="T56" i="6"/>
  <c r="T59" i="6" s="1"/>
  <c r="X56" i="6"/>
  <c r="X59" i="6" s="1"/>
  <c r="Y56" i="6"/>
  <c r="Y59" i="6" s="1"/>
  <c r="AE56" i="6"/>
  <c r="AE59" i="6" s="1"/>
  <c r="F56" i="6"/>
  <c r="F59" i="6" s="1"/>
  <c r="R56" i="6"/>
  <c r="R59" i="6" s="1"/>
  <c r="O56" i="6"/>
  <c r="O59" i="6" s="1"/>
  <c r="J56" i="6"/>
  <c r="J59" i="6" s="1"/>
  <c r="AJ56" i="6"/>
  <c r="AJ59" i="6" s="1"/>
  <c r="G56" i="6"/>
  <c r="G59" i="6" s="1"/>
  <c r="V56" i="6"/>
  <c r="V59" i="6" s="1"/>
  <c r="M56" i="6"/>
  <c r="M59" i="6" s="1"/>
  <c r="AK56" i="6"/>
  <c r="AK59" i="6" s="1"/>
  <c r="AB56" i="6"/>
  <c r="AB59" i="6" s="1"/>
  <c r="M43" i="17"/>
  <c r="I68" i="138"/>
  <c r="I72" i="138" s="1"/>
  <c r="F30" i="138"/>
  <c r="H30" i="138" s="1"/>
  <c r="F49" i="129"/>
  <c r="F38" i="133" s="1"/>
  <c r="F295" i="60" s="1"/>
  <c r="D92" i="17"/>
  <c r="D83" i="17"/>
  <c r="W102" i="1"/>
  <c r="F45" i="17" l="1"/>
  <c r="AD16" i="22"/>
  <c r="BI84" i="22"/>
  <c r="CN84" i="22" s="1"/>
  <c r="N102" i="1"/>
  <c r="T102" i="1"/>
  <c r="I75" i="138"/>
  <c r="J72" i="138"/>
  <c r="E61" i="34"/>
  <c r="I57" i="34"/>
  <c r="M47" i="34"/>
  <c r="D193" i="60" s="1"/>
  <c r="L47" i="34"/>
  <c r="I51" i="34"/>
  <c r="W99" i="1" l="1"/>
  <c r="H119" i="1"/>
  <c r="H140" i="1" s="1"/>
  <c r="H143" i="1" s="1"/>
  <c r="BF84" i="22"/>
  <c r="CK84" i="22" s="1"/>
  <c r="AA16" i="22"/>
  <c r="CK16" i="22" s="1"/>
  <c r="D16" i="22"/>
  <c r="H16" i="22" s="1"/>
  <c r="D59" i="60" s="1"/>
  <c r="F16" i="22"/>
  <c r="AZ84" i="22"/>
  <c r="CE84" i="22" s="1"/>
  <c r="U16" i="22"/>
  <c r="I61" i="34"/>
  <c r="L57" i="34"/>
  <c r="M57" i="34"/>
  <c r="F193" i="60" s="1"/>
  <c r="J16" i="22" l="1"/>
  <c r="F59" i="60" s="1"/>
  <c r="J187" i="138"/>
  <c r="K187" i="138" s="1"/>
  <c r="T99" i="1"/>
  <c r="N99" i="1"/>
  <c r="AD13" i="22"/>
  <c r="AD32" i="22" s="1"/>
  <c r="AD60" i="22" s="1"/>
  <c r="AD64" i="22" s="1"/>
  <c r="AD69" i="22" s="1"/>
  <c r="O29" i="6" s="1"/>
  <c r="AD86" i="22"/>
  <c r="AD101" i="22" s="1"/>
  <c r="AD128" i="22" s="1"/>
  <c r="AD132" i="22" s="1"/>
  <c r="W119" i="1"/>
  <c r="W140" i="1" s="1"/>
  <c r="W143" i="1" s="1"/>
  <c r="W1219" i="1"/>
  <c r="T1219" i="1" s="1"/>
  <c r="N1219" i="1" s="1"/>
  <c r="U86" i="22" l="1"/>
  <c r="U101" i="22" s="1"/>
  <c r="U128" i="22" s="1"/>
  <c r="U132" i="22" s="1"/>
  <c r="U13" i="22"/>
  <c r="U32" i="22" s="1"/>
  <c r="U60" i="22" s="1"/>
  <c r="U64" i="22" s="1"/>
  <c r="U69" i="22" s="1"/>
  <c r="F29" i="6" s="1"/>
  <c r="F13" i="22"/>
  <c r="N119" i="1"/>
  <c r="N140" i="1" s="1"/>
  <c r="N143" i="1" s="1"/>
  <c r="AA86" i="22"/>
  <c r="AA13" i="22"/>
  <c r="D13" i="22"/>
  <c r="T119" i="1"/>
  <c r="T140" i="1" s="1"/>
  <c r="T143" i="1" s="1"/>
  <c r="D86" i="22" l="1"/>
  <c r="H13" i="22"/>
  <c r="D56" i="60" s="1"/>
  <c r="D32" i="22"/>
  <c r="D60" i="22" s="1"/>
  <c r="D64" i="22" s="1"/>
  <c r="CK86" i="22"/>
  <c r="AA101" i="22"/>
  <c r="CK13" i="22"/>
  <c r="AA32" i="22"/>
  <c r="J13" i="22"/>
  <c r="F56" i="60" s="1"/>
  <c r="F86" i="22"/>
  <c r="F32" i="22"/>
  <c r="F60" i="22" s="1"/>
  <c r="F64" i="22" s="1"/>
  <c r="AA128" i="22" l="1"/>
  <c r="CK101" i="22"/>
  <c r="D69" i="22"/>
  <c r="D110" i="60" s="1"/>
  <c r="H64" i="22"/>
  <c r="D105" i="60" s="1"/>
  <c r="AA60" i="22"/>
  <c r="CK32" i="22"/>
  <c r="F69" i="22"/>
  <c r="F110" i="60" s="1"/>
  <c r="J64" i="22"/>
  <c r="F105" i="60" s="1"/>
  <c r="J86" i="22"/>
  <c r="F101" i="22"/>
  <c r="F128" i="22" s="1"/>
  <c r="F132" i="22" s="1"/>
  <c r="J132" i="22" s="1"/>
  <c r="H86" i="22"/>
  <c r="D101" i="22"/>
  <c r="D128" i="22" s="1"/>
  <c r="D132" i="22" s="1"/>
  <c r="H132" i="22" s="1"/>
  <c r="CK60" i="22" l="1"/>
  <c r="AA64" i="22"/>
  <c r="CK128" i="22"/>
  <c r="AA132" i="22"/>
  <c r="CK132" i="22" s="1"/>
  <c r="CK64" i="22" l="1"/>
  <c r="AA69" i="22"/>
  <c r="L29"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Briggs, Kathleen</author>
  </authors>
  <commentList>
    <comment ref="D39" authorId="0" shapeId="0" xr:uid="{00000000-0006-0000-0D00-000001000000}">
      <text>
        <r>
          <rPr>
            <sz val="9"/>
            <color indexed="81"/>
            <rFont val="Tahoma"/>
            <family val="2"/>
          </rPr>
          <t>Capital element of leases from CFS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Briggs, Kathleen</author>
  </authors>
  <commentList>
    <comment ref="A17" authorId="0" shapeId="0" xr:uid="{6801715F-9B39-4AA9-B6DD-D473A468AD52}">
      <text>
        <r>
          <rPr>
            <b/>
            <sz val="9"/>
            <color indexed="81"/>
            <rFont val="Tahoma"/>
            <charset val="1"/>
          </rPr>
          <t>Need to check Map tab for narratives</t>
        </r>
        <r>
          <rPr>
            <sz val="9"/>
            <color indexed="81"/>
            <rFont val="Tahoma"/>
            <charset val="1"/>
          </rPr>
          <t xml:space="preserve">
</t>
        </r>
      </text>
    </comment>
    <comment ref="A23" authorId="0" shapeId="0" xr:uid="{94CDD327-E649-4A29-9E62-08AAC8683783}">
      <text>
        <r>
          <rPr>
            <b/>
            <sz val="9"/>
            <color indexed="81"/>
            <rFont val="Tahoma"/>
            <charset val="1"/>
          </rPr>
          <t>Need to check Map tab for narratives</t>
        </r>
        <r>
          <rPr>
            <sz val="9"/>
            <color indexed="81"/>
            <rFont val="Tahoma"/>
            <charset val="1"/>
          </rPr>
          <t xml:space="preserve">
</t>
        </r>
      </text>
    </comment>
    <comment ref="A50" authorId="0" shapeId="0" xr:uid="{8F4E600D-5B67-4EA4-9926-7256D6B28BC0}">
      <text>
        <r>
          <rPr>
            <b/>
            <sz val="9"/>
            <color indexed="81"/>
            <rFont val="Tahoma"/>
            <charset val="1"/>
          </rPr>
          <t>Need to check Map tab for narratives</t>
        </r>
        <r>
          <rPr>
            <sz val="9"/>
            <color indexed="81"/>
            <rFont val="Tahoma"/>
            <charset val="1"/>
          </rPr>
          <t xml:space="preserve">
</t>
        </r>
      </text>
    </comment>
    <comment ref="A68" authorId="0" shapeId="0" xr:uid="{B0673386-6216-4D5F-86CE-B9F8A107EC33}">
      <text>
        <r>
          <rPr>
            <b/>
            <sz val="9"/>
            <color indexed="81"/>
            <rFont val="Tahoma"/>
            <charset val="1"/>
          </rPr>
          <t>Need to check Map tab for narratives</t>
        </r>
        <r>
          <rPr>
            <sz val="9"/>
            <color indexed="81"/>
            <rFont val="Tahoma"/>
            <charset val="1"/>
          </rPr>
          <t xml:space="preserve">
</t>
        </r>
      </text>
    </comment>
    <comment ref="A74" authorId="0" shapeId="0" xr:uid="{D18DCF1F-769F-4892-AA2B-7138D8119E45}">
      <text>
        <r>
          <rPr>
            <b/>
            <sz val="9"/>
            <color indexed="81"/>
            <rFont val="Tahoma"/>
            <charset val="1"/>
          </rPr>
          <t>Need to check Map tab for narratives</t>
        </r>
        <r>
          <rPr>
            <sz val="9"/>
            <color indexed="81"/>
            <rFont val="Tahoma"/>
            <charset val="1"/>
          </rPr>
          <t xml:space="preserve">
</t>
        </r>
      </text>
    </comment>
    <comment ref="A93" authorId="0" shapeId="0" xr:uid="{B3F561D1-43FA-40D5-97BB-ABD6B4CF7101}">
      <text>
        <r>
          <rPr>
            <b/>
            <sz val="9"/>
            <color indexed="81"/>
            <rFont val="Tahoma"/>
            <charset val="1"/>
          </rPr>
          <t>Need to check Map tab for narratives</t>
        </r>
        <r>
          <rPr>
            <sz val="9"/>
            <color indexed="81"/>
            <rFont val="Tahoma"/>
            <charset val="1"/>
          </rPr>
          <t xml:space="preserve">
</t>
        </r>
      </text>
    </comment>
    <comment ref="A99" authorId="0" shapeId="0" xr:uid="{67EF382F-A5D1-49D1-B9FE-18C343ED56F5}">
      <text>
        <r>
          <rPr>
            <b/>
            <sz val="9"/>
            <color indexed="81"/>
            <rFont val="Tahoma"/>
            <charset val="1"/>
          </rPr>
          <t>Need to check Map tab for narratives</t>
        </r>
        <r>
          <rPr>
            <sz val="9"/>
            <color indexed="81"/>
            <rFont val="Tahoma"/>
            <charset val="1"/>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Windows User</author>
    <author>Briggs, Kathleen</author>
  </authors>
  <commentList>
    <comment ref="M4" authorId="0" shapeId="0" xr:uid="{00000000-0006-0000-1900-000001000000}">
      <text>
        <r>
          <rPr>
            <b/>
            <sz val="9"/>
            <color indexed="81"/>
            <rFont val="Tahoma"/>
            <family val="2"/>
          </rPr>
          <t>Windows User:</t>
        </r>
        <r>
          <rPr>
            <sz val="9"/>
            <color indexed="81"/>
            <rFont val="Tahoma"/>
            <family val="2"/>
          </rPr>
          <t xml:space="preserve">
info only</t>
        </r>
      </text>
    </comment>
    <comment ref="AX4" authorId="0" shapeId="0" xr:uid="{00000000-0006-0000-1900-000002000000}">
      <text>
        <r>
          <rPr>
            <b/>
            <sz val="9"/>
            <color indexed="81"/>
            <rFont val="Tahoma"/>
            <family val="2"/>
          </rPr>
          <t>Windows User:</t>
        </r>
        <r>
          <rPr>
            <sz val="9"/>
            <color indexed="81"/>
            <rFont val="Tahoma"/>
            <family val="2"/>
          </rPr>
          <t xml:space="preserve">
100% of  primary statments to 31/12/17 - note these are in sinlge Euros  not £'000</t>
        </r>
      </text>
    </comment>
    <comment ref="BE4" authorId="0" shapeId="0" xr:uid="{00000000-0006-0000-1900-000003000000}">
      <text>
        <r>
          <rPr>
            <b/>
            <sz val="9"/>
            <color indexed="81"/>
            <rFont val="Tahoma"/>
            <family val="2"/>
          </rPr>
          <t>Windows User:</t>
        </r>
        <r>
          <rPr>
            <sz val="9"/>
            <color indexed="81"/>
            <rFont val="Tahoma"/>
            <family val="2"/>
          </rPr>
          <t xml:space="preserve">
primary statement links</t>
        </r>
      </text>
    </comment>
    <comment ref="BF4" authorId="0" shapeId="0" xr:uid="{00000000-0006-0000-1900-000004000000}">
      <text>
        <r>
          <rPr>
            <b/>
            <sz val="9"/>
            <color indexed="81"/>
            <rFont val="Tahoma"/>
            <family val="2"/>
          </rPr>
          <t>Windows User:</t>
        </r>
        <r>
          <rPr>
            <sz val="9"/>
            <color indexed="81"/>
            <rFont val="Tahoma"/>
            <family val="2"/>
          </rPr>
          <t xml:space="preserve">
to reverse small immaterial interco adjusts recorded</t>
        </r>
      </text>
    </comment>
    <comment ref="BG4" authorId="0" shapeId="0" xr:uid="{00000000-0006-0000-1900-000005000000}">
      <text>
        <r>
          <rPr>
            <b/>
            <sz val="9"/>
            <color indexed="81"/>
            <rFont val="Tahoma"/>
            <family val="2"/>
          </rPr>
          <t>Windows User:</t>
        </r>
        <r>
          <rPr>
            <sz val="9"/>
            <color indexed="81"/>
            <rFont val="Tahoma"/>
            <family val="2"/>
          </rPr>
          <t xml:space="preserve">
sundry</t>
        </r>
      </text>
    </comment>
    <comment ref="BH4" authorId="0" shapeId="0" xr:uid="{00000000-0006-0000-1900-000006000000}">
      <text>
        <r>
          <rPr>
            <b/>
            <sz val="9"/>
            <color indexed="81"/>
            <rFont val="Tahoma"/>
            <family val="2"/>
          </rPr>
          <t>Windows User:</t>
        </r>
        <r>
          <rPr>
            <sz val="9"/>
            <color indexed="81"/>
            <rFont val="Tahoma"/>
            <family val="2"/>
          </rPr>
          <t xml:space="preserve">
remove remaining financial assets in core (note £2261k already removed from loan with NIAS</t>
        </r>
      </text>
    </comment>
    <comment ref="BI4" authorId="0" shapeId="0" xr:uid="{00000000-0006-0000-1900-000007000000}">
      <text>
        <r>
          <rPr>
            <b/>
            <sz val="9"/>
            <color indexed="81"/>
            <rFont val="Tahoma"/>
            <family val="2"/>
          </rPr>
          <t>Windows User:</t>
        </r>
        <r>
          <rPr>
            <sz val="9"/>
            <color indexed="81"/>
            <rFont val="Tahoma"/>
            <family val="2"/>
          </rPr>
          <t xml:space="preserve">
Grant in Aid</t>
        </r>
      </text>
    </comment>
    <comment ref="BJ4" authorId="0" shapeId="0" xr:uid="{00000000-0006-0000-1900-000008000000}">
      <text>
        <r>
          <rPr>
            <b/>
            <sz val="9"/>
            <color indexed="81"/>
            <rFont val="Tahoma"/>
            <family val="2"/>
          </rPr>
          <t>Windows User:</t>
        </r>
        <r>
          <rPr>
            <sz val="9"/>
            <color indexed="81"/>
            <rFont val="Tahoma"/>
            <family val="2"/>
          </rPr>
          <t xml:space="preserve">
rollup net SoCNE interco movement into GF</t>
        </r>
      </text>
    </comment>
    <comment ref="V7" authorId="1" shapeId="0" xr:uid="{00000000-0006-0000-1900-000009000000}">
      <text>
        <r>
          <rPr>
            <sz val="9"/>
            <color indexed="81"/>
            <rFont val="Tahoma"/>
            <family val="2"/>
          </rPr>
          <t>Difference between intercompany income and spend</t>
        </r>
      </text>
    </comment>
    <comment ref="BJ7" authorId="1" shapeId="0" xr:uid="{00000000-0006-0000-1900-00000A000000}">
      <text>
        <r>
          <rPr>
            <b/>
            <sz val="9"/>
            <color indexed="81"/>
            <rFont val="Tahoma"/>
            <family val="2"/>
          </rPr>
          <t>Briggs, Kathleen:</t>
        </r>
        <r>
          <rPr>
            <sz val="9"/>
            <color indexed="81"/>
            <rFont val="Tahoma"/>
            <family val="2"/>
          </rPr>
          <t xml:space="preserve">
Difference between intercompany income and spend</t>
        </r>
      </text>
    </comment>
    <comment ref="V14" authorId="1" shapeId="0" xr:uid="{00000000-0006-0000-1900-00000B000000}">
      <text>
        <r>
          <rPr>
            <sz val="9"/>
            <color indexed="81"/>
            <rFont val="Tahoma"/>
            <family val="2"/>
          </rPr>
          <t>Difference between intercompany income and spend</t>
        </r>
      </text>
    </comment>
    <comment ref="BI14" authorId="0" shapeId="0" xr:uid="{00000000-0006-0000-1900-00000C000000}">
      <text>
        <r>
          <rPr>
            <b/>
            <sz val="9"/>
            <color indexed="81"/>
            <rFont val="Tahoma"/>
            <family val="2"/>
          </rPr>
          <t>Windows User:</t>
        </r>
        <r>
          <rPr>
            <sz val="9"/>
            <color indexed="81"/>
            <rFont val="Tahoma"/>
            <family val="2"/>
          </rPr>
          <t xml:space="preserve">
This is the GIA for all bodies except Core,HSCBand PHA - all reported in core as purchases - see corresponding entry below in note 4</t>
        </r>
      </text>
    </comment>
    <comment ref="BJ14" authorId="1" shapeId="0" xr:uid="{00000000-0006-0000-1900-00000D000000}">
      <text>
        <r>
          <rPr>
            <b/>
            <sz val="9"/>
            <color indexed="81"/>
            <rFont val="Tahoma"/>
            <family val="2"/>
          </rPr>
          <t>Briggs, Kathleen:</t>
        </r>
        <r>
          <rPr>
            <sz val="9"/>
            <color indexed="81"/>
            <rFont val="Tahoma"/>
            <family val="2"/>
          </rPr>
          <t xml:space="preserve">
Difference between intercompany income and spend</t>
        </r>
      </text>
    </comment>
    <comment ref="J40" authorId="0" shapeId="0" xr:uid="{00000000-0006-0000-1900-00000E000000}">
      <text>
        <r>
          <rPr>
            <b/>
            <sz val="9"/>
            <color indexed="81"/>
            <rFont val="Tahoma"/>
            <family val="2"/>
          </rPr>
          <t>Windows User:</t>
        </r>
        <r>
          <rPr>
            <sz val="9"/>
            <color indexed="81"/>
            <rFont val="Tahoma"/>
            <family val="2"/>
          </rPr>
          <t xml:space="preserve">
Charitable Trust Fund net expenditure added back to SoCNE for TE purposes - MEMO</t>
        </r>
      </text>
    </comment>
    <comment ref="V53" authorId="1" shapeId="0" xr:uid="{00000000-0006-0000-1900-00000F000000}">
      <text>
        <r>
          <rPr>
            <sz val="9"/>
            <color indexed="81"/>
            <rFont val="Tahoma"/>
            <family val="2"/>
          </rPr>
          <t>Intercompany difference between Receivables and Payables</t>
        </r>
      </text>
    </comment>
    <comment ref="BG53" authorId="1" shapeId="0" xr:uid="{00000000-0006-0000-1900-000010000000}">
      <text>
        <r>
          <rPr>
            <b/>
            <sz val="9"/>
            <color indexed="81"/>
            <rFont val="Tahoma"/>
            <family val="2"/>
          </rPr>
          <t>Briggs, Kathleen:</t>
        </r>
        <r>
          <rPr>
            <sz val="9"/>
            <color indexed="81"/>
            <rFont val="Tahoma"/>
            <family val="2"/>
          </rPr>
          <t xml:space="preserve">
BSO No 1 account</t>
        </r>
      </text>
    </comment>
    <comment ref="BJ53" authorId="1" shapeId="0" xr:uid="{00000000-0006-0000-1900-000011000000}">
      <text>
        <r>
          <rPr>
            <b/>
            <sz val="9"/>
            <color indexed="81"/>
            <rFont val="Tahoma"/>
            <family val="2"/>
          </rPr>
          <t>Briggs, Kathleen:</t>
        </r>
        <r>
          <rPr>
            <sz val="9"/>
            <color indexed="81"/>
            <rFont val="Tahoma"/>
            <family val="2"/>
          </rPr>
          <t xml:space="preserve">
Intercompany difference between Receivables and Payables</t>
        </r>
      </text>
    </comment>
    <comment ref="V63" authorId="1" shapeId="0" xr:uid="{00000000-0006-0000-1900-000012000000}">
      <text>
        <r>
          <rPr>
            <sz val="9"/>
            <color indexed="81"/>
            <rFont val="Tahoma"/>
            <family val="2"/>
          </rPr>
          <t>Intercompany difference between Receivables and Payables</t>
        </r>
      </text>
    </comment>
    <comment ref="BG63" authorId="1" shapeId="0" xr:uid="{00000000-0006-0000-1900-000013000000}">
      <text>
        <r>
          <rPr>
            <b/>
            <sz val="9"/>
            <color indexed="81"/>
            <rFont val="Tahoma"/>
            <family val="2"/>
          </rPr>
          <t>Briggs, Kathleen:</t>
        </r>
        <r>
          <rPr>
            <sz val="9"/>
            <color indexed="81"/>
            <rFont val="Tahoma"/>
            <family val="2"/>
          </rPr>
          <t xml:space="preserve">
BSO No 1 account</t>
        </r>
      </text>
    </comment>
    <comment ref="BJ63" authorId="1" shapeId="0" xr:uid="{00000000-0006-0000-1900-000014000000}">
      <text>
        <r>
          <rPr>
            <b/>
            <sz val="9"/>
            <color indexed="81"/>
            <rFont val="Tahoma"/>
            <family val="2"/>
          </rPr>
          <t>Briggs, Kathleen:</t>
        </r>
        <r>
          <rPr>
            <sz val="9"/>
            <color indexed="81"/>
            <rFont val="Tahoma"/>
            <family val="2"/>
          </rPr>
          <t xml:space="preserve">
Intercompany difference between Receivables and Payables</t>
        </r>
      </text>
    </comment>
    <comment ref="BE65" authorId="0" shapeId="0" xr:uid="{00000000-0006-0000-1900-000015000000}">
      <text>
        <r>
          <rPr>
            <b/>
            <sz val="9"/>
            <color indexed="81"/>
            <rFont val="Tahoma"/>
            <family val="2"/>
          </rPr>
          <t>Windows User:</t>
        </r>
        <r>
          <rPr>
            <sz val="9"/>
            <color indexed="81"/>
            <rFont val="Tahoma"/>
            <family val="2"/>
          </rPr>
          <t xml:space="preserve">
to remove Loan from DoH to NIAS</t>
        </r>
      </text>
    </comment>
    <comment ref="V89" authorId="1" shapeId="0" xr:uid="{00000000-0006-0000-1900-000016000000}">
      <text>
        <r>
          <rPr>
            <sz val="9"/>
            <color indexed="81"/>
            <rFont val="Tahoma"/>
            <family val="2"/>
          </rPr>
          <t>Check these two cells add to zero</t>
        </r>
      </text>
    </comment>
    <comment ref="BJ89" authorId="1" shapeId="0" xr:uid="{00000000-0006-0000-1900-000017000000}">
      <text>
        <r>
          <rPr>
            <b/>
            <sz val="9"/>
            <color indexed="81"/>
            <rFont val="Tahoma"/>
            <family val="2"/>
          </rPr>
          <t>Briggs, Kathleen:</t>
        </r>
        <r>
          <rPr>
            <sz val="9"/>
            <color indexed="81"/>
            <rFont val="Tahoma"/>
            <family val="2"/>
          </rPr>
          <t xml:space="preserve">
Check these two cells add to zero</t>
        </r>
      </text>
    </comment>
    <comment ref="V96" authorId="1" shapeId="0" xr:uid="{00000000-0006-0000-1900-000018000000}">
      <text>
        <r>
          <rPr>
            <sz val="9"/>
            <color indexed="81"/>
            <rFont val="Tahoma"/>
            <family val="2"/>
          </rPr>
          <t>Check these two cells add to zero</t>
        </r>
      </text>
    </comment>
    <comment ref="BF96" authorId="0" shapeId="0" xr:uid="{00000000-0006-0000-1900-000019000000}">
      <text>
        <r>
          <rPr>
            <b/>
            <sz val="9"/>
            <color indexed="81"/>
            <rFont val="Tahoma"/>
            <family val="2"/>
          </rPr>
          <t>Windows User:</t>
        </r>
        <r>
          <rPr>
            <sz val="9"/>
            <color indexed="81"/>
            <rFont val="Tahoma"/>
            <family val="2"/>
          </rPr>
          <t xml:space="preserve">
socne safefood - other side is in core purchases</t>
        </r>
      </text>
    </comment>
    <comment ref="BG96" authorId="0" shapeId="0" xr:uid="{00000000-0006-0000-1900-00001A000000}">
      <text>
        <r>
          <rPr>
            <b/>
            <sz val="9"/>
            <color indexed="81"/>
            <rFont val="Tahoma"/>
            <family val="2"/>
          </rPr>
          <t>Windows User:</t>
        </r>
        <r>
          <rPr>
            <sz val="9"/>
            <color indexed="81"/>
            <rFont val="Tahoma"/>
            <family val="2"/>
          </rPr>
          <t xml:space="preserve">
SoCNEIPHI - other side is in core purchases</t>
        </r>
      </text>
    </comment>
    <comment ref="BJ96" authorId="1" shapeId="0" xr:uid="{00000000-0006-0000-1900-00001B000000}">
      <text>
        <r>
          <rPr>
            <b/>
            <sz val="9"/>
            <color indexed="81"/>
            <rFont val="Tahoma"/>
            <family val="2"/>
          </rPr>
          <t>Briggs, Kathleen:</t>
        </r>
        <r>
          <rPr>
            <sz val="9"/>
            <color indexed="81"/>
            <rFont val="Tahoma"/>
            <family val="2"/>
          </rPr>
          <t xml:space="preserve">
Check these two cells add to zero</t>
        </r>
      </text>
    </comment>
    <comment ref="S99" authorId="1" shapeId="0" xr:uid="{00000000-0006-0000-1900-00001C000000}">
      <text>
        <r>
          <rPr>
            <b/>
            <sz val="9"/>
            <color indexed="81"/>
            <rFont val="Tahoma"/>
            <family val="2"/>
          </rPr>
          <t>Briggs, Kathleen:</t>
        </r>
        <r>
          <rPr>
            <sz val="9"/>
            <color indexed="81"/>
            <rFont val="Tahoma"/>
            <family val="2"/>
          </rPr>
          <t xml:space="preserve">
Formula changed to take into account movement in intercompany balances</t>
        </r>
      </text>
    </comment>
    <comment ref="U99" authorId="1" shapeId="0" xr:uid="{00000000-0006-0000-1900-00001D000000}">
      <text>
        <r>
          <rPr>
            <sz val="9"/>
            <color indexed="81"/>
            <rFont val="Tahoma"/>
            <family val="2"/>
          </rPr>
          <t>Formula changed to take into account movement in intercompany balances</t>
        </r>
      </text>
    </comment>
    <comment ref="BG99" authorId="1" shapeId="0" xr:uid="{5D70D905-9FF4-4BAF-AC99-7B9895EB18E5}">
      <text>
        <r>
          <rPr>
            <b/>
            <sz val="9"/>
            <color indexed="81"/>
            <rFont val="Tahoma"/>
            <family val="2"/>
          </rPr>
          <t>Briggs, Kathleen:</t>
        </r>
        <r>
          <rPr>
            <sz val="9"/>
            <color indexed="81"/>
            <rFont val="Tahoma"/>
            <family val="2"/>
          </rPr>
          <t xml:space="preserve">
BSO No 1 account</t>
        </r>
      </text>
    </comment>
    <comment ref="BJ99" authorId="1" shapeId="0" xr:uid="{00000000-0006-0000-1900-00001E000000}">
      <text>
        <r>
          <rPr>
            <b/>
            <sz val="9"/>
            <color indexed="81"/>
            <rFont val="Tahoma"/>
            <family val="2"/>
          </rPr>
          <t>Briggs, Kathleen:</t>
        </r>
        <r>
          <rPr>
            <sz val="9"/>
            <color indexed="81"/>
            <rFont val="Tahoma"/>
            <family val="2"/>
          </rPr>
          <t xml:space="preserve">
Intercompany difference between Receivables and Payables</t>
        </r>
      </text>
    </comment>
    <comment ref="S106" authorId="1" shapeId="0" xr:uid="{00000000-0006-0000-1900-000020000000}">
      <text>
        <r>
          <rPr>
            <b/>
            <sz val="9"/>
            <color indexed="81"/>
            <rFont val="Tahoma"/>
            <family val="2"/>
          </rPr>
          <t>Briggs, Kathleen:</t>
        </r>
        <r>
          <rPr>
            <sz val="9"/>
            <color indexed="81"/>
            <rFont val="Tahoma"/>
            <family val="2"/>
          </rPr>
          <t xml:space="preserve">
Formula changed to take into account movement in intercompany balances</t>
        </r>
      </text>
    </comment>
    <comment ref="U106" authorId="1" shapeId="0" xr:uid="{00000000-0006-0000-1900-000021000000}">
      <text>
        <r>
          <rPr>
            <sz val="9"/>
            <color indexed="81"/>
            <rFont val="Tahoma"/>
            <family val="2"/>
          </rPr>
          <t>Formula changed to take into account movement in intercompany balances</t>
        </r>
      </text>
    </comment>
    <comment ref="BG106" authorId="1" shapeId="0" xr:uid="{6606B011-09CD-4ACE-B380-9F2D2FC47782}">
      <text>
        <r>
          <rPr>
            <b/>
            <sz val="9"/>
            <color indexed="81"/>
            <rFont val="Tahoma"/>
            <family val="2"/>
          </rPr>
          <t>Briggs, Kathleen:</t>
        </r>
        <r>
          <rPr>
            <sz val="9"/>
            <color indexed="81"/>
            <rFont val="Tahoma"/>
            <family val="2"/>
          </rPr>
          <t xml:space="preserve">
BSO No 1 account</t>
        </r>
      </text>
    </comment>
    <comment ref="BJ106" authorId="1" shapeId="0" xr:uid="{00000000-0006-0000-1900-000022000000}">
      <text>
        <r>
          <rPr>
            <b/>
            <sz val="9"/>
            <color indexed="81"/>
            <rFont val="Tahoma"/>
            <family val="2"/>
          </rPr>
          <t>Briggs, Kathleen:</t>
        </r>
        <r>
          <rPr>
            <sz val="9"/>
            <color indexed="81"/>
            <rFont val="Tahoma"/>
            <family val="2"/>
          </rPr>
          <t xml:space="preserve">
Intercompany difference between Receivables and Payables</t>
        </r>
      </text>
    </comment>
    <comment ref="BI153" authorId="1" shapeId="0" xr:uid="{00000000-0006-0000-1900-000026000000}">
      <text>
        <r>
          <rPr>
            <b/>
            <sz val="9"/>
            <color indexed="81"/>
            <rFont val="Tahoma"/>
            <family val="2"/>
          </rPr>
          <t>Briggs, Kathleen:</t>
        </r>
        <r>
          <rPr>
            <sz val="9"/>
            <color indexed="81"/>
            <rFont val="Tahoma"/>
            <family val="2"/>
          </rPr>
          <t xml:space="preserve">
Prior year GiA for elimination.
All ALBs excluding SPPG and PHA</t>
        </r>
      </text>
    </comment>
    <comment ref="BI179" authorId="1" shapeId="0" xr:uid="{00000000-0006-0000-1900-000027000000}">
      <text>
        <r>
          <rPr>
            <b/>
            <sz val="9"/>
            <color indexed="81"/>
            <rFont val="Tahoma"/>
            <family val="2"/>
          </rPr>
          <t>Briggs, Kathleen:</t>
        </r>
        <r>
          <rPr>
            <sz val="9"/>
            <color indexed="81"/>
            <rFont val="Tahoma"/>
            <family val="2"/>
          </rPr>
          <t xml:space="preserve">
Current year GiA for elimination
All ALBs excluding SPPG and PHA.</t>
        </r>
      </text>
    </comment>
    <comment ref="V188" authorId="1" shapeId="0" xr:uid="{00000000-0006-0000-1900-000028000000}">
      <text>
        <r>
          <rPr>
            <sz val="9"/>
            <color indexed="81"/>
            <rFont val="Tahoma"/>
            <family val="2"/>
          </rPr>
          <t>Check these two cells add to zero</t>
        </r>
      </text>
    </comment>
    <comment ref="BJ188" authorId="1" shapeId="0" xr:uid="{00000000-0006-0000-1900-000029000000}">
      <text>
        <r>
          <rPr>
            <b/>
            <sz val="9"/>
            <color indexed="81"/>
            <rFont val="Tahoma"/>
            <family val="2"/>
          </rPr>
          <t>Briggs, Kathleen:</t>
        </r>
        <r>
          <rPr>
            <sz val="9"/>
            <color indexed="81"/>
            <rFont val="Tahoma"/>
            <family val="2"/>
          </rPr>
          <t xml:space="preserve">
Check these two cells add to zero</t>
        </r>
      </text>
    </comment>
    <comment ref="V402" authorId="1" shapeId="0" xr:uid="{00000000-0006-0000-1900-00002A000000}">
      <text>
        <r>
          <rPr>
            <sz val="9"/>
            <color indexed="81"/>
            <rFont val="Tahoma"/>
            <family val="2"/>
          </rPr>
          <t>Difference between intercompany income and spend</t>
        </r>
      </text>
    </comment>
    <comment ref="BI402" authorId="0" shapeId="0" xr:uid="{00000000-0006-0000-1900-00002B000000}">
      <text>
        <r>
          <rPr>
            <b/>
            <sz val="9"/>
            <color indexed="81"/>
            <rFont val="Tahoma"/>
            <family val="2"/>
          </rPr>
          <t>Kathleen Briggs:</t>
        </r>
        <r>
          <rPr>
            <sz val="9"/>
            <color indexed="81"/>
            <rFont val="Tahoma"/>
            <family val="2"/>
          </rPr>
          <t xml:space="preserve">
Reverse GIA to ALBs from DoH</t>
        </r>
      </text>
    </comment>
    <comment ref="BJ402" authorId="1" shapeId="0" xr:uid="{00000000-0006-0000-1900-00002C000000}">
      <text>
        <r>
          <rPr>
            <b/>
            <sz val="9"/>
            <color indexed="81"/>
            <rFont val="Tahoma"/>
            <family val="2"/>
          </rPr>
          <t>Briggs, Kathleen:</t>
        </r>
        <r>
          <rPr>
            <sz val="9"/>
            <color indexed="81"/>
            <rFont val="Tahoma"/>
            <family val="2"/>
          </rPr>
          <t xml:space="preserve">
Difference between intercompany income and spend</t>
        </r>
      </text>
    </comment>
    <comment ref="BJ466" authorId="1" shapeId="0" xr:uid="{00000000-0006-0000-1900-00002D000000}">
      <text>
        <r>
          <rPr>
            <b/>
            <sz val="9"/>
            <color indexed="81"/>
            <rFont val="Tahoma"/>
            <family val="2"/>
          </rPr>
          <t>Briggs, Kathleen:</t>
        </r>
        <r>
          <rPr>
            <sz val="9"/>
            <color indexed="81"/>
            <rFont val="Tahoma"/>
            <family val="2"/>
          </rPr>
          <t xml:space="preserve">
Difference between intercompany income and spend</t>
        </r>
      </text>
    </comment>
    <comment ref="E486" authorId="0" shapeId="0" xr:uid="{00000000-0006-0000-1900-00002E000000}">
      <text>
        <r>
          <rPr>
            <b/>
            <sz val="9"/>
            <color indexed="81"/>
            <rFont val="Tahoma"/>
            <family val="2"/>
          </rPr>
          <t>Windows User:</t>
        </r>
        <r>
          <rPr>
            <sz val="9"/>
            <color indexed="81"/>
            <rFont val="Tahoma"/>
            <family val="2"/>
          </rPr>
          <t xml:space="preserve">
memo: Analysis is required for each service where full cost is over £1m - This is </t>
        </r>
        <r>
          <rPr>
            <b/>
            <u/>
            <sz val="9"/>
            <color indexed="81"/>
            <rFont val="Tahoma"/>
            <family val="2"/>
          </rPr>
          <t>not</t>
        </r>
        <r>
          <rPr>
            <sz val="9"/>
            <color indexed="81"/>
            <rFont val="Tahoma"/>
            <family val="2"/>
          </rPr>
          <t xml:space="preserve"> reported separately in 2017-18 cosnol accounts note 1=5</t>
        </r>
      </text>
    </comment>
    <comment ref="E487" authorId="0" shapeId="0" xr:uid="{00000000-0006-0000-1900-00002F000000}">
      <text>
        <r>
          <rPr>
            <b/>
            <sz val="9"/>
            <color indexed="81"/>
            <rFont val="Tahoma"/>
            <family val="2"/>
          </rPr>
          <t>Windows User:</t>
        </r>
        <r>
          <rPr>
            <sz val="9"/>
            <color indexed="81"/>
            <rFont val="Tahoma"/>
            <family val="2"/>
          </rPr>
          <t xml:space="preserve">
memo: Analysis is required for each service where full cost is over £1m - This is </t>
        </r>
        <r>
          <rPr>
            <b/>
            <u/>
            <sz val="9"/>
            <color indexed="81"/>
            <rFont val="Tahoma"/>
            <family val="2"/>
          </rPr>
          <t>not</t>
        </r>
        <r>
          <rPr>
            <sz val="9"/>
            <color indexed="81"/>
            <rFont val="Tahoma"/>
            <family val="2"/>
          </rPr>
          <t xml:space="preserve"> reported separately in 2017-18 cosnol accounts note 1=5</t>
        </r>
      </text>
    </comment>
    <comment ref="E489" authorId="0" shapeId="0" xr:uid="{00000000-0006-0000-1900-000030000000}">
      <text>
        <r>
          <rPr>
            <b/>
            <sz val="9"/>
            <color indexed="81"/>
            <rFont val="Tahoma"/>
            <family val="2"/>
          </rPr>
          <t>Windows User:</t>
        </r>
        <r>
          <rPr>
            <sz val="9"/>
            <color indexed="81"/>
            <rFont val="Tahoma"/>
            <family val="2"/>
          </rPr>
          <t xml:space="preserve">
memo: Analysis is required for each service where full cost is over £1m - This is </t>
        </r>
        <r>
          <rPr>
            <b/>
            <u/>
            <sz val="9"/>
            <color indexed="81"/>
            <rFont val="Tahoma"/>
            <family val="2"/>
          </rPr>
          <t>not</t>
        </r>
        <r>
          <rPr>
            <sz val="9"/>
            <color indexed="81"/>
            <rFont val="Tahoma"/>
            <family val="2"/>
          </rPr>
          <t xml:space="preserve"> reported separately in 2017-18 cosnol accounts note 1=5</t>
        </r>
      </text>
    </comment>
    <comment ref="E490" authorId="0" shapeId="0" xr:uid="{00000000-0006-0000-1900-000031000000}">
      <text>
        <r>
          <rPr>
            <b/>
            <sz val="9"/>
            <color indexed="81"/>
            <rFont val="Tahoma"/>
            <family val="2"/>
          </rPr>
          <t>Windows User:</t>
        </r>
        <r>
          <rPr>
            <sz val="9"/>
            <color indexed="81"/>
            <rFont val="Tahoma"/>
            <family val="2"/>
          </rPr>
          <t xml:space="preserve">
memo: Analysis is required for each service where full cost is over £1m - This is </t>
        </r>
        <r>
          <rPr>
            <b/>
            <u/>
            <sz val="9"/>
            <color indexed="81"/>
            <rFont val="Tahoma"/>
            <family val="2"/>
          </rPr>
          <t>not</t>
        </r>
        <r>
          <rPr>
            <sz val="9"/>
            <color indexed="81"/>
            <rFont val="Tahoma"/>
            <family val="2"/>
          </rPr>
          <t xml:space="preserve"> reported separately in 2017-18 cosnol accounts note 1=5</t>
        </r>
      </text>
    </comment>
    <comment ref="E844" authorId="0" shapeId="0" xr:uid="{00000000-0006-0000-1900-000032000000}">
      <text>
        <r>
          <rPr>
            <b/>
            <sz val="9"/>
            <color indexed="81"/>
            <rFont val="Tahoma"/>
            <family val="2"/>
          </rPr>
          <t>Windows User:</t>
        </r>
        <r>
          <rPr>
            <sz val="9"/>
            <color indexed="81"/>
            <rFont val="Tahoma"/>
            <family val="2"/>
          </rPr>
          <t xml:space="preserve">
Narrative</t>
        </r>
      </text>
    </comment>
    <comment ref="E845" authorId="0" shapeId="0" xr:uid="{00000000-0006-0000-1900-000033000000}">
      <text>
        <r>
          <rPr>
            <b/>
            <sz val="9"/>
            <color indexed="81"/>
            <rFont val="Tahoma"/>
            <family val="2"/>
          </rPr>
          <t>Windows User:</t>
        </r>
        <r>
          <rPr>
            <sz val="9"/>
            <color indexed="81"/>
            <rFont val="Tahoma"/>
            <family val="2"/>
          </rPr>
          <t xml:space="preserve">
Narrative</t>
        </r>
      </text>
    </comment>
    <comment ref="C999" authorId="0" shapeId="0" xr:uid="{00000000-0006-0000-1900-000034000000}">
      <text>
        <r>
          <rPr>
            <b/>
            <sz val="9"/>
            <color indexed="81"/>
            <rFont val="Tahoma"/>
            <family val="2"/>
          </rPr>
          <t>Windows User:</t>
        </r>
        <r>
          <rPr>
            <sz val="9"/>
            <color indexed="81"/>
            <rFont val="Tahoma"/>
            <family val="2"/>
          </rPr>
          <t xml:space="preserve">
check trademarks and artistic originals</t>
        </r>
      </text>
    </comment>
    <comment ref="V1238" authorId="1" shapeId="0" xr:uid="{00000000-0006-0000-1900-000038000000}">
      <text>
        <r>
          <rPr>
            <sz val="9"/>
            <color indexed="81"/>
            <rFont val="Tahoma"/>
            <family val="2"/>
          </rPr>
          <t>Intercompany difference between Receivables and Payables</t>
        </r>
      </text>
    </comment>
    <comment ref="BG1238" authorId="1" shapeId="0" xr:uid="{D83C287F-DFE7-42FD-9622-3ABE721D13B7}">
      <text>
        <r>
          <rPr>
            <b/>
            <sz val="9"/>
            <color indexed="81"/>
            <rFont val="Tahoma"/>
            <family val="2"/>
          </rPr>
          <t>Briggs, Kathleen:</t>
        </r>
        <r>
          <rPr>
            <sz val="9"/>
            <color indexed="81"/>
            <rFont val="Tahoma"/>
            <family val="2"/>
          </rPr>
          <t xml:space="preserve">
BSO No 1 account</t>
        </r>
      </text>
    </comment>
    <comment ref="BJ1238" authorId="1" shapeId="0" xr:uid="{00000000-0006-0000-1900-000039000000}">
      <text>
        <r>
          <rPr>
            <b/>
            <sz val="9"/>
            <color indexed="81"/>
            <rFont val="Tahoma"/>
            <family val="2"/>
          </rPr>
          <t>Briggs, Kathleen:</t>
        </r>
        <r>
          <rPr>
            <sz val="9"/>
            <color indexed="81"/>
            <rFont val="Tahoma"/>
            <family val="2"/>
          </rPr>
          <t xml:space="preserve">
Intercompany difference between Receivables and Payables</t>
        </r>
      </text>
    </comment>
    <comment ref="J1247" authorId="0" shapeId="0" xr:uid="{00000000-0006-0000-1900-00003A000000}">
      <text>
        <r>
          <rPr>
            <b/>
            <sz val="9"/>
            <color indexed="81"/>
            <rFont val="Tahoma"/>
            <family val="2"/>
          </rPr>
          <t>Windows User:</t>
        </r>
        <r>
          <rPr>
            <sz val="9"/>
            <color indexed="81"/>
            <rFont val="Tahoma"/>
            <family val="2"/>
          </rPr>
          <t xml:space="preserve">
 show below the line as per consol a/cs</t>
        </r>
      </text>
    </comment>
    <comment ref="V1271" authorId="1" shapeId="0" xr:uid="{00000000-0006-0000-1900-00003C000000}">
      <text>
        <r>
          <rPr>
            <sz val="9"/>
            <color indexed="81"/>
            <rFont val="Tahoma"/>
            <family val="2"/>
          </rPr>
          <t>Intercompany difference between Receivables and Payables</t>
        </r>
      </text>
    </comment>
    <comment ref="BG1271" authorId="1" shapeId="0" xr:uid="{C4F1C041-3252-4C9C-A341-2DE6C15D9F32}">
      <text>
        <r>
          <rPr>
            <b/>
            <sz val="9"/>
            <color indexed="81"/>
            <rFont val="Tahoma"/>
            <family val="2"/>
          </rPr>
          <t>Briggs, Kathleen:</t>
        </r>
        <r>
          <rPr>
            <sz val="9"/>
            <color indexed="81"/>
            <rFont val="Tahoma"/>
            <family val="2"/>
          </rPr>
          <t xml:space="preserve">
BSO No 1 account</t>
        </r>
      </text>
    </comment>
    <comment ref="BJ1271" authorId="1" shapeId="0" xr:uid="{00000000-0006-0000-1900-00003D000000}">
      <text>
        <r>
          <rPr>
            <b/>
            <sz val="9"/>
            <color indexed="81"/>
            <rFont val="Tahoma"/>
            <family val="2"/>
          </rPr>
          <t>Briggs, Kathleen:</t>
        </r>
        <r>
          <rPr>
            <sz val="9"/>
            <color indexed="81"/>
            <rFont val="Tahoma"/>
            <family val="2"/>
          </rPr>
          <t xml:space="preserve">
Intercompany difference between Receivables and Payables</t>
        </r>
      </text>
    </comment>
    <comment ref="G1852" authorId="0" shapeId="0" xr:uid="{00000000-0006-0000-1900-000040000000}">
      <text>
        <r>
          <rPr>
            <b/>
            <sz val="9"/>
            <color indexed="81"/>
            <rFont val="Tahoma"/>
            <family val="2"/>
          </rPr>
          <t>Windows User:</t>
        </r>
        <r>
          <rPr>
            <sz val="9"/>
            <color indexed="81"/>
            <rFont val="Tahoma"/>
            <family val="2"/>
          </rPr>
          <t xml:space="preserve">
subtotal line agrees to SoCNE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35" authorId="0" shapeId="0" xr:uid="{00000000-0006-0000-4300-000001000000}">
      <text>
        <r>
          <rPr>
            <b/>
            <sz val="9"/>
            <color indexed="81"/>
            <rFont val="Tahoma"/>
            <family val="2"/>
          </rPr>
          <t>Windows User:</t>
        </r>
        <r>
          <rPr>
            <sz val="9"/>
            <color indexed="81"/>
            <rFont val="Tahoma"/>
            <family val="2"/>
          </rPr>
          <t xml:space="preserve">
some albs have consolidation adjustments that need to be allocated in alb A staff data tab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15" authorId="0" shapeId="0" xr:uid="{00000000-0006-0000-4A00-000001000000}">
      <text>
        <r>
          <rPr>
            <b/>
            <sz val="9"/>
            <color indexed="81"/>
            <rFont val="Tahoma"/>
            <family val="2"/>
          </rPr>
          <t>Windows User:</t>
        </r>
        <r>
          <rPr>
            <sz val="9"/>
            <color indexed="81"/>
            <rFont val="Tahoma"/>
            <family val="2"/>
          </rPr>
          <t xml:space="preserve">
change from note 5 link to input cell</t>
        </r>
      </text>
    </comment>
    <comment ref="C15" authorId="0" shapeId="0" xr:uid="{00000000-0006-0000-4A00-000002000000}">
      <text>
        <r>
          <rPr>
            <b/>
            <sz val="9"/>
            <color indexed="81"/>
            <rFont val="Tahoma"/>
            <family val="2"/>
          </rPr>
          <t>Windows User:</t>
        </r>
        <r>
          <rPr>
            <sz val="9"/>
            <color indexed="81"/>
            <rFont val="Tahoma"/>
            <family val="2"/>
          </rPr>
          <t xml:space="preserve">
change from note 5 link to input cell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Briggs, Kathleen</author>
  </authors>
  <commentList>
    <comment ref="G9" authorId="0" shapeId="0" xr:uid="{00000000-0006-0000-4E00-000001000000}">
      <text>
        <r>
          <rPr>
            <b/>
            <sz val="9"/>
            <color indexed="81"/>
            <rFont val="Tahoma"/>
            <family val="2"/>
          </rPr>
          <t xml:space="preserve">Admin:  </t>
        </r>
        <r>
          <rPr>
            <sz val="9"/>
            <color indexed="81"/>
            <rFont val="Tahoma"/>
            <family val="2"/>
          </rPr>
          <t xml:space="preserve">Information should be taken from previous year submission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17" authorId="0" shapeId="0" xr:uid="{00000000-0006-0000-4F00-000001000000}">
      <text>
        <r>
          <rPr>
            <b/>
            <sz val="9"/>
            <color indexed="81"/>
            <rFont val="Tahoma"/>
            <family val="2"/>
          </rPr>
          <t>Windows User:</t>
        </r>
        <r>
          <rPr>
            <sz val="9"/>
            <color indexed="81"/>
            <rFont val="Tahoma"/>
            <family val="2"/>
          </rPr>
          <t xml:space="preserve">
intang add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5" authorId="0" shapeId="0" xr:uid="{00000000-0006-0000-6100-000001000000}">
      <text>
        <r>
          <rPr>
            <b/>
            <sz val="9"/>
            <color indexed="81"/>
            <rFont val="Tahoma"/>
            <family val="2"/>
          </rPr>
          <t>Windows User:</t>
        </r>
        <r>
          <rPr>
            <sz val="9"/>
            <color indexed="81"/>
            <rFont val="Tahoma"/>
            <family val="2"/>
          </rPr>
          <t xml:space="preserve">
added 8.11.18</t>
        </r>
      </text>
    </comment>
    <comment ref="E27" authorId="0" shapeId="0" xr:uid="{00000000-0006-0000-6100-000002000000}">
      <text>
        <r>
          <rPr>
            <b/>
            <sz val="9"/>
            <color indexed="81"/>
            <rFont val="Tahoma"/>
            <family val="2"/>
          </rPr>
          <t>Windows User:</t>
        </r>
        <r>
          <rPr>
            <sz val="9"/>
            <color indexed="81"/>
            <rFont val="Tahoma"/>
            <family val="2"/>
          </rPr>
          <t xml:space="preserve">
added 8.11.18</t>
        </r>
      </text>
    </comment>
    <comment ref="I42" authorId="0" shapeId="0" xr:uid="{00000000-0006-0000-6100-000003000000}">
      <text>
        <r>
          <rPr>
            <b/>
            <sz val="9"/>
            <color indexed="81"/>
            <rFont val="Tahoma"/>
            <family val="2"/>
          </rPr>
          <t>Windows User:</t>
        </r>
        <r>
          <rPr>
            <sz val="9"/>
            <color indexed="81"/>
            <rFont val="Tahoma"/>
            <family val="2"/>
          </rPr>
          <t xml:space="preserve">
added 8.11.18</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27" authorId="0" shapeId="0" xr:uid="{00000000-0006-0000-6200-000001000000}">
      <text>
        <r>
          <rPr>
            <b/>
            <sz val="9"/>
            <color indexed="81"/>
            <rFont val="Tahoma"/>
            <family val="2"/>
          </rPr>
          <t>Windows User:</t>
        </r>
        <r>
          <rPr>
            <sz val="9"/>
            <color indexed="81"/>
            <rFont val="Tahoma"/>
            <family val="2"/>
          </rPr>
          <t xml:space="preserve">
added 8.11.18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E225" authorId="0" shapeId="0" xr:uid="{00000000-0006-0000-3B00-000002000000}">
      <text>
        <r>
          <rPr>
            <b/>
            <sz val="9"/>
            <color indexed="81"/>
            <rFont val="Tahoma"/>
            <family val="2"/>
          </rPr>
          <t>Windows User:</t>
        </r>
        <r>
          <rPr>
            <sz val="9"/>
            <color indexed="81"/>
            <rFont val="Tahoma"/>
            <family val="2"/>
          </rPr>
          <t xml:space="preserve">
column E in MAP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B70" authorId="0" shapeId="0" xr:uid="{00000000-0006-0000-3A00-000001000000}">
      <text>
        <r>
          <rPr>
            <b/>
            <sz val="9"/>
            <color indexed="81"/>
            <rFont val="Tahoma"/>
            <family val="2"/>
          </rPr>
          <t>Windows User:</t>
        </r>
        <r>
          <rPr>
            <sz val="9"/>
            <color indexed="81"/>
            <rFont val="Tahoma"/>
            <family val="2"/>
          </rPr>
          <t xml:space="preserve">
31/03/19: emt KB 15.11.19 - £210 impair on AHFS</t>
        </r>
      </text>
    </comment>
    <comment ref="AF70" authorId="0" shapeId="0" xr:uid="{00000000-0006-0000-3A00-000002000000}">
      <text>
        <r>
          <rPr>
            <b/>
            <sz val="9"/>
            <color indexed="81"/>
            <rFont val="Tahoma"/>
            <family val="2"/>
          </rPr>
          <t>Windows User:</t>
        </r>
        <r>
          <rPr>
            <sz val="9"/>
            <color indexed="81"/>
            <rFont val="Tahoma"/>
            <family val="2"/>
          </rPr>
          <t xml:space="preserve">
31/03/19: emt KB 15.11.19 - £75k impair on AHFS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51" authorId="0" shapeId="0" xr:uid="{00000000-0006-0000-1A00-000001000000}">
      <text>
        <r>
          <rPr>
            <b/>
            <sz val="9"/>
            <color indexed="81"/>
            <rFont val="Tahoma"/>
            <family val="2"/>
          </rPr>
          <t>Windows User:</t>
        </r>
        <r>
          <rPr>
            <sz val="9"/>
            <color indexed="81"/>
            <rFont val="Tahoma"/>
            <family val="2"/>
          </rPr>
          <t xml:space="preserve">
aded PmC 17.03.19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N11" authorId="0" shapeId="0" xr:uid="{00000000-0006-0000-1C00-000001000000}">
      <text>
        <r>
          <rPr>
            <b/>
            <sz val="9"/>
            <color indexed="81"/>
            <rFont val="Tahoma"/>
            <family val="2"/>
          </rPr>
          <t>Windows User:</t>
        </r>
        <r>
          <rPr>
            <sz val="9"/>
            <color indexed="81"/>
            <rFont val="Tahoma"/>
            <family val="2"/>
          </rPr>
          <t xml:space="preserve">
neg Core values</t>
        </r>
      </text>
    </comment>
    <comment ref="CU11" authorId="0" shapeId="0" xr:uid="{00000000-0006-0000-1C00-000002000000}">
      <text>
        <r>
          <rPr>
            <b/>
            <sz val="9"/>
            <color indexed="81"/>
            <rFont val="Tahoma"/>
            <family val="2"/>
          </rPr>
          <t>Windows User:</t>
        </r>
        <r>
          <rPr>
            <sz val="9"/>
            <color indexed="81"/>
            <rFont val="Tahoma"/>
            <family val="2"/>
          </rPr>
          <t xml:space="preserve">
£177k NIFRS Proceeds of disp - emt KB SD 17.03.19</t>
        </r>
      </text>
    </comment>
    <comment ref="B27" authorId="0" shapeId="0" xr:uid="{00000000-0006-0000-1C00-000003000000}">
      <text>
        <r>
          <rPr>
            <b/>
            <sz val="9"/>
            <color indexed="81"/>
            <rFont val="Tahoma"/>
            <family val="2"/>
          </rPr>
          <t>Windows User:</t>
        </r>
        <r>
          <rPr>
            <sz val="9"/>
            <color indexed="81"/>
            <rFont val="Tahoma"/>
            <family val="2"/>
          </rPr>
          <t xml:space="preserve">
not in note 13</t>
        </r>
      </text>
    </comment>
    <comment ref="CN84" authorId="0" shapeId="0" xr:uid="{00000000-0006-0000-1C00-000004000000}">
      <text>
        <r>
          <rPr>
            <b/>
            <sz val="9"/>
            <color indexed="81"/>
            <rFont val="Tahoma"/>
            <family val="2"/>
          </rPr>
          <t>Windows User:</t>
        </r>
        <r>
          <rPr>
            <sz val="9"/>
            <color indexed="81"/>
            <rFont val="Tahoma"/>
            <family val="2"/>
          </rPr>
          <t xml:space="preserve">
neg Core values</t>
        </r>
      </text>
    </comment>
    <comment ref="CU84" authorId="0" shapeId="0" xr:uid="{00000000-0006-0000-1C00-000005000000}">
      <text>
        <r>
          <rPr>
            <b/>
            <sz val="9"/>
            <color indexed="81"/>
            <rFont val="Tahoma"/>
            <family val="2"/>
          </rPr>
          <t>Windows User:</t>
        </r>
        <r>
          <rPr>
            <sz val="9"/>
            <color indexed="81"/>
            <rFont val="Tahoma"/>
            <family val="2"/>
          </rPr>
          <t xml:space="preserve">
£177k NIFRS Proceeds of disp - emt KB SD 17.03.19</t>
        </r>
      </text>
    </comment>
    <comment ref="B96" authorId="0" shapeId="0" xr:uid="{00000000-0006-0000-1C00-000006000000}">
      <text>
        <r>
          <rPr>
            <b/>
            <sz val="9"/>
            <color indexed="81"/>
            <rFont val="Tahoma"/>
            <family val="2"/>
          </rPr>
          <t>Windows User:</t>
        </r>
        <r>
          <rPr>
            <sz val="9"/>
            <color indexed="81"/>
            <rFont val="Tahoma"/>
            <family val="2"/>
          </rPr>
          <t xml:space="preserve">
not in note 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N56" authorId="0" shapeId="0" xr:uid="{00000000-0006-0000-1D00-000001000000}">
      <text>
        <r>
          <rPr>
            <b/>
            <sz val="9"/>
            <color indexed="81"/>
            <rFont val="Tahoma"/>
            <family val="2"/>
          </rPr>
          <t>Windows User:</t>
        </r>
        <r>
          <rPr>
            <sz val="9"/>
            <color indexed="81"/>
            <rFont val="Tahoma"/>
            <family val="2"/>
          </rPr>
          <t xml:space="preserve">
will not be zero before the GIA intercompany removal adjustment is entered</t>
        </r>
      </text>
    </comment>
    <comment ref="I77" authorId="0" shapeId="0" xr:uid="{00000000-0006-0000-1D00-000002000000}">
      <text>
        <r>
          <rPr>
            <b/>
            <sz val="9"/>
            <color indexed="81"/>
            <rFont val="Tahoma"/>
            <family val="2"/>
          </rPr>
          <t>Windows User:</t>
        </r>
        <r>
          <rPr>
            <sz val="9"/>
            <color indexed="81"/>
            <rFont val="Tahoma"/>
            <family val="2"/>
          </rPr>
          <t xml:space="preserve">
will not be zero before the GIA intercompany removal adjustment is entered</t>
        </r>
      </text>
    </comment>
    <comment ref="I78" authorId="0" shapeId="0" xr:uid="{00000000-0006-0000-1D00-000003000000}">
      <text>
        <r>
          <rPr>
            <b/>
            <sz val="9"/>
            <color indexed="81"/>
            <rFont val="Tahoma"/>
            <family val="2"/>
          </rPr>
          <t>Windows User:</t>
        </r>
        <r>
          <rPr>
            <sz val="9"/>
            <color indexed="81"/>
            <rFont val="Tahoma"/>
            <family val="2"/>
          </rPr>
          <t xml:space="preserve">
will not be zero before the GIA intercompany removal adjustment is entered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9" authorId="0" shapeId="0" xr:uid="{00000000-0006-0000-2000-000001000000}">
      <text>
        <r>
          <rPr>
            <b/>
            <sz val="9"/>
            <color indexed="81"/>
            <rFont val="Tahoma"/>
            <family val="2"/>
          </rPr>
          <t>Windows User:</t>
        </r>
        <r>
          <rPr>
            <sz val="9"/>
            <color indexed="81"/>
            <rFont val="Tahoma"/>
            <family val="2"/>
          </rPr>
          <t xml:space="preserve">
for checking purposes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10" authorId="0" shapeId="0" xr:uid="{00000000-0006-0000-2100-000001000000}">
      <text>
        <r>
          <rPr>
            <b/>
            <sz val="9"/>
            <color indexed="81"/>
            <rFont val="Tahoma"/>
            <family val="2"/>
          </rPr>
          <t>Windows User:</t>
        </r>
        <r>
          <rPr>
            <sz val="9"/>
            <color indexed="81"/>
            <rFont val="Tahoma"/>
            <family val="2"/>
          </rPr>
          <t xml:space="preserve">
for checking purposes</t>
        </r>
      </text>
    </comment>
    <comment ref="D57" authorId="0" shapeId="0" xr:uid="{00000000-0006-0000-2100-000002000000}">
      <text>
        <r>
          <rPr>
            <b/>
            <sz val="9"/>
            <color indexed="81"/>
            <rFont val="Tahoma"/>
            <family val="2"/>
          </rPr>
          <t>Windows User:</t>
        </r>
        <r>
          <rPr>
            <sz val="9"/>
            <color indexed="81"/>
            <rFont val="Tahoma"/>
            <family val="2"/>
          </rPr>
          <t xml:space="preserve">
diff due to remap of note 4 but financial data from 2017-18 remained as previoulsy mapped by ALB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Briggs, Kathleen</author>
  </authors>
  <commentList>
    <comment ref="B32" authorId="0" shapeId="0" xr:uid="{00000000-0006-0000-2C00-000001000000}">
      <text>
        <r>
          <rPr>
            <b/>
            <sz val="9"/>
            <color indexed="81"/>
            <rFont val="Tahoma"/>
            <family val="2"/>
          </rPr>
          <t>Briggs, Kathleen:</t>
        </r>
        <r>
          <rPr>
            <sz val="9"/>
            <color indexed="81"/>
            <rFont val="Tahoma"/>
            <family val="2"/>
          </rPr>
          <t xml:space="preserve">
Audit requested ALB bank overdraft shown separately in Word doc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<sst xmlns="http://schemas.openxmlformats.org/spreadsheetml/2006/main" count="15101" uniqueCount="2872">
  <si>
    <t>Ref</t>
  </si>
  <si>
    <t>Name</t>
  </si>
  <si>
    <t>HSCB</t>
  </si>
  <si>
    <t xml:space="preserve">HSC Board </t>
  </si>
  <si>
    <t>PHA</t>
  </si>
  <si>
    <t>Public Health Agency</t>
  </si>
  <si>
    <t>NHT</t>
  </si>
  <si>
    <t>Northern HSC Trust</t>
  </si>
  <si>
    <t>SHT</t>
  </si>
  <si>
    <t>Southern HSC Trust</t>
  </si>
  <si>
    <t>BHT</t>
  </si>
  <si>
    <t>Belfast HSC Trust</t>
  </si>
  <si>
    <t>SEHT</t>
  </si>
  <si>
    <t>South Eastern HSC Trust</t>
  </si>
  <si>
    <t>WHT</t>
  </si>
  <si>
    <t>Western HSC Trust</t>
  </si>
  <si>
    <t>NIASHT</t>
  </si>
  <si>
    <t>NI Ambulance Service HSC Trust</t>
  </si>
  <si>
    <t>NIBT</t>
  </si>
  <si>
    <t>NI Blood Transfusion Service</t>
  </si>
  <si>
    <t>NIGALA</t>
  </si>
  <si>
    <t>NI Guardian ad Litem Agency</t>
  </si>
  <si>
    <t>NIMDTA</t>
  </si>
  <si>
    <t>NI Medical and Dental Training Agency</t>
  </si>
  <si>
    <t>BSO</t>
  </si>
  <si>
    <t>Business Services Organisation</t>
  </si>
  <si>
    <t>PCC</t>
  </si>
  <si>
    <t>Patient Client Council</t>
  </si>
  <si>
    <t>RQIA</t>
  </si>
  <si>
    <t>Regulation and Quality Improvement Authority</t>
  </si>
  <si>
    <t>NISCC</t>
  </si>
  <si>
    <t>NI Social Care Council</t>
  </si>
  <si>
    <t>NIPECNM</t>
  </si>
  <si>
    <t>NI Practice and Education Council for Nursing and Midwifery</t>
  </si>
  <si>
    <t>NIFRS</t>
  </si>
  <si>
    <t>NI Fire and Rescue Service</t>
  </si>
  <si>
    <t>IPHI</t>
  </si>
  <si>
    <t>Institute of Public Health in Ireland</t>
  </si>
  <si>
    <t>SAFE</t>
  </si>
  <si>
    <t>Safefood</t>
  </si>
  <si>
    <t>SoCNE</t>
  </si>
  <si>
    <t>SFP</t>
  </si>
  <si>
    <t>SCF</t>
  </si>
  <si>
    <t>SoCITE</t>
  </si>
  <si>
    <t>Notes</t>
  </si>
  <si>
    <t>Department of Health</t>
  </si>
  <si>
    <t>Contents</t>
  </si>
  <si>
    <t>Queries</t>
  </si>
  <si>
    <t>Department of Health Core</t>
  </si>
  <si>
    <t>DoH</t>
  </si>
  <si>
    <t>North - South body</t>
  </si>
  <si>
    <t>Checks</t>
  </si>
  <si>
    <t>non-exec NDPB</t>
  </si>
  <si>
    <t>Special agency</t>
  </si>
  <si>
    <t>Agency</t>
  </si>
  <si>
    <t xml:space="preserve"> Note </t>
  </si>
  <si>
    <t xml:space="preserve"> Total Operating income </t>
  </si>
  <si>
    <t xml:space="preserve"> Total operating expenditure </t>
  </si>
  <si>
    <t xml:space="preserve"> Net expenditure for the year </t>
  </si>
  <si>
    <t xml:space="preserve"> Other Comprehensive Net Expenditure </t>
  </si>
  <si>
    <t xml:space="preserve"> Items that will not be reclassified to net operating costs: </t>
  </si>
  <si>
    <t xml:space="preserve"> Total Comprehensive Net Expenditure  </t>
  </si>
  <si>
    <t>£'000</t>
  </si>
  <si>
    <t>Check</t>
  </si>
  <si>
    <t>Interco</t>
  </si>
  <si>
    <t>Roundings</t>
  </si>
  <si>
    <t>Manual Adjustments</t>
  </si>
  <si>
    <t xml:space="preserve"> Non-current assets: </t>
  </si>
  <si>
    <t xml:space="preserve"> Total non-current assets </t>
  </si>
  <si>
    <t xml:space="preserve"> Current Assets </t>
  </si>
  <si>
    <t xml:space="preserve"> Total current assets </t>
  </si>
  <si>
    <t xml:space="preserve"> Total assets </t>
  </si>
  <si>
    <t xml:space="preserve"> Current liabilities </t>
  </si>
  <si>
    <t xml:space="preserve"> Total current liabilities </t>
  </si>
  <si>
    <t xml:space="preserve"> Non-current assets plus/less net current assets/liabilities </t>
  </si>
  <si>
    <t xml:space="preserve"> Non-current liabilities </t>
  </si>
  <si>
    <t xml:space="preserve"> Total non-current liabilities </t>
  </si>
  <si>
    <t xml:space="preserve"> Assets less liabilities </t>
  </si>
  <si>
    <t xml:space="preserve"> Taxpayers' equity </t>
  </si>
  <si>
    <t xml:space="preserve"> General Fund </t>
  </si>
  <si>
    <t xml:space="preserve"> Revaluation Reserve </t>
  </si>
  <si>
    <t xml:space="preserve"> Total taxpayers' equity </t>
  </si>
  <si>
    <t>Cash flows from operating activities</t>
  </si>
  <si>
    <t>3,4,5</t>
  </si>
  <si>
    <t>(Increase)/decrease in trade &amp; other receivables</t>
  </si>
  <si>
    <t>less movements in receivables relating to items not passing through the Statement of Comprehensive Net Expenditure</t>
  </si>
  <si>
    <t>Supply amounts due from the consolidated fund</t>
  </si>
  <si>
    <t>Movements in payables relating to purchase of intangibles</t>
  </si>
  <si>
    <t>Movements in payables relating to EU pass through losses</t>
  </si>
  <si>
    <t>Supply amounts due to the consolidated fund</t>
  </si>
  <si>
    <t>Movements in payables relating to CFER items</t>
  </si>
  <si>
    <t>Use of provisions</t>
  </si>
  <si>
    <t>Impairment of investments</t>
  </si>
  <si>
    <t>Net Cash outflow from operating activities</t>
  </si>
  <si>
    <t>Cash flows from investing activities</t>
  </si>
  <si>
    <t>Purchase of property, plant &amp; equipment</t>
  </si>
  <si>
    <t>Purchase of intangible assets</t>
  </si>
  <si>
    <t>FTC loans issued to GPs</t>
  </si>
  <si>
    <t>Proceeds of disposal of property, plant and equipment</t>
  </si>
  <si>
    <t>Proceeds of disposal of intangibles</t>
  </si>
  <si>
    <t>FTC loans repaid by GPs</t>
  </si>
  <si>
    <t>Transfers of property, plant and equipment to other bodies</t>
  </si>
  <si>
    <t>Net cash outflow from investing activities</t>
  </si>
  <si>
    <t>Cash flows from financing activities</t>
  </si>
  <si>
    <t>From Consolidated Fund (Supply) - current year</t>
  </si>
  <si>
    <t>CSCTE</t>
  </si>
  <si>
    <t>From Consolidated Fund (Supply) - prior year</t>
  </si>
  <si>
    <t>Net financing</t>
  </si>
  <si>
    <t>Payments of amounts due to the Consolidated Fund</t>
  </si>
  <si>
    <t>Cash and cash equivalents at the beginning of the period</t>
  </si>
  <si>
    <t>Cash and cash equivalents at the end of the period</t>
  </si>
  <si>
    <t>Changes in accounting policy</t>
  </si>
  <si>
    <t>Other Adjustments</t>
  </si>
  <si>
    <t>Net assembly funding - drawdown for current year</t>
  </si>
  <si>
    <t>Net assembly funding - drawdown for prior year</t>
  </si>
  <si>
    <t>Supply (payable)/receivable adjustment</t>
  </si>
  <si>
    <t>CFERs repayable to Consolidated Fund</t>
  </si>
  <si>
    <t>Net Assembly Funding</t>
  </si>
  <si>
    <t>Comprehensive Expenditure for the Year</t>
  </si>
  <si>
    <t>Non-Cash Adjustments:</t>
  </si>
  <si>
    <t>Non-cash charges - auditor's remuneration</t>
  </si>
  <si>
    <t>3,4</t>
  </si>
  <si>
    <t>Non-cash charges - other</t>
  </si>
  <si>
    <t>Movements in Reserves:</t>
  </si>
  <si>
    <t>Transfer of asset ownership</t>
  </si>
  <si>
    <t>Transfers between reserves</t>
  </si>
  <si>
    <t>General Fund</t>
  </si>
  <si>
    <t>Revaluation Reserve</t>
  </si>
  <si>
    <t>Freehold Buildings</t>
  </si>
  <si>
    <t>Leasehold property</t>
  </si>
  <si>
    <t>IT Assets</t>
  </si>
  <si>
    <t>Software /Licences</t>
  </si>
  <si>
    <t>Other Equipment</t>
  </si>
  <si>
    <t>Asset life</t>
  </si>
  <si>
    <t>Funded Bodies</t>
  </si>
  <si>
    <t>Health &amp; Social Care Board</t>
  </si>
  <si>
    <t>NI Practice &amp; Education Council for Nursing &amp;</t>
  </si>
  <si>
    <t>Midwifery</t>
  </si>
  <si>
    <t>Regulation &amp; Quality Improvement Authority</t>
  </si>
  <si>
    <t>NI Medical &amp; Dental Training Agency</t>
  </si>
  <si>
    <t>NI Fire &amp; Rescue Service</t>
  </si>
  <si>
    <t>Health and Social Care Trusts</t>
  </si>
  <si>
    <t>Centrally Managed</t>
  </si>
  <si>
    <t>Administration</t>
  </si>
  <si>
    <t>Programme</t>
  </si>
  <si>
    <t>Depreciation / Impairments</t>
  </si>
  <si>
    <t>Total</t>
  </si>
  <si>
    <t>Gross expenditure</t>
  </si>
  <si>
    <t>Income</t>
  </si>
  <si>
    <t>Total Assets</t>
  </si>
  <si>
    <t>Total Liabilties</t>
  </si>
  <si>
    <t>Staff costs1:</t>
  </si>
  <si>
    <t>Wages and salaries</t>
  </si>
  <si>
    <t>Social security costs</t>
  </si>
  <si>
    <t>Other pension costs</t>
  </si>
  <si>
    <t>Rentals under operating leases</t>
  </si>
  <si>
    <t>Interest charges</t>
  </si>
  <si>
    <t>Research and development expenditure</t>
  </si>
  <si>
    <t>Purchase of goods and services</t>
  </si>
  <si>
    <t>Non-Cash Items</t>
  </si>
  <si>
    <t>Depreciation</t>
  </si>
  <si>
    <t>Amortisation</t>
  </si>
  <si>
    <t>Permanent diminution in value</t>
  </si>
  <si>
    <t>Accommodation costs</t>
  </si>
  <si>
    <t>Other indirect charges and services</t>
  </si>
  <si>
    <t>Total Non-Cash Items</t>
  </si>
  <si>
    <t>Request for Resources A</t>
  </si>
  <si>
    <t>EU Grants</t>
  </si>
  <si>
    <t>Non Cash Items</t>
  </si>
  <si>
    <t>Auditors' remuneration and expenses</t>
  </si>
  <si>
    <t>Borrowing costs (unwinding of discount) on provisions</t>
  </si>
  <si>
    <t>Total for Request for Resources A</t>
  </si>
  <si>
    <t>Request for Resources B</t>
  </si>
  <si>
    <t>Total for Request for Resources B</t>
  </si>
  <si>
    <t>Interest receivable and other similar income</t>
  </si>
  <si>
    <t>Health &amp; Social Services Grants and Disbursements include National Insurance contributions received of</t>
  </si>
  <si>
    <t>narrative</t>
  </si>
  <si>
    <t>narrative CORE</t>
  </si>
  <si>
    <t>narrative CONSOL old</t>
  </si>
  <si>
    <t>Request for Resources</t>
  </si>
  <si>
    <t>Seconded officer recovery</t>
  </si>
  <si>
    <t>Other</t>
  </si>
  <si>
    <t>Full Cost</t>
  </si>
  <si>
    <t>Cost or Valuation</t>
  </si>
  <si>
    <t>Restatement of Opening Balance</t>
  </si>
  <si>
    <t>Additions</t>
  </si>
  <si>
    <t>Transfers</t>
  </si>
  <si>
    <t>Reclassifications</t>
  </si>
  <si>
    <t>Indexation</t>
  </si>
  <si>
    <t>Revaluations</t>
  </si>
  <si>
    <t>Charged in year</t>
  </si>
  <si>
    <t>Disposals</t>
  </si>
  <si>
    <t>Impairments transferred to Revaluation Reserve</t>
  </si>
  <si>
    <t>Impairments transferred to Consolidated Statement of Comprehensive Net Expenditure</t>
  </si>
  <si>
    <t>Asset financing:</t>
  </si>
  <si>
    <t>Land</t>
  </si>
  <si>
    <t>Buildings</t>
  </si>
  <si>
    <t>Owned</t>
  </si>
  <si>
    <t>Finance leased</t>
  </si>
  <si>
    <t>On-balance sheet (SoFP) PFI and other service concession arrangements contracts</t>
  </si>
  <si>
    <t>Dwellings</t>
  </si>
  <si>
    <t>Information Technology</t>
  </si>
  <si>
    <t>Plant &amp; Machinery</t>
  </si>
  <si>
    <t>Transport Equipment</t>
  </si>
  <si>
    <t>Furniture &amp; Fittings</t>
  </si>
  <si>
    <t>Payments on Account and Assets Under construction</t>
  </si>
  <si>
    <t>AHFS Reclassifications from/(to) Non Current Assets</t>
  </si>
  <si>
    <t>Disposals of Carrying Value</t>
  </si>
  <si>
    <t>Impairments</t>
  </si>
  <si>
    <t>Closing Balance at 31 March</t>
  </si>
  <si>
    <t>Backlog depreciation</t>
  </si>
  <si>
    <t>Software Licences</t>
  </si>
  <si>
    <t>Development Expenditure</t>
  </si>
  <si>
    <t>8. Impairments</t>
  </si>
  <si>
    <t>Total Impairment</t>
  </si>
  <si>
    <t>Impairment charged to Statement of Comprehensive Net Expenditure as Other Comprehensive Expenditure</t>
  </si>
  <si>
    <t>Not later than one year</t>
  </si>
  <si>
    <t>Later than five years</t>
  </si>
  <si>
    <t>Later than one year and not later than five years</t>
  </si>
  <si>
    <t>Balance at 1 April</t>
  </si>
  <si>
    <t>Balance at 31 March</t>
  </si>
  <si>
    <t>Analysis of expected timing of discounted flows</t>
  </si>
  <si>
    <t>Repayments and redemptions</t>
  </si>
  <si>
    <t>Interest capitalised</t>
  </si>
  <si>
    <t>Investments</t>
  </si>
  <si>
    <t>Net change in cash and cash equivalent balances</t>
  </si>
  <si>
    <t>Commercial banks and cash in hand</t>
  </si>
  <si>
    <t>Short term investments</t>
  </si>
  <si>
    <t>The following balances at 31 March are held at:</t>
  </si>
  <si>
    <t>Amounts falling due within one year:</t>
  </si>
  <si>
    <t>VAT</t>
  </si>
  <si>
    <t>Trade receivables</t>
  </si>
  <si>
    <t>Other receivables</t>
  </si>
  <si>
    <t>Other receivables - relating to property plant and equipment</t>
  </si>
  <si>
    <t>Other receivables - relating to intangibles</t>
  </si>
  <si>
    <t>Clinical Negligence Central Fund</t>
  </si>
  <si>
    <t>HSC Superannuation Scheme Receivable</t>
  </si>
  <si>
    <t>Amounts due from the Consolidated Fund in respect of supply</t>
  </si>
  <si>
    <t>Current Trade and Other Receivables</t>
  </si>
  <si>
    <t>Deposits and advances</t>
  </si>
  <si>
    <t>Other Current Assets</t>
  </si>
  <si>
    <t>Amounts falling due after more than one year:</t>
  </si>
  <si>
    <t>Non Current Trade and Other Receivables</t>
  </si>
  <si>
    <t>Other Non Current Assets</t>
  </si>
  <si>
    <t>Total amounts falling due within one year</t>
  </si>
  <si>
    <t>Total amounts falling due after more than one year</t>
  </si>
  <si>
    <t>Total Receivables and Other Assets</t>
  </si>
  <si>
    <t>Included within Other Receivables is that which will be due to the Consolidated fund once the debts are collected</t>
  </si>
  <si>
    <t>Trade revenue payables</t>
  </si>
  <si>
    <t>Trade capital payables</t>
  </si>
  <si>
    <t>Other payables</t>
  </si>
  <si>
    <t>Government grants payable</t>
  </si>
  <si>
    <t>received</t>
  </si>
  <si>
    <t>receivable</t>
  </si>
  <si>
    <t>Current Trade and Other Payables</t>
  </si>
  <si>
    <t>Other Current Liabilities</t>
  </si>
  <si>
    <t>Other payables, accruals and deferred income</t>
  </si>
  <si>
    <t>Non Current Trade and Other Payables</t>
  </si>
  <si>
    <t>Amounts issued from the Consolidated Fund for supply but not spent at year end</t>
  </si>
  <si>
    <t>Consolidated Fund extra receipts due to be paid to the Consolidated:</t>
  </si>
  <si>
    <t>Finance leases</t>
  </si>
  <si>
    <t>NLF loans</t>
  </si>
  <si>
    <t>Other Non Current Liabilities</t>
  </si>
  <si>
    <t>Total Payables falling due within one year</t>
  </si>
  <si>
    <t>Total Payables falling due after more than one year</t>
  </si>
  <si>
    <t>Total Trade Payables and Other Current Liabilities</t>
  </si>
  <si>
    <t>Change in discount rate</t>
  </si>
  <si>
    <t>Provided in the year</t>
  </si>
  <si>
    <t>Provisions not required written back</t>
  </si>
  <si>
    <t>Provisions utilised in the year</t>
  </si>
  <si>
    <t>Borrowing costs (unwinding of discounts)</t>
  </si>
  <si>
    <t>Early departure Costs</t>
  </si>
  <si>
    <t>Clinical Negligence</t>
  </si>
  <si>
    <t>Equal Pay Claim</t>
  </si>
  <si>
    <t>As at 31 March</t>
  </si>
  <si>
    <t>Net increase/(decrease) in cash and cash equivalents in the period before adjustment for receipts and payments to the Consolidated fund</t>
  </si>
  <si>
    <t>Receipts due to the Consolidated Fund which are outside the scope of the Department's activities</t>
  </si>
  <si>
    <t>Net increase/(decrease) in cash and cash equivalents in the period after adjustment for receipts and payments to the Consolidated Fund</t>
  </si>
  <si>
    <t>Consolidated Statement of Comprehensive Net Expenditure</t>
  </si>
  <si>
    <t>Consolidated Statement of Financial Position</t>
  </si>
  <si>
    <t>Consolidated Statement of Cash Flows</t>
  </si>
  <si>
    <t xml:space="preserve"> </t>
  </si>
  <si>
    <t>Staff costs</t>
  </si>
  <si>
    <t>Depreciation, amortisation and impairment charges</t>
  </si>
  <si>
    <t>Provision expense</t>
  </si>
  <si>
    <t>Other expenditures</t>
  </si>
  <si>
    <t>n/a</t>
  </si>
  <si>
    <t>note 1 disclosure</t>
  </si>
  <si>
    <t>Property, plant and equipment</t>
  </si>
  <si>
    <t>Intangible assets</t>
  </si>
  <si>
    <t>Trade and other receivables</t>
  </si>
  <si>
    <t>Other current assets</t>
  </si>
  <si>
    <t>Assets classified as held for sale</t>
  </si>
  <si>
    <t>Inventories</t>
  </si>
  <si>
    <t>Intangible current assets</t>
  </si>
  <si>
    <t>Cash and cash equivalents</t>
  </si>
  <si>
    <t>Intangible current liabilities</t>
  </si>
  <si>
    <t>Provisions</t>
  </si>
  <si>
    <t>9,10</t>
  </si>
  <si>
    <t>Other reserves - charitable fund</t>
  </si>
  <si>
    <t>Movements in receivables relating to the sale of property, plant and equipment</t>
  </si>
  <si>
    <t>Movements in receivables relating to the sale of intangibles</t>
  </si>
  <si>
    <t>Movements in receivables relating to finance leases</t>
  </si>
  <si>
    <t>(Increase)/decrease in inventories</t>
  </si>
  <si>
    <t>Movements in payables relating to PFI and other service concession arrangement contracts</t>
  </si>
  <si>
    <t>less movements in payables relating to items not passing through the Statement of Comprehensive Net Expenditure</t>
  </si>
  <si>
    <t>Movements in payables relating to the purchase of property, plant &amp; equipment</t>
  </si>
  <si>
    <t>(Decrease)/Increase in trade &amp; other payables (adjusted for bank overdraft)</t>
  </si>
  <si>
    <t>Other operating income</t>
  </si>
  <si>
    <t>Finance expense</t>
  </si>
  <si>
    <t>Finance income</t>
  </si>
  <si>
    <t xml:space="preserve">Net (gain)/loss on revaluation of Property, Plant and Equipment  </t>
  </si>
  <si>
    <t>Net (gain)/loss on revaluation of Intangibles</t>
  </si>
  <si>
    <t>Net (gain)/loss on revaluation of investments</t>
  </si>
  <si>
    <t>Current Trade and other payables</t>
  </si>
  <si>
    <t>Other Current liabilities</t>
  </si>
  <si>
    <t>Financial Liabilities</t>
  </si>
  <si>
    <t>Net operating expenditure</t>
  </si>
  <si>
    <t xml:space="preserve">Adjustments for non cash transactions </t>
  </si>
  <si>
    <t>(Increase)/Decrease in trade &amp; other receivables</t>
  </si>
  <si>
    <t>Movements in receivables relating to the sale of property, plant &amp; equipment</t>
  </si>
  <si>
    <t xml:space="preserve">Movements in receivables relating to PFI and other service concession arrangement contracts </t>
  </si>
  <si>
    <t>(Increase)/Decrease in Inventories</t>
  </si>
  <si>
    <t>Increase/(Decrease) in trade and other payables (adjusted for bank overdraft)</t>
  </si>
  <si>
    <t>Movements in payables relating to finance leases</t>
  </si>
  <si>
    <t xml:space="preserve">Movements in payables relating to CFER items </t>
  </si>
  <si>
    <t>(Repayments) from other bodies</t>
  </si>
  <si>
    <t>Capital element of payments in respect of finance leases and on-balance sheet (SoFP) PFI and other service concession arrangement contracts</t>
  </si>
  <si>
    <t>Changes in accounting policy - Revised funding arrangements for clinical negligence</t>
  </si>
  <si>
    <t>Balancing Adjustments</t>
  </si>
  <si>
    <t>Net parliamentary funding - drawdown for current year</t>
  </si>
  <si>
    <t>Net parliamentary funding - drawdown for prior year</t>
  </si>
  <si>
    <t>Settlement of prior year trade payable/(trade receivable)</t>
  </si>
  <si>
    <t>Net parliamentary funding - deemed</t>
  </si>
  <si>
    <t>Excess Vote- Prior Year</t>
  </si>
  <si>
    <t>Comprehensive Net Expenditure for the Year</t>
  </si>
  <si>
    <t>Recognised in Statement of Comprehensive Expenditure</t>
  </si>
  <si>
    <t>Receipt of donated assets</t>
  </si>
  <si>
    <t>Release of reserves to operating cost statement</t>
  </si>
  <si>
    <t>Other reserves movements including transfers</t>
  </si>
  <si>
    <t>Adjustment for Transfer of function</t>
  </si>
  <si>
    <t xml:space="preserve">Current Trade and other receivables </t>
  </si>
  <si>
    <t>Other Non Current liabilities</t>
  </si>
  <si>
    <t>Financial Assets</t>
  </si>
  <si>
    <t>Other non current assets</t>
  </si>
  <si>
    <t>DoH Core</t>
  </si>
  <si>
    <t>DoH Core &amp; Agencies</t>
  </si>
  <si>
    <t>Consolidated</t>
  </si>
  <si>
    <t>Business Support Organisation</t>
  </si>
  <si>
    <t>NI Practice &amp; Education Council for Nursing &amp; Midwifery</t>
  </si>
  <si>
    <t xml:space="preserve"> Wages and salaries</t>
  </si>
  <si>
    <t xml:space="preserve"> Social security costs</t>
  </si>
  <si>
    <t xml:space="preserve"> Other pension costs</t>
  </si>
  <si>
    <t>PFI and other service concession arrangements service charges</t>
  </si>
  <si>
    <t xml:space="preserve">Depreciation </t>
  </si>
  <si>
    <t xml:space="preserve">Amortisation </t>
  </si>
  <si>
    <t xml:space="preserve">Auditors' remuneration and expenses </t>
  </si>
  <si>
    <t>Increase/decrease in provisions (Provision provided for in year less any release)</t>
  </si>
  <si>
    <t>Net (gain)/loss on revaluation of charitable assets</t>
  </si>
  <si>
    <t>Grant-in-aid</t>
  </si>
  <si>
    <t>Drawdown from investment fund</t>
  </si>
  <si>
    <t>Share of income reinvested</t>
  </si>
  <si>
    <t>Manual Adjustments Ref</t>
  </si>
  <si>
    <t>@1</t>
  </si>
  <si>
    <t>Opening Reserves adjustment</t>
  </si>
  <si>
    <t>Financial Instruments</t>
  </si>
  <si>
    <t>€</t>
  </si>
  <si>
    <t>Total assets less current liabilities</t>
  </si>
  <si>
    <t>£</t>
  </si>
  <si>
    <t>Sub-Total</t>
  </si>
  <si>
    <t>Capitalised staff costs</t>
  </si>
  <si>
    <t xml:space="preserve">Total staff costs reported in Statement of Comprehensive Expenditure </t>
  </si>
  <si>
    <t>Less recoveries in respect of outward secondments</t>
  </si>
  <si>
    <t>Average number of persons employed</t>
  </si>
  <si>
    <t>Medical and dental</t>
  </si>
  <si>
    <t>Nursing and midwifery</t>
  </si>
  <si>
    <t>Professions allied to medicine</t>
  </si>
  <si>
    <t>Ancillaries</t>
  </si>
  <si>
    <t>Administrative &amp; clerical</t>
  </si>
  <si>
    <t>Ambulance staff</t>
  </si>
  <si>
    <t>Works</t>
  </si>
  <si>
    <t>Other professional and technical</t>
  </si>
  <si>
    <t>Social services</t>
  </si>
  <si>
    <t xml:space="preserve">Other  </t>
  </si>
  <si>
    <t>Total average number of persons employed</t>
  </si>
  <si>
    <t>Less average staff number relating to capitalised staff costs</t>
  </si>
  <si>
    <t>Less average staff number in respect of outward secondments</t>
  </si>
  <si>
    <t>Total net average number of persons employed</t>
  </si>
  <si>
    <t>Permanent</t>
  </si>
  <si>
    <t>Others</t>
  </si>
  <si>
    <t>Permanently employed staff</t>
  </si>
  <si>
    <t>Retirements due to ill-health</t>
  </si>
  <si>
    <t>NARRATIVE</t>
  </si>
  <si>
    <t>The estimated additional pension liabilities of ill-health retirements in year £xk. These costs are borne by the HSC Pension Scheme.</t>
  </si>
  <si>
    <t>No. of early retirements from the Trust, agreed on the grounds of ill-health in year.</t>
  </si>
  <si>
    <t>Compensation Packages</t>
  </si>
  <si>
    <t>£10,001 - £25,000</t>
  </si>
  <si>
    <t>£25,001 - £50,000</t>
  </si>
  <si>
    <t>£50,001 - £100,000</t>
  </si>
  <si>
    <t>£100,001- £150,000</t>
  </si>
  <si>
    <t>£150,001- £200,000</t>
  </si>
  <si>
    <t xml:space="preserve">Total number of exit packages by type </t>
  </si>
  <si>
    <t>Total resource cost</t>
  </si>
  <si>
    <t>*Number of compulsory redundancies</t>
  </si>
  <si>
    <t>*Number of other departures agreed</t>
  </si>
  <si>
    <t xml:space="preserve">Total number of exit packages by cost band </t>
  </si>
  <si>
    <t>Losses And Special Payments</t>
  </si>
  <si>
    <t>Ex-gratia payments</t>
  </si>
  <si>
    <t>Extra contractual</t>
  </si>
  <si>
    <t>Special severance payments</t>
  </si>
  <si>
    <t>Cash losses</t>
  </si>
  <si>
    <t>Claims abandoned</t>
  </si>
  <si>
    <t>Administrative write-offs</t>
  </si>
  <si>
    <t>Fruitless payments</t>
  </si>
  <si>
    <t>Stores losses</t>
  </si>
  <si>
    <t>Special Payments</t>
  </si>
  <si>
    <t>Public Liability</t>
  </si>
  <si>
    <t>Employers Liability</t>
  </si>
  <si>
    <t>Quantity - Cash losses</t>
  </si>
  <si>
    <t>Quantity - Claims abandoned</t>
  </si>
  <si>
    <t>Quantity - Administrative write-offs</t>
  </si>
  <si>
    <t>Quantity - Fruitless payments</t>
  </si>
  <si>
    <t>Quantity - Stores losses</t>
  </si>
  <si>
    <t>Quantity - Special Payments - Compensation</t>
  </si>
  <si>
    <t>Quantity - Special Payments</t>
  </si>
  <si>
    <t>Quantity - Total</t>
  </si>
  <si>
    <t>£'000 - Cash losses</t>
  </si>
  <si>
    <t>£'000 - Claims abandoned</t>
  </si>
  <si>
    <t>£'000 - Administrative write-offs</t>
  </si>
  <si>
    <t>£'000 - Fruitless payments</t>
  </si>
  <si>
    <t>£'000 - Stores losses</t>
  </si>
  <si>
    <t>£'000 - Special Payments - Compensation</t>
  </si>
  <si>
    <t>£'000 - Special Payments</t>
  </si>
  <si>
    <t>Increase/decrease in provisions (provision provided for in year less any release)</t>
  </si>
  <si>
    <t>Other *</t>
  </si>
  <si>
    <t>Balancing Adjustment</t>
  </si>
  <si>
    <t>Mapped opening balances</t>
  </si>
  <si>
    <t>Donations / Government grant / Lottery funding</t>
  </si>
  <si>
    <t>Impairments transferred to
 Revaluation Reserve</t>
  </si>
  <si>
    <t xml:space="preserve">Current year </t>
  </si>
  <si>
    <t>Prior year</t>
  </si>
  <si>
    <t>End of prior year</t>
  </si>
  <si>
    <t>Opening balance - restated</t>
  </si>
  <si>
    <t xml:space="preserve">   Owned</t>
  </si>
  <si>
    <t xml:space="preserve">   Finance leased</t>
  </si>
  <si>
    <t>Report value of  land and buildings assets, at year end held which were classified as held for resale</t>
  </si>
  <si>
    <t>Report number of  land and buildings assets, at year end held which were classified as held for resale</t>
  </si>
  <si>
    <t>No.</t>
  </si>
  <si>
    <t>Transfer in from Non Current Assets</t>
  </si>
  <si>
    <t>Transfer out to Non Current Assets</t>
  </si>
  <si>
    <t xml:space="preserve">Opening Balance at 1 April </t>
  </si>
  <si>
    <t>Websites</t>
  </si>
  <si>
    <t>Licences, trademarks &amp; artistic originals</t>
  </si>
  <si>
    <t>Patents</t>
  </si>
  <si>
    <t>Goodwill</t>
  </si>
  <si>
    <t>Payments on Account &amp; Assets under Construction</t>
  </si>
  <si>
    <t>Opening balance at 01 April 2017</t>
  </si>
  <si>
    <t xml:space="preserve">Disposals </t>
  </si>
  <si>
    <t>Impairment charged to OCS</t>
  </si>
  <si>
    <t>Impairment taken through revaluation reserve</t>
  </si>
  <si>
    <t>This account summarises the expenditure and income generated and consumed on an accruals basis.  It also includes other comprehensive income and expenditure, which include changes to the values of non-current assets and other financial instruments that cannot yet be recognised as income or expenditure.</t>
  </si>
  <si>
    <t>Note</t>
  </si>
  <si>
    <t>£000</t>
  </si>
  <si>
    <t>Total Operating income</t>
  </si>
  <si>
    <t>Other operating expenditure</t>
  </si>
  <si>
    <t>Total operating expenditure</t>
  </si>
  <si>
    <t>Net expenditure for the year</t>
  </si>
  <si>
    <t>Other Comprehensive Net Expenditure</t>
  </si>
  <si>
    <t>Items that may be reclassified to net operating costs:</t>
  </si>
  <si>
    <t>Staff numbers and related costs</t>
  </si>
  <si>
    <t xml:space="preserve">Staff costs comprise: </t>
  </si>
  <si>
    <t>Ministers</t>
  </si>
  <si>
    <t>Subtotal</t>
  </si>
  <si>
    <t>Less recoveries iro outward secondments (-)</t>
  </si>
  <si>
    <t>Total net costs*</t>
  </si>
  <si>
    <t>Of which:</t>
  </si>
  <si>
    <t>Core Department</t>
  </si>
  <si>
    <t>*Of the total, these amounts have been charged to capital</t>
  </si>
  <si>
    <t>Agencies</t>
  </si>
  <si>
    <t>Total net costs</t>
  </si>
  <si>
    <t>The average number of whole-time equivalent persons employed during the year was as follows:</t>
  </si>
  <si>
    <t>Number</t>
  </si>
  <si>
    <t>Comparative data to be shown (in brackets) for previous year.</t>
  </si>
  <si>
    <t>Core Department &amp; Agencies</t>
  </si>
  <si>
    <t>£10,000 - £25,000</t>
  </si>
  <si>
    <t>£25,000 - £50,000</t>
  </si>
  <si>
    <t>£50,000 - £100,000</t>
  </si>
  <si>
    <t>£100,000- £150,000</t>
  </si>
  <si>
    <t>£150,000- £200,000</t>
  </si>
  <si>
    <t>£200,000- £250,000</t>
  </si>
  <si>
    <t>£250,000- £300,000</t>
  </si>
  <si>
    <t>£300,000- £350,000</t>
  </si>
  <si>
    <t>£350,000- £400,000</t>
  </si>
  <si>
    <t>£000s</t>
  </si>
  <si>
    <t>Estimate</t>
  </si>
  <si>
    <t>Outturn</t>
  </si>
  <si>
    <t xml:space="preserve">Outturn </t>
  </si>
  <si>
    <t>Gross Expenditure</t>
  </si>
  <si>
    <t>SoAS 2</t>
  </si>
  <si>
    <t xml:space="preserve">Non Operating Cost Accruing Resources </t>
  </si>
  <si>
    <t xml:space="preserve">Net Cash Requirement </t>
  </si>
  <si>
    <t>SoAS 3</t>
  </si>
  <si>
    <t>SoAS 4</t>
  </si>
  <si>
    <t>Admin</t>
  </si>
  <si>
    <t>Grants</t>
  </si>
  <si>
    <t>Resource Outturn</t>
  </si>
  <si>
    <t>Budget</t>
  </si>
  <si>
    <t>%age</t>
  </si>
  <si>
    <t>Capital</t>
  </si>
  <si>
    <t xml:space="preserve">  Acquisition of property, plant and equipment</t>
  </si>
  <si>
    <t xml:space="preserve">  Acquisition of intangibles</t>
  </si>
  <si>
    <t xml:space="preserve">  Investments impairment</t>
  </si>
  <si>
    <t xml:space="preserve">  Investments additions</t>
  </si>
  <si>
    <t xml:space="preserve">  FTC impairment</t>
  </si>
  <si>
    <t xml:space="preserve">  FTC additions</t>
  </si>
  <si>
    <t>Non Operating Accruing resources</t>
  </si>
  <si>
    <t xml:space="preserve">  Net book value of property, plant and equipment disposals</t>
  </si>
  <si>
    <t xml:space="preserve">  Net book value of intangible disposals</t>
  </si>
  <si>
    <t xml:space="preserve">  Investment repayments</t>
  </si>
  <si>
    <t xml:space="preserve">  FTC repayments</t>
  </si>
  <si>
    <t>Accruals Adjustments</t>
  </si>
  <si>
    <t xml:space="preserve">  Loss on disposal of property, plant and equipment</t>
  </si>
  <si>
    <t xml:space="preserve">  Provision provided for in year</t>
  </si>
  <si>
    <t xml:space="preserve">  Other non-cash items</t>
  </si>
  <si>
    <t>Movement in CFERs included in trade receivables</t>
  </si>
  <si>
    <t>Movement in amounts due from the Consolidated Fund in respect of supply</t>
  </si>
  <si>
    <t>Movement in Payables for amounts issued from the Consolidated Fund for supply but not spent at year end</t>
  </si>
  <si>
    <t>Movement in Payables for Consolidated Fund Extra receipts due to be paid to the Consolidated Fund:</t>
  </si>
  <si>
    <t xml:space="preserve">  received</t>
  </si>
  <si>
    <t xml:space="preserve">  receivable</t>
  </si>
  <si>
    <t xml:space="preserve">  Changes in payables falling due after more than one year</t>
  </si>
  <si>
    <t xml:space="preserve">  Use of provision</t>
  </si>
  <si>
    <t>Excess cash receipts surrenderable to the consolidated fund</t>
  </si>
  <si>
    <t>Net cash requirement</t>
  </si>
  <si>
    <t>SoAS 6</t>
  </si>
  <si>
    <t>Proceeds on disposal of intangibles</t>
  </si>
  <si>
    <t>This statement presents the financial position of the Department of Health, Social Services and Public Safety.  It comprises three main components: Assets owned or controlled; liabilities owed to other bodies; and equity, the remaining value of the entity.</t>
  </si>
  <si>
    <t>1 April 2010</t>
  </si>
  <si>
    <t>Non-current assets:</t>
  </si>
  <si>
    <t xml:space="preserve">Non Current trade and other receivables </t>
  </si>
  <si>
    <t>Total non-current assets</t>
  </si>
  <si>
    <t>Current Assets</t>
  </si>
  <si>
    <t>Total assets</t>
  </si>
  <si>
    <t>Current liabilities</t>
  </si>
  <si>
    <t>Total current liabilities</t>
  </si>
  <si>
    <t>Non-current assets plus/less net current assets/liabilities</t>
  </si>
  <si>
    <t>Non-current liabilities</t>
  </si>
  <si>
    <t>Total non-current liabilities</t>
  </si>
  <si>
    <t>The Statement of Cash Flows shows the changes in cash and cash equivalents of the Department during the reporting period.  The statement shows how the Department generates and uses cash and cash equivalents by classifying cash flows as operating, investing and financing activities.  The amount of net cash flows arising from operating activities is a key indicator of service costs and the extent to which these operations are funded by way of income from the recipients of services provided by the Department.  Investing activities represent the extent to which cash inflows and outflows have been made for resources which are intended to contribute to the Departments' future public service delivery.  Cash flows arising from financing activities include Assembly Supply and other cash flows, including borrowing.</t>
  </si>
  <si>
    <t>Net cash inflow/(outflow) from operating activities</t>
  </si>
  <si>
    <t>6,14</t>
  </si>
  <si>
    <t>Net increase/(decrease) in cash and cash equivalents in the period before adjustment for receipts and payments to the Consolidated Fund.</t>
  </si>
  <si>
    <t>Net increase/(decrease) in cash and cash equivalents in the period after adjustment for receipts and payments to the Consolidated Fund.</t>
  </si>
  <si>
    <t>This statement shows the movement in the year on the different reserves held by the Department of Health, analysed into 'general fund reserves' (i.e. those reserves that reflect a contribution from the Consolidated Fund).  Financing and the balance from the provision of services are recorded here.  The Revaluation Reserve reflects the change in asset values that have not been recognised as income or expenditure.  Other earmarked reserves are shown separately where there are statutory restrictions of their use.</t>
  </si>
  <si>
    <t>Consolidated Statement of Changes in Taxpayer's Equity</t>
  </si>
  <si>
    <t>Non Cash Adjustments:</t>
  </si>
  <si>
    <t>Rounding</t>
  </si>
  <si>
    <t>Revaluation</t>
  </si>
  <si>
    <t>Statement of Operating Costs by Operating Segment</t>
  </si>
  <si>
    <t>The following are separate identifiable units of business which have their own set of activities which contributes to the Departments</t>
  </si>
  <si>
    <t xml:space="preserve">objectives. The funding for all  reportable segments is shown in the table below. No material transactions occurred between the segments. </t>
  </si>
  <si>
    <t>Net Expenditure</t>
  </si>
  <si>
    <t>Other information*</t>
  </si>
  <si>
    <t xml:space="preserve">The operating segments in this note are those reported to the Department of Health and Social Services Departmental Board </t>
  </si>
  <si>
    <t>for financial management purposes. The operating segments are:</t>
  </si>
  <si>
    <t>- Health &amp; Social Care Board which covers:</t>
  </si>
  <si>
    <r>
      <t>Commissioning</t>
    </r>
    <r>
      <rPr>
        <sz val="10"/>
        <color indexed="8"/>
        <rFont val="Arial"/>
        <family val="2"/>
      </rPr>
      <t xml:space="preserve"> the provision of health and social care, monitoring health and social care performance  and ensuring </t>
    </r>
  </si>
  <si>
    <t xml:space="preserve">the best possible use of the resources of the health and social care system.  </t>
  </si>
  <si>
    <t>- Public Health Agency which covers:</t>
  </si>
  <si>
    <r>
      <t>Improvement in health and social well-being</t>
    </r>
    <r>
      <rPr>
        <sz val="10"/>
        <color indexed="8"/>
        <rFont val="Arial"/>
        <family val="2"/>
      </rPr>
      <t xml:space="preserve"> , Health protection,  Service development </t>
    </r>
  </si>
  <si>
    <t>- Business Support Organisation</t>
  </si>
  <si>
    <t>It is responsible for the provision of a range of business support and specialist professional services to other health and social care bodies.</t>
  </si>
  <si>
    <t>- Patient Client Council</t>
  </si>
  <si>
    <t>Responsible for ensuring a strong patient and client voice at both regional and local level, and for strengthening public involvement in decisions about health and social care services</t>
  </si>
  <si>
    <t>- NI Practice &amp; Education Council for Nursing &amp; Midwifery</t>
  </si>
  <si>
    <t>Provides advice and guidance on best practice and matters relating to nursing and midwifery.</t>
  </si>
  <si>
    <t>- NI Social Care Council</t>
  </si>
  <si>
    <t>Registers and regulates the social care workforce, setting and monitoring the standards for professional social work training and promoting training within the broader social care workforce.</t>
  </si>
  <si>
    <t>- Regulation &amp; Quality Improvement Authority</t>
  </si>
  <si>
    <t>Registers and inspects a wide range of HSC services and has a role in assuring the quality of services provided by a number of HSC bodies.</t>
  </si>
  <si>
    <t>- NI Medical &amp; Dental Training Agency</t>
  </si>
  <si>
    <t>To ensure that doctors and dentists are effectively trained to provide the highest standards of patient care and to fund, manage and support postgraduate medical and dental education.</t>
  </si>
  <si>
    <t>Responsible for maintaining a register of Guardians ad Litem who are independent officers of the court experienced in working with children and families.</t>
  </si>
  <si>
    <t>- NI Fire &amp; Rescue Service</t>
  </si>
  <si>
    <t>To deliver Fire and Rescue Services</t>
  </si>
  <si>
    <t>- Health and Social Care Trusts</t>
  </si>
  <si>
    <t>The Ambulance Trust provides emergency response to patients with sudden illness and injury and Non-Emergency Patient Care and</t>
  </si>
  <si>
    <t>Transportation.</t>
  </si>
  <si>
    <t>Reconciliation between Operating Segments and CSoFP</t>
  </si>
  <si>
    <t>Total liabilities</t>
  </si>
  <si>
    <t>Net assets less liabilities</t>
  </si>
  <si>
    <t>Other Administration Expenditure</t>
  </si>
  <si>
    <r>
      <t>Staff costs</t>
    </r>
    <r>
      <rPr>
        <vertAlign val="superscript"/>
        <sz val="10"/>
        <rFont val="Arial"/>
        <family val="2"/>
      </rPr>
      <t>1</t>
    </r>
    <r>
      <rPr>
        <sz val="10"/>
        <rFont val="Arial"/>
        <family val="2"/>
      </rPr>
      <t>:</t>
    </r>
  </si>
  <si>
    <r>
      <rPr>
        <vertAlign val="superscript"/>
        <sz val="10"/>
        <rFont val="Arial"/>
        <family val="2"/>
      </rPr>
      <t>1</t>
    </r>
    <r>
      <rPr>
        <sz val="10"/>
        <rFont val="Arial"/>
        <family val="2"/>
      </rPr>
      <t xml:space="preserve"> Further analysis of staff costs is located in the Accountability Section</t>
    </r>
  </si>
  <si>
    <t>Programme expenditure</t>
  </si>
  <si>
    <t xml:space="preserve"> Total Non-Cash Items</t>
  </si>
  <si>
    <t>Fees and charges information</t>
  </si>
  <si>
    <t xml:space="preserve"> Land</t>
  </si>
  <si>
    <t>Carrying amount at</t>
  </si>
  <si>
    <t xml:space="preserve">Analysis of property, plant and equipment </t>
  </si>
  <si>
    <t>The carrying amount of property, plant and equipment comprises:</t>
  </si>
  <si>
    <t>Assets Classified as Held for Sale</t>
  </si>
  <si>
    <t>Intangible Assets</t>
  </si>
  <si>
    <t>Development expenditure</t>
  </si>
  <si>
    <t>TOTAL</t>
  </si>
  <si>
    <t>Disposals (-)</t>
  </si>
  <si>
    <t>Impairment charged to Statement of Comprehensive Net Expenditure within Net Expenditure</t>
  </si>
  <si>
    <t xml:space="preserve">Balance at 1 April </t>
  </si>
  <si>
    <t xml:space="preserve">Balance at 31 March </t>
  </si>
  <si>
    <t>The following balances at 31 March are held at</t>
  </si>
  <si>
    <t xml:space="preserve">Amounts falling due within one year: </t>
  </si>
  <si>
    <t>Other receivables - not relating to fixed assets</t>
  </si>
  <si>
    <t xml:space="preserve">show on </t>
  </si>
  <si>
    <t>one line</t>
  </si>
  <si>
    <t>in word doc</t>
  </si>
  <si>
    <t>Prepayments</t>
  </si>
  <si>
    <t>Accrued income</t>
  </si>
  <si>
    <t>Current part of PFI and other service concession arrangement prepayments</t>
  </si>
  <si>
    <t xml:space="preserve">PFI and other service concession arrangement prepayments </t>
  </si>
  <si>
    <t xml:space="preserve">Included within trade debtors is </t>
  </si>
  <si>
    <t>Trade payables, financial and other liabilities</t>
  </si>
  <si>
    <t>Bank overdraft</t>
  </si>
  <si>
    <t>Other taxation and social security</t>
  </si>
  <si>
    <t>Trade capital payables - property, plant and equipment</t>
  </si>
  <si>
    <t>Trade capital payables - intangibles</t>
  </si>
  <si>
    <t>Accruals - relating to property, plant and equipment</t>
  </si>
  <si>
    <t>Accruals - relating to intangibles</t>
  </si>
  <si>
    <t>1 line</t>
  </si>
  <si>
    <t>Accruals</t>
  </si>
  <si>
    <t>Deferred income</t>
  </si>
  <si>
    <t>HSC Superannuation Scheme Payable</t>
  </si>
  <si>
    <t>Consolidated Fund extra receipts due to be paid to the Consolidated Fund:</t>
  </si>
  <si>
    <t>Early departure costs</t>
  </si>
  <si>
    <t xml:space="preserve">Review Public Administration  </t>
  </si>
  <si>
    <t xml:space="preserve">             </t>
  </si>
  <si>
    <t>Financial Guarantees, Indemnities and Letter of Comfort</t>
  </si>
  <si>
    <t>Increase in year</t>
  </si>
  <si>
    <t>Liabilities crystallised in year</t>
  </si>
  <si>
    <t>Obligation expired in year</t>
  </si>
  <si>
    <t>Guarantees</t>
  </si>
  <si>
    <t>Indemnities</t>
  </si>
  <si>
    <t>Letter of comfort</t>
  </si>
  <si>
    <t xml:space="preserve">   Less interest element</t>
  </si>
  <si>
    <t>Present Value of obligations</t>
  </si>
  <si>
    <t>Commitments under PFI and other service concession arrangements</t>
  </si>
  <si>
    <t>Off balance sheet (SoFP)</t>
  </si>
  <si>
    <t>For each relevant PFI contract and other service concession arrangement, this note should:</t>
  </si>
  <si>
    <t>-state what the contract is for and note that the property is not an asset of the Department (or Agency or Board)</t>
  </si>
  <si>
    <t>-give the estimated capital value; and</t>
  </si>
  <si>
    <t>-give details of any prepayments, reversionary interests, etc and how they are accounted for</t>
  </si>
  <si>
    <t>-disclose the total payments to which they are committed for each of the following periods</t>
  </si>
  <si>
    <t>On balance sheet (SoFP)</t>
  </si>
  <si>
    <t>-state what the contract is for and note that, under IFRIC 12, the asset is treated as an asset of the Department (or Agency or Board)</t>
  </si>
  <si>
    <t>-note that the substance of the contract is that the Department (or Agency or Board) has a finance lease and that payments</t>
  </si>
  <si>
    <t>comprise two elements - imputed finance lease charges and service charges - and provide details of the imputed finance lease charges</t>
  </si>
  <si>
    <t>in the table below.</t>
  </si>
  <si>
    <t>Due within one year</t>
  </si>
  <si>
    <t>Due later than one year and not later than five years</t>
  </si>
  <si>
    <t>Due later than five years</t>
  </si>
  <si>
    <t>Less interest element</t>
  </si>
  <si>
    <t>Present value</t>
  </si>
  <si>
    <t>Service elements due in future periods:</t>
  </si>
  <si>
    <t>Total service elements due in future periods</t>
  </si>
  <si>
    <t>Total commitments</t>
  </si>
  <si>
    <t>Capital and other commitments</t>
  </si>
  <si>
    <t>Capital commitments</t>
  </si>
  <si>
    <t>Contracted capital commitments at 31 March not otherwise included in these financial statements</t>
  </si>
  <si>
    <t>Other financial commitments</t>
  </si>
  <si>
    <t>This note discloses commitments to future expenditure, not otherwise disclosed elsewhere in the financial statements. Included within other financial commitments are non cancellable contracts and purchase orders which commit the Department to revenue expenditure in a future period. Commitments to expenditure under other forms of agreement such as Memorandums of Understanding may be considered as commitments if they, in exceptional circumstances, effectively commit the Department to the expenditure as it would be reputationally or politically damaging for the Department to withdraw from the agreement. Any future funding within the Department's accounting boundary does not represent a financial commitment.</t>
  </si>
  <si>
    <t>The amounts committed are analysed by the period during which the commitment expires are as follows.</t>
  </si>
  <si>
    <t>Third party assets</t>
  </si>
  <si>
    <t>Monetary assets such as bank balances and monies on deposit</t>
  </si>
  <si>
    <t>Listed securities</t>
  </si>
  <si>
    <t>Cross reference check - disposals of fixed assets</t>
  </si>
  <si>
    <t>THIS PAGE IS NOT A NOTE TO THE ACCOUNTS</t>
  </si>
  <si>
    <t>Proceeds</t>
  </si>
  <si>
    <t>PPE disposal proceeds - total</t>
  </si>
  <si>
    <t>Disposal costs - property, plant and equipment</t>
  </si>
  <si>
    <t>Disposal costs - intangibles</t>
  </si>
  <si>
    <t>Net book value of disposals</t>
  </si>
  <si>
    <t>Tangibles</t>
  </si>
  <si>
    <t>Cost</t>
  </si>
  <si>
    <t>Note 6</t>
  </si>
  <si>
    <t>depreciation</t>
  </si>
  <si>
    <t>NBV</t>
  </si>
  <si>
    <t>Intangibles</t>
  </si>
  <si>
    <t>Note 7</t>
  </si>
  <si>
    <t>amortisation</t>
  </si>
  <si>
    <t>AHFS Carrying value</t>
  </si>
  <si>
    <t>Note 6.2</t>
  </si>
  <si>
    <t>Loss/profit on disposal</t>
  </si>
  <si>
    <t xml:space="preserve">Split in accounts as follows: </t>
  </si>
  <si>
    <t>Total loss/profit on disposal</t>
  </si>
  <si>
    <t>Transfer of EPB assets for reprocessing (notional allowance given)</t>
  </si>
  <si>
    <t>CFERs reconciliation</t>
  </si>
  <si>
    <t xml:space="preserve">Note </t>
  </si>
  <si>
    <t>OPENING CREDITOR</t>
  </si>
  <si>
    <t>1</t>
  </si>
  <si>
    <t>CFERs FOR THE PERIOD</t>
  </si>
  <si>
    <t>2</t>
  </si>
  <si>
    <t>Analysis of income payable to CF</t>
  </si>
  <si>
    <t>eu DEBTORS written off</t>
  </si>
  <si>
    <t>PAID OVER FOR CURRENT YEAR</t>
  </si>
  <si>
    <t>3</t>
  </si>
  <si>
    <t>CASHFLOW</t>
  </si>
  <si>
    <t>Payments of amounts due to</t>
  </si>
  <si>
    <t>PAID OVER FOR PRIOR YEAR</t>
  </si>
  <si>
    <t>CLOSING CREDITOR</t>
  </si>
  <si>
    <t>DEBTORS NOT RECEIVED</t>
  </si>
  <si>
    <t>CFERs included within trade debtors</t>
  </si>
  <si>
    <t>NIBTS debtors not received</t>
  </si>
  <si>
    <t>Amounts due to Consolidate Fund - received</t>
  </si>
  <si>
    <t>and not paid</t>
  </si>
  <si>
    <t>4</t>
  </si>
  <si>
    <t>5</t>
  </si>
  <si>
    <t>6</t>
  </si>
  <si>
    <t>7</t>
  </si>
  <si>
    <t>Reserves</t>
  </si>
  <si>
    <t>8</t>
  </si>
  <si>
    <t>Cross References</t>
  </si>
  <si>
    <t>SoAS</t>
  </si>
  <si>
    <t>Admin (Value of diff)</t>
  </si>
  <si>
    <t>Diff</t>
  </si>
  <si>
    <t>SCNE</t>
  </si>
  <si>
    <t>Net Cash Requirement</t>
  </si>
  <si>
    <t>Impairment</t>
  </si>
  <si>
    <t>SoAS 4&amp;5</t>
  </si>
  <si>
    <t>N/A</t>
  </si>
  <si>
    <t>PPE</t>
  </si>
  <si>
    <t>OCI</t>
  </si>
  <si>
    <t>Expenditure</t>
  </si>
  <si>
    <t>Grant received from DoH</t>
  </si>
  <si>
    <t>NARRATIVE - purchase of non-audit services</t>
  </si>
  <si>
    <t>Narrative</t>
  </si>
  <si>
    <t>Prompt Payment</t>
  </si>
  <si>
    <t>Total bills paid within 10 day target</t>
  </si>
  <si>
    <t>£'000's Value</t>
  </si>
  <si>
    <t>Quantity</t>
  </si>
  <si>
    <t>Total Bills paid</t>
  </si>
  <si>
    <t>Total Bills paid within 30 day target</t>
  </si>
  <si>
    <t>Total Bills paid within 10 day target</t>
  </si>
  <si>
    <t xml:space="preserve">Provisions </t>
  </si>
  <si>
    <t>Contingent Liabilities</t>
  </si>
  <si>
    <t>Proceeds of disposal of assets held for sale</t>
  </si>
  <si>
    <t>@2</t>
  </si>
  <si>
    <t>Revaluation reserve</t>
  </si>
  <si>
    <t>Financial liabilities</t>
  </si>
  <si>
    <t>Trade and other payables</t>
  </si>
  <si>
    <t>Other liabilities</t>
  </si>
  <si>
    <t xml:space="preserve">Net gain/(loss) on revaluation of property, plant and equipment  </t>
  </si>
  <si>
    <t>Net gain/(loss) on revaluation of intangibles</t>
  </si>
  <si>
    <t>Net gain/(loss) on revaluation of financial instruments</t>
  </si>
  <si>
    <t>(Increase)/decrease in trade and other receivables</t>
  </si>
  <si>
    <t>Movements in receivables relating to PFI and other service concession arrangement contracts</t>
  </si>
  <si>
    <t>Increase/(decrease) in trade payables</t>
  </si>
  <si>
    <t>Movements in payables relating to the purchase of property, plant and equipment</t>
  </si>
  <si>
    <t>Movements in payables relating to the purchase of intangibles</t>
  </si>
  <si>
    <t>Proceeds of disposal of property, plant &amp; equipment</t>
  </si>
  <si>
    <t>Proceeds on disposal of assets held for resale</t>
  </si>
  <si>
    <t>Grant in aid</t>
  </si>
  <si>
    <t>Cash &amp; cash equivalents at the beginning of the period</t>
  </si>
  <si>
    <t>Grant from DoH</t>
  </si>
  <si>
    <t>(Comprehensive expenditure for the year)</t>
  </si>
  <si>
    <t>Non cash charges - auditors remuneration</t>
  </si>
  <si>
    <t>Increase / Decrease in provisions (provision provided for in year less any release)</t>
  </si>
  <si>
    <t>Auditors remuneration</t>
  </si>
  <si>
    <t>Current Liabilities</t>
  </si>
  <si>
    <t>Impairment charged to the SoCNE</t>
  </si>
  <si>
    <t>Impairment charged to the revaluation reserve</t>
  </si>
  <si>
    <t>On B/S (SoFP) PFI and other service concession arrangements contracts</t>
  </si>
  <si>
    <t>Impairments which revaluation reserve covers (shown in Other Comprehensive Expenditure Statement)</t>
  </si>
  <si>
    <t>Transfers in</t>
  </si>
  <si>
    <t>Transfers out</t>
  </si>
  <si>
    <t>(Disposals)</t>
  </si>
  <si>
    <t>Net change in cash and cash equivalents</t>
  </si>
  <si>
    <t>VAT receivable</t>
  </si>
  <si>
    <t>Current part of PFI and other service concession arrangements prepayment</t>
  </si>
  <si>
    <t>Carbon reduction commitment</t>
  </si>
  <si>
    <t>VAT payable</t>
  </si>
  <si>
    <t>Payroll payables</t>
  </si>
  <si>
    <t>Clinical negligence payables</t>
  </si>
  <si>
    <t>BSO payables</t>
  </si>
  <si>
    <t>Current part of long term loans</t>
  </si>
  <si>
    <t xml:space="preserve">Other payables, accruals and deferred income </t>
  </si>
  <si>
    <t>Long term loans</t>
  </si>
  <si>
    <t>Total bills paid</t>
  </si>
  <si>
    <t>Total bills paid within 30 day target or under agreed payment terms</t>
  </si>
  <si>
    <t>Total bills paid within 30 days of receipt of an undisputed invoice*</t>
  </si>
  <si>
    <t>14.2 The Late Payment of Commercial Debts Regulations 2002</t>
  </si>
  <si>
    <t>Amount of compensation paid for payment(s) being late</t>
  </si>
  <si>
    <t>Amount of interest paid for payment(s) being late</t>
  </si>
  <si>
    <t>Provided in year</t>
  </si>
  <si>
    <t xml:space="preserve">(Provisions not required written back) </t>
  </si>
  <si>
    <t>(Provisions utilised in the year)</t>
  </si>
  <si>
    <t>Cost of borrowing (unwinding of discount)</t>
  </si>
  <si>
    <t>Not later than 1 year</t>
  </si>
  <si>
    <t>Later than 1 year and not later than 5 years</t>
  </si>
  <si>
    <t>Later than 5 years</t>
  </si>
  <si>
    <t>Balance Sheet Totals</t>
  </si>
  <si>
    <t>Add a reserve check when Pr year data is available</t>
  </si>
  <si>
    <t>Core</t>
  </si>
  <si>
    <t>Financial assets (ca)</t>
  </si>
  <si>
    <t>When updating templates ensure the consolidation template file is open</t>
  </si>
  <si>
    <t>not directly reported in consol accounts</t>
  </si>
  <si>
    <t>Subtotal Impairment</t>
  </si>
  <si>
    <t>narrative consol</t>
  </si>
  <si>
    <t>Accrued Income</t>
  </si>
  <si>
    <t>Finance Leases</t>
  </si>
  <si>
    <t>Net gain/(loss) on revaluation of charitable assets</t>
  </si>
  <si>
    <t>Charitable fund</t>
  </si>
  <si>
    <t>Reversal of impairments (indexation)</t>
  </si>
  <si>
    <t>Pharmacy supplies</t>
  </si>
  <si>
    <t>Fuel</t>
  </si>
  <si>
    <t>Stock held for resale</t>
  </si>
  <si>
    <t>VER payables</t>
  </si>
  <si>
    <t>Clinical negligence</t>
  </si>
  <si>
    <t>Public liability</t>
  </si>
  <si>
    <t>Employers' liability</t>
  </si>
  <si>
    <t>Accrued leave</t>
  </si>
  <si>
    <t>Injury benefit</t>
  </si>
  <si>
    <t xml:space="preserve">Other </t>
  </si>
  <si>
    <t>Related Party Transactions</t>
  </si>
  <si>
    <t>Deferred Income</t>
  </si>
  <si>
    <t>Other operating income*</t>
  </si>
  <si>
    <t>Research &amp; development expenditure</t>
  </si>
  <si>
    <t>Property, plant &amp; equipment</t>
  </si>
  <si>
    <t xml:space="preserve">Financial assets </t>
  </si>
  <si>
    <t>Land Cost</t>
  </si>
  <si>
    <t>Building Cost</t>
  </si>
  <si>
    <t>Land Deprec</t>
  </si>
  <si>
    <t>Building Deprec</t>
  </si>
  <si>
    <t>Pensions relating to former directors</t>
  </si>
  <si>
    <t>Pensions relating to other staff</t>
  </si>
  <si>
    <t>IPHI % relating to NI</t>
  </si>
  <si>
    <t>Safeffod % relating to NI</t>
  </si>
  <si>
    <t xml:space="preserve">Euro to GBP FX rate </t>
  </si>
  <si>
    <t>based on safe food note 2a  31/12/16</t>
  </si>
  <si>
    <t>Outstanding</t>
  </si>
  <si>
    <t>Group</t>
  </si>
  <si>
    <t>Transport Ewuipment</t>
  </si>
  <si>
    <t>Notes to the financial statements</t>
  </si>
  <si>
    <t>Accounting Policies</t>
  </si>
  <si>
    <t>Carrying amount</t>
  </si>
  <si>
    <t>Analysis of Intangible Assets</t>
  </si>
  <si>
    <t>Ok comparative o/s</t>
  </si>
  <si>
    <t>Consolidated Provisions for liabilities and charges</t>
  </si>
  <si>
    <t>Material contingent liabilities are noted in the table below, where there is a 50% or less probability that a payment will be required to settle any possible obligations. The amounts or timing of any outflow will depend on the merits of each case.</t>
  </si>
  <si>
    <t xml:space="preserve">        </t>
  </si>
  <si>
    <t xml:space="preserve">The assets held at the reporting period date to which it was practical to ascribe monetary values comprised [insert as relevant, for example: monetary assets, such as bank balances and monies on deposit, and listed securities].  They are set out in the table below. </t>
  </si>
  <si>
    <t>THIRD PARTY ASSETS</t>
  </si>
  <si>
    <t>TOTAL PPE</t>
  </si>
  <si>
    <t>Intangible</t>
  </si>
  <si>
    <t>Net gain/(loss) on revaluation of investments</t>
  </si>
  <si>
    <t>Current Financial assets</t>
  </si>
  <si>
    <t xml:space="preserve">Grant from DoH </t>
  </si>
  <si>
    <t xml:space="preserve">(Comprehensive expenditure for the year) </t>
  </si>
  <si>
    <t xml:space="preserve">Non cash charges - auditors remuneration </t>
  </si>
  <si>
    <t xml:space="preserve">Transfer of asset ownership </t>
  </si>
  <si>
    <t xml:space="preserve">Other reserves movements including transfers </t>
  </si>
  <si>
    <t>Changes in taxpayers’ equity prior year</t>
  </si>
  <si>
    <t>Changes in taxpayers’ equity current year</t>
  </si>
  <si>
    <t>Current Intangible assets</t>
  </si>
  <si>
    <t>Current Intangible liabilities</t>
  </si>
  <si>
    <t xml:space="preserve">Transfers </t>
  </si>
  <si>
    <t xml:space="preserve">Impairment charged to the revaluation reserve </t>
  </si>
  <si>
    <t xml:space="preserve">Impairment charged to the SoCNE </t>
  </si>
  <si>
    <t xml:space="preserve">Reversal of impairments (indexation) </t>
  </si>
  <si>
    <t xml:space="preserve">Reclassifications </t>
  </si>
  <si>
    <t xml:space="preserve">Indexation </t>
  </si>
  <si>
    <t>Opening balance at 1 April</t>
  </si>
  <si>
    <t xml:space="preserve">Revaluation </t>
  </si>
  <si>
    <t xml:space="preserve">Transfers in </t>
  </si>
  <si>
    <t xml:space="preserve">Transfers out </t>
  </si>
  <si>
    <t xml:space="preserve">(Disposals) </t>
  </si>
  <si>
    <t xml:space="preserve">Impairment </t>
  </si>
  <si>
    <t xml:space="preserve">Backlog depreciation </t>
  </si>
  <si>
    <t>Impairments charged / (credited) to Statement of Comprehensive Net Expenditure</t>
  </si>
  <si>
    <t xml:space="preserve">Trade receivables </t>
  </si>
  <si>
    <t xml:space="preserve">Other receivables </t>
  </si>
  <si>
    <t xml:space="preserve">Deposits and advances </t>
  </si>
  <si>
    <t xml:space="preserve">Trade and other payables </t>
  </si>
  <si>
    <t xml:space="preserve">Clinical negligence payables </t>
  </si>
  <si>
    <t>Estimated capital value of the PFI schemes</t>
  </si>
  <si>
    <t>Due within 1 year</t>
  </si>
  <si>
    <t>Due later than 1 year and not later than 5 years</t>
  </si>
  <si>
    <t>Due later than 5 years</t>
  </si>
  <si>
    <t>n/a - see note 16 in ALB template</t>
  </si>
  <si>
    <t>n/a - see note 19 in ALB template</t>
  </si>
  <si>
    <t>£200,001 - £250,000</t>
  </si>
  <si>
    <t>£250,001 - £300,000</t>
  </si>
  <si>
    <t>£300,001 - £350,000</t>
  </si>
  <si>
    <t>£350,001 - £400,000</t>
  </si>
  <si>
    <t>Under £10,000</t>
  </si>
  <si>
    <t>N/a</t>
  </si>
  <si>
    <t>Other Payments</t>
  </si>
  <si>
    <t xml:space="preserve">Trade and other receivables </t>
  </si>
  <si>
    <t xml:space="preserve">Other current assets </t>
  </si>
  <si>
    <t xml:space="preserve">Prepayments </t>
  </si>
  <si>
    <t xml:space="preserve">Accrued income </t>
  </si>
  <si>
    <t>reported in resource a/cs in £ not £k</t>
  </si>
  <si>
    <t>NIFRS PENSION</t>
  </si>
  <si>
    <t>Firefighters pension liabilities</t>
  </si>
  <si>
    <t>NI Fire and Rescue Service
 PENSION</t>
  </si>
  <si>
    <t>Actuarial gain / (loss)</t>
  </si>
  <si>
    <t xml:space="preserve">Actuarial gain / (loss) </t>
  </si>
  <si>
    <t xml:space="preserve">Current service cost </t>
  </si>
  <si>
    <t>Past service cost</t>
  </si>
  <si>
    <t xml:space="preserve">Pension financing cost  </t>
  </si>
  <si>
    <t xml:space="preserve">Pension transfers in </t>
  </si>
  <si>
    <t>&gt;£250k</t>
  </si>
  <si>
    <t>Other special payments</t>
  </si>
  <si>
    <t>Assembly Accountability Disclosure Notes</t>
  </si>
  <si>
    <t>i.   Losses and Special Payments</t>
  </si>
  <si>
    <t>Number of Cases</t>
  </si>
  <si>
    <t>Details of any other payments not covered above</t>
  </si>
  <si>
    <t>Compensation payments :</t>
  </si>
  <si>
    <t>ii   Fees and Charges</t>
  </si>
  <si>
    <t>Where the income and full cost of the service are material in the context of the financial statements Trust should provide the additional fees and charges disclosures as detailed in the FReM.  The analysis should include the following information for each service:</t>
  </si>
  <si>
    <t>i.</t>
  </si>
  <si>
    <t>the financial objective(s) and performance against the financial objective(s);</t>
  </si>
  <si>
    <t>ii.</t>
  </si>
  <si>
    <t>the full cost and unit costs charged in year;</t>
  </si>
  <si>
    <t>iii.</t>
  </si>
  <si>
    <t>the total income received in year;</t>
  </si>
  <si>
    <t>iv.</t>
  </si>
  <si>
    <t>the nature/extent of any subsidies or overcharging.</t>
  </si>
  <si>
    <t>iii   Remote Contingent Liabilities</t>
  </si>
  <si>
    <t>ACCOUNTABILITY REPORT</t>
  </si>
  <si>
    <t>Staff Report</t>
  </si>
  <si>
    <t xml:space="preserve">Staff Costs </t>
  </si>
  <si>
    <t>Intercompany transactions</t>
  </si>
  <si>
    <t>Staff costs comprise:</t>
  </si>
  <si>
    <t>Non Inter- company</t>
  </si>
  <si>
    <t>The average number of whole time equivalent persons employed during the year was as follows;</t>
  </si>
  <si>
    <t>Reporting of early retirement and other compensation scheme - exit packages</t>
  </si>
  <si>
    <t>Exit package cost band</t>
  </si>
  <si>
    <t>Redundancy and other departure costs have been paid in accordance with the provisions of the HSC Pension Scheme Regulations and the Compensation for Premature Retirement Regulations, statutory provisions made under the Superannuation Act 1972. Exit costs are accounted for in full in the year in which the exit package is approved and agreed and are included as operating expenses at Note 3. Where early retirements have been agreed, the additional costs are met by the employing authority and not by the HSC pension scheme. Ill-health retirement costs are met by the pension scheme and are not included in the table.</t>
  </si>
  <si>
    <t>Actuarial gain / (loss) on pension scheme liabilities</t>
  </si>
  <si>
    <t>Firefighters' Compensation Scheme</t>
  </si>
  <si>
    <t>Discount rate</t>
  </si>
  <si>
    <t>Price inflation (CPI)</t>
  </si>
  <si>
    <t>Rate of increase in pensionable salaries</t>
  </si>
  <si>
    <t>Pension accounts revaluation rate</t>
  </si>
  <si>
    <t>Pension increases</t>
  </si>
  <si>
    <t>The future life expectancies at age 65 are summarised below:</t>
  </si>
  <si>
    <t>65 year old current pensioner</t>
  </si>
  <si>
    <t>45 year old future pensioner at age 65</t>
  </si>
  <si>
    <t>Equities</t>
  </si>
  <si>
    <t>Bonds</t>
  </si>
  <si>
    <t>Property</t>
  </si>
  <si>
    <t>Cash/Other</t>
  </si>
  <si>
    <t>Unquoted</t>
  </si>
  <si>
    <t>Fair value of scheme assets</t>
  </si>
  <si>
    <t>Present value of funded obligations</t>
  </si>
  <si>
    <t>Net liability</t>
  </si>
  <si>
    <t>Amount charged to operating expenditure</t>
  </si>
  <si>
    <t>Amount charged to interest</t>
  </si>
  <si>
    <t>Expected return on scheme assets</t>
  </si>
  <si>
    <t>Interest income on assets</t>
  </si>
  <si>
    <t>Interest expense on defined benefit obligation</t>
  </si>
  <si>
    <t>Net interest charge</t>
  </si>
  <si>
    <t>Amount charged to the Statement of Changes in Taxpayers' Equity</t>
  </si>
  <si>
    <t>Return on plan assets in excess of that recognised in net interest</t>
  </si>
  <si>
    <t>Actuarial losses/(gains) due to liability experience</t>
  </si>
  <si>
    <t>Actuarial losses due to changes in financial assumptions</t>
  </si>
  <si>
    <t>Actuarial (gain) due to changes in demographic assumptions</t>
  </si>
  <si>
    <t>Change in pension assets</t>
  </si>
  <si>
    <t>Opening fair value of assets</t>
  </si>
  <si>
    <t>Contributions by participants</t>
  </si>
  <si>
    <t>Contributions by employer</t>
  </si>
  <si>
    <t>Remeasurement gains/(losses) on assets</t>
  </si>
  <si>
    <t>Closing fair value of assets</t>
  </si>
  <si>
    <t>Change in benefit obligations</t>
  </si>
  <si>
    <t>Opening defined benefit obligation</t>
  </si>
  <si>
    <t>Current service cost</t>
  </si>
  <si>
    <t>Remeasurements:</t>
  </si>
  <si>
    <t>Actuarial loss/ (gain) due to liability experience</t>
  </si>
  <si>
    <t>Actuarial (gain)/loss from changes in demographic assumptions</t>
  </si>
  <si>
    <t>Actuarial loss due to changes in financial assumptions</t>
  </si>
  <si>
    <t>Closing defined benefit obligation</t>
  </si>
  <si>
    <t xml:space="preserve">Fair value of assets </t>
  </si>
  <si>
    <t xml:space="preserve">Present value of defined benefit obligation </t>
  </si>
  <si>
    <t>Net deficit</t>
  </si>
  <si>
    <t xml:space="preserve">Experience (losses)/gains on assets </t>
  </si>
  <si>
    <t xml:space="preserve">Experience (losses)/gains on liabilities </t>
  </si>
  <si>
    <t xml:space="preserve">Remeasurement (losses)/gains on assets </t>
  </si>
  <si>
    <t xml:space="preserve">Remeasurement (losses)/gains on obligation </t>
  </si>
  <si>
    <t xml:space="preserve">Remeasurement (losses)/gains recognised in other comprehensive expenditure (before adjustment for movement) </t>
  </si>
  <si>
    <t>The projected pension expense for the year to 31 March 2019, to be charged to the Statement of Comprehensive Net Expenditure in 2019, is shown in the table below.</t>
  </si>
  <si>
    <t xml:space="preserve">Net interest on net defined benefit liability </t>
  </si>
  <si>
    <t>Projected pension expense</t>
  </si>
  <si>
    <t xml:space="preserve">Sensitivity analysis </t>
  </si>
  <si>
    <t>The calculation of the pension liability is sensitive to the assumptions set out above. The following table summarises the impact on the pension liability at 31 March 2018 of changes in key assumptions:</t>
  </si>
  <si>
    <t>0.1% decrease in Discount Rate</t>
  </si>
  <si>
    <t>1 year increase in Member Life Expectancy</t>
  </si>
  <si>
    <t>0.1% decrease in the Salary Increase Rate</t>
  </si>
  <si>
    <t>0.1% decrease in the Pension Increase Rate</t>
  </si>
  <si>
    <t>16b.2 Analysis of Movement in New Firefighters' Pension Scheme 2007 liability</t>
  </si>
  <si>
    <t xml:space="preserve">Past service cost </t>
  </si>
  <si>
    <t xml:space="preserve">Pension financing cost </t>
  </si>
  <si>
    <t xml:space="preserve">Pension payments (see note xx) </t>
  </si>
  <si>
    <t xml:space="preserve">Pension payments to and on account of leavers (see note xx) </t>
  </si>
  <si>
    <t>16b.3 Analysis of Movement in Firefighters' Pension Scheme 2015 (CARE) liability</t>
  </si>
  <si>
    <t xml:space="preserve">Provisions (NIFRS - Compensation Scheme) </t>
  </si>
  <si>
    <t>Provisions (NIFRS - Compensation Scheme)</t>
  </si>
  <si>
    <t>Pension expense NIFRS</t>
  </si>
  <si>
    <t xml:space="preserve">Pension - NIFRS - Current service cost </t>
  </si>
  <si>
    <t xml:space="preserve">Pension - NIFRS - Past service cost </t>
  </si>
  <si>
    <t>Pension - NIFRS - Interest on Scheme Liabilities</t>
  </si>
  <si>
    <t>The Trust is committed to make the following payments during the next year</t>
  </si>
  <si>
    <t>CHECK</t>
  </si>
  <si>
    <t>NI Ambulance Service</t>
  </si>
  <si>
    <t>SOAS 2 check</t>
  </si>
  <si>
    <t xml:space="preserve">Settlement of prior year trade payable/(trade receivable) </t>
  </si>
  <si>
    <t xml:space="preserve">Net parliamentary funding - deemed </t>
  </si>
  <si>
    <t xml:space="preserve">Supply (payable)/receivable adjustment </t>
  </si>
  <si>
    <t xml:space="preserve">Excess Vote- Prior Year </t>
  </si>
  <si>
    <t xml:space="preserve">CFERs repayable to Consolidated Fund </t>
  </si>
  <si>
    <t xml:space="preserve">Non-cash charges - auditor's remuneration </t>
  </si>
  <si>
    <t xml:space="preserve">Non-cash charges - other </t>
  </si>
  <si>
    <t xml:space="preserve">Additions </t>
  </si>
  <si>
    <t xml:space="preserve">Recognised in Statement of Comprehensive Expenditure </t>
  </si>
  <si>
    <t xml:space="preserve">Receipt of donated assets </t>
  </si>
  <si>
    <t xml:space="preserve">Transfer of Asset Ownership </t>
  </si>
  <si>
    <t xml:space="preserve">Release of reserves to operating cost statement </t>
  </si>
  <si>
    <t xml:space="preserve">Adjustment for Transfer of function </t>
  </si>
  <si>
    <t xml:space="preserve">Net assembly funding - drawdown for current year </t>
  </si>
  <si>
    <t xml:space="preserve">Net assembly funding - drawdown for prior year </t>
  </si>
  <si>
    <t xml:space="preserve">Comprehensive Expenditure for the Year </t>
  </si>
  <si>
    <t>Departmental Group</t>
  </si>
  <si>
    <t>note 14 check</t>
  </si>
  <si>
    <t>Consol check</t>
  </si>
  <si>
    <t>Consolidated Provisions for liabilities and charges Cyr</t>
  </si>
  <si>
    <t>Consolidated Provisions for liabilities and charges Pyr</t>
  </si>
  <si>
    <t>SOAS 3</t>
  </si>
  <si>
    <t>Difference</t>
  </si>
  <si>
    <t>Note 3  4</t>
  </si>
  <si>
    <t>COST</t>
  </si>
  <si>
    <t>Depre</t>
  </si>
  <si>
    <t>Property, plant and equipment  Intangible</t>
  </si>
  <si>
    <t>Review of Impairments from FA notes to Impairment Notes</t>
  </si>
  <si>
    <t>AHFS</t>
  </si>
  <si>
    <t>FI</t>
  </si>
  <si>
    <t>Loans</t>
  </si>
  <si>
    <t>SUBTOTAL</t>
  </si>
  <si>
    <t>see Note 6 impair check sheet</t>
  </si>
  <si>
    <t>OB check</t>
  </si>
  <si>
    <t>Core  Agencies</t>
  </si>
  <si>
    <t xml:space="preserve">Financial Liabilities </t>
  </si>
  <si>
    <t>BS total Check</t>
  </si>
  <si>
    <t>Charitable Fund</t>
  </si>
  <si>
    <t>check to SFP</t>
  </si>
  <si>
    <t>check to SCF</t>
  </si>
  <si>
    <t>Other Cost</t>
  </si>
  <si>
    <t>Other Deprec</t>
  </si>
  <si>
    <t>SFP Cash bal</t>
  </si>
  <si>
    <t>Notes 11,12</t>
  </si>
  <si>
    <t xml:space="preserve">Other payables </t>
  </si>
  <si>
    <t>Staff costs from Socne to Notes 3  4</t>
  </si>
  <si>
    <t>Income check from SoCNE to Income note</t>
  </si>
  <si>
    <t>Costs from Socne to Notes 3  4</t>
  </si>
  <si>
    <t>Provisions for liabilities and charges - check to analysis of timings</t>
  </si>
  <si>
    <t>Provisions for liabilities and charges - check to analysis of timings - Clin Neg</t>
  </si>
  <si>
    <t>Titles 1</t>
  </si>
  <si>
    <t>Titles 2</t>
  </si>
  <si>
    <t>Other Provisions</t>
  </si>
  <si>
    <t>reval</t>
  </si>
  <si>
    <t>SoCNE Net (gain)/loss on revaluation of Property, Plant and Equipment - check to PPE note</t>
  </si>
  <si>
    <t>SoCNE Net (gain)/loss on Intangibles - check to Intangibles note</t>
  </si>
  <si>
    <t>Rev</t>
  </si>
  <si>
    <t>Other investing activities</t>
  </si>
  <si>
    <t>Check to Output tab</t>
  </si>
  <si>
    <t>Revenue from contracts with customers</t>
  </si>
  <si>
    <t>Contract assets</t>
  </si>
  <si>
    <t>Contract Liabilities</t>
  </si>
  <si>
    <t>Contract liabilities</t>
  </si>
  <si>
    <t>Retirement benefit obligations</t>
  </si>
  <si>
    <t xml:space="preserve">Total present value of obligations </t>
  </si>
  <si>
    <t>Taxpayers Equity</t>
  </si>
  <si>
    <t>Non current trade and other receivables</t>
  </si>
  <si>
    <t xml:space="preserve">Non current trade and other receivables </t>
  </si>
  <si>
    <t>LINK to note 9</t>
  </si>
  <si>
    <t>BSO draws down funding for BSO and FHS (Family Health service)</t>
  </si>
  <si>
    <t>Final</t>
  </si>
  <si>
    <t>to BSO</t>
  </si>
  <si>
    <t xml:space="preserve">BSO 1 cash grant </t>
  </si>
  <si>
    <t xml:space="preserve">BSO 2 cash grant </t>
  </si>
  <si>
    <t>82340 Other CGA/WGA debtor adjust</t>
  </si>
  <si>
    <t>A - Senior employees</t>
  </si>
  <si>
    <t>The structure of this file is locked with a password as it generates a standardised output sheet required for consolidation purposes that must not be changed.</t>
  </si>
  <si>
    <t>Enter The Name of your ALB in the yellow cell above.</t>
  </si>
  <si>
    <t>INSTRUCTIONS - ALBs</t>
  </si>
  <si>
    <t>enter HSC Body name here</t>
  </si>
  <si>
    <t>ALB NAME</t>
  </si>
  <si>
    <t>INPUT SHEET NOTES</t>
  </si>
  <si>
    <t>Further work is required regarding the treatment of intercompany data.</t>
  </si>
  <si>
    <t>Protect entire workbook with a password to protect the overall structure of the workbook.</t>
  </si>
  <si>
    <t>Hide sheet called "INPUT" after password protecting them</t>
  </si>
  <si>
    <t>Protect all tabs in this workbook with the same password (including input and instructions). This is required to prevent any change to descriptions / addition or deletion of fields to ensure the data can be copied directly into the Consol template.</t>
  </si>
  <si>
    <t>Once complete - take a copy (which will be saved without password protection). When the templates are issued live for 2018-19 it is proposed that the ALB can use the password free template to prepare their own accounts and will then populate the password protected template and return to HSC core finance for consolidation.</t>
  </si>
  <si>
    <t>Check over and ensure this template is complete</t>
  </si>
  <si>
    <t>INSTRUCTIONS - INTERNAL</t>
  </si>
  <si>
    <t>Version</t>
  </si>
  <si>
    <t>Narrative / Issue</t>
  </si>
  <si>
    <t>Statement / note Tab Ref</t>
  </si>
  <si>
    <t>Please add any comments regarding this template in the section below</t>
  </si>
  <si>
    <t>ALB Narrative</t>
  </si>
  <si>
    <t>Check (should be nil)</t>
  </si>
  <si>
    <t>Person Agreed with at ALB</t>
  </si>
  <si>
    <t>Date agreed with ALB</t>
  </si>
  <si>
    <t>Agreed with ALB £000</t>
  </si>
  <si>
    <t>Subtotal above</t>
  </si>
  <si>
    <t>Third Party Assets</t>
  </si>
  <si>
    <t>Financial Guarantees</t>
  </si>
  <si>
    <t>Other Financial Commitments</t>
  </si>
  <si>
    <t>PfI</t>
  </si>
  <si>
    <t>Operating Leases</t>
  </si>
  <si>
    <t>Capital Coimmitments</t>
  </si>
  <si>
    <t>Payables</t>
  </si>
  <si>
    <t>Receivables</t>
  </si>
  <si>
    <t>Assets Held For Sale</t>
  </si>
  <si>
    <t>Other Expenditure</t>
  </si>
  <si>
    <t>Non- interco Check</t>
  </si>
  <si>
    <t>The green check cells should be nil or state "Ok" - check any "errors"</t>
  </si>
  <si>
    <t>Enter Figures agreed with ALB's + date agreed and contact name at ALB, below</t>
  </si>
  <si>
    <t>This is a summary extract of the intercompany figures entered in each tab of this file; you can populate the yellow cells below to split the interco figure across each ALB where only a total is entered in the individual tabs in this file</t>
  </si>
  <si>
    <t>Impairments Intangibles</t>
  </si>
  <si>
    <t>Impairments PPE</t>
  </si>
  <si>
    <t>included in Other Expenditure below</t>
  </si>
  <si>
    <t>Staff Costs</t>
  </si>
  <si>
    <t>Intercompany transactions and balances SUMMARY</t>
  </si>
  <si>
    <t xml:space="preserve">Table 19.2 (second part) Present value of obligations </t>
  </si>
  <si>
    <t>Table 18.2 (second part) Present value of obligations - other</t>
  </si>
  <si>
    <t>Table 18.2 (first part) Present value of obligations - other</t>
  </si>
  <si>
    <t>Table 18.2 (second part) Present value of obligations - buildings</t>
  </si>
  <si>
    <t>Table 18.2 (first part) Present value of obligations - buildings</t>
  </si>
  <si>
    <t>Note 18 Commitments under leases</t>
  </si>
  <si>
    <t>Per Statement of Changes in Taxpayers Equity</t>
  </si>
  <si>
    <t>Per Statement of Comprehensive expenditure</t>
  </si>
  <si>
    <t>Comprehensive expenditure for the year</t>
  </si>
  <si>
    <t>Movement in cash balances throughout the period</t>
  </si>
  <si>
    <t>Grant In Aid per Statement of Changes in Taxpayers Equity</t>
  </si>
  <si>
    <t>Grant in Aid pre cashflow</t>
  </si>
  <si>
    <t>Grant in aid reconciliation to Statement of Changes in Taxpayers equity</t>
  </si>
  <si>
    <t>Net expenditure per Net expenditure account</t>
  </si>
  <si>
    <t>Net expenditure per cashflow</t>
  </si>
  <si>
    <t>Reconciliation of net expenditure to operating cash flows</t>
  </si>
  <si>
    <t>CASH FLOW</t>
  </si>
  <si>
    <t>Turnover per mgt costs note 3.5</t>
  </si>
  <si>
    <t>Turnover per Note 25 &amp; note 5</t>
  </si>
  <si>
    <t>BREAK EVEN PERFORMANCE</t>
  </si>
  <si>
    <t>Payables per note 14.1  &gt; 1yr</t>
  </si>
  <si>
    <t>Payables per note 14  &gt; 1yr</t>
  </si>
  <si>
    <t>Payables per note 14.1  &lt; 1yr</t>
  </si>
  <si>
    <t>Payables per note 14  &lt; 1yr</t>
  </si>
  <si>
    <t>Receivables per note 12.1 &gt; 1yr</t>
  </si>
  <si>
    <t>Receivables per note 12 &gt; 1yr</t>
  </si>
  <si>
    <t>Receivables per note 12.1 &lt; 1yr</t>
  </si>
  <si>
    <t>Receivables per note 12 &lt; 1yr</t>
  </si>
  <si>
    <t>Agreement of WGA analysis</t>
  </si>
  <si>
    <t>Provn  BS</t>
  </si>
  <si>
    <t>Movement for CTF and adjustments</t>
  </si>
  <si>
    <t>Movement per Cash Flow</t>
  </si>
  <si>
    <t>Movement per Cashflow</t>
  </si>
  <si>
    <t>Current Assets  Movements</t>
  </si>
  <si>
    <t>BALANCE SHEET</t>
  </si>
  <si>
    <t>Total impairments</t>
  </si>
  <si>
    <t>Impairment through reserves schedule</t>
  </si>
  <si>
    <t>Total Impairments</t>
  </si>
  <si>
    <t>IMPAIRMENT</t>
  </si>
  <si>
    <t>Total profit (loss) per accounts</t>
  </si>
  <si>
    <t>(Loss)/profit on disposal per net expenditure account</t>
  </si>
  <si>
    <t>(Loss)/profit on disposal (calculated)</t>
  </si>
  <si>
    <t>Intangibles - Carrying amount</t>
  </si>
  <si>
    <t>Property, plant &amp; equip - Carrying amount</t>
  </si>
  <si>
    <t>Carrying amount of disposals</t>
  </si>
  <si>
    <t>Disposal costs (key)</t>
  </si>
  <si>
    <t>Disposal proceeds - total</t>
  </si>
  <si>
    <t>Disposal proceeds - debtors (key) increase/ (decrease)</t>
  </si>
  <si>
    <t>Disposal proceeds - cash - assets for resale (cashflow)</t>
  </si>
  <si>
    <t>Disposal proceeds - cash - intangibles (cashflow)</t>
  </si>
  <si>
    <t>Disposal proceeds - cash - property, plant &amp; equip (cashflow)</t>
  </si>
  <si>
    <t>PROFIT/LOSS ON SALE OF FIXED ASSETS</t>
  </si>
  <si>
    <t>Per Statement of Comprehensive Net Expenditure</t>
  </si>
  <si>
    <t xml:space="preserve">Revaluation  &amp; index </t>
  </si>
  <si>
    <t xml:space="preserve">Total </t>
  </si>
  <si>
    <t>REVALUATION &amp; INDEXATION</t>
  </si>
  <si>
    <t>AMORTISATION</t>
  </si>
  <si>
    <t>Total Depreciation</t>
  </si>
  <si>
    <t>DEPRECIATION</t>
  </si>
  <si>
    <t>Statement of Consolidated Expenditure Reserves</t>
  </si>
  <si>
    <t>Total impairment</t>
  </si>
  <si>
    <t>Impairments charged to Statement of Comprehensive Net Expenditure as Other Comprehensive Expenditure</t>
  </si>
  <si>
    <t>Impairments charged to Statement of Comprehensive Net Expenditure within Net Expenditure</t>
  </si>
  <si>
    <t>IMPAIRMENTS</t>
  </si>
  <si>
    <t>Balance Sheet</t>
  </si>
  <si>
    <t>Carrying amount of Tangible Assets</t>
  </si>
  <si>
    <t>Income per Mgt costs note</t>
  </si>
  <si>
    <t>Total income per income note 4 less non cash cost</t>
  </si>
  <si>
    <t>Total provisions per</t>
  </si>
  <si>
    <t>Total provisions per SoFP</t>
  </si>
  <si>
    <t>Statement of Financial Position</t>
  </si>
  <si>
    <t>Analysis of expected timing of discounted cashflows table</t>
  </si>
  <si>
    <t>Movement table</t>
  </si>
  <si>
    <t>Per Provisions</t>
  </si>
  <si>
    <t>Per Operating costs</t>
  </si>
  <si>
    <t xml:space="preserve">Total Provisions </t>
  </si>
  <si>
    <t>PROVISIONS</t>
  </si>
  <si>
    <t>6.1/8/6.2/8</t>
  </si>
  <si>
    <t>5.1/8/5.2/8</t>
  </si>
  <si>
    <t>CTF</t>
  </si>
  <si>
    <t>NOTE</t>
  </si>
  <si>
    <t>Total operating income</t>
  </si>
  <si>
    <t>This account summarises the expenditure and income generated and consumed on an accruals basis.  It also includes other comprehensive income and expenditure, which includes changes to the values of non-current assets and other financial instruments that cannot yet be recognised as income or expenditure.</t>
  </si>
  <si>
    <t>FINANCIAL STATEMENTS</t>
  </si>
  <si>
    <t>Total equity</t>
  </si>
  <si>
    <t>Taxpayers' Equity and other reserves</t>
  </si>
  <si>
    <t>Total assets less total liabilities</t>
  </si>
  <si>
    <t>NIFRS only</t>
  </si>
  <si>
    <t>Total Current Liabilities</t>
  </si>
  <si>
    <t>Total Current Assets</t>
  </si>
  <si>
    <t>Total Non Current Assets</t>
  </si>
  <si>
    <t>Non Current Assets</t>
  </si>
  <si>
    <r>
      <t>This statement presents the financial position of [</t>
    </r>
    <r>
      <rPr>
        <b/>
        <sz val="10"/>
        <rFont val="Arial"/>
        <family val="2"/>
      </rPr>
      <t>HSC Body</t>
    </r>
    <r>
      <rPr>
        <sz val="10"/>
        <rFont val="Arial"/>
        <family val="2"/>
      </rPr>
      <t>].  It comprises three main components: assets owned or controlled; liabilities owed to other bodies; and equity, the remaining value of the entity.</t>
    </r>
  </si>
  <si>
    <t xml:space="preserve">Z Non cash charges - auditors remuneration   </t>
  </si>
  <si>
    <t xml:space="preserve">Z Transfer of asset ownership    </t>
  </si>
  <si>
    <t xml:space="preserve">Z (Comprehensive expenditure for the year)    </t>
  </si>
  <si>
    <t xml:space="preserve">Z Transfers between reserves    </t>
  </si>
  <si>
    <t xml:space="preserve">Z Grant from DoH    </t>
  </si>
  <si>
    <t xml:space="preserve">Z Movement - other   </t>
  </si>
  <si>
    <t xml:space="preserve">Z Non cash charges - auditors remuneration  </t>
  </si>
  <si>
    <t xml:space="preserve">Z Transfer of asset ownership   </t>
  </si>
  <si>
    <t xml:space="preserve">Z (Comprehensive expenditure for the year)  </t>
  </si>
  <si>
    <t xml:space="preserve">Z Transfers between reserves   </t>
  </si>
  <si>
    <t xml:space="preserve">Z Grant from DoH   </t>
  </si>
  <si>
    <t>Z Changes in accounting policy</t>
  </si>
  <si>
    <t>SoCNE Reserve</t>
  </si>
  <si>
    <t>for the year ended 31 March 2016</t>
  </si>
  <si>
    <t>HSC Trust Statement of Changes in Taxpayers' Equity</t>
  </si>
  <si>
    <t>The notes on pages XX to YY form part of these accounts.</t>
  </si>
  <si>
    <r>
      <t xml:space="preserve">This statement shows the movement in the year on the different reserves held by </t>
    </r>
    <r>
      <rPr>
        <b/>
        <sz val="10"/>
        <rFont val="Arial"/>
        <family val="2"/>
      </rPr>
      <t>[HSC body]</t>
    </r>
    <r>
      <rPr>
        <sz val="10"/>
        <rFont val="Arial"/>
        <family val="2"/>
      </rPr>
      <t xml:space="preserve">, analysed into the SoCNE Reserve (i.e. that reserve that reflects a contribution from the Department of Health).  The Revaluation Reserve reflects the change in asset values that have not been recognised as income or expenditure.  The SoCNE Reserve represents the total assets less liabilities of the </t>
    </r>
    <r>
      <rPr>
        <b/>
        <sz val="10"/>
        <rFont val="Arial"/>
        <family val="2"/>
      </rPr>
      <t>[HSC body]</t>
    </r>
    <r>
      <rPr>
        <sz val="10"/>
        <rFont val="Arial"/>
        <family val="2"/>
      </rPr>
      <t>, to the extent that the total is not represented by other reserves and financing items.</t>
    </r>
  </si>
  <si>
    <t>Cash &amp; cash equivalents at the end of the period</t>
  </si>
  <si>
    <t>Net increase (decrease) in cash &amp; cash equivalents in the period</t>
  </si>
  <si>
    <t>Cash proceeds - receivables are excluded</t>
  </si>
  <si>
    <t>Expenditure taken from note 6 adjusted for capital (incl PFI and other service concession arrangements) payables</t>
  </si>
  <si>
    <t>Expenditure taken from note 5 adjusted for capital (incl PFI and other service concession arrangements and other service concession arrangements) payables</t>
  </si>
  <si>
    <r>
      <rPr>
        <sz val="10"/>
        <rFont val="Arial"/>
        <family val="2"/>
      </rPr>
      <t xml:space="preserve">The Statement of Cash Flows shows the changes in cash and cash equivalents of the </t>
    </r>
    <r>
      <rPr>
        <b/>
        <sz val="10"/>
        <rFont val="Arial"/>
        <family val="2"/>
      </rPr>
      <t>[HSC Body]</t>
    </r>
    <r>
      <rPr>
        <sz val="10"/>
        <rFont val="Arial"/>
        <family val="2"/>
      </rPr>
      <t xml:space="preserve"> during the reporting period.  The statement shows how the </t>
    </r>
    <r>
      <rPr>
        <b/>
        <sz val="10"/>
        <rFont val="Arial"/>
        <family val="2"/>
      </rPr>
      <t xml:space="preserve">[HSC body] </t>
    </r>
    <r>
      <rPr>
        <sz val="10"/>
        <rFont val="Arial"/>
        <family val="2"/>
      </rPr>
      <t xml:space="preserve">generates and uses cash and cash equivalents by classifying cash flows as operating, investing and financing activities.  The amount of net cash flows arising from operating activities is a key indicator of service costs and the extent to which these operations are funded by way of income from the recipients of services provided by the </t>
    </r>
    <r>
      <rPr>
        <b/>
        <sz val="10"/>
        <rFont val="Arial"/>
        <family val="2"/>
      </rPr>
      <t xml:space="preserve">[HSC body].  </t>
    </r>
    <r>
      <rPr>
        <sz val="10"/>
        <rFont val="Arial"/>
        <family val="2"/>
      </rPr>
      <t xml:space="preserve">Investing activities represent the extent to which cash inflows and outflows have been made for resources which are intended to contribute to the </t>
    </r>
    <r>
      <rPr>
        <b/>
        <sz val="10"/>
        <rFont val="Arial"/>
        <family val="2"/>
      </rPr>
      <t>[HSC Body's]</t>
    </r>
    <r>
      <rPr>
        <sz val="10"/>
        <rFont val="Arial"/>
        <family val="2"/>
      </rPr>
      <t xml:space="preserve"> future public service delivery.</t>
    </r>
  </si>
  <si>
    <t>Revenue Resource Limit</t>
  </si>
  <si>
    <r>
      <rPr>
        <vertAlign val="superscript"/>
        <sz val="8"/>
        <rFont val="Arial"/>
        <family val="2"/>
      </rPr>
      <t xml:space="preserve">1 </t>
    </r>
    <r>
      <rPr>
        <sz val="10"/>
        <rFont val="Arial"/>
        <family val="2"/>
      </rPr>
      <t>Further detailed analysis of staff costs is located in the Staff Report on page XX within the Accountability Report.</t>
    </r>
  </si>
  <si>
    <t>Non cash items</t>
  </si>
  <si>
    <t>Operating Expenses are as follows:-</t>
  </si>
  <si>
    <t>TOTAL INCOME</t>
  </si>
  <si>
    <t>NIFRS - P</t>
  </si>
  <si>
    <t>Where the funder provides cash rather than physical assets, any difference between the cash provided and the fair value of the assets acquired should be disclosed)</t>
  </si>
  <si>
    <t>Carrying Amount</t>
  </si>
  <si>
    <t>Asset financing</t>
  </si>
  <si>
    <t>Non Inter- company CHECK</t>
  </si>
  <si>
    <t>List details (to include asset category and details of the transaction)</t>
  </si>
  <si>
    <t>Furniture and Fittings</t>
  </si>
  <si>
    <t>Information Technology (IT)</t>
  </si>
  <si>
    <t>Plant and Machinery (Equipment)</t>
  </si>
  <si>
    <t>Assets under Construction</t>
  </si>
  <si>
    <t>Buildings (excluding dwellings)</t>
  </si>
  <si>
    <t>Provided during the year</t>
  </si>
  <si>
    <t xml:space="preserve">Ok </t>
  </si>
  <si>
    <t xml:space="preserve">Non Inter- company </t>
  </si>
  <si>
    <t>Licences, Trademarks &amp; Artistic Originals</t>
  </si>
  <si>
    <t>Software Licenses</t>
  </si>
  <si>
    <t>List details (to include  category and details of the transaction)</t>
  </si>
  <si>
    <t xml:space="preserve">Impairments charged / (credited) to Statement of Comprehensive Net Expenditure </t>
  </si>
  <si>
    <t xml:space="preserve">Impairments which revaluation reserve covers (shown in Other Comprehensive Expenditure Statement) </t>
  </si>
  <si>
    <t xml:space="preserve">Total value of impairments for the period </t>
  </si>
  <si>
    <t>Total value of impairments for the period</t>
  </si>
  <si>
    <t>Number of assets per category</t>
  </si>
  <si>
    <t>Non current assets held for sale comprise non current assets that are held for resale rather than for continuing use within the business.</t>
  </si>
  <si>
    <t>Carrying amount at 31 March</t>
  </si>
  <si>
    <t>Classification</t>
  </si>
  <si>
    <t>Total liabilities from financing activities</t>
  </si>
  <si>
    <r>
      <t>Non-Cash Changes</t>
    </r>
    <r>
      <rPr>
        <i/>
        <sz val="9"/>
        <color theme="1"/>
        <rFont val="Arial"/>
        <family val="2"/>
      </rPr>
      <t xml:space="preserve"> [if applicable]</t>
    </r>
  </si>
  <si>
    <t>Cash flows</t>
  </si>
  <si>
    <t>Balance at 31st March</t>
  </si>
  <si>
    <t>The following balances at 31 March were held at</t>
  </si>
  <si>
    <t>TOTAL RECEIVABLES AND OTHER CURRENT ASSETS</t>
  </si>
  <si>
    <t>TOTAL INTANGIBLE CURRENT ASSETS</t>
  </si>
  <si>
    <t>TOTAL OTHER CURRENT ASSETS</t>
  </si>
  <si>
    <t>TOTAL TRADE AND OTHER RECEIVABLES</t>
  </si>
  <si>
    <t>Other current assets falling due after more than one year</t>
  </si>
  <si>
    <t>Amounts falling due after more than one year</t>
  </si>
  <si>
    <t>Amounts falling due within one year</t>
  </si>
  <si>
    <t xml:space="preserve">                                                                                                                          </t>
  </si>
  <si>
    <t>TOTAL TRADE PAYABLES AND OTHER CURRENT LIABILITIES</t>
  </si>
  <si>
    <t>Total non current other payables</t>
  </si>
  <si>
    <t>Total payables falling due within one year</t>
  </si>
  <si>
    <t>Other current liabilities</t>
  </si>
  <si>
    <t>details</t>
  </si>
  <si>
    <t>Details - including heading (Early Departure etc)</t>
  </si>
  <si>
    <t>Early departure</t>
  </si>
  <si>
    <t>Intercompany</t>
  </si>
  <si>
    <t>Total charge within Operating expenses</t>
  </si>
  <si>
    <t>Reversed unused</t>
  </si>
  <si>
    <t>Arising during the year</t>
  </si>
  <si>
    <t>Comprehensive Net Expenditure Account charges</t>
  </si>
  <si>
    <t>Provisions have been made for 6 types of potential liability: Clinical Negligence, Employer's and Occupier's Liability, Early Retirement, Injury Benefit,   Employment Law and  Restructuring (CSR). The provision for Early Retirement and Injury Benefit relates to the future liabilities for the Trust based on information provided by the HSC Pension Branch. For Clinical Negligence, Employer's and Occupier's claims and Employment Law the Trust has estimated an appropriate level of provision based on professional legal advice.</t>
  </si>
  <si>
    <t>Contracted capital commitments at 31 March not otherwise included in these financial statements are:</t>
  </si>
  <si>
    <t>The payments to which the Trust is committed is as follows:</t>
  </si>
  <si>
    <t>Amounts included within operating expenses in respect of the service element of on balance sheet (SoFP) PFI and other service concession arrangement transactions</t>
  </si>
  <si>
    <t xml:space="preserve">Amounts included within operating expenses in respect of off balance sheet (SoFP) PFI and other service concession arrangement transactions </t>
  </si>
  <si>
    <t>18.3 Charge to the Statement of Comprehensive Net Expenditure account and future commitments</t>
  </si>
  <si>
    <t>Total Commitments</t>
  </si>
  <si>
    <t>18.2 On balance sheet (SoFP) PFI Schemes</t>
  </si>
  <si>
    <t xml:space="preserve">Contract end date </t>
  </si>
  <si>
    <t xml:space="preserve">Contract start date </t>
  </si>
  <si>
    <t>Letter of Comfort</t>
  </si>
  <si>
    <t>The Trust has entered into the following quantifiable guarantees, indemnities or provided Letters of Comfort. None of these is a contingent liability under the meaning of IAS 37 since the likelihood of a transfer of economic benefit in settlement is too remote. They therefore fall to be measured following the requirements of IAS 39. Managing Public Money requires that the full potential costs of such contracts be reported. These costs are reproduced in the table below.</t>
  </si>
  <si>
    <t>Non Inter- company  CHECK</t>
  </si>
  <si>
    <t>Accounts Ref 1</t>
  </si>
  <si>
    <t>Accounts Ref 2</t>
  </si>
  <si>
    <t>Ref 3</t>
  </si>
  <si>
    <t>ALB Input</t>
  </si>
  <si>
    <t>ALB Input INTERCO</t>
  </si>
  <si>
    <t>Note No.</t>
  </si>
  <si>
    <t>Count</t>
  </si>
  <si>
    <t>Input Mapping  - CORE</t>
  </si>
  <si>
    <t>Linked - CORE</t>
  </si>
  <si>
    <t>DoH CORE</t>
  </si>
  <si>
    <t>Ouput Mapping - Consol Accounts</t>
  </si>
  <si>
    <t>Linked to ALB</t>
  </si>
  <si>
    <t>Input Mapping for ALB</t>
  </si>
  <si>
    <t>OK</t>
  </si>
  <si>
    <t>.</t>
  </si>
  <si>
    <t>Note 5 - SoCNE [SoCNE splits Income and finance income]</t>
  </si>
  <si>
    <t>Institute of Public Health in Ireland INPUT</t>
  </si>
  <si>
    <t>Institute of Public Health in Ireland OUTPUT</t>
  </si>
  <si>
    <t>Safefood INPUT</t>
  </si>
  <si>
    <t>Safefood OUTPUT</t>
  </si>
  <si>
    <t>Interco CONSOLIDATED</t>
  </si>
  <si>
    <t>INTERCO</t>
  </si>
  <si>
    <t>DoH Core &amp; Agencies - INTERCO (Internal)</t>
  </si>
  <si>
    <t>Tips</t>
  </si>
  <si>
    <t>Interco Consol Adjustments 3 -Sundry</t>
  </si>
  <si>
    <t>Interco Consol Adjustments 2 immaterial bals</t>
  </si>
  <si>
    <t>Interco Consol Adjustments 1 - links to Primary Statements</t>
  </si>
  <si>
    <t>Interco SUBTOTAL</t>
  </si>
  <si>
    <t>spare</t>
  </si>
  <si>
    <t>As the cash requirements of the department are met through the Estimates process, financial instruments play a more limited role in creating and managing risk than would apply to a non-public sector body of a similar size.  The majority of financial instruments relate to contracts for non-financial items in line with the Department's expected purchase and usage requirements and the Department is therefore exposed to little credit, liquidity or market risk.</t>
  </si>
  <si>
    <t>GIA Recon</t>
  </si>
  <si>
    <t>Core &amp; Agencies</t>
  </si>
  <si>
    <t>Primary Statements</t>
  </si>
  <si>
    <t>total OCI check to MAP</t>
  </si>
  <si>
    <t>[INPUT CELLS ARE HIGHLIGHTED YELLOW - PLEASE DO NOT INPUT TO ANY OTHER CELLS]</t>
  </si>
  <si>
    <t>Ok no comparative</t>
  </si>
  <si>
    <t>Ok no comparative / CHECK bank</t>
  </si>
  <si>
    <t>GIA</t>
  </si>
  <si>
    <t>SoCNE REF</t>
  </si>
  <si>
    <t>Checklist</t>
  </si>
  <si>
    <t>Template collects Fin Instruments held within the UK and outside the UK - is this needed for consol?</t>
  </si>
  <si>
    <t>Instructions for ALB template</t>
  </si>
  <si>
    <t>When adding rounding in the Map tab - add to both  primary statement and note</t>
  </si>
  <si>
    <t>Has the GIA been reconciled and adjusted within CONSOL intercompany columns?</t>
  </si>
  <si>
    <t>Checks to MAP TAB</t>
  </si>
  <si>
    <t>Issuing the ALB Template</t>
  </si>
  <si>
    <t>To extract the ALB template</t>
  </si>
  <si>
    <t>Ensure instructions are complete</t>
  </si>
  <si>
    <t>Save this new file as ALB Template….</t>
  </si>
  <si>
    <t>Ensure all tabs are locked as appropriate</t>
  </si>
  <si>
    <t>Ensure the workbook is password protected</t>
  </si>
  <si>
    <t>Ensure the MAP tab is hidden</t>
  </si>
  <si>
    <t>Charitable Trust Reserve</t>
  </si>
  <si>
    <t>e.g. BHSCT 31.03.18 SoCNE Net Expenditure = £1,398,378k but TE reports £1,398,327k (as £51k is reported in CTF Reserve in TE (£51k + £1,166 (OCI) = £1,217k in TE for CTF)</t>
  </si>
  <si>
    <t>When all updates to the ALB template in its entirety are complete, it can then be extracted for issue.</t>
  </si>
  <si>
    <t>SoCNE to TE checks for net expenditure</t>
  </si>
  <si>
    <t>[enter net spend as a positive figure]</t>
  </si>
  <si>
    <t>SFP General Fund check to SoCITE</t>
  </si>
  <si>
    <t>OCI to SoCITE (Reval Reserve)</t>
  </si>
  <si>
    <t>Reval Reserve</t>
  </si>
  <si>
    <t>OCI to SoCITE (CTF)</t>
  </si>
  <si>
    <t>SoCNE to SoCITE (SoCNE Reserve)</t>
  </si>
  <si>
    <t>Consolidated Interco Check</t>
  </si>
  <si>
    <t>Other MAP</t>
  </si>
  <si>
    <t>HSC / PHA</t>
  </si>
  <si>
    <t>OK Overdraft £1048k 31.03.18</t>
  </si>
  <si>
    <t>Reconciliation of liabilities arising from financing activities</t>
  </si>
  <si>
    <t>Analysis of Movement in New Firefighters' Pension Scheme 2007 liability</t>
  </si>
  <si>
    <t>Analysis of Movement in Firefighters' Pension Scheme 2007 liability</t>
  </si>
  <si>
    <t>Analysis of Movement in Firefighters' Pension Scheme 2015 (CARE) liability</t>
  </si>
  <si>
    <t xml:space="preserve">Notes 3/4 </t>
  </si>
  <si>
    <t>SoCITE / notes 3 + 4</t>
  </si>
  <si>
    <t>SoCITE GF</t>
  </si>
  <si>
    <t>SoCITE RR</t>
  </si>
  <si>
    <t>Spend Check to SCF</t>
  </si>
  <si>
    <t>need op CAP accruals to complete</t>
  </si>
  <si>
    <t>Trade capital Payables</t>
  </si>
  <si>
    <t>PPE / Intang checked in total above</t>
  </si>
  <si>
    <t>Consolidated Accounts</t>
  </si>
  <si>
    <t>NC</t>
  </si>
  <si>
    <t>Notes 3,4,5</t>
  </si>
  <si>
    <t>Non Cash</t>
  </si>
  <si>
    <t>SCF &amp; Notes 3,4,5</t>
  </si>
  <si>
    <t>Non Cash check</t>
  </si>
  <si>
    <t>not a check row</t>
  </si>
  <si>
    <r>
      <t xml:space="preserve">CTF adjustment to SoCNE net spend that is reported in TE - for ref only </t>
    </r>
    <r>
      <rPr>
        <b/>
        <u/>
        <sz val="11"/>
        <color theme="0"/>
        <rFont val="Calibri"/>
        <family val="2"/>
        <scheme val="minor"/>
      </rPr>
      <t>NOT</t>
    </r>
    <r>
      <rPr>
        <sz val="11"/>
        <color theme="0"/>
        <rFont val="Calibri"/>
        <family val="2"/>
        <scheme val="minor"/>
      </rPr>
      <t xml:space="preserve"> a check cell)</t>
    </r>
  </si>
  <si>
    <t>Note 3</t>
  </si>
  <si>
    <t>Note 4</t>
  </si>
  <si>
    <t>Note 3 + 4</t>
  </si>
  <si>
    <t>SoCNE Map</t>
  </si>
  <si>
    <t>MAP
Note 3 /4</t>
  </si>
  <si>
    <t>Depreciation and Amortisation</t>
  </si>
  <si>
    <t>SFP -v- Note in MAP</t>
  </si>
  <si>
    <t>Other operating expenditure to Notes 3 + 4 Other operating expenditure</t>
  </si>
  <si>
    <t xml:space="preserve">Charged in year </t>
  </si>
  <si>
    <t xml:space="preserve">Impairments transferred to Consolidated Statement of Comprehensive Net Expenditure </t>
  </si>
  <si>
    <t>Deprec recon between  notes 6 + 7 and notes 3 + 4</t>
  </si>
  <si>
    <t>Notes  6/7</t>
  </si>
  <si>
    <t>Deprec /amort / perm dim in Map note 3 +4</t>
  </si>
  <si>
    <t>Notes 6/7</t>
  </si>
  <si>
    <t xml:space="preserve">Impairments transferred to Revaluation Reserve </t>
  </si>
  <si>
    <t xml:space="preserve">Revaluations </t>
  </si>
  <si>
    <t xml:space="preserve">Balancing Adjustment </t>
  </si>
  <si>
    <t xml:space="preserve">Donations / Government grant / Lottery funding </t>
  </si>
  <si>
    <r>
      <t xml:space="preserve">Compare </t>
    </r>
    <r>
      <rPr>
        <u/>
        <sz val="11"/>
        <color theme="1"/>
        <rFont val="Calibri"/>
        <family val="2"/>
        <scheme val="minor"/>
      </rPr>
      <t>Permanent diminution</t>
    </r>
    <r>
      <rPr>
        <b/>
        <u/>
        <sz val="11"/>
        <color theme="1"/>
        <rFont val="Calibri"/>
        <family val="2"/>
        <scheme val="minor"/>
      </rPr>
      <t xml:space="preserve"> in notes 3/4 to </t>
    </r>
    <r>
      <rPr>
        <u/>
        <sz val="11"/>
        <color theme="1"/>
        <rFont val="Calibri"/>
        <family val="2"/>
        <scheme val="minor"/>
      </rPr>
      <t>Impair to SoCNE</t>
    </r>
    <r>
      <rPr>
        <b/>
        <u/>
        <sz val="11"/>
        <color theme="1"/>
        <rFont val="Calibri"/>
        <family val="2"/>
        <scheme val="minor"/>
      </rPr>
      <t xml:space="preserve"> in Notes 6/7</t>
    </r>
  </si>
  <si>
    <t>these two lines 'should not' equate</t>
  </si>
  <si>
    <t>Ok no comparatives</t>
  </si>
  <si>
    <t>see check sheet</t>
  </si>
  <si>
    <t>At the 31 March 2018 the Department has entered into various contracts to manage and maintain its Health countermeasures stockpile which, if delivered according to the terms of those contracts would result in financial comitments as shown in the table below having to be met in future years.  These contracts provide help in meeting emergency situations which may arise such as a National Pandemic flu outbreak.  There are no major financial commitments outside of these contracts.</t>
  </si>
  <si>
    <t>Other bodies</t>
  </si>
  <si>
    <t>Charged to Administration</t>
  </si>
  <si>
    <t>Charged to Programme</t>
  </si>
  <si>
    <t>Note 5</t>
  </si>
  <si>
    <t>Less capitalised staff costs</t>
  </si>
  <si>
    <t>Memorandum [not for disclosure]</t>
  </si>
  <si>
    <t>Total per SoCNE</t>
  </si>
  <si>
    <t>Add back - recoveries iro outward secondments</t>
  </si>
  <si>
    <t>Net salary costs split:</t>
  </si>
  <si>
    <t>Total permanent wages</t>
  </si>
  <si>
    <t>Total Other wages</t>
  </si>
  <si>
    <t>Capitalised wages - permanent</t>
  </si>
  <si>
    <t>Capitalised wages - other</t>
  </si>
  <si>
    <t>Deprec</t>
  </si>
  <si>
    <t>NET</t>
  </si>
  <si>
    <t>Note 6 PPE</t>
  </si>
  <si>
    <t>(-)</t>
  </si>
  <si>
    <t>Interco Consol Adjustments 5 GIA</t>
  </si>
  <si>
    <t>Interco Consol Adjustments 6 SOCNE Roll-up</t>
  </si>
  <si>
    <t>Interco Consol Adjustments 4 -Sundry</t>
  </si>
  <si>
    <t>Note 8</t>
  </si>
  <si>
    <t>Add one way transfers manually</t>
  </si>
  <si>
    <t>this is for info only</t>
  </si>
  <si>
    <t>SCF - check total to movement in cash</t>
  </si>
  <si>
    <t>SCF- check to cash note</t>
  </si>
  <si>
    <t>For Info only</t>
  </si>
  <si>
    <t>Not a check row</t>
  </si>
  <si>
    <t>(-)  Not a check row</t>
  </si>
  <si>
    <t>Note 6 PPE Cost</t>
  </si>
  <si>
    <t>Note 6 PPE Deprec</t>
  </si>
  <si>
    <t>Recon OCI Reval to PPE note</t>
  </si>
  <si>
    <t>Recon PPE note Impairment to impairment note</t>
  </si>
  <si>
    <t>Eliminate inter group Investments</t>
  </si>
  <si>
    <t>[changing the Ref numbers in yellow below will change all subsequent note numbers below and also update the relevant tabs associated with that note; if you need to change the note description it will also need to be amended in the actual note Tab so the descriptions are identical - if they are not the note Ref will not pull through to the note tab]</t>
  </si>
  <si>
    <t>MAP</t>
  </si>
  <si>
    <t>Guidelines</t>
  </si>
  <si>
    <t>File structure</t>
  </si>
  <si>
    <t>Linked to ALB INTERCO</t>
  </si>
  <si>
    <t>The list of tabs is contained in the Contents tab.</t>
  </si>
  <si>
    <t>Same applies to ALB Intercompany  data:</t>
  </si>
  <si>
    <t>The blue "MAP" tab is the key data entry / link in this file - details as follows:</t>
  </si>
  <si>
    <t>Rules</t>
  </si>
  <si>
    <r>
      <t xml:space="preserve">From ALB   "Input Mapping for ALB"    </t>
    </r>
    <r>
      <rPr>
        <i/>
        <sz val="11"/>
        <color theme="1"/>
        <rFont val="Calibri"/>
        <family val="2"/>
        <scheme val="minor"/>
      </rPr>
      <t>[copy &amp; paste]</t>
    </r>
  </si>
  <si>
    <r>
      <t xml:space="preserve">From LAB   "Input Mapping for ALB - INTERCO" </t>
    </r>
    <r>
      <rPr>
        <i/>
        <sz val="11"/>
        <color theme="1"/>
        <rFont val="Calibri"/>
        <family val="2"/>
        <scheme val="minor"/>
      </rPr>
      <t>[copy &amp; paste]</t>
    </r>
  </si>
  <si>
    <r>
      <t xml:space="preserve">To Consol Accounts - "Output Mapping - Consol Accounts"  </t>
    </r>
    <r>
      <rPr>
        <i/>
        <sz val="11"/>
        <color theme="1"/>
        <rFont val="Calibri"/>
        <family val="2"/>
        <scheme val="minor"/>
      </rPr>
      <t>[mapped]</t>
    </r>
  </si>
  <si>
    <t>The ALB template is extracted and emailed to ALB's to complete with their year-end figures and return by email. The ALB template contains a MAP tab which extracts all the data from the ALB template into a standard format. The link /Map between the ALB template and the MAP tab is column "Input Mapping for ALB" in the MAP tab - each description here is found within the ALB template and used to extract the ALB template data using SUMIF(s) formulae. The descriptions in MAP tab column "Input Mapping for ALB" should not be changed unless they are being changed in both the MAP tab and the ALB template, otherwise the data will not be picked up from the ALB tab into the MAP tab.</t>
  </si>
  <si>
    <t>The other important link in the MAP tab is in column "Output Mapping - Consol Accounts" - this column maps the ALB data within the MAP tab generate the  consolidated accounts; the description in this column exactly matches the description in the equivalent part of the consolidated accounts.</t>
  </si>
  <si>
    <t>To re-iterate the MAP tab maps data from the ALB templates to the consolidated accounts using 3 columns:</t>
  </si>
  <si>
    <t>Auditors remuneration: some of the trusts record a gross audit fee in spend note with an offsetting credit - the sum of these equates to the SoCITE audit fee e.g.  BHSCT 31/03/18 SoCITE Audit £60k =  note 3 £65k - note 3 £5credit - both mapped to audit fee in Consol spend note</t>
  </si>
  <si>
    <t>To check two tabs - move one beside the other first;</t>
  </si>
  <si>
    <t>Link the ALB template to the Update Tab</t>
  </si>
  <si>
    <t>Update the ALB template to 2018/19 dates</t>
  </si>
  <si>
    <t>End of second prior period</t>
  </si>
  <si>
    <t>End of current year</t>
  </si>
  <si>
    <t>Start of current year</t>
  </si>
  <si>
    <t>Second prior year</t>
  </si>
  <si>
    <t>Current year</t>
  </si>
  <si>
    <t>Title</t>
  </si>
  <si>
    <t>Accounts title</t>
  </si>
  <si>
    <t>Notes Title</t>
  </si>
  <si>
    <t>review</t>
  </si>
  <si>
    <t>Euro to GBP FX rate date</t>
  </si>
  <si>
    <t>The following is a List of Bodies consolidated to 31 March 2018</t>
  </si>
  <si>
    <t>Yes</t>
  </si>
  <si>
    <t>The following is an analysis of each column of the MAP tab:</t>
  </si>
  <si>
    <t>MAP Tab</t>
  </si>
  <si>
    <t>List of Bodies</t>
  </si>
  <si>
    <t xml:space="preserve">MAP Tab interco 2: - Consol intercompany data is entered by each ALB in individual ALB interco columns; this is linked to column "Interco" </t>
  </si>
  <si>
    <t>The consolidated accounts include extra columns to report intercompany data separately for the following:</t>
  </si>
  <si>
    <t>Payables Note</t>
  </si>
  <si>
    <t>Spend Notes</t>
  </si>
  <si>
    <t>Income Notes</t>
  </si>
  <si>
    <t>Receivables Note</t>
  </si>
  <si>
    <t>Grant-in-Aid (GIA) is treated as an intercompany adjustment</t>
  </si>
  <si>
    <t>MAP tab: enter the following data: ALB data, ALB intercompany data, roundings and manual intercompany adjustments</t>
  </si>
  <si>
    <t>Tip: you can remove the impact of intercompany  transactions by deleting the formula in column "Interco" in the MAP tab from row 6 down to end; the formula is saved in row 3 and can be copied back at a later stage when the pre-intercompany data has been reconciled.</t>
  </si>
  <si>
    <t>Note Core includes cash overdraft within payables not within bank asset (the check cells have been modelled to allow for this)</t>
  </si>
  <si>
    <t>NIFRS intangible assets are not revalued</t>
  </si>
  <si>
    <t>Output Mapping - Consol Accounts</t>
  </si>
  <si>
    <t>Consider generating the Primary financial statement intercompany data via a link in the ALB template- this would allow it to be pasted directly into the MAP tab  - note the data may not be complete in the ALB template and will require some manual entry in the MAP tab e.g. Investments taken out of General fund</t>
  </si>
  <si>
    <t>Check links to Core etc templates that are picked up automatically in the Input Tab of this file - e.g. name may be changed from 31 March 2018 to say 31 March 2019 - see some highlighted in yellow in mapping column</t>
  </si>
  <si>
    <t>Agree approach to intercompany data including level of materiality for consolidation purposes; there may also be consideration given to level of materiality for completion of ALB templates by each body.</t>
  </si>
  <si>
    <t>This can be used to check that the intercompany data is reconciled.</t>
  </si>
  <si>
    <t>Some of the intercompany data is entered manually e.g. into the Primary financial statements (as it is not linked to these in the ALB Template). Links are to Income, Spend, Payables and receivables</t>
  </si>
  <si>
    <t>Map description 1                         Map description 1                                         Map description 2                  Map description 2</t>
  </si>
  <si>
    <t>The following diagram shows the link between the ALB template, the MAP tab and the Consol Accounts</t>
  </si>
  <si>
    <t>Tip</t>
  </si>
  <si>
    <t>The MAP tab contains each line of the consolidated accounts, list in a  vertical linear format. It provides a mapping from the ALB template and to the Consolidated accounts</t>
  </si>
  <si>
    <t>(copy and paste Loss-Profit on Disposal cell down to bottom to refresh list</t>
  </si>
  <si>
    <t>Note Numbers</t>
  </si>
  <si>
    <t>List of Tabs in this file</t>
  </si>
  <si>
    <t>Grant-in-Aid reconciliation</t>
  </si>
  <si>
    <t>Tabs</t>
  </si>
  <si>
    <t>Contents tab - lists all tabs in this file - to update the list copy cell in the list "Loss-Profit on Disposal" and paste down to bottom of the list</t>
  </si>
  <si>
    <t>Key tab - lists key to colours used within the file</t>
  </si>
  <si>
    <t>Check 2 - detailed check linked to Map with analyses at ALB level</t>
  </si>
  <si>
    <t>MAP - mapping document which links ALB data to consolidated accounts</t>
  </si>
  <si>
    <t>ALB template various tabs</t>
  </si>
  <si>
    <t>GIA - this is a reconciliation for grant in aid from ALB accounts to the DoH GIA total - data is linked from MAP tab and manually input (received from DoH Core finance department)</t>
  </si>
  <si>
    <t>Check 1  - summary checks linked to individual primary statements and notes</t>
  </si>
  <si>
    <t>Guide - this tab to provide guidance on the use of this file</t>
  </si>
  <si>
    <t>Consolidated Accounts various tabs</t>
  </si>
  <si>
    <t>A list of MAP tab column headings in included later in this guide.</t>
  </si>
  <si>
    <t>When the ALB returns the completed ALB template, copy the map TAB column titled "Linked to ALB" and paste special values into the MAP tab in this consul file into the column for that ALB with the header "ALB input". This replicates the key ALB financial data in the consul file. There is one column for each ALB.</t>
  </si>
  <si>
    <t>From each returned ALB template, copy the map TAB column titled "Linked to ALB INTERCO" and paste special values into the MAP tab in this consul file into the column for that ALB with header "ALB input INTERCO". This replicates the key ALB Interco financial data in the consul file.  There is one column for each ALB.</t>
  </si>
  <si>
    <t>Intercompany adjustments in yellow highlighted cells are manually keyed in and those in blue cells are entered as formulae; when setting up a new year the manual entries should be removed/ replaced and the formulae checked for completeness</t>
  </si>
  <si>
    <t>Ensure CONSOL template and all linked files (at 2017/18 the only linked file is the Core accounts file) are open when any changes are being made to the consul or linked files.</t>
  </si>
  <si>
    <t>Ensure linked files and this file are saved as .xlsx to maintain integrity of inter-file links.</t>
  </si>
  <si>
    <t>Check all externally linked files by using Data - edit links from the menu - this will provide a list of externally linked files (check to ensure no new external links have been created inadvertently)</t>
  </si>
  <si>
    <t>Review reporting lines within ALB template and reduce if required (e.g. spend lines could be reduced)</t>
  </si>
  <si>
    <t>NS B tab- used to split IPHI accounts for consolidation and convert to sterling - (may not be required?)</t>
  </si>
  <si>
    <t>This document (referred to as 'Consol file' / 'consul') contains the ALB accounts template and the Consolidated accounts template and other working tabs.</t>
  </si>
  <si>
    <t>Copy and paste from ALB template MAP tab to Consol MAP tab - maps to output column and  creates consul accounts.</t>
  </si>
  <si>
    <t>The external intercompany transactions within this file are separately reported in the primary statements and main notes impacted: Income, Spend, Payables, Receivables</t>
  </si>
  <si>
    <t>Ensure any changes in MAP, ALB template and Consol accounts tabs are changed across each of these tabs as appropriate</t>
  </si>
  <si>
    <t>VIP</t>
  </si>
  <si>
    <t>Title headings should be manually updated within Notes tabs; the note reference number will then automatically update from the Update tab</t>
  </si>
  <si>
    <t>To change years and dates manually adjust within the "Updates" and note within MAP tab</t>
  </si>
  <si>
    <t>Some ALB's prepare their individual accounts in £ not £'000 - (refer to list of bodies below) - ensure they have completed the ALB templates in £000s</t>
  </si>
  <si>
    <t>Ensure ALB's do not include internal intercompany transactions in the ALB template as External intercompany transactions i.e. the only intercompany transactions recorded should be in relation to those with other ALB's individually listed for consolidation in this consol file (and in the ALB template).</t>
  </si>
  <si>
    <t>For core and agencies (PHA and board) there are 2 intercompany requirements - internal (amongst the 3 bodies) and external between the combined 3 bodies and other bodies in the wider group; how are the internal Interco totals to be recorded?</t>
  </si>
  <si>
    <t>Check the Signage of any manually entered intercompany data.</t>
  </si>
  <si>
    <t>To access a tab quickly:  right click above &lt;  &gt; in the bottom menu bar and select appropriate tab.</t>
  </si>
  <si>
    <t>Checks and Tips</t>
  </si>
  <si>
    <t>Anomalies</t>
  </si>
  <si>
    <t>No comparatives to enable check of SCF movements</t>
  </si>
  <si>
    <t>Has the ALB Interco summary been reviewed for entries that do not consolidate? I.e. outside perimeter of Payables, Receivables, Income and Spend if so agreed</t>
  </si>
  <si>
    <t>Have Interco values been included?</t>
  </si>
  <si>
    <t>Are all ALB's entered in £k ?</t>
  </si>
  <si>
    <t>Have all ALBs been included?</t>
  </si>
  <si>
    <t>Have all narrative entries been reviewed and included within Consol accounts as appropriate?</t>
  </si>
  <si>
    <t>Have SOAS and related notes been reconciled?</t>
  </si>
  <si>
    <t>Has segmental reporting been reconciled?</t>
  </si>
  <si>
    <t>reported in Individual resource a/cs in £ not £k</t>
  </si>
  <si>
    <t>The trusts deduct Charitable Trust Fund (CTF) Net spend from the Total Net expenditure in the SoCNE in calculating the Comprehensive expenditure to report in the Taxpayers Equity (TE) under SoCNE Reserve - effectively a reconciling figure; this has now been incorporated into the ALB template to capture it as a memo item and included within the Check Sheet; ALB Instructions sheet has been updated (# 39) to reflect this .</t>
  </si>
  <si>
    <t>O/S IPHI and Safefood - part linked - see separate input columns in Mapping tab to allow conversion from £ to £k, € to £k and % allocation to the department</t>
  </si>
  <si>
    <t>Re-link to current core tab</t>
  </si>
  <si>
    <t>The ALB template is a series of tabs beginning with the prefix "ALB" and coloured yellow; they are all located to the right of this file; in addition the blue MAP tab forms part of the ALB template.</t>
  </si>
  <si>
    <t>You may also need to add additional checks into the 'CHECK' tabs; dummy data should be tested through the new link and  the results reviewed to ensure the data is being picked up and reported correctly.</t>
  </si>
  <si>
    <t>You may which to update instructions in relation to the new note / amended note.</t>
  </si>
  <si>
    <t>Annual changes are made to the ALB template in accordance with FReM. Any changes to the template should be reflected in tab "MAP" and in the Consol accounts tabs within this file (ensure all linked files e.g. the Final Core Template) are open when making changes to the MAP tab to maintain the integrity of the links.</t>
  </si>
  <si>
    <t>E.g. if a new note is added to the ALB template or a note is changed in the ALB template, this will need to be added / inserted into the MAP tab at the appropriate position (all notes are numbered) (Columns J,K,L) and linked to the ALB template ; the new note / note amendments will need to be created either in an existing note tab or a new note tab to form part  of the Consol Accounts also as appropriate by creating an output mapping in the MAP tab (Columns C,D,E).</t>
  </si>
  <si>
    <t>Save this file first.</t>
  </si>
  <si>
    <t>Then save a copy of this file.</t>
  </si>
  <si>
    <t>This new workbook should be protected and can be emailed to ALB's for completion.</t>
  </si>
  <si>
    <r>
      <t xml:space="preserve">Highlight all tabs ALB template tabs and the MAP tab and right click and select create a </t>
    </r>
    <r>
      <rPr>
        <b/>
        <u/>
        <sz val="11"/>
        <color theme="1"/>
        <rFont val="Calibri"/>
        <family val="2"/>
        <scheme val="minor"/>
      </rPr>
      <t>copy</t>
    </r>
    <r>
      <rPr>
        <sz val="11"/>
        <color theme="1"/>
        <rFont val="Calibri"/>
        <family val="2"/>
        <scheme val="minor"/>
      </rPr>
      <t xml:space="preserve"> of the tabs in a new file ; DO NOT MOVE TABS.</t>
    </r>
  </si>
  <si>
    <t>The MAP tab contains each line of the consolidated accounts, starting with primary statements and then notes and disclosures in a  vertical linear format. It provides a mapping in from the ALB template and out to the Consolidated accounts.</t>
  </si>
  <si>
    <t>Queries tab - lists any queries as they arise for further consideration</t>
  </si>
  <si>
    <t>Update Tab - used to update dates in a central location - these then automatically update the MAP tab and consol accounts</t>
  </si>
  <si>
    <t>Adjustments - additional adjustment columns can be added as required to the MAP tab e.g. if you want one column for each adjustment - simply insert a column within the MAP tab in the adjustments column area</t>
  </si>
  <si>
    <t>DoH Core anomaly - DoH reports the signage in the parts of the SoCNE and SFP differently to the ALB's - the formula in the consolidation column "DoH Core &amp; Agencies" in Map tab has been adjusted to allow for this (highlighted in light blue); consider changing the way the DoH accounts are reported?</t>
  </si>
  <si>
    <r>
      <t xml:space="preserve">IPHI and Safefood are entered slightly differently in MAP tab; they have an extra input column each [Institute of Public Health in Ireland INPUT] [ Safefood INPUT] which generates a separate output column each [Institute of Public Health in Ireland OUTPUT] [ Safefood OUTPUT] - the purpose of this is to apply a % adjustment relating to DoH NI share and a conversion from EU to Sterling [linked to parameters within the Update tab]; these output columns are directly added to the IPHI and Safefood Input columns in MAP to consolidate them </t>
    </r>
    <r>
      <rPr>
        <b/>
        <sz val="11"/>
        <color theme="1"/>
        <rFont val="Calibri"/>
        <family val="2"/>
        <scheme val="minor"/>
      </rPr>
      <t>(Note - no data has been entered  for IPHI or Safefood in 2017/18 consolidation);</t>
    </r>
  </si>
  <si>
    <t>The net total of all External intercompany adjustments should be nil at each primary account level except for NIAS loan from DoH £2,261k (recorded as liability in NIAS and Non Current Investment in Core) and GIA (recorded as spend in Core and Reserve movement in ALBs) at 31/03/18; this is a useful check that the intercompany entries are balanced and can be viewed in the intercompany columns of the consolidated accounts tabs.</t>
  </si>
  <si>
    <r>
      <t xml:space="preserve">ALB input Intercompany entries are the actual amount of the intercompany transaction e.g. if ALB 1 purchases goods of £5,000 from ALB 2 this is entered as +£5000 in the ALB template- i.e. the intercompany transaction is recorded as the  same signage as it would in the accounts before adjustment. This =has been noted in the ALB template instructions; Note the adjusting entry (i.e. opposite signage) is entered in the two interco tabs "Interco" and "DoH Core &amp; Agencies - INTERCO (Internal)" in the Map tab as they are added into their respective consolidations. </t>
    </r>
    <r>
      <rPr>
        <b/>
        <sz val="11"/>
        <color theme="1"/>
        <rFont val="Calibri"/>
        <family val="2"/>
        <scheme val="minor"/>
      </rPr>
      <t>[Note variations in signage reported in Core SoCNE and SFP to other ALB's].</t>
    </r>
  </si>
  <si>
    <t>Ensure there is a record of when the version of the ALB template data that has been pasted into the MAP tab - e.g. possibly enter the date that the ALB template file was received  above the input column in row 2 of the MAP tab?</t>
  </si>
  <si>
    <t>To check which tabs in this file are protected got the menu and select File - Info : this will produce a list of protected tabs</t>
  </si>
  <si>
    <t>Ensure all manual entries (roundings, interco etc which should be highlighted in yellow are removed from MAP tab before using the model for a new financial year.</t>
  </si>
  <si>
    <t>If you need to amend data for an ALB it may be better to amend within a copy of the ALB template received from the ALB as all subtotals and totals will feed through from the amendment.</t>
  </si>
  <si>
    <t>Manually review narrative fields in MAP tab (highlighted in yellow - possibly use filter) and add into consolidated accounts as appropriate.</t>
  </si>
  <si>
    <t>Are all check sheets nil / differences explained and acceptable?</t>
  </si>
  <si>
    <t>Consider how to review the narrative data captured</t>
  </si>
  <si>
    <t>OCI to Note 6 recon - emt SD, KB 19/03/19</t>
  </si>
  <si>
    <t>No comparatives</t>
  </si>
  <si>
    <t>Totals</t>
  </si>
  <si>
    <t>Check to Notes 11/12 cash</t>
  </si>
  <si>
    <t>Balances as at 31 March 2017</t>
  </si>
  <si>
    <t>Balances as at 31 March 2018</t>
  </si>
  <si>
    <t>11 Cash and cash equivalents</t>
  </si>
  <si>
    <t>DoH  Core includes cash overdraft within payables not within bank asset (the check cells have been modelled to allow for this). Note 11 includes a manual entry of the Core overdraft amount to complete the green check cell.</t>
  </si>
  <si>
    <t>17 Finance Leases</t>
  </si>
  <si>
    <t>For info : sometimes the same description appears twice in the MAP tab e.g. Note 6 Cost disposals and Depreciation disposals - to differentiate these to ensure the Sum if formula works, a space is added after depreciation disposals_ [note: comment added into cell = "space" where a space(s) has been added to a mapping reference].</t>
  </si>
  <si>
    <t>Use adjustments column to add Post-consolidation adjustments</t>
  </si>
  <si>
    <t>Tab Note 6 Impair check is to be reviewed</t>
  </si>
  <si>
    <t>Tab Note 15 prov check is to be reviewed</t>
  </si>
  <si>
    <t>NS B- sample working used to determine the split of IPHI accounts for consolidation and convert to sterling - (may not become redundant if an ALB template is completed for IPHI and Safefood)</t>
  </si>
  <si>
    <t>Use the roundings column to add consolidation roundings</t>
  </si>
  <si>
    <t>Accounts ref 1 column within the MAP tab is vertically linked i.e. only change first sub heading description and this will auto update the appropriate cells below</t>
  </si>
  <si>
    <t>Rows and columns are grouped in consol file: use the [+] in the left and upper menu bars to reduce the number of rows / columns for printing.</t>
  </si>
  <si>
    <t>Inventories £35m - any breakdown required?</t>
  </si>
  <si>
    <t>ALB contains 3 tabs coloured brown - for NIFRS pension only</t>
  </si>
  <si>
    <t>LOSS-PROFIT ON DISPOSAL</t>
  </si>
  <si>
    <t>CFER RECONCILIATION</t>
  </si>
  <si>
    <t>A - Compensation packages</t>
  </si>
  <si>
    <t>A - Losses &amp; special payments</t>
  </si>
  <si>
    <t>SAS</t>
  </si>
  <si>
    <t>SOAS 1</t>
  </si>
  <si>
    <t>Note 2</t>
  </si>
  <si>
    <t>Note 2.1</t>
  </si>
  <si>
    <t>Note 6 Impair Check</t>
  </si>
  <si>
    <t>Note 15 prov check</t>
  </si>
  <si>
    <t>Guide</t>
  </si>
  <si>
    <t>Update</t>
  </si>
  <si>
    <t>NS B</t>
  </si>
  <si>
    <t>CHECK 1</t>
  </si>
  <si>
    <t>CHECK 2</t>
  </si>
  <si>
    <t>Key</t>
  </si>
  <si>
    <t>TE</t>
  </si>
  <si>
    <t>Note 6.4</t>
  </si>
  <si>
    <t>Notes 9 &amp; 10</t>
  </si>
  <si>
    <t>Notes 11 &amp; 12</t>
  </si>
  <si>
    <t>Note 13</t>
  </si>
  <si>
    <t>Note 14</t>
  </si>
  <si>
    <t>Note 15</t>
  </si>
  <si>
    <t>Note 16.1</t>
  </si>
  <si>
    <t>Note 17</t>
  </si>
  <si>
    <t>Note 18</t>
  </si>
  <si>
    <t>Note 19</t>
  </si>
  <si>
    <t>Note 20</t>
  </si>
  <si>
    <t>Note 21</t>
  </si>
  <si>
    <t>Note 22</t>
  </si>
  <si>
    <t>-------ALB to the right--------</t>
  </si>
  <si>
    <t>alb Instructions</t>
  </si>
  <si>
    <t>alb Narrative</t>
  </si>
  <si>
    <t>alb Check Sheet</t>
  </si>
  <si>
    <t>alb A - Losses &amp; special pay</t>
  </si>
  <si>
    <t>alb A - Compensation packages</t>
  </si>
  <si>
    <t>alb SoCNE</t>
  </si>
  <si>
    <t>alb SFP</t>
  </si>
  <si>
    <t>alb SoCITE</t>
  </si>
  <si>
    <t>alb SCF</t>
  </si>
  <si>
    <t>alb Note 8 - Impairments</t>
  </si>
  <si>
    <t>alb Note 15 - Provisions CY</t>
  </si>
  <si>
    <t>alb Note 15 - Provisions PY</t>
  </si>
  <si>
    <t>alb Note 17.3 Lessor Commitment</t>
  </si>
  <si>
    <t>alb Note 18 - Commitments PFI</t>
  </si>
  <si>
    <t>**VIP**</t>
  </si>
  <si>
    <t>Impairments -£36k - not split between PPE , Intangible and Fin Assets e.g. HSC Board - add Fin Assets into ALB template</t>
  </si>
  <si>
    <t>Revenue from contract with customers</t>
  </si>
  <si>
    <t xml:space="preserve">Accommodation costs </t>
  </si>
  <si>
    <t>CORE</t>
  </si>
  <si>
    <t>Other changes</t>
  </si>
  <si>
    <t>The total amount charged in the Statement of Comprehensive Net Expenditure in respect of off-balance sheet (SoFP) PFI or other service concession transactions was</t>
  </si>
  <si>
    <t>The total amount charged in the Statement of Comprehensive Net Expenditure in respect of on-balance sheet (SoFP) PFI or other service concession transactions was</t>
  </si>
  <si>
    <t>Impair tsf to socne</t>
  </si>
  <si>
    <r>
      <t xml:space="preserve">Compare </t>
    </r>
    <r>
      <rPr>
        <u/>
        <sz val="11"/>
        <color theme="1"/>
        <rFont val="Calibri"/>
        <family val="2"/>
        <scheme val="minor"/>
      </rPr>
      <t>Permanent diminution</t>
    </r>
    <r>
      <rPr>
        <b/>
        <u/>
        <sz val="11"/>
        <color theme="1"/>
        <rFont val="Calibri"/>
        <family val="2"/>
        <scheme val="minor"/>
      </rPr>
      <t xml:space="preserve"> in notes 6/7</t>
    </r>
    <r>
      <rPr>
        <u/>
        <sz val="11"/>
        <color theme="1"/>
        <rFont val="Calibri"/>
        <family val="2"/>
        <scheme val="minor"/>
      </rPr>
      <t xml:space="preserve"> to Impair to SoCNE</t>
    </r>
    <r>
      <rPr>
        <b/>
        <u/>
        <sz val="11"/>
        <color theme="1"/>
        <rFont val="Calibri"/>
        <family val="2"/>
        <scheme val="minor"/>
      </rPr>
      <t xml:space="preserve"> in Note 8</t>
    </r>
  </si>
  <si>
    <t>Impair tsf to Reval Reserve</t>
  </si>
  <si>
    <t>subtotal</t>
  </si>
  <si>
    <t>OTHER COMPREHENSIVE NET EXPENDITURE</t>
  </si>
  <si>
    <t>Items which will not be reclassified to net operating expenditure:</t>
  </si>
  <si>
    <t>Items that may be reclassified to net operating expenditure:</t>
  </si>
  <si>
    <t xml:space="preserve">COMPREHENSIVE NET EXPENDITURE for the year ended 31 March </t>
  </si>
  <si>
    <t>General fund</t>
  </si>
  <si>
    <t>Adjustments for non-cash transactions</t>
  </si>
  <si>
    <t>Less movements in receivables relating to items not passing through the SoCNE</t>
  </si>
  <si>
    <t>Less movements in payables relating to items not passing through the SoCNE</t>
  </si>
  <si>
    <t>Start of prior period</t>
  </si>
  <si>
    <t>(Profit) / Loss on disposal of intangibles</t>
  </si>
  <si>
    <t>(Profit) / Loss on disposal of property, plant and equipment</t>
  </si>
  <si>
    <t>5.2 Other Operating Income</t>
  </si>
  <si>
    <t>Permanent Diminution in value</t>
  </si>
  <si>
    <t>Total revenue from contracts with customers</t>
  </si>
  <si>
    <t>Revenue from patient care activities</t>
  </si>
  <si>
    <t>Other contract income</t>
  </si>
  <si>
    <t>Other Operating Income</t>
  </si>
  <si>
    <t>Total Income from contracts</t>
  </si>
  <si>
    <t>Total Other Operating Income</t>
  </si>
  <si>
    <t xml:space="preserve">Interest receivable and other similar income </t>
  </si>
  <si>
    <t xml:space="preserve">Other non contract income </t>
  </si>
  <si>
    <t xml:space="preserve">Charitable and other contributions </t>
  </si>
  <si>
    <t xml:space="preserve">National Insurance contributions </t>
  </si>
  <si>
    <t xml:space="preserve">Accrued Income </t>
  </si>
  <si>
    <t>Current assets</t>
  </si>
  <si>
    <t xml:space="preserve">Trade &amp; other receivables </t>
  </si>
  <si>
    <t>Cash &amp; cash equivalents</t>
  </si>
  <si>
    <t xml:space="preserve">Other liabilities </t>
  </si>
  <si>
    <t xml:space="preserve">Financial liabilities </t>
  </si>
  <si>
    <t>Taxpayers' equity and other reserves</t>
  </si>
  <si>
    <t>n/aa</t>
  </si>
  <si>
    <t>Items that will not be reclassified to net operating expenditure:</t>
  </si>
  <si>
    <t>Items which may be reclassified to net operating expenditure:</t>
  </si>
  <si>
    <t>Comprehensive Net Expenditure for the year</t>
  </si>
  <si>
    <t>Contracts</t>
  </si>
  <si>
    <t>On-balance sheet (SoFP) PFI and other service concession arrangements</t>
  </si>
  <si>
    <t>On B/S (SoFP) PFI and other service concession arrangements</t>
  </si>
  <si>
    <t>Department</t>
  </si>
  <si>
    <t>Other designated bodies</t>
  </si>
  <si>
    <t>Trade receivables, financial and other assets</t>
  </si>
  <si>
    <t>contract assets</t>
  </si>
  <si>
    <t>Staff Costs exclude £K charged to capital projects during the year</t>
  </si>
  <si>
    <t>Core department</t>
  </si>
  <si>
    <t xml:space="preserve">Core Department </t>
  </si>
  <si>
    <t xml:space="preserve">Agencies </t>
  </si>
  <si>
    <t xml:space="preserve">Total net costs </t>
  </si>
  <si>
    <t>Total Number of Losses</t>
  </si>
  <si>
    <t>Total Value of Losses</t>
  </si>
  <si>
    <t>Losses</t>
  </si>
  <si>
    <t>Consol</t>
  </si>
  <si>
    <r>
      <t>Less recoveries in respect of outward secondments (</t>
    </r>
    <r>
      <rPr>
        <i/>
        <sz val="10"/>
        <rFont val="Arial"/>
        <family val="2"/>
      </rPr>
      <t>enter as positive number</t>
    </r>
    <r>
      <rPr>
        <sz val="10"/>
        <rFont val="Arial"/>
        <family val="2"/>
      </rPr>
      <t>)</t>
    </r>
  </si>
  <si>
    <t>Name of valuer</t>
  </si>
  <si>
    <t>Qualification of valuer</t>
  </si>
  <si>
    <t>What Assets were valued</t>
  </si>
  <si>
    <t>No of assets donated in year</t>
  </si>
  <si>
    <t>Donated Assets from a RELATED PARTY</t>
  </si>
  <si>
    <t>Consolidated property, plant and equipment 2018-19</t>
  </si>
  <si>
    <t>NARRATIVE - Donated assets from Related party</t>
  </si>
  <si>
    <t>not linked</t>
  </si>
  <si>
    <t>Name of Donor (if RELATED PARTY only)</t>
  </si>
  <si>
    <t>NARRATIVE - Valuation of assets</t>
  </si>
  <si>
    <t>NARRATIVE - Donation - cash versus value</t>
  </si>
  <si>
    <t>The total amount charged in the Statement of Comprehensive Net Expenditure in respect of the service element of on-balance sheet (SoFP) PFI or other service concession transactions was:</t>
  </si>
  <si>
    <t>Total future obligations under on-balance sheet PFI and other service concession arrangements are given in the table below for each of the following periods:</t>
  </si>
  <si>
    <t>os</t>
  </si>
  <si>
    <t>[should be nil]</t>
  </si>
  <si>
    <t>Losses Statement</t>
  </si>
  <si>
    <t>Total Number of Special Payments</t>
  </si>
  <si>
    <t>Total Value of Special Payments</t>
  </si>
  <si>
    <t>Medical Equipment</t>
  </si>
  <si>
    <t>Total Losses</t>
  </si>
  <si>
    <t>check for losses</t>
  </si>
  <si>
    <t>Other Payments Narrative</t>
  </si>
  <si>
    <t>check for  Spec Pays</t>
  </si>
  <si>
    <t>Goods and services</t>
  </si>
  <si>
    <t>Loss / (Profit) on disposal of property, plant and equipment</t>
  </si>
  <si>
    <t>Loss / (Profit) on disposal of intangibles</t>
  </si>
  <si>
    <t>NARRATIVE - purchase of non-audit services - name of auditor</t>
  </si>
  <si>
    <t>Name of Auditor</t>
  </si>
  <si>
    <t>Total cost of non-audit services</t>
  </si>
  <si>
    <t>list services received and details of cost.</t>
  </si>
  <si>
    <r>
      <rPr>
        <vertAlign val="superscript"/>
        <sz val="8"/>
        <rFont val="Arial"/>
        <family val="2"/>
      </rPr>
      <t xml:space="preserve">1 </t>
    </r>
    <r>
      <rPr>
        <sz val="10"/>
        <rFont val="Arial"/>
        <family val="2"/>
      </rPr>
      <t xml:space="preserve">Further detailed analysis of staff costs is located in the Staff Report on page </t>
    </r>
    <r>
      <rPr>
        <b/>
        <sz val="10"/>
        <color rgb="FFFF0000"/>
        <rFont val="Arial"/>
        <family val="2"/>
      </rPr>
      <t>XX</t>
    </r>
    <r>
      <rPr>
        <sz val="10"/>
        <rFont val="Arial"/>
        <family val="2"/>
      </rPr>
      <t xml:space="preserve"> within the Accountability Report.</t>
    </r>
  </si>
  <si>
    <t>During the year the following non audit services were purchased from the auditor:</t>
  </si>
  <si>
    <t>During the year the following non audit services from the auditor:</t>
  </si>
  <si>
    <t xml:space="preserve">Male </t>
  </si>
  <si>
    <t xml:space="preserve">Female </t>
  </si>
  <si>
    <t>Employees</t>
  </si>
  <si>
    <t>Financial Year</t>
  </si>
  <si>
    <t>Average total number of staff</t>
  </si>
  <si>
    <t>Total days lost</t>
  </si>
  <si>
    <t>Average working days lost per person</t>
  </si>
  <si>
    <t>Absence rate</t>
  </si>
  <si>
    <t>Off-payroll engagements</t>
  </si>
  <si>
    <t>Number of off-payroll engagements at 1 April</t>
  </si>
  <si>
    <t>Number of senior staff (or equivalent) by band</t>
  </si>
  <si>
    <t>Pay Band*</t>
  </si>
  <si>
    <t>Number of senior staff (or equivalent)</t>
  </si>
  <si>
    <t>£55,000 - £60,000</t>
  </si>
  <si>
    <t>£60,000 - £65,000</t>
  </si>
  <si>
    <t>£65,000 - £70,000</t>
  </si>
  <si>
    <t>£70,000 - £75,000</t>
  </si>
  <si>
    <t>£75,000 - £80,000</t>
  </si>
  <si>
    <t>£80,000 - £85,000</t>
  </si>
  <si>
    <t>£85,000 - £90,000</t>
  </si>
  <si>
    <t>£90,000 - £95,000</t>
  </si>
  <si>
    <t>£95,000 - £100,000</t>
  </si>
  <si>
    <t>£100,000 - £105,000</t>
  </si>
  <si>
    <t>£105,000 - £110,000</t>
  </si>
  <si>
    <t>£110,000 - £115,000</t>
  </si>
  <si>
    <t>£115,000 - £120,000</t>
  </si>
  <si>
    <t>£120,000 - £125,000</t>
  </si>
  <si>
    <t>£125,000 - £130,000</t>
  </si>
  <si>
    <t>£130,000 - £135,000</t>
  </si>
  <si>
    <t>£135,000 - £140,000</t>
  </si>
  <si>
    <t>£140,000 - £145,000</t>
  </si>
  <si>
    <t>£145,000 - £150,000</t>
  </si>
  <si>
    <t>£150,000 - £155,000</t>
  </si>
  <si>
    <t>£155,000 - £160,000</t>
  </si>
  <si>
    <t>£160,000 - £165,000</t>
  </si>
  <si>
    <t>£165,000 - £170,000</t>
  </si>
  <si>
    <t>£170,000 - £175,000</t>
  </si>
  <si>
    <t>£175,000 - £180,000</t>
  </si>
  <si>
    <t>£180,000 - £185,000</t>
  </si>
  <si>
    <t>£185,000 - £190,000</t>
  </si>
  <si>
    <t>£190,000 - £195,000</t>
  </si>
  <si>
    <t>£195,000 - £200,000</t>
  </si>
  <si>
    <t>Senior Management (excl. Board Members)</t>
  </si>
  <si>
    <t>Board Members (incl. NED Members)</t>
  </si>
  <si>
    <t>Male</t>
  </si>
  <si>
    <t>Female</t>
  </si>
  <si>
    <t>Current Year</t>
  </si>
  <si>
    <t>Previous Year</t>
  </si>
  <si>
    <t>Average total number of staff - current year</t>
  </si>
  <si>
    <t>Total days lost - current year</t>
  </si>
  <si>
    <t>Average working days lost per person - current year</t>
  </si>
  <si>
    <t>Absence rate - current year</t>
  </si>
  <si>
    <t>Average total number of staff - previous year</t>
  </si>
  <si>
    <t>Total days lost - previous year</t>
  </si>
  <si>
    <t>Average working days lost per person - previous year</t>
  </si>
  <si>
    <t>Absence rate - previous year</t>
  </si>
  <si>
    <t>Comparative figures must be completed (as these are required for various calculations).</t>
  </si>
  <si>
    <t>Hide sheet called "alb Instructions" after password protecting them</t>
  </si>
  <si>
    <t>Tab "MAP" Column K would be the primary column to be copied back into Consol Template</t>
  </si>
  <si>
    <t>Column K of tab "MAP" is an extract of the data from this file for upload to Consol Template (pre intercompany adjustments)</t>
  </si>
  <si>
    <t>Column K of tab "MAP" is an extract of the INTERCOMPANY data from this file (without the narrative)</t>
  </si>
  <si>
    <t>Where a disclosure made in the accounts does not have an equivalent heading in this file use the most appropriate heading - e.g. some ALB's have additional disclosure lines within expenditure in their accounts.</t>
  </si>
  <si>
    <t>The sole purpose of this template is to capture ALB data in a format that will facilitate the preparation of the consolidated accounts.</t>
  </si>
  <si>
    <r>
      <t xml:space="preserve">Enter amounts in £000's unless otherwise indicated within the template. </t>
    </r>
    <r>
      <rPr>
        <b/>
        <sz val="11"/>
        <rFont val="Arial"/>
        <family val="2"/>
      </rPr>
      <t>Some Annual accounts are reported in £ not £'000 : please convert to £'000 when entering into this template</t>
    </r>
    <r>
      <rPr>
        <sz val="11"/>
        <rFont val="Arial"/>
        <family val="2"/>
      </rPr>
      <t>.</t>
    </r>
  </si>
  <si>
    <t xml:space="preserve">Signage - enter the data in the same signage (positive or negative) as reported in your Accounts. </t>
  </si>
  <si>
    <t>Not part of the Accounts</t>
  </si>
  <si>
    <t>Consultancy Costs</t>
  </si>
  <si>
    <t>Consultancy costs</t>
  </si>
  <si>
    <t>The assets held at the reporting period date to which it was practical to ascribe monetary values comprised [insert as relevant, for example: monetary assets, such as bank balances and monies on deposit, and listed securities].  They are set out in the table below.</t>
  </si>
  <si>
    <r>
      <t xml:space="preserve">Other significant assets held at the reporting period date to which it was not practical to ascribe monetary values comprised </t>
    </r>
    <r>
      <rPr>
        <sz val="10"/>
        <rFont val="Arial"/>
        <family val="2"/>
      </rPr>
      <t>[insert details of any investments in unlisted non monetary financial assets and of physical assets].</t>
    </r>
  </si>
  <si>
    <t>Charitable Trust Fund net expenditure added back to SoCNE for TE purposes</t>
  </si>
  <si>
    <t>List any unquantifiable contingent liabilities with explanatory narrative including why the contingent liability is unquantifiable</t>
  </si>
  <si>
    <t>Total future minimum payments under off-balance sheet PFI and other service concession arrangements are given in the table below for each of the following periods:</t>
  </si>
  <si>
    <t>The Trust has entered into the following non cancellable contracts (which are not leases or PFI contracts and other service concession arrangements)</t>
  </si>
  <si>
    <t>NARRATIVE: 
The Trust has entered into the following non cancellable contracts (which are not leases or PFI contracts and other service concession arrangements)</t>
  </si>
  <si>
    <t>NARRATIVE:
Other significant assets held at the reporting period date to which it was not practical to ascribe monetary values comprised [insert details of any investments in unlisted non monetary financial assets and of physical assets].</t>
  </si>
  <si>
    <t>NARRATIVE:  If applicable list the number of special severance payments made, the total amount paid out, and the maximum (highest), minimum (lowest) and median values of payments made below:</t>
  </si>
  <si>
    <t>For yellow input cells where there is no data entry required please leave blank [do not enter n/a etc]</t>
  </si>
  <si>
    <t>Enter intercompany figures in the same signage as the line it relates to:
e.g. Wages total = positive figure of £1,000,000 and this £1,000,000 includes £50,000 that has been charged from another Group ALB - record the £50,000 as a positive figure in the Wages intercompany section of note 4 (bearing in mind the need to record all figures in £'000s)</t>
  </si>
  <si>
    <r>
      <t xml:space="preserve">The tab called "ALB Interco" includes a summary of intercompany figures entered into this template. It contains links to individual tabs where interco data has been entered and also contains yellow input cells where you can add further intercompany data directly as noted below:
</t>
    </r>
    <r>
      <rPr>
        <b/>
        <u/>
        <sz val="11"/>
        <rFont val="Arial"/>
        <family val="2"/>
      </rPr>
      <t>Required in the tab "ALB Interco":</t>
    </r>
    <r>
      <rPr>
        <sz val="11"/>
        <rFont val="Arial"/>
        <family val="2"/>
      </rPr>
      <t xml:space="preserve"> 
-  populate yellow cells as appropriate (some of these input cells are required to split Interco data by ALB)
-  ensure (check) cells in tab "ALB Interco"  columns X,Y and Z are all marked "Ok" or zero - investigate any notated with "Check"</t>
    </r>
  </si>
  <si>
    <t>INTERCOMPANY ELIMINATION</t>
  </si>
  <si>
    <t xml:space="preserve">Only cells highlighted in yellow should be populated - do not add any lines or rows etc or change any titles please as this would interfere with consolidation of the data (file should be locked down to prevent this). Note that some details for the primary SoCNE and SoFP statements will be automatically populated on completion of the supporting notes. With the exception of the Other Comprehensive Expenditure section and SFP section on Pension Liabilities - (NIFRS) marked in yellow, these primary statements should not be populated directly. </t>
  </si>
  <si>
    <t>There are a number of disclosures for completion by NIFRS only where indicated.</t>
  </si>
  <si>
    <t>Record any issues, queries or explanatory notes in the tab "alb Narrative" as appropriate.</t>
  </si>
  <si>
    <t>Staff Data</t>
  </si>
  <si>
    <t>Less recoveries in respect of outward secondments (enter as positive number)</t>
  </si>
  <si>
    <t>Memorandum for capturing which ALB's have Losses and special payments for purpose of disclosure in the Losses and specail payments note</t>
  </si>
  <si>
    <t>Special severance payments*</t>
  </si>
  <si>
    <t>*   List the number of special severance payments made, the total amount paid out, and the maximum (highest), minimum (lowest) and median values of payments made below:</t>
  </si>
  <si>
    <t>Reporting of early retirement and other compensation scheme - exit packages - Consolidated</t>
  </si>
  <si>
    <t>Reporting of early retirement and other compensation scheme - exit packages - Core department and Agencies</t>
  </si>
  <si>
    <t>Other Payments (Details of any other payments not covered above)</t>
  </si>
  <si>
    <r>
      <t>If applicable list the number of</t>
    </r>
    <r>
      <rPr>
        <b/>
        <u/>
        <sz val="10"/>
        <rFont val="Arial"/>
        <family val="2"/>
      </rPr>
      <t xml:space="preserve"> special severance payments </t>
    </r>
    <r>
      <rPr>
        <sz val="10"/>
        <rFont val="Arial"/>
        <family val="2"/>
      </rPr>
      <t>made, the total amount paid out, and the maximum (highest), minimum (lowest) and median values of payments made below:</t>
    </r>
  </si>
  <si>
    <t>The Trust has a PFI arrangement for (List details in yellow box below):</t>
  </si>
  <si>
    <t>NARRATIVE: The Trust has a PFI arrangement for (List details in yellow box below):</t>
  </si>
  <si>
    <t>n/a Narrative</t>
  </si>
  <si>
    <t>Identification of intercompany data for the purposes of group elimination is an important part of the consolidation process. It is the responsibility of ALB to agree balances with other ALB's prior to entering the data into this template.</t>
  </si>
  <si>
    <t>Sheet Index</t>
  </si>
  <si>
    <t>A1 - Staff Report</t>
  </si>
  <si>
    <t>Note 6 check</t>
  </si>
  <si>
    <t>alb Interco</t>
  </si>
  <si>
    <t>alb A - Staff data</t>
  </si>
  <si>
    <t>alb A - Staff Report</t>
  </si>
  <si>
    <t>alb Note 4 - Other expenditure</t>
  </si>
  <si>
    <t>alb Note 5 - Income</t>
  </si>
  <si>
    <t>alb Note 6.1 -PP&amp;E - CY</t>
  </si>
  <si>
    <t>alb Note 6.2 -  PP&amp;E - PY</t>
  </si>
  <si>
    <t>alb Note 6.3 -Asset held resale</t>
  </si>
  <si>
    <t>alb Note 7.1 -  Intangibles CY</t>
  </si>
  <si>
    <t>alb Note 7.2 -  Intangibles PY</t>
  </si>
  <si>
    <t>alb Note 9 - Fin instruments</t>
  </si>
  <si>
    <t>alb Note 10 - Investments</t>
  </si>
  <si>
    <t>alb Note 11 - Inventories</t>
  </si>
  <si>
    <t>alb Note 12 - Cash</t>
  </si>
  <si>
    <t>alb Note 13 Trade Receivables</t>
  </si>
  <si>
    <t>alb Note 14.1 Trade payables</t>
  </si>
  <si>
    <t>alb Note 15.5 Pensions</t>
  </si>
  <si>
    <t>alb Note 16 - Cont liab</t>
  </si>
  <si>
    <t>alb Note 16.1- Financial Guar</t>
  </si>
  <si>
    <t>alb Note 17  Leases</t>
  </si>
  <si>
    <t>alb Note 19 - Capital commits</t>
  </si>
  <si>
    <t>alb Note 19.2 - Other fin comm</t>
  </si>
  <si>
    <t>alb Note 21 Third Party Assets</t>
  </si>
  <si>
    <t>alb Note 22 - Post Bal sheet</t>
  </si>
  <si>
    <t>ALL</t>
  </si>
  <si>
    <t>£'000  Total Value of special payments</t>
  </si>
  <si>
    <t>MEMO</t>
  </si>
  <si>
    <t>Add back  Less recoveries in respect of outward secondments (enter as positive number) - perm</t>
  </si>
  <si>
    <t>Add back  Less recoveries in respect of outward secondments (enter as positive number) - other</t>
  </si>
  <si>
    <t>@3</t>
  </si>
  <si>
    <t>Staff Data in Remuneration report</t>
  </si>
  <si>
    <t>memo</t>
  </si>
  <si>
    <t>add Bank overdraft from creditors (neg. figure)</t>
  </si>
  <si>
    <t>manual</t>
  </si>
  <si>
    <t>Note 8 Impairments</t>
  </si>
  <si>
    <t>Note 6.4 AHFS</t>
  </si>
  <si>
    <t>subtotal CORE</t>
  </si>
  <si>
    <t>Interco Spend SoCNE Core</t>
  </si>
  <si>
    <t>Total excluding core/ agencies</t>
  </si>
  <si>
    <t>MAP Tab GIA</t>
  </si>
  <si>
    <t>Interco income wth core/agencies from individ ALB returns</t>
  </si>
  <si>
    <t>@4</t>
  </si>
  <si>
    <t>@5</t>
  </si>
  <si>
    <t>Add to GIA recon</t>
  </si>
  <si>
    <t>Note 9 FI</t>
  </si>
  <si>
    <t>memo Financial Instrument Impairments less revaluations</t>
  </si>
  <si>
    <t>1 line in word doc</t>
  </si>
  <si>
    <t>Opening balance</t>
  </si>
  <si>
    <t>There is a PFI arrangement for (List details in yellow box below):</t>
  </si>
  <si>
    <t>19.1 Capital Commitments</t>
  </si>
  <si>
    <t>19.2 Other financial commitments</t>
  </si>
  <si>
    <t>21 Third party assets</t>
  </si>
  <si>
    <t>Total Special Payments</t>
  </si>
  <si>
    <t>Average no . Others</t>
  </si>
  <si>
    <t>DoH Core &amp; Agencies - INTERCO (manual adjustment)</t>
  </si>
  <si>
    <t>Core + agency published 31/03/19</t>
  </si>
  <si>
    <t>workings</t>
  </si>
  <si>
    <t>Core &amp; Agency Provisions for liabilities and charges Cyr</t>
  </si>
  <si>
    <t>Core &amp; Agency Provisions for liabilities and charges Pyr</t>
  </si>
  <si>
    <t>adjust manuallyif required eg for non-cash income</t>
  </si>
  <si>
    <t>Impairment relating to FTC</t>
  </si>
  <si>
    <t>£0 - £5,000</t>
  </si>
  <si>
    <t>£5,000 - £10,000</t>
  </si>
  <si>
    <t>£10,000 - £15,000</t>
  </si>
  <si>
    <t>£15,000 - £20,000</t>
  </si>
  <si>
    <t>£25,000 - £30,000</t>
  </si>
  <si>
    <t>£35,000 - £40,000</t>
  </si>
  <si>
    <t>£45,000 - £50,000</t>
  </si>
  <si>
    <t>£205,000 - £210,000</t>
  </si>
  <si>
    <t>£200,000 - £205,000</t>
  </si>
  <si>
    <t>£210,000 - £215,000</t>
  </si>
  <si>
    <t>£220,000 - £225,000</t>
  </si>
  <si>
    <t>£215,000 - £220,000</t>
  </si>
  <si>
    <t>£225,000 - £230,000</t>
  </si>
  <si>
    <t>£230,000 - £235,000</t>
  </si>
  <si>
    <t>£235,000 - £240,000</t>
  </si>
  <si>
    <t>£240,000 - £245,000</t>
  </si>
  <si>
    <t>£245,000 - £250,000</t>
  </si>
  <si>
    <t>£250,000 - £255,000</t>
  </si>
  <si>
    <t>£255,000 - £260,000</t>
  </si>
  <si>
    <t>£260,000 - £265,000</t>
  </si>
  <si>
    <t>£265,000 - £270,000</t>
  </si>
  <si>
    <t>£275,000 - £280,000</t>
  </si>
  <si>
    <t>£20,000 - £25,000</t>
  </si>
  <si>
    <t>£30,000 - £35,000</t>
  </si>
  <si>
    <t>£40,000 - £45,000</t>
  </si>
  <si>
    <t>£270,000 - £275,000</t>
  </si>
  <si>
    <t>£280,000 - £285,000</t>
  </si>
  <si>
    <t>£285,000 - £290,000</t>
  </si>
  <si>
    <t>£50,000 - £55,000</t>
  </si>
  <si>
    <t>Non-patient services</t>
  </si>
  <si>
    <t xml:space="preserve">Non-patient services </t>
  </si>
  <si>
    <t>Risky Investments</t>
  </si>
  <si>
    <t>ONLY where the department is exposed to material financial instrument risk should the appropriate IFRS 7 disclosures be made. Material financial risk includes significant credit risk from receivables. Disclosures should be given only where they are necessary because the department holds financial instruments that are complex or play a significant role in the financial risk profile of the department. The headings in IFRS 7 should be used to the extent that they are relevant. Where the department does not face significant financial risks, then it is sufficient to make a statement to that effect – similar to that above. (Given that all departments have financial instruments within the scope of IAS 32, silence is not an option.)</t>
  </si>
  <si>
    <t>Charitable Trust Fund</t>
  </si>
  <si>
    <t>Financial Transactions Capital</t>
  </si>
  <si>
    <t>Other Investments</t>
  </si>
  <si>
    <t>Analysis between current and non current assets</t>
  </si>
  <si>
    <t>Non current assets</t>
  </si>
  <si>
    <t xml:space="preserve">Enter YES if you have material financial instrument risk to be disclosed: </t>
  </si>
  <si>
    <t>Financial Risk NARRATIVE</t>
  </si>
  <si>
    <t>Current assets CTF</t>
  </si>
  <si>
    <t>Non current assets CTF</t>
  </si>
  <si>
    <t>Current assets FTC</t>
  </si>
  <si>
    <t>Non current assets FTC</t>
  </si>
  <si>
    <t>Current assets Other</t>
  </si>
  <si>
    <t>Non current assets Other</t>
  </si>
  <si>
    <t>[check for narrative from indivudal bodies in MAP tab]</t>
  </si>
  <si>
    <t>Check b/fwd figures</t>
  </si>
  <si>
    <t>ENSURE THE FOLLOWING STAFF COST FIGURES INCLUDE CAPITALISED STAFF COSTS</t>
  </si>
  <si>
    <t>Staff Costs included above that were charged to capital projects during the year (enter as positive number in £k)</t>
  </si>
  <si>
    <t>Check from staff data to note 4</t>
  </si>
  <si>
    <t>Note 4 Income  (Intercompany check)</t>
  </si>
  <si>
    <t>NIFRS Only</t>
  </si>
  <si>
    <t>SoFP</t>
  </si>
  <si>
    <t>Ignore Pc 16.09.20</t>
  </si>
  <si>
    <t>SCF to Note 12</t>
  </si>
  <si>
    <t>SCF to Note 12 Interco</t>
  </si>
  <si>
    <t>Ignore</t>
  </si>
  <si>
    <t>Statement of Outturn against Assembly Supply</t>
  </si>
  <si>
    <t>This note mirrors Part II of the Estimates: (Revised) Subhead Detail and Resources to Cash Reconciliation</t>
  </si>
  <si>
    <t>SOAS note 3.  Reconciliation of net resource outturn to net cash requirement</t>
  </si>
  <si>
    <t>This note mirrors Part II of the Estimates: Resource to Cash Reconciliation</t>
  </si>
  <si>
    <t xml:space="preserve">  Depreciation, amortisation and impairment</t>
  </si>
  <si>
    <t>SOAS note 4.  Analysis of Income Payable to the Consolidated Fund</t>
  </si>
  <si>
    <t>This note mirrors Part III of the Estimates: Extra Receipts Payable to the Consolidated Fund.</t>
  </si>
  <si>
    <t>Grants and Disbursements</t>
  </si>
  <si>
    <t>5.1 Revenue from contract with customers</t>
  </si>
  <si>
    <t>Settlement of excess sums from 2016/17</t>
  </si>
  <si>
    <t>Grants and disbursements</t>
  </si>
  <si>
    <t>Core + agency published 31/03/21</t>
  </si>
  <si>
    <t>Related Parties narrative</t>
  </si>
  <si>
    <t>alb Note 20 Related Party Transactions</t>
  </si>
  <si>
    <r>
      <t xml:space="preserve">Once you are content that the document has been satisfactorily completed, including any feedback within the tab "alb Narrative"; please forward completed templates to: </t>
    </r>
    <r>
      <rPr>
        <b/>
        <sz val="11"/>
        <rFont val="Arial"/>
        <family val="2"/>
      </rPr>
      <t>financial.accountingunit@health-ni.gov.uk</t>
    </r>
    <r>
      <rPr>
        <sz val="11"/>
        <rFont val="Arial"/>
        <family val="2"/>
      </rPr>
      <t xml:space="preserve"> as soon as possible and no later than the deadline stipulated within the covering circular.</t>
    </r>
  </si>
  <si>
    <t>Grey cells contain formula to automatically populate from supporting notes but are unprotected to enable manual adjustment as required.</t>
  </si>
  <si>
    <t>alb Note 15a Pensions - NIFRS</t>
  </si>
  <si>
    <t>alb Note 15a cont - NIFRS</t>
  </si>
  <si>
    <t>alb Note 15b FF Pensions NIFRS</t>
  </si>
  <si>
    <t>Existed for less than one year at time of reporting</t>
  </si>
  <si>
    <t>Existed for between one and two years at time of reporting</t>
  </si>
  <si>
    <t>Existed for between two and three years at time of reporting</t>
  </si>
  <si>
    <t>Existed for between three and four years at time of reporting</t>
  </si>
  <si>
    <t>Existed for between four and five years at time of reporting</t>
  </si>
  <si>
    <t>Existed for more than five years at time of reporting</t>
  </si>
  <si>
    <t>All temporary off-payroll</t>
  </si>
  <si>
    <t>Number of off-payroll workers engaged during the year ended 31 March 2021</t>
  </si>
  <si>
    <t>of which:</t>
  </si>
  <si>
    <t>Number determined as out-of-scope of IR35</t>
  </si>
  <si>
    <t>Number determined as in-scope of IR35</t>
  </si>
  <si>
    <t>Number of engagements reassessed for compliance or assurance purposes during the year</t>
  </si>
  <si>
    <t>Number of engagements that saw a change to IR35 status following review</t>
  </si>
  <si>
    <t>Number of engagements where the status was disputed under provisions in the off-payroll legislation</t>
  </si>
  <si>
    <t>Number of engagements that saw a change to IR35 status following review.</t>
  </si>
  <si>
    <t>Note 18 Commitments under PFI and other service concession arrangements contracts</t>
  </si>
  <si>
    <t xml:space="preserve">Table 18.2 (first part) Present value of obligations </t>
  </si>
  <si>
    <t>Staff costs: the SoCNE and note 3 and Tab "alb A Staff data" should all agree - ensure all adjustments are correctly allocated with alb staff costs tab and there are no "Error" messages appearing in that tab.</t>
  </si>
  <si>
    <t>A memorandum has been included in the SoCNE to capture the net CTF expenditure added back to SoCNE and reported in the Taxpayers equity (this is currently prepared and reported by ALB's); a net CTF spend should be shown as a positive figure</t>
  </si>
  <si>
    <t>Sickness Absence data</t>
  </si>
  <si>
    <t>External Consultancy Costs</t>
  </si>
  <si>
    <t>External Consultancy costs</t>
  </si>
  <si>
    <t>Grant In Aid is to be entered into the SoCiTE for accounts purposes, however, intercompany eliminations are not required from ALB's - these will be prepared by Core Finance upon consolidation.</t>
  </si>
  <si>
    <t>Enter intercompany transactions and balances ('figures') into this template where indicated within individual tabs.</t>
  </si>
  <si>
    <t xml:space="preserve">Current service cost  </t>
  </si>
  <si>
    <t xml:space="preserve">Past service cost  </t>
  </si>
  <si>
    <t xml:space="preserve">Pension transfers in  </t>
  </si>
  <si>
    <t xml:space="preserve">Actuarial gain (see note xx) </t>
  </si>
  <si>
    <t xml:space="preserve">Pension payments (see note xx)  </t>
  </si>
  <si>
    <t xml:space="preserve">Actuarial gain/ (loss) (see note xx)  </t>
  </si>
  <si>
    <t xml:space="preserve">Current service cost   </t>
  </si>
  <si>
    <t xml:space="preserve">Past service cost   </t>
  </si>
  <si>
    <t xml:space="preserve">Pension financing cost   </t>
  </si>
  <si>
    <t xml:space="preserve">Pension transfers in   </t>
  </si>
  <si>
    <t xml:space="preserve">Pension payments (see note 15.5)   </t>
  </si>
  <si>
    <t xml:space="preserve">Pension payments to and on account of leavers (see note 15.6)   </t>
  </si>
  <si>
    <t xml:space="preserve">Actuarial (loss)/gain (see note 15.7)   </t>
  </si>
  <si>
    <t xml:space="preserve">Pension payments to and on account of leavers (see note xx)  </t>
  </si>
  <si>
    <t xml:space="preserve">Current Service Cost </t>
  </si>
  <si>
    <t xml:space="preserve">Employers contributions </t>
  </si>
  <si>
    <t xml:space="preserve">Movement </t>
  </si>
  <si>
    <t xml:space="preserve">Total operating charge </t>
  </si>
  <si>
    <t xml:space="preserve">Interest income on assets </t>
  </si>
  <si>
    <t xml:space="preserve">Interest expense on defined benefit obligation </t>
  </si>
  <si>
    <t xml:space="preserve">Actuarial (gain) due to changes in demographic assumptions </t>
  </si>
  <si>
    <t xml:space="preserve">Movement  </t>
  </si>
  <si>
    <t xml:space="preserve">Contributions by participants </t>
  </si>
  <si>
    <t xml:space="preserve">Net benefits paid out </t>
  </si>
  <si>
    <t xml:space="preserve">Net benefits paid out  </t>
  </si>
  <si>
    <t>NILGOSC Pension Scheme Liability</t>
  </si>
  <si>
    <t>New Firefighters' Pension Scheme 2007 Scheme Liability</t>
  </si>
  <si>
    <t>NILGOSC Scheme liability</t>
  </si>
  <si>
    <t>Firefighters' Pension Scheme 2007 Scheme Liability</t>
  </si>
  <si>
    <t>Firefighters' Pension Scheme  2015 (CARE) Scheme Liability</t>
  </si>
  <si>
    <t xml:space="preserve">If Yes, please enter details below of material financial instrument risk: </t>
  </si>
  <si>
    <t>NILGOSC disclosures</t>
  </si>
  <si>
    <t>GIA PY</t>
  </si>
  <si>
    <t>GIA CY</t>
  </si>
  <si>
    <t>See CHECK 1 cell I55</t>
  </si>
  <si>
    <t>Settlement of sums from 2016/17</t>
  </si>
  <si>
    <t>Note 10</t>
  </si>
  <si>
    <t>Movements in payables relating to government grants</t>
  </si>
  <si>
    <t>DoH total</t>
  </si>
  <si>
    <t>PHA total</t>
  </si>
  <si>
    <t>interco difference</t>
  </si>
  <si>
    <t>Actuarial (gain) / loss on pension scheme liabilities</t>
  </si>
  <si>
    <t>External consultancy costs</t>
  </si>
  <si>
    <t>Northern Ireland Banking Pool</t>
  </si>
  <si>
    <t>Pensions</t>
  </si>
  <si>
    <t>Profit on disposal of non-depreciable fixed assets</t>
  </si>
  <si>
    <t>Revenue from patient care services</t>
  </si>
  <si>
    <t>Family Health Service receipts</t>
  </si>
  <si>
    <t>EU Income</t>
  </si>
  <si>
    <t>EU income</t>
  </si>
  <si>
    <t>Health &amp; Social Services Grants and Disbursements</t>
  </si>
  <si>
    <t>Purchase of non-financial assets</t>
  </si>
  <si>
    <t>Purchase of financial assets</t>
  </si>
  <si>
    <t>Proceeds from disposal of non-financial assets</t>
  </si>
  <si>
    <t>Proceeds from disposal of financial assets</t>
  </si>
  <si>
    <t>Gifts</t>
  </si>
  <si>
    <t>Total Number of Gifts</t>
  </si>
  <si>
    <t>Total Value of Gifts</t>
  </si>
  <si>
    <t>Charitable Trust Fund donations</t>
  </si>
  <si>
    <t>Quantity - Gifts - Charitable Trust Fund donations</t>
  </si>
  <si>
    <t>£'000 - Gifts - Charitable Trust Fund donations</t>
  </si>
  <si>
    <t>Total Gifts</t>
  </si>
  <si>
    <t>Total special payments</t>
  </si>
  <si>
    <t>Total Value of Losses (£'000)</t>
  </si>
  <si>
    <t>Total Value of Special Payments (£'000)</t>
  </si>
  <si>
    <t>Total Value of Gifts (£'000)</t>
  </si>
  <si>
    <t>North/South Body non cash costs</t>
  </si>
  <si>
    <t xml:space="preserve">Eliminate inter group Investments  </t>
  </si>
  <si>
    <t>Non cash charges - North/South Body</t>
  </si>
  <si>
    <t xml:space="preserve">Non cash charges - North/South Body  </t>
  </si>
  <si>
    <t>Income from customers</t>
  </si>
  <si>
    <t>Income from other departments</t>
  </si>
  <si>
    <t>Total Number of Losses - current year</t>
  </si>
  <si>
    <t>Total Value of Losses - current year</t>
  </si>
  <si>
    <t>Total Number of Losses - prior year</t>
  </si>
  <si>
    <t>Total Value of Losses - prior year</t>
  </si>
  <si>
    <t>&gt;£250k - prior year</t>
  </si>
  <si>
    <t>N/S Body only</t>
  </si>
  <si>
    <t>Assets held for sale impairments</t>
  </si>
  <si>
    <t>Firefighters</t>
  </si>
  <si>
    <t>INTRODUCTION AND BACKGROUND</t>
  </si>
  <si>
    <t xml:space="preserve">The Review of Financial Processes (RoFP) project aims to align Department of Health Arms Length Bodies’ (ALBs) budgets, estimates and accounts from 1 April 2022. </t>
  </si>
  <si>
    <t xml:space="preserve">This data capture template has been designed to gather information to facilitate the preparation of a consolidated set of DoH group accounts. </t>
  </si>
  <si>
    <t>ASSURANCE STATEMENT</t>
  </si>
  <si>
    <t xml:space="preserve">I confirm the Primary Statements per the template are in balance. </t>
  </si>
  <si>
    <t xml:space="preserve">I confirm that all inter-group amounts entered have been agreed with the other body. </t>
  </si>
  <si>
    <t xml:space="preserve">SIGNED: </t>
  </si>
  <si>
    <t>FINANCE DIRECTOR</t>
  </si>
  <si>
    <t xml:space="preserve">DATE: </t>
  </si>
  <si>
    <t>£1k rounding</t>
  </si>
  <si>
    <t xml:space="preserve">In addition to the primary statements prepared under IFRS, the Government Financial Reporting Manual (FReM) requires the Department of Health to prepare a Statement of Outturn against Assembly Supply (SOAS) and supporting notes.
The SOAS and related notes are subject to audit, as detailed in the Certificate and Report of the Comptroller and Auditor General to the Northern Ireland Assembly.
The SOAS is a key accountability statement that shows, in detail, how an entity has spent against their Supply Estimate.  Supply is the monetary provision (resource and capital purposes) and cash (drawn primarily from the Consolidated Fund), that the Assembly gives statutory authority for entities to utilise.  The Estimate details Supply and is voted on by the Assembly at the start of the financial year and is then normally revised by a Supplementary Estimate at the end of the financial year.  It is the final Estimate, normally the Spring Supplementary Estimate, which forms the basis of the SOAS.
Should an entity exceed the limits set by their Supply Estimate and corresponding Act of the Assembly, called control limits, their accounts will receive a qualified opinion.
The format of the SOAS mirrors the Supply Estimates to enable comparability between what the Assembly approves and the final outturn.  The Supply Estimates are voted by the Assembly and published on the DoF website.
The SOAS contain a summary table, detailing performance against the control limits that the Assembly has voted on, cash spent (budgets are compiled on an accruals basis and so outturn won't exactly reconcile to cash spent) and administration.
The supporting notes detail the following: Outturn detailed by Estimate line, providing a more detailed breakdown (note 1); a reconciliation of outturn to net operating expenditure in the SoCNE, to tie the SOAS to the financial statements (note 2); a reconciliation of net resource outturn to net cash requirement (note 3); and an analysis of income payable to the Consolidated Fund (note 4). </t>
  </si>
  <si>
    <t>Outturn vs Estimate, saving / (excess)</t>
  </si>
  <si>
    <t>Type of spend</t>
  </si>
  <si>
    <t>Voted</t>
  </si>
  <si>
    <t>Non-Voted</t>
  </si>
  <si>
    <t>Departmental Expenditure Limit</t>
  </si>
  <si>
    <t>Resource</t>
  </si>
  <si>
    <t>SoAS 1.1</t>
  </si>
  <si>
    <t>SoAS 1.2</t>
  </si>
  <si>
    <t>Annually Managed Expenditure</t>
  </si>
  <si>
    <t>Total Budget Expenditure</t>
  </si>
  <si>
    <t>Non-Budget</t>
  </si>
  <si>
    <t>Total Non-Budget Expenditure</t>
  </si>
  <si>
    <t>Total Budget and Non-Budget</t>
  </si>
  <si>
    <t>Figures in the areas outlined in bold are voted totals subject to Assembly control</t>
  </si>
  <si>
    <t>Item</t>
  </si>
  <si>
    <t>Outturn vs Estimate, saving/(excess)</t>
  </si>
  <si>
    <t>Administration costs</t>
  </si>
  <si>
    <t>SOAS 1.1</t>
  </si>
  <si>
    <t>Administration costs are not a separate voted limit and a breach of the administration budget will not result in an excess vote.</t>
  </si>
  <si>
    <t>SOAS 1. Outturn detail, by Estimate line</t>
  </si>
  <si>
    <t>SOAS 1.1 Analysis of resource outturn by Estimate line, all figures presented in £000</t>
  </si>
  <si>
    <t>Type of spend (Resource)</t>
  </si>
  <si>
    <t>Resource outturn</t>
  </si>
  <si>
    <t>Outturn vs Estimate (inc virements), saving/(excess)</t>
  </si>
  <si>
    <t>Virements*</t>
  </si>
  <si>
    <t>Total inc. virements</t>
  </si>
  <si>
    <t>Gross</t>
  </si>
  <si>
    <t>Net</t>
  </si>
  <si>
    <t>Spending in Departmental Expenditure Limits (DEL)</t>
  </si>
  <si>
    <t>Voted Expenditure</t>
  </si>
  <si>
    <t>1 - Hospital Services</t>
  </si>
  <si>
    <t>2 - Social Care Services</t>
  </si>
  <si>
    <t>7 - Health Support Services</t>
  </si>
  <si>
    <t>8 - Public Health Services</t>
  </si>
  <si>
    <t>9 - Ambulance &amp; Paramedic Services</t>
  </si>
  <si>
    <t>11 - Fire &amp; Rescue Services</t>
  </si>
  <si>
    <t>Total Voted DEL</t>
  </si>
  <si>
    <t>Non-voted Expenditure</t>
  </si>
  <si>
    <t>12 - Health Services Financed by National Insurance Contributions</t>
  </si>
  <si>
    <t>Total non-voted DEL</t>
  </si>
  <si>
    <t>Total spending in DEL</t>
  </si>
  <si>
    <t>Spending in Annually Managed Expenditure (AME)</t>
  </si>
  <si>
    <t>Total Voted AME</t>
  </si>
  <si>
    <t>8 - Estimate line 4</t>
  </si>
  <si>
    <t>Total non-voted AME</t>
  </si>
  <si>
    <t>Total spending in AME</t>
  </si>
  <si>
    <t>17 - Notional Charges</t>
  </si>
  <si>
    <t>Total Non Budget</t>
  </si>
  <si>
    <t>Total Resource</t>
  </si>
  <si>
    <t>*NDPB outturn is recorded net</t>
  </si>
  <si>
    <t>SOAS 1.2 Analysis of capital outturn by Estimate line, all figures presented in £000</t>
  </si>
  <si>
    <t>Type of spend (Capital)</t>
  </si>
  <si>
    <t>Total Capital</t>
  </si>
  <si>
    <t>The Outturn vs Estimate column is based on the total including virements.  The Estimate total before virements have been made is included so that users can reconcile this Estimate back to the Estimates approved by the Assembly</t>
  </si>
  <si>
    <t>SOAS 2.  Reconciliation of outturn to net operating expenditure</t>
  </si>
  <si>
    <t>Total Resource Outturn</t>
  </si>
  <si>
    <t>Add:</t>
  </si>
  <si>
    <t>Net Operating Expenditure in Consolidated Statement of Comprehensive Net Expenditure</t>
  </si>
  <si>
    <t>SOCNE</t>
  </si>
  <si>
    <t>As noted in the introduction to the SOAS above, outturn and the Estimates are compiled against the budgeting framework, which is similar to, but different from, IFRS.</t>
  </si>
  <si>
    <t>Outturn total
£000</t>
  </si>
  <si>
    <t>Estimate
£000</t>
  </si>
  <si>
    <t>Outturn vs Estimate: saving / (excess)
£000</t>
  </si>
  <si>
    <t>Total Resource outturn</t>
  </si>
  <si>
    <t>Total Capital outturn</t>
  </si>
  <si>
    <t>SOAS 1.2</t>
  </si>
  <si>
    <t>Adjustments for ALBs:</t>
  </si>
  <si>
    <t>Remove voted resource and capital</t>
  </si>
  <si>
    <t>Add cash grant in aid</t>
  </si>
  <si>
    <t>Adjustments to remove non-cash items:</t>
  </si>
  <si>
    <t xml:space="preserve">  Depreciation, impairments and revaluations</t>
  </si>
  <si>
    <t>New provisions and adjustments to previous provisions</t>
  </si>
  <si>
    <t>Supported capital expenditure</t>
  </si>
  <si>
    <t>Prior period adjustments</t>
  </si>
  <si>
    <t>Other non-cash items</t>
  </si>
  <si>
    <t>Adjustments to reflect movements in working balances:</t>
  </si>
  <si>
    <t>Removal of non-voted budget items</t>
  </si>
  <si>
    <t>As noted in the introduction to the SOAS above, outturn and the Estimates are complied against the budgeting framework, not on a cash basis.  This reconciliation bridges the resource outturn to the net cash requirement.</t>
  </si>
  <si>
    <t>In addition to income retained by the department, the following income is payable to the Consolidated Fund (cash receipts being shown in italics).</t>
  </si>
  <si>
    <t>Total amount payable to the Consolidated Fund</t>
  </si>
  <si>
    <t>National Insurance Contributions</t>
  </si>
  <si>
    <t>Total Assembly Funding</t>
  </si>
  <si>
    <t xml:space="preserve">National Insurance Contributions  </t>
  </si>
  <si>
    <t xml:space="preserve">Note 3 </t>
  </si>
  <si>
    <t xml:space="preserve">Note 4 </t>
  </si>
  <si>
    <t>NIFRS Audit fees are actual costs not non cash</t>
  </si>
  <si>
    <t>Total Minister wages</t>
  </si>
  <si>
    <t>Questions</t>
  </si>
  <si>
    <t>Y/N</t>
  </si>
  <si>
    <t>Comments</t>
  </si>
  <si>
    <t>Integrity of the accounts</t>
  </si>
  <si>
    <t>Do all tots, cross tots and cross referencing of note numbers and amounts agree in all sections of the accounts?</t>
  </si>
  <si>
    <t xml:space="preserve">Do the comparative figures agree to last year’s audited accounts?  If they have been restated is there an accounting policy note or other narrative to explain the reason for the restatement?
NB. IAS 1.40A requires that; “An entity shall present a third statement of financial position as at the beginning of the preceding period in addition to the minimum comparative financial statements required in paragraph 38A if:
(a) it applies an accounting policy retrospectively, makes a retrospective restatement of items in its financial statements or reclassifies items in its financial statements; and
(b) the retrospective application, retrospective restatement or the reclassification has a material effect on the information in the statement of financial position at the beginning of the preceding period.”
</t>
  </si>
  <si>
    <t>Completeness of the accounts</t>
  </si>
  <si>
    <r>
      <rPr>
        <b/>
        <sz val="12"/>
        <color theme="8" tint="-0.249977111117893"/>
        <rFont val="Calibri"/>
        <family val="2"/>
        <scheme val="minor"/>
      </rPr>
      <t>2. Accountability Report</t>
    </r>
    <r>
      <rPr>
        <b/>
        <sz val="11"/>
        <color theme="8" tint="-0.249977111117893"/>
        <rFont val="Calibri"/>
        <family val="2"/>
        <scheme val="minor"/>
      </rPr>
      <t xml:space="preserve"> </t>
    </r>
    <r>
      <rPr>
        <b/>
        <sz val="11"/>
        <color theme="1"/>
        <rFont val="Calibri"/>
        <family val="2"/>
        <scheme val="minor"/>
      </rPr>
      <t>(FReM ch 6)</t>
    </r>
    <r>
      <rPr>
        <sz val="11"/>
        <color theme="1"/>
        <rFont val="Calibri"/>
        <family val="2"/>
        <scheme val="minor"/>
      </rPr>
      <t xml:space="preserve"> which includes the three sections listed below. Per FReM 6.3.2, entities should provide a short overview of each section and explain how they contribute to the entity’s accountability to the Assembly and best practice with corporate governance norms and codes.</t>
    </r>
  </si>
  <si>
    <r>
      <rPr>
        <b/>
        <sz val="12"/>
        <color theme="8" tint="-0.249977111117893"/>
        <rFont val="Calibri"/>
        <family val="2"/>
        <scheme val="minor"/>
      </rPr>
      <t>3. Financial Statements</t>
    </r>
    <r>
      <rPr>
        <sz val="12"/>
        <color theme="8" tint="-0.249977111117893"/>
        <rFont val="Calibri"/>
        <family val="2"/>
        <scheme val="minor"/>
      </rPr>
      <t xml:space="preserve"> </t>
    </r>
    <r>
      <rPr>
        <sz val="11"/>
        <color theme="1"/>
        <rFont val="Calibri"/>
        <family val="2"/>
        <scheme val="minor"/>
      </rPr>
      <t>which include the (Consolidated) Statement of Comprehensive Net Expenditure, the (Consolidated) Statement of Financial Position, the (Consolidated) Statement of Cash Flows, the (Consolidated) Statement of Changes in Taxpayers’ Equity and the notes to the accounts.</t>
    </r>
  </si>
  <si>
    <r>
      <t xml:space="preserve">Are there areas within the annual report and accounts for the </t>
    </r>
    <r>
      <rPr>
        <b/>
        <sz val="11"/>
        <color theme="8" tint="-0.249977111117893"/>
        <rFont val="Calibri"/>
        <family val="2"/>
        <scheme val="minor"/>
      </rPr>
      <t>Accounting Officer to sign and date the performance report and the accountability report</t>
    </r>
    <r>
      <rPr>
        <sz val="11"/>
        <color theme="1"/>
        <rFont val="Calibri"/>
        <family val="2"/>
        <scheme val="minor"/>
      </rPr>
      <t xml:space="preserve">? </t>
    </r>
  </si>
  <si>
    <t>Has the mandatory standardised text been included (Department Yellow Illustrative Statements)?</t>
  </si>
  <si>
    <t>Are figures presented in £000?</t>
  </si>
  <si>
    <t>Do the figures per Estimates shown in the Statement of Outturn against Assembly Supply agree to the published Estimates?</t>
  </si>
  <si>
    <t>Excess Vote</t>
  </si>
  <si>
    <t>RfR B</t>
  </si>
  <si>
    <t>NCR</t>
  </si>
  <si>
    <r>
      <t xml:space="preserve">NCR Estimate </t>
    </r>
    <r>
      <rPr>
        <i/>
        <sz val="11"/>
        <color theme="1"/>
        <rFont val="Calibri"/>
        <family val="2"/>
        <scheme val="minor"/>
      </rPr>
      <t>(per SOAS)</t>
    </r>
  </si>
  <si>
    <r>
      <t xml:space="preserve">Net Assembly Funding - draw down </t>
    </r>
    <r>
      <rPr>
        <i/>
        <sz val="11"/>
        <color theme="1"/>
        <rFont val="Calibri"/>
        <family val="2"/>
        <scheme val="minor"/>
      </rPr>
      <t>(per SOCTE)</t>
    </r>
  </si>
  <si>
    <r>
      <t xml:space="preserve">Net Assembly Funding - deemed </t>
    </r>
    <r>
      <rPr>
        <i/>
        <sz val="11"/>
        <color theme="1"/>
        <rFont val="Calibri"/>
        <family val="2"/>
        <scheme val="minor"/>
      </rPr>
      <t>(per SOCTE)</t>
    </r>
  </si>
  <si>
    <r>
      <t xml:space="preserve">Amounts due from the CF in respect of supply </t>
    </r>
    <r>
      <rPr>
        <i/>
        <sz val="11"/>
        <color theme="1"/>
        <rFont val="Calibri"/>
        <family val="2"/>
        <scheme val="minor"/>
      </rPr>
      <t>(receivables note)</t>
    </r>
  </si>
  <si>
    <t>Has an analysis of the total income payable to the CF shown on the Statement of Outturn against Assembly Supply been shown in SOAS note 4 ‘Amounts of Income to the Consolidated Fund’ to the accounts?</t>
  </si>
  <si>
    <r>
      <rPr>
        <b/>
        <sz val="11"/>
        <color theme="1"/>
        <rFont val="Calibri"/>
        <family val="2"/>
        <scheme val="minor"/>
      </rPr>
      <t>NCR</t>
    </r>
    <r>
      <rPr>
        <sz val="11"/>
        <color theme="1"/>
        <rFont val="Calibri"/>
        <family val="2"/>
        <scheme val="minor"/>
      </rPr>
      <t xml:space="preserve"> </t>
    </r>
    <r>
      <rPr>
        <i/>
        <sz val="11"/>
        <color theme="1"/>
        <rFont val="Calibri"/>
        <family val="2"/>
        <scheme val="minor"/>
      </rPr>
      <t>(per SOAS)</t>
    </r>
  </si>
  <si>
    <r>
      <rPr>
        <b/>
        <sz val="11"/>
        <color theme="1"/>
        <rFont val="Calibri"/>
        <family val="2"/>
        <scheme val="minor"/>
      </rPr>
      <t>Net Assembly funding - drawn down</t>
    </r>
    <r>
      <rPr>
        <sz val="11"/>
        <color theme="1"/>
        <rFont val="Calibri"/>
        <family val="2"/>
        <scheme val="minor"/>
      </rPr>
      <t xml:space="preserve"> </t>
    </r>
    <r>
      <rPr>
        <i/>
        <sz val="11"/>
        <color theme="1"/>
        <rFont val="Calibri"/>
        <family val="2"/>
        <scheme val="minor"/>
      </rPr>
      <t>(per SoCTE)</t>
    </r>
  </si>
  <si>
    <r>
      <rPr>
        <b/>
        <sz val="11"/>
        <color theme="1"/>
        <rFont val="Calibri"/>
        <family val="2"/>
        <scheme val="minor"/>
      </rPr>
      <t>Net Assembly funding - deemed</t>
    </r>
    <r>
      <rPr>
        <sz val="11"/>
        <color theme="1"/>
        <rFont val="Calibri"/>
        <family val="2"/>
        <scheme val="minor"/>
      </rPr>
      <t xml:space="preserve"> </t>
    </r>
    <r>
      <rPr>
        <i/>
        <sz val="11"/>
        <color theme="1"/>
        <rFont val="Calibri"/>
        <family val="2"/>
        <scheme val="minor"/>
      </rPr>
      <t>(per SoCTE)</t>
    </r>
  </si>
  <si>
    <t>NCR Estimate</t>
  </si>
  <si>
    <t>Amounts due to or from the CF in respect of supply</t>
  </si>
  <si>
    <r>
      <t>Amounts due from the CF in respect of supply (</t>
    </r>
    <r>
      <rPr>
        <i/>
        <sz val="11"/>
        <rFont val="Calibri"/>
        <family val="2"/>
        <scheme val="minor"/>
      </rPr>
      <t>Receivables or payables note</t>
    </r>
    <r>
      <rPr>
        <sz val="11"/>
        <rFont val="Calibri"/>
        <family val="2"/>
        <scheme val="minor"/>
      </rPr>
      <t>)</t>
    </r>
  </si>
  <si>
    <r>
      <rPr>
        <b/>
        <sz val="11"/>
        <color theme="1"/>
        <rFont val="Calibri"/>
        <family val="2"/>
        <scheme val="minor"/>
      </rPr>
      <t>CFERs due to be paid to the CF - received</t>
    </r>
    <r>
      <rPr>
        <sz val="11"/>
        <color theme="1"/>
        <rFont val="Calibri"/>
        <family val="2"/>
        <scheme val="minor"/>
      </rPr>
      <t xml:space="preserve"> </t>
    </r>
    <r>
      <rPr>
        <i/>
        <sz val="11"/>
        <color theme="1"/>
        <rFont val="Calibri"/>
        <family val="2"/>
        <scheme val="minor"/>
      </rPr>
      <t>(payables note)</t>
    </r>
  </si>
  <si>
    <r>
      <rPr>
        <b/>
        <sz val="11"/>
        <color theme="1"/>
        <rFont val="Calibri"/>
        <family val="2"/>
        <scheme val="minor"/>
      </rPr>
      <t xml:space="preserve">Amounts due from the CF in respect of supply </t>
    </r>
    <r>
      <rPr>
        <i/>
        <sz val="11"/>
        <color theme="1"/>
        <rFont val="Calibri"/>
        <family val="2"/>
        <scheme val="minor"/>
      </rPr>
      <t>(receivables note or step 14)</t>
    </r>
  </si>
  <si>
    <r>
      <rPr>
        <b/>
        <sz val="11"/>
        <color theme="1"/>
        <rFont val="Calibri"/>
        <family val="2"/>
        <scheme val="minor"/>
      </rPr>
      <t>Amounts issued from the CF for supply but not spent at year end</t>
    </r>
    <r>
      <rPr>
        <sz val="11"/>
        <color theme="1"/>
        <rFont val="Calibri"/>
        <family val="2"/>
        <scheme val="minor"/>
      </rPr>
      <t xml:space="preserve"> </t>
    </r>
    <r>
      <rPr>
        <i/>
        <sz val="11"/>
        <color theme="1"/>
        <rFont val="Calibri"/>
        <family val="2"/>
        <scheme val="minor"/>
      </rPr>
      <t>(payables note)</t>
    </r>
  </si>
  <si>
    <r>
      <rPr>
        <b/>
        <sz val="11"/>
        <color theme="1"/>
        <rFont val="Calibri"/>
        <family val="2"/>
        <scheme val="minor"/>
      </rPr>
      <t>Cash in respect of other non-supply items</t>
    </r>
    <r>
      <rPr>
        <sz val="11"/>
        <color theme="1"/>
        <rFont val="Calibri"/>
        <family val="2"/>
        <scheme val="minor"/>
      </rPr>
      <t xml:space="preserve"> </t>
    </r>
    <r>
      <rPr>
        <i/>
        <sz val="11"/>
        <color theme="1"/>
        <rFont val="Calibri"/>
        <family val="2"/>
        <scheme val="minor"/>
      </rPr>
      <t>(e.g. loan from Contingencies Fund)</t>
    </r>
  </si>
  <si>
    <t>Amount of any Excess Vote for which supply has not yet been received</t>
  </si>
  <si>
    <t>Inter-departmental shared bank accounts</t>
  </si>
  <si>
    <t>Total cash and cash equivalents</t>
  </si>
  <si>
    <t>Notes to SOAS</t>
  </si>
  <si>
    <t>Does the SOAS Resource Outturn agree to SOAS note 1 and SOAS note 3?</t>
  </si>
  <si>
    <r>
      <t xml:space="preserve">Do the reconciling items in SOAS note 3 agree to figures in the accounts? Evidence this by completing the tables in the comments section (NB all figures should be entered as positives in the grey cells only).
Do movements in working balances reconcile to the notes/supporting documentation? Please note that movements in working balances which </t>
    </r>
    <r>
      <rPr>
        <u/>
        <sz val="11"/>
        <color theme="1"/>
        <rFont val="Calibri"/>
        <family val="2"/>
        <scheme val="minor"/>
      </rPr>
      <t>do not pass through the SOAS</t>
    </r>
    <r>
      <rPr>
        <sz val="11"/>
        <color theme="1"/>
        <rFont val="Calibri"/>
        <family val="2"/>
        <scheme val="minor"/>
      </rPr>
      <t xml:space="preserve"> should be excluded from this calculation.
</t>
    </r>
  </si>
  <si>
    <t>Accounts</t>
  </si>
  <si>
    <t xml:space="preserve">New provisions </t>
  </si>
  <si>
    <r>
      <rPr>
        <b/>
        <sz val="11"/>
        <color theme="1"/>
        <rFont val="Calibri"/>
        <family val="2"/>
        <scheme val="minor"/>
      </rPr>
      <t xml:space="preserve">Other non-cash </t>
    </r>
    <r>
      <rPr>
        <i/>
        <sz val="11"/>
        <color theme="1"/>
        <rFont val="Calibri"/>
        <family val="2"/>
        <scheme val="minor"/>
      </rPr>
      <t>(incl minister payroll)</t>
    </r>
  </si>
  <si>
    <r>
      <rPr>
        <b/>
        <sz val="11"/>
        <color theme="1"/>
        <rFont val="Calibri"/>
        <family val="2"/>
        <scheme val="minor"/>
      </rPr>
      <t>Use of provision</t>
    </r>
    <r>
      <rPr>
        <sz val="11"/>
        <color theme="1"/>
        <rFont val="Calibri"/>
        <family val="2"/>
        <scheme val="minor"/>
      </rPr>
      <t xml:space="preserve"> </t>
    </r>
  </si>
  <si>
    <t>Current period</t>
  </si>
  <si>
    <t>Prior period</t>
  </si>
  <si>
    <t>Movement</t>
  </si>
  <si>
    <t>Non-SOAS adj</t>
  </si>
  <si>
    <t>Supply due from CF</t>
  </si>
  <si>
    <t>CFERs receviable</t>
  </si>
  <si>
    <t>[other]</t>
  </si>
  <si>
    <t>Payables &lt; 1 year</t>
  </si>
  <si>
    <t>Non SOAS adj</t>
  </si>
  <si>
    <t>Supply due to CF</t>
  </si>
  <si>
    <t>CFERs received</t>
  </si>
  <si>
    <t>CFERs receivable</t>
  </si>
  <si>
    <t>Movements in working balances</t>
  </si>
  <si>
    <t>Payables &gt; 1 year</t>
  </si>
  <si>
    <t>Consolidated Statement of Comprehensive Net Expenditure (SoCNE)</t>
  </si>
  <si>
    <t>Revaluation movement to the revaluation reserve</t>
  </si>
  <si>
    <t>Revaulation - cost</t>
  </si>
  <si>
    <t>Indexation - cost</t>
  </si>
  <si>
    <t>Revaluation - depr</t>
  </si>
  <si>
    <t>Indexation - depr</t>
  </si>
  <si>
    <t>Per other comp exp.</t>
  </si>
  <si>
    <t>Revaluation charge to the SoCNE</t>
  </si>
  <si>
    <t>Revaluation to SOCNE - cost</t>
  </si>
  <si>
    <t>Impairment - cost</t>
  </si>
  <si>
    <t>Revaluation to SoCNE - deprn</t>
  </si>
  <si>
    <t>Impairment - deprn</t>
  </si>
  <si>
    <t>Revaluation - AHFS</t>
  </si>
  <si>
    <t>Per admin exp note</t>
  </si>
  <si>
    <t>Per prog exp note</t>
  </si>
  <si>
    <t>Total per accounts</t>
  </si>
  <si>
    <t>check</t>
  </si>
  <si>
    <t>Consolidated Statement of Financial Position (SoFP)</t>
  </si>
  <si>
    <t>Does it balance?</t>
  </si>
  <si>
    <t>Are the headings consistent with FReM/Department Yellow NI?</t>
  </si>
  <si>
    <t xml:space="preserve">Does the statement have the following entries:
• Cash flows from operating activities
• Cash flows from investing activities
• Cash flows from financing activities 
• Net increase/(decrease) in cash and cash equivalents in the period before adjustment for receipts and payments to the Consolidated Fund 
• Payments of amounts due to the Consolidated Fund 
• Net increase/(decrease) in cash and cash equivalents in the period after adjustment for receipts and payments to the Consolidated Fund 
• Cash and cash equivalents at the beginning and the end of the period </t>
  </si>
  <si>
    <r>
      <t xml:space="preserve">In Cash flows from investing activities, do the proceeds of disposal of assets agree to information in the rest of the accounts? Evidence this by completing the table in the comments section (NB all figures should be entered as positives, unless otherwise directed, in the grey cells only).
</t>
    </r>
    <r>
      <rPr>
        <i/>
        <sz val="11"/>
        <color theme="1"/>
        <rFont val="Calibri"/>
        <family val="2"/>
        <scheme val="minor"/>
      </rPr>
      <t xml:space="preserve">Proceeds from disposal of assets less asset disposal NBV (asset disposal cost less asset disposal NBV) should equal the profit/(loss) on disposal of assets. </t>
    </r>
    <r>
      <rPr>
        <sz val="11"/>
        <color theme="1"/>
        <rFont val="Calibri"/>
        <family val="2"/>
        <scheme val="minor"/>
      </rPr>
      <t xml:space="preserve">
</t>
    </r>
  </si>
  <si>
    <r>
      <rPr>
        <b/>
        <sz val="11"/>
        <color theme="1"/>
        <rFont val="Calibri"/>
        <family val="2"/>
        <scheme val="minor"/>
      </rPr>
      <t>Proceeds from disposal of assets</t>
    </r>
    <r>
      <rPr>
        <sz val="11"/>
        <color theme="1"/>
        <rFont val="Calibri"/>
        <family val="2"/>
        <scheme val="minor"/>
      </rPr>
      <t xml:space="preserve"> </t>
    </r>
    <r>
      <rPr>
        <i/>
        <sz val="11"/>
        <color theme="1"/>
        <rFont val="Calibri"/>
        <family val="2"/>
        <scheme val="minor"/>
      </rPr>
      <t>(per Cash Flow)</t>
    </r>
  </si>
  <si>
    <r>
      <rPr>
        <b/>
        <sz val="11"/>
        <color theme="1"/>
        <rFont val="Calibri"/>
        <family val="2"/>
        <scheme val="minor"/>
      </rPr>
      <t>Asset disposal cost</t>
    </r>
    <r>
      <rPr>
        <i/>
        <sz val="11"/>
        <color theme="1"/>
        <rFont val="Calibri"/>
        <family val="2"/>
        <scheme val="minor"/>
      </rPr>
      <t xml:space="preserve"> (per asset notes)</t>
    </r>
  </si>
  <si>
    <r>
      <rPr>
        <b/>
        <sz val="11"/>
        <color theme="1"/>
        <rFont val="Calibri"/>
        <family val="2"/>
        <scheme val="minor"/>
      </rPr>
      <t xml:space="preserve">Asset disposal depreciation </t>
    </r>
    <r>
      <rPr>
        <i/>
        <sz val="11"/>
        <color theme="1"/>
        <rFont val="Calibri"/>
        <family val="2"/>
        <scheme val="minor"/>
      </rPr>
      <t>(per asset notes)</t>
    </r>
  </si>
  <si>
    <r>
      <rPr>
        <b/>
        <sz val="11"/>
        <color theme="1"/>
        <rFont val="Calibri"/>
        <family val="2"/>
        <scheme val="minor"/>
      </rPr>
      <t>(Profit)/loss on disposal of assets</t>
    </r>
    <r>
      <rPr>
        <sz val="11"/>
        <color theme="1"/>
        <rFont val="Calibri"/>
        <family val="2"/>
        <scheme val="minor"/>
      </rPr>
      <t xml:space="preserve"> </t>
    </r>
    <r>
      <rPr>
        <i/>
        <sz val="11"/>
        <color theme="1"/>
        <rFont val="Calibri"/>
        <family val="2"/>
        <scheme val="minor"/>
      </rPr>
      <t>(per admin and prog costs)</t>
    </r>
  </si>
  <si>
    <t>Does the increase/decrease in cash agree to the net increase/(decrease) in cash and cash equivalents in the period after adjustment for receipts and payments to the Consolidated Fund?</t>
  </si>
  <si>
    <r>
      <rPr>
        <b/>
        <sz val="11"/>
        <color theme="1"/>
        <rFont val="Calibri"/>
        <family val="2"/>
        <scheme val="minor"/>
      </rPr>
      <t>CFER opening balance</t>
    </r>
    <r>
      <rPr>
        <sz val="11"/>
        <color theme="1"/>
        <rFont val="Calibri"/>
        <family val="2"/>
        <scheme val="minor"/>
      </rPr>
      <t xml:space="preserve"> </t>
    </r>
    <r>
      <rPr>
        <i/>
        <sz val="11"/>
        <color theme="1"/>
        <rFont val="Calibri"/>
        <family val="2"/>
        <scheme val="minor"/>
      </rPr>
      <t>(per prior year payables)</t>
    </r>
  </si>
  <si>
    <r>
      <rPr>
        <b/>
        <sz val="11"/>
        <color theme="1"/>
        <rFont val="Calibri"/>
        <family val="2"/>
        <scheme val="minor"/>
      </rPr>
      <t>CFERs payable to the CF</t>
    </r>
    <r>
      <rPr>
        <sz val="11"/>
        <color theme="1"/>
        <rFont val="Calibri"/>
        <family val="2"/>
        <scheme val="minor"/>
      </rPr>
      <t xml:space="preserve"> </t>
    </r>
    <r>
      <rPr>
        <i/>
        <sz val="11"/>
        <color theme="1"/>
        <rFont val="Calibri"/>
        <family val="2"/>
        <scheme val="minor"/>
      </rPr>
      <t>(per SoCTE)</t>
    </r>
  </si>
  <si>
    <r>
      <rPr>
        <b/>
        <sz val="11"/>
        <color theme="1"/>
        <rFont val="Calibri"/>
        <family val="2"/>
        <scheme val="minor"/>
      </rPr>
      <t>Receipts due to the CF outside scope of Departmental activities</t>
    </r>
    <r>
      <rPr>
        <sz val="11"/>
        <color theme="1"/>
        <rFont val="Calibri"/>
        <family val="2"/>
        <scheme val="minor"/>
      </rPr>
      <t xml:space="preserve"> </t>
    </r>
    <r>
      <rPr>
        <i/>
        <sz val="11"/>
        <color theme="1"/>
        <rFont val="Calibri"/>
        <family val="2"/>
        <scheme val="minor"/>
      </rPr>
      <t>(per Cash Flow)</t>
    </r>
  </si>
  <si>
    <r>
      <rPr>
        <b/>
        <sz val="11"/>
        <color theme="1"/>
        <rFont val="Calibri"/>
        <family val="2"/>
        <scheme val="minor"/>
      </rPr>
      <t>CFER closing payable balance</t>
    </r>
    <r>
      <rPr>
        <b/>
        <i/>
        <sz val="11"/>
        <color theme="1"/>
        <rFont val="Calibri"/>
        <family val="2"/>
        <scheme val="minor"/>
      </rPr>
      <t xml:space="preserve"> (</t>
    </r>
    <r>
      <rPr>
        <i/>
        <sz val="11"/>
        <color theme="1"/>
        <rFont val="Calibri"/>
        <family val="2"/>
        <scheme val="minor"/>
      </rPr>
      <t>per payables)</t>
    </r>
  </si>
  <si>
    <r>
      <rPr>
        <b/>
        <sz val="11"/>
        <color theme="1"/>
        <rFont val="Calibri"/>
        <family val="2"/>
        <scheme val="minor"/>
      </rPr>
      <t>Payments due to the CF</t>
    </r>
    <r>
      <rPr>
        <sz val="11"/>
        <color theme="1"/>
        <rFont val="Calibri"/>
        <family val="2"/>
        <scheme val="minor"/>
      </rPr>
      <t xml:space="preserve"> </t>
    </r>
    <r>
      <rPr>
        <i/>
        <sz val="11"/>
        <color theme="1"/>
        <rFont val="Calibri"/>
        <family val="2"/>
        <scheme val="minor"/>
      </rPr>
      <t>(per cash flow)</t>
    </r>
  </si>
  <si>
    <t xml:space="preserve">Has the prior year receivable for ‘amounts due from the Consolidated Fund in respect of Supply’ been included in the current year as:
• financing ‘from the Consolidated Fund (Supply) – prior year’ per the Cash Flow statement
Or
</t>
  </si>
  <si>
    <t xml:space="preserve">Has the prior year payable for ‘amounts issued from the Consolidated Fund for supply but not yet spent at year end’ been included in the current year as:
• ‘Net Assembly Funding – deemed’ per the Statement of Changes in Taxpayers equity? 
</t>
  </si>
  <si>
    <t>current year</t>
  </si>
  <si>
    <t>prior year</t>
  </si>
  <si>
    <t>movement</t>
  </si>
  <si>
    <t>Per CF</t>
  </si>
  <si>
    <t>Movements in receivables relating to items not passing through the SoCNE</t>
  </si>
  <si>
    <t>Capital receivable</t>
  </si>
  <si>
    <t>Movements in payables relating to items not passing through the SoCNE</t>
  </si>
  <si>
    <t>CF loans</t>
  </si>
  <si>
    <t>Capital payables</t>
  </si>
  <si>
    <t>[Insert observations and details of further investigation…..]</t>
  </si>
  <si>
    <t>Consolidated Statement of Changes in Taxpayers' Equity (SoCTE)</t>
  </si>
  <si>
    <t>Does the statement show the following columns where applicable:
• General Fund; 
• Revaluation Reserve; and
• Taxpayer’s Equity</t>
  </si>
  <si>
    <t>Has the balance at 31 March been shown for the current year and two prior years?</t>
  </si>
  <si>
    <t>Do the year end balances agree to those disclosed in the Consolidated Statement of Financial Position?</t>
  </si>
  <si>
    <t>Notes to the Accounts</t>
  </si>
  <si>
    <t>Note 1</t>
  </si>
  <si>
    <t>Statement of accounting policies</t>
  </si>
  <si>
    <t>Statement of Operating Expenditure by Operating Segment*</t>
  </si>
  <si>
    <t>Reconciliation between Operating Segments and CSoCNE.</t>
  </si>
  <si>
    <t>Note 2.2</t>
  </si>
  <si>
    <t>Programme Expenditure</t>
  </si>
  <si>
    <t>Investment Properties</t>
  </si>
  <si>
    <t>Note 9</t>
  </si>
  <si>
    <t>Note 11</t>
  </si>
  <si>
    <t>Investments and loans in other public sector bodies</t>
  </si>
  <si>
    <t>Note 12</t>
  </si>
  <si>
    <t>Assets Held for Sale</t>
  </si>
  <si>
    <t>Cash and Cash Equivalents</t>
  </si>
  <si>
    <t>Note 16</t>
  </si>
  <si>
    <t>Provisions for liabilities and charges</t>
  </si>
  <si>
    <t xml:space="preserve">Contingent liabilities </t>
  </si>
  <si>
    <t>Retirement Benefit Obligations</t>
  </si>
  <si>
    <t>Note 23</t>
  </si>
  <si>
    <t>Related-party transactions</t>
  </si>
  <si>
    <t>Note 24</t>
  </si>
  <si>
    <t>Third-party assets</t>
  </si>
  <si>
    <t>Note 25</t>
  </si>
  <si>
    <t>Entities within the departmental boundary</t>
  </si>
  <si>
    <t>Events after the Reporting Period</t>
  </si>
  <si>
    <t xml:space="preserve">The final heading Date for authorisation for issue – is not designated as a Note to the accounts
*FReM bodies should ensure compliance with IFRS 8.
</t>
  </si>
  <si>
    <t>Working papers</t>
  </si>
  <si>
    <t>Less NI contributions</t>
  </si>
  <si>
    <t>Outturn vs estimate: saving/(excess)</t>
  </si>
  <si>
    <t>Capital items</t>
  </si>
  <si>
    <t>6,7</t>
  </si>
  <si>
    <t>6,7,10</t>
  </si>
  <si>
    <t>Net Captial</t>
  </si>
  <si>
    <t>Accruals to cash adjustments</t>
  </si>
  <si>
    <t>Depreciation, impairments and revaluations</t>
  </si>
  <si>
    <t>3,4,15</t>
  </si>
  <si>
    <t>Notional charges</t>
  </si>
  <si>
    <t>Movement in working capital</t>
  </si>
  <si>
    <t>13,14</t>
  </si>
  <si>
    <t>Total accruals to cash adjustments</t>
  </si>
  <si>
    <t>Notional audit costs</t>
  </si>
  <si>
    <t>Other notional costs</t>
  </si>
  <si>
    <t>Total notional costs</t>
  </si>
  <si>
    <t>Net expenditure for the year including notionals</t>
  </si>
  <si>
    <t>Notional costs</t>
  </si>
  <si>
    <t>3a</t>
  </si>
  <si>
    <t>3b</t>
  </si>
  <si>
    <t>NOTE 3 PROGRAMME EXPENDITURE</t>
  </si>
  <si>
    <r>
      <rPr>
        <b/>
        <sz val="10"/>
        <rFont val="Arial"/>
        <family val="2"/>
      </rPr>
      <t xml:space="preserve">@1  </t>
    </r>
    <r>
      <rPr>
        <sz val="10"/>
        <rFont val="Arial"/>
        <family val="2"/>
      </rPr>
      <t>Note 3 - Other Expenditure - it is possible for the "Check Sign" to appear against The profit or loss on  Disposal where an intercompany adjustment is of a different sign to the actual total profit or loss; if this occurs re-check the interco figure and if you are content it is correct then it is OK to submit with a "Check Sign" message - add a note in the narrative to provide details.</t>
    </r>
  </si>
  <si>
    <t>NOTE 4  INCOME</t>
  </si>
  <si>
    <t>4.1 Income from contracts</t>
  </si>
  <si>
    <t>4.2 Other Operating Income</t>
  </si>
  <si>
    <t>NOTE 5.3 ASSETS CLASSIFIED AS HELD FOR SALE</t>
  </si>
  <si>
    <t>NOTE 7 IMPAIRMENTS</t>
  </si>
  <si>
    <t>NOTE 8 FINANCIAL INSTRUMENTS</t>
  </si>
  <si>
    <t>NOTE 9 INVESTMENTS</t>
  </si>
  <si>
    <t>NOTE 10 INVENTORIES</t>
  </si>
  <si>
    <t>NOTE 11 CASH AND CASH EQUIVALENTS</t>
  </si>
  <si>
    <t>NOTE 12 TRADE RECEIVABLES, FINANCIAL AND OTHER ASSETS</t>
  </si>
  <si>
    <t>NOTE 13 TRADE PAYABLES, FINANCIAL AND OTHER LIABILITIES</t>
  </si>
  <si>
    <t>13.1 Trade payables and other current liabilities</t>
  </si>
  <si>
    <t>NOTE 15 CONTINGENT LIABILITIES</t>
  </si>
  <si>
    <t>NOTE 15.1 FINANCIAL GUARANTEES, INDEMNITIES AND LETTERS OF COMFORT</t>
  </si>
  <si>
    <t>NOTE 16 LEASES</t>
  </si>
  <si>
    <t>NOTE 17 COMMITMENTS UNDER PFI CONTRACTS AND OTHER SERVICE CONCESSION ARRANGEMENTS</t>
  </si>
  <si>
    <t>17.1 Off balance sheet PFI contracts and other service concession arrangements</t>
  </si>
  <si>
    <t xml:space="preserve">NOTE 18.1 CAPITAL COMMITMENTS </t>
  </si>
  <si>
    <t>NOTE 18.2 OTHER FINANCIAL COMMITMENTS</t>
  </si>
  <si>
    <t>NOTE 20 THIRD PARTY ASSETS</t>
  </si>
  <si>
    <t>NOTE 21 EVENTS AFTER THE REPORTING PERIOD</t>
  </si>
  <si>
    <t>Remote Contingent Liabilities</t>
  </si>
  <si>
    <t>Quantifiable contingent liabilities</t>
  </si>
  <si>
    <t>Unquantifiable contingent liabilities</t>
  </si>
  <si>
    <t>Reconciliation of contingent liabilities included in the supply estimate to the accounts</t>
  </si>
  <si>
    <t>Description of contingent liability</t>
  </si>
  <si>
    <t>Supply Estimate (£'000)</t>
  </si>
  <si>
    <t>Amount disclosed in ARA (£'000)</t>
  </si>
  <si>
    <t>Variance (Estimate - Amounts disclosed in the ARA, £'000)</t>
  </si>
  <si>
    <t>Cap element of payments - leases and on balance sheet (SoFP) PFI contracts</t>
  </si>
  <si>
    <t>Capital element of payments in respect of leases and on-balance sheet (SoFP) PFI contracts</t>
  </si>
  <si>
    <t>Current part of lease liabilities</t>
  </si>
  <si>
    <t>Current part of capital and interest elements of PFI contracts and other service concession arrangements</t>
  </si>
  <si>
    <t>Capital and interest elements of PFI contracts and other service concession arrangements</t>
  </si>
  <si>
    <t>Capital elements due in future periods:</t>
  </si>
  <si>
    <t>3c</t>
  </si>
  <si>
    <t>3c.</t>
  </si>
  <si>
    <t xml:space="preserve">Notional audit costs </t>
  </si>
  <si>
    <t>The non-cash auditors' remuneration for the year included costs incurred by the Department for the departmental group audit, and by agencies and NDPBs for the audit of their individual accounts as shown in the breakdown below.  Further details for agencies and NDPBs can be found in their individual accounts.</t>
  </si>
  <si>
    <t>Total Core Department and Agencies</t>
  </si>
  <si>
    <t>Belfast Health and Social Care Trust</t>
  </si>
  <si>
    <t>Northern Ireland Ambulance Service</t>
  </si>
  <si>
    <t>Northern Ireland Blood Transfusion Service</t>
  </si>
  <si>
    <t>Northern Ireland Fire and Rescue Service</t>
  </si>
  <si>
    <t>Northern Ireland Medical and Dental Training Agency</t>
  </si>
  <si>
    <t>Northern Ireland Practice and Education Council for Nursing and Midwifery</t>
  </si>
  <si>
    <t>Northern Ireland Social Care Council</t>
  </si>
  <si>
    <t>South Eastern Health and Social Care Trust</t>
  </si>
  <si>
    <t>Southern Health and Social Care Trust</t>
  </si>
  <si>
    <t>Western Health and Social Care Trust</t>
  </si>
  <si>
    <t>Departmental Group Notional Audit Costs</t>
  </si>
  <si>
    <t xml:space="preserve">NOTE 3.1 NOTIONAL AUDIT COSTS </t>
  </si>
  <si>
    <t>Please note that other NDPBs are hard charged for their audit costs, and their costs are included in the departmental group figure for audit costs at Note 3b.</t>
  </si>
  <si>
    <t>Core and Agencies</t>
  </si>
  <si>
    <t>Current Service Cost</t>
  </si>
  <si>
    <t>Past Service Cost</t>
  </si>
  <si>
    <t>Interest charge</t>
  </si>
  <si>
    <t>Pension benefits paid</t>
  </si>
  <si>
    <t>Pension transfers</t>
  </si>
  <si>
    <t>Pension payments to and on account of leavers</t>
  </si>
  <si>
    <t>Actuarial loss/(gain)</t>
  </si>
  <si>
    <t>NILGOSC</t>
  </si>
  <si>
    <t xml:space="preserve">NILGOSC Pension - NIFRS - Current service cost </t>
  </si>
  <si>
    <t xml:space="preserve">NILGOSC Pension - NIFRS - Past service cost </t>
  </si>
  <si>
    <t>NILGOSC Pension - NIFRS - Interest on Scheme Liabilities</t>
  </si>
  <si>
    <t xml:space="preserve">FF Pension - NIFRS - Current service cost </t>
  </si>
  <si>
    <t xml:space="preserve">FF Pension - NIFRS - Past service cost </t>
  </si>
  <si>
    <t>FF Pension - NIFRS - Interest on Scheme Liabilities</t>
  </si>
  <si>
    <t>Consol INTERCO</t>
  </si>
  <si>
    <t>Core &amp; Agencies INTERCO</t>
  </si>
  <si>
    <t>Leases</t>
  </si>
  <si>
    <t>Quantitative disclosures around right-of-use assets</t>
  </si>
  <si>
    <t>Quantitative disclosures around lease liabilities</t>
  </si>
  <si>
    <t>Quantitative disclosures around elements in the Statement of Comprehensive Net Expenditure</t>
  </si>
  <si>
    <t>Quantitative disclosures around cash outflow for leases</t>
  </si>
  <si>
    <t>Depreciation expense</t>
  </si>
  <si>
    <t>Current portion</t>
  </si>
  <si>
    <t>Non-current portion</t>
  </si>
  <si>
    <t>Variable lease payments not included in lease liabilities</t>
  </si>
  <si>
    <t>Sub-leasing income</t>
  </si>
  <si>
    <t>Expense related to short-term leases</t>
  </si>
  <si>
    <t>Expense related to low-value asset leases (excluding short-term leases)</t>
  </si>
  <si>
    <t>Total cash outflow for lease</t>
  </si>
  <si>
    <t>Maturity analysis</t>
  </si>
  <si>
    <t>16.2</t>
  </si>
  <si>
    <t>Total present value of obligations</t>
  </si>
  <si>
    <t>16.3</t>
  </si>
  <si>
    <t>16.4</t>
  </si>
  <si>
    <t>16.1 Quantitative disclosures around right-of-use assets</t>
  </si>
  <si>
    <t>Adjustment for income received re Donations / Government grant / Lottery funding for non current assets</t>
  </si>
  <si>
    <t>Adjustment for Research and Development under ESA10</t>
  </si>
  <si>
    <t>Capital Resource Limit</t>
  </si>
  <si>
    <t>Non cash adjustment re CF</t>
  </si>
  <si>
    <t>Consolidated Fund</t>
  </si>
  <si>
    <t>Prior Year Outturn Total</t>
  </si>
  <si>
    <t>NCR Check</t>
  </si>
  <si>
    <t>Note 11 bank balances</t>
  </si>
  <si>
    <t>Closing balance</t>
  </si>
  <si>
    <t>(Increase)/decrease in bank</t>
  </si>
  <si>
    <t xml:space="preserve">Net cash requirement above </t>
  </si>
  <si>
    <t>Supply drawdown</t>
  </si>
  <si>
    <t>Hot review checklist test</t>
  </si>
  <si>
    <t>Bank balance should be made up of the following:</t>
  </si>
  <si>
    <t>CFERS received and due to be paid to CF</t>
  </si>
  <si>
    <t>Supply Debtor (minus figure)</t>
  </si>
  <si>
    <t>OR Supply Creditor (positive figure)</t>
  </si>
  <si>
    <t>Calculated bank balance</t>
  </si>
  <si>
    <t>Actual bank balance (from above)</t>
  </si>
  <si>
    <t>Difference - should be Nil</t>
  </si>
  <si>
    <t>Children's Court Guardian Agency for NI</t>
  </si>
  <si>
    <t>- Children's Court Guardian Agency for NI</t>
  </si>
  <si>
    <t>CCGANI</t>
  </si>
  <si>
    <t>Interco Consol Adjustments 6 Agreement difference</t>
  </si>
  <si>
    <t>Inc/exp</t>
  </si>
  <si>
    <t>Pay/rec</t>
  </si>
  <si>
    <t>Interco Consol Adjustments 4 -Investments</t>
  </si>
  <si>
    <t>Roundings &amp; manual adjustments</t>
  </si>
  <si>
    <t>Intercompany movement</t>
  </si>
  <si>
    <t>GiA</t>
  </si>
  <si>
    <t xml:space="preserve"> 31 March 2023</t>
  </si>
  <si>
    <t xml:space="preserve">Strategic planning and performance group </t>
  </si>
  <si>
    <t>The Core Department, Strategic planning and performance group and Public Health Agency have no Capital Commitments.</t>
  </si>
  <si>
    <t>SPPG</t>
  </si>
  <si>
    <t>The six HSC Trusts are established to provide goods and services for the purposes of health and social care and, with the exception of the Ambulance Trust, are also responsible for exercising on behalf of the SPPG certain statutory functions.</t>
  </si>
  <si>
    <t>to SPPG</t>
  </si>
  <si>
    <t>SPPG cash grant</t>
  </si>
  <si>
    <t>SPPG total</t>
  </si>
  <si>
    <t>Miscellaneous Grants &amp; Disbursements includes income from Department of Education payable to SPPG for Surestart and Early Years of</t>
  </si>
  <si>
    <t>The consolidated 'Cash and Cash Equivalent' balance in the Statement of Financial Position reflects the SPPG and PHA bank balances of</t>
  </si>
  <si>
    <t>TO BE COMPLETED BY SPPG AND PHA ONLY</t>
  </si>
  <si>
    <t>Core and Agencies Interco ONLY</t>
  </si>
  <si>
    <t>PFI Adjustment</t>
  </si>
  <si>
    <t>PPE Stock Adjustment</t>
  </si>
  <si>
    <t>Interest charges under IFRS16</t>
  </si>
  <si>
    <t>ENSURE THE TOTAL STAFF COST FIGURES AGREE TO THE SoCNE</t>
  </si>
  <si>
    <t>Acquisition</t>
  </si>
  <si>
    <t>Change in valuation</t>
  </si>
  <si>
    <t>Supply</t>
  </si>
  <si>
    <t>Lease Liabilities</t>
  </si>
  <si>
    <t>PFI Liabilities</t>
  </si>
  <si>
    <r>
      <t>Non-Cash Changes</t>
    </r>
    <r>
      <rPr>
        <sz val="10"/>
        <color theme="1"/>
        <rFont val="Arial"/>
        <family val="2"/>
      </rPr>
      <t xml:space="preserve"> [if applicable]</t>
    </r>
  </si>
  <si>
    <t xml:space="preserve">11.1 Reconciliation of liabilities arising from financing activities </t>
  </si>
  <si>
    <t xml:space="preserve">The movement in net pension liabilities shown in the table below relates to the NILGOSC and Firefighters Pension Schemes for staff in NI Fire and Rescue Services (NIFRS). None of the amounts relate to the Core Department and Agencies, the total is all within the Departmental Group. </t>
  </si>
  <si>
    <t>Further details in relation to the pension disclosures are provided in the NIFRS Annual Report and Accounts.</t>
  </si>
  <si>
    <t>FF schemes</t>
  </si>
  <si>
    <t>Consolidated property, plant and equipment 2022-23</t>
  </si>
  <si>
    <t>Consolidated property, plant and equipment 2021-22</t>
  </si>
  <si>
    <t>Consolidated intangible assets 2022-23</t>
  </si>
  <si>
    <t>Consolidated intangible assets 2021-22</t>
  </si>
  <si>
    <t xml:space="preserve">Other financial commitments </t>
  </si>
  <si>
    <t xml:space="preserve">Amendments to IAS 7 introduced a requirement for an entity to provide disclosures that enabled users of the financial statements to evaluate changes in liabilities arising from financing activities, including both cash and non-cash changes. The liabilities disclose should be tailored to each entity’s financing activities. IAS 7 does not mandate a template but below is a suggestion of how this requirement could be met. Entities are free to disclose the requirements of IAS 7 in other formats including net debt reconciliations. Narrative disclosures are also permitted, especially where there are no/minimal movements in year. Comparative information is not required in the first year of application of the amendment. </t>
  </si>
  <si>
    <t>Remeasurement</t>
  </si>
  <si>
    <t>Cost or valuation</t>
  </si>
  <si>
    <t>Recognition</t>
  </si>
  <si>
    <t>Interest charged on IFRS 16 leases</t>
  </si>
  <si>
    <t>At 31 March 2023</t>
  </si>
  <si>
    <t>Carrying amount  31 March 2023</t>
  </si>
  <si>
    <t>Carrying amount  31 March 2022</t>
  </si>
  <si>
    <t>Opening balance adjustment</t>
  </si>
  <si>
    <t>Non cash adjustments</t>
  </si>
  <si>
    <t>Increase/(Decrease) in Inventories</t>
  </si>
  <si>
    <t>(Increase)/Decrease in Trade Payables</t>
  </si>
  <si>
    <t>Increase/(Decrease) in Trade Receivables</t>
  </si>
  <si>
    <t>Release of Government grant</t>
  </si>
  <si>
    <t>Northern Health and Social Care Trust</t>
  </si>
  <si>
    <t>Capital element of lease payments</t>
  </si>
  <si>
    <t>5,13</t>
  </si>
  <si>
    <t>6,13</t>
  </si>
  <si>
    <t>5,6</t>
  </si>
  <si>
    <t xml:space="preserve">3 - FHS - Family Health Services - General Medical Services </t>
  </si>
  <si>
    <t xml:space="preserve">4 - Family Health Services - Pharmaceutical Services </t>
  </si>
  <si>
    <t xml:space="preserve">5 - Family Health Services - Dental Services </t>
  </si>
  <si>
    <t xml:space="preserve">6 - Family Health Services - Ophthalmic Services </t>
  </si>
  <si>
    <t>10 - Food Safety Promotion Board (NDPB - Net)</t>
  </si>
  <si>
    <t>Consolidated Fund Extra Receipts</t>
  </si>
  <si>
    <t>Central Expenditure</t>
  </si>
  <si>
    <t>Health and Social Care Trusts (ALB - Net)</t>
  </si>
  <si>
    <t>Regional Business Services Organisation (ALB - Net)</t>
  </si>
  <si>
    <t>Northern Ireland Blood Transfusion Service (ALB - Net)</t>
  </si>
  <si>
    <t>Northern Ireland Medical and Dental Training Agency (ALB - Net)</t>
  </si>
  <si>
    <t>Northern Ireland Practice and Education Council for Nursing and Midwifery (ALB - Net)</t>
  </si>
  <si>
    <t>Northern Ireland Social Care Council (ALB - Net)</t>
  </si>
  <si>
    <t>Patient and Client Council (ALB - Net)</t>
  </si>
  <si>
    <t>Health and Social Care Regulation and Quality Improvement Authority (ALB - Net)</t>
  </si>
  <si>
    <t>Food Safety Promotion Board (ALB - Net)</t>
  </si>
  <si>
    <t>Institute of Public Health in Ireland CLG (ALB - Net)</t>
  </si>
  <si>
    <t>Northern Ireland Fire and Rescue Service Board (ALB - Net)</t>
  </si>
  <si>
    <t>Net total</t>
  </si>
  <si>
    <t>*Virements are the reallocation of provision in the Estimates that do not require Assembly authority (because the Assembly does not vote to that level of detail and delegates to DoF).  Further information on virements are provided in the Supply Estimates in Northern Ireland Guidance Manual, available on the DoF website.</t>
  </si>
  <si>
    <t xml:space="preserve">Movement in working capital </t>
  </si>
  <si>
    <t xml:space="preserve">These figures have been reported as negative amounts to align with the agreed presentation of the RoFP Estimates (Part III Note C) whereby income is presented as a negative figure </t>
  </si>
  <si>
    <t>NI Blood Tranfusion Service</t>
  </si>
  <si>
    <t>Number of off-payroll workers engaged during the year ended 31 March 2023</t>
  </si>
  <si>
    <t>2023-24</t>
  </si>
  <si>
    <t xml:space="preserve"> 31 March 2024</t>
  </si>
  <si>
    <t>MAP tab should only ever be altered within the Consol Template AND ONLY when this file and any other linked files are open - currently only linked file is "Core ").</t>
  </si>
  <si>
    <t>Note 3a</t>
  </si>
  <si>
    <t>Note 3b</t>
  </si>
  <si>
    <t>Commercial bank overdraft</t>
  </si>
  <si>
    <t>Information technology</t>
  </si>
  <si>
    <t>Plant &amp; machinery</t>
  </si>
  <si>
    <t>Furniture &amp; fittings</t>
  </si>
  <si>
    <t>£'001</t>
  </si>
  <si>
    <t>£'002</t>
  </si>
  <si>
    <t>£'003</t>
  </si>
  <si>
    <t>£'004</t>
  </si>
  <si>
    <t>£'005</t>
  </si>
  <si>
    <r>
      <t>TO BE COMPLETED BY</t>
    </r>
    <r>
      <rPr>
        <b/>
        <u/>
        <sz val="12"/>
        <color rgb="FF0070C0"/>
        <rFont val="Arial"/>
        <family val="2"/>
      </rPr>
      <t xml:space="preserve"> ALL</t>
    </r>
    <r>
      <rPr>
        <b/>
        <sz val="12"/>
        <color rgb="FF0070C0"/>
        <rFont val="Arial"/>
        <family val="2"/>
      </rPr>
      <t xml:space="preserve"> ALBs</t>
    </r>
  </si>
  <si>
    <t>DoH - SPPG</t>
  </si>
  <si>
    <t>DoH - Finance Directorate</t>
  </si>
  <si>
    <t>Other (please specify)</t>
  </si>
  <si>
    <t>Total RRL received</t>
  </si>
  <si>
    <t>Total RRL Issued</t>
  </si>
  <si>
    <t>Net RRL position</t>
  </si>
  <si>
    <t>Revenue Resource Limit Expenditure</t>
  </si>
  <si>
    <t>Net Expenditure per SoCNE</t>
  </si>
  <si>
    <t>Adjustments to remove items not funded via RRL</t>
  </si>
  <si>
    <t>Capital grants for R&amp;D</t>
  </si>
  <si>
    <t>Capital grants for GP scheme</t>
  </si>
  <si>
    <t>Increase/decrease in provisions (provisions provided for in year less any release)</t>
  </si>
  <si>
    <t>Net Expenditure Funded from RRL</t>
  </si>
  <si>
    <t>CRL Allocated From:</t>
  </si>
  <si>
    <t>Department of Health - Investment Directorate</t>
  </si>
  <si>
    <t>Department of Health - Strategic Planning &amp; Performance Group</t>
  </si>
  <si>
    <t>Northern Ireland Medical &amp; Dental Training Agency</t>
  </si>
  <si>
    <t>Total CRL received</t>
  </si>
  <si>
    <t>Less CRL Issued To:</t>
  </si>
  <si>
    <t>Total CRL Issued</t>
  </si>
  <si>
    <t>Net CRL position</t>
  </si>
  <si>
    <t>Capital Resource Limit Expenditure</t>
  </si>
  <si>
    <t>Capital expenditure per additions in asset notes</t>
  </si>
  <si>
    <t>Adjustments to remove items not funded via CRL</t>
  </si>
  <si>
    <t>Charitable trust fund capital expenditure</t>
  </si>
  <si>
    <t>PFI and other service concession arrangements</t>
  </si>
  <si>
    <t>Net Book Value of disposals</t>
  </si>
  <si>
    <t>Net Capital Expenditure Funded from CRL</t>
  </si>
  <si>
    <t>Note 3 Expenditure  (Intercompany check)</t>
  </si>
  <si>
    <t>Note 9 Investments</t>
  </si>
  <si>
    <t>Movement in Inventory - Note 10</t>
  </si>
  <si>
    <t>Movement in Receivables - Note 12</t>
  </si>
  <si>
    <t>Movement in Payables - Note 13</t>
  </si>
  <si>
    <t>PPE  Note 5.1</t>
  </si>
  <si>
    <t>Intangibles Note 6.1</t>
  </si>
  <si>
    <t>Assets held for resale Note 5.3</t>
  </si>
  <si>
    <t>Impairment through operating exp note 3</t>
  </si>
  <si>
    <t>Profit on disposal of assets (note 3)</t>
  </si>
  <si>
    <t>Profit on disposal of non-depreciable fixed assets (note 4)</t>
  </si>
  <si>
    <t>Assets held for resale - cost (note 5.3)</t>
  </si>
  <si>
    <t>Assets held for resale - depreciation (note 5.3)</t>
  </si>
  <si>
    <t>Assets held for resale - Carrying amount (note 5.3)</t>
  </si>
  <si>
    <t>Intangibles - cost 6.1</t>
  </si>
  <si>
    <t>Intangibles - amortization 6.1</t>
  </si>
  <si>
    <t>Property, plant &amp; equip - cost 5.1</t>
  </si>
  <si>
    <t>Property, plant &amp; equip - depreciation 5.1</t>
  </si>
  <si>
    <t>Indexation - Tangible &amp; intangible Note 5.1 &amp; 6.1</t>
  </si>
  <si>
    <t>Revaluation - Tangible &amp; intangible Note 5.1 &amp; 6.1</t>
  </si>
  <si>
    <t>Intangibles note 6.1</t>
  </si>
  <si>
    <t>Operating exps - note 3</t>
  </si>
  <si>
    <t>PPE note 5.1</t>
  </si>
  <si>
    <t>Note 5.1 (PPE)</t>
  </si>
  <si>
    <t>Note 6.1 (Intangibles)</t>
  </si>
  <si>
    <t>Note 5.3 (Assets held for resale)</t>
  </si>
  <si>
    <t>Notes 5.1 and 6.1</t>
  </si>
  <si>
    <t>Note 5.1 Asset additions</t>
  </si>
  <si>
    <t>Movement in property, plant and equipment payables</t>
  </si>
  <si>
    <t>Reconciling items - please list</t>
  </si>
  <si>
    <t>Note 6.1 Asset additions</t>
  </si>
  <si>
    <t>Movement in intangibles payables</t>
  </si>
  <si>
    <t>Movements in receivables relating to the purchase of property, plant and equipment - Cash flow</t>
  </si>
  <si>
    <t>Movements in receivables relating to the purchase of property, plant and equipment - Note 13</t>
  </si>
  <si>
    <t>Movements in receivables relating to the purchase intangibles - Cash flow</t>
  </si>
  <si>
    <t>Movements in receivables relating to the purchase of intangibles - Note 13</t>
  </si>
  <si>
    <t>The following details are only required for individual cases with an individual value &gt; £300k</t>
  </si>
  <si>
    <t>Individual Losses over £300,000</t>
  </si>
  <si>
    <t>Special Payments &gt; £300k</t>
  </si>
  <si>
    <t>Gifts over £300,000</t>
  </si>
  <si>
    <t>Losses over £300,000</t>
  </si>
  <si>
    <t>Total Losses &gt; £300k - no of cases</t>
  </si>
  <si>
    <t>Total Losses &gt; £300k - value of cases</t>
  </si>
  <si>
    <t>Total Special Payments &gt; £300k - no of cases</t>
  </si>
  <si>
    <t>Total Special Payments &gt; £300k - value of cases</t>
  </si>
  <si>
    <t>Total Gifts &gt; £300k - no of cases</t>
  </si>
  <si>
    <t>Total Gifts &gt; £300k - value of cases</t>
  </si>
  <si>
    <t>Income in budgets surrendered to the Consolidated Fund (resource)</t>
  </si>
  <si>
    <t>Income in budgets surrendered to the Consolidated Fund (capital)</t>
  </si>
  <si>
    <t>Non-budget amounts collectable on behalf of the Consolidated Find (in the SoCNE)</t>
  </si>
  <si>
    <t>Income 
(Accruals)</t>
  </si>
  <si>
    <t>Receipts 
(Cash basis)</t>
  </si>
  <si>
    <r>
      <t xml:space="preserve">In addition to contingent liabilities disclosed in the financial statements, the </t>
    </r>
    <r>
      <rPr>
        <sz val="10"/>
        <color rgb="FFFF0000"/>
        <rFont val="Arial"/>
        <family val="2"/>
      </rPr>
      <t>[name of body]</t>
    </r>
    <r>
      <rPr>
        <sz val="10"/>
        <rFont val="Arial"/>
        <family val="2"/>
      </rPr>
      <t xml:space="preserve"> also reports liabilities for which the likelihood of a transfer of economic benefit in settlement is remote but are still in scope of IAS37.</t>
    </r>
  </si>
  <si>
    <t>In addition to contingent liabilities disclosed in the financial statements, the department also reports liabilities for which the likelihood of a transfer of economic benefit in settlement is remote but are still in scope of IAS37.</t>
  </si>
  <si>
    <r>
      <t xml:space="preserve">Adjustment for non-cash pension costs </t>
    </r>
    <r>
      <rPr>
        <b/>
        <sz val="10"/>
        <rFont val="Arial"/>
        <family val="2"/>
      </rPr>
      <t>(For NIFRS use only)</t>
    </r>
  </si>
  <si>
    <t>Adjustment for non-cash pension costs (For NIFRS use only)</t>
  </si>
  <si>
    <t>Explanation where required</t>
  </si>
  <si>
    <t>Non cash write off of PPE</t>
  </si>
  <si>
    <t>3b Programme expenditure</t>
  </si>
  <si>
    <t>4 Income</t>
  </si>
  <si>
    <t>4.1 Fees and charges information</t>
  </si>
  <si>
    <t>5 PPE</t>
  </si>
  <si>
    <t>5.4 Assets Classified as Held for Sale</t>
  </si>
  <si>
    <t>6 Intangible Assets</t>
  </si>
  <si>
    <t>7 Impairments</t>
  </si>
  <si>
    <t>8 Financial Instruments</t>
  </si>
  <si>
    <t>9 Investments and loans in other public sector bodies</t>
  </si>
  <si>
    <t>12 Trade receivables and other current assets</t>
  </si>
  <si>
    <t>13 Trade payables, financial and other liabilities</t>
  </si>
  <si>
    <t>14  Core Provisions for liabilities and charges Cyr</t>
  </si>
  <si>
    <t>SoCNE to Notes 3a + 3b in MAP</t>
  </si>
  <si>
    <t>DEPREC / AMORT
SoCNE to Notes 3a + 3b to notes 5 + 6 in Accounts</t>
  </si>
  <si>
    <t>SUM
 Note 3a + 3b</t>
  </si>
  <si>
    <t xml:space="preserve">SUM
 Note 5 + 5.4 + 6 </t>
  </si>
  <si>
    <t>Note 5.4</t>
  </si>
  <si>
    <t xml:space="preserve">SUM
 Note 5 + 6 </t>
  </si>
  <si>
    <t>Children’s Court Guardian Agency for Northern Ireland (ALB - Net)</t>
  </si>
  <si>
    <t>Capital in the SoCNE</t>
  </si>
  <si>
    <t>See CHECK 1 cell I65</t>
  </si>
  <si>
    <t>See CHECK 1 cell I56</t>
  </si>
  <si>
    <t>See CHECK 1 cell I59</t>
  </si>
  <si>
    <t>See CHECK 1 cell I60</t>
  </si>
  <si>
    <t>See CHECK 1 cell I63</t>
  </si>
  <si>
    <t>See CHECK 1 cell I66</t>
  </si>
  <si>
    <t>See CHECK 1 cell I68</t>
  </si>
  <si>
    <t>See CHECK 1 cell I67</t>
  </si>
  <si>
    <t>See CHECK 1 cell I78</t>
  </si>
  <si>
    <t>13 - Consolidated Fund Extra Receipts (CFERs)</t>
  </si>
  <si>
    <t>14 - Central Expenditure</t>
  </si>
  <si>
    <t>15 - Health &amp; Social Care Trusts (ALB - Net)</t>
  </si>
  <si>
    <t>16 - Northern Ireland Fire and Rescue Service Board (ALB - Net)</t>
  </si>
  <si>
    <t>17 - Other ALBs (Net)</t>
  </si>
  <si>
    <t>Consolidated Fund Extra Receipts  (CFERs)</t>
  </si>
  <si>
    <t>Note:</t>
  </si>
  <si>
    <t>Central Expenditure (above) includes European Union Programmes Interreg</t>
  </si>
  <si>
    <r>
      <t>Non-Cash Changes</t>
    </r>
    <r>
      <rPr>
        <sz val="9"/>
        <color theme="1"/>
        <rFont val="Arial"/>
        <family val="2"/>
      </rPr>
      <t xml:space="preserve"> [if applicable]</t>
    </r>
  </si>
  <si>
    <t>Resource DEL Voted</t>
  </si>
  <si>
    <t>Resource DEL Non-voted</t>
  </si>
  <si>
    <t>Resource DEL Total</t>
  </si>
  <si>
    <t>Resource AME Voted</t>
  </si>
  <si>
    <t>Resource AME Non-voted</t>
  </si>
  <si>
    <t>Resource AME Total</t>
  </si>
  <si>
    <t>Capital DEL Voted</t>
  </si>
  <si>
    <t>Capital DEL Non-voted</t>
  </si>
  <si>
    <t>Capital DEL Total</t>
  </si>
  <si>
    <t>Capital AME Voted</t>
  </si>
  <si>
    <t>Capital AME Non-voted</t>
  </si>
  <si>
    <t>Capital AME Total</t>
  </si>
  <si>
    <t>SoAS 3-Core and agencies only</t>
  </si>
  <si>
    <t>NCR estimate</t>
  </si>
  <si>
    <t>NCR total</t>
  </si>
  <si>
    <t>CFERs to SoAS 1</t>
  </si>
  <si>
    <t>CFERs to CSCF</t>
  </si>
  <si>
    <t>Departmental group</t>
  </si>
  <si>
    <t>Note 7 impairments</t>
  </si>
  <si>
    <t>11.1 Reconciliation of liabilities arising from financing activities</t>
  </si>
  <si>
    <t>Note 4 - profit on disposal of non-depreciable fixed assets</t>
  </si>
  <si>
    <t>Note 3a - (profit)/loss on disposal of property, plant &amp; equipment</t>
  </si>
  <si>
    <t>Note 3a - (profit)/loss on disposal of intangibles</t>
  </si>
  <si>
    <t>Note 3b - (profit)/loss on disposal of property, plant &amp; equipment</t>
  </si>
  <si>
    <t>Note 3b - (profit)/loss on disposal of intangibles</t>
  </si>
  <si>
    <t>PPE disposal proceeds</t>
  </si>
  <si>
    <t>Intangible disposal proceeds</t>
  </si>
  <si>
    <t>Assets held for sale disposal proceeds</t>
  </si>
  <si>
    <t>Disposal costs</t>
  </si>
  <si>
    <t xml:space="preserve">Do the draft annual report and accounts comprise the following three sections (see also FD (DoF) 03/24):
The detail below refers to the standard FReM requirements.
</t>
  </si>
  <si>
    <r>
      <rPr>
        <b/>
        <sz val="12"/>
        <color theme="8" tint="-0.249977111117893"/>
        <rFont val="Calibri"/>
        <family val="2"/>
        <scheme val="minor"/>
      </rPr>
      <t>1. The Performance Report</t>
    </r>
    <r>
      <rPr>
        <sz val="11"/>
        <color theme="1"/>
        <rFont val="Calibri"/>
        <family val="2"/>
        <scheme val="minor"/>
      </rPr>
      <t xml:space="preserve"> with two sections-
</t>
    </r>
    <r>
      <rPr>
        <b/>
        <sz val="11"/>
        <color theme="1"/>
        <rFont val="Calibri"/>
        <family val="2"/>
        <scheme val="minor"/>
      </rPr>
      <t>• Performance Overview
• Performance Analysis</t>
    </r>
    <r>
      <rPr>
        <sz val="11"/>
        <color theme="1"/>
        <rFont val="Calibri"/>
        <family val="2"/>
        <scheme val="minor"/>
      </rPr>
      <t xml:space="preserve">
The detailed requirements are set out in FReM 5.3 and 5.4 and also </t>
    </r>
    <r>
      <rPr>
        <sz val="11"/>
        <rFont val="Calibri"/>
        <family val="2"/>
        <scheme val="minor"/>
      </rPr>
      <t xml:space="preserve">FD(DoF) 03/24 Annex A sections 4 &amp; 5. 
Reporting on specific issues significantly impacting the department is set out in FD (DoF) 03/24 Annex A.
</t>
    </r>
    <r>
      <rPr>
        <sz val="11"/>
        <color theme="1"/>
        <rFont val="Calibri"/>
        <family val="2"/>
        <scheme val="minor"/>
      </rPr>
      <t xml:space="preserve">
FReM5.4.5a requires an </t>
    </r>
    <r>
      <rPr>
        <i/>
        <sz val="11"/>
        <color theme="8" tint="-0.249977111117893"/>
        <rFont val="Calibri"/>
        <family val="2"/>
        <scheme val="minor"/>
      </rPr>
      <t>explanation of the budgeting framework</t>
    </r>
    <r>
      <rPr>
        <sz val="11"/>
        <color theme="1"/>
        <rFont val="Calibri"/>
        <family val="2"/>
        <scheme val="minor"/>
      </rPr>
      <t xml:space="preserve"> to be provid</t>
    </r>
    <r>
      <rPr>
        <sz val="11"/>
        <rFont val="Calibri"/>
        <family val="2"/>
        <scheme val="minor"/>
      </rPr>
      <t>ed.  DoF have provided</t>
    </r>
    <r>
      <rPr>
        <sz val="11"/>
        <color rgb="FFFF0000"/>
        <rFont val="Calibri"/>
        <family val="2"/>
        <scheme val="minor"/>
      </rPr>
      <t xml:space="preserve"> </t>
    </r>
    <r>
      <rPr>
        <sz val="11"/>
        <rFont val="Calibri"/>
        <family val="2"/>
        <scheme val="minor"/>
      </rPr>
      <t xml:space="preserve">proforma wording in FD(DoF) 03/24 Annex A - Appendix 4.
FD (DoF) 03-24 requires that departments with a Non-Executive membership on the departmental board should include a </t>
    </r>
    <r>
      <rPr>
        <sz val="11"/>
        <color theme="4" tint="-0.249977111117893"/>
        <rFont val="Calibri"/>
        <family val="2"/>
        <scheme val="minor"/>
      </rPr>
      <t>‘</t>
    </r>
    <r>
      <rPr>
        <i/>
        <sz val="11"/>
        <color theme="4" tint="-0.249977111117893"/>
        <rFont val="Calibri"/>
        <family val="2"/>
        <scheme val="minor"/>
      </rPr>
      <t>Non-Executives’ Report</t>
    </r>
    <r>
      <rPr>
        <sz val="11"/>
        <color theme="4" tint="-0.249977111117893"/>
        <rFont val="Calibri"/>
        <family val="2"/>
        <scheme val="minor"/>
      </rPr>
      <t xml:space="preserve">’, </t>
    </r>
    <r>
      <rPr>
        <sz val="11"/>
        <rFont val="Calibri"/>
        <family val="2"/>
        <scheme val="minor"/>
      </rPr>
      <t xml:space="preserve">as detailed within Annex A, section 8.
</t>
    </r>
    <r>
      <rPr>
        <sz val="11"/>
        <color theme="1"/>
        <rFont val="Calibri"/>
        <family val="2"/>
        <scheme val="minor"/>
      </rPr>
      <t xml:space="preserve">
Note that in relation to</t>
    </r>
    <r>
      <rPr>
        <i/>
        <sz val="11"/>
        <color theme="8" tint="-0.249977111117893"/>
        <rFont val="Calibri"/>
        <family val="2"/>
        <scheme val="minor"/>
      </rPr>
      <t xml:space="preserve"> sustainability reporting requirements </t>
    </r>
    <r>
      <rPr>
        <sz val="11"/>
        <color theme="1"/>
        <rFont val="Calibri"/>
        <family val="2"/>
        <scheme val="minor"/>
      </rPr>
      <t>for NI (FReM 5.4.13),</t>
    </r>
    <r>
      <rPr>
        <sz val="11"/>
        <color rgb="FFFF0000"/>
        <rFont val="Calibri"/>
        <family val="2"/>
        <scheme val="minor"/>
      </rPr>
      <t xml:space="preserve"> </t>
    </r>
    <r>
      <rPr>
        <sz val="11"/>
        <rFont val="Calibri"/>
        <family val="2"/>
        <scheme val="minor"/>
      </rPr>
      <t>FD(DoF) 03/24 Annex A para 8.17 asks departments to contact DAERA for guidance.</t>
    </r>
    <r>
      <rPr>
        <sz val="11"/>
        <color theme="1"/>
        <rFont val="Calibri"/>
        <family val="2"/>
        <scheme val="minor"/>
      </rPr>
      <t xml:space="preserve"> </t>
    </r>
    <r>
      <rPr>
        <sz val="11"/>
        <color theme="4" tint="-0.249977111117893"/>
        <rFont val="Calibri"/>
        <family val="2"/>
        <scheme val="minor"/>
      </rPr>
      <t xml:space="preserve"> DAERA are to issue guidance to the Departments for sustainablity reporting 2023-24. </t>
    </r>
    <r>
      <rPr>
        <sz val="11"/>
        <color theme="1"/>
        <rFont val="Calibri"/>
        <family val="2"/>
        <scheme val="minor"/>
      </rPr>
      <t xml:space="preserve">
Updated wording on requirements on fraud and error analysis have been included within FD(DoF) 03/34 Annex 6.
Reporting of management of outside interests wording has been updated FD(DoF) 03/34 Annex 5.</t>
    </r>
  </si>
  <si>
    <r>
      <rPr>
        <b/>
        <sz val="11"/>
        <color theme="1"/>
        <rFont val="Calibri"/>
        <family val="2"/>
        <scheme val="minor"/>
      </rPr>
      <t xml:space="preserve">  Corporate Governance Report (FReM 6.4)</t>
    </r>
    <r>
      <rPr>
        <sz val="11"/>
        <color theme="1"/>
        <rFont val="Calibri"/>
        <family val="2"/>
        <scheme val="minor"/>
      </rPr>
      <t xml:space="preserve"> must include: 
• Directors’ Report;
• Statement of Accounting Officer’s Responsibilities; and (updated for Departments completing consolidated accounts - FD (DoF) 03/24 - Appendix 6)
• Governance Statement. </t>
    </r>
  </si>
  <si>
    <r>
      <rPr>
        <b/>
        <sz val="11"/>
        <color theme="1"/>
        <rFont val="Calibri"/>
        <family val="2"/>
        <scheme val="minor"/>
      </rPr>
      <t xml:space="preserve">  Remuneration and Staff Report (FReM 6.5) </t>
    </r>
    <r>
      <rPr>
        <sz val="11"/>
        <color theme="1"/>
        <rFont val="Calibri"/>
        <family val="2"/>
        <scheme val="minor"/>
      </rPr>
      <t xml:space="preserve">must include:
• the remuneration policy;
• single total figure of remuneration for each minister and director;
• pension entitlements for each minister and director;
• compensation on early retirement or for loss of office;
• payments to past directors;
• the fair pay disclosures; 
• the Staff Report </t>
    </r>
    <r>
      <rPr>
        <sz val="11"/>
        <rFont val="Calibri"/>
        <family val="2"/>
        <scheme val="minor"/>
      </rPr>
      <t xml:space="preserve">[NB. </t>
    </r>
    <r>
      <rPr>
        <i/>
        <sz val="11"/>
        <rFont val="Calibri"/>
        <family val="2"/>
        <scheme val="minor"/>
      </rPr>
      <t>DoF have provided standardised wording on staff engagement scores in FD(DoF) 03/24 Annex A para. 8.16 to be included in Staff Reports</t>
    </r>
    <r>
      <rPr>
        <sz val="11"/>
        <rFont val="Calibri"/>
        <family val="2"/>
        <scheme val="minor"/>
      </rPr>
      <t>];</t>
    </r>
    <r>
      <rPr>
        <sz val="11"/>
        <color theme="1"/>
        <rFont val="Calibri"/>
        <family val="2"/>
        <scheme val="minor"/>
      </rPr>
      <t xml:space="preserve">
• Best practice disclosures – diversity and inclusion.
FReM 6.5.3-4 notes </t>
    </r>
    <r>
      <rPr>
        <i/>
        <sz val="11"/>
        <color theme="8" tint="-0.249977111117893"/>
        <rFont val="Calibri"/>
        <family val="2"/>
        <scheme val="minor"/>
      </rPr>
      <t>GDPR considerations</t>
    </r>
    <r>
      <rPr>
        <sz val="11"/>
        <color theme="1"/>
        <rFont val="Calibri"/>
        <family val="2"/>
        <scheme val="minor"/>
      </rPr>
      <t xml:space="preserve"> - there is a presumption that information about named individuals will be given in all circumstances. </t>
    </r>
  </si>
  <si>
    <r>
      <rPr>
        <b/>
        <sz val="11"/>
        <color theme="1"/>
        <rFont val="Calibri"/>
        <family val="2"/>
        <scheme val="minor"/>
      </rPr>
      <t xml:space="preserve">  Assembly Accountability and Audit Report (FReM 6.5.40)</t>
    </r>
    <r>
      <rPr>
        <sz val="11"/>
        <color theme="1"/>
        <rFont val="Calibri"/>
        <family val="2"/>
        <scheme val="minor"/>
      </rPr>
      <t xml:space="preserve"> which must include: 
• the Statement of Outturn against Assembly Supply and supporting notes;
• regularity of expenditure (losses and special payments);
• further Assembly accountability disclosures (FReM 6.7.1 &amp; 6.7.2); and 
• the Certificate and Report of the C&amp;AG. </t>
    </r>
  </si>
  <si>
    <r>
      <t xml:space="preserve">The following </t>
    </r>
    <r>
      <rPr>
        <b/>
        <sz val="11"/>
        <color theme="1"/>
        <rFont val="Calibri"/>
        <family val="2"/>
        <scheme val="minor"/>
      </rPr>
      <t>accountability report</t>
    </r>
    <r>
      <rPr>
        <sz val="11"/>
        <color theme="1"/>
        <rFont val="Calibri"/>
        <family val="2"/>
        <scheme val="minor"/>
      </rPr>
      <t xml:space="preserve"> disclosures should be clearly identified as ‘audited' (FReM 6.2.1):
• the Statement of Outturn against Assembly Supply and supporting notes;
• Assembly accountability disclosures (FReM 6.7.1 bodies outside the boundary; losses and special payments </t>
    </r>
    <r>
      <rPr>
        <b/>
        <sz val="11"/>
        <color theme="4" tint="-0.249977111117893"/>
        <rFont val="Calibri"/>
        <family val="2"/>
        <scheme val="minor"/>
      </rPr>
      <t>(NB - value updated from £250,000 to £300,000 inline with MPMNI 2023 update)</t>
    </r>
    <r>
      <rPr>
        <sz val="11"/>
        <color theme="1"/>
        <rFont val="Calibri"/>
        <family val="2"/>
        <scheme val="minor"/>
      </rPr>
      <t xml:space="preserve">; remote contingent liabilities </t>
    </r>
    <r>
      <rPr>
        <b/>
        <sz val="11"/>
        <color theme="4" tint="-0.249977111117893"/>
        <rFont val="Calibri"/>
        <family val="2"/>
        <scheme val="minor"/>
      </rPr>
      <t>(narrative update to clarify the scope of transactions to be included)</t>
    </r>
    <r>
      <rPr>
        <sz val="11"/>
        <color theme="1"/>
        <rFont val="Calibri"/>
        <family val="2"/>
        <scheme val="minor"/>
      </rPr>
      <t xml:space="preserve">; gifts made over MPMNI limits; analysis of fees and charges income where material). </t>
    </r>
    <r>
      <rPr>
        <sz val="11"/>
        <rFont val="Calibri"/>
        <family val="2"/>
        <scheme val="minor"/>
      </rPr>
      <t xml:space="preserve"> Reconciliation between contingent liabilities reported in the Supply Estimate and those in annual report and accounts.</t>
    </r>
    <r>
      <rPr>
        <sz val="11"/>
        <color theme="4" tint="-0.249977111117893"/>
        <rFont val="Calibri"/>
        <family val="2"/>
        <scheme val="minor"/>
      </rPr>
      <t xml:space="preserve">
</t>
    </r>
    <r>
      <rPr>
        <sz val="11"/>
        <rFont val="Calibri"/>
        <family val="2"/>
        <scheme val="minor"/>
      </rPr>
      <t xml:space="preserve">• single total figure of remuneration for each minister and director;
</t>
    </r>
    <r>
      <rPr>
        <sz val="11"/>
        <color theme="1"/>
        <rFont val="Calibri"/>
        <family val="2"/>
        <scheme val="minor"/>
      </rPr>
      <t>• CETV disclosures for each minister and director;
• payments to past directors, if relevant;
• payments for loss of office, if relevant;
• fair pay disclosures;
• exit packages, if relevant; and
• analysis of staff numbers and costs.</t>
    </r>
  </si>
  <si>
    <r>
      <t xml:space="preserve">Where a department has an Excess Vote has the department inserted this note and provided an explanation of why the excess was incurred and how this has affected performance if not already provided elsewhere: The Department has incurred an Excess of £[insert amount] because [insert the reason using the phraseology in MPMNI]. The Department will seek Assembly approval by way of an Excess Vote in a Budget Act at the first opportunity.    
                                                                                                                          </t>
    </r>
    <r>
      <rPr>
        <b/>
        <sz val="11"/>
        <color theme="4" tint="-0.499984740745262"/>
        <rFont val="Calibri"/>
        <family val="2"/>
        <scheme val="minor"/>
      </rPr>
      <t xml:space="preserve">   
Under Review of Financial Process, the voted totals will be Resource DEL, Capital DEL, Resource AME, Capital AME,  Non Budget and Net Cash Requirement, if any of these are exceeded it would represent an Excess Vote.</t>
    </r>
  </si>
  <si>
    <t xml:space="preserve">Does the Statement of Outturn against Assembly Supply follow the format in Department Yellow Illustrative Statements?
NB. The Net Cash Requirement (NCR) cannot be negative. It must be zero or positive)
</t>
  </si>
  <si>
    <r>
      <t xml:space="preserve">Has the entity included an explanation of the budgeting framework with the SOAS notes (eg through a flow of funds diagram) where the budgeting framework has not already been explained as part of the financial review in the performance report? </t>
    </r>
    <r>
      <rPr>
        <sz val="11"/>
        <rFont val="Calibri"/>
        <family val="2"/>
        <scheme val="minor"/>
      </rPr>
      <t>[</t>
    </r>
    <r>
      <rPr>
        <i/>
        <sz val="11"/>
        <rFont val="Calibri"/>
        <family val="2"/>
        <scheme val="minor"/>
      </rPr>
      <t>DoF have provided proforma wording in FD(DoF) 03/24 Annex A - Appendix 4</t>
    </r>
    <r>
      <rPr>
        <sz val="11"/>
        <rFont val="Calibri"/>
        <family val="2"/>
        <scheme val="minor"/>
      </rPr>
      <t>]</t>
    </r>
  </si>
  <si>
    <t>Has the entity provided commentary on variances between outturn and the Supply Estimate (unless commentary is already provided as part of the financial review in the Performance Report)?</t>
  </si>
  <si>
    <r>
      <t xml:space="preserve">Confirm there is no Excess Vote by comparing the net outturn figures </t>
    </r>
    <r>
      <rPr>
        <b/>
        <sz val="11"/>
        <color theme="1"/>
        <rFont val="Calibri"/>
        <family val="2"/>
        <scheme val="minor"/>
      </rPr>
      <t>per Voted control totals</t>
    </r>
    <r>
      <rPr>
        <sz val="11"/>
        <color theme="1"/>
        <rFont val="Calibri"/>
        <family val="2"/>
        <scheme val="minor"/>
      </rPr>
      <t xml:space="preserve"> </t>
    </r>
    <r>
      <rPr>
        <b/>
        <sz val="11"/>
        <color theme="1"/>
        <rFont val="Calibri"/>
        <family val="2"/>
        <scheme val="minor"/>
      </rPr>
      <t>to the Estimate</t>
    </r>
    <r>
      <rPr>
        <sz val="11"/>
        <color theme="1"/>
        <rFont val="Calibri"/>
        <family val="2"/>
        <scheme val="minor"/>
      </rPr>
      <t>. Evidence this by completing the table in the comments section (NB all figures should be entered as positives).</t>
    </r>
  </si>
  <si>
    <t>Voted Resource DEL</t>
  </si>
  <si>
    <t>Voted Capital DEL</t>
  </si>
  <si>
    <t>Voted Resource AME</t>
  </si>
  <si>
    <t>Voted Capital AME</t>
  </si>
  <si>
    <r>
      <t xml:space="preserve">If there is an </t>
    </r>
    <r>
      <rPr>
        <b/>
        <sz val="11"/>
        <color theme="1"/>
        <rFont val="Calibri"/>
        <family val="2"/>
        <scheme val="minor"/>
      </rPr>
      <t>Excess Vote on NCR</t>
    </r>
    <r>
      <rPr>
        <sz val="11"/>
        <color theme="1"/>
        <rFont val="Calibri"/>
        <family val="2"/>
        <scheme val="minor"/>
      </rPr>
      <t xml:space="preserve">, confirm that the sum of “Amounts due from the Consolidated Fund in respect of supply” recognised in the Trade receivables, financial and other assets note and net assembly funding </t>
    </r>
    <r>
      <rPr>
        <b/>
        <u/>
        <sz val="11"/>
        <color theme="1"/>
        <rFont val="Calibri"/>
        <family val="2"/>
        <scheme val="minor"/>
      </rPr>
      <t>do not breach</t>
    </r>
    <r>
      <rPr>
        <sz val="11"/>
        <color theme="1"/>
        <rFont val="Calibri"/>
        <family val="2"/>
        <scheme val="minor"/>
      </rPr>
      <t xml:space="preserve"> the NCR estimate. Evidence this by completing the table in the comments section (NB all figures should be entered as positives).  Where a breach of the NCR estimate has occurred, </t>
    </r>
    <r>
      <rPr>
        <b/>
        <u/>
        <sz val="11"/>
        <color theme="1"/>
        <rFont val="Calibri"/>
        <family val="2"/>
        <scheme val="minor"/>
      </rPr>
      <t>this must be resolved by an adjustment in the financial statements</t>
    </r>
    <r>
      <rPr>
        <sz val="11"/>
        <color theme="1"/>
        <rFont val="Calibri"/>
        <family val="2"/>
        <scheme val="minor"/>
      </rPr>
      <t xml:space="preserve">.
</t>
    </r>
    <r>
      <rPr>
        <i/>
        <sz val="11"/>
        <color theme="1"/>
        <rFont val="Calibri"/>
        <family val="2"/>
        <scheme val="minor"/>
      </rPr>
      <t xml:space="preserve">Where there is an Excess Vote and departments have not drawn down their NCR estimate, a receivable will be recognised for the difference between NCR estimate and supply drawn down. </t>
    </r>
    <r>
      <rPr>
        <sz val="11"/>
        <color theme="1"/>
        <rFont val="Calibri"/>
        <family val="2"/>
        <scheme val="minor"/>
      </rPr>
      <t xml:space="preserve">
</t>
    </r>
  </si>
  <si>
    <t>N/A no Excess Vote</t>
  </si>
  <si>
    <r>
      <t>[Insert observations, details of further investigation</t>
    </r>
    <r>
      <rPr>
        <b/>
        <u/>
        <sz val="11"/>
        <color theme="1"/>
        <rFont val="Calibri"/>
        <family val="2"/>
      </rPr>
      <t xml:space="preserve"> and resolution where a breach has occurred</t>
    </r>
    <r>
      <rPr>
        <b/>
        <sz val="11"/>
        <color theme="1"/>
        <rFont val="Calibri"/>
        <family val="2"/>
      </rPr>
      <t>…..]</t>
    </r>
  </si>
  <si>
    <t xml:space="preserve">Is income received and retained by the department provided for in the Estimate?  
Has income that is not provided for in the Estimate been treated as a CFER? 
NB. The Assembly no longer has a voted limit on the amount of income a department can retain. Resource and Capital income is expected to be included in the Estimate and retained by departments.
</t>
  </si>
  <si>
    <t>Does the figure for Net Cash Requirement (NCR) agree to SOAS note 3 ‘Reconciliation of net resource outturn to net cash requirement’?</t>
  </si>
  <si>
    <r>
      <t>Does the CFER "</t>
    </r>
    <r>
      <rPr>
        <b/>
        <sz val="11"/>
        <color theme="1"/>
        <rFont val="Calibri"/>
        <family val="2"/>
        <scheme val="minor"/>
      </rPr>
      <t>Golden Rule</t>
    </r>
    <r>
      <rPr>
        <sz val="11"/>
        <color theme="1"/>
        <rFont val="Calibri"/>
        <family val="2"/>
        <scheme val="minor"/>
      </rPr>
      <t>" work? Evidence this by completing the table in the comments section.</t>
    </r>
  </si>
  <si>
    <t>Following the cash related to CFERs through:</t>
  </si>
  <si>
    <t xml:space="preserve">Amounts due to the CF at the beginning of the year [payables note: CFERs already received], </t>
  </si>
  <si>
    <t xml:space="preserve">Plus amounts received in the year [cash flow statement and SOAS note 4], </t>
  </si>
  <si>
    <t xml:space="preserve">Less amounts paid over [cash flow statement] </t>
  </si>
  <si>
    <t>Gives amounts due to the CF at the end of the year [payables note]</t>
  </si>
  <si>
    <t>Does the CFER cash golden rule work?</t>
  </si>
  <si>
    <t>Following the income recognition through:</t>
  </si>
  <si>
    <t xml:space="preserve">CFERs receivable [from the Receivables Note], </t>
  </si>
  <si>
    <t xml:space="preserve">Plus CFERs for the year [reported as income receivable in SOAS note 4], </t>
  </si>
  <si>
    <t xml:space="preserve">Less amounts received in the year [cash flow statement] </t>
  </si>
  <si>
    <t>Gives CFERs receivable at the end of the year [Receivables Note]</t>
  </si>
  <si>
    <t>Does the CFER income golden rule work?</t>
  </si>
  <si>
    <r>
      <t>Does the Supply “</t>
    </r>
    <r>
      <rPr>
        <b/>
        <sz val="11"/>
        <color theme="1"/>
        <rFont val="Calibri"/>
        <family val="2"/>
        <scheme val="minor"/>
      </rPr>
      <t>Golden Rule</t>
    </r>
    <r>
      <rPr>
        <sz val="11"/>
        <color theme="1"/>
        <rFont val="Calibri"/>
        <family val="2"/>
        <scheme val="minor"/>
      </rPr>
      <t xml:space="preserve">” work? Evidence this by completing the table in the comments section (NB all figures should be entered as positives in the grey cells only).
</t>
    </r>
    <r>
      <rPr>
        <i/>
        <sz val="11"/>
        <color theme="1"/>
        <rFont val="Calibri"/>
        <family val="2"/>
        <scheme val="minor"/>
      </rPr>
      <t xml:space="preserve">The Supply Golden Rule establishes the amount of Assembly supply under or over issued, ie receivable or payable from/to the NI Consolidated Fund as follows:
Net Assembly funding drawn down &gt; NCR = Supply payable due to the Consolidated Fund 
Net Assembly funding drawn down &lt; NCR = Supply receivable due from the Consolidated Fund </t>
    </r>
    <r>
      <rPr>
        <sz val="11"/>
        <color theme="1"/>
        <rFont val="Calibri"/>
        <family val="2"/>
        <scheme val="minor"/>
      </rPr>
      <t xml:space="preserve">
Where there is a NCR Excess Vote a supply receivable can only be recognised for the difference between net assembly funding and NCR Estimate. This has been tested as part of step 8 above. 
</t>
    </r>
    <r>
      <rPr>
        <b/>
        <u/>
        <sz val="11"/>
        <color theme="1"/>
        <rFont val="Calibri"/>
        <family val="2"/>
        <scheme val="minor"/>
      </rPr>
      <t>An error in supply receivables in the financial statements must be resolved by an adjustment</t>
    </r>
    <r>
      <rPr>
        <sz val="11"/>
        <color theme="1"/>
        <rFont val="Calibri"/>
        <family val="2"/>
        <scheme val="minor"/>
      </rPr>
      <t xml:space="preserve">.
</t>
    </r>
  </si>
  <si>
    <t>Calculated</t>
  </si>
  <si>
    <t>[Insert observations, details of further investigation and resolution…..]</t>
  </si>
  <si>
    <r>
      <t xml:space="preserve">Does the Supply </t>
    </r>
    <r>
      <rPr>
        <b/>
        <sz val="11"/>
        <color theme="1"/>
        <rFont val="Calibri"/>
        <family val="2"/>
        <scheme val="minor"/>
      </rPr>
      <t>“Platinum Rule”</t>
    </r>
    <r>
      <rPr>
        <sz val="11"/>
        <color theme="1"/>
        <rFont val="Calibri"/>
        <family val="2"/>
        <scheme val="minor"/>
      </rPr>
      <t xml:space="preserve"> work? Evidence this by completing the table in the comments section (NB all figures should be entered as positives in the grey cells only.  Where the total cash and cash equivalents is an overdraft position, this should be entered as a negative).
</t>
    </r>
    <r>
      <rPr>
        <i/>
        <sz val="11"/>
        <color theme="1"/>
        <rFont val="Calibri"/>
        <family val="2"/>
        <scheme val="minor"/>
      </rPr>
      <t xml:space="preserve">The Platinum Rule states that all amounts included as cash and cash equivalents must be only for:
 - CFERs (these are payable to the NI Consolidated fund);
- supply due to/from the Consolidated Fund;
- cash in respect of other non-supply items for example, loans from the Contingencies fund;
- an Excess Vote for which supply has not yet been received;
- inter-departmental shared bank accounts. 
</t>
    </r>
    <r>
      <rPr>
        <b/>
        <u/>
        <sz val="11"/>
        <color theme="1"/>
        <rFont val="Calibri"/>
        <family val="2"/>
        <scheme val="minor"/>
      </rPr>
      <t>Any other reconciling items/differences are likely to indicate an error in Supply calculations and must be investigated and resolved.</t>
    </r>
    <r>
      <rPr>
        <sz val="11"/>
        <color theme="1"/>
        <rFont val="Calibri"/>
        <family val="2"/>
        <scheme val="minor"/>
      </rPr>
      <t xml:space="preserve">
</t>
    </r>
    <r>
      <rPr>
        <i/>
        <sz val="11"/>
        <color theme="1"/>
        <rFont val="Calibri"/>
        <family val="2"/>
        <scheme val="minor"/>
      </rPr>
      <t>Guidance: Where a department has a NCR Excess Vote, as there is no Assembly funding for this amount, this is likely to result in the bank being overdrawn.  In can take a number of years for excess sums to be granted and then drawn down by departments to resolve the Excess Vote supply position.  Usually departments obtain a matching loan from the Contingencies Fund until these are received. When the excess sums are received, the department will repay the loan from the Contingencies Fund.  Teams should note that usually Contingencies Fund loan amounts match the amount of the Excess Vote, but this is not necessarily the case.  In the year that excess sums are received and loans repaid, teams should take particluar care in auditing the SOAS note 3 reconciliation of Net Resource Outturn to Net Cash Requirement, to ensure that movements in working balances which do not pass through the SOAS are excluded from this calculation (see question 20 below).</t>
    </r>
  </si>
  <si>
    <t xml:space="preserve">Are the SOAS notes in line with Department Yellow (NI) and are they placed directly after the SOAS? 
SOAS note 1 – Outturn detail, by Estimate line
SOAS note 2 - Reconciliation of outturn to net expenditure
SOAS note 3 - Reconciliation of Net Resource Outturn to Net Cash Requirement 
SOAS note 4 – Amounts of Income to the Consolidated Fund
</t>
  </si>
  <si>
    <t>Does SOAS note 1 mirror Part II (revised subhead detail including additional provision) within the Estimate?</t>
  </si>
  <si>
    <t xml:space="preserve">Are columns included for Admin gross, Admin income, Admin net, Programme gross, Programme income, Programme net, Total, Estimate total, Estimate virements, Estimate total inc virements, Outturn vs estimate (inc virements) saving/(excess), and Prior year outturn total?
</t>
  </si>
  <si>
    <t>In the note that reconciles net resource outturn to net operating cost (SOAS note 2) are the reconciling items only:
• prior period adjustments;
• capital grants;
• non-Supply income (e.g. CFERs) – agree to Income payable to the Consolidated Fund (SOAS 4); and
• non-supply expenditure (e.g. Consolidated Fund standing services)?</t>
  </si>
  <si>
    <t>In the note that reconciles net resource outturn to net cash requirement (SOAS note 3) are the reconciling items only:  
• Adjustments for ALB's
    o Remove voted resource and capital
    o Add cash grant in aid
• Adjustments to remove non cash items
    o Depreciation
    o New provisions and adjustments to previous provisions
    o Prior period adjustments     
    o Supported capital expenditure
    o Other Non-cash items
    o Increase/ (decrease) in inventories
    o Increase/ (decrease) in receivables
    o (Increase)/ decrease in payables falling due within one year
    o Changes in payables falling due after one year
    o Use of provision
• Removal of non voted budget items
    o Consolidated Fund standing Service
    o Other adjustments</t>
  </si>
  <si>
    <t>Check  figures</t>
  </si>
  <si>
    <t>ALB voted resource and capital</t>
  </si>
  <si>
    <t>ALB cash grant in aid</t>
  </si>
  <si>
    <t>Supported Capital Expenditure</t>
  </si>
  <si>
    <r>
      <rPr>
        <b/>
        <sz val="11"/>
        <color theme="1"/>
        <rFont val="Calibri"/>
        <family val="2"/>
        <scheme val="minor"/>
      </rPr>
      <t>Excess cash surrenderable to CF</t>
    </r>
    <r>
      <rPr>
        <sz val="11"/>
        <color theme="1"/>
        <rFont val="Calibri"/>
        <family val="2"/>
        <scheme val="minor"/>
      </rPr>
      <t xml:space="preserve"> (</t>
    </r>
    <r>
      <rPr>
        <i/>
        <sz val="11"/>
        <color theme="1"/>
        <rFont val="Calibri"/>
        <family val="2"/>
        <scheme val="minor"/>
      </rPr>
      <t>SOAS 4)</t>
    </r>
  </si>
  <si>
    <r>
      <t xml:space="preserve">Supply due from CF - </t>
    </r>
    <r>
      <rPr>
        <sz val="11"/>
        <color rgb="FFFF0000"/>
        <rFont val="Calibri"/>
        <family val="2"/>
        <scheme val="minor"/>
      </rPr>
      <t>Note 12</t>
    </r>
  </si>
  <si>
    <t>Are the headings consistent with FReM/Department Yellow NI (ensure core department and agencies are in one column and group is in another column) and, if not, has approval been sought for the alternative format from DoF?</t>
  </si>
  <si>
    <r>
      <t xml:space="preserve">Is a distinction made on the face of the SoCNE between EU receipts where the entity acts as an agent for the EU and those EU receipts which are treated as negative public expenditure (FReM 11.1.7 to 11.1.9)
</t>
    </r>
    <r>
      <rPr>
        <i/>
        <sz val="11"/>
        <color theme="1"/>
        <rFont val="Calibri"/>
        <family val="2"/>
        <scheme val="minor"/>
      </rPr>
      <t>NB: where an entity is acting as an agent for the EU the funding should be treated as a third party asset rather than income.</t>
    </r>
    <r>
      <rPr>
        <sz val="11"/>
        <color theme="1"/>
        <rFont val="Calibri"/>
        <family val="2"/>
        <scheme val="minor"/>
      </rPr>
      <t xml:space="preserve">
</t>
    </r>
  </si>
  <si>
    <t>Have the revaluation movements been appropriately accounted for as either charges to the SoCNE or revaluation reserve movements (to ‘other comprehensive net expenditure’)? 
Evidence this by completing the table in the comments section (NB all figures should be entered with the same signs that appear in the accounts in the grey cells only).</t>
  </si>
  <si>
    <r>
      <t xml:space="preserve">In the cash flow statement can the ‘Payments of amounts due to the Consolidated Fund’ be agreed to other CFER movements per the accounts? 
Evidence this by completing the table in the comments section (NB all figures should be entered as positives in the grey cells only).
</t>
    </r>
    <r>
      <rPr>
        <i/>
        <sz val="11"/>
        <color theme="1"/>
        <rFont val="Calibri"/>
        <family val="2"/>
        <scheme val="minor"/>
      </rPr>
      <t xml:space="preserve">
</t>
    </r>
    <r>
      <rPr>
        <sz val="11"/>
        <color theme="1"/>
        <rFont val="Calibri"/>
        <family val="2"/>
        <scheme val="minor"/>
      </rPr>
      <t xml:space="preserve">
</t>
    </r>
  </si>
  <si>
    <t>Do the cash flow adjustments for movements not passing through the Statement of Comprehensive Net Expenditure agree to disclosures per the accounts/supporting documentation? 
Evidence this by opening and completing the table in the comments section (NB all figures should be entered as positives in the grey cells only).</t>
  </si>
  <si>
    <t>[other] - CFER</t>
  </si>
  <si>
    <t xml:space="preserve">Does the Consolidated Statement of Changes in Taxpayers Equity disclose the following items, where applicable:
• Net Assembly Funding 
• Comprehensive Net Expenditure for the year
• Auditor’s remuneration 
• Other reserves movements including transfers. 
Do the above items agree to figures disclosed elsewhere in the accounts?
</t>
  </si>
  <si>
    <t xml:space="preserve">Read the Accounting Policy Note and compare to last year’s audited accounts.  Do all changes in accounting policy seem appropriate and is there a reference to indicate that the accounts have been prepared in accordance with FReM? 
NB. Details of material changes in estimation techniques can be included as part of the relevant policy note or in a separate note.  
</t>
  </si>
  <si>
    <r>
      <t xml:space="preserve">Department Yellow NI provides the following example notes. However, in line with the Simplifying and Streamlining Accounts project, notes should only be included where additional information is material i.e. where its omission or misstatement could influence the economic decisions of users taken on the basis of the financial statements. 
Are all </t>
    </r>
    <r>
      <rPr>
        <u/>
        <sz val="11"/>
        <color theme="1"/>
        <rFont val="Calibri"/>
        <family val="2"/>
        <scheme val="minor"/>
      </rPr>
      <t>material</t>
    </r>
    <r>
      <rPr>
        <sz val="11"/>
        <color theme="1"/>
        <rFont val="Calibri"/>
        <family val="2"/>
        <scheme val="minor"/>
      </rPr>
      <t xml:space="preserve"> notes appropriately included in the accounts? 
</t>
    </r>
  </si>
  <si>
    <t>Note 3 a</t>
  </si>
  <si>
    <t>Note 3 b</t>
  </si>
  <si>
    <t>Note 3 c</t>
  </si>
  <si>
    <r>
      <t xml:space="preserve">Capital and Other Commitments </t>
    </r>
    <r>
      <rPr>
        <sz val="11"/>
        <color theme="4" tint="-0.249977111117893"/>
        <rFont val="Calibri"/>
        <family val="2"/>
        <scheme val="minor"/>
      </rPr>
      <t>(Clarification provided FD(DoF) 03/24 Annex A.8 - on FReM requirements)</t>
    </r>
  </si>
  <si>
    <t xml:space="preserve">Has the department provided well organised, clearly referenced working papers to support the schedules and notes to the accounts, e.g. lead schedules, backing documentation? </t>
  </si>
  <si>
    <t>Has the department completed a thorough management review of the accounts prior to submission (by completion of Disclosure Checklists for FReM Accounts and Annual Report or other evidence of review)?  Obtain a copy of the completed Checklists or provide details of the review.</t>
  </si>
  <si>
    <t>Organisation (please specify)</t>
  </si>
  <si>
    <t>Other (Specify)</t>
  </si>
  <si>
    <t>Linked</t>
  </si>
  <si>
    <t>most linked</t>
  </si>
  <si>
    <t>Surplus/(Deficit) against RRL £k</t>
  </si>
  <si>
    <t>The Trust is given a Capital Resource Limit (CRL) which it is not permitted to overspend.</t>
  </si>
  <si>
    <t>22.2 CAPITAL RESOURCE LIMIT</t>
  </si>
  <si>
    <t>Surplus/(Deficit) against RRL %</t>
  </si>
  <si>
    <t>Less RRL Issued To:</t>
  </si>
  <si>
    <t>The Revenue Resource Limit (RRL) for [HSC body] is calculated as follows:</t>
  </si>
  <si>
    <t>The Trust is given a Revenue Resource Limit which it is not permitted to overspend</t>
  </si>
  <si>
    <t>NOTE 22.1 REVENUE RESOURCE LIMIT</t>
  </si>
  <si>
    <t>ALB Supporting notes - not for publication</t>
  </si>
  <si>
    <t>Only include amounts received or issued as RRL funding - do not include invoiced transactions</t>
  </si>
  <si>
    <t xml:space="preserve">Positive </t>
  </si>
  <si>
    <t>Include those RRLs received directly from DoH Finance Directorate e.g. opening allocations from Financial Planning Unit and in year allocations from Financial Monitoring Unit</t>
  </si>
  <si>
    <t>Include those RRLs received via SPPG if applicable</t>
  </si>
  <si>
    <t>Include those RRLs received via PHA if applicable</t>
  </si>
  <si>
    <t>Include those RRLs received via NIMDTA if applicable</t>
  </si>
  <si>
    <t>Please list each source of any other RRL separately if applicable</t>
  </si>
  <si>
    <t>For publication delete any zero lines</t>
  </si>
  <si>
    <t>Only to be used by those DoH Bodies that issue RRLs out to others</t>
  </si>
  <si>
    <t xml:space="preserve">Negative </t>
  </si>
  <si>
    <t xml:space="preserve">List and name each organisation separately </t>
  </si>
  <si>
    <t>For publication delete this RRL Issued section if your organisation does not issue any RRLs</t>
  </si>
  <si>
    <t>For publication delete this net section if your organisation does not issue any RRLs</t>
  </si>
  <si>
    <t>Likely only for those DoH Bodies with Charitable Trust Funds</t>
  </si>
  <si>
    <t>Only include amounts received or issued as CRL funding - do not include invoiced transactions</t>
  </si>
  <si>
    <t>Positive</t>
  </si>
  <si>
    <t>Include net CRLs received via SPPG if applicable</t>
  </si>
  <si>
    <t>Include net CRLs received via PHA if applicable</t>
  </si>
  <si>
    <t>Include net CRLs received via NIMDTA if applicable</t>
  </si>
  <si>
    <t>Please list each source of any other CRL separately if applicable</t>
  </si>
  <si>
    <t>Only to be used by those DoH Bodies that issue CRLs out to others</t>
  </si>
  <si>
    <t>Negative</t>
  </si>
  <si>
    <t>For publication delete this CRL Issued section if your organisation does not issue any CRLs</t>
  </si>
  <si>
    <t>For publication delete this net section if your organisation does not issue any CRLs</t>
  </si>
  <si>
    <t>This information should agree to the asset notes, please add comments if not</t>
  </si>
  <si>
    <t>Note that for publication these can be collated into one line called "Capital in the SoCNE"</t>
  </si>
  <si>
    <t>Links to Note 22.1, as these should be equal and opposite entries</t>
  </si>
  <si>
    <t>Detail any other adjustments not covered by the descriptions above</t>
  </si>
  <si>
    <t>RRL Allocated From:</t>
  </si>
  <si>
    <t>Depreciation (excluding PFI)</t>
  </si>
  <si>
    <t>Total CFER income</t>
  </si>
  <si>
    <t>2024-25</t>
  </si>
  <si>
    <t xml:space="preserve"> 1 April 2024</t>
  </si>
  <si>
    <t xml:space="preserve"> 31 March 2025</t>
  </si>
  <si>
    <t>As the cash requirements of NDPB Green are met through the Estimate process, financial instruments play a more limited role in creating and managing risk than would apply to a non-public sector body.   The majority of financial instruments relate to contracts to buy non-financial items in line with the ALB’s expected purchase and usage requirements and the ALB is therefore exposed to little credit, liquidity or market risk.</t>
  </si>
  <si>
    <t>The core &amp; agencies mini consul accounts can be completed by  populating only the Core, SPPG and PHA columns within the MAP tab and saving a copy. Core accounts are prepared in a separate template which is linked to this template and SPPG and PHA fill out an ALB template each that is copied and pasted into the MAP tab in this file (details below). Intercompany transactions for Core, SPPG and PHA should be added into the "DoH Core &amp; Agencies - INTERCO (Internal)" column in the MAP tab - this is currently entered manually as core accounts are in a separate template:</t>
  </si>
  <si>
    <t>MAP Tab - interco 1: - DoH Core, SPPG and PHA intercompany data is entered manually in column "DoH Core &amp; Agencies - INTERCO (Internal)"</t>
  </si>
  <si>
    <t>There are 2 types of intercompany balances - those already included in consolidation accounts (e.g. between Core, SPPG and PHA) and those which are not included in consolidation accounts (excluding this global consolidation). For the purposes of this guide we will refer to the former as "internal" intercompany adjustments and the latter as "External" intercompany adjustments.</t>
  </si>
  <si>
    <t>SPPG and PHA receive GIA funding which is used to fund other HSC bodies - this is reported as Grant from DoH in PHA and SPPG accounts. It is different to other GIA received by ALB bodies as it is passed on to the other ALB bodies and therefore should be added to Net Assembly Funding in the consul accounts (£1,064k in 2017/18). This adjustment is made in MAP tab - this has been automatically adjusted in the MAP tab "DoH Core &amp; Agencies - INTERCO (Internal)" in SoCITE row £1,057,144k for 2017/18.</t>
  </si>
  <si>
    <t>SPPG and PHA receive GIA funding which is used to fund other HSC bodies - this is reported as Grant from DoH in PHS and SPPG accounts but should be adjusted in consolidation to be reported as Net assembly funding  = £1064k in 2017/18 - this has been automatically adjusted in the CONSOL model Output file manual adjustment column</t>
  </si>
  <si>
    <t>NIFRS retirement Benefit Obligations</t>
  </si>
  <si>
    <t>movement in year</t>
  </si>
  <si>
    <r>
      <t xml:space="preserve">NIFRS NILGOSC pension - from NIFRS annual accounts note 16; does </t>
    </r>
    <r>
      <rPr>
        <b/>
        <i/>
        <sz val="10"/>
        <rFont val="Arial"/>
        <family val="2"/>
      </rPr>
      <t>not</t>
    </r>
    <r>
      <rPr>
        <i/>
        <sz val="10"/>
        <rFont val="Arial"/>
        <family val="2"/>
      </rPr>
      <t xml:space="preserve"> include firefighters pension</t>
    </r>
  </si>
  <si>
    <t>14b.1 Analysis of Movement in Firefighters' Pension Scheme 2007 liability</t>
  </si>
  <si>
    <t>14b.2 Analysis of Movement in New Firefighters' Pension Scheme 2007 liability</t>
  </si>
  <si>
    <t>14b.3 Analysis of Movement in Firefighters' Pension Scheme 2015 (CARE) liability</t>
  </si>
  <si>
    <t>Central Expenditure (above) includes European Union Programmes Peace Plus</t>
  </si>
  <si>
    <t>KB - Difference due to:</t>
  </si>
  <si>
    <t xml:space="preserve"> Best estimate available for patient exemption fraud £3.7m ( this is a footnote)</t>
  </si>
  <si>
    <t>Fixed assets</t>
  </si>
  <si>
    <t>SEHSCT do not appear to have shown proceeds of sale in their accounts</t>
  </si>
  <si>
    <t>14. Central Expenditure</t>
  </si>
  <si>
    <t>16 - NIFRS (ALB - Net)</t>
  </si>
  <si>
    <t>adjustment</t>
  </si>
  <si>
    <t>rounding</t>
  </si>
  <si>
    <t>Check sheet 1 cell I194</t>
  </si>
  <si>
    <t>Holiday Pay</t>
  </si>
  <si>
    <t>Right-of-use assets</t>
  </si>
  <si>
    <t>LEASED ASSETS</t>
  </si>
  <si>
    <t>Leased assets  - Asset financing Note 5.1</t>
  </si>
  <si>
    <t>NBV leased assets - Note 16.1</t>
  </si>
  <si>
    <t>Other Capital items in the SoCNE</t>
  </si>
  <si>
    <t>To be used for any unusual circumstances not listed above</t>
  </si>
  <si>
    <t>Add comments here to describe these other items</t>
  </si>
  <si>
    <t>Show net CRL received directly from DoH Investment Directorate i.e. opening allocations plus in year allocations less any retractions</t>
  </si>
  <si>
    <t>Capitalised IFRS 16 dilapidations provisions</t>
  </si>
  <si>
    <t>This element of the RoU asset is funded separately via Capital AME. Note this entry will be negative when the the provision is created, but can be positive if the provision is subsequently reduced.</t>
  </si>
  <si>
    <t>Other (specify)</t>
  </si>
  <si>
    <t>Adjustments to add items not capitalised in accounts but funded via CRL</t>
  </si>
  <si>
    <t>Payment of IRFS 16 dilapidations provisions</t>
  </si>
  <si>
    <t>Other ( specify)</t>
  </si>
  <si>
    <t xml:space="preserve"> 31 March 2026</t>
  </si>
  <si>
    <t xml:space="preserve"> 1 April 2025</t>
  </si>
  <si>
    <t xml:space="preserve"> 01 April 2025</t>
  </si>
  <si>
    <t>2025-26</t>
  </si>
  <si>
    <t>Outturn total 2025-26
£000</t>
  </si>
  <si>
    <t>Prior Year Outturn Total, 2024-25
£000</t>
  </si>
  <si>
    <t>Prior Year 2024-25
£000</t>
  </si>
  <si>
    <t>ROU</t>
  </si>
  <si>
    <t>TOTAL ROU</t>
  </si>
  <si>
    <r>
      <t>Populate this template with 2025-26</t>
    </r>
    <r>
      <rPr>
        <b/>
        <sz val="11"/>
        <rFont val="Arial"/>
        <family val="2"/>
      </rPr>
      <t xml:space="preserve"> Draft</t>
    </r>
    <r>
      <rPr>
        <sz val="11"/>
        <rFont val="Arial"/>
        <family val="2"/>
      </rPr>
      <t xml:space="preserve"> accounts data; </t>
    </r>
    <r>
      <rPr>
        <b/>
        <sz val="11"/>
        <rFont val="Arial"/>
        <family val="2"/>
      </rPr>
      <t>enter consolidated data which includes CTF data</t>
    </r>
    <r>
      <rPr>
        <sz val="11"/>
        <rFont val="Arial"/>
        <family val="2"/>
      </rPr>
      <t>.</t>
    </r>
  </si>
  <si>
    <t>This exercise will facilitate the production of a set of Department Yellow compliant consolidated accounts, which will be subject to audit by NIAO.</t>
  </si>
  <si>
    <t xml:space="preserve">I confirm that this Excel template is a complete and accurate record of the accounts and disclosure information as per the final audited accounts as at 31 March 2026. </t>
  </si>
  <si>
    <t xml:space="preserve">Departmental Accounts Hot Review Checklist 2025-26 - DOH </t>
  </si>
  <si>
    <t>Administration costs 2025-26, all figures presented in £000</t>
  </si>
  <si>
    <t>Net Cash Requirement 2025-26, all figures presented in £000</t>
  </si>
  <si>
    <t>Summary table, 2025-26, all figures presented in £000</t>
  </si>
  <si>
    <t>Copied from 24/25 template column BD</t>
  </si>
  <si>
    <t>Copied from 24/25 template column U+V</t>
  </si>
  <si>
    <t>Show net RRL received directly from DoH Finance Directorate i.e. opening allocations from Financial Planning Unit and in year allocations from Financial Monitoring Unit, less any retractions</t>
  </si>
  <si>
    <t>Only to be used by those DoH Bodies that issue RRLs out to other bodies</t>
  </si>
  <si>
    <t xml:space="preserve">This cell links to the expenditure note, but is not locked to facilitate those bodies that need to adjust for PFI depreciation </t>
  </si>
  <si>
    <t>Establishing the dilapidations is funded via CAME, but the actual payment is funded by CRL</t>
  </si>
  <si>
    <t>Surplus/(Deficit) against CRL £k</t>
  </si>
  <si>
    <t>Number of off-payroll workers engaged during the year ended 31 March 2026</t>
  </si>
  <si>
    <t>During the year ended 31 March 2026 employee contributions ranged from X% to X% (X% to X% : 2024-25) of pensionable pay. Employer contributions represented an average of X%  (X% : 2024-25).</t>
  </si>
  <si>
    <t>During the year ended 31 March 2026 employee contributions ranged from X% to X% (X% to X%: 2024-25) of pensionable pay. Employer contributions represented an average of  X %  (X% : 2024-25).</t>
  </si>
  <si>
    <t>During the year ended 31 March 2026 employee contributions ranged from X% to X% of pensionable pay (X% - X% : 2024-25). Employer contributions represented an average of X % of pensionable pay (X% :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</si>
</sst>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Red]\-&quot;£&quot;#,##0"/>
    <numFmt numFmtId="43" formatCode="_-* #,##0.00_-;\-* #,##0.00_-;_-* &quot;-&quot;??_-;_-@_-"/>
    <numFmt numFmtId="164" formatCode="_-* #,##0_-;* \(#,##0\)_-;_-* &quot;-&quot;??_-;_-@_-"/>
    <numFmt numFmtId="165" formatCode="dd\ mmmm\ yyyy"/>
    <numFmt numFmtId="166" formatCode="#,##0_-;\(#,##0\)_-;_-* &quot;-&quot;??_-;_-@_-"/>
    <numFmt numFmtId="167" formatCode="_-* #,##0_-;\-* #,##0_-;_-* &quot;-&quot;??_-;_-@_-"/>
    <numFmt numFmtId="168" formatCode="#,##0.00_-;\(#,##0.00\)_-;_-* &quot;-&quot;??_-;_-@_-"/>
    <numFmt numFmtId="169" formatCode="#,##0.0_-;\(#,##0.0\)_-;_-* &quot;-&quot;??_-;_-@_-"/>
    <numFmt numFmtId="170" formatCode="#,##0;\(#,##0\)"/>
    <numFmt numFmtId="171" formatCode="#,##0_ ;\(#,##0\)\ "/>
    <numFmt numFmtId="172" formatCode="#,##0_ ;\-#,##0\ "/>
    <numFmt numFmtId="173" formatCode="#,##0_);\(#,##0\)"/>
    <numFmt numFmtId="174" formatCode="&quot;£&quot;#,##0_);[Red]\(&quot;£&quot;#,##0\)"/>
    <numFmt numFmtId="175" formatCode="#,##0.00_ ;\-#,##0.00\ "/>
    <numFmt numFmtId="176" formatCode="_-[$£-809]* #,##0_-;[Red]\-[$£-809]* #,##0_-;_-[$£-809]* &quot;-&quot;??_-;_-@_-"/>
    <numFmt numFmtId="177" formatCode="0.0%"/>
    <numFmt numFmtId="178" formatCode="dd\ mmm\ yyyy"/>
    <numFmt numFmtId="179" formatCode="dd/mm/yy"/>
    <numFmt numFmtId="180" formatCode="_(* #,##0.00_);_(* \(#,##0.00\);_(* &quot;-&quot;??_);_(@_)"/>
    <numFmt numFmtId="181" formatCode="_-* #,##0.0_-;\-* #,##0.0_-;_-* &quot;-&quot;??_-;_-@_-"/>
    <numFmt numFmtId="182" formatCode="#,##0.0_);\(#,##0.0\)"/>
    <numFmt numFmtId="183" formatCode="0.0"/>
    <numFmt numFmtId="184" formatCode="dd/mm/yyyy;@"/>
    <numFmt numFmtId="185" formatCode="#,##0_ ;\(#,##0\)"/>
    <numFmt numFmtId="186" formatCode="_-* #,##0_-;* \(#,##0\)_-;_-* &quot;-&quot;_-;_-@_-"/>
    <numFmt numFmtId="187" formatCode="#,##0_ ;[Red]\-#,##0\ "/>
    <numFmt numFmtId="188" formatCode="_-* #,##0.0_-;* \(#,##0.0\)_-;_-* &quot;-&quot;??_-;_-@_-"/>
    <numFmt numFmtId="189" formatCode="#,##0;[Red]\(#,##0\)"/>
    <numFmt numFmtId="190" formatCode="&quot;£&quot;#,##0"/>
    <numFmt numFmtId="191" formatCode="_(* #,##0_);_(* \(#,##0\);_(* &quot;-&quot;??_);_(@_)"/>
    <numFmt numFmtId="192" formatCode="_-* #,##0.00000_-;\-* #,##0.00000_-;_-* &quot;-&quot;??_-;_-@_-"/>
    <numFmt numFmtId="193" formatCode="#,##0;\(#,##0\);\-"/>
  </numFmts>
  <fonts count="16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22"/>
      <color theme="1"/>
      <name val="Calibri"/>
      <family val="2"/>
      <scheme val="minor"/>
    </font>
    <font>
      <sz val="11"/>
      <color rgb="FF0070C0"/>
      <name val="Calibri"/>
      <family val="2"/>
      <scheme val="minor"/>
    </font>
    <font>
      <sz val="8"/>
      <color theme="1"/>
      <name val="Calibri"/>
      <family val="2"/>
      <scheme val="minor"/>
    </font>
    <font>
      <b/>
      <u/>
      <sz val="11"/>
      <color theme="1"/>
      <name val="Calibri"/>
      <family val="2"/>
      <scheme val="minor"/>
    </font>
    <font>
      <i/>
      <sz val="11"/>
      <color rgb="FF0070C0"/>
      <name val="Calibri"/>
      <family val="2"/>
      <scheme val="minor"/>
    </font>
    <font>
      <b/>
      <sz val="11"/>
      <color rgb="FF0070C0"/>
      <name val="Calibri"/>
      <family val="2"/>
      <scheme val="minor"/>
    </font>
    <font>
      <i/>
      <sz val="11"/>
      <color theme="1"/>
      <name val="Calibri"/>
      <family val="2"/>
      <scheme val="minor"/>
    </font>
    <font>
      <sz val="10"/>
      <color rgb="FF0070C0"/>
      <name val="Calibri"/>
      <family val="2"/>
      <scheme val="minor"/>
    </font>
    <font>
      <b/>
      <sz val="10"/>
      <color rgb="FF0070C0"/>
      <name val="Calibri"/>
      <family val="2"/>
      <scheme val="minor"/>
    </font>
    <font>
      <b/>
      <i/>
      <sz val="11"/>
      <color rgb="FF0070C0"/>
      <name val="Calibri"/>
      <family val="2"/>
      <scheme val="minor"/>
    </font>
    <font>
      <b/>
      <sz val="8"/>
      <color theme="1"/>
      <name val="Calibri"/>
      <family val="2"/>
      <scheme val="minor"/>
    </font>
    <font>
      <sz val="10"/>
      <color rgb="FF7030A0"/>
      <name val="Calibri"/>
      <family val="2"/>
      <scheme val="minor"/>
    </font>
    <font>
      <b/>
      <sz val="11"/>
      <color rgb="FF7030A0"/>
      <name val="Calibri"/>
      <family val="2"/>
      <scheme val="minor"/>
    </font>
    <font>
      <b/>
      <sz val="10"/>
      <color rgb="FF7030A0"/>
      <name val="Calibri"/>
      <family val="2"/>
      <scheme val="minor"/>
    </font>
    <font>
      <b/>
      <i/>
      <sz val="11"/>
      <color theme="1"/>
      <name val="Calibri"/>
      <family val="2"/>
      <scheme val="minor"/>
    </font>
    <font>
      <b/>
      <i/>
      <sz val="10"/>
      <color rgb="FF7030A0"/>
      <name val="Calibri"/>
      <family val="2"/>
      <scheme val="minor"/>
    </font>
    <font>
      <sz val="9"/>
      <color indexed="81"/>
      <name val="Tahoma"/>
      <family val="2"/>
    </font>
    <font>
      <b/>
      <sz val="9"/>
      <color indexed="81"/>
      <name val="Tahoma"/>
      <family val="2"/>
    </font>
    <font>
      <b/>
      <sz val="14"/>
      <color theme="1"/>
      <name val="Calibri"/>
      <family val="2"/>
      <scheme val="minor"/>
    </font>
    <font>
      <b/>
      <u/>
      <sz val="9"/>
      <color indexed="81"/>
      <name val="Tahoma"/>
      <family val="2"/>
    </font>
    <font>
      <b/>
      <sz val="10"/>
      <name val="Arial"/>
      <family val="2"/>
    </font>
    <font>
      <sz val="10"/>
      <name val="Arial"/>
      <family val="2"/>
    </font>
    <font>
      <b/>
      <i/>
      <sz val="10"/>
      <name val="Arial"/>
      <family val="2"/>
    </font>
    <font>
      <b/>
      <sz val="10"/>
      <color indexed="9"/>
      <name val="Arial"/>
      <family val="2"/>
    </font>
    <font>
      <b/>
      <sz val="10"/>
      <color indexed="10"/>
      <name val="Arial"/>
      <family val="2"/>
    </font>
    <font>
      <sz val="10"/>
      <color indexed="10"/>
      <name val="Arial"/>
      <family val="2"/>
    </font>
    <font>
      <i/>
      <sz val="10"/>
      <name val="Arial"/>
      <family val="2"/>
    </font>
    <font>
      <b/>
      <sz val="10"/>
      <color indexed="12"/>
      <name val="Arial"/>
      <family val="2"/>
    </font>
    <font>
      <b/>
      <sz val="10"/>
      <color rgb="FFFF0000"/>
      <name val="Arial"/>
      <family val="2"/>
    </font>
    <font>
      <b/>
      <sz val="8"/>
      <name val="Arial"/>
      <family val="2"/>
    </font>
    <font>
      <sz val="12"/>
      <name val="Times New Roman"/>
      <family val="1"/>
    </font>
    <font>
      <sz val="10"/>
      <name val="Times New Roman"/>
      <family val="1"/>
    </font>
    <font>
      <b/>
      <sz val="7"/>
      <name val="Arial"/>
      <family val="2"/>
    </font>
    <font>
      <sz val="12"/>
      <name val="Arial"/>
      <family val="2"/>
    </font>
    <font>
      <b/>
      <sz val="12"/>
      <name val="Arial"/>
      <family val="2"/>
    </font>
    <font>
      <sz val="10"/>
      <color indexed="8"/>
      <name val="Arial"/>
      <family val="2"/>
    </font>
    <font>
      <sz val="10"/>
      <color rgb="FFFF0000"/>
      <name val="Arial"/>
      <family val="2"/>
    </font>
    <font>
      <vertAlign val="superscript"/>
      <sz val="10"/>
      <name val="Arial"/>
      <family val="2"/>
    </font>
    <font>
      <b/>
      <sz val="10"/>
      <name val="Times New Roman"/>
      <family val="1"/>
    </font>
    <font>
      <sz val="11"/>
      <name val="Arial"/>
      <family val="2"/>
    </font>
    <font>
      <i/>
      <sz val="10"/>
      <color rgb="FF7030A0"/>
      <name val="Calibri"/>
      <family val="2"/>
      <scheme val="minor"/>
    </font>
    <font>
      <b/>
      <sz val="9"/>
      <color theme="1"/>
      <name val="Calibri"/>
      <family val="2"/>
      <scheme val="minor"/>
    </font>
    <font>
      <sz val="9"/>
      <color theme="1"/>
      <name val="Calibri"/>
      <family val="2"/>
      <scheme val="minor"/>
    </font>
    <font>
      <strike/>
      <sz val="11"/>
      <color theme="1"/>
      <name val="Calibri"/>
      <family val="2"/>
      <scheme val="minor"/>
    </font>
    <font>
      <sz val="9"/>
      <color rgb="FF0070C0"/>
      <name val="Calibri"/>
      <family val="2"/>
      <scheme val="minor"/>
    </font>
    <font>
      <sz val="10"/>
      <name val="Arial"/>
      <family val="2"/>
    </font>
    <font>
      <sz val="9"/>
      <name val="Arial"/>
      <family val="2"/>
    </font>
    <font>
      <b/>
      <u/>
      <sz val="12"/>
      <name val="Arial"/>
      <family val="2"/>
    </font>
    <font>
      <sz val="11"/>
      <color rgb="FF7030A0"/>
      <name val="Calibri"/>
      <family val="2"/>
      <scheme val="minor"/>
    </font>
    <font>
      <b/>
      <sz val="10"/>
      <color rgb="FF0070C0"/>
      <name val="Arial"/>
      <family val="2"/>
    </font>
    <font>
      <sz val="10"/>
      <color rgb="FF0070C0"/>
      <name val="Arial"/>
      <family val="2"/>
    </font>
    <font>
      <sz val="8"/>
      <name val="Arial"/>
      <family val="2"/>
    </font>
    <font>
      <b/>
      <u val="singleAccounting"/>
      <sz val="10"/>
      <name val="Arial"/>
      <family val="2"/>
    </font>
    <font>
      <sz val="10"/>
      <name val="Arial"/>
      <family val="2"/>
    </font>
    <font>
      <b/>
      <sz val="11"/>
      <name val="Arial"/>
      <family val="2"/>
    </font>
    <font>
      <b/>
      <u/>
      <sz val="11"/>
      <name val="Arial"/>
      <family val="2"/>
    </font>
    <font>
      <b/>
      <sz val="14"/>
      <name val="Arial"/>
      <family val="2"/>
    </font>
    <font>
      <b/>
      <u/>
      <sz val="10"/>
      <name val="Arial"/>
      <family val="2"/>
    </font>
    <font>
      <sz val="7"/>
      <color rgb="FF7030A0"/>
      <name val="Arial"/>
      <family val="2"/>
    </font>
    <font>
      <i/>
      <sz val="10"/>
      <color rgb="FF7030A0"/>
      <name val="Arial"/>
      <family val="2"/>
    </font>
    <font>
      <sz val="8"/>
      <color rgb="FF7030A0"/>
      <name val="Arial"/>
      <family val="2"/>
    </font>
    <font>
      <sz val="10"/>
      <color theme="1"/>
      <name val="Arial"/>
      <family val="2"/>
    </font>
    <font>
      <b/>
      <sz val="10"/>
      <color theme="1"/>
      <name val="Arial"/>
      <family val="2"/>
    </font>
    <font>
      <b/>
      <sz val="20"/>
      <name val="Arial"/>
      <family val="2"/>
    </font>
    <font>
      <b/>
      <sz val="16"/>
      <name val="Arial"/>
      <family val="2"/>
    </font>
    <font>
      <sz val="10"/>
      <color rgb="FF7030A0"/>
      <name val="Arial"/>
      <family val="2"/>
    </font>
    <font>
      <sz val="10"/>
      <color indexed="9"/>
      <name val="Arial"/>
      <family val="2"/>
    </font>
    <font>
      <sz val="9"/>
      <color indexed="9"/>
      <name val="Arial"/>
      <family val="2"/>
    </font>
    <font>
      <vertAlign val="superscript"/>
      <sz val="8"/>
      <name val="Arial"/>
      <family val="2"/>
    </font>
    <font>
      <sz val="6"/>
      <name val="Arial"/>
      <family val="2"/>
    </font>
    <font>
      <b/>
      <sz val="9"/>
      <name val="Arial"/>
      <family val="2"/>
    </font>
    <font>
      <b/>
      <sz val="9"/>
      <color rgb="FFFF0000"/>
      <name val="Arial"/>
      <family val="2"/>
    </font>
    <font>
      <b/>
      <i/>
      <sz val="9"/>
      <color theme="1"/>
      <name val="Arial"/>
      <family val="2"/>
    </font>
    <font>
      <i/>
      <sz val="9"/>
      <color theme="1"/>
      <name val="Arial"/>
      <family val="2"/>
    </font>
    <font>
      <b/>
      <sz val="9"/>
      <color theme="1"/>
      <name val="Arial"/>
      <family val="2"/>
    </font>
    <font>
      <b/>
      <sz val="10"/>
      <color theme="0"/>
      <name val="Arial"/>
      <family val="2"/>
    </font>
    <font>
      <sz val="11"/>
      <color theme="0"/>
      <name val="Calibri"/>
      <family val="2"/>
      <scheme val="minor"/>
    </font>
    <font>
      <b/>
      <sz val="11"/>
      <name val="Calibri"/>
      <family val="2"/>
      <scheme val="minor"/>
    </font>
    <font>
      <sz val="8"/>
      <name val="Calibri"/>
      <family val="2"/>
      <scheme val="minor"/>
    </font>
    <font>
      <b/>
      <sz val="8"/>
      <color theme="0"/>
      <name val="Calibri"/>
      <family val="2"/>
      <scheme val="minor"/>
    </font>
    <font>
      <sz val="8"/>
      <color theme="0"/>
      <name val="Calibri"/>
      <family val="2"/>
      <scheme val="minor"/>
    </font>
    <font>
      <b/>
      <sz val="12"/>
      <color theme="0"/>
      <name val="Calibri"/>
      <family val="2"/>
      <scheme val="minor"/>
    </font>
    <font>
      <b/>
      <sz val="14"/>
      <color theme="0"/>
      <name val="Calibri"/>
      <family val="2"/>
      <scheme val="minor"/>
    </font>
    <font>
      <sz val="10"/>
      <color theme="0"/>
      <name val="Calibri"/>
      <family val="2"/>
      <scheme val="minor"/>
    </font>
    <font>
      <b/>
      <sz val="9"/>
      <color theme="0"/>
      <name val="Calibri"/>
      <family val="2"/>
      <scheme val="minor"/>
    </font>
    <font>
      <u/>
      <sz val="11"/>
      <color theme="1"/>
      <name val="Calibri"/>
      <family val="2"/>
      <scheme val="minor"/>
    </font>
    <font>
      <b/>
      <sz val="10"/>
      <color theme="0"/>
      <name val="Calibri"/>
      <family val="2"/>
      <scheme val="minor"/>
    </font>
    <font>
      <b/>
      <sz val="10"/>
      <color theme="4" tint="-0.249977111117893"/>
      <name val="Arial"/>
      <family val="2"/>
    </font>
    <font>
      <sz val="8"/>
      <color indexed="10"/>
      <name val="Arial"/>
      <family val="2"/>
    </font>
    <font>
      <i/>
      <sz val="9"/>
      <color rgb="FF7030A0"/>
      <name val="Calibri"/>
      <family val="2"/>
      <scheme val="minor"/>
    </font>
    <font>
      <b/>
      <i/>
      <sz val="10"/>
      <color rgb="FF7030A0"/>
      <name val="Arial"/>
      <family val="2"/>
    </font>
    <font>
      <b/>
      <u/>
      <sz val="11"/>
      <color theme="0"/>
      <name val="Calibri"/>
      <family val="2"/>
      <scheme val="minor"/>
    </font>
    <font>
      <sz val="10"/>
      <color rgb="FF002060"/>
      <name val="Arial"/>
      <family val="2"/>
    </font>
    <font>
      <sz val="10"/>
      <color theme="4" tint="-0.249977111117893"/>
      <name val="Arial"/>
      <family val="2"/>
    </font>
    <font>
      <strike/>
      <sz val="11"/>
      <name val="Calibri"/>
      <family val="2"/>
      <scheme val="minor"/>
    </font>
    <font>
      <b/>
      <sz val="18"/>
      <color theme="1"/>
      <name val="Calibri"/>
      <family val="2"/>
      <scheme val="minor"/>
    </font>
    <font>
      <sz val="12"/>
      <color rgb="FF0A0101"/>
      <name val="Arial"/>
      <family val="2"/>
    </font>
    <font>
      <i/>
      <sz val="11"/>
      <color rgb="FF7030A0"/>
      <name val="Calibri"/>
      <family val="2"/>
      <scheme val="minor"/>
    </font>
    <font>
      <b/>
      <sz val="16"/>
      <color theme="1"/>
      <name val="Calibri"/>
      <family val="2"/>
      <scheme val="minor"/>
    </font>
    <font>
      <b/>
      <u/>
      <sz val="14"/>
      <color theme="1"/>
      <name val="Calibri"/>
      <family val="2"/>
      <scheme val="minor"/>
    </font>
    <font>
      <u/>
      <sz val="12"/>
      <color theme="1"/>
      <name val="Calibri"/>
      <family val="2"/>
      <scheme val="minor"/>
    </font>
    <font>
      <b/>
      <sz val="7"/>
      <color theme="1"/>
      <name val="Calibri"/>
      <family val="2"/>
      <scheme val="minor"/>
    </font>
    <font>
      <b/>
      <sz val="10"/>
      <color theme="1"/>
      <name val="Calibri"/>
      <family val="2"/>
      <scheme val="minor"/>
    </font>
    <font>
      <b/>
      <sz val="12"/>
      <color theme="1"/>
      <name val="Calibri"/>
      <family val="2"/>
      <scheme val="minor"/>
    </font>
    <font>
      <sz val="12"/>
      <color rgb="FF0070C0"/>
      <name val="Calibri"/>
      <family val="2"/>
      <scheme val="minor"/>
    </font>
    <font>
      <sz val="10"/>
      <name val="Calibri"/>
      <family val="2"/>
      <scheme val="minor"/>
    </font>
    <font>
      <sz val="11"/>
      <color rgb="FFFF0000"/>
      <name val="Calibri"/>
      <family val="2"/>
      <scheme val="minor"/>
    </font>
    <font>
      <i/>
      <sz val="8"/>
      <name val="Arial"/>
      <family val="2"/>
    </font>
    <font>
      <i/>
      <sz val="10"/>
      <name val="Calibri"/>
      <family val="2"/>
      <scheme val="minor"/>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b/>
      <sz val="12"/>
      <color rgb="FFFF0000"/>
      <name val="Arial"/>
      <family val="2"/>
    </font>
    <font>
      <b/>
      <i/>
      <sz val="10"/>
      <color rgb="FFFF0000"/>
      <name val="Arial"/>
      <family val="2"/>
    </font>
    <font>
      <b/>
      <sz val="14"/>
      <color theme="1"/>
      <name val="Arial"/>
      <family val="2"/>
    </font>
    <font>
      <u/>
      <sz val="11"/>
      <color theme="10"/>
      <name val="Calibri"/>
      <family val="2"/>
      <scheme val="minor"/>
    </font>
    <font>
      <b/>
      <u/>
      <sz val="11"/>
      <color indexed="12"/>
      <name val="Arial"/>
      <family val="2"/>
    </font>
    <font>
      <b/>
      <sz val="9"/>
      <color rgb="FF7030A0"/>
      <name val="Calibri"/>
      <family val="2"/>
      <scheme val="minor"/>
    </font>
    <font>
      <i/>
      <sz val="9"/>
      <name val="Calibri"/>
      <family val="2"/>
      <scheme val="minor"/>
    </font>
    <font>
      <b/>
      <sz val="8"/>
      <color rgb="FF7030A0"/>
      <name val="Arial"/>
      <family val="2"/>
    </font>
    <font>
      <i/>
      <sz val="11"/>
      <color theme="1"/>
      <name val="Times New Roman"/>
      <family val="1"/>
    </font>
    <font>
      <b/>
      <i/>
      <sz val="10"/>
      <name val="Calibri"/>
      <family val="2"/>
      <scheme val="minor"/>
    </font>
    <font>
      <b/>
      <sz val="10"/>
      <name val="Calibri"/>
      <family val="2"/>
      <scheme val="minor"/>
    </font>
    <font>
      <b/>
      <sz val="11"/>
      <color rgb="FF000000"/>
      <name val="Calibri"/>
      <family val="2"/>
      <scheme val="minor"/>
    </font>
    <font>
      <sz val="11"/>
      <color rgb="FF000000"/>
      <name val="Calibri"/>
      <family val="2"/>
      <scheme val="minor"/>
    </font>
    <font>
      <b/>
      <sz val="11"/>
      <color theme="0" tint="-0.34998626667073579"/>
      <name val="Calibri"/>
      <family val="2"/>
      <scheme val="minor"/>
    </font>
    <font>
      <sz val="11"/>
      <color theme="0" tint="-0.34998626667073579"/>
      <name val="Calibri"/>
      <family val="2"/>
      <scheme val="minor"/>
    </font>
    <font>
      <b/>
      <sz val="11"/>
      <color rgb="FFFF0000"/>
      <name val="Calibri"/>
      <family val="2"/>
      <scheme val="minor"/>
    </font>
    <font>
      <b/>
      <sz val="18"/>
      <color theme="0"/>
      <name val="Calibri"/>
      <family val="2"/>
      <scheme val="minor"/>
    </font>
    <font>
      <b/>
      <sz val="16"/>
      <color theme="0"/>
      <name val="Calibri"/>
      <family val="2"/>
      <scheme val="minor"/>
    </font>
    <font>
      <sz val="11"/>
      <color theme="1"/>
      <name val="Calibri"/>
      <family val="2"/>
    </font>
    <font>
      <i/>
      <sz val="11"/>
      <color theme="8" tint="-0.249977111117893"/>
      <name val="Calibri"/>
      <family val="2"/>
      <scheme val="minor"/>
    </font>
    <font>
      <b/>
      <sz val="12"/>
      <color theme="8" tint="-0.249977111117893"/>
      <name val="Calibri"/>
      <family val="2"/>
      <scheme val="minor"/>
    </font>
    <font>
      <b/>
      <sz val="11"/>
      <color theme="8" tint="-0.249977111117893"/>
      <name val="Calibri"/>
      <family val="2"/>
      <scheme val="minor"/>
    </font>
    <font>
      <sz val="12"/>
      <color theme="8" tint="-0.249977111117893"/>
      <name val="Calibri"/>
      <family val="2"/>
      <scheme val="minor"/>
    </font>
    <font>
      <b/>
      <sz val="11"/>
      <color theme="1"/>
      <name val="Calibri"/>
      <family val="2"/>
    </font>
    <font>
      <i/>
      <sz val="11"/>
      <name val="Calibri"/>
      <family val="2"/>
      <scheme val="minor"/>
    </font>
    <font>
      <sz val="9"/>
      <color theme="1"/>
      <name val="Arial"/>
      <family val="2"/>
    </font>
    <font>
      <sz val="11"/>
      <color theme="1"/>
      <name val="Arial"/>
      <family val="2"/>
    </font>
    <font>
      <i/>
      <sz val="12"/>
      <name val="Times New Roman"/>
      <family val="1"/>
    </font>
    <font>
      <b/>
      <sz val="12"/>
      <color rgb="FF0070C0"/>
      <name val="Arial"/>
      <family val="2"/>
    </font>
    <font>
      <b/>
      <u/>
      <sz val="12"/>
      <color rgb="FF0070C0"/>
      <name val="Arial"/>
      <family val="2"/>
    </font>
    <font>
      <sz val="12"/>
      <color rgb="FF0070C0"/>
      <name val="Arial"/>
      <family val="2"/>
    </font>
    <font>
      <b/>
      <sz val="12"/>
      <color rgb="FF00B0F0"/>
      <name val="Arial"/>
      <family val="2"/>
    </font>
    <font>
      <b/>
      <sz val="11"/>
      <color rgb="FFFF0000"/>
      <name val="Arial"/>
      <family val="2"/>
    </font>
    <font>
      <b/>
      <sz val="11"/>
      <color rgb="FFFA7D00"/>
      <name val="Calibri"/>
      <family val="2"/>
      <scheme val="minor"/>
    </font>
    <font>
      <sz val="11"/>
      <color theme="4" tint="-0.249977111117893"/>
      <name val="Calibri"/>
      <family val="2"/>
      <scheme val="minor"/>
    </font>
    <font>
      <i/>
      <sz val="11"/>
      <color theme="4" tint="-0.249977111117893"/>
      <name val="Calibri"/>
      <family val="2"/>
      <scheme val="minor"/>
    </font>
    <font>
      <b/>
      <sz val="11"/>
      <color theme="4" tint="-0.249977111117893"/>
      <name val="Calibri"/>
      <family val="2"/>
      <scheme val="minor"/>
    </font>
    <font>
      <b/>
      <sz val="11"/>
      <color theme="4" tint="-0.499984740745262"/>
      <name val="Calibri"/>
      <family val="2"/>
      <scheme val="minor"/>
    </font>
    <font>
      <b/>
      <u/>
      <sz val="11"/>
      <color theme="1"/>
      <name val="Calibri"/>
      <family val="2"/>
    </font>
    <font>
      <sz val="10"/>
      <color theme="1"/>
      <name val="Calibri"/>
      <family val="2"/>
      <scheme val="minor"/>
    </font>
    <font>
      <b/>
      <sz val="11"/>
      <color theme="1"/>
      <name val="Arial"/>
      <family val="2"/>
    </font>
    <font>
      <b/>
      <sz val="14"/>
      <color rgb="FFFF0000"/>
      <name val="Arial"/>
      <family val="2"/>
    </font>
    <font>
      <b/>
      <sz val="10"/>
      <color rgb="FF00B0F0"/>
      <name val="Arial"/>
      <family val="2"/>
    </font>
    <font>
      <sz val="9"/>
      <color indexed="81"/>
      <name val="Tahoma"/>
      <charset val="1"/>
    </font>
    <font>
      <b/>
      <sz val="9"/>
      <color indexed="81"/>
      <name val="Tahoma"/>
      <charset val="1"/>
    </font>
  </fonts>
  <fills count="54">
    <fill>
      <patternFill patternType="none"/>
    </fill>
    <fill>
      <patternFill patternType="gray125"/>
    </fill>
    <fill>
      <patternFill patternType="solid">
        <fgColor theme="5"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CCFF"/>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13"/>
        <bgColor indexed="64"/>
      </patternFill>
    </fill>
    <fill>
      <patternFill patternType="solid">
        <fgColor indexed="8"/>
        <bgColor indexed="64"/>
      </patternFill>
    </fill>
    <fill>
      <patternFill patternType="solid">
        <fgColor indexed="11"/>
        <bgColor indexed="64"/>
      </patternFill>
    </fill>
    <fill>
      <patternFill patternType="solid">
        <fgColor indexed="2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rgb="FFFF66FF"/>
        <bgColor indexed="64"/>
      </patternFill>
    </fill>
    <fill>
      <patternFill patternType="solid">
        <fgColor theme="1" tint="0.34998626667073579"/>
        <bgColor indexed="64"/>
      </patternFill>
    </fill>
    <fill>
      <patternFill patternType="solid">
        <fgColor theme="1"/>
        <bgColor indexed="64"/>
      </patternFill>
    </fill>
    <fill>
      <patternFill patternType="solid">
        <fgColor rgb="FF7030A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rgb="FF002060"/>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rgb="FF663300"/>
        <bgColor indexed="64"/>
      </patternFill>
    </fill>
    <fill>
      <patternFill patternType="solid">
        <fgColor theme="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00"/>
        <bgColor indexed="64"/>
      </patternFill>
    </fill>
    <fill>
      <patternFill patternType="solid">
        <fgColor rgb="FF33CCFF"/>
        <bgColor indexed="64"/>
      </patternFill>
    </fill>
    <fill>
      <patternFill patternType="solid">
        <fgColor theme="0" tint="-0.249977111117893"/>
        <bgColor indexed="64"/>
      </patternFill>
    </fill>
    <fill>
      <patternFill patternType="solid">
        <fgColor indexed="65"/>
        <bgColor indexed="64"/>
      </patternFill>
    </fill>
    <fill>
      <patternFill patternType="solid">
        <fgColor rgb="FFDE58D1"/>
        <bgColor indexed="64"/>
      </patternFill>
    </fill>
    <fill>
      <patternFill patternType="solid">
        <fgColor rgb="FFCC99FF"/>
        <bgColor indexed="64"/>
      </patternFill>
    </fill>
    <fill>
      <patternFill patternType="solid">
        <fgColor rgb="FF99CCFF"/>
        <bgColor indexed="64"/>
      </patternFill>
    </fill>
    <fill>
      <patternFill patternType="solid">
        <fgColor rgb="FF66FFCC"/>
        <bgColor indexed="64"/>
      </patternFill>
    </fill>
    <fill>
      <patternFill patternType="solid">
        <fgColor rgb="FFFF9933"/>
        <bgColor indexed="64"/>
      </patternFill>
    </fill>
    <fill>
      <patternFill patternType="solid">
        <fgColor rgb="FFCCFF33"/>
        <bgColor indexed="64"/>
      </patternFill>
    </fill>
    <fill>
      <patternFill patternType="solid">
        <fgColor rgb="FFF2F2F2"/>
      </patternFill>
    </fill>
    <fill>
      <patternFill patternType="solid">
        <fgColor rgb="FFDBD3D2"/>
        <bgColor indexed="64"/>
      </patternFill>
    </fill>
    <fill>
      <patternFill patternType="solid">
        <fgColor rgb="FFFF00FF"/>
        <bgColor indexed="64"/>
      </patternFill>
    </fill>
    <fill>
      <patternFill patternType="lightGrid">
        <fgColor rgb="FFFFFF00"/>
      </patternFill>
    </fill>
    <fill>
      <patternFill patternType="solid">
        <fgColor rgb="FF00B050"/>
        <bgColor indexed="64"/>
      </patternFill>
    </fill>
    <fill>
      <patternFill patternType="solid">
        <fgColor theme="8" tint="0.5999938962981048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n">
        <color theme="0"/>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style="thin">
        <color theme="0"/>
      </top>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bottom style="dotted">
        <color indexed="64"/>
      </bottom>
      <diagonal/>
    </border>
    <border>
      <left style="thin">
        <color indexed="64"/>
      </left>
      <right style="thin">
        <color indexed="64"/>
      </right>
      <top/>
      <bottom style="dotted">
        <color indexed="64"/>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auto="1"/>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hair">
        <color auto="1"/>
      </left>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medium">
        <color auto="1"/>
      </left>
      <right style="hair">
        <color auto="1"/>
      </right>
      <top style="medium">
        <color auto="1"/>
      </top>
      <bottom style="thin">
        <color indexed="64"/>
      </bottom>
      <diagonal/>
    </border>
    <border>
      <left/>
      <right style="medium">
        <color indexed="64"/>
      </right>
      <top style="medium">
        <color indexed="64"/>
      </top>
      <bottom/>
      <diagonal/>
    </border>
    <border>
      <left style="thin">
        <color rgb="FF7F7F7F"/>
      </left>
      <right style="medium">
        <color auto="1"/>
      </right>
      <top style="thin">
        <color rgb="FF7F7F7F"/>
      </top>
      <bottom style="medium">
        <color auto="1"/>
      </bottom>
      <diagonal/>
    </border>
    <border>
      <left/>
      <right style="hair">
        <color auto="1"/>
      </right>
      <top/>
      <bottom style="hair">
        <color auto="1"/>
      </bottom>
      <diagonal/>
    </border>
    <border>
      <left/>
      <right/>
      <top style="thin">
        <color theme="0" tint="-0.34998626667073579"/>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2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0" fontId="50" fillId="0" borderId="0"/>
    <xf numFmtId="43" fontId="26" fillId="0" borderId="0" applyFont="0" applyFill="0" applyBorder="0" applyAlignment="0" applyProtection="0"/>
    <xf numFmtId="0" fontId="26"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58" fillId="0" borderId="0"/>
    <xf numFmtId="0" fontId="26" fillId="0" borderId="0"/>
    <xf numFmtId="43" fontId="1" fillId="0" borderId="0" applyFont="0" applyFill="0" applyBorder="0" applyAlignment="0" applyProtection="0"/>
    <xf numFmtId="180" fontId="26" fillId="0" borderId="0" applyFont="0" applyFill="0" applyBorder="0" applyAlignment="0" applyProtection="0"/>
    <xf numFmtId="0" fontId="1" fillId="0" borderId="0"/>
    <xf numFmtId="0" fontId="26" fillId="0" borderId="0"/>
    <xf numFmtId="0" fontId="26" fillId="0" borderId="0"/>
    <xf numFmtId="0" fontId="121" fillId="0" borderId="0" applyNumberFormat="0" applyFill="0" applyBorder="0" applyAlignment="0" applyProtection="0"/>
    <xf numFmtId="0" fontId="26" fillId="0" borderId="0"/>
    <xf numFmtId="0" fontId="1" fillId="0" borderId="0"/>
    <xf numFmtId="0" fontId="151" fillId="48" borderId="96" applyNumberFormat="0" applyAlignment="0" applyProtection="0"/>
  </cellStyleXfs>
  <cellXfs count="2171">
    <xf numFmtId="0" fontId="0" fillId="0" borderId="0" xfId="0"/>
    <xf numFmtId="0" fontId="3"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wrapText="1"/>
    </xf>
    <xf numFmtId="164" fontId="0" fillId="0" borderId="0" xfId="1" applyNumberFormat="1" applyFont="1"/>
    <xf numFmtId="164" fontId="0" fillId="0" borderId="0" xfId="1" applyNumberFormat="1" applyFont="1" applyAlignment="1">
      <alignment horizontal="right" vertical="center"/>
    </xf>
    <xf numFmtId="0" fontId="0" fillId="0" borderId="0" xfId="0" applyAlignment="1">
      <alignment vertical="center" wrapText="1"/>
    </xf>
    <xf numFmtId="0" fontId="0" fillId="4" borderId="0" xfId="0" applyFill="1" applyAlignment="1">
      <alignment vertical="center" wrapText="1"/>
    </xf>
    <xf numFmtId="164" fontId="3" fillId="0" borderId="0" xfId="1" applyNumberFormat="1" applyFont="1" applyAlignment="1">
      <alignment horizontal="right" vertical="center"/>
    </xf>
    <xf numFmtId="0" fontId="9" fillId="0" borderId="0" xfId="0" applyFont="1" applyAlignment="1">
      <alignment horizontal="left" vertical="center"/>
    </xf>
    <xf numFmtId="0" fontId="6" fillId="0" borderId="0" xfId="0" applyFont="1" applyAlignment="1">
      <alignment vertical="center"/>
    </xf>
    <xf numFmtId="164" fontId="0" fillId="0" borderId="0" xfId="1" applyNumberFormat="1" applyFont="1" applyAlignment="1">
      <alignment vertical="center"/>
    </xf>
    <xf numFmtId="0" fontId="3" fillId="0" borderId="0" xfId="0" applyFont="1" applyAlignment="1">
      <alignment vertical="center" wrapText="1"/>
    </xf>
    <xf numFmtId="164" fontId="3" fillId="7" borderId="0" xfId="1" applyNumberFormat="1" applyFont="1" applyFill="1" applyAlignment="1">
      <alignment horizontal="right" vertical="center"/>
    </xf>
    <xf numFmtId="0" fontId="12" fillId="0" borderId="0" xfId="0" applyFont="1" applyAlignment="1">
      <alignment horizontal="center" vertical="center"/>
    </xf>
    <xf numFmtId="0" fontId="3" fillId="0" borderId="0" xfId="0" applyFont="1" applyAlignment="1">
      <alignment vertical="center"/>
    </xf>
    <xf numFmtId="164" fontId="3" fillId="7" borderId="0" xfId="1" applyNumberFormat="1" applyFont="1" applyFill="1" applyAlignment="1">
      <alignment horizontal="left" vertical="center"/>
    </xf>
    <xf numFmtId="0" fontId="6" fillId="7" borderId="0" xfId="0" applyFont="1" applyFill="1" applyAlignment="1">
      <alignment vertical="center"/>
    </xf>
    <xf numFmtId="0" fontId="3" fillId="7" borderId="0" xfId="0" applyFont="1" applyFill="1" applyAlignment="1">
      <alignment vertical="center" wrapText="1"/>
    </xf>
    <xf numFmtId="0" fontId="13" fillId="7" borderId="0" xfId="0" applyFont="1" applyFill="1" applyAlignment="1">
      <alignment horizontal="center" vertical="center"/>
    </xf>
    <xf numFmtId="0" fontId="14" fillId="7" borderId="0" xfId="0" applyFont="1" applyFill="1" applyAlignment="1">
      <alignment horizontal="center" vertical="center"/>
    </xf>
    <xf numFmtId="0" fontId="3" fillId="7" borderId="0" xfId="0" applyFont="1" applyFill="1" applyAlignment="1">
      <alignment vertical="center"/>
    </xf>
    <xf numFmtId="164" fontId="3" fillId="7" borderId="0" xfId="1" applyNumberFormat="1" applyFont="1" applyFill="1" applyAlignment="1">
      <alignment vertical="center"/>
    </xf>
    <xf numFmtId="0" fontId="15" fillId="0" borderId="0" xfId="0" applyFont="1" applyAlignment="1">
      <alignment horizontal="center" vertical="center"/>
    </xf>
    <xf numFmtId="164" fontId="0" fillId="0" borderId="0" xfId="1" applyNumberFormat="1" applyFont="1" applyAlignment="1">
      <alignment horizontal="left" vertical="center"/>
    </xf>
    <xf numFmtId="0" fontId="16" fillId="0" borderId="0" xfId="0" applyFont="1" applyAlignment="1">
      <alignment horizontal="left" vertical="center" wrapText="1"/>
    </xf>
    <xf numFmtId="164" fontId="3" fillId="0" borderId="0" xfId="1" applyNumberFormat="1" applyFont="1" applyAlignment="1">
      <alignment horizontal="left" vertical="center"/>
    </xf>
    <xf numFmtId="0" fontId="18" fillId="7" borderId="0" xfId="0" applyFont="1" applyFill="1" applyAlignment="1">
      <alignment horizontal="left" vertical="center" wrapText="1"/>
    </xf>
    <xf numFmtId="164" fontId="0" fillId="9" borderId="0" xfId="1" applyNumberFormat="1" applyFont="1" applyFill="1" applyAlignment="1">
      <alignment horizontal="right" vertical="center"/>
    </xf>
    <xf numFmtId="0" fontId="3" fillId="0" borderId="0" xfId="0" applyFont="1" applyAlignment="1">
      <alignment horizontal="center" vertical="center"/>
    </xf>
    <xf numFmtId="0" fontId="11" fillId="0" borderId="0" xfId="0" applyFont="1"/>
    <xf numFmtId="0" fontId="25" fillId="0" borderId="0" xfId="0" applyFont="1"/>
    <xf numFmtId="165" fontId="0" fillId="0" borderId="0" xfId="0" applyNumberFormat="1"/>
    <xf numFmtId="166" fontId="26" fillId="0" borderId="0" xfId="4" applyNumberFormat="1"/>
    <xf numFmtId="166" fontId="25" fillId="0" borderId="0" xfId="4" applyNumberFormat="1" applyFont="1" applyAlignment="1">
      <alignment vertical="top"/>
    </xf>
    <xf numFmtId="166" fontId="25" fillId="0" borderId="0" xfId="4" quotePrefix="1" applyNumberFormat="1" applyFont="1"/>
    <xf numFmtId="166" fontId="25" fillId="0" borderId="0" xfId="4" applyNumberFormat="1" applyFont="1"/>
    <xf numFmtId="166" fontId="25" fillId="0" borderId="0" xfId="4" applyNumberFormat="1" applyFont="1" applyAlignment="1">
      <alignment horizontal="center"/>
    </xf>
    <xf numFmtId="166" fontId="25" fillId="0" borderId="0" xfId="4" applyNumberFormat="1" applyFont="1" applyAlignment="1">
      <alignment horizontal="right"/>
    </xf>
    <xf numFmtId="166" fontId="28" fillId="13" borderId="0" xfId="4" applyNumberFormat="1" applyFont="1" applyFill="1" applyAlignment="1">
      <alignment horizontal="right"/>
    </xf>
    <xf numFmtId="166" fontId="26" fillId="0" borderId="0" xfId="4" applyNumberFormat="1" applyAlignment="1">
      <alignment wrapText="1"/>
    </xf>
    <xf numFmtId="166" fontId="25" fillId="0" borderId="0" xfId="4" applyNumberFormat="1" applyFont="1" applyAlignment="1">
      <alignment horizontal="right" wrapText="1"/>
    </xf>
    <xf numFmtId="166" fontId="26" fillId="0" borderId="0" xfId="5" applyNumberFormat="1" applyAlignment="1">
      <alignment horizontal="right" shrinkToFit="1"/>
    </xf>
    <xf numFmtId="166" fontId="26" fillId="0" borderId="7" xfId="4" applyNumberFormat="1" applyBorder="1"/>
    <xf numFmtId="166" fontId="26" fillId="0" borderId="8" xfId="4" applyNumberFormat="1" applyBorder="1"/>
    <xf numFmtId="166" fontId="29" fillId="0" borderId="0" xfId="4" applyNumberFormat="1" applyFont="1" applyAlignment="1">
      <alignment horizontal="center"/>
    </xf>
    <xf numFmtId="166" fontId="25" fillId="0" borderId="0" xfId="4" applyNumberFormat="1" applyFont="1" applyAlignment="1">
      <alignment vertical="center"/>
    </xf>
    <xf numFmtId="166" fontId="25" fillId="0" borderId="5" xfId="5" applyNumberFormat="1" applyFont="1" applyBorder="1" applyAlignment="1">
      <alignment horizontal="right" vertical="center" shrinkToFit="1"/>
    </xf>
    <xf numFmtId="166" fontId="25" fillId="0" borderId="0" xfId="5" applyNumberFormat="1" applyFont="1" applyAlignment="1">
      <alignment horizontal="right" vertical="center" shrinkToFit="1"/>
    </xf>
    <xf numFmtId="166" fontId="26" fillId="0" borderId="5" xfId="5" applyNumberFormat="1" applyBorder="1" applyAlignment="1">
      <alignment horizontal="right" vertical="center" shrinkToFit="1"/>
    </xf>
    <xf numFmtId="166" fontId="26" fillId="0" borderId="0" xfId="4" applyNumberFormat="1" applyAlignment="1">
      <alignment vertical="center"/>
    </xf>
    <xf numFmtId="166" fontId="26" fillId="0" borderId="0" xfId="4" applyNumberFormat="1" applyAlignment="1">
      <alignment horizontal="right"/>
    </xf>
    <xf numFmtId="166" fontId="25" fillId="0" borderId="5" xfId="4" applyNumberFormat="1" applyFont="1" applyBorder="1"/>
    <xf numFmtId="166" fontId="26" fillId="0" borderId="5" xfId="4" applyNumberFormat="1" applyBorder="1"/>
    <xf numFmtId="166" fontId="25" fillId="0" borderId="0" xfId="4" applyNumberFormat="1" applyFont="1" applyAlignment="1">
      <alignment vertical="top" wrapText="1"/>
    </xf>
    <xf numFmtId="166" fontId="26" fillId="0" borderId="0" xfId="4" applyNumberFormat="1" applyAlignment="1">
      <alignment vertical="top" wrapText="1"/>
    </xf>
    <xf numFmtId="166" fontId="25" fillId="0" borderId="0" xfId="4" applyNumberFormat="1" applyFont="1" applyAlignment="1">
      <alignment horizontal="right" vertical="top" wrapText="1"/>
    </xf>
    <xf numFmtId="166" fontId="26" fillId="0" borderId="0" xfId="5" applyNumberFormat="1"/>
    <xf numFmtId="0" fontId="26" fillId="0" borderId="0" xfId="4"/>
    <xf numFmtId="166" fontId="25" fillId="0" borderId="0" xfId="4" quotePrefix="1" applyNumberFormat="1" applyFont="1" applyAlignment="1">
      <alignment vertical="top"/>
    </xf>
    <xf numFmtId="0" fontId="25" fillId="0" borderId="0" xfId="4" quotePrefix="1" applyFont="1"/>
    <xf numFmtId="0" fontId="25" fillId="0" borderId="0" xfId="4" applyFont="1"/>
    <xf numFmtId="0" fontId="25" fillId="0" borderId="0" xfId="4" applyFont="1" applyAlignment="1">
      <alignment wrapText="1"/>
    </xf>
    <xf numFmtId="166" fontId="27" fillId="0" borderId="0" xfId="4" applyNumberFormat="1" applyFont="1" applyAlignment="1">
      <alignment vertical="top"/>
    </xf>
    <xf numFmtId="166" fontId="26" fillId="0" borderId="10" xfId="4" applyNumberFormat="1" applyBorder="1"/>
    <xf numFmtId="166" fontId="25" fillId="0" borderId="10" xfId="4" applyNumberFormat="1" applyFont="1" applyBorder="1" applyAlignment="1">
      <alignment horizontal="right"/>
    </xf>
    <xf numFmtId="166" fontId="25" fillId="0" borderId="7" xfId="4" applyNumberFormat="1" applyFont="1" applyBorder="1"/>
    <xf numFmtId="166" fontId="25" fillId="0" borderId="10" xfId="4" applyNumberFormat="1" applyFont="1" applyBorder="1"/>
    <xf numFmtId="166" fontId="25" fillId="0" borderId="7" xfId="4" applyNumberFormat="1" applyFont="1" applyBorder="1" applyAlignment="1">
      <alignment wrapText="1"/>
    </xf>
    <xf numFmtId="166" fontId="25" fillId="0" borderId="7" xfId="4" applyNumberFormat="1" applyFont="1" applyBorder="1" applyAlignment="1">
      <alignment horizontal="center" wrapText="1"/>
    </xf>
    <xf numFmtId="166" fontId="25" fillId="0" borderId="12" xfId="4" applyNumberFormat="1" applyFont="1" applyBorder="1" applyAlignment="1">
      <alignment horizontal="right" wrapText="1"/>
    </xf>
    <xf numFmtId="166" fontId="25" fillId="0" borderId="13" xfId="4" applyNumberFormat="1" applyFont="1" applyBorder="1" applyAlignment="1">
      <alignment horizontal="right" wrapText="1"/>
    </xf>
    <xf numFmtId="166" fontId="25" fillId="0" borderId="10" xfId="4" applyNumberFormat="1" applyFont="1" applyBorder="1" applyAlignment="1">
      <alignment horizontal="right" wrapText="1"/>
    </xf>
    <xf numFmtId="166" fontId="26" fillId="0" borderId="0" xfId="4" applyNumberFormat="1" applyAlignment="1">
      <alignment horizontal="center"/>
    </xf>
    <xf numFmtId="166" fontId="25" fillId="0" borderId="2" xfId="4" applyNumberFormat="1" applyFont="1" applyBorder="1" applyAlignment="1">
      <alignment horizontal="right"/>
    </xf>
    <xf numFmtId="166" fontId="26" fillId="0" borderId="2" xfId="4" applyNumberFormat="1" applyBorder="1"/>
    <xf numFmtId="166" fontId="26" fillId="0" borderId="14" xfId="4" applyNumberFormat="1" applyBorder="1"/>
    <xf numFmtId="166" fontId="26" fillId="0" borderId="0" xfId="4" quotePrefix="1" applyNumberFormat="1" applyAlignment="1">
      <alignment vertical="top" wrapText="1"/>
    </xf>
    <xf numFmtId="166" fontId="26" fillId="0" borderId="0" xfId="4" applyNumberFormat="1" applyAlignment="1">
      <alignment horizontal="center" vertical="top" wrapText="1"/>
    </xf>
    <xf numFmtId="166" fontId="26" fillId="0" borderId="14" xfId="4" applyNumberFormat="1" applyBorder="1" applyAlignment="1">
      <alignment vertical="top" wrapText="1"/>
    </xf>
    <xf numFmtId="166" fontId="26" fillId="0" borderId="2" xfId="4" applyNumberFormat="1" applyBorder="1" applyAlignment="1">
      <alignment vertical="top" wrapText="1"/>
    </xf>
    <xf numFmtId="166" fontId="26" fillId="0" borderId="10" xfId="4" applyNumberFormat="1" applyBorder="1" applyAlignment="1">
      <alignment vertical="top" wrapText="1"/>
    </xf>
    <xf numFmtId="166" fontId="26" fillId="0" borderId="0" xfId="4" applyNumberFormat="1" applyAlignment="1">
      <alignment horizontal="center" wrapText="1"/>
    </xf>
    <xf numFmtId="166" fontId="25" fillId="0" borderId="4" xfId="5" applyNumberFormat="1" applyFont="1" applyBorder="1"/>
    <xf numFmtId="166" fontId="25" fillId="0" borderId="16" xfId="4" applyNumberFormat="1" applyFont="1" applyBorder="1"/>
    <xf numFmtId="166" fontId="26" fillId="0" borderId="16" xfId="4" applyNumberFormat="1" applyBorder="1"/>
    <xf numFmtId="166" fontId="26" fillId="12" borderId="15" xfId="4" applyNumberFormat="1" applyFill="1" applyBorder="1"/>
    <xf numFmtId="166" fontId="26" fillId="0" borderId="0" xfId="4" quotePrefix="1" applyNumberFormat="1" applyAlignment="1">
      <alignment horizontal="center"/>
    </xf>
    <xf numFmtId="166" fontId="31" fillId="0" borderId="0" xfId="4" applyNumberFormat="1" applyFont="1"/>
    <xf numFmtId="166" fontId="25" fillId="0" borderId="0" xfId="4" quotePrefix="1" applyNumberFormat="1" applyFont="1" applyAlignment="1">
      <alignment horizontal="right"/>
    </xf>
    <xf numFmtId="166" fontId="26" fillId="0" borderId="0" xfId="4" quotePrefix="1" applyNumberFormat="1" applyAlignment="1">
      <alignment horizontal="center" vertical="top" wrapText="1"/>
    </xf>
    <xf numFmtId="166" fontId="26" fillId="4" borderId="0" xfId="4" applyNumberFormat="1" applyFill="1"/>
    <xf numFmtId="166" fontId="26" fillId="0" borderId="10" xfId="4" applyNumberFormat="1" applyBorder="1" applyAlignment="1">
      <alignment wrapText="1"/>
    </xf>
    <xf numFmtId="166" fontId="26" fillId="0" borderId="0" xfId="6" applyNumberFormat="1"/>
    <xf numFmtId="166" fontId="26" fillId="0" borderId="0" xfId="4" applyNumberFormat="1" applyAlignment="1">
      <alignment horizontal="right" wrapText="1"/>
    </xf>
    <xf numFmtId="0" fontId="26" fillId="0" borderId="0" xfId="4" applyAlignment="1">
      <alignment wrapText="1"/>
    </xf>
    <xf numFmtId="166" fontId="25" fillId="0" borderId="4" xfId="4" applyNumberFormat="1" applyFont="1" applyBorder="1"/>
    <xf numFmtId="166" fontId="26" fillId="0" borderId="4" xfId="4" applyNumberFormat="1" applyBorder="1"/>
    <xf numFmtId="166" fontId="25" fillId="0" borderId="2" xfId="4" applyNumberFormat="1" applyFont="1" applyBorder="1"/>
    <xf numFmtId="4" fontId="26" fillId="0" borderId="0" xfId="4" applyNumberFormat="1"/>
    <xf numFmtId="168" fontId="26" fillId="0" borderId="0" xfId="4" applyNumberFormat="1"/>
    <xf numFmtId="166" fontId="26" fillId="0" borderId="0" xfId="4" applyNumberFormat="1" applyAlignment="1">
      <alignment horizontal="center" vertical="top"/>
    </xf>
    <xf numFmtId="166" fontId="26" fillId="0" borderId="0" xfId="4" applyNumberFormat="1" applyAlignment="1">
      <alignment vertical="top"/>
    </xf>
    <xf numFmtId="166" fontId="25" fillId="0" borderId="0" xfId="4" applyNumberFormat="1" applyFont="1" applyAlignment="1">
      <alignment horizontal="center" vertical="top"/>
    </xf>
    <xf numFmtId="166" fontId="25" fillId="0" borderId="0" xfId="4" applyNumberFormat="1" applyFont="1" applyAlignment="1">
      <alignment horizontal="right" vertical="top"/>
    </xf>
    <xf numFmtId="166" fontId="25" fillId="0" borderId="0" xfId="4" applyNumberFormat="1" applyFont="1" applyAlignment="1">
      <alignment wrapText="1"/>
    </xf>
    <xf numFmtId="166" fontId="26" fillId="14" borderId="0" xfId="4" applyNumberFormat="1" applyFill="1" applyAlignment="1">
      <alignment vertical="top"/>
    </xf>
    <xf numFmtId="166" fontId="26" fillId="12" borderId="0" xfId="4" applyNumberFormat="1" applyFill="1"/>
    <xf numFmtId="166" fontId="26" fillId="0" borderId="0" xfId="4" quotePrefix="1" applyNumberFormat="1" applyAlignment="1">
      <alignment horizontal="center" vertical="top"/>
    </xf>
    <xf numFmtId="166" fontId="29" fillId="0" borderId="0" xfId="4" applyNumberFormat="1" applyFont="1" applyAlignment="1">
      <alignment horizontal="center" vertical="top"/>
    </xf>
    <xf numFmtId="166" fontId="25" fillId="0" borderId="0" xfId="4" applyNumberFormat="1" applyFont="1" applyAlignment="1">
      <alignment horizontal="center" wrapText="1"/>
    </xf>
    <xf numFmtId="9" fontId="26" fillId="0" borderId="0" xfId="8" applyAlignment="1">
      <alignment vertical="top"/>
    </xf>
    <xf numFmtId="166" fontId="25" fillId="0" borderId="0" xfId="4" applyNumberFormat="1" applyFont="1" applyAlignment="1">
      <alignment horizontal="center" vertical="center"/>
    </xf>
    <xf numFmtId="166" fontId="25" fillId="0" borderId="5" xfId="4" applyNumberFormat="1" applyFont="1" applyBorder="1" applyAlignment="1">
      <alignment vertical="center"/>
    </xf>
    <xf numFmtId="166" fontId="25" fillId="0" borderId="0" xfId="4" applyNumberFormat="1" applyFont="1" applyAlignment="1">
      <alignment horizontal="left"/>
    </xf>
    <xf numFmtId="166" fontId="28" fillId="13" borderId="0" xfId="4" applyNumberFormat="1" applyFont="1" applyFill="1" applyAlignment="1">
      <alignment horizontal="center" vertical="top" wrapText="1"/>
    </xf>
    <xf numFmtId="166" fontId="27" fillId="0" borderId="0" xfId="4" applyNumberFormat="1" applyFont="1" applyAlignment="1">
      <alignment horizontal="right"/>
    </xf>
    <xf numFmtId="166" fontId="25" fillId="0" borderId="6" xfId="4" applyNumberFormat="1" applyFont="1" applyBorder="1"/>
    <xf numFmtId="166" fontId="27" fillId="0" borderId="0" xfId="4" applyNumberFormat="1" applyFont="1"/>
    <xf numFmtId="169" fontId="26" fillId="0" borderId="0" xfId="4" quotePrefix="1" applyNumberFormat="1" applyAlignment="1">
      <alignment horizontal="center"/>
    </xf>
    <xf numFmtId="168" fontId="29" fillId="0" borderId="0" xfId="4" applyNumberFormat="1" applyFont="1" applyAlignment="1">
      <alignment horizontal="center"/>
    </xf>
    <xf numFmtId="166" fontId="29" fillId="0" borderId="0" xfId="4" applyNumberFormat="1" applyFont="1" applyAlignment="1">
      <alignment horizontal="center" vertical="center"/>
    </xf>
    <xf numFmtId="166" fontId="26" fillId="0" borderId="0" xfId="4" applyNumberFormat="1" applyAlignment="1">
      <alignment horizontal="left" vertical="top" wrapText="1"/>
    </xf>
    <xf numFmtId="166" fontId="25" fillId="0" borderId="4" xfId="4" applyNumberFormat="1" applyFont="1" applyBorder="1" applyAlignment="1">
      <alignment vertical="center"/>
    </xf>
    <xf numFmtId="166" fontId="26" fillId="0" borderId="0" xfId="4" applyNumberFormat="1" applyAlignment="1">
      <alignment horizontal="left" wrapText="1"/>
    </xf>
    <xf numFmtId="3" fontId="26" fillId="0" borderId="0" xfId="4" applyNumberFormat="1" applyAlignment="1">
      <alignment vertical="top" wrapText="1"/>
    </xf>
    <xf numFmtId="166" fontId="29" fillId="0" borderId="0" xfId="5" applyNumberFormat="1" applyFont="1" applyAlignment="1">
      <alignment horizontal="center"/>
    </xf>
    <xf numFmtId="0" fontId="34" fillId="0" borderId="0" xfId="4" applyFont="1" applyAlignment="1">
      <alignment wrapText="1"/>
    </xf>
    <xf numFmtId="0" fontId="27" fillId="0" borderId="0" xfId="4" applyFont="1" applyAlignment="1">
      <alignment wrapText="1"/>
    </xf>
    <xf numFmtId="0" fontId="35" fillId="0" borderId="0" xfId="4" applyFont="1" applyAlignment="1">
      <alignment wrapText="1"/>
    </xf>
    <xf numFmtId="0" fontId="36" fillId="0" borderId="0" xfId="4" applyFont="1" applyAlignment="1">
      <alignment wrapText="1"/>
    </xf>
    <xf numFmtId="0" fontId="25" fillId="0" borderId="0" xfId="4" applyFont="1" applyAlignment="1">
      <alignment horizontal="center" wrapText="1"/>
    </xf>
    <xf numFmtId="0" fontId="37" fillId="0" borderId="0" xfId="4" applyFont="1" applyAlignment="1">
      <alignment wrapText="1"/>
    </xf>
    <xf numFmtId="0" fontId="38" fillId="0" borderId="0" xfId="4" applyFont="1" applyAlignment="1">
      <alignment wrapText="1"/>
    </xf>
    <xf numFmtId="0" fontId="39" fillId="0" borderId="0" xfId="4" applyFont="1" applyAlignment="1">
      <alignment wrapText="1"/>
    </xf>
    <xf numFmtId="170" fontId="38" fillId="0" borderId="0" xfId="4" applyNumberFormat="1" applyFont="1"/>
    <xf numFmtId="170" fontId="26" fillId="0" borderId="0" xfId="4" applyNumberFormat="1"/>
    <xf numFmtId="0" fontId="38" fillId="0" borderId="0" xfId="4" applyFont="1"/>
    <xf numFmtId="0" fontId="39" fillId="0" borderId="0" xfId="4" applyFont="1"/>
    <xf numFmtId="170" fontId="25" fillId="0" borderId="0" xfId="4" applyNumberFormat="1" applyFont="1"/>
    <xf numFmtId="0" fontId="26" fillId="0" borderId="0" xfId="4" quotePrefix="1"/>
    <xf numFmtId="0" fontId="25" fillId="0" borderId="0" xfId="4" applyFont="1" applyAlignment="1">
      <alignment horizontal="center"/>
    </xf>
    <xf numFmtId="0" fontId="38" fillId="0" borderId="0" xfId="4" applyFont="1" applyAlignment="1">
      <alignment horizontal="center" wrapText="1"/>
    </xf>
    <xf numFmtId="0" fontId="26" fillId="0" borderId="0" xfId="4" applyAlignment="1">
      <alignment horizontal="center"/>
    </xf>
    <xf numFmtId="166" fontId="38" fillId="0" borderId="0" xfId="4" applyNumberFormat="1" applyFont="1"/>
    <xf numFmtId="168" fontId="33" fillId="0" borderId="0" xfId="4" applyNumberFormat="1" applyFont="1" applyAlignment="1">
      <alignment horizontal="center"/>
    </xf>
    <xf numFmtId="49" fontId="26" fillId="0" borderId="0" xfId="4" applyNumberFormat="1"/>
    <xf numFmtId="166" fontId="26" fillId="0" borderId="0" xfId="4" applyNumberFormat="1" applyAlignment="1">
      <alignment horizontal="left" wrapText="1" indent="1"/>
    </xf>
    <xf numFmtId="171" fontId="26" fillId="0" borderId="4" xfId="4" applyNumberFormat="1" applyBorder="1"/>
    <xf numFmtId="166" fontId="26" fillId="0" borderId="0" xfId="4" applyNumberFormat="1" applyAlignment="1">
      <alignment horizontal="left" indent="1"/>
    </xf>
    <xf numFmtId="171" fontId="25" fillId="0" borderId="4" xfId="4" applyNumberFormat="1" applyFont="1" applyBorder="1"/>
    <xf numFmtId="171" fontId="26" fillId="0" borderId="0" xfId="4" applyNumberFormat="1"/>
    <xf numFmtId="166" fontId="26" fillId="0" borderId="6" xfId="4" applyNumberFormat="1" applyBorder="1"/>
    <xf numFmtId="166" fontId="25" fillId="0" borderId="0" xfId="4" applyNumberFormat="1" applyFont="1" applyAlignment="1">
      <alignment horizontal="center" vertical="top" wrapText="1"/>
    </xf>
    <xf numFmtId="166" fontId="26" fillId="0" borderId="4" xfId="4" applyNumberFormat="1" applyBorder="1" applyAlignment="1">
      <alignment horizontal="right"/>
    </xf>
    <xf numFmtId="166" fontId="26" fillId="0" borderId="0" xfId="4" quotePrefix="1" applyNumberFormat="1"/>
    <xf numFmtId="0" fontId="43" fillId="0" borderId="0" xfId="4" applyFont="1"/>
    <xf numFmtId="0" fontId="36" fillId="0" borderId="0" xfId="4" applyFont="1"/>
    <xf numFmtId="0" fontId="43" fillId="0" borderId="0" xfId="4" applyFont="1" applyAlignment="1">
      <alignment horizontal="center"/>
    </xf>
    <xf numFmtId="6" fontId="43" fillId="0" borderId="0" xfId="4" applyNumberFormat="1" applyFont="1" applyAlignment="1">
      <alignment horizontal="center"/>
    </xf>
    <xf numFmtId="170" fontId="36" fillId="0" borderId="0" xfId="4" applyNumberFormat="1" applyFont="1"/>
    <xf numFmtId="4" fontId="25" fillId="0" borderId="0" xfId="4" applyNumberFormat="1" applyFont="1" applyAlignment="1">
      <alignment horizontal="center"/>
    </xf>
    <xf numFmtId="170" fontId="26" fillId="15" borderId="0" xfId="4" applyNumberFormat="1" applyFill="1" applyProtection="1">
      <protection locked="0"/>
    </xf>
    <xf numFmtId="170" fontId="25" fillId="0" borderId="4" xfId="4" applyNumberFormat="1" applyFont="1" applyBorder="1" applyAlignment="1">
      <alignment horizontal="right"/>
    </xf>
    <xf numFmtId="166" fontId="28" fillId="0" borderId="0" xfId="4" applyNumberFormat="1" applyFont="1" applyAlignment="1">
      <alignment horizontal="right"/>
    </xf>
    <xf numFmtId="17" fontId="25" fillId="0" borderId="0" xfId="4" quotePrefix="1" applyNumberFormat="1" applyFont="1" applyAlignment="1">
      <alignment horizontal="left"/>
    </xf>
    <xf numFmtId="166" fontId="25" fillId="0" borderId="20" xfId="4" applyNumberFormat="1" applyFont="1" applyBorder="1"/>
    <xf numFmtId="166" fontId="26" fillId="0" borderId="5" xfId="4" applyNumberFormat="1" applyBorder="1" applyAlignment="1">
      <alignment horizontal="center"/>
    </xf>
    <xf numFmtId="173" fontId="36" fillId="0" borderId="0" xfId="4" applyNumberFormat="1" applyFont="1" applyAlignment="1">
      <alignment horizontal="center"/>
    </xf>
    <xf numFmtId="173" fontId="36" fillId="0" borderId="0" xfId="4" applyNumberFormat="1" applyFont="1"/>
    <xf numFmtId="166" fontId="25" fillId="0" borderId="0" xfId="4" quotePrefix="1" applyNumberFormat="1" applyFont="1" applyAlignment="1">
      <alignment wrapText="1"/>
    </xf>
    <xf numFmtId="166" fontId="28" fillId="13" borderId="0" xfId="4" quotePrefix="1" applyNumberFormat="1" applyFont="1" applyFill="1" applyAlignment="1">
      <alignment horizontal="right"/>
    </xf>
    <xf numFmtId="166" fontId="28" fillId="13" borderId="10" xfId="4" quotePrefix="1" applyNumberFormat="1" applyFont="1" applyFill="1" applyBorder="1" applyAlignment="1">
      <alignment horizontal="right"/>
    </xf>
    <xf numFmtId="166" fontId="28" fillId="0" borderId="10" xfId="4" applyNumberFormat="1" applyFont="1" applyBorder="1" applyAlignment="1">
      <alignment horizontal="right"/>
    </xf>
    <xf numFmtId="166" fontId="26" fillId="0" borderId="5" xfId="5" applyNumberFormat="1" applyBorder="1"/>
    <xf numFmtId="166" fontId="25" fillId="0" borderId="10" xfId="4" applyNumberFormat="1" applyFont="1" applyBorder="1" applyAlignment="1">
      <alignment horizontal="center"/>
    </xf>
    <xf numFmtId="166" fontId="26" fillId="0" borderId="0" xfId="4" applyNumberFormat="1" applyAlignment="1">
      <alignment horizontal="left"/>
    </xf>
    <xf numFmtId="175" fontId="26" fillId="0" borderId="0" xfId="4" applyNumberFormat="1"/>
    <xf numFmtId="3" fontId="26" fillId="0" borderId="0" xfId="5" applyNumberFormat="1" applyAlignment="1">
      <alignment horizontal="right" shrinkToFit="1"/>
    </xf>
    <xf numFmtId="3" fontId="26" fillId="0" borderId="5" xfId="4" applyNumberFormat="1" applyBorder="1"/>
    <xf numFmtId="175" fontId="26" fillId="0" borderId="0" xfId="5" applyNumberFormat="1" applyAlignment="1">
      <alignment horizontal="right" shrinkToFit="1"/>
    </xf>
    <xf numFmtId="166" fontId="25" fillId="0" borderId="0" xfId="5" applyNumberFormat="1" applyFont="1"/>
    <xf numFmtId="166" fontId="26" fillId="0" borderId="6" xfId="5" applyNumberFormat="1" applyBorder="1"/>
    <xf numFmtId="166" fontId="26" fillId="0" borderId="0" xfId="4" quotePrefix="1" applyNumberFormat="1" applyAlignment="1">
      <alignment horizontal="left"/>
    </xf>
    <xf numFmtId="49" fontId="25" fillId="0" borderId="0" xfId="4" applyNumberFormat="1" applyFont="1" applyAlignment="1">
      <alignment horizontal="center"/>
    </xf>
    <xf numFmtId="173" fontId="25" fillId="0" borderId="0" xfId="4" applyNumberFormat="1" applyFont="1"/>
    <xf numFmtId="166" fontId="30" fillId="0" borderId="0" xfId="4" applyNumberFormat="1" applyFont="1"/>
    <xf numFmtId="166" fontId="29" fillId="0" borderId="0" xfId="4" applyNumberFormat="1" applyFont="1"/>
    <xf numFmtId="166" fontId="26" fillId="0" borderId="0" xfId="4" applyNumberFormat="1" applyAlignment="1">
      <alignment vertical="center" wrapText="1"/>
    </xf>
    <xf numFmtId="166" fontId="26" fillId="0" borderId="0" xfId="4" applyNumberFormat="1" applyAlignment="1">
      <alignment horizontal="left" vertical="top" indent="1"/>
    </xf>
    <xf numFmtId="0" fontId="3" fillId="0" borderId="0" xfId="0" applyFont="1" applyAlignment="1">
      <alignment horizontal="center" vertical="center" wrapText="1"/>
    </xf>
    <xf numFmtId="0" fontId="5" fillId="0" borderId="0" xfId="0" applyFont="1" applyAlignment="1">
      <alignment vertical="center"/>
    </xf>
    <xf numFmtId="176" fontId="0" fillId="18" borderId="0" xfId="1" applyNumberFormat="1" applyFont="1" applyFill="1" applyAlignment="1">
      <alignment vertical="center"/>
    </xf>
    <xf numFmtId="0" fontId="0" fillId="10" borderId="0" xfId="0" applyFill="1" applyAlignment="1">
      <alignment vertical="center" wrapText="1"/>
    </xf>
    <xf numFmtId="0" fontId="8" fillId="0" borderId="0" xfId="0" applyFont="1" applyAlignment="1">
      <alignment vertical="center"/>
    </xf>
    <xf numFmtId="0" fontId="0" fillId="4" borderId="0" xfId="0" applyFill="1"/>
    <xf numFmtId="166" fontId="26" fillId="6" borderId="0" xfId="4" applyNumberFormat="1" applyFill="1"/>
    <xf numFmtId="0" fontId="0" fillId="0" borderId="9" xfId="0" applyBorder="1"/>
    <xf numFmtId="0" fontId="0" fillId="0" borderId="2" xfId="0" applyBorder="1"/>
    <xf numFmtId="0" fontId="0" fillId="0" borderId="12" xfId="0" applyBorder="1"/>
    <xf numFmtId="166" fontId="26" fillId="0" borderId="0" xfId="4" applyNumberFormat="1" applyAlignment="1">
      <alignment horizontal="center" vertical="center" wrapText="1"/>
    </xf>
    <xf numFmtId="166" fontId="28" fillId="13" borderId="0" xfId="4" applyNumberFormat="1" applyFont="1" applyFill="1" applyAlignment="1">
      <alignment horizontal="center" vertical="center" wrapText="1"/>
    </xf>
    <xf numFmtId="166" fontId="25" fillId="0" borderId="0" xfId="4" applyNumberFormat="1" applyFont="1" applyAlignment="1">
      <alignment horizontal="center" vertical="center" wrapText="1"/>
    </xf>
    <xf numFmtId="166" fontId="26" fillId="18" borderId="0" xfId="4" applyNumberFormat="1" applyFill="1"/>
    <xf numFmtId="166" fontId="26" fillId="18" borderId="1" xfId="4" applyNumberFormat="1" applyFill="1" applyBorder="1"/>
    <xf numFmtId="166" fontId="26" fillId="0" borderId="0" xfId="4" applyNumberFormat="1" applyAlignment="1">
      <alignment horizontal="center" vertical="center"/>
    </xf>
    <xf numFmtId="166" fontId="26" fillId="3" borderId="0" xfId="5" applyNumberFormat="1" applyFill="1" applyAlignment="1">
      <alignment horizontal="right" vertical="center" shrinkToFit="1"/>
    </xf>
    <xf numFmtId="166" fontId="25" fillId="0" borderId="4" xfId="4" applyNumberFormat="1" applyFont="1" applyBorder="1" applyAlignment="1">
      <alignment horizontal="right" vertical="center"/>
    </xf>
    <xf numFmtId="166" fontId="26" fillId="23" borderId="0" xfId="4" applyNumberFormat="1" applyFill="1"/>
    <xf numFmtId="166" fontId="25" fillId="23" borderId="0" xfId="4" applyNumberFormat="1" applyFont="1" applyFill="1"/>
    <xf numFmtId="171" fontId="26" fillId="0" borderId="0" xfId="4" applyNumberFormat="1" applyAlignment="1">
      <alignment horizontal="right" vertical="center"/>
    </xf>
    <xf numFmtId="166" fontId="26" fillId="0" borderId="0" xfId="4" applyNumberFormat="1" applyAlignment="1">
      <alignment horizontal="right" vertical="center"/>
    </xf>
    <xf numFmtId="3" fontId="25" fillId="0" borderId="4" xfId="4" applyNumberFormat="1" applyFont="1" applyBorder="1" applyAlignment="1">
      <alignment horizontal="right" vertical="center"/>
    </xf>
    <xf numFmtId="166" fontId="26" fillId="0" borderId="4" xfId="4" applyNumberFormat="1" applyBorder="1" applyAlignment="1">
      <alignment vertical="center"/>
    </xf>
    <xf numFmtId="166" fontId="26" fillId="0" borderId="4" xfId="4" applyNumberFormat="1" applyBorder="1" applyAlignment="1">
      <alignment horizontal="right" vertical="center"/>
    </xf>
    <xf numFmtId="168" fontId="26" fillId="0" borderId="0" xfId="4" applyNumberFormat="1" applyAlignment="1">
      <alignment horizontal="right" vertical="center"/>
    </xf>
    <xf numFmtId="166" fontId="25" fillId="0" borderId="6" xfId="4" applyNumberFormat="1" applyFont="1" applyBorder="1" applyAlignment="1">
      <alignment horizontal="right" vertical="center"/>
    </xf>
    <xf numFmtId="166" fontId="26" fillId="0" borderId="6" xfId="4" applyNumberFormat="1" applyBorder="1" applyAlignment="1">
      <alignment horizontal="right" vertical="center"/>
    </xf>
    <xf numFmtId="166" fontId="29" fillId="0" borderId="0" xfId="4" applyNumberFormat="1" applyFont="1" applyAlignment="1">
      <alignment horizontal="right" vertical="center"/>
    </xf>
    <xf numFmtId="166" fontId="26" fillId="0" borderId="5" xfId="4" applyNumberFormat="1" applyBorder="1" applyAlignment="1">
      <alignment horizontal="right" vertical="center"/>
    </xf>
    <xf numFmtId="166" fontId="29" fillId="23" borderId="0" xfId="4" applyNumberFormat="1" applyFont="1" applyFill="1" applyAlignment="1">
      <alignment horizontal="center" vertical="center"/>
    </xf>
    <xf numFmtId="166" fontId="29" fillId="23" borderId="0" xfId="4" applyNumberFormat="1" applyFont="1" applyFill="1" applyAlignment="1">
      <alignment horizontal="right" vertical="center"/>
    </xf>
    <xf numFmtId="166" fontId="26" fillId="23" borderId="0" xfId="4" applyNumberFormat="1" applyFill="1" applyAlignment="1">
      <alignment horizontal="center" vertical="center"/>
    </xf>
    <xf numFmtId="166" fontId="25" fillId="0" borderId="0" xfId="4" applyNumberFormat="1" applyFont="1" applyAlignment="1">
      <alignment horizontal="right" vertical="center" wrapText="1"/>
    </xf>
    <xf numFmtId="166" fontId="25" fillId="0" borderId="0" xfId="4" applyNumberFormat="1" applyFont="1" applyAlignment="1">
      <alignment horizontal="right" vertical="center"/>
    </xf>
    <xf numFmtId="166" fontId="25" fillId="0" borderId="5" xfId="4" applyNumberFormat="1" applyFont="1" applyBorder="1" applyAlignment="1">
      <alignment horizontal="right" vertical="center"/>
    </xf>
    <xf numFmtId="166" fontId="26" fillId="18" borderId="0" xfId="4" applyNumberFormat="1" applyFill="1" applyAlignment="1">
      <alignment horizontal="right" vertical="center"/>
    </xf>
    <xf numFmtId="166" fontId="29" fillId="18" borderId="0" xfId="4" applyNumberFormat="1" applyFont="1" applyFill="1" applyAlignment="1">
      <alignment horizontal="center" vertical="center"/>
    </xf>
    <xf numFmtId="0" fontId="25" fillId="0" borderId="0" xfId="4" quotePrefix="1" applyFont="1" applyAlignment="1">
      <alignment horizontal="center"/>
    </xf>
    <xf numFmtId="166" fontId="25" fillId="18" borderId="0" xfId="4" applyNumberFormat="1" applyFont="1" applyFill="1" applyAlignment="1">
      <alignment horizontal="center" vertical="center"/>
    </xf>
    <xf numFmtId="166" fontId="25" fillId="18" borderId="0" xfId="4" applyNumberFormat="1" applyFont="1" applyFill="1" applyAlignment="1">
      <alignment horizontal="right" vertical="center"/>
    </xf>
    <xf numFmtId="172" fontId="26" fillId="0" borderId="0" xfId="4" applyNumberFormat="1"/>
    <xf numFmtId="172" fontId="25" fillId="0" borderId="6" xfId="4" applyNumberFormat="1" applyFont="1" applyBorder="1"/>
    <xf numFmtId="166" fontId="25" fillId="18" borderId="0" xfId="4" applyNumberFormat="1" applyFont="1" applyFill="1"/>
    <xf numFmtId="17" fontId="26" fillId="0" borderId="0" xfId="4" quotePrefix="1" applyNumberFormat="1" applyAlignment="1">
      <alignment horizontal="left"/>
    </xf>
    <xf numFmtId="166" fontId="25" fillId="6" borderId="0" xfId="4" applyNumberFormat="1" applyFont="1" applyFill="1"/>
    <xf numFmtId="173" fontId="26" fillId="0" borderId="0" xfId="10" applyNumberFormat="1" applyFont="1"/>
    <xf numFmtId="0" fontId="26" fillId="0" borderId="0" xfId="10" applyFont="1"/>
    <xf numFmtId="0" fontId="25" fillId="0" borderId="0" xfId="10" applyFont="1"/>
    <xf numFmtId="0" fontId="51" fillId="0" borderId="0" xfId="10" applyFont="1"/>
    <xf numFmtId="3" fontId="25" fillId="0" borderId="0" xfId="10" applyNumberFormat="1" applyFont="1" applyAlignment="1">
      <alignment horizontal="left"/>
    </xf>
    <xf numFmtId="174" fontId="25" fillId="0" borderId="0" xfId="10" applyNumberFormat="1" applyFont="1" applyAlignment="1">
      <alignment horizontal="center"/>
    </xf>
    <xf numFmtId="173" fontId="26" fillId="0" borderId="0" xfId="10" applyNumberFormat="1" applyFont="1" applyAlignment="1" applyProtection="1">
      <alignment horizontal="right"/>
      <protection locked="0"/>
    </xf>
    <xf numFmtId="173" fontId="25" fillId="0" borderId="21" xfId="10" applyNumberFormat="1" applyFont="1" applyBorder="1" applyAlignment="1">
      <alignment horizontal="right"/>
    </xf>
    <xf numFmtId="0" fontId="26" fillId="0" borderId="0" xfId="10" applyFont="1" applyAlignment="1">
      <alignment wrapText="1"/>
    </xf>
    <xf numFmtId="166" fontId="26" fillId="18" borderId="0" xfId="4" applyNumberFormat="1" applyFill="1" applyAlignment="1">
      <alignment horizontal="center"/>
    </xf>
    <xf numFmtId="166" fontId="26" fillId="18" borderId="0" xfId="4" applyNumberFormat="1" applyFill="1" applyAlignment="1">
      <alignment horizontal="center" vertical="center"/>
    </xf>
    <xf numFmtId="0" fontId="0" fillId="4" borderId="0" xfId="0" applyFill="1" applyAlignment="1">
      <alignment horizontal="center" vertical="center"/>
    </xf>
    <xf numFmtId="166" fontId="26" fillId="0" borderId="0" xfId="4" applyNumberFormat="1" applyAlignment="1">
      <alignment horizontal="left" vertical="center"/>
    </xf>
    <xf numFmtId="0" fontId="16" fillId="0" borderId="0" xfId="0" applyFont="1" applyAlignment="1">
      <alignment horizontal="left" vertical="center"/>
    </xf>
    <xf numFmtId="164" fontId="0" fillId="0" borderId="0" xfId="5" applyNumberFormat="1" applyFont="1" applyAlignment="1">
      <alignment horizontal="right" vertical="center"/>
    </xf>
    <xf numFmtId="0" fontId="9" fillId="0" borderId="0" xfId="0" applyFont="1" applyAlignment="1">
      <alignment horizontal="center" vertical="center"/>
    </xf>
    <xf numFmtId="164" fontId="0" fillId="4" borderId="0" xfId="1" applyNumberFormat="1" applyFont="1" applyFill="1" applyAlignment="1">
      <alignment horizontal="right" vertical="center"/>
    </xf>
    <xf numFmtId="164" fontId="17" fillId="7" borderId="0" xfId="1" applyNumberFormat="1" applyFont="1" applyFill="1" applyAlignment="1">
      <alignment horizontal="left" vertical="center" wrapText="1"/>
    </xf>
    <xf numFmtId="164" fontId="17" fillId="7" borderId="0" xfId="1" applyNumberFormat="1" applyFont="1" applyFill="1" applyAlignment="1">
      <alignment horizontal="left" vertical="center"/>
    </xf>
    <xf numFmtId="164" fontId="3" fillId="7" borderId="0" xfId="5" applyNumberFormat="1" applyFont="1" applyFill="1" applyAlignment="1">
      <alignment horizontal="right" vertical="center"/>
    </xf>
    <xf numFmtId="0" fontId="19" fillId="7" borderId="0" xfId="0" applyFont="1" applyFill="1" applyAlignment="1">
      <alignment vertical="center"/>
    </xf>
    <xf numFmtId="0" fontId="12" fillId="7" borderId="0" xfId="0" applyFont="1" applyFill="1" applyAlignment="1">
      <alignment horizontal="center" vertical="center"/>
    </xf>
    <xf numFmtId="0" fontId="16" fillId="7" borderId="0" xfId="0" applyFont="1" applyFill="1" applyAlignment="1">
      <alignment horizontal="left" vertical="center" wrapText="1"/>
    </xf>
    <xf numFmtId="164" fontId="0" fillId="7" borderId="0" xfId="1" applyNumberFormat="1" applyFont="1" applyFill="1" applyAlignment="1">
      <alignment horizontal="right" vertical="center"/>
    </xf>
    <xf numFmtId="164" fontId="0" fillId="7" borderId="0" xfId="5" applyNumberFormat="1" applyFont="1" applyFill="1" applyAlignment="1">
      <alignment horizontal="right" vertical="center"/>
    </xf>
    <xf numFmtId="0" fontId="9" fillId="7" borderId="0" xfId="0" applyFont="1" applyFill="1" applyAlignment="1">
      <alignment horizontal="center" vertical="center"/>
    </xf>
    <xf numFmtId="0" fontId="0" fillId="7" borderId="0" xfId="0" applyFill="1" applyAlignment="1">
      <alignment vertical="center"/>
    </xf>
    <xf numFmtId="164" fontId="0" fillId="7" borderId="0" xfId="1" applyNumberFormat="1" applyFont="1" applyFill="1" applyAlignment="1">
      <alignment vertical="center"/>
    </xf>
    <xf numFmtId="0" fontId="20" fillId="0" borderId="0" xfId="0" applyFont="1" applyAlignment="1">
      <alignment horizontal="left" vertical="center"/>
    </xf>
    <xf numFmtId="164" fontId="0" fillId="24" borderId="0" xfId="5" applyNumberFormat="1" applyFont="1" applyFill="1" applyAlignment="1">
      <alignment horizontal="right" vertical="center"/>
    </xf>
    <xf numFmtId="164" fontId="0" fillId="24" borderId="0" xfId="1" applyNumberFormat="1" applyFont="1" applyFill="1" applyAlignment="1">
      <alignment horizontal="right" vertical="center"/>
    </xf>
    <xf numFmtId="0" fontId="0" fillId="0" borderId="0" xfId="0" applyAlignment="1">
      <alignment horizontal="left" vertical="center" wrapText="1"/>
    </xf>
    <xf numFmtId="0" fontId="19" fillId="0" borderId="0" xfId="0" applyFont="1" applyAlignment="1">
      <alignment vertical="center" wrapText="1"/>
    </xf>
    <xf numFmtId="164" fontId="3" fillId="7" borderId="0" xfId="1" applyNumberFormat="1" applyFont="1" applyFill="1" applyAlignment="1">
      <alignment horizontal="left" vertical="center" wrapText="1"/>
    </xf>
    <xf numFmtId="0" fontId="13" fillId="0" borderId="0" xfId="0" applyFont="1" applyAlignment="1">
      <alignment horizontal="center" vertical="center"/>
    </xf>
    <xf numFmtId="0" fontId="14" fillId="0" borderId="0" xfId="0" applyFont="1" applyAlignment="1">
      <alignment horizontal="center" vertical="center"/>
    </xf>
    <xf numFmtId="164" fontId="3" fillId="9" borderId="0" xfId="1" applyNumberFormat="1" applyFont="1" applyFill="1" applyAlignment="1">
      <alignment horizontal="right" vertical="center"/>
    </xf>
    <xf numFmtId="164" fontId="3" fillId="0" borderId="0" xfId="1" applyNumberFormat="1" applyFont="1" applyAlignment="1">
      <alignment vertical="center"/>
    </xf>
    <xf numFmtId="164" fontId="3" fillId="0" borderId="0" xfId="5" applyNumberFormat="1" applyFont="1" applyAlignment="1">
      <alignment horizontal="left" vertical="center"/>
    </xf>
    <xf numFmtId="164" fontId="0" fillId="0" borderId="0" xfId="3" applyNumberFormat="1" applyFont="1" applyAlignment="1">
      <alignment horizontal="right" vertical="center"/>
    </xf>
    <xf numFmtId="0" fontId="23" fillId="0" borderId="0" xfId="0" applyFont="1" applyAlignment="1">
      <alignment vertical="center" wrapText="1"/>
    </xf>
    <xf numFmtId="164" fontId="3" fillId="0" borderId="0" xfId="5" applyNumberFormat="1" applyFont="1" applyAlignment="1">
      <alignment horizontal="right" vertical="center"/>
    </xf>
    <xf numFmtId="0" fontId="8" fillId="0" borderId="0" xfId="0" applyFont="1" applyAlignment="1">
      <alignment vertical="center" wrapText="1"/>
    </xf>
    <xf numFmtId="164" fontId="0" fillId="4" borderId="0" xfId="5" applyNumberFormat="1" applyFont="1" applyFill="1" applyAlignment="1">
      <alignment horizontal="right" vertical="center"/>
    </xf>
    <xf numFmtId="0" fontId="10" fillId="7" borderId="23" xfId="0" applyFont="1" applyFill="1" applyBorder="1" applyAlignment="1">
      <alignment vertical="center"/>
    </xf>
    <xf numFmtId="0" fontId="10" fillId="7" borderId="3" xfId="0" applyFont="1" applyFill="1" applyBorder="1" applyAlignment="1">
      <alignment vertical="center"/>
    </xf>
    <xf numFmtId="0" fontId="13" fillId="7" borderId="3" xfId="0" applyFont="1" applyFill="1" applyBorder="1" applyAlignment="1">
      <alignment horizontal="center" vertical="center"/>
    </xf>
    <xf numFmtId="0" fontId="18" fillId="7" borderId="3" xfId="0" applyFont="1" applyFill="1" applyBorder="1" applyAlignment="1">
      <alignment horizontal="left" vertical="center" wrapText="1"/>
    </xf>
    <xf numFmtId="164" fontId="3" fillId="7" borderId="3" xfId="1" applyNumberFormat="1" applyFont="1" applyFill="1" applyBorder="1" applyAlignment="1">
      <alignment horizontal="right" vertical="center"/>
    </xf>
    <xf numFmtId="164" fontId="3" fillId="7" borderId="3" xfId="5" applyNumberFormat="1" applyFont="1" applyFill="1" applyBorder="1" applyAlignment="1">
      <alignment horizontal="right" vertical="center"/>
    </xf>
    <xf numFmtId="0" fontId="14" fillId="7" borderId="3" xfId="0" applyFont="1" applyFill="1" applyBorder="1" applyAlignment="1">
      <alignment horizontal="center" vertical="center"/>
    </xf>
    <xf numFmtId="6" fontId="12" fillId="0" borderId="0" xfId="0" quotePrefix="1" applyNumberFormat="1" applyFont="1" applyAlignment="1">
      <alignment horizontal="center" vertical="center"/>
    </xf>
    <xf numFmtId="0" fontId="18" fillId="17" borderId="3" xfId="0" applyFont="1" applyFill="1" applyBorder="1" applyAlignment="1">
      <alignment horizontal="left" vertical="center" wrapText="1"/>
    </xf>
    <xf numFmtId="164" fontId="3" fillId="17" borderId="3" xfId="1" applyNumberFormat="1" applyFont="1" applyFill="1" applyBorder="1" applyAlignment="1">
      <alignment horizontal="right" vertical="center"/>
    </xf>
    <xf numFmtId="0" fontId="47" fillId="0" borderId="0" xfId="0" applyFont="1" applyAlignment="1">
      <alignment vertical="center" wrapText="1"/>
    </xf>
    <xf numFmtId="0" fontId="10" fillId="0" borderId="0" xfId="0" applyFont="1" applyAlignment="1">
      <alignment vertical="center"/>
    </xf>
    <xf numFmtId="164" fontId="0" fillId="18" borderId="0" xfId="1" applyNumberFormat="1" applyFont="1" applyFill="1" applyAlignment="1">
      <alignment horizontal="right" vertical="center"/>
    </xf>
    <xf numFmtId="164" fontId="0" fillId="18" borderId="0" xfId="5" applyNumberFormat="1" applyFont="1" applyFill="1" applyAlignment="1">
      <alignment horizontal="right" vertical="center"/>
    </xf>
    <xf numFmtId="164" fontId="0" fillId="4" borderId="0" xfId="1" applyNumberFormat="1" applyFont="1" applyFill="1" applyAlignment="1">
      <alignment vertical="center"/>
    </xf>
    <xf numFmtId="0" fontId="11" fillId="0" borderId="0" xfId="0" applyFont="1" applyAlignment="1">
      <alignment vertical="center" wrapText="1"/>
    </xf>
    <xf numFmtId="0" fontId="0" fillId="0" borderId="0" xfId="0" applyAlignment="1">
      <alignment horizontal="left" vertical="center" wrapText="1" indent="5"/>
    </xf>
    <xf numFmtId="164" fontId="0" fillId="4" borderId="0" xfId="5" applyNumberFormat="1" applyFont="1" applyFill="1" applyAlignment="1">
      <alignment horizontal="left" vertical="center"/>
    </xf>
    <xf numFmtId="0" fontId="10" fillId="7" borderId="0" xfId="0" applyFont="1" applyFill="1" applyAlignment="1">
      <alignment vertical="center"/>
    </xf>
    <xf numFmtId="0" fontId="0" fillId="7" borderId="0" xfId="0" applyFill="1" applyAlignment="1">
      <alignment vertical="center" wrapText="1"/>
    </xf>
    <xf numFmtId="49" fontId="52" fillId="0" borderId="0" xfId="4" applyNumberFormat="1" applyFont="1" applyAlignment="1">
      <alignment horizontal="left"/>
    </xf>
    <xf numFmtId="49" fontId="39" fillId="0" borderId="0" xfId="4" applyNumberFormat="1" applyFont="1" applyAlignment="1">
      <alignment horizontal="left"/>
    </xf>
    <xf numFmtId="49" fontId="38" fillId="0" borderId="0" xfId="4" applyNumberFormat="1" applyFont="1" applyAlignment="1">
      <alignment horizontal="left"/>
    </xf>
    <xf numFmtId="3" fontId="25" fillId="0" borderId="0" xfId="4" applyNumberFormat="1" applyFont="1"/>
    <xf numFmtId="0" fontId="25" fillId="0" borderId="0" xfId="4" applyFont="1" applyAlignment="1">
      <alignment horizontal="center" vertical="center"/>
    </xf>
    <xf numFmtId="1" fontId="25" fillId="0" borderId="0" xfId="4" applyNumberFormat="1" applyFont="1"/>
    <xf numFmtId="1" fontId="26" fillId="0" borderId="0" xfId="4" applyNumberFormat="1"/>
    <xf numFmtId="173" fontId="26" fillId="0" borderId="0" xfId="4" applyNumberFormat="1" applyAlignment="1">
      <alignment horizontal="center"/>
    </xf>
    <xf numFmtId="173" fontId="26" fillId="0" borderId="0" xfId="4" applyNumberFormat="1"/>
    <xf numFmtId="173" fontId="26" fillId="0" borderId="0" xfId="4" applyNumberFormat="1" applyAlignment="1" applyProtection="1">
      <alignment horizontal="right"/>
      <protection locked="0"/>
    </xf>
    <xf numFmtId="173" fontId="25" fillId="0" borderId="0" xfId="4" applyNumberFormat="1" applyFont="1" applyAlignment="1">
      <alignment horizontal="right"/>
    </xf>
    <xf numFmtId="0" fontId="25" fillId="0" borderId="0" xfId="4" applyFont="1" applyAlignment="1">
      <alignment horizontal="left"/>
    </xf>
    <xf numFmtId="43" fontId="0" fillId="0" borderId="0" xfId="1" applyFont="1" applyAlignment="1">
      <alignment horizontal="right" vertical="center"/>
    </xf>
    <xf numFmtId="43" fontId="0" fillId="4" borderId="0" xfId="1" applyFont="1" applyFill="1" applyAlignment="1">
      <alignment horizontal="left" vertical="center"/>
    </xf>
    <xf numFmtId="43" fontId="53" fillId="24" borderId="0" xfId="1" applyFont="1" applyFill="1" applyAlignment="1">
      <alignment horizontal="right" vertical="center"/>
    </xf>
    <xf numFmtId="164" fontId="11" fillId="4" borderId="0" xfId="5" applyNumberFormat="1" applyFont="1" applyFill="1" applyAlignment="1">
      <alignment horizontal="right" vertical="center"/>
    </xf>
    <xf numFmtId="164" fontId="0" fillId="0" borderId="0" xfId="11" applyNumberFormat="1" applyFont="1" applyAlignment="1">
      <alignment horizontal="right" vertical="center"/>
    </xf>
    <xf numFmtId="164" fontId="3" fillId="7" borderId="0" xfId="11" applyNumberFormat="1" applyFont="1" applyFill="1" applyAlignment="1">
      <alignment horizontal="right" vertical="center"/>
    </xf>
    <xf numFmtId="164" fontId="0" fillId="7" borderId="0" xfId="11" applyNumberFormat="1" applyFont="1" applyFill="1" applyAlignment="1">
      <alignment horizontal="right" vertical="center"/>
    </xf>
    <xf numFmtId="164" fontId="3" fillId="0" borderId="0" xfId="11" applyNumberFormat="1" applyFont="1" applyAlignment="1">
      <alignment horizontal="left" vertical="center"/>
    </xf>
    <xf numFmtId="164" fontId="0" fillId="6" borderId="0" xfId="11" applyNumberFormat="1" applyFont="1" applyFill="1" applyAlignment="1">
      <alignment horizontal="right" vertical="center"/>
    </xf>
    <xf numFmtId="164" fontId="0" fillId="24" borderId="0" xfId="11" applyNumberFormat="1" applyFont="1" applyFill="1" applyAlignment="1">
      <alignment horizontal="right" vertical="center"/>
    </xf>
    <xf numFmtId="164" fontId="3" fillId="0" borderId="0" xfId="11" applyNumberFormat="1" applyFont="1" applyAlignment="1">
      <alignment horizontal="right" vertical="center"/>
    </xf>
    <xf numFmtId="164" fontId="3" fillId="24" borderId="0" xfId="11" applyNumberFormat="1" applyFont="1" applyFill="1" applyAlignment="1">
      <alignment horizontal="right" vertical="center"/>
    </xf>
    <xf numFmtId="0" fontId="1" fillId="0" borderId="0" xfId="14" applyAlignment="1">
      <alignment wrapText="1"/>
    </xf>
    <xf numFmtId="167" fontId="3" fillId="7" borderId="0" xfId="1" applyNumberFormat="1" applyFont="1" applyFill="1" applyAlignment="1">
      <alignment horizontal="right" vertical="center"/>
    </xf>
    <xf numFmtId="167" fontId="0" fillId="9" borderId="0" xfId="1" applyNumberFormat="1" applyFont="1" applyFill="1" applyAlignment="1">
      <alignment horizontal="right" vertical="center"/>
    </xf>
    <xf numFmtId="0" fontId="25" fillId="0" borderId="0" xfId="4" applyFont="1" applyAlignment="1">
      <alignment vertical="center" wrapText="1"/>
    </xf>
    <xf numFmtId="166" fontId="28" fillId="13" borderId="0" xfId="4" applyNumberFormat="1" applyFont="1" applyFill="1" applyAlignment="1">
      <alignment horizontal="center"/>
    </xf>
    <xf numFmtId="167" fontId="0" fillId="0" borderId="0" xfId="1" applyNumberFormat="1" applyFont="1"/>
    <xf numFmtId="166" fontId="55" fillId="0" borderId="0" xfId="4" applyNumberFormat="1" applyFont="1"/>
    <xf numFmtId="166" fontId="54" fillId="0" borderId="0" xfId="4" applyNumberFormat="1" applyFont="1" applyAlignment="1">
      <alignment vertical="top"/>
    </xf>
    <xf numFmtId="166" fontId="26" fillId="0" borderId="0" xfId="5" applyNumberFormat="1" applyAlignment="1">
      <alignment horizontal="right" vertical="center" shrinkToFit="1"/>
    </xf>
    <xf numFmtId="166" fontId="25" fillId="0" borderId="4" xfId="5" applyNumberFormat="1" applyFont="1" applyBorder="1" applyAlignment="1">
      <alignment horizontal="right" vertical="center" shrinkToFit="1"/>
    </xf>
    <xf numFmtId="166" fontId="25" fillId="26" borderId="4" xfId="5" applyNumberFormat="1" applyFont="1" applyFill="1" applyBorder="1" applyAlignment="1">
      <alignment horizontal="right" vertical="center" shrinkToFit="1"/>
    </xf>
    <xf numFmtId="166" fontId="25" fillId="26" borderId="1" xfId="4" applyNumberFormat="1" applyFont="1" applyFill="1" applyBorder="1" applyAlignment="1">
      <alignment horizontal="right" vertical="center"/>
    </xf>
    <xf numFmtId="169" fontId="26" fillId="0" borderId="0" xfId="4" applyNumberFormat="1"/>
    <xf numFmtId="166" fontId="25" fillId="26" borderId="0" xfId="4" applyNumberFormat="1" applyFont="1" applyFill="1" applyAlignment="1">
      <alignment horizontal="left" wrapText="1"/>
    </xf>
    <xf numFmtId="166" fontId="31" fillId="0" borderId="0" xfId="4" applyNumberFormat="1" applyFont="1" applyAlignment="1">
      <alignment vertical="center"/>
    </xf>
    <xf numFmtId="166" fontId="25" fillId="18" borderId="0" xfId="4" applyNumberFormat="1" applyFont="1" applyFill="1" applyAlignment="1">
      <alignment horizontal="center"/>
    </xf>
    <xf numFmtId="166" fontId="56" fillId="0" borderId="0" xfId="4" applyNumberFormat="1" applyFont="1" applyAlignment="1">
      <alignment horizontal="center" vertical="center" wrapText="1"/>
    </xf>
    <xf numFmtId="166" fontId="26" fillId="10" borderId="0" xfId="4" applyNumberFormat="1" applyFill="1"/>
    <xf numFmtId="166" fontId="31" fillId="0" borderId="0" xfId="4" applyNumberFormat="1" applyFont="1" applyAlignment="1">
      <alignment horizontal="center"/>
    </xf>
    <xf numFmtId="178" fontId="28" fillId="13" borderId="0" xfId="4" applyNumberFormat="1" applyFont="1" applyFill="1" applyAlignment="1">
      <alignment horizontal="center"/>
    </xf>
    <xf numFmtId="166" fontId="26" fillId="10" borderId="7" xfId="4" applyNumberFormat="1" applyFill="1" applyBorder="1"/>
    <xf numFmtId="166" fontId="26" fillId="18" borderId="0" xfId="4" quotePrefix="1" applyNumberFormat="1" applyFill="1" applyAlignment="1">
      <alignment horizontal="center"/>
    </xf>
    <xf numFmtId="166" fontId="31" fillId="0" borderId="0" xfId="4" applyNumberFormat="1" applyFont="1" applyAlignment="1">
      <alignment horizontal="right"/>
    </xf>
    <xf numFmtId="166" fontId="26" fillId="18" borderId="0" xfId="4" applyNumberFormat="1" applyFill="1" applyAlignment="1">
      <alignment horizontal="right"/>
    </xf>
    <xf numFmtId="166" fontId="51" fillId="0" borderId="0" xfId="4" applyNumberFormat="1" applyFont="1" applyAlignment="1">
      <alignment horizontal="center" vertical="center" wrapText="1"/>
    </xf>
    <xf numFmtId="166" fontId="51" fillId="0" borderId="0" xfId="4" applyNumberFormat="1" applyFont="1"/>
    <xf numFmtId="0" fontId="12" fillId="0" borderId="0" xfId="0" applyFont="1" applyAlignment="1">
      <alignment horizontal="left" vertical="center"/>
    </xf>
    <xf numFmtId="166" fontId="26" fillId="0" borderId="0" xfId="5" applyNumberFormat="1" applyAlignment="1">
      <alignment vertical="center"/>
    </xf>
    <xf numFmtId="166" fontId="26" fillId="11" borderId="0" xfId="4" applyNumberFormat="1" applyFill="1"/>
    <xf numFmtId="171" fontId="25" fillId="0" borderId="4" xfId="4" applyNumberFormat="1" applyFont="1" applyBorder="1" applyAlignment="1">
      <alignment horizontal="right" vertical="center"/>
    </xf>
    <xf numFmtId="173" fontId="25" fillId="0" borderId="4" xfId="0" applyNumberFormat="1" applyFont="1" applyBorder="1"/>
    <xf numFmtId="0" fontId="0" fillId="0" borderId="0" xfId="0" applyAlignment="1">
      <alignment vertical="top" wrapText="1"/>
    </xf>
    <xf numFmtId="0" fontId="0" fillId="0" borderId="0" xfId="0" applyAlignment="1">
      <alignment horizontal="center" vertical="center" wrapText="1"/>
    </xf>
    <xf numFmtId="166" fontId="57" fillId="0" borderId="0" xfId="4" applyNumberFormat="1" applyFont="1"/>
    <xf numFmtId="167" fontId="0" fillId="0" borderId="0" xfId="1" applyNumberFormat="1" applyFont="1" applyAlignment="1">
      <alignment vertical="center"/>
    </xf>
    <xf numFmtId="167" fontId="0" fillId="18" borderId="0" xfId="0" applyNumberFormat="1" applyFill="1" applyAlignment="1">
      <alignment vertical="center"/>
    </xf>
    <xf numFmtId="166" fontId="25" fillId="0" borderId="1" xfId="4" applyNumberFormat="1" applyFont="1" applyBorder="1"/>
    <xf numFmtId="167" fontId="0" fillId="0" borderId="1" xfId="1" applyNumberFormat="1" applyFont="1" applyBorder="1"/>
    <xf numFmtId="167" fontId="0" fillId="18" borderId="1" xfId="1" applyNumberFormat="1" applyFont="1" applyFill="1" applyBorder="1"/>
    <xf numFmtId="167" fontId="3" fillId="0" borderId="0" xfId="1" applyNumberFormat="1" applyFont="1" applyAlignment="1">
      <alignment horizontal="center" vertical="center"/>
    </xf>
    <xf numFmtId="167" fontId="0" fillId="10" borderId="0" xfId="1" applyNumberFormat="1" applyFont="1" applyFill="1"/>
    <xf numFmtId="0" fontId="0" fillId="10" borderId="0" xfId="0" applyFill="1"/>
    <xf numFmtId="167" fontId="0" fillId="10" borderId="1" xfId="1" applyNumberFormat="1" applyFont="1" applyFill="1" applyBorder="1"/>
    <xf numFmtId="167" fontId="0" fillId="8" borderId="0" xfId="1" applyNumberFormat="1" applyFont="1" applyFill="1"/>
    <xf numFmtId="0" fontId="58" fillId="0" borderId="0" xfId="16"/>
    <xf numFmtId="0" fontId="58" fillId="0" borderId="0" xfId="16" applyAlignment="1">
      <alignment wrapText="1"/>
    </xf>
    <xf numFmtId="0" fontId="58" fillId="0" borderId="0" xfId="16" applyAlignment="1">
      <alignment vertical="center"/>
    </xf>
    <xf numFmtId="0" fontId="44" fillId="0" borderId="1" xfId="16" applyFont="1" applyBorder="1" applyAlignment="1">
      <alignment vertical="center" wrapText="1"/>
    </xf>
    <xf numFmtId="0" fontId="59" fillId="0" borderId="1" xfId="16" applyFont="1" applyBorder="1" applyAlignment="1">
      <alignment horizontal="center" vertical="center"/>
    </xf>
    <xf numFmtId="0" fontId="44" fillId="0" borderId="1" xfId="16" applyFont="1" applyBorder="1" applyAlignment="1">
      <alignment vertical="center"/>
    </xf>
    <xf numFmtId="0" fontId="44" fillId="8" borderId="1" xfId="16" applyFont="1" applyFill="1" applyBorder="1" applyAlignment="1">
      <alignment vertical="center"/>
    </xf>
    <xf numFmtId="0" fontId="60" fillId="8" borderId="1" xfId="16" applyFont="1" applyFill="1" applyBorder="1" applyAlignment="1">
      <alignment vertical="center" wrapText="1"/>
    </xf>
    <xf numFmtId="0" fontId="59" fillId="0" borderId="1" xfId="16" applyFont="1" applyBorder="1" applyAlignment="1">
      <alignment vertical="center" wrapText="1"/>
    </xf>
    <xf numFmtId="0" fontId="58" fillId="2" borderId="1" xfId="16" applyFill="1" applyBorder="1"/>
    <xf numFmtId="0" fontId="61" fillId="2" borderId="1" xfId="16" applyFont="1" applyFill="1" applyBorder="1"/>
    <xf numFmtId="0" fontId="25" fillId="2" borderId="1" xfId="16" applyFont="1" applyFill="1" applyBorder="1"/>
    <xf numFmtId="0" fontId="25" fillId="0" borderId="0" xfId="16" applyFont="1" applyAlignment="1">
      <alignment horizontal="center" vertical="center"/>
    </xf>
    <xf numFmtId="0" fontId="27" fillId="4" borderId="0" xfId="16" applyFont="1" applyFill="1" applyProtection="1">
      <protection locked="0"/>
    </xf>
    <xf numFmtId="0" fontId="25" fillId="0" borderId="0" xfId="16" applyFont="1" applyAlignment="1">
      <alignment horizontal="left" vertical="center"/>
    </xf>
    <xf numFmtId="0" fontId="26" fillId="0" borderId="0" xfId="16" applyFont="1" applyAlignment="1">
      <alignment wrapText="1"/>
    </xf>
    <xf numFmtId="0" fontId="61" fillId="0" borderId="0" xfId="16" applyFont="1" applyAlignment="1">
      <alignment wrapText="1"/>
    </xf>
    <xf numFmtId="0" fontId="61" fillId="0" borderId="0" xfId="16" applyFont="1"/>
    <xf numFmtId="0" fontId="25" fillId="26" borderId="0" xfId="16" applyFont="1" applyFill="1"/>
    <xf numFmtId="0" fontId="25" fillId="0" borderId="0" xfId="16" applyFont="1"/>
    <xf numFmtId="0" fontId="58" fillId="0" borderId="0" xfId="16" applyProtection="1">
      <protection locked="0"/>
    </xf>
    <xf numFmtId="0" fontId="58" fillId="4" borderId="1" xfId="16" applyFill="1" applyBorder="1" applyAlignment="1" applyProtection="1">
      <alignment vertical="center" wrapText="1"/>
      <protection locked="0"/>
    </xf>
    <xf numFmtId="0" fontId="58" fillId="7" borderId="1" xfId="16" applyFill="1" applyBorder="1" applyAlignment="1" applyProtection="1">
      <alignment horizontal="center" vertical="center" wrapText="1"/>
      <protection locked="0"/>
    </xf>
    <xf numFmtId="0" fontId="26" fillId="4" borderId="1" xfId="16" applyFont="1" applyFill="1" applyBorder="1" applyAlignment="1" applyProtection="1">
      <alignment vertical="center" wrapText="1"/>
      <protection locked="0"/>
    </xf>
    <xf numFmtId="0" fontId="25" fillId="26" borderId="1" xfId="16" applyFont="1" applyFill="1" applyBorder="1" applyAlignment="1" applyProtection="1">
      <alignment vertical="center"/>
      <protection locked="0"/>
    </xf>
    <xf numFmtId="0" fontId="25" fillId="26" borderId="1" xfId="16" applyFont="1" applyFill="1" applyBorder="1" applyAlignment="1" applyProtection="1">
      <alignment horizontal="center" vertical="center" wrapText="1"/>
      <protection locked="0"/>
    </xf>
    <xf numFmtId="0" fontId="31" fillId="0" borderId="0" xfId="16" applyFont="1" applyProtection="1">
      <protection locked="0"/>
    </xf>
    <xf numFmtId="0" fontId="25" fillId="0" borderId="0" xfId="16" applyFont="1" applyProtection="1">
      <protection locked="0"/>
    </xf>
    <xf numFmtId="0" fontId="26" fillId="0" borderId="0" xfId="16" applyFont="1"/>
    <xf numFmtId="173" fontId="25" fillId="20" borderId="5" xfId="16" applyNumberFormat="1" applyFont="1" applyFill="1" applyBorder="1" applyAlignment="1">
      <alignment horizontal="right"/>
    </xf>
    <xf numFmtId="173" fontId="26" fillId="20" borderId="25" xfId="16" applyNumberFormat="1" applyFont="1" applyFill="1" applyBorder="1" applyAlignment="1">
      <alignment horizontal="right"/>
    </xf>
    <xf numFmtId="0" fontId="25" fillId="0" borderId="1" xfId="16" applyFont="1" applyBorder="1"/>
    <xf numFmtId="0" fontId="64" fillId="0" borderId="0" xfId="16" applyFont="1"/>
    <xf numFmtId="173" fontId="26" fillId="17" borderId="1" xfId="16" applyNumberFormat="1" applyFont="1" applyFill="1" applyBorder="1"/>
    <xf numFmtId="173" fontId="26" fillId="20" borderId="1" xfId="16" applyNumberFormat="1" applyFont="1" applyFill="1" applyBorder="1" applyAlignment="1">
      <alignment horizontal="right"/>
    </xf>
    <xf numFmtId="173" fontId="25" fillId="7" borderId="5" xfId="16" applyNumberFormat="1" applyFont="1" applyFill="1" applyBorder="1" applyAlignment="1">
      <alignment horizontal="right"/>
    </xf>
    <xf numFmtId="173" fontId="26" fillId="0" borderId="16" xfId="16" applyNumberFormat="1" applyFont="1" applyBorder="1" applyAlignment="1">
      <alignment horizontal="right"/>
    </xf>
    <xf numFmtId="173" fontId="26" fillId="0" borderId="1" xfId="16" applyNumberFormat="1" applyFont="1" applyBorder="1" applyAlignment="1">
      <alignment horizontal="right"/>
    </xf>
    <xf numFmtId="0" fontId="26" fillId="17" borderId="15" xfId="16" applyFont="1" applyFill="1" applyBorder="1"/>
    <xf numFmtId="0" fontId="26" fillId="0" borderId="1" xfId="16" applyFont="1" applyBorder="1"/>
    <xf numFmtId="0" fontId="26" fillId="20" borderId="1" xfId="16" applyFont="1" applyFill="1" applyBorder="1" applyAlignment="1">
      <alignment horizontal="center" vertical="center"/>
    </xf>
    <xf numFmtId="6" fontId="15" fillId="18" borderId="1" xfId="16" applyNumberFormat="1" applyFont="1" applyFill="1" applyBorder="1" applyAlignment="1">
      <alignment horizontal="center" vertical="center"/>
    </xf>
    <xf numFmtId="6" fontId="3" fillId="21" borderId="1" xfId="16" applyNumberFormat="1" applyFont="1" applyFill="1" applyBorder="1" applyAlignment="1">
      <alignment horizontal="center" vertical="center"/>
    </xf>
    <xf numFmtId="0" fontId="7" fillId="18" borderId="1" xfId="16" applyFont="1" applyFill="1" applyBorder="1" applyAlignment="1">
      <alignment horizontal="center" vertical="center" wrapText="1"/>
    </xf>
    <xf numFmtId="0" fontId="7" fillId="21" borderId="1" xfId="16" applyFont="1" applyFill="1" applyBorder="1" applyAlignment="1">
      <alignment horizontal="center" vertical="center" wrapText="1"/>
    </xf>
    <xf numFmtId="0" fontId="15" fillId="21" borderId="1" xfId="16" applyFont="1" applyFill="1" applyBorder="1" applyAlignment="1">
      <alignment horizontal="center" vertical="center" wrapText="1"/>
    </xf>
    <xf numFmtId="0" fontId="31" fillId="0" borderId="0" xfId="16" applyFont="1"/>
    <xf numFmtId="0" fontId="25" fillId="0" borderId="0" xfId="16" applyFont="1" applyAlignment="1">
      <alignment horizontal="left"/>
    </xf>
    <xf numFmtId="0" fontId="63" fillId="4" borderId="16" xfId="16" applyFont="1" applyFill="1" applyBorder="1" applyAlignment="1" applyProtection="1">
      <alignment horizontal="right" wrapText="1"/>
      <protection locked="0"/>
    </xf>
    <xf numFmtId="0" fontId="63" fillId="4" borderId="1" xfId="16" applyFont="1" applyFill="1" applyBorder="1" applyAlignment="1" applyProtection="1">
      <alignment horizontal="right" wrapText="1"/>
      <protection locked="0"/>
    </xf>
    <xf numFmtId="179" fontId="65" fillId="4" borderId="16" xfId="16" applyNumberFormat="1" applyFont="1" applyFill="1" applyBorder="1" applyAlignment="1" applyProtection="1">
      <alignment horizontal="center" vertical="center"/>
      <protection locked="0"/>
    </xf>
    <xf numFmtId="179" fontId="65" fillId="4" borderId="1" xfId="16" applyNumberFormat="1" applyFont="1" applyFill="1" applyBorder="1" applyAlignment="1" applyProtection="1">
      <alignment horizontal="center" vertical="center"/>
      <protection locked="0"/>
    </xf>
    <xf numFmtId="173" fontId="26" fillId="4" borderId="16" xfId="16" applyNumberFormat="1" applyFont="1" applyFill="1" applyBorder="1" applyAlignment="1" applyProtection="1">
      <alignment horizontal="right"/>
      <protection locked="0"/>
    </xf>
    <xf numFmtId="173" fontId="26" fillId="4" borderId="1" xfId="16" applyNumberFormat="1" applyFont="1" applyFill="1" applyBorder="1" applyAlignment="1" applyProtection="1">
      <alignment horizontal="right"/>
      <protection locked="0"/>
    </xf>
    <xf numFmtId="0" fontId="26" fillId="27" borderId="15" xfId="16" applyFont="1" applyFill="1" applyBorder="1"/>
    <xf numFmtId="173" fontId="26" fillId="21" borderId="16" xfId="16" applyNumberFormat="1" applyFont="1" applyFill="1" applyBorder="1" applyAlignment="1">
      <alignment horizontal="right"/>
    </xf>
    <xf numFmtId="173" fontId="26" fillId="21" borderId="1" xfId="16" applyNumberFormat="1" applyFont="1" applyFill="1" applyBorder="1" applyAlignment="1">
      <alignment horizontal="right"/>
    </xf>
    <xf numFmtId="173" fontId="25" fillId="21" borderId="1" xfId="16" applyNumberFormat="1" applyFont="1" applyFill="1" applyBorder="1" applyAlignment="1">
      <alignment horizontal="left"/>
    </xf>
    <xf numFmtId="0" fontId="26" fillId="4" borderId="0" xfId="16" applyFont="1" applyFill="1" applyProtection="1">
      <protection locked="0"/>
    </xf>
    <xf numFmtId="0" fontId="31" fillId="4" borderId="0" xfId="16" applyFont="1" applyFill="1" applyProtection="1">
      <protection locked="0"/>
    </xf>
    <xf numFmtId="0" fontId="31" fillId="4" borderId="0" xfId="16" applyFont="1" applyFill="1" applyAlignment="1" applyProtection="1">
      <alignment horizontal="right"/>
      <protection locked="0"/>
    </xf>
    <xf numFmtId="173" fontId="25" fillId="0" borderId="17" xfId="16" applyNumberFormat="1" applyFont="1" applyBorder="1" applyAlignment="1">
      <alignment horizontal="right"/>
    </xf>
    <xf numFmtId="173" fontId="26" fillId="0" borderId="14" xfId="16" applyNumberFormat="1" applyFont="1" applyBorder="1"/>
    <xf numFmtId="173" fontId="26" fillId="0" borderId="10" xfId="16" applyNumberFormat="1" applyFont="1" applyBorder="1"/>
    <xf numFmtId="173" fontId="26" fillId="0" borderId="13" xfId="16" applyNumberFormat="1" applyFont="1" applyBorder="1"/>
    <xf numFmtId="173" fontId="26" fillId="0" borderId="17" xfId="16" applyNumberFormat="1" applyFont="1" applyBorder="1"/>
    <xf numFmtId="0" fontId="26" fillId="0" borderId="7" xfId="16" applyFont="1" applyBorder="1" applyAlignment="1">
      <alignment horizontal="left"/>
    </xf>
    <xf numFmtId="0" fontId="26" fillId="0" borderId="0" xfId="16" applyFont="1" applyAlignment="1">
      <alignment horizontal="left"/>
    </xf>
    <xf numFmtId="0" fontId="25" fillId="0" borderId="2" xfId="16" applyFont="1" applyBorder="1" applyAlignment="1">
      <alignment horizontal="left"/>
    </xf>
    <xf numFmtId="173" fontId="25" fillId="0" borderId="22" xfId="16" applyNumberFormat="1" applyFont="1" applyBorder="1"/>
    <xf numFmtId="173" fontId="26" fillId="12" borderId="10" xfId="16" applyNumberFormat="1" applyFont="1" applyFill="1" applyBorder="1" applyProtection="1">
      <protection locked="0"/>
    </xf>
    <xf numFmtId="0" fontId="25" fillId="0" borderId="2" xfId="16" applyFont="1" applyBorder="1" applyAlignment="1">
      <alignment horizontal="left" vertical="center"/>
    </xf>
    <xf numFmtId="0" fontId="26" fillId="0" borderId="2" xfId="16" applyFont="1" applyBorder="1"/>
    <xf numFmtId="0" fontId="25" fillId="0" borderId="2" xfId="16" applyFont="1" applyBorder="1" applyAlignment="1">
      <alignment horizontal="center" vertical="center"/>
    </xf>
    <xf numFmtId="0" fontId="26" fillId="0" borderId="0" xfId="16" applyFont="1" applyAlignment="1">
      <alignment horizontal="left" wrapText="1"/>
    </xf>
    <xf numFmtId="0" fontId="25" fillId="0" borderId="1" xfId="16" applyFont="1" applyBorder="1" applyAlignment="1">
      <alignment horizontal="center" wrapText="1"/>
    </xf>
    <xf numFmtId="3" fontId="25" fillId="0" borderId="0" xfId="16" applyNumberFormat="1" applyFont="1"/>
    <xf numFmtId="49" fontId="38" fillId="0" borderId="0" xfId="16" applyNumberFormat="1" applyFont="1" applyAlignment="1">
      <alignment horizontal="left"/>
    </xf>
    <xf numFmtId="49" fontId="39" fillId="0" borderId="0" xfId="16" applyNumberFormat="1" applyFont="1" applyAlignment="1">
      <alignment horizontal="left"/>
    </xf>
    <xf numFmtId="49" fontId="52" fillId="0" borderId="0" xfId="16" applyNumberFormat="1" applyFont="1" applyAlignment="1">
      <alignment horizontal="left"/>
    </xf>
    <xf numFmtId="3" fontId="25" fillId="0" borderId="0" xfId="16" applyNumberFormat="1" applyFont="1" applyAlignment="1">
      <alignment horizontal="left"/>
    </xf>
    <xf numFmtId="1" fontId="26" fillId="0" borderId="0" xfId="16" applyNumberFormat="1" applyFont="1"/>
    <xf numFmtId="174" fontId="26" fillId="0" borderId="0" xfId="16" applyNumberFormat="1" applyFont="1"/>
    <xf numFmtId="0" fontId="26" fillId="0" borderId="0" xfId="16" applyFont="1" applyAlignment="1">
      <alignment horizontal="left" vertical="top" wrapText="1"/>
    </xf>
    <xf numFmtId="0" fontId="26" fillId="0" borderId="0" xfId="16" applyFont="1" applyAlignment="1">
      <alignment horizontal="center"/>
    </xf>
    <xf numFmtId="0" fontId="26" fillId="0" borderId="0" xfId="16" quotePrefix="1" applyFont="1"/>
    <xf numFmtId="173" fontId="26" fillId="12" borderId="0" xfId="16" applyNumberFormat="1" applyFont="1" applyFill="1" applyAlignment="1" applyProtection="1">
      <alignment horizontal="right"/>
      <protection locked="0"/>
    </xf>
    <xf numFmtId="173" fontId="26" fillId="0" borderId="0" xfId="16" applyNumberFormat="1" applyFont="1" applyAlignment="1">
      <alignment horizontal="center"/>
    </xf>
    <xf numFmtId="173" fontId="26" fillId="0" borderId="0" xfId="16" applyNumberFormat="1" applyFont="1"/>
    <xf numFmtId="173" fontId="26" fillId="0" borderId="0" xfId="16" quotePrefix="1" applyNumberFormat="1" applyFont="1"/>
    <xf numFmtId="173" fontId="26" fillId="0" borderId="0" xfId="16" applyNumberFormat="1" applyFont="1" applyAlignment="1">
      <alignment horizontal="right"/>
    </xf>
    <xf numFmtId="173" fontId="26" fillId="12" borderId="0" xfId="16" applyNumberFormat="1" applyFont="1" applyFill="1" applyProtection="1">
      <protection locked="0"/>
    </xf>
    <xf numFmtId="0" fontId="25" fillId="0" borderId="0" xfId="16" applyFont="1" applyAlignment="1">
      <alignment horizontal="center"/>
    </xf>
    <xf numFmtId="1" fontId="25" fillId="0" borderId="0" xfId="16" applyNumberFormat="1" applyFont="1" applyAlignment="1">
      <alignment horizontal="center"/>
    </xf>
    <xf numFmtId="0" fontId="25" fillId="0" borderId="0" xfId="16" applyFont="1" applyAlignment="1">
      <alignment horizontal="center" wrapText="1"/>
    </xf>
    <xf numFmtId="1" fontId="25" fillId="0" borderId="0" xfId="16" applyNumberFormat="1" applyFont="1" applyAlignment="1">
      <alignment horizontal="center" wrapText="1"/>
    </xf>
    <xf numFmtId="1" fontId="25" fillId="0" borderId="0" xfId="16" applyNumberFormat="1" applyFont="1"/>
    <xf numFmtId="0" fontId="26" fillId="0" borderId="0" xfId="16" applyFont="1" applyProtection="1">
      <protection locked="0"/>
    </xf>
    <xf numFmtId="173" fontId="26" fillId="12" borderId="0" xfId="16" applyNumberFormat="1" applyFont="1" applyFill="1"/>
    <xf numFmtId="174" fontId="25" fillId="0" borderId="0" xfId="16" applyNumberFormat="1" applyFont="1" applyAlignment="1">
      <alignment horizontal="center"/>
    </xf>
    <xf numFmtId="0" fontId="25" fillId="0" borderId="0" xfId="16" applyFont="1" applyAlignment="1">
      <alignment wrapText="1"/>
    </xf>
    <xf numFmtId="0" fontId="25" fillId="0" borderId="0" xfId="16" quotePrefix="1" applyFont="1"/>
    <xf numFmtId="0" fontId="68" fillId="0" borderId="0" xfId="16" applyFont="1" applyAlignment="1">
      <alignment horizontal="center"/>
    </xf>
    <xf numFmtId="0" fontId="26" fillId="0" borderId="13" xfId="16" applyFont="1" applyBorder="1"/>
    <xf numFmtId="0" fontId="26" fillId="0" borderId="7" xfId="16" applyFont="1" applyBorder="1"/>
    <xf numFmtId="0" fontId="26" fillId="0" borderId="12" xfId="16" applyFont="1" applyBorder="1"/>
    <xf numFmtId="0" fontId="68" fillId="0" borderId="7" xfId="16" applyFont="1" applyBorder="1" applyAlignment="1">
      <alignment horizontal="center"/>
    </xf>
    <xf numFmtId="3" fontId="26" fillId="0" borderId="12" xfId="16" applyNumberFormat="1" applyFont="1" applyBorder="1" applyAlignment="1">
      <alignment horizontal="right"/>
    </xf>
    <xf numFmtId="0" fontId="26" fillId="0" borderId="14" xfId="16" applyFont="1" applyBorder="1"/>
    <xf numFmtId="3" fontId="26" fillId="0" borderId="2" xfId="16" applyNumberFormat="1" applyFont="1" applyBorder="1" applyAlignment="1">
      <alignment horizontal="right"/>
    </xf>
    <xf numFmtId="3" fontId="26" fillId="0" borderId="14" xfId="16" applyNumberFormat="1" applyFont="1" applyBorder="1"/>
    <xf numFmtId="3" fontId="26" fillId="0" borderId="0" xfId="16" applyNumberFormat="1" applyFont="1"/>
    <xf numFmtId="0" fontId="68" fillId="0" borderId="0" xfId="16" applyFont="1" applyAlignment="1">
      <alignment horizontal="center" vertical="center"/>
    </xf>
    <xf numFmtId="3" fontId="26" fillId="0" borderId="2" xfId="16" applyNumberFormat="1" applyFont="1" applyBorder="1"/>
    <xf numFmtId="0" fontId="69" fillId="14" borderId="0" xfId="16" applyFont="1" applyFill="1" applyAlignment="1">
      <alignment horizontal="center" vertical="center"/>
    </xf>
    <xf numFmtId="0" fontId="25" fillId="0" borderId="0" xfId="16" applyFont="1" applyAlignment="1">
      <alignment vertical="center"/>
    </xf>
    <xf numFmtId="170" fontId="26" fillId="0" borderId="2" xfId="16" applyNumberFormat="1" applyFont="1" applyBorder="1" applyAlignment="1">
      <alignment horizontal="right"/>
    </xf>
    <xf numFmtId="166" fontId="26" fillId="0" borderId="0" xfId="16" applyNumberFormat="1" applyFont="1"/>
    <xf numFmtId="166" fontId="25" fillId="0" borderId="0" xfId="16" applyNumberFormat="1" applyFont="1"/>
    <xf numFmtId="166" fontId="26" fillId="0" borderId="7" xfId="16" applyNumberFormat="1" applyFont="1" applyBorder="1"/>
    <xf numFmtId="3" fontId="26" fillId="12" borderId="2" xfId="16" applyNumberFormat="1" applyFont="1" applyFill="1" applyBorder="1" applyAlignment="1" applyProtection="1">
      <alignment horizontal="right"/>
      <protection locked="0"/>
    </xf>
    <xf numFmtId="0" fontId="26" fillId="0" borderId="11" xfId="16" applyFont="1" applyBorder="1"/>
    <xf numFmtId="0" fontId="26" fillId="0" borderId="8" xfId="16" applyFont="1" applyBorder="1"/>
    <xf numFmtId="0" fontId="26" fillId="0" borderId="8" xfId="16" applyFont="1" applyBorder="1" applyAlignment="1">
      <alignment horizontal="center"/>
    </xf>
    <xf numFmtId="0" fontId="39" fillId="14" borderId="0" xfId="16" applyFont="1" applyFill="1"/>
    <xf numFmtId="0" fontId="26" fillId="0" borderId="0" xfId="16" applyFont="1" applyAlignment="1">
      <alignment vertical="center"/>
    </xf>
    <xf numFmtId="0" fontId="39" fillId="14" borderId="0" xfId="16" applyFont="1" applyFill="1" applyAlignment="1">
      <alignment vertical="center"/>
    </xf>
    <xf numFmtId="0" fontId="52" fillId="0" borderId="0" xfId="16" applyFont="1" applyAlignment="1">
      <alignment horizontal="left"/>
    </xf>
    <xf numFmtId="0" fontId="62" fillId="0" borderId="0" xfId="16" applyFont="1" applyAlignment="1">
      <alignment horizontal="left"/>
    </xf>
    <xf numFmtId="173" fontId="26" fillId="0" borderId="0" xfId="16" applyNumberFormat="1" applyFont="1" applyProtection="1">
      <protection locked="0"/>
    </xf>
    <xf numFmtId="173" fontId="26" fillId="0" borderId="0" xfId="16" applyNumberFormat="1" applyFont="1" applyAlignment="1" applyProtection="1">
      <alignment horizontal="right"/>
      <protection locked="0"/>
    </xf>
    <xf numFmtId="170" fontId="26" fillId="0" borderId="0" xfId="16" applyNumberFormat="1" applyFont="1"/>
    <xf numFmtId="0" fontId="51" fillId="0" borderId="0" xfId="16" applyFont="1"/>
    <xf numFmtId="0" fontId="26" fillId="0" borderId="21" xfId="16" applyFont="1" applyBorder="1"/>
    <xf numFmtId="0" fontId="26" fillId="20" borderId="0" xfId="16" applyFont="1" applyFill="1" applyAlignment="1">
      <alignment horizontal="center" vertical="center"/>
    </xf>
    <xf numFmtId="173" fontId="26" fillId="0" borderId="1" xfId="16" applyNumberFormat="1" applyFont="1" applyBorder="1"/>
    <xf numFmtId="173" fontId="26" fillId="12" borderId="1" xfId="16" applyNumberFormat="1" applyFont="1" applyFill="1" applyBorder="1" applyAlignment="1" applyProtection="1">
      <alignment horizontal="right"/>
      <protection locked="0"/>
    </xf>
    <xf numFmtId="0" fontId="26" fillId="17" borderId="0" xfId="16" applyFont="1" applyFill="1"/>
    <xf numFmtId="173" fontId="25" fillId="0" borderId="21" xfId="16" applyNumberFormat="1" applyFont="1" applyBorder="1" applyAlignment="1">
      <alignment horizontal="right"/>
    </xf>
    <xf numFmtId="6" fontId="3" fillId="18" borderId="1" xfId="16" applyNumberFormat="1" applyFont="1" applyFill="1" applyBorder="1" applyAlignment="1">
      <alignment horizontal="center" vertical="center"/>
    </xf>
    <xf numFmtId="3" fontId="25" fillId="0" borderId="0" xfId="16" applyNumberFormat="1" applyFont="1" applyAlignment="1">
      <alignment horizontal="center"/>
    </xf>
    <xf numFmtId="173" fontId="25" fillId="0" borderId="0" xfId="16" applyNumberFormat="1" applyFont="1" applyAlignment="1">
      <alignment horizontal="right"/>
    </xf>
    <xf numFmtId="173" fontId="25" fillId="12" borderId="0" xfId="16" applyNumberFormat="1" applyFont="1" applyFill="1" applyAlignment="1" applyProtection="1">
      <alignment horizontal="right"/>
      <protection locked="0"/>
    </xf>
    <xf numFmtId="173" fontId="26" fillId="0" borderId="21" xfId="16" applyNumberFormat="1" applyFont="1" applyBorder="1" applyAlignment="1">
      <alignment horizontal="right"/>
    </xf>
    <xf numFmtId="173" fontId="26" fillId="4" borderId="0" xfId="16" applyNumberFormat="1" applyFont="1" applyFill="1" applyAlignment="1" applyProtection="1">
      <alignment horizontal="right"/>
      <protection locked="0"/>
    </xf>
    <xf numFmtId="173" fontId="26" fillId="12" borderId="0" xfId="16" applyNumberFormat="1" applyFont="1" applyFill="1" applyAlignment="1">
      <alignment horizontal="right"/>
    </xf>
    <xf numFmtId="173" fontId="26" fillId="0" borderId="4" xfId="16" applyNumberFormat="1" applyFont="1" applyBorder="1" applyAlignment="1">
      <alignment horizontal="right"/>
    </xf>
    <xf numFmtId="173" fontId="26" fillId="12" borderId="4" xfId="16" applyNumberFormat="1" applyFont="1" applyFill="1" applyBorder="1" applyAlignment="1" applyProtection="1">
      <alignment horizontal="right"/>
      <protection locked="0"/>
    </xf>
    <xf numFmtId="173" fontId="26" fillId="0" borderId="8" xfId="16" applyNumberFormat="1" applyFont="1" applyBorder="1" applyAlignment="1">
      <alignment horizontal="right"/>
    </xf>
    <xf numFmtId="1" fontId="25" fillId="0" borderId="0" xfId="16" quotePrefix="1" applyNumberFormat="1" applyFont="1" applyAlignment="1">
      <alignment horizontal="center"/>
    </xf>
    <xf numFmtId="0" fontId="26" fillId="0" borderId="0" xfId="16" applyFont="1" applyAlignment="1" applyProtection="1">
      <alignment horizontal="center"/>
      <protection locked="0"/>
    </xf>
    <xf numFmtId="0" fontId="26" fillId="0" borderId="0" xfId="16" applyFont="1" applyAlignment="1">
      <alignment horizontal="center" wrapText="1"/>
    </xf>
    <xf numFmtId="173" fontId="26" fillId="4" borderId="0" xfId="16" applyNumberFormat="1" applyFont="1" applyFill="1" applyProtection="1">
      <protection locked="0"/>
    </xf>
    <xf numFmtId="0" fontId="26" fillId="18" borderId="0" xfId="16" applyFont="1" applyFill="1"/>
    <xf numFmtId="173" fontId="25" fillId="0" borderId="21" xfId="16" applyNumberFormat="1" applyFont="1" applyBorder="1"/>
    <xf numFmtId="173" fontId="25" fillId="0" borderId="18" xfId="16" applyNumberFormat="1" applyFont="1" applyBorder="1" applyAlignment="1">
      <alignment horizontal="right"/>
    </xf>
    <xf numFmtId="173" fontId="25" fillId="0" borderId="7" xfId="16" applyNumberFormat="1" applyFont="1" applyBorder="1" applyAlignment="1">
      <alignment horizontal="right"/>
    </xf>
    <xf numFmtId="181" fontId="26" fillId="0" borderId="0" xfId="19" applyNumberFormat="1" applyAlignment="1">
      <alignment horizontal="center"/>
    </xf>
    <xf numFmtId="173" fontId="26" fillId="0" borderId="0" xfId="16" quotePrefix="1" applyNumberFormat="1" applyFont="1" applyAlignment="1">
      <alignment horizontal="center"/>
    </xf>
    <xf numFmtId="182" fontId="26" fillId="0" borderId="0" xfId="16" applyNumberFormat="1" applyFont="1" applyAlignment="1">
      <alignment horizontal="center"/>
    </xf>
    <xf numFmtId="173" fontId="26" fillId="0" borderId="7" xfId="16" applyNumberFormat="1" applyFont="1" applyBorder="1" applyAlignment="1">
      <alignment horizontal="right"/>
    </xf>
    <xf numFmtId="182" fontId="26" fillId="0" borderId="0" xfId="16" quotePrefix="1" applyNumberFormat="1" applyFont="1" applyAlignment="1">
      <alignment horizontal="center"/>
    </xf>
    <xf numFmtId="0" fontId="70" fillId="0" borderId="0" xfId="16" applyFont="1"/>
    <xf numFmtId="173" fontId="26" fillId="18" borderId="0" xfId="16" applyNumberFormat="1" applyFont="1" applyFill="1"/>
    <xf numFmtId="173" fontId="26" fillId="18" borderId="7" xfId="16" quotePrefix="1" applyNumberFormat="1" applyFont="1" applyFill="1" applyBorder="1"/>
    <xf numFmtId="173" fontId="26" fillId="18" borderId="7" xfId="16" applyNumberFormat="1" applyFont="1" applyFill="1" applyBorder="1" applyAlignment="1">
      <alignment horizontal="right"/>
    </xf>
    <xf numFmtId="173" fontId="26" fillId="0" borderId="7" xfId="16" applyNumberFormat="1" applyFont="1" applyBorder="1"/>
    <xf numFmtId="173" fontId="25" fillId="0" borderId="0" xfId="16" applyNumberFormat="1" applyFont="1"/>
    <xf numFmtId="0" fontId="26" fillId="0" borderId="0" xfId="16" applyFont="1" applyAlignment="1">
      <alignment horizontal="right"/>
    </xf>
    <xf numFmtId="0" fontId="25" fillId="0" borderId="0" xfId="16" applyFont="1" applyAlignment="1">
      <alignment horizontal="right"/>
    </xf>
    <xf numFmtId="0" fontId="71" fillId="0" borderId="0" xfId="16" applyFont="1" applyAlignment="1">
      <alignment horizontal="center"/>
    </xf>
    <xf numFmtId="173" fontId="26" fillId="0" borderId="0" xfId="16" applyNumberFormat="1" applyFont="1" applyAlignment="1" applyProtection="1">
      <alignment horizontal="left"/>
      <protection locked="0"/>
    </xf>
    <xf numFmtId="173" fontId="26" fillId="0" borderId="0" xfId="16" applyNumberFormat="1" applyFont="1" applyAlignment="1">
      <alignment horizontal="right" wrapText="1"/>
    </xf>
    <xf numFmtId="173" fontId="26" fillId="0" borderId="0" xfId="16" applyNumberFormat="1" applyFont="1" applyAlignment="1">
      <alignment horizontal="left" wrapText="1"/>
    </xf>
    <xf numFmtId="173" fontId="25" fillId="0" borderId="4" xfId="16" applyNumberFormat="1" applyFont="1" applyBorder="1" applyAlignment="1">
      <alignment horizontal="right"/>
    </xf>
    <xf numFmtId="173" fontId="25" fillId="0" borderId="0" xfId="16" applyNumberFormat="1" applyFont="1" applyAlignment="1">
      <alignment horizontal="left"/>
    </xf>
    <xf numFmtId="173" fontId="26" fillId="13" borderId="0" xfId="16" applyNumberFormat="1" applyFont="1" applyFill="1" applyAlignment="1">
      <alignment horizontal="right" wrapText="1"/>
    </xf>
    <xf numFmtId="173" fontId="26" fillId="24" borderId="0" xfId="16" applyNumberFormat="1" applyFont="1" applyFill="1" applyAlignment="1">
      <alignment horizontal="right" wrapText="1"/>
    </xf>
    <xf numFmtId="166" fontId="29" fillId="0" borderId="0" xfId="16" applyNumberFormat="1" applyFont="1" applyAlignment="1">
      <alignment horizontal="center"/>
    </xf>
    <xf numFmtId="173" fontId="26" fillId="13" borderId="0" xfId="16" applyNumberFormat="1" applyFont="1" applyFill="1" applyAlignment="1">
      <alignment horizontal="right"/>
    </xf>
    <xf numFmtId="173" fontId="26" fillId="0" borderId="0" xfId="16" applyNumberFormat="1" applyFont="1" applyAlignment="1">
      <alignment horizontal="left"/>
    </xf>
    <xf numFmtId="173" fontId="25" fillId="0" borderId="0" xfId="16" applyNumberFormat="1" applyFont="1" applyAlignment="1">
      <alignment horizontal="left" wrapText="1"/>
    </xf>
    <xf numFmtId="173" fontId="25" fillId="0" borderId="8" xfId="16" applyNumberFormat="1" applyFont="1" applyBorder="1" applyAlignment="1">
      <alignment horizontal="right"/>
    </xf>
    <xf numFmtId="173" fontId="26" fillId="4" borderId="0" xfId="16" applyNumberFormat="1" applyFont="1" applyFill="1" applyAlignment="1">
      <alignment horizontal="right" wrapText="1"/>
    </xf>
    <xf numFmtId="173" fontId="25" fillId="0" borderId="4" xfId="16" applyNumberFormat="1" applyFont="1" applyBorder="1" applyAlignment="1">
      <alignment horizontal="right" wrapText="1"/>
    </xf>
    <xf numFmtId="173" fontId="25" fillId="0" borderId="0" xfId="16" applyNumberFormat="1" applyFont="1" applyAlignment="1">
      <alignment horizontal="right" wrapText="1"/>
    </xf>
    <xf numFmtId="173" fontId="26" fillId="12" borderId="0" xfId="16" applyNumberFormat="1" applyFont="1" applyFill="1" applyAlignment="1">
      <alignment horizontal="right" wrapText="1"/>
    </xf>
    <xf numFmtId="173" fontId="25" fillId="0" borderId="0" xfId="16" applyNumberFormat="1" applyFont="1" applyAlignment="1">
      <alignment horizontal="center"/>
    </xf>
    <xf numFmtId="173" fontId="32" fillId="0" borderId="0" xfId="16" applyNumberFormat="1" applyFont="1" applyAlignment="1">
      <alignment horizontal="center"/>
    </xf>
    <xf numFmtId="173" fontId="25" fillId="0" borderId="0" xfId="16" applyNumberFormat="1" applyFont="1" applyAlignment="1">
      <alignment horizontal="center" wrapText="1"/>
    </xf>
    <xf numFmtId="173" fontId="71" fillId="0" borderId="0" xfId="16" applyNumberFormat="1" applyFont="1" applyAlignment="1">
      <alignment horizontal="right"/>
    </xf>
    <xf numFmtId="173" fontId="25" fillId="0" borderId="0" xfId="16" applyNumberFormat="1" applyFont="1" applyAlignment="1" applyProtection="1">
      <alignment horizontal="right"/>
      <protection locked="0"/>
    </xf>
    <xf numFmtId="173" fontId="26" fillId="18" borderId="0" xfId="16" applyNumberFormat="1" applyFont="1" applyFill="1" applyAlignment="1">
      <alignment horizontal="left" wrapText="1"/>
    </xf>
    <xf numFmtId="0" fontId="26" fillId="0" borderId="0" xfId="16" applyFont="1" applyAlignment="1" applyProtection="1">
      <alignment horizontal="right"/>
      <protection locked="0"/>
    </xf>
    <xf numFmtId="173" fontId="26" fillId="12" borderId="7" xfId="16" applyNumberFormat="1" applyFont="1" applyFill="1" applyBorder="1" applyProtection="1">
      <protection locked="0"/>
    </xf>
    <xf numFmtId="183" fontId="26" fillId="0" borderId="0" xfId="16" applyNumberFormat="1" applyFont="1" applyAlignment="1">
      <alignment horizontal="right"/>
    </xf>
    <xf numFmtId="173" fontId="26" fillId="18" borderId="7" xfId="16" applyNumberFormat="1" applyFont="1" applyFill="1" applyBorder="1"/>
    <xf numFmtId="1" fontId="26" fillId="0" borderId="0" xfId="16" applyNumberFormat="1" applyFont="1" applyAlignment="1">
      <alignment horizontal="right"/>
    </xf>
    <xf numFmtId="173" fontId="31" fillId="0" borderId="0" xfId="16" applyNumberFormat="1" applyFont="1" applyAlignment="1">
      <alignment horizontal="left"/>
    </xf>
    <xf numFmtId="0" fontId="72" fillId="0" borderId="0" xfId="16" applyFont="1"/>
    <xf numFmtId="0" fontId="25" fillId="0" borderId="0" xfId="16" applyFont="1" applyAlignment="1">
      <alignment horizontal="left" wrapText="1"/>
    </xf>
    <xf numFmtId="173" fontId="25" fillId="0" borderId="18" xfId="16" applyNumberFormat="1" applyFont="1" applyBorder="1"/>
    <xf numFmtId="170" fontId="25" fillId="0" borderId="0" xfId="16" applyNumberFormat="1" applyFont="1"/>
    <xf numFmtId="170" fontId="25" fillId="0" borderId="0" xfId="16" applyNumberFormat="1" applyFont="1" applyAlignment="1">
      <alignment horizontal="center"/>
    </xf>
    <xf numFmtId="170" fontId="26" fillId="0" borderId="0" xfId="19" applyNumberFormat="1"/>
    <xf numFmtId="170" fontId="25" fillId="0" borderId="0" xfId="16" applyNumberFormat="1" applyFont="1" applyAlignment="1">
      <alignment horizontal="right"/>
    </xf>
    <xf numFmtId="173" fontId="26" fillId="9" borderId="1" xfId="16" applyNumberFormat="1" applyFont="1" applyFill="1" applyBorder="1" applyAlignment="1">
      <alignment horizontal="right"/>
    </xf>
    <xf numFmtId="0" fontId="26" fillId="0" borderId="0" xfId="16" applyFont="1" applyAlignment="1">
      <alignment horizontal="left" indent="1"/>
    </xf>
    <xf numFmtId="0" fontId="26" fillId="0" borderId="0" xfId="16" applyFont="1" applyAlignment="1">
      <alignment horizontal="left" wrapText="1" indent="1"/>
    </xf>
    <xf numFmtId="0" fontId="26" fillId="4" borderId="1" xfId="16" applyFont="1" applyFill="1" applyBorder="1" applyProtection="1">
      <protection locked="0"/>
    </xf>
    <xf numFmtId="0" fontId="58" fillId="21" borderId="1" xfId="16" applyFill="1" applyBorder="1" applyAlignment="1">
      <alignment horizontal="center" vertical="center"/>
    </xf>
    <xf numFmtId="0" fontId="26" fillId="21" borderId="1" xfId="16" applyFont="1" applyFill="1" applyBorder="1" applyAlignment="1">
      <alignment horizontal="center" vertical="center"/>
    </xf>
    <xf numFmtId="173" fontId="31" fillId="0" borderId="0" xfId="16" applyNumberFormat="1" applyFont="1"/>
    <xf numFmtId="173" fontId="25" fillId="0" borderId="17" xfId="16" applyNumberFormat="1" applyFont="1" applyBorder="1"/>
    <xf numFmtId="173" fontId="25" fillId="0" borderId="26" xfId="16" applyNumberFormat="1" applyFont="1" applyBorder="1"/>
    <xf numFmtId="173" fontId="26" fillId="0" borderId="22" xfId="16" applyNumberFormat="1" applyFont="1" applyBorder="1"/>
    <xf numFmtId="173" fontId="26" fillId="0" borderId="8" xfId="16" applyNumberFormat="1" applyFont="1" applyBorder="1"/>
    <xf numFmtId="173" fontId="25" fillId="0" borderId="10" xfId="16" applyNumberFormat="1" applyFont="1" applyBorder="1"/>
    <xf numFmtId="173" fontId="26" fillId="0" borderId="0" xfId="16" applyNumberFormat="1" applyFont="1" applyAlignment="1">
      <alignment wrapText="1"/>
    </xf>
    <xf numFmtId="173" fontId="25" fillId="0" borderId="13" xfId="16" applyNumberFormat="1" applyFont="1" applyBorder="1" applyAlignment="1">
      <alignment horizontal="right"/>
    </xf>
    <xf numFmtId="173" fontId="25" fillId="0" borderId="12" xfId="16" applyNumberFormat="1" applyFont="1" applyBorder="1" applyAlignment="1">
      <alignment horizontal="right"/>
    </xf>
    <xf numFmtId="173" fontId="26" fillId="0" borderId="2" xfId="16" applyNumberFormat="1" applyFont="1" applyBorder="1"/>
    <xf numFmtId="173" fontId="25" fillId="0" borderId="27" xfId="16" applyNumberFormat="1" applyFont="1" applyBorder="1" applyAlignment="1">
      <alignment horizontal="right"/>
    </xf>
    <xf numFmtId="173" fontId="25" fillId="0" borderId="26" xfId="16" applyNumberFormat="1" applyFont="1" applyBorder="1" applyAlignment="1">
      <alignment horizontal="right"/>
    </xf>
    <xf numFmtId="173" fontId="25" fillId="0" borderId="19" xfId="16" applyNumberFormat="1" applyFont="1" applyBorder="1" applyAlignment="1">
      <alignment horizontal="right"/>
    </xf>
    <xf numFmtId="173" fontId="25" fillId="0" borderId="14" xfId="16" applyNumberFormat="1" applyFont="1" applyBorder="1"/>
    <xf numFmtId="173" fontId="25" fillId="0" borderId="2" xfId="16" applyNumberFormat="1" applyFont="1" applyBorder="1"/>
    <xf numFmtId="173" fontId="26" fillId="3" borderId="0" xfId="16" applyNumberFormat="1" applyFont="1" applyFill="1" applyAlignment="1">
      <alignment horizontal="left"/>
    </xf>
    <xf numFmtId="173" fontId="26" fillId="0" borderId="22" xfId="16" applyNumberFormat="1" applyFont="1" applyBorder="1" applyProtection="1">
      <protection locked="0"/>
    </xf>
    <xf numFmtId="173" fontId="26" fillId="0" borderId="11" xfId="16" applyNumberFormat="1" applyFont="1" applyBorder="1"/>
    <xf numFmtId="173" fontId="26" fillId="0" borderId="17" xfId="16" applyNumberFormat="1" applyFont="1" applyBorder="1" applyProtection="1">
      <protection locked="0"/>
    </xf>
    <xf numFmtId="173" fontId="26" fillId="0" borderId="10" xfId="16" applyNumberFormat="1" applyFont="1" applyBorder="1" applyProtection="1">
      <protection locked="0"/>
    </xf>
    <xf numFmtId="173" fontId="25" fillId="0" borderId="17" xfId="16" applyNumberFormat="1" applyFont="1" applyBorder="1" applyAlignment="1">
      <alignment horizontal="center"/>
    </xf>
    <xf numFmtId="173" fontId="25" fillId="0" borderId="12" xfId="16" applyNumberFormat="1" applyFont="1" applyBorder="1" applyAlignment="1">
      <alignment horizontal="center"/>
    </xf>
    <xf numFmtId="0" fontId="58" fillId="21" borderId="1" xfId="16" applyFill="1" applyBorder="1" applyAlignment="1">
      <alignment horizontal="center" vertical="center" wrapText="1"/>
    </xf>
    <xf numFmtId="173" fontId="25" fillId="0" borderId="22" xfId="16" applyNumberFormat="1" applyFont="1" applyBorder="1" applyAlignment="1">
      <alignment horizontal="center"/>
    </xf>
    <xf numFmtId="173" fontId="25" fillId="0" borderId="22" xfId="16" applyNumberFormat="1" applyFont="1" applyBorder="1" applyAlignment="1">
      <alignment horizontal="center" wrapText="1"/>
    </xf>
    <xf numFmtId="173" fontId="25" fillId="0" borderId="8" xfId="16" applyNumberFormat="1" applyFont="1" applyBorder="1" applyAlignment="1">
      <alignment horizontal="center" wrapText="1"/>
    </xf>
    <xf numFmtId="173" fontId="25" fillId="0" borderId="9" xfId="16" applyNumberFormat="1" applyFont="1" applyBorder="1" applyAlignment="1">
      <alignment horizontal="center"/>
    </xf>
    <xf numFmtId="173" fontId="51" fillId="0" borderId="0" xfId="16" applyNumberFormat="1" applyFont="1"/>
    <xf numFmtId="173" fontId="25" fillId="0" borderId="0" xfId="16" applyNumberFormat="1" applyFont="1" applyAlignment="1">
      <alignment wrapText="1"/>
    </xf>
    <xf numFmtId="173" fontId="39" fillId="0" borderId="0" xfId="16" applyNumberFormat="1" applyFont="1" applyAlignment="1">
      <alignment horizontal="left"/>
    </xf>
    <xf numFmtId="173" fontId="26" fillId="0" borderId="29" xfId="16" applyNumberFormat="1" applyFont="1" applyBorder="1"/>
    <xf numFmtId="173" fontId="26" fillId="0" borderId="30" xfId="16" applyNumberFormat="1" applyFont="1" applyBorder="1"/>
    <xf numFmtId="173" fontId="26" fillId="0" borderId="31" xfId="16" applyNumberFormat="1" applyFont="1" applyBorder="1"/>
    <xf numFmtId="173" fontId="25" fillId="0" borderId="10" xfId="16" applyNumberFormat="1" applyFont="1" applyBorder="1" applyAlignment="1">
      <alignment horizontal="right"/>
    </xf>
    <xf numFmtId="173" fontId="25" fillId="0" borderId="2" xfId="16" applyNumberFormat="1" applyFont="1" applyBorder="1" applyAlignment="1">
      <alignment horizontal="right"/>
    </xf>
    <xf numFmtId="173" fontId="26" fillId="0" borderId="12" xfId="16" applyNumberFormat="1" applyFont="1" applyBorder="1"/>
    <xf numFmtId="173" fontId="26" fillId="12" borderId="22" xfId="16" applyNumberFormat="1" applyFont="1" applyFill="1" applyBorder="1" applyProtection="1">
      <protection locked="0"/>
    </xf>
    <xf numFmtId="173" fontId="26" fillId="0" borderId="9" xfId="16" applyNumberFormat="1" applyFont="1" applyBorder="1"/>
    <xf numFmtId="173" fontId="26" fillId="0" borderId="7" xfId="16" applyNumberFormat="1" applyFont="1" applyBorder="1" applyProtection="1">
      <protection locked="0"/>
    </xf>
    <xf numFmtId="173" fontId="26" fillId="0" borderId="12" xfId="16" applyNumberFormat="1" applyFont="1" applyBorder="1" applyProtection="1">
      <protection locked="0"/>
    </xf>
    <xf numFmtId="3" fontId="25" fillId="0" borderId="17" xfId="16" applyNumberFormat="1" applyFont="1" applyBorder="1" applyAlignment="1">
      <alignment horizontal="center"/>
    </xf>
    <xf numFmtId="3" fontId="25" fillId="0" borderId="12" xfId="16" applyNumberFormat="1" applyFont="1" applyBorder="1" applyAlignment="1">
      <alignment horizontal="center"/>
    </xf>
    <xf numFmtId="173" fontId="25" fillId="0" borderId="11" xfId="16" applyNumberFormat="1" applyFont="1" applyBorder="1" applyAlignment="1">
      <alignment horizontal="center"/>
    </xf>
    <xf numFmtId="0" fontId="74" fillId="0" borderId="0" xfId="16" applyFont="1"/>
    <xf numFmtId="0" fontId="26" fillId="0" borderId="17" xfId="16" applyFont="1" applyBorder="1"/>
    <xf numFmtId="173" fontId="26" fillId="0" borderId="1" xfId="16" applyNumberFormat="1" applyFont="1" applyBorder="1" applyAlignment="1">
      <alignment horizontal="center" vertical="center"/>
    </xf>
    <xf numFmtId="2" fontId="26" fillId="0" borderId="0" xfId="16" quotePrefix="1" applyNumberFormat="1" applyFont="1"/>
    <xf numFmtId="173" fontId="25" fillId="0" borderId="29" xfId="16" applyNumberFormat="1" applyFont="1" applyBorder="1"/>
    <xf numFmtId="173" fontId="25" fillId="0" borderId="28" xfId="16" applyNumberFormat="1" applyFont="1" applyBorder="1" applyAlignment="1">
      <alignment horizontal="right"/>
    </xf>
    <xf numFmtId="0" fontId="25" fillId="21" borderId="1" xfId="16" applyFont="1" applyFill="1" applyBorder="1" applyAlignment="1">
      <alignment horizontal="center" vertical="center"/>
    </xf>
    <xf numFmtId="173" fontId="25" fillId="0" borderId="9" xfId="16" applyNumberFormat="1" applyFont="1" applyBorder="1" applyAlignment="1">
      <alignment horizontal="center" wrapText="1"/>
    </xf>
    <xf numFmtId="0" fontId="38" fillId="0" borderId="0" xfId="16" applyFont="1" applyAlignment="1">
      <alignment horizontal="left"/>
    </xf>
    <xf numFmtId="0" fontId="39" fillId="0" borderId="0" xfId="16" applyFont="1" applyAlignment="1">
      <alignment horizontal="left"/>
    </xf>
    <xf numFmtId="173" fontId="25" fillId="0" borderId="19" xfId="16" applyNumberFormat="1" applyFont="1" applyBorder="1"/>
    <xf numFmtId="173" fontId="38" fillId="0" borderId="0" xfId="16" applyNumberFormat="1" applyFont="1" applyAlignment="1">
      <alignment horizontal="left"/>
    </xf>
    <xf numFmtId="1" fontId="25" fillId="0" borderId="0" xfId="16" applyNumberFormat="1" applyFont="1" applyAlignment="1">
      <alignment horizontal="right"/>
    </xf>
    <xf numFmtId="173" fontId="25" fillId="0" borderId="0" xfId="16" applyNumberFormat="1" applyFont="1" applyAlignment="1">
      <alignment horizontal="center" vertical="center"/>
    </xf>
    <xf numFmtId="173" fontId="25" fillId="0" borderId="0" xfId="16" applyNumberFormat="1" applyFont="1" applyAlignment="1">
      <alignment horizontal="center" vertical="center" wrapText="1"/>
    </xf>
    <xf numFmtId="173" fontId="26" fillId="0" borderId="21" xfId="16" applyNumberFormat="1" applyFont="1" applyBorder="1"/>
    <xf numFmtId="173" fontId="26" fillId="0" borderId="0" xfId="16" applyNumberFormat="1" applyFont="1" applyAlignment="1">
      <alignment horizontal="center" vertical="center"/>
    </xf>
    <xf numFmtId="170" fontId="26" fillId="0" borderId="0" xfId="16" applyNumberFormat="1" applyFont="1" applyAlignment="1">
      <alignment horizontal="right"/>
    </xf>
    <xf numFmtId="0" fontId="25" fillId="0" borderId="0" xfId="16" applyFont="1" applyAlignment="1">
      <alignment horizontal="left" vertical="top" wrapText="1"/>
    </xf>
    <xf numFmtId="0" fontId="76" fillId="0" borderId="0" xfId="16" applyFont="1"/>
    <xf numFmtId="0" fontId="25" fillId="0" borderId="0" xfId="16" applyFont="1" applyAlignment="1">
      <alignment horizontal="left" vertical="top"/>
    </xf>
    <xf numFmtId="3" fontId="25" fillId="0" borderId="0" xfId="16" applyNumberFormat="1" applyFont="1" applyAlignment="1">
      <alignment horizontal="right"/>
    </xf>
    <xf numFmtId="0" fontId="77" fillId="0" borderId="0" xfId="20" applyFont="1" applyAlignment="1">
      <alignment vertical="center" wrapText="1"/>
    </xf>
    <xf numFmtId="0" fontId="78" fillId="0" borderId="0" xfId="20" applyFont="1" applyAlignment="1">
      <alignment vertical="center" wrapText="1"/>
    </xf>
    <xf numFmtId="0" fontId="77" fillId="0" borderId="0" xfId="20" applyFont="1" applyAlignment="1">
      <alignment horizontal="center" vertical="center" wrapText="1"/>
    </xf>
    <xf numFmtId="173" fontId="26" fillId="0" borderId="0" xfId="16" applyNumberFormat="1" applyFont="1" applyAlignment="1">
      <alignment vertical="top" wrapText="1"/>
    </xf>
    <xf numFmtId="173" fontId="25" fillId="0" borderId="0" xfId="16" applyNumberFormat="1" applyFont="1" applyAlignment="1">
      <alignment vertical="top" wrapText="1"/>
    </xf>
    <xf numFmtId="0" fontId="26" fillId="0" borderId="0" xfId="16" applyFont="1" applyAlignment="1">
      <alignment horizontal="center" vertical="center"/>
    </xf>
    <xf numFmtId="0" fontId="26" fillId="0" borderId="0" xfId="16" applyFont="1" applyAlignment="1" applyProtection="1">
      <alignment horizontal="center" vertical="center"/>
      <protection locked="0"/>
    </xf>
    <xf numFmtId="173" fontId="25" fillId="0" borderId="21" xfId="16" applyNumberFormat="1" applyFont="1" applyBorder="1" applyAlignment="1">
      <alignment horizontal="center" vertical="center"/>
    </xf>
    <xf numFmtId="173" fontId="26" fillId="0" borderId="21" xfId="16" applyNumberFormat="1" applyFont="1" applyBorder="1" applyAlignment="1">
      <alignment horizontal="center" vertical="center"/>
    </xf>
    <xf numFmtId="173" fontId="26" fillId="0" borderId="4" xfId="16" applyNumberFormat="1" applyFont="1" applyBorder="1" applyAlignment="1">
      <alignment horizontal="center" vertical="center"/>
    </xf>
    <xf numFmtId="173" fontId="26" fillId="17" borderId="0" xfId="16" applyNumberFormat="1" applyFont="1" applyFill="1" applyAlignment="1">
      <alignment horizontal="right"/>
    </xf>
    <xf numFmtId="173" fontId="25" fillId="0" borderId="0" xfId="16" applyNumberFormat="1" applyFont="1" applyAlignment="1">
      <alignment horizontal="left" vertical="top"/>
    </xf>
    <xf numFmtId="173" fontId="26" fillId="0" borderId="0" xfId="16" applyNumberFormat="1" applyFont="1" applyAlignment="1">
      <alignment vertical="top"/>
    </xf>
    <xf numFmtId="173" fontId="26" fillId="0" borderId="4" xfId="16" applyNumberFormat="1" applyFont="1" applyBorder="1"/>
    <xf numFmtId="173" fontId="26" fillId="0" borderId="0" xfId="16" applyNumberFormat="1" applyFont="1" applyAlignment="1" applyProtection="1">
      <alignment horizontal="center" vertical="center"/>
      <protection locked="0"/>
    </xf>
    <xf numFmtId="173" fontId="26" fillId="0" borderId="4" xfId="16" applyNumberFormat="1" applyFont="1" applyBorder="1" applyAlignment="1" applyProtection="1">
      <alignment horizontal="center" vertical="center"/>
      <protection locked="0"/>
    </xf>
    <xf numFmtId="173" fontId="26" fillId="0" borderId="4" xfId="16" applyNumberFormat="1" applyFont="1" applyBorder="1" applyAlignment="1" applyProtection="1">
      <alignment horizontal="right"/>
      <protection locked="0"/>
    </xf>
    <xf numFmtId="173" fontId="26" fillId="0" borderId="1" xfId="16" applyNumberFormat="1" applyFont="1" applyBorder="1" applyAlignment="1">
      <alignment vertical="center"/>
    </xf>
    <xf numFmtId="3" fontId="26" fillId="0" borderId="0" xfId="16" applyNumberFormat="1" applyFont="1" applyAlignment="1">
      <alignment vertical="top" wrapText="1"/>
    </xf>
    <xf numFmtId="3" fontId="26" fillId="0" borderId="0" xfId="16" applyNumberFormat="1" applyFont="1" applyAlignment="1">
      <alignment horizontal="left" vertical="top" wrapText="1"/>
    </xf>
    <xf numFmtId="173" fontId="25" fillId="0" borderId="4" xfId="16" applyNumberFormat="1" applyFont="1" applyBorder="1"/>
    <xf numFmtId="49" fontId="25" fillId="0" borderId="0" xfId="16" applyNumberFormat="1" applyFont="1" applyAlignment="1">
      <alignment horizontal="left" vertical="top" wrapText="1"/>
    </xf>
    <xf numFmtId="174" fontId="25" fillId="0" borderId="0" xfId="16" applyNumberFormat="1" applyFont="1" applyAlignment="1">
      <alignment horizontal="center" vertical="center" wrapText="1"/>
    </xf>
    <xf numFmtId="1" fontId="25" fillId="0" borderId="0" xfId="16" applyNumberFormat="1" applyFont="1" applyAlignment="1">
      <alignment horizontal="center" vertical="center" wrapText="1"/>
    </xf>
    <xf numFmtId="0" fontId="25" fillId="0" borderId="0" xfId="16" applyFont="1" applyAlignment="1">
      <alignment horizontal="center" vertical="center" wrapText="1"/>
    </xf>
    <xf numFmtId="173" fontId="80" fillId="25" borderId="0" xfId="16" applyNumberFormat="1" applyFont="1" applyFill="1" applyAlignment="1">
      <alignment horizontal="center"/>
    </xf>
    <xf numFmtId="49" fontId="26" fillId="0" borderId="0" xfId="16" applyNumberFormat="1" applyFont="1" applyAlignment="1">
      <alignment horizontal="left" wrapText="1"/>
    </xf>
    <xf numFmtId="170" fontId="26" fillId="0" borderId="0" xfId="16" applyNumberFormat="1" applyFont="1" applyProtection="1">
      <protection locked="0"/>
    </xf>
    <xf numFmtId="3" fontId="39" fillId="0" borderId="0" xfId="16" applyNumberFormat="1" applyFont="1"/>
    <xf numFmtId="0" fontId="26" fillId="0" borderId="0" xfId="21"/>
    <xf numFmtId="49" fontId="25" fillId="0" borderId="0" xfId="16" applyNumberFormat="1" applyFont="1" applyAlignment="1">
      <alignment horizontal="center"/>
    </xf>
    <xf numFmtId="0" fontId="26" fillId="0" borderId="0" xfId="16" applyFont="1" applyAlignment="1">
      <alignment vertical="top" wrapText="1"/>
    </xf>
    <xf numFmtId="3" fontId="25" fillId="0" borderId="0" xfId="16" quotePrefix="1" applyNumberFormat="1" applyFont="1" applyAlignment="1">
      <alignment horizontal="center"/>
    </xf>
    <xf numFmtId="184" fontId="25" fillId="0" borderId="0" xfId="16" applyNumberFormat="1" applyFont="1" applyAlignment="1">
      <alignment horizontal="center"/>
    </xf>
    <xf numFmtId="184" fontId="25" fillId="0" borderId="0" xfId="16" applyNumberFormat="1" applyFont="1" applyAlignment="1">
      <alignment horizontal="center" wrapText="1"/>
    </xf>
    <xf numFmtId="184" fontId="25" fillId="0" borderId="0" xfId="16" applyNumberFormat="1" applyFont="1"/>
    <xf numFmtId="173" fontId="26" fillId="12" borderId="1" xfId="16" applyNumberFormat="1" applyFont="1" applyFill="1" applyBorder="1" applyProtection="1">
      <protection locked="0"/>
    </xf>
    <xf numFmtId="3" fontId="26" fillId="0" borderId="0" xfId="16" applyNumberFormat="1" applyFont="1" applyAlignment="1" applyProtection="1">
      <alignment vertical="top" wrapText="1"/>
      <protection locked="0"/>
    </xf>
    <xf numFmtId="0" fontId="83" fillId="0" borderId="0" xfId="6" applyFont="1" applyAlignment="1">
      <alignment horizontal="center" vertical="center"/>
    </xf>
    <xf numFmtId="0" fontId="84" fillId="29" borderId="35" xfId="0" applyFont="1" applyFill="1" applyBorder="1" applyAlignment="1">
      <alignment horizontal="center" vertical="center" wrapText="1"/>
    </xf>
    <xf numFmtId="0" fontId="85" fillId="29" borderId="35" xfId="6" applyFont="1" applyFill="1" applyBorder="1" applyAlignment="1">
      <alignment horizontal="center" vertical="center"/>
    </xf>
    <xf numFmtId="0" fontId="2" fillId="29" borderId="35" xfId="0" applyFont="1" applyFill="1" applyBorder="1" applyAlignment="1">
      <alignment horizontal="center" vertical="center" wrapText="1"/>
    </xf>
    <xf numFmtId="0" fontId="2" fillId="29" borderId="35" xfId="0" applyFont="1" applyFill="1" applyBorder="1" applyAlignment="1">
      <alignment horizontal="center" vertical="center"/>
    </xf>
    <xf numFmtId="0" fontId="2" fillId="30" borderId="35" xfId="0" applyFont="1" applyFill="1" applyBorder="1" applyAlignment="1">
      <alignment horizontal="center" vertical="center" wrapText="1"/>
    </xf>
    <xf numFmtId="0" fontId="84" fillId="30" borderId="35" xfId="0" applyFont="1" applyFill="1" applyBorder="1" applyAlignment="1">
      <alignment horizontal="center" vertical="center" wrapText="1"/>
    </xf>
    <xf numFmtId="6" fontId="2" fillId="30" borderId="35" xfId="0" applyNumberFormat="1" applyFont="1" applyFill="1" applyBorder="1" applyAlignment="1">
      <alignment horizontal="center" vertical="center"/>
    </xf>
    <xf numFmtId="6" fontId="2" fillId="29" borderId="35" xfId="0" applyNumberFormat="1" applyFont="1" applyFill="1" applyBorder="1" applyAlignment="1">
      <alignment horizontal="center" vertical="center"/>
    </xf>
    <xf numFmtId="6" fontId="2" fillId="30" borderId="36" xfId="0" applyNumberFormat="1" applyFont="1" applyFill="1" applyBorder="1" applyAlignment="1">
      <alignment horizontal="center" vertical="center" wrapText="1"/>
    </xf>
    <xf numFmtId="0" fontId="85" fillId="30" borderId="33" xfId="6" applyFont="1" applyFill="1" applyBorder="1" applyAlignment="1">
      <alignment horizontal="center" vertical="center"/>
    </xf>
    <xf numFmtId="0" fontId="81" fillId="30" borderId="34" xfId="0" applyFont="1" applyFill="1" applyBorder="1" applyAlignment="1">
      <alignment vertical="center"/>
    </xf>
    <xf numFmtId="0" fontId="86" fillId="30" borderId="34" xfId="0" applyFont="1" applyFill="1" applyBorder="1" applyAlignment="1">
      <alignment vertical="center"/>
    </xf>
    <xf numFmtId="0" fontId="87" fillId="30" borderId="34" xfId="0" applyFont="1" applyFill="1" applyBorder="1" applyAlignment="1">
      <alignment vertical="center"/>
    </xf>
    <xf numFmtId="0" fontId="88" fillId="30" borderId="34" xfId="0" applyFont="1" applyFill="1" applyBorder="1" applyAlignment="1">
      <alignment horizontal="left" vertical="center"/>
    </xf>
    <xf numFmtId="164" fontId="81" fillId="30" borderId="34" xfId="5" applyNumberFormat="1" applyFont="1" applyFill="1" applyBorder="1" applyAlignment="1">
      <alignment horizontal="right" vertical="center"/>
    </xf>
    <xf numFmtId="0" fontId="81" fillId="30" borderId="34" xfId="0" applyFont="1" applyFill="1" applyBorder="1" applyAlignment="1">
      <alignment horizontal="right" vertical="center"/>
    </xf>
    <xf numFmtId="0" fontId="83" fillId="7" borderId="0" xfId="6" applyFont="1" applyFill="1" applyAlignment="1">
      <alignment horizontal="center" vertical="center"/>
    </xf>
    <xf numFmtId="0" fontId="6" fillId="7" borderId="0" xfId="0" applyFont="1" applyFill="1" applyAlignment="1">
      <alignment horizontal="center" vertical="center"/>
    </xf>
    <xf numFmtId="14" fontId="49" fillId="0" borderId="0" xfId="0" applyNumberFormat="1" applyFont="1" applyAlignment="1">
      <alignment horizontal="center" vertical="center"/>
    </xf>
    <xf numFmtId="0" fontId="25" fillId="7" borderId="0" xfId="0" applyFont="1" applyFill="1" applyAlignment="1">
      <alignment vertical="center"/>
    </xf>
    <xf numFmtId="0" fontId="89" fillId="29" borderId="35" xfId="0" applyFont="1" applyFill="1" applyBorder="1" applyAlignment="1">
      <alignment horizontal="center" vertical="center" wrapText="1"/>
    </xf>
    <xf numFmtId="0" fontId="47" fillId="0" borderId="0" xfId="0" applyFont="1" applyAlignment="1">
      <alignment vertical="center"/>
    </xf>
    <xf numFmtId="0" fontId="46" fillId="4" borderId="0" xfId="0" applyFont="1" applyFill="1" applyAlignment="1">
      <alignment horizontal="center" vertical="center" wrapText="1"/>
    </xf>
    <xf numFmtId="0" fontId="47" fillId="0" borderId="0" xfId="0" applyFont="1" applyAlignment="1">
      <alignment horizontal="center" vertical="center"/>
    </xf>
    <xf numFmtId="0" fontId="84" fillId="30" borderId="32" xfId="0" applyFont="1" applyFill="1" applyBorder="1" applyAlignment="1">
      <alignment horizontal="center" vertical="center" wrapText="1"/>
    </xf>
    <xf numFmtId="0" fontId="6" fillId="7" borderId="3" xfId="0" applyFont="1" applyFill="1" applyBorder="1" applyAlignment="1">
      <alignment vertical="center"/>
    </xf>
    <xf numFmtId="0" fontId="3" fillId="7" borderId="3" xfId="0" applyFont="1" applyFill="1" applyBorder="1" applyAlignment="1">
      <alignment vertical="center" wrapText="1"/>
    </xf>
    <xf numFmtId="0" fontId="0" fillId="7" borderId="0" xfId="0" applyFill="1"/>
    <xf numFmtId="0" fontId="2" fillId="30" borderId="34" xfId="0" applyFont="1" applyFill="1" applyBorder="1" applyAlignment="1">
      <alignment horizontal="right" vertical="center"/>
    </xf>
    <xf numFmtId="0" fontId="0" fillId="26" borderId="0" xfId="0" applyFill="1"/>
    <xf numFmtId="0" fontId="91" fillId="29" borderId="35" xfId="0" applyFont="1" applyFill="1" applyBorder="1" applyAlignment="1">
      <alignment horizontal="center" vertical="center" wrapText="1"/>
    </xf>
    <xf numFmtId="0" fontId="81" fillId="30" borderId="37" xfId="0" applyFont="1" applyFill="1" applyBorder="1" applyAlignment="1">
      <alignment horizontal="right" vertical="center"/>
    </xf>
    <xf numFmtId="0" fontId="89" fillId="30" borderId="32" xfId="0" applyFont="1" applyFill="1" applyBorder="1" applyAlignment="1">
      <alignment horizontal="center" vertical="center" wrapText="1"/>
    </xf>
    <xf numFmtId="0" fontId="89" fillId="29" borderId="32" xfId="0" applyFont="1" applyFill="1" applyBorder="1" applyAlignment="1">
      <alignment horizontal="center" vertical="center" wrapText="1"/>
    </xf>
    <xf numFmtId="0" fontId="2" fillId="30" borderId="32" xfId="0" applyFont="1" applyFill="1" applyBorder="1" applyAlignment="1">
      <alignment horizontal="center" vertical="center" wrapText="1"/>
    </xf>
    <xf numFmtId="0" fontId="2" fillId="29" borderId="32" xfId="0" applyFont="1" applyFill="1" applyBorder="1" applyAlignment="1">
      <alignment horizontal="center" vertical="center" wrapText="1"/>
    </xf>
    <xf numFmtId="164" fontId="81" fillId="30" borderId="34" xfId="1" applyNumberFormat="1" applyFont="1" applyFill="1" applyBorder="1" applyAlignment="1">
      <alignment horizontal="right" vertical="center"/>
    </xf>
    <xf numFmtId="166" fontId="92" fillId="20" borderId="0" xfId="4" applyNumberFormat="1" applyFont="1" applyFill="1" applyAlignment="1">
      <alignment horizontal="center" vertical="center"/>
    </xf>
    <xf numFmtId="166" fontId="25" fillId="0" borderId="0" xfId="4" quotePrefix="1" applyNumberFormat="1" applyFont="1" applyAlignment="1">
      <alignment vertical="center"/>
    </xf>
    <xf numFmtId="166" fontId="28" fillId="13" borderId="0" xfId="4" applyNumberFormat="1" applyFont="1" applyFill="1" applyAlignment="1">
      <alignment horizontal="right" vertical="center"/>
    </xf>
    <xf numFmtId="166" fontId="25" fillId="26" borderId="0" xfId="4" applyNumberFormat="1" applyFont="1" applyFill="1" applyAlignment="1">
      <alignment horizontal="right" vertical="center"/>
    </xf>
    <xf numFmtId="166" fontId="26" fillId="0" borderId="0" xfId="4" quotePrefix="1" applyNumberFormat="1" applyAlignment="1">
      <alignment horizontal="center" vertical="center"/>
    </xf>
    <xf numFmtId="166" fontId="26" fillId="10" borderId="0" xfId="4" applyNumberFormat="1" applyFill="1" applyAlignment="1">
      <alignment vertical="center"/>
    </xf>
    <xf numFmtId="166" fontId="25" fillId="0" borderId="0" xfId="4" applyNumberFormat="1" applyFont="1" applyAlignment="1">
      <alignment vertical="center" wrapText="1"/>
    </xf>
    <xf numFmtId="166" fontId="27" fillId="0" borderId="0" xfId="4" applyNumberFormat="1" applyFont="1" applyAlignment="1">
      <alignment vertical="center" wrapText="1"/>
    </xf>
    <xf numFmtId="166" fontId="26" fillId="0" borderId="0" xfId="4" quotePrefix="1" applyNumberFormat="1" applyAlignment="1">
      <alignment horizontal="center" vertical="center" wrapText="1"/>
    </xf>
    <xf numFmtId="167" fontId="26" fillId="0" borderId="0" xfId="5" applyNumberFormat="1" applyAlignment="1">
      <alignment vertical="center" wrapText="1"/>
    </xf>
    <xf numFmtId="166" fontId="26" fillId="6" borderId="0" xfId="4" applyNumberFormat="1" applyFill="1" applyAlignment="1">
      <alignment vertical="center"/>
    </xf>
    <xf numFmtId="166" fontId="26" fillId="0" borderId="0" xfId="4" applyNumberFormat="1" applyAlignment="1">
      <alignment horizontal="left" vertical="center" wrapText="1"/>
    </xf>
    <xf numFmtId="166" fontId="25" fillId="0" borderId="7" xfId="4" applyNumberFormat="1" applyFont="1" applyBorder="1" applyAlignment="1">
      <alignment vertical="center"/>
    </xf>
    <xf numFmtId="166" fontId="26" fillId="10" borderId="4" xfId="4" applyNumberFormat="1" applyFill="1" applyBorder="1" applyAlignment="1">
      <alignment vertical="center"/>
    </xf>
    <xf numFmtId="166" fontId="31" fillId="0" borderId="0" xfId="4" applyNumberFormat="1" applyFont="1" applyAlignment="1">
      <alignment horizontal="right" vertical="center"/>
    </xf>
    <xf numFmtId="166" fontId="25" fillId="9" borderId="0" xfId="4" applyNumberFormat="1" applyFont="1" applyFill="1" applyAlignment="1">
      <alignment horizontal="center" vertical="center" wrapText="1"/>
    </xf>
    <xf numFmtId="166" fontId="27" fillId="0" borderId="0" xfId="4" applyNumberFormat="1" applyFont="1" applyAlignment="1">
      <alignment vertical="center"/>
    </xf>
    <xf numFmtId="0" fontId="25" fillId="0" borderId="0" xfId="4" quotePrefix="1" applyFont="1" applyAlignment="1">
      <alignment horizontal="center" vertical="center"/>
    </xf>
    <xf numFmtId="166" fontId="25" fillId="0" borderId="0" xfId="4" applyNumberFormat="1" applyFont="1" applyAlignment="1">
      <alignment horizontal="left" vertical="center" wrapText="1"/>
    </xf>
    <xf numFmtId="166" fontId="29" fillId="0" borderId="0" xfId="5" applyNumberFormat="1" applyFont="1" applyAlignment="1">
      <alignment horizontal="center" vertical="center"/>
    </xf>
    <xf numFmtId="166" fontId="26" fillId="18" borderId="0" xfId="4" applyNumberFormat="1" applyFill="1" applyAlignment="1">
      <alignment vertical="center"/>
    </xf>
    <xf numFmtId="43" fontId="26" fillId="0" borderId="0" xfId="5" applyAlignment="1">
      <alignment vertical="center"/>
    </xf>
    <xf numFmtId="166" fontId="25" fillId="0" borderId="8" xfId="4" applyNumberFormat="1" applyFont="1" applyBorder="1" applyAlignment="1">
      <alignment vertical="center"/>
    </xf>
    <xf numFmtId="167" fontId="26" fillId="18" borderId="0" xfId="1" applyNumberFormat="1" applyFont="1" applyFill="1" applyAlignment="1">
      <alignment vertical="center"/>
    </xf>
    <xf numFmtId="166" fontId="26" fillId="10" borderId="0" xfId="5" applyNumberFormat="1" applyFill="1" applyAlignment="1">
      <alignment horizontal="right" shrinkToFit="1"/>
    </xf>
    <xf numFmtId="166" fontId="26" fillId="0" borderId="0" xfId="5" applyNumberFormat="1" applyAlignment="1">
      <alignment vertical="center" shrinkToFit="1"/>
    </xf>
    <xf numFmtId="166" fontId="28" fillId="13" borderId="0" xfId="4" quotePrefix="1" applyNumberFormat="1" applyFont="1" applyFill="1" applyAlignment="1">
      <alignment horizontal="right" vertical="center"/>
    </xf>
    <xf numFmtId="166" fontId="26" fillId="10" borderId="0" xfId="5" applyNumberFormat="1" applyFill="1" applyAlignment="1">
      <alignment horizontal="right" vertical="center" shrinkToFit="1"/>
    </xf>
    <xf numFmtId="166" fontId="26" fillId="0" borderId="5" xfId="4" applyNumberFormat="1" applyBorder="1" applyAlignment="1">
      <alignment vertical="center"/>
    </xf>
    <xf numFmtId="168" fontId="26" fillId="0" borderId="0" xfId="4" applyNumberFormat="1" applyAlignment="1">
      <alignment vertical="center"/>
    </xf>
    <xf numFmtId="166" fontId="26" fillId="0" borderId="6" xfId="4" applyNumberFormat="1" applyBorder="1" applyAlignment="1">
      <alignment vertical="center"/>
    </xf>
    <xf numFmtId="166" fontId="26" fillId="0" borderId="9" xfId="4" applyNumberFormat="1" applyBorder="1" applyAlignment="1">
      <alignment vertical="center"/>
    </xf>
    <xf numFmtId="166" fontId="25" fillId="0" borderId="8" xfId="4" applyNumberFormat="1" applyFont="1" applyBorder="1" applyAlignment="1">
      <alignment horizontal="right" vertical="center"/>
    </xf>
    <xf numFmtId="166" fontId="26" fillId="0" borderId="2" xfId="4" applyNumberFormat="1" applyBorder="1" applyAlignment="1">
      <alignment vertical="center"/>
    </xf>
    <xf numFmtId="166" fontId="26" fillId="0" borderId="2" xfId="4" applyNumberFormat="1" applyBorder="1" applyAlignment="1">
      <alignment vertical="center" wrapText="1"/>
    </xf>
    <xf numFmtId="166" fontId="31" fillId="0" borderId="12" xfId="4" applyNumberFormat="1" applyFont="1" applyBorder="1" applyAlignment="1">
      <alignment vertical="center"/>
    </xf>
    <xf numFmtId="166" fontId="93" fillId="0" borderId="0" xfId="4" applyNumberFormat="1" applyFont="1"/>
    <xf numFmtId="166" fontId="93" fillId="0" borderId="0" xfId="4" applyNumberFormat="1" applyFont="1" applyAlignment="1">
      <alignment horizontal="center" vertical="center" wrapText="1"/>
    </xf>
    <xf numFmtId="0" fontId="66" fillId="0" borderId="0" xfId="0" applyFont="1"/>
    <xf numFmtId="166" fontId="25" fillId="0" borderId="0" xfId="5" applyNumberFormat="1" applyFont="1" applyAlignment="1">
      <alignment vertical="center" shrinkToFit="1"/>
    </xf>
    <xf numFmtId="173" fontId="26" fillId="0" borderId="0" xfId="4" applyNumberFormat="1" applyAlignment="1">
      <alignment horizontal="center" vertical="center"/>
    </xf>
    <xf numFmtId="174" fontId="25" fillId="0" borderId="0" xfId="4" applyNumberFormat="1" applyFont="1" applyAlignment="1">
      <alignment horizontal="right"/>
    </xf>
    <xf numFmtId="166" fontId="28" fillId="13" borderId="0" xfId="4" applyNumberFormat="1" applyFont="1" applyFill="1" applyAlignment="1">
      <alignment horizontal="right" vertical="center" wrapText="1"/>
    </xf>
    <xf numFmtId="168" fontId="26" fillId="0" borderId="0" xfId="5" applyNumberFormat="1" applyAlignment="1">
      <alignment horizontal="right" vertical="center" shrinkToFit="1"/>
    </xf>
    <xf numFmtId="166" fontId="25" fillId="0" borderId="6" xfId="4" applyNumberFormat="1" applyFont="1" applyBorder="1" applyAlignment="1">
      <alignment vertical="center"/>
    </xf>
    <xf numFmtId="166" fontId="26" fillId="10" borderId="0" xfId="4" applyNumberFormat="1" applyFill="1" applyAlignment="1">
      <alignment horizontal="right" vertical="center"/>
    </xf>
    <xf numFmtId="166" fontId="26" fillId="10" borderId="0" xfId="5" applyNumberFormat="1" applyFill="1"/>
    <xf numFmtId="166" fontId="26" fillId="10" borderId="0" xfId="5" applyNumberFormat="1" applyFill="1" applyAlignment="1">
      <alignment vertical="center" shrinkToFit="1"/>
    </xf>
    <xf numFmtId="166" fontId="25" fillId="0" borderId="8" xfId="5" applyNumberFormat="1" applyFont="1" applyBorder="1"/>
    <xf numFmtId="0" fontId="3" fillId="21" borderId="0" xfId="0" applyFont="1" applyFill="1" applyAlignment="1">
      <alignment vertical="center"/>
    </xf>
    <xf numFmtId="166" fontId="4" fillId="0" borderId="0" xfId="4" applyNumberFormat="1" applyFont="1" applyAlignment="1">
      <alignment vertical="center"/>
    </xf>
    <xf numFmtId="166" fontId="4" fillId="0" borderId="0" xfId="4" applyNumberFormat="1" applyFont="1" applyAlignment="1">
      <alignment horizontal="left" vertical="center"/>
    </xf>
    <xf numFmtId="167" fontId="0" fillId="2" borderId="0" xfId="1" applyNumberFormat="1" applyFont="1" applyFill="1"/>
    <xf numFmtId="166" fontId="25" fillId="21" borderId="0" xfId="4" applyNumberFormat="1" applyFont="1" applyFill="1" applyAlignment="1">
      <alignment horizontal="right" vertical="top" wrapText="1"/>
    </xf>
    <xf numFmtId="166" fontId="25" fillId="21" borderId="0" xfId="4" applyNumberFormat="1" applyFont="1" applyFill="1" applyAlignment="1">
      <alignment horizontal="center" vertical="top" wrapText="1"/>
    </xf>
    <xf numFmtId="170" fontId="26" fillId="21" borderId="0" xfId="4" applyNumberFormat="1" applyFill="1" applyProtection="1">
      <protection locked="0"/>
    </xf>
    <xf numFmtId="170" fontId="26" fillId="10" borderId="0" xfId="4" applyNumberFormat="1" applyFill="1" applyProtection="1">
      <protection locked="0"/>
    </xf>
    <xf numFmtId="166" fontId="25" fillId="21" borderId="0" xfId="4" applyNumberFormat="1" applyFont="1" applyFill="1" applyAlignment="1">
      <alignment horizontal="center" vertical="center" wrapText="1"/>
    </xf>
    <xf numFmtId="0" fontId="23" fillId="0" borderId="0" xfId="0" applyFont="1"/>
    <xf numFmtId="0" fontId="95" fillId="0" borderId="0" xfId="0" applyFont="1"/>
    <xf numFmtId="166" fontId="26" fillId="6" borderId="0" xfId="4" quotePrefix="1" applyNumberFormat="1" applyFill="1" applyAlignment="1">
      <alignment horizontal="left" vertical="center"/>
    </xf>
    <xf numFmtId="0" fontId="79" fillId="0" borderId="0" xfId="20" applyFont="1" applyAlignment="1">
      <alignment horizontal="center" vertical="center" wrapText="1"/>
    </xf>
    <xf numFmtId="166" fontId="31" fillId="0" borderId="0" xfId="4" applyNumberFormat="1" applyFont="1" applyAlignment="1">
      <alignment wrapText="1"/>
    </xf>
    <xf numFmtId="166" fontId="31" fillId="0" borderId="0" xfId="4" applyNumberFormat="1" applyFont="1" applyAlignment="1">
      <alignment horizontal="center" wrapText="1"/>
    </xf>
    <xf numFmtId="166" fontId="27" fillId="0" borderId="0" xfId="4" applyNumberFormat="1" applyFont="1" applyAlignment="1">
      <alignment horizontal="center"/>
    </xf>
    <xf numFmtId="0" fontId="81" fillId="31" borderId="0" xfId="0" applyFont="1" applyFill="1" applyAlignment="1">
      <alignment vertical="center" wrapText="1"/>
    </xf>
    <xf numFmtId="0" fontId="58" fillId="0" borderId="1" xfId="16" applyBorder="1" applyAlignment="1">
      <alignment vertical="center"/>
    </xf>
    <xf numFmtId="0" fontId="27" fillId="0" borderId="0" xfId="16" applyFont="1"/>
    <xf numFmtId="0" fontId="2" fillId="29" borderId="36" xfId="0" applyFont="1" applyFill="1" applyBorder="1" applyAlignment="1">
      <alignment horizontal="center" vertical="center"/>
    </xf>
    <xf numFmtId="167" fontId="0" fillId="9" borderId="1" xfId="1" applyNumberFormat="1" applyFont="1" applyFill="1" applyBorder="1" applyAlignment="1">
      <alignment horizontal="right" vertical="center"/>
    </xf>
    <xf numFmtId="166" fontId="26" fillId="19" borderId="0" xfId="4" applyNumberFormat="1" applyFill="1" applyAlignment="1">
      <alignment vertical="center"/>
    </xf>
    <xf numFmtId="166" fontId="26" fillId="18" borderId="4" xfId="4" applyNumberFormat="1" applyFill="1" applyBorder="1" applyAlignment="1">
      <alignment vertical="center"/>
    </xf>
    <xf numFmtId="166" fontId="25" fillId="18" borderId="0" xfId="4" applyNumberFormat="1" applyFont="1" applyFill="1" applyAlignment="1">
      <alignment vertical="center"/>
    </xf>
    <xf numFmtId="166" fontId="25" fillId="18" borderId="7" xfId="4" applyNumberFormat="1" applyFont="1" applyFill="1" applyBorder="1" applyAlignment="1">
      <alignment vertical="center"/>
    </xf>
    <xf numFmtId="166" fontId="25" fillId="18" borderId="4" xfId="4" applyNumberFormat="1" applyFont="1" applyFill="1" applyBorder="1" applyAlignment="1">
      <alignment vertical="center"/>
    </xf>
    <xf numFmtId="0" fontId="0" fillId="17" borderId="0" xfId="0" applyFill="1" applyAlignment="1">
      <alignment vertical="center"/>
    </xf>
    <xf numFmtId="166" fontId="26" fillId="26" borderId="0" xfId="4" applyNumberFormat="1" applyFill="1" applyAlignment="1">
      <alignment horizontal="right" vertical="center"/>
    </xf>
    <xf numFmtId="166" fontId="26" fillId="26" borderId="0" xfId="4" applyNumberFormat="1" applyFill="1" applyAlignment="1">
      <alignment vertical="center"/>
    </xf>
    <xf numFmtId="166" fontId="26" fillId="0" borderId="0" xfId="4" quotePrefix="1" applyNumberFormat="1" applyAlignment="1">
      <alignment horizontal="left" vertical="center"/>
    </xf>
    <xf numFmtId="166" fontId="56" fillId="0" borderId="0" xfId="4" applyNumberFormat="1" applyFont="1" applyAlignment="1">
      <alignment vertical="center"/>
    </xf>
    <xf numFmtId="166" fontId="26" fillId="10" borderId="0" xfId="4" applyNumberFormat="1" applyFill="1" applyAlignment="1">
      <alignment horizontal="center"/>
    </xf>
    <xf numFmtId="0" fontId="79" fillId="0" borderId="0" xfId="20" applyFont="1" applyAlignment="1">
      <alignment vertical="center" wrapText="1"/>
    </xf>
    <xf numFmtId="166" fontId="34" fillId="18" borderId="0" xfId="4" applyNumberFormat="1" applyFont="1" applyFill="1" applyAlignment="1">
      <alignment horizontal="center"/>
    </xf>
    <xf numFmtId="166" fontId="31" fillId="0" borderId="0" xfId="9" applyNumberFormat="1" applyFont="1" applyAlignment="1">
      <alignment vertical="center"/>
    </xf>
    <xf numFmtId="166" fontId="25" fillId="0" borderId="7" xfId="4" applyNumberFormat="1" applyFont="1" applyBorder="1" applyAlignment="1">
      <alignment horizontal="center" vertical="center"/>
    </xf>
    <xf numFmtId="166" fontId="25" fillId="18" borderId="7" xfId="4" applyNumberFormat="1" applyFont="1" applyFill="1" applyBorder="1" applyAlignment="1">
      <alignment horizontal="center" vertical="center"/>
    </xf>
    <xf numFmtId="166" fontId="26" fillId="6" borderId="0" xfId="4" applyNumberFormat="1" applyFill="1" applyAlignment="1">
      <alignment horizontal="center"/>
    </xf>
    <xf numFmtId="166" fontId="26" fillId="0" borderId="11" xfId="4" applyNumberFormat="1" applyBorder="1" applyAlignment="1">
      <alignment horizontal="left" vertical="center"/>
    </xf>
    <xf numFmtId="166" fontId="26" fillId="0" borderId="13" xfId="4" applyNumberFormat="1" applyBorder="1" applyAlignment="1">
      <alignment horizontal="left" vertical="center"/>
    </xf>
    <xf numFmtId="166" fontId="26" fillId="18" borderId="9" xfId="4" applyNumberFormat="1" applyFill="1" applyBorder="1" applyAlignment="1">
      <alignment horizontal="center" vertical="center"/>
    </xf>
    <xf numFmtId="166" fontId="31" fillId="18" borderId="12" xfId="4" applyNumberFormat="1" applyFont="1" applyFill="1" applyBorder="1" applyAlignment="1">
      <alignment horizontal="left" vertical="center"/>
    </xf>
    <xf numFmtId="166" fontId="92" fillId="0" borderId="0" xfId="4" applyNumberFormat="1" applyFont="1"/>
    <xf numFmtId="166" fontId="98" fillId="0" borderId="0" xfId="4" applyNumberFormat="1" applyFont="1"/>
    <xf numFmtId="185" fontId="0" fillId="0" borderId="0" xfId="1" applyNumberFormat="1" applyFont="1" applyAlignment="1">
      <alignment vertical="center"/>
    </xf>
    <xf numFmtId="166" fontId="3" fillId="0" borderId="0" xfId="0" applyNumberFormat="1" applyFont="1" applyAlignment="1">
      <alignment vertical="center"/>
    </xf>
    <xf numFmtId="166" fontId="3" fillId="17" borderId="0" xfId="0" applyNumberFormat="1" applyFont="1" applyFill="1" applyAlignment="1">
      <alignment vertical="center"/>
    </xf>
    <xf numFmtId="167" fontId="3" fillId="17" borderId="0" xfId="1" applyNumberFormat="1" applyFont="1" applyFill="1" applyAlignment="1">
      <alignment vertical="center"/>
    </xf>
    <xf numFmtId="0" fontId="3" fillId="0" borderId="0" xfId="0" applyFont="1" applyAlignment="1">
      <alignment horizontal="left" vertical="center"/>
    </xf>
    <xf numFmtId="186" fontId="0" fillId="0" borderId="0" xfId="1" applyNumberFormat="1" applyFont="1" applyAlignment="1">
      <alignment vertical="center"/>
    </xf>
    <xf numFmtId="186" fontId="0" fillId="18" borderId="0" xfId="1" applyNumberFormat="1" applyFont="1" applyFill="1" applyAlignment="1">
      <alignment vertical="center"/>
    </xf>
    <xf numFmtId="186" fontId="0" fillId="0" borderId="0" xfId="0" applyNumberFormat="1" applyAlignment="1">
      <alignment vertical="center"/>
    </xf>
    <xf numFmtId="186" fontId="0" fillId="0" borderId="0" xfId="0" applyNumberFormat="1"/>
    <xf numFmtId="186" fontId="0" fillId="19" borderId="0" xfId="1" applyNumberFormat="1" applyFont="1" applyFill="1" applyAlignment="1">
      <alignment vertical="center"/>
    </xf>
    <xf numFmtId="186" fontId="0" fillId="26" borderId="0" xfId="1" applyNumberFormat="1" applyFont="1" applyFill="1" applyAlignment="1">
      <alignment vertical="center"/>
    </xf>
    <xf numFmtId="186" fontId="81" fillId="31" borderId="0" xfId="1" applyNumberFormat="1" applyFont="1" applyFill="1" applyAlignment="1">
      <alignment vertical="center"/>
    </xf>
    <xf numFmtId="185" fontId="3" fillId="0" borderId="1" xfId="1" applyNumberFormat="1" applyFont="1" applyBorder="1" applyAlignment="1">
      <alignment vertical="center"/>
    </xf>
    <xf numFmtId="167" fontId="0" fillId="18" borderId="1" xfId="0" applyNumberFormat="1" applyFill="1" applyBorder="1" applyAlignment="1">
      <alignment vertical="center"/>
    </xf>
    <xf numFmtId="186" fontId="1" fillId="0" borderId="0" xfId="1" applyNumberFormat="1" applyAlignment="1">
      <alignment vertical="center"/>
    </xf>
    <xf numFmtId="0" fontId="8" fillId="0" borderId="0" xfId="0" applyFont="1" applyAlignment="1">
      <alignment horizontal="left" vertical="center"/>
    </xf>
    <xf numFmtId="186" fontId="0" fillId="16" borderId="0" xfId="1" applyNumberFormat="1" applyFont="1" applyFill="1" applyAlignment="1">
      <alignment vertical="center"/>
    </xf>
    <xf numFmtId="166" fontId="26" fillId="10" borderId="0" xfId="4" quotePrefix="1" applyNumberFormat="1" applyFill="1"/>
    <xf numFmtId="166" fontId="26" fillId="10" borderId="4" xfId="4" applyNumberFormat="1" applyFill="1" applyBorder="1"/>
    <xf numFmtId="166" fontId="33" fillId="0" borderId="0" xfId="4" applyNumberFormat="1" applyFont="1"/>
    <xf numFmtId="166" fontId="28" fillId="13" borderId="0" xfId="4" applyNumberFormat="1" applyFont="1" applyFill="1" applyAlignment="1">
      <alignment horizontal="center" vertical="center"/>
    </xf>
    <xf numFmtId="173" fontId="26" fillId="0" borderId="0" xfId="4" applyNumberFormat="1" applyAlignment="1" applyProtection="1">
      <alignment horizontal="right" vertical="center"/>
      <protection locked="0"/>
    </xf>
    <xf numFmtId="173" fontId="26" fillId="0" borderId="7" xfId="4" applyNumberFormat="1" applyBorder="1" applyAlignment="1" applyProtection="1">
      <alignment horizontal="right" vertical="center"/>
      <protection locked="0"/>
    </xf>
    <xf numFmtId="166" fontId="26" fillId="0" borderId="7" xfId="4" applyNumberFormat="1" applyBorder="1" applyAlignment="1">
      <alignment vertical="center"/>
    </xf>
    <xf numFmtId="166" fontId="26" fillId="0" borderId="8" xfId="4" applyNumberFormat="1" applyBorder="1" applyAlignment="1">
      <alignment vertical="center"/>
    </xf>
    <xf numFmtId="166" fontId="28" fillId="0" borderId="0" xfId="4" applyNumberFormat="1" applyFont="1" applyAlignment="1">
      <alignment horizontal="center" vertical="center"/>
    </xf>
    <xf numFmtId="0" fontId="26" fillId="0" borderId="0" xfId="4" applyAlignment="1">
      <alignment vertical="center"/>
    </xf>
    <xf numFmtId="166" fontId="25" fillId="0" borderId="23" xfId="4" applyNumberFormat="1" applyFont="1" applyBorder="1"/>
    <xf numFmtId="166" fontId="25" fillId="0" borderId="3" xfId="4" applyNumberFormat="1" applyFont="1" applyBorder="1"/>
    <xf numFmtId="166" fontId="25" fillId="0" borderId="24" xfId="4" applyNumberFormat="1" applyFont="1" applyBorder="1"/>
    <xf numFmtId="0" fontId="33" fillId="20" borderId="0" xfId="16" applyFont="1" applyFill="1" applyAlignment="1">
      <alignment horizontal="left"/>
    </xf>
    <xf numFmtId="186" fontId="3" fillId="0" borderId="8" xfId="0" applyNumberFormat="1" applyFont="1" applyBorder="1" applyAlignment="1">
      <alignment vertical="center"/>
    </xf>
    <xf numFmtId="186" fontId="3" fillId="18" borderId="4" xfId="0" applyNumberFormat="1" applyFont="1" applyFill="1" applyBorder="1" applyAlignment="1">
      <alignment vertical="center"/>
    </xf>
    <xf numFmtId="164" fontId="3" fillId="17" borderId="0" xfId="1" applyNumberFormat="1" applyFont="1" applyFill="1" applyAlignment="1">
      <alignment horizontal="right" vertical="center"/>
    </xf>
    <xf numFmtId="173" fontId="26" fillId="4" borderId="7" xfId="16" applyNumberFormat="1" applyFont="1" applyFill="1" applyBorder="1" applyAlignment="1" applyProtection="1">
      <alignment horizontal="right"/>
      <protection locked="0"/>
    </xf>
    <xf numFmtId="173" fontId="26" fillId="4" borderId="0" xfId="16" applyNumberFormat="1" applyFont="1" applyFill="1" applyAlignment="1" applyProtection="1">
      <alignment horizontal="left" vertical="top"/>
      <protection locked="0"/>
    </xf>
    <xf numFmtId="173" fontId="26" fillId="4" borderId="0" xfId="16" applyNumberFormat="1" applyFont="1" applyFill="1" applyAlignment="1" applyProtection="1">
      <alignment horizontal="left" vertical="top" wrapText="1"/>
      <protection locked="0"/>
    </xf>
    <xf numFmtId="0" fontId="8" fillId="0" borderId="0" xfId="0" applyFont="1" applyAlignment="1">
      <alignment horizontal="center" vertical="center"/>
    </xf>
    <xf numFmtId="0" fontId="94" fillId="0" borderId="0" xfId="0" applyFont="1" applyAlignment="1">
      <alignment horizontal="left" vertical="center" wrapText="1"/>
    </xf>
    <xf numFmtId="186" fontId="3" fillId="0" borderId="0" xfId="1" applyNumberFormat="1" applyFont="1" applyAlignment="1">
      <alignment vertical="center"/>
    </xf>
    <xf numFmtId="186" fontId="0" fillId="10" borderId="0" xfId="1" applyNumberFormat="1" applyFont="1" applyFill="1" applyAlignment="1">
      <alignment vertical="center"/>
    </xf>
    <xf numFmtId="186" fontId="3" fillId="0" borderId="0" xfId="0" quotePrefix="1" applyNumberFormat="1" applyFont="1" applyAlignment="1">
      <alignment horizontal="center" vertical="center"/>
    </xf>
    <xf numFmtId="186" fontId="3" fillId="0" borderId="8" xfId="1" applyNumberFormat="1" applyFont="1" applyBorder="1" applyAlignment="1">
      <alignment vertical="center"/>
    </xf>
    <xf numFmtId="0" fontId="3" fillId="0" borderId="0" xfId="0" applyFont="1" applyAlignment="1">
      <alignment horizontal="right" vertical="center"/>
    </xf>
    <xf numFmtId="0" fontId="46" fillId="0" borderId="0" xfId="0" applyFont="1" applyAlignment="1">
      <alignment horizontal="right" vertical="center"/>
    </xf>
    <xf numFmtId="164" fontId="0" fillId="0" borderId="0" xfId="11" applyNumberFormat="1" applyFont="1" applyAlignment="1">
      <alignment horizontal="left" vertical="center"/>
    </xf>
    <xf numFmtId="166" fontId="99" fillId="0" borderId="0" xfId="4" applyNumberFormat="1" applyFont="1" applyAlignment="1">
      <alignment vertical="center"/>
    </xf>
    <xf numFmtId="0" fontId="23" fillId="0" borderId="0" xfId="0" applyFont="1" applyAlignment="1">
      <alignment vertical="center"/>
    </xf>
    <xf numFmtId="0" fontId="100" fillId="0" borderId="0" xfId="0" applyFont="1" applyAlignment="1">
      <alignment vertical="center"/>
    </xf>
    <xf numFmtId="0" fontId="101" fillId="0" borderId="0" xfId="0" applyFont="1"/>
    <xf numFmtId="0" fontId="102" fillId="0" borderId="0" xfId="0" applyFont="1"/>
    <xf numFmtId="14" fontId="0" fillId="10" borderId="0" xfId="0" applyNumberFormat="1" applyFill="1"/>
    <xf numFmtId="0" fontId="26" fillId="10" borderId="0" xfId="0" quotePrefix="1" applyFont="1" applyFill="1" applyAlignment="1">
      <alignment horizontal="left"/>
    </xf>
    <xf numFmtId="14" fontId="4" fillId="10" borderId="0" xfId="0" applyNumberFormat="1" applyFont="1" applyFill="1"/>
    <xf numFmtId="9" fontId="26" fillId="10" borderId="0" xfId="2" quotePrefix="1" applyFont="1" applyFill="1" applyAlignment="1">
      <alignment horizontal="left"/>
    </xf>
    <xf numFmtId="0" fontId="0" fillId="10" borderId="8" xfId="0" applyFill="1" applyBorder="1" applyAlignment="1">
      <alignment horizontal="center" vertical="center"/>
    </xf>
    <xf numFmtId="0" fontId="0" fillId="10" borderId="0" xfId="0" applyFill="1" applyAlignment="1">
      <alignment horizontal="center" vertical="center"/>
    </xf>
    <xf numFmtId="0" fontId="0" fillId="10" borderId="7" xfId="0" applyFill="1" applyBorder="1" applyAlignment="1">
      <alignment horizontal="center" vertical="center"/>
    </xf>
    <xf numFmtId="0" fontId="0" fillId="10" borderId="11" xfId="0" applyFill="1" applyBorder="1" applyAlignment="1">
      <alignment horizontal="center" vertical="center"/>
    </xf>
    <xf numFmtId="0" fontId="0" fillId="10" borderId="14" xfId="0" applyFill="1" applyBorder="1" applyAlignment="1">
      <alignment horizontal="center" vertical="center"/>
    </xf>
    <xf numFmtId="0" fontId="17" fillId="0" borderId="0" xfId="0" quotePrefix="1" applyFont="1" applyAlignment="1">
      <alignment horizontal="center" vertical="center"/>
    </xf>
    <xf numFmtId="0" fontId="100" fillId="17" borderId="0" xfId="0" applyFont="1" applyFill="1" applyAlignment="1">
      <alignment vertical="center"/>
    </xf>
    <xf numFmtId="0" fontId="103" fillId="17" borderId="0" xfId="0" applyFont="1" applyFill="1" applyAlignment="1">
      <alignment horizontal="center" vertical="center" wrapText="1"/>
    </xf>
    <xf numFmtId="0" fontId="103" fillId="17" borderId="0" xfId="0" applyFont="1" applyFill="1" applyAlignment="1">
      <alignment horizontal="left" vertical="center" wrapText="1"/>
    </xf>
    <xf numFmtId="0" fontId="104" fillId="0" borderId="0" xfId="0" applyFont="1" applyAlignment="1">
      <alignment vertical="center" wrapText="1"/>
    </xf>
    <xf numFmtId="0" fontId="6" fillId="0" borderId="0" xfId="0" applyFont="1" applyAlignment="1">
      <alignment vertical="center" wrapText="1"/>
    </xf>
    <xf numFmtId="0" fontId="17" fillId="0" borderId="0" xfId="0" applyFont="1" applyAlignment="1">
      <alignment horizontal="center" vertical="center"/>
    </xf>
    <xf numFmtId="0" fontId="48" fillId="0" borderId="0" xfId="0" applyFont="1" applyAlignment="1">
      <alignment horizontal="center" vertical="center"/>
    </xf>
    <xf numFmtId="0" fontId="105" fillId="0" borderId="0" xfId="0" applyFont="1" applyAlignment="1">
      <alignment vertical="center" wrapText="1"/>
    </xf>
    <xf numFmtId="0" fontId="82" fillId="0" borderId="0" xfId="0" quotePrefix="1" applyFont="1" applyAlignment="1">
      <alignment horizontal="center" vertical="center"/>
    </xf>
    <xf numFmtId="2" fontId="3" fillId="0" borderId="0" xfId="0" applyNumberFormat="1" applyFont="1" applyAlignment="1">
      <alignment horizontal="center" vertical="center"/>
    </xf>
    <xf numFmtId="2" fontId="3" fillId="7" borderId="0" xfId="0" applyNumberFormat="1" applyFont="1" applyFill="1" applyAlignment="1">
      <alignment horizontal="center" vertical="center"/>
    </xf>
    <xf numFmtId="2" fontId="17" fillId="0" borderId="0" xfId="0" quotePrefix="1"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vertical="center"/>
    </xf>
    <xf numFmtId="0" fontId="7" fillId="0" borderId="0" xfId="0" applyFont="1"/>
    <xf numFmtId="166" fontId="25" fillId="6" borderId="0" xfId="4" applyNumberFormat="1" applyFont="1" applyFill="1" applyAlignment="1">
      <alignment horizontal="center" vertical="center"/>
    </xf>
    <xf numFmtId="0" fontId="0" fillId="26" borderId="0" xfId="0" applyFill="1" applyAlignment="1">
      <alignment vertical="center"/>
    </xf>
    <xf numFmtId="0" fontId="7" fillId="26" borderId="0" xfId="0" applyFont="1" applyFill="1" applyAlignment="1">
      <alignment vertical="center"/>
    </xf>
    <xf numFmtId="0" fontId="0" fillId="26" borderId="0" xfId="0" applyFill="1" applyAlignment="1">
      <alignment horizontal="center" vertical="center"/>
    </xf>
    <xf numFmtId="185" fontId="0" fillId="6" borderId="0" xfId="1" applyNumberFormat="1" applyFont="1" applyFill="1" applyAlignment="1">
      <alignment vertical="center"/>
    </xf>
    <xf numFmtId="0" fontId="3" fillId="26" borderId="0" xfId="0" applyFont="1" applyFill="1" applyAlignment="1">
      <alignment horizontal="center" vertical="center"/>
    </xf>
    <xf numFmtId="166" fontId="75" fillId="26" borderId="0" xfId="4" applyNumberFormat="1" applyFont="1" applyFill="1" applyAlignment="1">
      <alignment horizontal="center" vertical="center" wrapText="1"/>
    </xf>
    <xf numFmtId="0" fontId="3" fillId="26" borderId="16" xfId="0" applyFont="1" applyFill="1" applyBorder="1" applyAlignment="1">
      <alignment horizontal="center" vertical="center"/>
    </xf>
    <xf numFmtId="0" fontId="0" fillId="26" borderId="4" xfId="0" applyFill="1" applyBorder="1" applyAlignment="1">
      <alignment vertical="center"/>
    </xf>
    <xf numFmtId="0" fontId="0" fillId="26" borderId="15" xfId="0" applyFill="1" applyBorder="1"/>
    <xf numFmtId="186" fontId="7" fillId="0" borderId="0" xfId="0" applyNumberFormat="1" applyFont="1" applyAlignment="1">
      <alignment vertical="center"/>
    </xf>
    <xf numFmtId="186" fontId="85" fillId="31" borderId="0" xfId="1" applyNumberFormat="1" applyFont="1" applyFill="1" applyAlignment="1">
      <alignment vertical="center"/>
    </xf>
    <xf numFmtId="186" fontId="7" fillId="32" borderId="0" xfId="0" applyNumberFormat="1" applyFont="1" applyFill="1" applyAlignment="1">
      <alignment horizontal="right" vertical="center"/>
    </xf>
    <xf numFmtId="186" fontId="7" fillId="32" borderId="0" xfId="0" applyNumberFormat="1" applyFont="1" applyFill="1" applyAlignment="1">
      <alignment vertical="center"/>
    </xf>
    <xf numFmtId="186" fontId="7" fillId="0" borderId="0" xfId="0" applyNumberFormat="1" applyFont="1" applyAlignment="1">
      <alignment horizontal="right" vertical="center"/>
    </xf>
    <xf numFmtId="186" fontId="7" fillId="0" borderId="0" xfId="0" applyNumberFormat="1" applyFont="1"/>
    <xf numFmtId="0" fontId="104" fillId="7" borderId="0" xfId="0" applyFont="1" applyFill="1" applyAlignment="1">
      <alignment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103" fillId="17" borderId="0" xfId="0" applyFont="1" applyFill="1" applyAlignment="1">
      <alignment horizontal="left" vertical="center"/>
    </xf>
    <xf numFmtId="0" fontId="45" fillId="4" borderId="0" xfId="0" applyFont="1" applyFill="1" applyAlignment="1">
      <alignment horizontal="left" vertical="center" wrapText="1"/>
    </xf>
    <xf numFmtId="0" fontId="107" fillId="9" borderId="0" xfId="0" applyFont="1" applyFill="1" applyAlignment="1">
      <alignment horizontal="center" vertical="center" wrapText="1"/>
    </xf>
    <xf numFmtId="0" fontId="106" fillId="9" borderId="0" xfId="0" applyFont="1" applyFill="1" applyAlignment="1">
      <alignment horizontal="center" vertical="center" wrapText="1"/>
    </xf>
    <xf numFmtId="0" fontId="108" fillId="0" borderId="0" xfId="0" applyFont="1" applyAlignment="1">
      <alignment horizontal="center" vertical="center"/>
    </xf>
    <xf numFmtId="0" fontId="109" fillId="0" borderId="0" xfId="0" applyFont="1" applyAlignment="1">
      <alignment vertical="center"/>
    </xf>
    <xf numFmtId="0" fontId="109" fillId="0" borderId="0" xfId="0" applyFont="1" applyAlignment="1">
      <alignment vertical="center" wrapText="1"/>
    </xf>
    <xf numFmtId="0" fontId="110" fillId="0" borderId="0" xfId="0" applyFont="1" applyAlignment="1">
      <alignment vertical="center"/>
    </xf>
    <xf numFmtId="9" fontId="3" fillId="7" borderId="0" xfId="2" applyFont="1" applyFill="1" applyAlignment="1">
      <alignment horizontal="right" vertical="center"/>
    </xf>
    <xf numFmtId="9" fontId="26" fillId="0" borderId="0" xfId="2" applyFont="1"/>
    <xf numFmtId="0" fontId="111" fillId="0" borderId="0" xfId="0" applyFont="1" applyAlignment="1">
      <alignment vertical="center" wrapText="1"/>
    </xf>
    <xf numFmtId="164" fontId="0" fillId="0" borderId="0" xfId="0" applyNumberFormat="1" applyAlignment="1">
      <alignment horizontal="left"/>
    </xf>
    <xf numFmtId="164" fontId="0" fillId="0" borderId="0" xfId="0" applyNumberFormat="1"/>
    <xf numFmtId="164" fontId="3" fillId="0" borderId="0" xfId="0" applyNumberFormat="1" applyFont="1"/>
    <xf numFmtId="173" fontId="26" fillId="4" borderId="0" xfId="16" applyNumberFormat="1" applyFont="1" applyFill="1" applyAlignment="1" applyProtection="1">
      <alignment horizontal="right" vertical="center"/>
      <protection locked="0"/>
    </xf>
    <xf numFmtId="0" fontId="26" fillId="17" borderId="0" xfId="16" applyFont="1" applyFill="1" applyAlignment="1">
      <alignment vertical="center"/>
    </xf>
    <xf numFmtId="173" fontId="26" fillId="4" borderId="1" xfId="16" applyNumberFormat="1" applyFont="1" applyFill="1" applyBorder="1" applyAlignment="1" applyProtection="1">
      <alignment horizontal="right" vertical="center"/>
      <protection locked="0"/>
    </xf>
    <xf numFmtId="166" fontId="26" fillId="19" borderId="0" xfId="4" applyNumberFormat="1" applyFill="1"/>
    <xf numFmtId="166" fontId="26" fillId="19" borderId="0" xfId="4" applyNumberFormat="1" applyFill="1" applyAlignment="1">
      <alignment horizontal="left" wrapText="1" indent="1"/>
    </xf>
    <xf numFmtId="0" fontId="25" fillId="26" borderId="0" xfId="16" applyFont="1" applyFill="1" applyAlignment="1">
      <alignment horizontal="left"/>
    </xf>
    <xf numFmtId="166" fontId="26" fillId="0" borderId="0" xfId="0" applyNumberFormat="1" applyFont="1"/>
    <xf numFmtId="0" fontId="36" fillId="0" borderId="0" xfId="0" applyFont="1"/>
    <xf numFmtId="0" fontId="43" fillId="0" borderId="0" xfId="0" applyFont="1"/>
    <xf numFmtId="166" fontId="25" fillId="0" borderId="0" xfId="0" applyNumberFormat="1" applyFont="1" applyAlignment="1">
      <alignment horizontal="right" vertical="top" wrapText="1"/>
    </xf>
    <xf numFmtId="0" fontId="43" fillId="0" borderId="0" xfId="0" applyFont="1" applyAlignment="1">
      <alignment horizontal="center"/>
    </xf>
    <xf numFmtId="166" fontId="26" fillId="0" borderId="0" xfId="0" applyNumberFormat="1" applyFont="1" applyAlignment="1">
      <alignment vertical="top" wrapText="1"/>
    </xf>
    <xf numFmtId="166" fontId="25" fillId="0" borderId="0" xfId="0" applyNumberFormat="1" applyFont="1"/>
    <xf numFmtId="166" fontId="26" fillId="0" borderId="4" xfId="0" applyNumberFormat="1" applyFont="1" applyBorder="1"/>
    <xf numFmtId="166" fontId="29" fillId="0" borderId="0" xfId="0" applyNumberFormat="1" applyFont="1" applyAlignment="1">
      <alignment horizontal="center"/>
    </xf>
    <xf numFmtId="166" fontId="25" fillId="18" borderId="0" xfId="0" applyNumberFormat="1" applyFont="1" applyFill="1" applyAlignment="1">
      <alignment horizontal="center"/>
    </xf>
    <xf numFmtId="0" fontId="0" fillId="10" borderId="13" xfId="0" applyFill="1" applyBorder="1" applyAlignment="1">
      <alignment horizontal="center"/>
    </xf>
    <xf numFmtId="166" fontId="29" fillId="18" borderId="0" xfId="4" applyNumberFormat="1" applyFont="1" applyFill="1" applyAlignment="1">
      <alignment horizontal="right" vertical="center"/>
    </xf>
    <xf numFmtId="0" fontId="25" fillId="0" borderId="0" xfId="16" quotePrefix="1" applyFont="1" applyAlignment="1">
      <alignment horizontal="left" wrapText="1"/>
    </xf>
    <xf numFmtId="0" fontId="25" fillId="26" borderId="0" xfId="16" applyFont="1" applyFill="1" applyAlignment="1">
      <alignment horizontal="left" wrapText="1"/>
    </xf>
    <xf numFmtId="0" fontId="25" fillId="0" borderId="15" xfId="16" applyFont="1" applyBorder="1" applyAlignment="1">
      <alignment horizontal="center"/>
    </xf>
    <xf numFmtId="164" fontId="1" fillId="0" borderId="0" xfId="5" applyNumberFormat="1" applyFont="1" applyAlignment="1">
      <alignment horizontal="right" vertical="center"/>
    </xf>
    <xf numFmtId="0" fontId="56" fillId="0" borderId="0" xfId="16" applyFont="1" applyAlignment="1">
      <alignment horizontal="left"/>
    </xf>
    <xf numFmtId="0" fontId="25" fillId="0" borderId="0" xfId="16" applyFont="1" applyAlignment="1" applyProtection="1">
      <alignment horizontal="center" vertical="center"/>
      <protection locked="0"/>
    </xf>
    <xf numFmtId="0" fontId="25" fillId="17" borderId="0" xfId="16" applyFont="1" applyFill="1" applyAlignment="1" applyProtection="1">
      <alignment horizontal="center" vertical="center"/>
      <protection locked="0"/>
    </xf>
    <xf numFmtId="173" fontId="26" fillId="21" borderId="0" xfId="16" applyNumberFormat="1" applyFont="1" applyFill="1" applyAlignment="1">
      <alignment horizontal="center"/>
    </xf>
    <xf numFmtId="173" fontId="26" fillId="21" borderId="0" xfId="16" applyNumberFormat="1" applyFont="1" applyFill="1"/>
    <xf numFmtId="173" fontId="26" fillId="21" borderId="7" xfId="16" applyNumberFormat="1" applyFont="1" applyFill="1" applyBorder="1"/>
    <xf numFmtId="173" fontId="26" fillId="17" borderId="0" xfId="16" applyNumberFormat="1" applyFont="1" applyFill="1" applyAlignment="1" applyProtection="1">
      <alignment horizontal="center" vertical="center"/>
      <protection locked="0"/>
    </xf>
    <xf numFmtId="173" fontId="26" fillId="17" borderId="0" xfId="16" applyNumberFormat="1" applyFont="1" applyFill="1" applyAlignment="1">
      <alignment horizontal="right" wrapText="1"/>
    </xf>
    <xf numFmtId="0" fontId="26" fillId="21" borderId="0" xfId="16" applyFont="1" applyFill="1" applyAlignment="1">
      <alignment horizontal="center" vertical="center"/>
    </xf>
    <xf numFmtId="0" fontId="112" fillId="0" borderId="0" xfId="16" applyFont="1"/>
    <xf numFmtId="0" fontId="26" fillId="0" borderId="7" xfId="16" applyFont="1" applyBorder="1" applyAlignment="1">
      <alignment wrapText="1"/>
    </xf>
    <xf numFmtId="0" fontId="25" fillId="0" borderId="17" xfId="16" applyFont="1" applyBorder="1" applyAlignment="1">
      <alignment horizontal="center" wrapText="1"/>
    </xf>
    <xf numFmtId="173" fontId="25" fillId="26" borderId="0" xfId="16" applyNumberFormat="1" applyFont="1" applyFill="1"/>
    <xf numFmtId="173" fontId="25" fillId="0" borderId="16" xfId="16" applyNumberFormat="1" applyFont="1" applyBorder="1" applyAlignment="1">
      <alignment horizontal="center"/>
    </xf>
    <xf numFmtId="173" fontId="26" fillId="12" borderId="17" xfId="16" applyNumberFormat="1" applyFont="1" applyFill="1" applyBorder="1" applyProtection="1">
      <protection locked="0"/>
    </xf>
    <xf numFmtId="173" fontId="25" fillId="0" borderId="1" xfId="16" applyNumberFormat="1" applyFont="1" applyBorder="1" applyAlignment="1">
      <alignment horizontal="center" wrapText="1"/>
    </xf>
    <xf numFmtId="167" fontId="26" fillId="12" borderId="17" xfId="1" applyNumberFormat="1" applyFont="1" applyFill="1" applyBorder="1" applyAlignment="1" applyProtection="1">
      <alignment horizontal="center" vertical="center"/>
      <protection locked="0"/>
    </xf>
    <xf numFmtId="167" fontId="26" fillId="12" borderId="1" xfId="1" applyNumberFormat="1" applyFont="1" applyFill="1" applyBorder="1" applyAlignment="1" applyProtection="1">
      <alignment horizontal="center" vertical="center"/>
      <protection locked="0"/>
    </xf>
    <xf numFmtId="0" fontId="113" fillId="4" borderId="0" xfId="0" applyFont="1" applyFill="1" applyAlignment="1">
      <alignment horizontal="left" vertical="center"/>
    </xf>
    <xf numFmtId="173" fontId="25" fillId="0" borderId="1" xfId="16" applyNumberFormat="1" applyFont="1" applyBorder="1" applyAlignment="1">
      <alignment horizontal="center"/>
    </xf>
    <xf numFmtId="170" fontId="26" fillId="18" borderId="0" xfId="16" applyNumberFormat="1" applyFont="1" applyFill="1"/>
    <xf numFmtId="182" fontId="31" fillId="0" borderId="0" xfId="16" applyNumberFormat="1" applyFont="1" applyAlignment="1">
      <alignment horizontal="right"/>
    </xf>
    <xf numFmtId="0" fontId="25" fillId="0" borderId="40" xfId="16" applyFont="1" applyBorder="1" applyAlignment="1">
      <alignment horizontal="center"/>
    </xf>
    <xf numFmtId="0" fontId="25" fillId="0" borderId="42" xfId="16" applyFont="1" applyBorder="1" applyAlignment="1">
      <alignment horizontal="left" vertical="center"/>
    </xf>
    <xf numFmtId="0" fontId="26" fillId="0" borderId="42" xfId="16" applyFont="1" applyBorder="1" applyAlignment="1">
      <alignment horizontal="left"/>
    </xf>
    <xf numFmtId="0" fontId="25" fillId="0" borderId="42" xfId="16" applyFont="1" applyBorder="1" applyAlignment="1">
      <alignment horizontal="left"/>
    </xf>
    <xf numFmtId="0" fontId="26" fillId="0" borderId="6" xfId="16" applyFont="1" applyBorder="1" applyAlignment="1">
      <alignment horizontal="left"/>
    </xf>
    <xf numFmtId="0" fontId="26" fillId="0" borderId="0" xfId="16" applyFont="1" applyAlignment="1">
      <alignment horizontal="left" indent="2"/>
    </xf>
    <xf numFmtId="0" fontId="26" fillId="0" borderId="41" xfId="16" applyFont="1" applyBorder="1" applyAlignment="1">
      <alignment horizontal="left"/>
    </xf>
    <xf numFmtId="0" fontId="25" fillId="0" borderId="39" xfId="16" applyFont="1" applyBorder="1" applyAlignment="1">
      <alignment horizontal="center" wrapText="1"/>
    </xf>
    <xf numFmtId="6" fontId="25" fillId="0" borderId="15" xfId="16" quotePrefix="1" applyNumberFormat="1" applyFont="1" applyBorder="1" applyAlignment="1">
      <alignment horizontal="center"/>
    </xf>
    <xf numFmtId="173" fontId="25" fillId="24" borderId="22" xfId="16" applyNumberFormat="1" applyFont="1" applyFill="1" applyBorder="1"/>
    <xf numFmtId="0" fontId="25" fillId="0" borderId="10" xfId="16" applyFont="1" applyBorder="1" applyAlignment="1">
      <alignment horizontal="center" wrapText="1"/>
    </xf>
    <xf numFmtId="6" fontId="25" fillId="0" borderId="14" xfId="16" quotePrefix="1" applyNumberFormat="1" applyFont="1" applyBorder="1" applyAlignment="1">
      <alignment horizontal="center"/>
    </xf>
    <xf numFmtId="0" fontId="25" fillId="0" borderId="39" xfId="16" applyFont="1" applyBorder="1" applyAlignment="1">
      <alignment horizontal="center"/>
    </xf>
    <xf numFmtId="0" fontId="26" fillId="0" borderId="8" xfId="16" applyFont="1" applyBorder="1" applyAlignment="1">
      <alignment horizontal="left"/>
    </xf>
    <xf numFmtId="0" fontId="25" fillId="0" borderId="12" xfId="16" applyFont="1" applyBorder="1" applyAlignment="1">
      <alignment horizontal="left"/>
    </xf>
    <xf numFmtId="173" fontId="25" fillId="24" borderId="1" xfId="16" applyNumberFormat="1" applyFont="1" applyFill="1" applyBorder="1"/>
    <xf numFmtId="164" fontId="0" fillId="33" borderId="0" xfId="5" applyNumberFormat="1" applyFont="1" applyFill="1" applyAlignment="1">
      <alignment horizontal="right" vertical="center"/>
    </xf>
    <xf numFmtId="0" fontId="116" fillId="34" borderId="1" xfId="0" applyFont="1" applyFill="1" applyBorder="1" applyAlignment="1">
      <alignment horizontal="center" vertical="center" wrapText="1"/>
    </xf>
    <xf numFmtId="0" fontId="115" fillId="34" borderId="1" xfId="0" applyFont="1" applyFill="1" applyBorder="1" applyAlignment="1">
      <alignment horizontal="center" vertical="center" wrapText="1"/>
    </xf>
    <xf numFmtId="0" fontId="115" fillId="34" borderId="1" xfId="0" applyFont="1" applyFill="1" applyBorder="1" applyAlignment="1">
      <alignment horizontal="center" vertical="center"/>
    </xf>
    <xf numFmtId="0" fontId="114" fillId="0" borderId="0" xfId="0" applyFont="1"/>
    <xf numFmtId="0" fontId="114" fillId="0" borderId="1" xfId="0" applyFont="1" applyBorder="1" applyAlignment="1">
      <alignment vertical="center"/>
    </xf>
    <xf numFmtId="0" fontId="114" fillId="0" borderId="1" xfId="0" applyFont="1" applyBorder="1" applyAlignment="1">
      <alignment horizontal="right" vertical="center"/>
    </xf>
    <xf numFmtId="0" fontId="115" fillId="0" borderId="1" xfId="0" applyFont="1" applyBorder="1" applyAlignment="1">
      <alignment vertical="center"/>
    </xf>
    <xf numFmtId="0" fontId="115" fillId="0" borderId="1" xfId="0" applyFont="1" applyBorder="1" applyAlignment="1">
      <alignment horizontal="right" vertical="center"/>
    </xf>
    <xf numFmtId="0" fontId="115" fillId="34" borderId="1" xfId="0" applyFont="1" applyFill="1" applyBorder="1" applyAlignment="1">
      <alignment horizontal="left" vertical="center"/>
    </xf>
    <xf numFmtId="0" fontId="114" fillId="0" borderId="1" xfId="0" applyFont="1" applyBorder="1" applyAlignment="1">
      <alignment horizontal="left" vertical="center"/>
    </xf>
    <xf numFmtId="181" fontId="114" fillId="0" borderId="1" xfId="1" applyNumberFormat="1" applyFont="1" applyBorder="1" applyAlignment="1">
      <alignment horizontal="left" vertical="center"/>
    </xf>
    <xf numFmtId="177" fontId="114" fillId="0" borderId="1" xfId="2" applyNumberFormat="1" applyFont="1" applyBorder="1" applyAlignment="1">
      <alignment horizontal="center" vertical="center"/>
    </xf>
    <xf numFmtId="177" fontId="114" fillId="0" borderId="1" xfId="0" applyNumberFormat="1" applyFont="1" applyBorder="1" applyAlignment="1">
      <alignment horizontal="center" vertical="center"/>
    </xf>
    <xf numFmtId="0" fontId="115" fillId="0" borderId="0" xfId="0" applyFont="1"/>
    <xf numFmtId="0" fontId="114" fillId="34" borderId="16" xfId="0" applyFont="1" applyFill="1" applyBorder="1" applyAlignment="1">
      <alignment horizontal="center" vertical="center"/>
    </xf>
    <xf numFmtId="0" fontId="114" fillId="34" borderId="4" xfId="0" applyFont="1" applyFill="1" applyBorder="1" applyAlignment="1">
      <alignment horizontal="center" vertical="center"/>
    </xf>
    <xf numFmtId="0" fontId="114" fillId="34" borderId="15" xfId="0" applyFont="1" applyFill="1" applyBorder="1" applyAlignment="1">
      <alignment horizontal="center" vertical="center"/>
    </xf>
    <xf numFmtId="0" fontId="115" fillId="34" borderId="1" xfId="0" applyFont="1" applyFill="1" applyBorder="1" applyAlignment="1">
      <alignment horizontal="right" vertical="center"/>
    </xf>
    <xf numFmtId="0" fontId="114" fillId="0" borderId="16" xfId="0" applyFont="1" applyBorder="1" applyAlignment="1">
      <alignment vertical="center"/>
    </xf>
    <xf numFmtId="0" fontId="114" fillId="0" borderId="4" xfId="0" applyFont="1" applyBorder="1" applyAlignment="1">
      <alignment vertical="center"/>
    </xf>
    <xf numFmtId="0" fontId="114" fillId="0" borderId="15" xfId="0" applyFont="1" applyBorder="1" applyAlignment="1">
      <alignment vertical="center"/>
    </xf>
    <xf numFmtId="0" fontId="116" fillId="34" borderId="1" xfId="0" applyFont="1" applyFill="1" applyBorder="1" applyAlignment="1">
      <alignment vertical="center"/>
    </xf>
    <xf numFmtId="0" fontId="117" fillId="0" borderId="1" xfId="0" applyFont="1" applyBorder="1" applyAlignment="1">
      <alignment horizontal="center" vertical="center"/>
    </xf>
    <xf numFmtId="0" fontId="116" fillId="0" borderId="1" xfId="0" applyFont="1" applyBorder="1" applyAlignment="1">
      <alignment horizontal="center" vertical="center"/>
    </xf>
    <xf numFmtId="0" fontId="88" fillId="30" borderId="44" xfId="0" applyFont="1" applyFill="1" applyBorder="1" applyAlignment="1">
      <alignment horizontal="left" vertical="center"/>
    </xf>
    <xf numFmtId="177" fontId="0" fillId="0" borderId="0" xfId="2" applyNumberFormat="1" applyFont="1" applyAlignment="1">
      <alignment horizontal="right" vertical="center"/>
    </xf>
    <xf numFmtId="0" fontId="117" fillId="0" borderId="1" xfId="0" quotePrefix="1" applyFont="1" applyBorder="1" applyAlignment="1">
      <alignment horizontal="center" vertical="center"/>
    </xf>
    <xf numFmtId="187" fontId="114" fillId="0" borderId="1" xfId="0" applyNumberFormat="1" applyFont="1" applyBorder="1" applyAlignment="1">
      <alignment horizontal="right" vertical="center"/>
    </xf>
    <xf numFmtId="187" fontId="115" fillId="0" borderId="1" xfId="0" applyNumberFormat="1" applyFont="1" applyBorder="1" applyAlignment="1">
      <alignment horizontal="right" vertical="center"/>
    </xf>
    <xf numFmtId="177" fontId="0" fillId="0" borderId="0" xfId="1" applyNumberFormat="1" applyFont="1" applyAlignment="1">
      <alignment horizontal="right" vertical="center"/>
    </xf>
    <xf numFmtId="0" fontId="26" fillId="0" borderId="0" xfId="16" applyFont="1" applyAlignment="1">
      <alignment horizontal="left" vertical="center"/>
    </xf>
    <xf numFmtId="0" fontId="56" fillId="0" borderId="0" xfId="16" applyFont="1" applyAlignment="1">
      <alignment horizontal="left" vertical="center"/>
    </xf>
    <xf numFmtId="0" fontId="26" fillId="6" borderId="0" xfId="16" applyFont="1" applyFill="1" applyAlignment="1">
      <alignment wrapText="1"/>
    </xf>
    <xf numFmtId="0" fontId="58" fillId="6" borderId="0" xfId="16" applyFill="1" applyAlignment="1">
      <alignment wrapText="1"/>
    </xf>
    <xf numFmtId="0" fontId="26" fillId="0" borderId="0" xfId="16" applyFont="1" applyAlignment="1">
      <alignment vertical="center" wrapText="1"/>
    </xf>
    <xf numFmtId="0" fontId="118" fillId="0" borderId="0" xfId="16" applyFont="1"/>
    <xf numFmtId="0" fontId="26" fillId="17" borderId="1" xfId="4" applyFill="1" applyBorder="1" applyAlignment="1">
      <alignment horizontal="center" vertical="top"/>
    </xf>
    <xf numFmtId="0" fontId="26" fillId="17" borderId="1" xfId="4" applyFill="1" applyBorder="1" applyAlignment="1">
      <alignment horizontal="center" vertical="top" wrapText="1"/>
    </xf>
    <xf numFmtId="167" fontId="26" fillId="3" borderId="1" xfId="1" applyNumberFormat="1" applyFont="1" applyFill="1" applyBorder="1"/>
    <xf numFmtId="0" fontId="25" fillId="17" borderId="1" xfId="4" applyFont="1" applyFill="1" applyBorder="1" applyAlignment="1">
      <alignment horizontal="center" vertical="top" wrapText="1"/>
    </xf>
    <xf numFmtId="0" fontId="25" fillId="0" borderId="1" xfId="4" applyFont="1" applyBorder="1"/>
    <xf numFmtId="0" fontId="26" fillId="11" borderId="1" xfId="4" applyFill="1" applyBorder="1" applyAlignment="1">
      <alignment horizontal="center" vertical="top"/>
    </xf>
    <xf numFmtId="167" fontId="26" fillId="11" borderId="1" xfId="1" applyNumberFormat="1" applyFont="1" applyFill="1" applyBorder="1"/>
    <xf numFmtId="0" fontId="33" fillId="0" borderId="0" xfId="4" applyFont="1"/>
    <xf numFmtId="0" fontId="62" fillId="0" borderId="0" xfId="4" applyFont="1"/>
    <xf numFmtId="0" fontId="25" fillId="0" borderId="45" xfId="16" applyFont="1" applyBorder="1" applyAlignment="1">
      <alignment horizontal="left"/>
    </xf>
    <xf numFmtId="0" fontId="26" fillId="0" borderId="23" xfId="16" applyFont="1" applyBorder="1" applyAlignment="1">
      <alignment horizontal="left"/>
    </xf>
    <xf numFmtId="0" fontId="26" fillId="0" borderId="3" xfId="16" applyFont="1" applyBorder="1" applyAlignment="1">
      <alignment horizontal="left"/>
    </xf>
    <xf numFmtId="173" fontId="25" fillId="0" borderId="46" xfId="16" applyNumberFormat="1" applyFont="1" applyBorder="1"/>
    <xf numFmtId="0" fontId="115" fillId="34" borderId="16" xfId="0" applyFont="1" applyFill="1" applyBorder="1" applyAlignment="1">
      <alignment horizontal="left" vertical="center"/>
    </xf>
    <xf numFmtId="173" fontId="26" fillId="12" borderId="10" xfId="22" applyNumberFormat="1" applyFill="1" applyBorder="1" applyProtection="1">
      <protection locked="0"/>
    </xf>
    <xf numFmtId="173" fontId="26" fillId="4" borderId="0" xfId="22" applyNumberFormat="1" applyFill="1" applyAlignment="1" applyProtection="1">
      <alignment horizontal="right"/>
      <protection locked="0"/>
    </xf>
    <xf numFmtId="173" fontId="26" fillId="0" borderId="0" xfId="16" applyNumberFormat="1" applyFont="1" applyAlignment="1">
      <alignment horizontal="right" vertical="center"/>
    </xf>
    <xf numFmtId="173" fontId="26" fillId="4" borderId="10" xfId="16" applyNumberFormat="1" applyFont="1" applyFill="1" applyBorder="1" applyProtection="1">
      <protection locked="0"/>
    </xf>
    <xf numFmtId="173" fontId="26" fillId="4" borderId="22" xfId="16" applyNumberFormat="1" applyFont="1" applyFill="1" applyBorder="1" applyProtection="1">
      <protection locked="0"/>
    </xf>
    <xf numFmtId="0" fontId="26" fillId="20" borderId="15" xfId="16" applyFont="1" applyFill="1" applyBorder="1" applyAlignment="1">
      <alignment horizontal="center" vertical="center"/>
    </xf>
    <xf numFmtId="166" fontId="25" fillId="0" borderId="0" xfId="0" quotePrefix="1" applyNumberFormat="1" applyFont="1" applyAlignment="1">
      <alignment horizontal="center"/>
    </xf>
    <xf numFmtId="14" fontId="26" fillId="4" borderId="0" xfId="16" applyNumberFormat="1" applyFont="1" applyFill="1" applyAlignment="1" applyProtection="1">
      <alignment horizontal="left" vertical="top"/>
      <protection locked="0"/>
    </xf>
    <xf numFmtId="167" fontId="26" fillId="4" borderId="1" xfId="1" applyNumberFormat="1" applyFont="1" applyFill="1" applyBorder="1" applyAlignment="1" applyProtection="1">
      <alignment horizontal="right"/>
      <protection locked="0"/>
    </xf>
    <xf numFmtId="0" fontId="119" fillId="0" borderId="0" xfId="16" applyFont="1"/>
    <xf numFmtId="0" fontId="25" fillId="0" borderId="43" xfId="16" applyFont="1" applyBorder="1" applyAlignment="1">
      <alignment horizontal="left"/>
    </xf>
    <xf numFmtId="167" fontId="58" fillId="0" borderId="0" xfId="1" applyNumberFormat="1" applyFont="1"/>
    <xf numFmtId="167" fontId="58" fillId="0" borderId="0" xfId="16" applyNumberFormat="1"/>
    <xf numFmtId="167" fontId="114" fillId="0" borderId="1" xfId="1" applyNumberFormat="1" applyFont="1" applyBorder="1" applyAlignment="1">
      <alignment horizontal="left" vertical="center"/>
    </xf>
    <xf numFmtId="173" fontId="25" fillId="0" borderId="1" xfId="16" applyNumberFormat="1" applyFont="1" applyBorder="1"/>
    <xf numFmtId="0" fontId="26" fillId="8" borderId="0" xfId="4" applyFill="1"/>
    <xf numFmtId="0" fontId="26" fillId="0" borderId="12" xfId="16" applyFont="1" applyBorder="1" applyAlignment="1">
      <alignment horizontal="left"/>
    </xf>
    <xf numFmtId="0" fontId="26" fillId="0" borderId="2" xfId="16" applyFont="1" applyBorder="1" applyAlignment="1">
      <alignment horizontal="left"/>
    </xf>
    <xf numFmtId="0" fontId="25" fillId="26" borderId="38" xfId="16" applyFont="1" applyFill="1" applyBorder="1" applyAlignment="1">
      <alignment horizontal="left" vertical="center"/>
    </xf>
    <xf numFmtId="0" fontId="25" fillId="26" borderId="20" xfId="16" applyFont="1" applyFill="1" applyBorder="1" applyAlignment="1">
      <alignment horizontal="left" vertical="center"/>
    </xf>
    <xf numFmtId="0" fontId="25" fillId="26" borderId="38" xfId="16" applyFont="1" applyFill="1" applyBorder="1" applyAlignment="1">
      <alignment horizontal="left"/>
    </xf>
    <xf numFmtId="0" fontId="26" fillId="26" borderId="20" xfId="16" applyFont="1" applyFill="1" applyBorder="1" applyAlignment="1">
      <alignment horizontal="left"/>
    </xf>
    <xf numFmtId="0" fontId="25" fillId="26" borderId="9" xfId="16" applyFont="1" applyFill="1" applyBorder="1" applyAlignment="1">
      <alignment horizontal="left"/>
    </xf>
    <xf numFmtId="0" fontId="26" fillId="26" borderId="8" xfId="16" applyFont="1" applyFill="1" applyBorder="1" applyAlignment="1">
      <alignment horizontal="left"/>
    </xf>
    <xf numFmtId="0" fontId="6" fillId="0" borderId="0" xfId="0" applyFont="1" applyAlignment="1">
      <alignment horizontal="center" vertical="center"/>
    </xf>
    <xf numFmtId="188" fontId="0" fillId="0" borderId="0" xfId="1" applyNumberFormat="1" applyFont="1" applyAlignment="1">
      <alignment horizontal="right" vertical="center"/>
    </xf>
    <xf numFmtId="0" fontId="120" fillId="0" borderId="0" xfId="0" applyFont="1" applyAlignment="1">
      <alignment horizontal="center"/>
    </xf>
    <xf numFmtId="49" fontId="122" fillId="0" borderId="0" xfId="23" applyNumberFormat="1" applyFont="1"/>
    <xf numFmtId="49" fontId="122" fillId="4" borderId="0" xfId="23" applyNumberFormat="1" applyFont="1" applyFill="1"/>
    <xf numFmtId="179" fontId="58" fillId="0" borderId="0" xfId="16" applyNumberFormat="1" applyAlignment="1">
      <alignment horizontal="center"/>
    </xf>
    <xf numFmtId="6" fontId="6" fillId="0" borderId="0" xfId="0" quotePrefix="1" applyNumberFormat="1" applyFont="1" applyAlignment="1">
      <alignment vertical="center"/>
    </xf>
    <xf numFmtId="186" fontId="0" fillId="6" borderId="0" xfId="1" applyNumberFormat="1" applyFont="1" applyFill="1" applyAlignment="1">
      <alignment vertical="center"/>
    </xf>
    <xf numFmtId="0" fontId="26" fillId="0" borderId="2" xfId="16" applyFont="1" applyBorder="1" applyAlignment="1">
      <alignment horizontal="left" vertical="center"/>
    </xf>
    <xf numFmtId="0" fontId="26" fillId="0" borderId="12" xfId="16" applyFont="1" applyBorder="1" applyAlignment="1">
      <alignment horizontal="left" vertical="center"/>
    </xf>
    <xf numFmtId="186" fontId="3" fillId="0" borderId="4" xfId="0" applyNumberFormat="1" applyFont="1" applyBorder="1" applyAlignment="1">
      <alignment vertical="center"/>
    </xf>
    <xf numFmtId="0" fontId="123" fillId="0" borderId="0" xfId="0" quotePrefix="1" applyFont="1" applyAlignment="1">
      <alignment horizontal="center"/>
    </xf>
    <xf numFmtId="166" fontId="25" fillId="18" borderId="0" xfId="22" applyNumberFormat="1" applyFont="1" applyFill="1" applyAlignment="1">
      <alignment horizontal="center" vertical="center"/>
    </xf>
    <xf numFmtId="1" fontId="25" fillId="0" borderId="0" xfId="22" applyNumberFormat="1" applyFont="1" applyAlignment="1">
      <alignment horizontal="center"/>
    </xf>
    <xf numFmtId="0" fontId="25" fillId="0" borderId="0" xfId="22" applyFont="1" applyAlignment="1">
      <alignment horizontal="center"/>
    </xf>
    <xf numFmtId="0" fontId="25" fillId="0" borderId="0" xfId="22" applyFont="1" applyAlignment="1">
      <alignment horizontal="center" wrapText="1"/>
    </xf>
    <xf numFmtId="173" fontId="25" fillId="0" borderId="21" xfId="22" applyNumberFormat="1" applyFont="1" applyBorder="1" applyAlignment="1">
      <alignment horizontal="right"/>
    </xf>
    <xf numFmtId="3" fontId="25" fillId="0" borderId="0" xfId="22" applyNumberFormat="1" applyFont="1" applyAlignment="1">
      <alignment horizontal="center"/>
    </xf>
    <xf numFmtId="0" fontId="25" fillId="0" borderId="0" xfId="22" applyFont="1"/>
    <xf numFmtId="0" fontId="26" fillId="0" borderId="0" xfId="22"/>
    <xf numFmtId="173" fontId="26" fillId="0" borderId="0" xfId="22" applyNumberFormat="1"/>
    <xf numFmtId="0" fontId="31" fillId="0" borderId="0" xfId="22" applyFont="1"/>
    <xf numFmtId="167" fontId="0" fillId="18" borderId="0" xfId="1" applyNumberFormat="1" applyFont="1" applyFill="1"/>
    <xf numFmtId="186" fontId="0" fillId="0" borderId="0" xfId="0" quotePrefix="1" applyNumberFormat="1" applyAlignment="1">
      <alignment vertical="center"/>
    </xf>
    <xf numFmtId="0" fontId="0" fillId="5" borderId="0" xfId="0" applyFill="1" applyAlignment="1">
      <alignment vertical="center" wrapText="1"/>
    </xf>
    <xf numFmtId="0" fontId="0" fillId="35" borderId="0" xfId="0" applyFill="1" applyAlignment="1">
      <alignment vertical="center"/>
    </xf>
    <xf numFmtId="166" fontId="31" fillId="0" borderId="0" xfId="4" applyNumberFormat="1" applyFont="1" applyAlignment="1">
      <alignment horizontal="center" vertical="center"/>
    </xf>
    <xf numFmtId="186" fontId="0" fillId="0" borderId="0" xfId="0" applyNumberFormat="1" applyAlignment="1">
      <alignment horizontal="center" vertical="center"/>
    </xf>
    <xf numFmtId="166" fontId="124" fillId="0" borderId="0" xfId="4" applyNumberFormat="1" applyFont="1" applyAlignment="1">
      <alignment horizontal="left"/>
    </xf>
    <xf numFmtId="167" fontId="0" fillId="4" borderId="0" xfId="1" applyNumberFormat="1" applyFont="1" applyFill="1"/>
    <xf numFmtId="0" fontId="123" fillId="0" borderId="0" xfId="0" quotePrefix="1" applyFont="1" applyAlignment="1">
      <alignment horizontal="left"/>
    </xf>
    <xf numFmtId="0" fontId="107" fillId="0" borderId="0" xfId="0" applyFont="1" applyAlignment="1">
      <alignment horizontal="center" vertical="center"/>
    </xf>
    <xf numFmtId="167" fontId="0" fillId="18" borderId="0" xfId="0" applyNumberFormat="1" applyFill="1"/>
    <xf numFmtId="167" fontId="0" fillId="36" borderId="0" xfId="1" applyNumberFormat="1" applyFont="1" applyFill="1"/>
    <xf numFmtId="167" fontId="0" fillId="36" borderId="0" xfId="0" applyNumberFormat="1" applyFill="1"/>
    <xf numFmtId="0" fontId="25" fillId="0" borderId="0" xfId="22" applyFont="1" applyAlignment="1">
      <alignment horizontal="left"/>
    </xf>
    <xf numFmtId="174" fontId="25" fillId="0" borderId="0" xfId="22" applyNumberFormat="1" applyFont="1" applyAlignment="1">
      <alignment horizontal="center"/>
    </xf>
    <xf numFmtId="170" fontId="26" fillId="0" borderId="0" xfId="22" applyNumberFormat="1"/>
    <xf numFmtId="166" fontId="125" fillId="0" borderId="0" xfId="4" quotePrefix="1" applyNumberFormat="1" applyFont="1" applyAlignment="1">
      <alignment vertical="center"/>
    </xf>
    <xf numFmtId="186" fontId="47" fillId="0" borderId="0" xfId="0" applyNumberFormat="1" applyFont="1" applyAlignment="1">
      <alignment vertical="center"/>
    </xf>
    <xf numFmtId="3" fontId="25" fillId="0" borderId="0" xfId="4" applyNumberFormat="1" applyFont="1" applyAlignment="1">
      <alignment horizontal="left"/>
    </xf>
    <xf numFmtId="0" fontId="25" fillId="0" borderId="12" xfId="16" applyFont="1" applyBorder="1" applyAlignment="1">
      <alignment horizontal="center" vertical="center"/>
    </xf>
    <xf numFmtId="0" fontId="26" fillId="10" borderId="0" xfId="4" applyFill="1" applyAlignment="1">
      <alignment horizontal="left" wrapText="1"/>
    </xf>
    <xf numFmtId="166" fontId="98" fillId="6" borderId="22" xfId="4" applyNumberFormat="1" applyFont="1" applyFill="1" applyBorder="1"/>
    <xf numFmtId="166" fontId="98" fillId="6" borderId="10" xfId="4" applyNumberFormat="1" applyFont="1" applyFill="1" applyBorder="1"/>
    <xf numFmtId="166" fontId="98" fillId="6" borderId="17" xfId="4" applyNumberFormat="1" applyFont="1" applyFill="1" applyBorder="1"/>
    <xf numFmtId="166" fontId="25" fillId="26" borderId="0" xfId="4" applyNumberFormat="1" applyFont="1" applyFill="1" applyAlignment="1">
      <alignment vertical="center"/>
    </xf>
    <xf numFmtId="166" fontId="26" fillId="10" borderId="5" xfId="5" applyNumberFormat="1" applyFill="1" applyBorder="1"/>
    <xf numFmtId="166" fontId="26" fillId="6" borderId="0" xfId="4" applyNumberFormat="1" applyFill="1" applyAlignment="1">
      <alignment horizontal="left"/>
    </xf>
    <xf numFmtId="166" fontId="26" fillId="6" borderId="0" xfId="4" quotePrefix="1" applyNumberFormat="1" applyFill="1" applyAlignment="1">
      <alignment horizontal="left"/>
    </xf>
    <xf numFmtId="0" fontId="26" fillId="6" borderId="0" xfId="4" applyFill="1" applyAlignment="1">
      <alignment horizontal="left" wrapText="1"/>
    </xf>
    <xf numFmtId="166" fontId="26" fillId="6" borderId="0" xfId="5" applyNumberFormat="1" applyFill="1"/>
    <xf numFmtId="166" fontId="0" fillId="0" borderId="0" xfId="0" applyNumberFormat="1"/>
    <xf numFmtId="167" fontId="25" fillId="0" borderId="21" xfId="1" applyNumberFormat="1" applyFont="1" applyBorder="1" applyAlignment="1">
      <alignment horizontal="right"/>
    </xf>
    <xf numFmtId="173" fontId="26" fillId="0" borderId="0" xfId="4" applyNumberFormat="1" applyAlignment="1" applyProtection="1">
      <alignment horizontal="center" vertical="center"/>
      <protection locked="0"/>
    </xf>
    <xf numFmtId="173" fontId="26" fillId="10" borderId="0" xfId="4" applyNumberFormat="1" applyFill="1" applyAlignment="1" applyProtection="1">
      <alignment horizontal="center" vertical="center"/>
      <protection locked="0"/>
    </xf>
    <xf numFmtId="0" fontId="26" fillId="0" borderId="0" xfId="4" applyAlignment="1">
      <alignment horizontal="center" vertical="center"/>
    </xf>
    <xf numFmtId="174" fontId="25" fillId="0" borderId="0" xfId="4" applyNumberFormat="1" applyFont="1" applyAlignment="1">
      <alignment horizontal="center" vertical="center"/>
    </xf>
    <xf numFmtId="0" fontId="26" fillId="10" borderId="1" xfId="4" applyFill="1" applyBorder="1"/>
    <xf numFmtId="0" fontId="25" fillId="0" borderId="22" xfId="16" applyFont="1" applyBorder="1" applyAlignment="1">
      <alignment horizontal="center" wrapText="1"/>
    </xf>
    <xf numFmtId="0" fontId="25" fillId="0" borderId="22" xfId="16" applyFont="1" applyBorder="1" applyAlignment="1">
      <alignment horizontal="center"/>
    </xf>
    <xf numFmtId="0" fontId="25" fillId="0" borderId="1" xfId="16" applyFont="1" applyBorder="1" applyAlignment="1">
      <alignment horizontal="center"/>
    </xf>
    <xf numFmtId="0" fontId="25" fillId="0" borderId="7" xfId="16" applyFont="1" applyBorder="1" applyAlignment="1">
      <alignment horizontal="left"/>
    </xf>
    <xf numFmtId="173" fontId="25" fillId="21" borderId="1" xfId="16" applyNumberFormat="1" applyFont="1" applyFill="1" applyBorder="1"/>
    <xf numFmtId="0" fontId="25" fillId="19" borderId="2" xfId="16" applyFont="1" applyFill="1" applyBorder="1" applyAlignment="1">
      <alignment horizontal="left"/>
    </xf>
    <xf numFmtId="0" fontId="26" fillId="19" borderId="0" xfId="16" applyFont="1" applyFill="1" applyAlignment="1">
      <alignment horizontal="left"/>
    </xf>
    <xf numFmtId="0" fontId="25" fillId="19" borderId="49" xfId="16" applyFont="1" applyFill="1" applyBorder="1" applyAlignment="1">
      <alignment horizontal="left" vertical="center"/>
    </xf>
    <xf numFmtId="0" fontId="25" fillId="19" borderId="20" xfId="16" applyFont="1" applyFill="1" applyBorder="1" applyAlignment="1">
      <alignment horizontal="left" vertical="center"/>
    </xf>
    <xf numFmtId="0" fontId="25" fillId="19" borderId="9" xfId="16" applyFont="1" applyFill="1" applyBorder="1" applyAlignment="1">
      <alignment horizontal="left"/>
    </xf>
    <xf numFmtId="0" fontId="26" fillId="19" borderId="8" xfId="16" applyFont="1" applyFill="1" applyBorder="1" applyAlignment="1">
      <alignment horizontal="left"/>
    </xf>
    <xf numFmtId="0" fontId="26" fillId="6" borderId="0" xfId="16" applyFont="1" applyFill="1"/>
    <xf numFmtId="185" fontId="114" fillId="0" borderId="1" xfId="0" applyNumberFormat="1" applyFont="1" applyBorder="1" applyAlignment="1">
      <alignment horizontal="right" vertical="center"/>
    </xf>
    <xf numFmtId="167" fontId="114" fillId="0" borderId="1" xfId="1" applyNumberFormat="1" applyFont="1" applyBorder="1" applyAlignment="1">
      <alignment horizontal="right" vertical="center"/>
    </xf>
    <xf numFmtId="167" fontId="114" fillId="0" borderId="1" xfId="0" applyNumberFormat="1" applyFont="1" applyBorder="1" applyAlignment="1">
      <alignment horizontal="right" vertical="center"/>
    </xf>
    <xf numFmtId="167" fontId="114" fillId="0" borderId="0" xfId="0" applyNumberFormat="1" applyFont="1"/>
    <xf numFmtId="167" fontId="26" fillId="0" borderId="0" xfId="16" applyNumberFormat="1" applyFont="1"/>
    <xf numFmtId="167" fontId="115" fillId="0" borderId="1" xfId="0" applyNumberFormat="1" applyFont="1" applyBorder="1" applyAlignment="1">
      <alignment horizontal="right" vertical="center"/>
    </xf>
    <xf numFmtId="167" fontId="115" fillId="0" borderId="1" xfId="1" applyNumberFormat="1" applyFont="1" applyBorder="1" applyAlignment="1">
      <alignment horizontal="right" vertical="center"/>
    </xf>
    <xf numFmtId="166" fontId="26" fillId="0" borderId="0" xfId="5" applyNumberFormat="1" applyFill="1" applyAlignment="1">
      <alignment horizontal="right" vertical="center" shrinkToFit="1"/>
    </xf>
    <xf numFmtId="164" fontId="0" fillId="4" borderId="0" xfId="11" applyNumberFormat="1" applyFont="1" applyFill="1" applyAlignment="1">
      <alignment horizontal="right" vertical="center"/>
    </xf>
    <xf numFmtId="164" fontId="3" fillId="4" borderId="0" xfId="11" applyNumberFormat="1" applyFont="1" applyFill="1" applyAlignment="1">
      <alignment horizontal="right" vertical="center"/>
    </xf>
    <xf numFmtId="164" fontId="0" fillId="5" borderId="0" xfId="11" applyNumberFormat="1" applyFont="1" applyFill="1" applyAlignment="1">
      <alignment horizontal="right" vertical="center"/>
    </xf>
    <xf numFmtId="164" fontId="0" fillId="37" borderId="0" xfId="11" applyNumberFormat="1" applyFont="1" applyFill="1" applyAlignment="1">
      <alignment horizontal="right" vertical="center"/>
    </xf>
    <xf numFmtId="0" fontId="33" fillId="0" borderId="0" xfId="10" applyFont="1" applyAlignment="1">
      <alignment horizontal="left"/>
    </xf>
    <xf numFmtId="167" fontId="26" fillId="0" borderId="1" xfId="1" applyNumberFormat="1" applyFont="1" applyBorder="1"/>
    <xf numFmtId="167" fontId="26" fillId="0" borderId="1" xfId="16" applyNumberFormat="1" applyFont="1" applyBorder="1"/>
    <xf numFmtId="167" fontId="25" fillId="21" borderId="1" xfId="16" applyNumberFormat="1" applyFont="1" applyFill="1" applyBorder="1"/>
    <xf numFmtId="167" fontId="26" fillId="0" borderId="0" xfId="1" applyNumberFormat="1" applyFont="1" applyBorder="1"/>
    <xf numFmtId="167" fontId="25" fillId="21" borderId="1" xfId="1" applyNumberFormat="1" applyFont="1" applyFill="1" applyBorder="1"/>
    <xf numFmtId="167" fontId="26" fillId="0" borderId="0" xfId="4" applyNumberFormat="1"/>
    <xf numFmtId="167" fontId="26" fillId="0" borderId="14" xfId="4" applyNumberFormat="1" applyBorder="1"/>
    <xf numFmtId="167" fontId="26" fillId="0" borderId="7" xfId="16" applyNumberFormat="1" applyFont="1" applyBorder="1"/>
    <xf numFmtId="166" fontId="34" fillId="0" borderId="0" xfId="4" applyNumberFormat="1" applyFont="1" applyAlignment="1">
      <alignment horizontal="center" vertical="center" wrapText="1"/>
    </xf>
    <xf numFmtId="166" fontId="25" fillId="10" borderId="0" xfId="4" applyNumberFormat="1" applyFont="1" applyFill="1"/>
    <xf numFmtId="3" fontId="26" fillId="38" borderId="5" xfId="4" applyNumberFormat="1" applyFill="1" applyBorder="1"/>
    <xf numFmtId="166" fontId="26" fillId="38" borderId="6" xfId="4" applyNumberFormat="1" applyFill="1" applyBorder="1" applyAlignment="1">
      <alignment vertical="center"/>
    </xf>
    <xf numFmtId="166" fontId="25" fillId="38" borderId="6" xfId="4" applyNumberFormat="1" applyFont="1" applyFill="1" applyBorder="1" applyAlignment="1">
      <alignment vertical="center"/>
    </xf>
    <xf numFmtId="166" fontId="25" fillId="38" borderId="4" xfId="4" applyNumberFormat="1" applyFont="1" applyFill="1" applyBorder="1"/>
    <xf numFmtId="167" fontId="11" fillId="0" borderId="0" xfId="0" applyNumberFormat="1" applyFont="1"/>
    <xf numFmtId="0" fontId="103" fillId="0" borderId="0" xfId="0" applyFont="1"/>
    <xf numFmtId="173" fontId="26" fillId="18" borderId="0" xfId="16" applyNumberFormat="1" applyFont="1" applyFill="1" applyProtection="1">
      <protection locked="0"/>
    </xf>
    <xf numFmtId="0" fontId="56" fillId="0" borderId="0" xfId="16" applyFont="1"/>
    <xf numFmtId="173" fontId="116" fillId="0" borderId="1" xfId="0" applyNumberFormat="1" applyFont="1" applyBorder="1" applyAlignment="1">
      <alignment horizontal="center" vertical="center"/>
    </xf>
    <xf numFmtId="173" fontId="80" fillId="24" borderId="0" xfId="16" applyNumberFormat="1" applyFont="1" applyFill="1" applyAlignment="1">
      <alignment horizontal="center" vertical="center" wrapText="1"/>
    </xf>
    <xf numFmtId="173" fontId="80" fillId="24" borderId="0" xfId="16" applyNumberFormat="1" applyFont="1" applyFill="1" applyAlignment="1">
      <alignment horizontal="center" vertical="center"/>
    </xf>
    <xf numFmtId="166" fontId="25" fillId="0" borderId="0" xfId="0" applyNumberFormat="1" applyFont="1" applyAlignment="1">
      <alignment horizontal="center" vertical="center" wrapText="1"/>
    </xf>
    <xf numFmtId="173" fontId="25" fillId="0" borderId="0" xfId="22" applyNumberFormat="1" applyFont="1" applyAlignment="1">
      <alignment horizontal="center"/>
    </xf>
    <xf numFmtId="0" fontId="26" fillId="0" borderId="0" xfId="22" applyAlignment="1">
      <alignment horizontal="left"/>
    </xf>
    <xf numFmtId="3" fontId="26" fillId="0" borderId="0" xfId="22" applyNumberFormat="1" applyAlignment="1">
      <alignment horizontal="right"/>
    </xf>
    <xf numFmtId="0" fontId="26" fillId="0" borderId="0" xfId="22" applyAlignment="1">
      <alignment horizontal="left" wrapText="1"/>
    </xf>
    <xf numFmtId="173" fontId="25" fillId="0" borderId="0" xfId="22" applyNumberFormat="1" applyFont="1"/>
    <xf numFmtId="170" fontId="25" fillId="0" borderId="21" xfId="22" applyNumberFormat="1" applyFont="1" applyBorder="1" applyAlignment="1">
      <alignment horizontal="right"/>
    </xf>
    <xf numFmtId="174" fontId="25" fillId="0" borderId="0" xfId="16" applyNumberFormat="1" applyFont="1" applyAlignment="1">
      <alignment horizontal="center" vertical="center"/>
    </xf>
    <xf numFmtId="173" fontId="26" fillId="4" borderId="0" xfId="16" applyNumberFormat="1" applyFont="1" applyFill="1" applyAlignment="1" applyProtection="1">
      <alignment horizontal="center" vertical="center"/>
      <protection locked="0"/>
    </xf>
    <xf numFmtId="173" fontId="56" fillId="4" borderId="0" xfId="16" applyNumberFormat="1" applyFont="1" applyFill="1" applyAlignment="1" applyProtection="1">
      <alignment horizontal="center" vertical="center" wrapText="1"/>
      <protection locked="0"/>
    </xf>
    <xf numFmtId="0" fontId="7" fillId="21" borderId="1" xfId="16" applyFont="1" applyFill="1" applyBorder="1" applyAlignment="1">
      <alignment horizontal="left" vertical="center" wrapText="1"/>
    </xf>
    <xf numFmtId="173" fontId="26" fillId="0" borderId="0" xfId="22" applyNumberFormat="1" applyAlignment="1">
      <alignment wrapText="1"/>
    </xf>
    <xf numFmtId="173" fontId="26" fillId="0" borderId="0" xfId="22" applyNumberFormat="1" applyAlignment="1">
      <alignment horizontal="center" vertical="center" wrapText="1"/>
    </xf>
    <xf numFmtId="166" fontId="25" fillId="0" borderId="0" xfId="4" applyNumberFormat="1" applyFont="1" applyAlignment="1">
      <alignment horizontal="left" vertical="center" indent="3"/>
    </xf>
    <xf numFmtId="173" fontId="31" fillId="0" borderId="0" xfId="4" applyNumberFormat="1" applyFont="1"/>
    <xf numFmtId="0" fontId="33" fillId="18" borderId="0" xfId="16" applyFont="1" applyFill="1" applyAlignment="1">
      <alignment horizontal="center"/>
    </xf>
    <xf numFmtId="173" fontId="33" fillId="18" borderId="0" xfId="16" applyNumberFormat="1" applyFont="1" applyFill="1" applyAlignment="1">
      <alignment horizontal="center"/>
    </xf>
    <xf numFmtId="3" fontId="25" fillId="0" borderId="2" xfId="16" applyNumberFormat="1" applyFont="1" applyBorder="1" applyAlignment="1">
      <alignment horizontal="right"/>
    </xf>
    <xf numFmtId="0" fontId="39" fillId="38" borderId="8" xfId="16" applyFont="1" applyFill="1" applyBorder="1"/>
    <xf numFmtId="0" fontId="39" fillId="38" borderId="0" xfId="16" applyFont="1" applyFill="1"/>
    <xf numFmtId="164" fontId="0" fillId="0" borderId="0" xfId="5" applyNumberFormat="1" applyFont="1" applyFill="1" applyAlignment="1">
      <alignment horizontal="right" vertical="center"/>
    </xf>
    <xf numFmtId="166" fontId="26" fillId="0" borderId="0" xfId="0" applyNumberFormat="1" applyFont="1" applyAlignment="1">
      <alignment horizontal="center"/>
    </xf>
    <xf numFmtId="166" fontId="25" fillId="0" borderId="0" xfId="0" applyNumberFormat="1" applyFont="1" applyAlignment="1">
      <alignment vertical="top"/>
    </xf>
    <xf numFmtId="166" fontId="26" fillId="0" borderId="0" xfId="0" applyNumberFormat="1" applyFont="1" applyAlignment="1">
      <alignment horizontal="center" vertical="top"/>
    </xf>
    <xf numFmtId="166" fontId="26" fillId="0" borderId="0" xfId="0" applyNumberFormat="1" applyFont="1" applyAlignment="1">
      <alignment vertical="top"/>
    </xf>
    <xf numFmtId="164" fontId="0" fillId="0" borderId="0" xfId="1" applyNumberFormat="1" applyFont="1" applyFill="1" applyAlignment="1">
      <alignment horizontal="right" vertical="center"/>
    </xf>
    <xf numFmtId="164" fontId="0" fillId="0" borderId="0" xfId="11" applyNumberFormat="1" applyFont="1" applyFill="1" applyAlignment="1">
      <alignment horizontal="right" vertical="center"/>
    </xf>
    <xf numFmtId="167" fontId="0" fillId="0" borderId="0" xfId="1" applyNumberFormat="1" applyFont="1" applyFill="1" applyAlignment="1">
      <alignment horizontal="right" vertical="center"/>
    </xf>
    <xf numFmtId="170" fontId="26" fillId="4" borderId="0" xfId="4" applyNumberFormat="1" applyFill="1" applyProtection="1">
      <protection locked="0"/>
    </xf>
    <xf numFmtId="166" fontId="26" fillId="4" borderId="0" xfId="4" applyNumberFormat="1" applyFill="1" applyAlignment="1">
      <alignment horizontal="right"/>
    </xf>
    <xf numFmtId="166" fontId="25" fillId="4" borderId="0" xfId="5" applyNumberFormat="1" applyFont="1" applyFill="1" applyAlignment="1">
      <alignment vertical="center" shrinkToFit="1"/>
    </xf>
    <xf numFmtId="166" fontId="26" fillId="4" borderId="0" xfId="5" applyNumberFormat="1" applyFill="1" applyAlignment="1">
      <alignment vertical="center" shrinkToFit="1"/>
    </xf>
    <xf numFmtId="173" fontId="26" fillId="4" borderId="0" xfId="10" applyNumberFormat="1" applyFont="1" applyFill="1" applyAlignment="1" applyProtection="1">
      <alignment horizontal="right"/>
      <protection locked="0"/>
    </xf>
    <xf numFmtId="166" fontId="26" fillId="22" borderId="0" xfId="5" applyNumberFormat="1" applyFill="1" applyAlignment="1">
      <alignment horizontal="right" vertical="center" shrinkToFit="1"/>
    </xf>
    <xf numFmtId="166" fontId="26" fillId="22" borderId="7" xfId="5" applyNumberFormat="1" applyFill="1" applyBorder="1" applyAlignment="1">
      <alignment horizontal="right" vertical="center" shrinkToFit="1"/>
    </xf>
    <xf numFmtId="0" fontId="114" fillId="0" borderId="16" xfId="0" applyFont="1" applyBorder="1" applyAlignment="1">
      <alignment horizontal="left" vertical="center" indent="2"/>
    </xf>
    <xf numFmtId="0" fontId="126" fillId="34" borderId="16" xfId="0" applyFont="1" applyFill="1" applyBorder="1" applyAlignment="1">
      <alignment horizontal="left"/>
    </xf>
    <xf numFmtId="0" fontId="114" fillId="0" borderId="16" xfId="0" applyFont="1" applyBorder="1" applyAlignment="1">
      <alignment horizontal="left" vertical="center"/>
    </xf>
    <xf numFmtId="0" fontId="126" fillId="0" borderId="16" xfId="0" applyFont="1" applyBorder="1" applyAlignment="1">
      <alignment horizontal="left" vertical="center"/>
    </xf>
    <xf numFmtId="0" fontId="25" fillId="14" borderId="0" xfId="16" applyFont="1" applyFill="1" applyAlignment="1">
      <alignment horizontal="center" vertical="center"/>
    </xf>
    <xf numFmtId="173" fontId="26" fillId="0" borderId="7" xfId="16" quotePrefix="1" applyNumberFormat="1" applyFont="1" applyBorder="1"/>
    <xf numFmtId="170" fontId="26" fillId="40" borderId="0" xfId="1" applyNumberFormat="1" applyFont="1" applyFill="1" applyAlignment="1">
      <alignment vertical="center"/>
    </xf>
    <xf numFmtId="167" fontId="26" fillId="40" borderId="0" xfId="1" applyNumberFormat="1" applyFont="1" applyFill="1" applyAlignment="1">
      <alignment vertical="center"/>
    </xf>
    <xf numFmtId="0" fontId="111" fillId="0" borderId="0" xfId="0" applyFont="1" applyAlignment="1">
      <alignment vertical="center"/>
    </xf>
    <xf numFmtId="189" fontId="0" fillId="0" borderId="8" xfId="0" applyNumberFormat="1" applyBorder="1" applyAlignment="1">
      <alignment vertical="center"/>
    </xf>
    <xf numFmtId="0" fontId="0" fillId="0" borderId="12" xfId="0" applyBorder="1" applyAlignment="1">
      <alignment vertical="center"/>
    </xf>
    <xf numFmtId="0" fontId="111" fillId="0" borderId="0" xfId="0" applyFont="1" applyAlignment="1">
      <alignment wrapText="1"/>
    </xf>
    <xf numFmtId="166" fontId="26" fillId="39" borderId="0" xfId="4" applyNumberFormat="1" applyFill="1" applyAlignment="1">
      <alignment vertical="center" wrapText="1"/>
    </xf>
    <xf numFmtId="166" fontId="25" fillId="18" borderId="7" xfId="4" applyNumberFormat="1" applyFont="1" applyFill="1" applyBorder="1" applyAlignment="1">
      <alignment horizontal="right" vertical="center"/>
    </xf>
    <xf numFmtId="166" fontId="26" fillId="0" borderId="0" xfId="4" applyNumberFormat="1" applyAlignment="1">
      <alignment horizontal="right" vertical="center" wrapText="1"/>
    </xf>
    <xf numFmtId="0" fontId="26" fillId="0" borderId="42" xfId="22" applyBorder="1" applyAlignment="1">
      <alignment horizontal="left" vertical="center"/>
    </xf>
    <xf numFmtId="0" fontId="25" fillId="26" borderId="38" xfId="22" applyFont="1" applyFill="1" applyBorder="1" applyAlignment="1">
      <alignment horizontal="left"/>
    </xf>
    <xf numFmtId="0" fontId="26" fillId="26" borderId="20" xfId="22" applyFill="1" applyBorder="1" applyAlignment="1">
      <alignment horizontal="left"/>
    </xf>
    <xf numFmtId="0" fontId="25" fillId="0" borderId="39" xfId="22" applyFont="1" applyBorder="1" applyAlignment="1">
      <alignment horizontal="center" wrapText="1"/>
    </xf>
    <xf numFmtId="0" fontId="25" fillId="0" borderId="39" xfId="22" applyFont="1" applyBorder="1" applyAlignment="1">
      <alignment horizontal="center"/>
    </xf>
    <xf numFmtId="0" fontId="25" fillId="0" borderId="40" xfId="22" applyFont="1" applyBorder="1" applyAlignment="1">
      <alignment horizontal="center"/>
    </xf>
    <xf numFmtId="0" fontId="25" fillId="0" borderId="45" xfId="22" applyFont="1" applyBorder="1" applyAlignment="1">
      <alignment horizontal="left"/>
    </xf>
    <xf numFmtId="0" fontId="26" fillId="0" borderId="8" xfId="22" applyBorder="1" applyAlignment="1">
      <alignment horizontal="left"/>
    </xf>
    <xf numFmtId="0" fontId="25" fillId="0" borderId="1" xfId="22" applyFont="1" applyBorder="1" applyAlignment="1">
      <alignment horizontal="center" wrapText="1"/>
    </xf>
    <xf numFmtId="6" fontId="25" fillId="0" borderId="15" xfId="22" quotePrefix="1" applyNumberFormat="1" applyFont="1" applyBorder="1" applyAlignment="1">
      <alignment horizontal="center"/>
    </xf>
    <xf numFmtId="0" fontId="26" fillId="0" borderId="42" xfId="22" applyBorder="1" applyAlignment="1">
      <alignment horizontal="left"/>
    </xf>
    <xf numFmtId="173" fontId="26" fillId="12" borderId="1" xfId="22" applyNumberFormat="1" applyFill="1" applyBorder="1" applyProtection="1">
      <protection locked="0"/>
    </xf>
    <xf numFmtId="173" fontId="25" fillId="24" borderId="22" xfId="22" applyNumberFormat="1" applyFont="1" applyFill="1" applyBorder="1"/>
    <xf numFmtId="0" fontId="26" fillId="0" borderId="41" xfId="22" applyBorder="1" applyAlignment="1">
      <alignment horizontal="left"/>
    </xf>
    <xf numFmtId="0" fontId="26" fillId="0" borderId="7" xfId="22" applyBorder="1" applyAlignment="1">
      <alignment wrapText="1"/>
    </xf>
    <xf numFmtId="173" fontId="25" fillId="24" borderId="1" xfId="22" applyNumberFormat="1" applyFont="1" applyFill="1" applyBorder="1"/>
    <xf numFmtId="0" fontId="25" fillId="26" borderId="38" xfId="22" applyFont="1" applyFill="1" applyBorder="1" applyAlignment="1">
      <alignment horizontal="left" vertical="center"/>
    </xf>
    <xf numFmtId="0" fontId="25" fillId="26" borderId="20" xfId="22" applyFont="1" applyFill="1" applyBorder="1" applyAlignment="1">
      <alignment horizontal="left" vertical="center"/>
    </xf>
    <xf numFmtId="0" fontId="25" fillId="0" borderId="42" xfId="22" applyFont="1" applyBorder="1" applyAlignment="1">
      <alignment horizontal="left" vertical="center"/>
    </xf>
    <xf numFmtId="0" fontId="25" fillId="0" borderId="0" xfId="22" applyFont="1" applyAlignment="1">
      <alignment horizontal="center" vertical="center"/>
    </xf>
    <xf numFmtId="0" fontId="25" fillId="0" borderId="17" xfId="22" applyFont="1" applyBorder="1" applyAlignment="1">
      <alignment horizontal="center" wrapText="1"/>
    </xf>
    <xf numFmtId="173" fontId="26" fillId="0" borderId="10" xfId="22" applyNumberFormat="1" applyBorder="1"/>
    <xf numFmtId="173" fontId="26" fillId="0" borderId="14" xfId="22" applyNumberFormat="1" applyBorder="1"/>
    <xf numFmtId="0" fontId="25" fillId="0" borderId="42" xfId="22" applyFont="1" applyBorder="1" applyAlignment="1">
      <alignment horizontal="left"/>
    </xf>
    <xf numFmtId="0" fontId="26" fillId="0" borderId="23" xfId="22" applyBorder="1" applyAlignment="1">
      <alignment horizontal="left"/>
    </xf>
    <xf numFmtId="0" fontId="26" fillId="0" borderId="3" xfId="22" applyBorder="1" applyAlignment="1">
      <alignment horizontal="left"/>
    </xf>
    <xf numFmtId="173" fontId="25" fillId="0" borderId="46" xfId="22" applyNumberFormat="1" applyFont="1" applyBorder="1"/>
    <xf numFmtId="43" fontId="25" fillId="0" borderId="1" xfId="1" applyFont="1" applyFill="1" applyBorder="1"/>
    <xf numFmtId="164" fontId="0" fillId="9" borderId="0" xfId="1" applyNumberFormat="1" applyFont="1" applyFill="1" applyAlignment="1">
      <alignment vertical="center"/>
    </xf>
    <xf numFmtId="0" fontId="0" fillId="9" borderId="0" xfId="0" applyFill="1"/>
    <xf numFmtId="43" fontId="53" fillId="0" borderId="0" xfId="1" applyFont="1" applyFill="1" applyAlignment="1">
      <alignment horizontal="right" vertical="center"/>
    </xf>
    <xf numFmtId="43" fontId="0" fillId="0" borderId="0" xfId="1" applyFont="1" applyFill="1" applyAlignment="1">
      <alignment horizontal="right" vertical="center"/>
    </xf>
    <xf numFmtId="164" fontId="0" fillId="32" borderId="0" xfId="1" applyNumberFormat="1" applyFont="1" applyFill="1" applyAlignment="1">
      <alignment horizontal="right" vertical="center"/>
    </xf>
    <xf numFmtId="0" fontId="0" fillId="32" borderId="0" xfId="0" applyFill="1" applyAlignment="1">
      <alignment wrapText="1"/>
    </xf>
    <xf numFmtId="0" fontId="3" fillId="7" borderId="6" xfId="0" applyFont="1" applyFill="1" applyBorder="1" applyAlignment="1">
      <alignment vertical="center" wrapText="1"/>
    </xf>
    <xf numFmtId="0" fontId="4" fillId="0" borderId="0" xfId="0" applyFont="1" applyAlignment="1">
      <alignment vertical="center"/>
    </xf>
    <xf numFmtId="0" fontId="45" fillId="0" borderId="0" xfId="0" applyFont="1" applyAlignment="1">
      <alignment horizontal="left" vertical="center" wrapText="1"/>
    </xf>
    <xf numFmtId="164" fontId="85" fillId="0" borderId="0" xfId="5" applyNumberFormat="1" applyFont="1" applyFill="1" applyAlignment="1">
      <alignment horizontal="left" vertical="center"/>
    </xf>
    <xf numFmtId="0" fontId="127" fillId="0" borderId="0" xfId="0" applyFont="1" applyAlignment="1">
      <alignment horizontal="left" vertical="center"/>
    </xf>
    <xf numFmtId="0" fontId="110" fillId="0" borderId="0" xfId="0" applyFont="1" applyAlignment="1">
      <alignment horizontal="left" vertical="center" wrapText="1"/>
    </xf>
    <xf numFmtId="164" fontId="7" fillId="0" borderId="0" xfId="5" applyNumberFormat="1" applyFont="1" applyFill="1" applyAlignment="1">
      <alignment horizontal="left" vertical="center"/>
    </xf>
    <xf numFmtId="164" fontId="0" fillId="0" borderId="0" xfId="5" applyNumberFormat="1" applyFont="1" applyFill="1" applyAlignment="1">
      <alignment horizontal="left" vertical="center"/>
    </xf>
    <xf numFmtId="0" fontId="110" fillId="0" borderId="0" xfId="0" applyFont="1" applyAlignment="1">
      <alignment horizontal="left" vertical="center"/>
    </xf>
    <xf numFmtId="164" fontId="82" fillId="7" borderId="0" xfId="1" applyNumberFormat="1" applyFont="1" applyFill="1" applyAlignment="1">
      <alignment horizontal="left" vertical="center"/>
    </xf>
    <xf numFmtId="0" fontId="110" fillId="7" borderId="0" xfId="0" applyFont="1" applyFill="1" applyAlignment="1">
      <alignment horizontal="left" vertical="center"/>
    </xf>
    <xf numFmtId="0" fontId="110" fillId="30" borderId="34" xfId="0" applyFont="1" applyFill="1" applyBorder="1" applyAlignment="1">
      <alignment horizontal="left" vertical="center"/>
    </xf>
    <xf numFmtId="0" fontId="128" fillId="0" borderId="0" xfId="0" applyFont="1" applyAlignment="1">
      <alignment horizontal="left" vertical="center"/>
    </xf>
    <xf numFmtId="0" fontId="113" fillId="0" borderId="0" xfId="0" applyFont="1" applyAlignment="1">
      <alignment horizontal="left" vertical="center"/>
    </xf>
    <xf numFmtId="0" fontId="113" fillId="4" borderId="0" xfId="0" applyFont="1" applyFill="1" applyAlignment="1">
      <alignment horizontal="left" vertical="center" wrapText="1"/>
    </xf>
    <xf numFmtId="164" fontId="82" fillId="7" borderId="3" xfId="5" applyNumberFormat="1" applyFont="1" applyFill="1" applyBorder="1" applyAlignment="1">
      <alignment horizontal="left" vertical="center"/>
    </xf>
    <xf numFmtId="0" fontId="82" fillId="7" borderId="3" xfId="0" applyFont="1" applyFill="1" applyBorder="1" applyAlignment="1">
      <alignment vertical="center" wrapText="1"/>
    </xf>
    <xf numFmtId="0" fontId="110" fillId="4" borderId="0" xfId="0" applyFont="1" applyFill="1" applyAlignment="1">
      <alignment horizontal="left" vertical="center"/>
    </xf>
    <xf numFmtId="0" fontId="4" fillId="0" borderId="0" xfId="0" applyFont="1" applyAlignment="1">
      <alignment vertical="center" wrapText="1"/>
    </xf>
    <xf numFmtId="164" fontId="82" fillId="7" borderId="0" xfId="5" applyNumberFormat="1" applyFont="1" applyFill="1" applyAlignment="1">
      <alignment horizontal="left" vertical="center"/>
    </xf>
    <xf numFmtId="0" fontId="110" fillId="4" borderId="0" xfId="0" applyFont="1" applyFill="1" applyAlignment="1">
      <alignment horizontal="left" vertical="center" wrapText="1"/>
    </xf>
    <xf numFmtId="0" fontId="110" fillId="0" borderId="22" xfId="0" applyFont="1" applyBorder="1" applyAlignment="1">
      <alignment horizontal="left" vertical="center"/>
    </xf>
    <xf numFmtId="0" fontId="110" fillId="0" borderId="10" xfId="0" applyFont="1" applyBorder="1" applyAlignment="1">
      <alignment horizontal="left" vertical="center"/>
    </xf>
    <xf numFmtId="0" fontId="110" fillId="0" borderId="17" xfId="0" applyFont="1" applyBorder="1" applyAlignment="1">
      <alignment horizontal="left" vertical="center"/>
    </xf>
    <xf numFmtId="0" fontId="110" fillId="0" borderId="0" xfId="0" quotePrefix="1" applyFont="1" applyAlignment="1">
      <alignment horizontal="left" vertical="center"/>
    </xf>
    <xf numFmtId="0" fontId="4" fillId="0" borderId="0" xfId="0" applyFont="1" applyAlignment="1">
      <alignment wrapText="1"/>
    </xf>
    <xf numFmtId="164" fontId="82" fillId="7" borderId="0" xfId="1" applyNumberFormat="1" applyFont="1" applyFill="1" applyAlignment="1">
      <alignment horizontal="left" vertical="center" wrapText="1"/>
    </xf>
    <xf numFmtId="0" fontId="127" fillId="0" borderId="0" xfId="0" applyFont="1" applyAlignment="1">
      <alignment horizontal="left" vertical="center" wrapText="1"/>
    </xf>
    <xf numFmtId="0" fontId="128" fillId="0" borderId="0" xfId="0" applyFont="1" applyAlignment="1">
      <alignment horizontal="left" vertical="center" wrapText="1"/>
    </xf>
    <xf numFmtId="0" fontId="128" fillId="7" borderId="0" xfId="0" applyFont="1" applyFill="1" applyAlignment="1">
      <alignment horizontal="left" vertical="center" wrapText="1"/>
    </xf>
    <xf numFmtId="0" fontId="113" fillId="0" borderId="0" xfId="0" applyFont="1" applyAlignment="1">
      <alignment horizontal="left" vertical="center" wrapText="1"/>
    </xf>
    <xf numFmtId="0" fontId="128" fillId="7" borderId="0" xfId="0" applyFont="1" applyFill="1" applyAlignment="1">
      <alignment horizontal="left" vertical="center"/>
    </xf>
    <xf numFmtId="0" fontId="110" fillId="0" borderId="0" xfId="0" applyFont="1" applyAlignment="1">
      <alignment vertical="center" wrapText="1"/>
    </xf>
    <xf numFmtId="0" fontId="4" fillId="0" borderId="0" xfId="0" applyFont="1"/>
    <xf numFmtId="0" fontId="128" fillId="0" borderId="0" xfId="0" applyFont="1" applyAlignment="1">
      <alignment horizontal="center" vertical="center"/>
    </xf>
    <xf numFmtId="0" fontId="110" fillId="0" borderId="22" xfId="0" applyFont="1" applyBorder="1" applyAlignment="1">
      <alignment horizontal="left" vertical="center" wrapText="1"/>
    </xf>
    <xf numFmtId="0" fontId="110" fillId="0" borderId="10" xfId="0" applyFont="1" applyBorder="1" applyAlignment="1">
      <alignment horizontal="left" vertical="center" wrapText="1"/>
    </xf>
    <xf numFmtId="0" fontId="110" fillId="0" borderId="17" xfId="0" applyFont="1" applyBorder="1" applyAlignment="1">
      <alignment horizontal="left" vertical="center" wrapText="1"/>
    </xf>
    <xf numFmtId="0" fontId="110" fillId="0" borderId="0" xfId="0" quotePrefix="1" applyFont="1" applyAlignment="1">
      <alignment horizontal="left" vertical="center" wrapText="1"/>
    </xf>
    <xf numFmtId="0" fontId="110" fillId="7" borderId="0" xfId="0" applyFont="1" applyFill="1" applyAlignment="1">
      <alignment horizontal="left" vertical="center" wrapText="1"/>
    </xf>
    <xf numFmtId="0" fontId="4" fillId="7" borderId="0" xfId="0" applyFont="1" applyFill="1" applyAlignment="1">
      <alignment vertical="center" wrapText="1"/>
    </xf>
    <xf numFmtId="164" fontId="3" fillId="0" borderId="0" xfId="1" applyNumberFormat="1" applyFont="1" applyFill="1" applyAlignment="1">
      <alignment horizontal="right" vertical="center"/>
    </xf>
    <xf numFmtId="0" fontId="0" fillId="7" borderId="0" xfId="0" applyFill="1" applyAlignment="1">
      <alignment horizontal="center" vertical="center"/>
    </xf>
    <xf numFmtId="0" fontId="7" fillId="7" borderId="0" xfId="0" applyFont="1" applyFill="1" applyAlignment="1">
      <alignment horizontal="center" vertical="center"/>
    </xf>
    <xf numFmtId="0" fontId="81" fillId="30" borderId="34" xfId="0" applyFont="1" applyFill="1" applyBorder="1" applyAlignment="1">
      <alignment horizontal="center" vertical="center"/>
    </xf>
    <xf numFmtId="0" fontId="84" fillId="30" borderId="0" xfId="6" applyFont="1" applyFill="1" applyAlignment="1">
      <alignment horizontal="center" vertical="center"/>
    </xf>
    <xf numFmtId="0" fontId="2" fillId="30" borderId="34" xfId="0" applyFont="1" applyFill="1" applyBorder="1" applyAlignment="1">
      <alignment horizontal="center" vertical="center"/>
    </xf>
    <xf numFmtId="0" fontId="85" fillId="30" borderId="34" xfId="0" applyFont="1" applyFill="1" applyBorder="1" applyAlignment="1">
      <alignment horizontal="center" vertical="center"/>
    </xf>
    <xf numFmtId="0" fontId="84" fillId="30" borderId="34" xfId="0" applyFont="1" applyFill="1" applyBorder="1" applyAlignment="1">
      <alignment horizontal="center" vertical="center"/>
    </xf>
    <xf numFmtId="166" fontId="34" fillId="0" borderId="0" xfId="4" applyNumberFormat="1" applyFont="1" applyAlignment="1">
      <alignment vertical="top"/>
    </xf>
    <xf numFmtId="0" fontId="81" fillId="30" borderId="33" xfId="6" applyFont="1" applyFill="1" applyBorder="1" applyAlignment="1">
      <alignment horizontal="center" vertical="center"/>
    </xf>
    <xf numFmtId="0" fontId="0" fillId="7" borderId="23" xfId="0" applyFill="1" applyBorder="1" applyAlignment="1">
      <alignment horizontal="center" vertical="center"/>
    </xf>
    <xf numFmtId="183" fontId="0" fillId="0" borderId="0" xfId="0" applyNumberFormat="1" applyAlignment="1">
      <alignment horizontal="center" vertical="center"/>
    </xf>
    <xf numFmtId="183" fontId="0" fillId="7" borderId="0" xfId="0" applyNumberFormat="1" applyFill="1" applyAlignment="1">
      <alignment horizontal="center" vertical="center"/>
    </xf>
    <xf numFmtId="3" fontId="26" fillId="4" borderId="2" xfId="16" applyNumberFormat="1" applyFont="1" applyFill="1" applyBorder="1" applyAlignment="1" applyProtection="1">
      <alignment horizontal="right"/>
      <protection locked="0"/>
    </xf>
    <xf numFmtId="173" fontId="26" fillId="41" borderId="0" xfId="16" applyNumberFormat="1" applyFont="1" applyFill="1"/>
    <xf numFmtId="173" fontId="26" fillId="17" borderId="0" xfId="16" applyNumberFormat="1" applyFont="1" applyFill="1"/>
    <xf numFmtId="0" fontId="129" fillId="0" borderId="0" xfId="0" applyFont="1" applyAlignment="1">
      <alignment horizontal="justify" vertical="center"/>
    </xf>
    <xf numFmtId="0" fontId="4" fillId="0" borderId="0" xfId="0" applyFont="1" applyAlignment="1">
      <alignment horizontal="justify" vertical="center"/>
    </xf>
    <xf numFmtId="0" fontId="82" fillId="0" borderId="0" xfId="0" applyFont="1" applyAlignment="1">
      <alignment horizontal="justify" vertical="center"/>
    </xf>
    <xf numFmtId="0" fontId="0" fillId="0" borderId="0" xfId="0" applyAlignment="1">
      <alignment horizontal="justify" vertical="center"/>
    </xf>
    <xf numFmtId="0" fontId="130" fillId="0" borderId="0" xfId="0" applyFont="1" applyAlignment="1">
      <alignment horizontal="justify" vertical="center"/>
    </xf>
    <xf numFmtId="1" fontId="33" fillId="0" borderId="0" xfId="22" applyNumberFormat="1" applyFont="1"/>
    <xf numFmtId="166" fontId="25" fillId="0" borderId="1" xfId="4" applyNumberFormat="1" applyFont="1" applyBorder="1" applyAlignment="1">
      <alignment horizontal="right"/>
    </xf>
    <xf numFmtId="166" fontId="25" fillId="0" borderId="1" xfId="4" applyNumberFormat="1" applyFont="1" applyBorder="1" applyAlignment="1">
      <alignment horizontal="right" wrapText="1"/>
    </xf>
    <xf numFmtId="166" fontId="25" fillId="0" borderId="7" xfId="4" applyNumberFormat="1" applyFont="1" applyBorder="1" applyAlignment="1">
      <alignment horizontal="right" wrapText="1"/>
    </xf>
    <xf numFmtId="166" fontId="25" fillId="0" borderId="22" xfId="4" applyNumberFormat="1" applyFont="1" applyBorder="1" applyAlignment="1">
      <alignment horizontal="right"/>
    </xf>
    <xf numFmtId="166" fontId="26" fillId="0" borderId="4" xfId="4" applyNumberFormat="1" applyBorder="1" applyAlignment="1">
      <alignment vertical="top" wrapText="1"/>
    </xf>
    <xf numFmtId="166" fontId="26" fillId="0" borderId="4" xfId="4" applyNumberFormat="1" applyBorder="1" applyAlignment="1">
      <alignment horizontal="center" vertical="top" wrapText="1"/>
    </xf>
    <xf numFmtId="166" fontId="26" fillId="0" borderId="1" xfId="4" applyNumberFormat="1" applyBorder="1" applyAlignment="1">
      <alignment vertical="top" wrapText="1"/>
    </xf>
    <xf numFmtId="166" fontId="25" fillId="0" borderId="4" xfId="4" applyNumberFormat="1" applyFont="1" applyBorder="1" applyAlignment="1">
      <alignment vertical="top" wrapText="1"/>
    </xf>
    <xf numFmtId="166" fontId="25" fillId="0" borderId="4" xfId="4" applyNumberFormat="1" applyFont="1" applyBorder="1" applyAlignment="1">
      <alignment horizontal="center" vertical="top" wrapText="1"/>
    </xf>
    <xf numFmtId="166" fontId="25" fillId="0" borderId="1" xfId="4" applyNumberFormat="1" applyFont="1" applyBorder="1" applyAlignment="1">
      <alignment vertical="top" wrapText="1"/>
    </xf>
    <xf numFmtId="166" fontId="25" fillId="0" borderId="10" xfId="4" applyNumberFormat="1" applyFont="1" applyBorder="1" applyAlignment="1">
      <alignment vertical="top" wrapText="1"/>
    </xf>
    <xf numFmtId="166" fontId="25" fillId="0" borderId="2" xfId="4" applyNumberFormat="1" applyFont="1" applyBorder="1" applyAlignment="1">
      <alignment vertical="top" wrapText="1"/>
    </xf>
    <xf numFmtId="166" fontId="25" fillId="0" borderId="1" xfId="5" applyNumberFormat="1" applyFont="1" applyFill="1" applyBorder="1" applyProtection="1"/>
    <xf numFmtId="166" fontId="25" fillId="0" borderId="16" xfId="5" applyNumberFormat="1" applyFont="1" applyFill="1" applyBorder="1" applyProtection="1"/>
    <xf numFmtId="166" fontId="26" fillId="0" borderId="1" xfId="5" applyNumberFormat="1" applyFont="1" applyFill="1" applyBorder="1" applyProtection="1"/>
    <xf numFmtId="166" fontId="26" fillId="0" borderId="4" xfId="5" applyNumberFormat="1" applyFont="1" applyFill="1" applyBorder="1" applyProtection="1"/>
    <xf numFmtId="166" fontId="26" fillId="0" borderId="15" xfId="5" applyNumberFormat="1" applyFont="1" applyFill="1" applyBorder="1" applyProtection="1"/>
    <xf numFmtId="166" fontId="25" fillId="0" borderId="4" xfId="5" applyNumberFormat="1" applyFont="1" applyFill="1" applyBorder="1" applyProtection="1"/>
    <xf numFmtId="166" fontId="25" fillId="0" borderId="10" xfId="5" applyNumberFormat="1" applyFont="1" applyFill="1" applyBorder="1" applyProtection="1"/>
    <xf numFmtId="168" fontId="33" fillId="0" borderId="0" xfId="0" applyNumberFormat="1" applyFont="1" applyAlignment="1">
      <alignment horizontal="center"/>
    </xf>
    <xf numFmtId="166" fontId="26" fillId="0" borderId="0" xfId="5" applyNumberFormat="1" applyFont="1" applyFill="1" applyProtection="1"/>
    <xf numFmtId="166" fontId="26" fillId="0" borderId="0" xfId="5" applyNumberFormat="1" applyFont="1" applyFill="1" applyBorder="1" applyProtection="1"/>
    <xf numFmtId="166" fontId="25" fillId="0" borderId="0" xfId="5" applyNumberFormat="1" applyFont="1" applyFill="1" applyBorder="1" applyAlignment="1" applyProtection="1">
      <alignment horizontal="center"/>
    </xf>
    <xf numFmtId="166" fontId="25" fillId="0" borderId="0" xfId="5" applyNumberFormat="1" applyFont="1" applyFill="1" applyBorder="1" applyAlignment="1" applyProtection="1">
      <alignment horizontal="right"/>
    </xf>
    <xf numFmtId="167" fontId="26" fillId="0" borderId="0" xfId="1" applyNumberFormat="1" applyFont="1"/>
    <xf numFmtId="0" fontId="82" fillId="0" borderId="0" xfId="0" applyFont="1"/>
    <xf numFmtId="167" fontId="4" fillId="0" borderId="0" xfId="1" applyNumberFormat="1" applyFont="1"/>
    <xf numFmtId="0" fontId="6" fillId="0" borderId="0" xfId="0" applyFont="1"/>
    <xf numFmtId="167" fontId="111" fillId="0" borderId="0" xfId="1" applyNumberFormat="1" applyFont="1" applyFill="1"/>
    <xf numFmtId="0" fontId="82" fillId="0" borderId="1" xfId="0" applyFont="1" applyBorder="1"/>
    <xf numFmtId="167" fontId="82" fillId="0" borderId="1" xfId="1" applyNumberFormat="1" applyFont="1" applyBorder="1"/>
    <xf numFmtId="167" fontId="82" fillId="0" borderId="16" xfId="1" applyNumberFormat="1" applyFont="1" applyBorder="1"/>
    <xf numFmtId="0" fontId="82" fillId="0" borderId="2" xfId="0" applyFont="1" applyBorder="1"/>
    <xf numFmtId="167" fontId="4" fillId="0" borderId="0" xfId="1" applyNumberFormat="1" applyFont="1" applyBorder="1"/>
    <xf numFmtId="167" fontId="4" fillId="0" borderId="10" xfId="1" applyNumberFormat="1" applyFont="1" applyBorder="1"/>
    <xf numFmtId="0" fontId="4" fillId="0" borderId="2" xfId="0" applyFont="1" applyBorder="1"/>
    <xf numFmtId="167" fontId="6" fillId="0" borderId="0" xfId="0" applyNumberFormat="1" applyFont="1"/>
    <xf numFmtId="0" fontId="82" fillId="0" borderId="16" xfId="0" applyFont="1" applyBorder="1"/>
    <xf numFmtId="0" fontId="9" fillId="0" borderId="2" xfId="0" applyFont="1" applyBorder="1"/>
    <xf numFmtId="0" fontId="9" fillId="0" borderId="0" xfId="0" applyFont="1"/>
    <xf numFmtId="0" fontId="131" fillId="0" borderId="2" xfId="0" applyFont="1" applyBorder="1"/>
    <xf numFmtId="0" fontId="132" fillId="0" borderId="0" xfId="0" applyFont="1"/>
    <xf numFmtId="0" fontId="132" fillId="0" borderId="2" xfId="0" applyFont="1" applyBorder="1"/>
    <xf numFmtId="166" fontId="25" fillId="0" borderId="1" xfId="4" applyNumberFormat="1" applyFont="1" applyBorder="1" applyAlignment="1">
      <alignment horizontal="center" vertical="center" wrapText="1"/>
    </xf>
    <xf numFmtId="166" fontId="26" fillId="0" borderId="10" xfId="4" applyNumberFormat="1" applyBorder="1" applyAlignment="1">
      <alignment vertical="top"/>
    </xf>
    <xf numFmtId="166" fontId="25" fillId="0" borderId="7" xfId="4" applyNumberFormat="1" applyFont="1" applyBorder="1" applyAlignment="1">
      <alignment horizontal="center" vertical="top"/>
    </xf>
    <xf numFmtId="166" fontId="26" fillId="0" borderId="17" xfId="4" applyNumberFormat="1" applyBorder="1" applyAlignment="1">
      <alignment vertical="top"/>
    </xf>
    <xf numFmtId="166" fontId="25" fillId="0" borderId="4" xfId="4" applyNumberFormat="1" applyFont="1" applyBorder="1" applyAlignment="1">
      <alignment horizontal="center" vertical="top"/>
    </xf>
    <xf numFmtId="166" fontId="25" fillId="0" borderId="1" xfId="4" applyNumberFormat="1" applyFont="1" applyBorder="1" applyAlignment="1">
      <alignment vertical="top"/>
    </xf>
    <xf numFmtId="166" fontId="25" fillId="0" borderId="4" xfId="4" applyNumberFormat="1" applyFont="1" applyBorder="1" applyAlignment="1">
      <alignment horizontal="center" vertical="center"/>
    </xf>
    <xf numFmtId="166" fontId="28" fillId="0" borderId="0" xfId="4" applyNumberFormat="1" applyFont="1" applyAlignment="1">
      <alignment vertical="top"/>
    </xf>
    <xf numFmtId="166" fontId="25" fillId="0" borderId="1" xfId="4" applyNumberFormat="1" applyFont="1" applyBorder="1" applyAlignment="1">
      <alignment horizontal="center" wrapText="1"/>
    </xf>
    <xf numFmtId="166" fontId="26" fillId="0" borderId="22" xfId="4" applyNumberFormat="1" applyBorder="1"/>
    <xf numFmtId="166" fontId="31" fillId="0" borderId="10" xfId="4" applyNumberFormat="1" applyFont="1" applyBorder="1"/>
    <xf numFmtId="166" fontId="26" fillId="0" borderId="50" xfId="4" applyNumberFormat="1" applyBorder="1" applyAlignment="1">
      <alignment horizontal="center"/>
    </xf>
    <xf numFmtId="166" fontId="26" fillId="0" borderId="51" xfId="4" applyNumberFormat="1" applyBorder="1"/>
    <xf numFmtId="166" fontId="26" fillId="0" borderId="4" xfId="4" quotePrefix="1" applyNumberFormat="1" applyBorder="1" applyAlignment="1">
      <alignment horizontal="center"/>
    </xf>
    <xf numFmtId="0" fontId="111" fillId="0" borderId="0" xfId="0" applyFont="1"/>
    <xf numFmtId="0" fontId="0" fillId="0" borderId="0" xfId="0" applyAlignment="1">
      <alignment horizontal="left" vertical="top"/>
    </xf>
    <xf numFmtId="0" fontId="111" fillId="0" borderId="2" xfId="0" applyFont="1" applyBorder="1" applyAlignment="1">
      <alignment vertical="center"/>
    </xf>
    <xf numFmtId="189" fontId="111" fillId="0" borderId="0" xfId="0" applyNumberFormat="1" applyFont="1" applyAlignment="1">
      <alignment vertical="center"/>
    </xf>
    <xf numFmtId="186" fontId="0" fillId="0" borderId="0" xfId="0" applyNumberFormat="1" applyAlignment="1">
      <alignment vertical="center" wrapText="1"/>
    </xf>
    <xf numFmtId="186" fontId="47" fillId="0" borderId="0" xfId="0" applyNumberFormat="1" applyFont="1" applyAlignment="1">
      <alignment horizontal="left" vertical="center" wrapText="1"/>
    </xf>
    <xf numFmtId="186" fontId="3" fillId="0" borderId="8" xfId="0" applyNumberFormat="1" applyFont="1" applyBorder="1"/>
    <xf numFmtId="0" fontId="0" fillId="28" borderId="0" xfId="0" applyFill="1" applyAlignment="1">
      <alignment vertical="center"/>
    </xf>
    <xf numFmtId="0" fontId="0" fillId="28" borderId="0" xfId="0" applyFill="1" applyAlignment="1">
      <alignment horizontal="center" vertical="center"/>
    </xf>
    <xf numFmtId="0" fontId="8" fillId="28" borderId="0" xfId="0" applyFont="1" applyFill="1" applyAlignment="1">
      <alignment horizontal="center" vertical="center"/>
    </xf>
    <xf numFmtId="0" fontId="3" fillId="28" borderId="0" xfId="0" applyFont="1" applyFill="1" applyAlignment="1">
      <alignment vertical="center" wrapText="1"/>
    </xf>
    <xf numFmtId="186" fontId="7" fillId="28" borderId="0" xfId="0" applyNumberFormat="1" applyFont="1" applyFill="1" applyAlignment="1">
      <alignment vertical="center"/>
    </xf>
    <xf numFmtId="166" fontId="26" fillId="28" borderId="0" xfId="4" applyNumberFormat="1" applyFill="1"/>
    <xf numFmtId="0" fontId="0" fillId="28" borderId="0" xfId="0" applyFill="1" applyAlignment="1">
      <alignment vertical="center" wrapText="1"/>
    </xf>
    <xf numFmtId="186" fontId="0" fillId="28" borderId="0" xfId="1" applyNumberFormat="1" applyFont="1" applyFill="1" applyAlignment="1">
      <alignment vertical="center"/>
    </xf>
    <xf numFmtId="186" fontId="3" fillId="0" borderId="0" xfId="0" applyNumberFormat="1" applyFont="1" applyAlignment="1">
      <alignment vertical="center"/>
    </xf>
    <xf numFmtId="0" fontId="135" fillId="31" borderId="53" xfId="0" applyFont="1" applyFill="1" applyBorder="1" applyAlignment="1">
      <alignment horizontal="center"/>
    </xf>
    <xf numFmtId="0" fontId="135" fillId="0" borderId="0" xfId="0" applyFont="1"/>
    <xf numFmtId="0" fontId="3" fillId="0" borderId="53" xfId="0" applyFont="1" applyBorder="1" applyAlignment="1">
      <alignment horizontal="center" vertical="top"/>
    </xf>
    <xf numFmtId="0" fontId="0" fillId="0" borderId="53" xfId="0" applyBorder="1"/>
    <xf numFmtId="0" fontId="0" fillId="0" borderId="53" xfId="0" applyBorder="1" applyAlignment="1">
      <alignment horizontal="center" vertical="center"/>
    </xf>
    <xf numFmtId="0" fontId="0" fillId="0" borderId="53" xfId="0" applyBorder="1" applyAlignment="1">
      <alignment vertical="top" wrapText="1"/>
    </xf>
    <xf numFmtId="0" fontId="81" fillId="31" borderId="61" xfId="0" applyFont="1" applyFill="1" applyBorder="1"/>
    <xf numFmtId="0" fontId="2" fillId="31" borderId="40" xfId="0" applyFont="1" applyFill="1" applyBorder="1"/>
    <xf numFmtId="0" fontId="2" fillId="31" borderId="62" xfId="0" applyFont="1" applyFill="1" applyBorder="1"/>
    <xf numFmtId="0" fontId="0" fillId="0" borderId="63" xfId="0" applyBorder="1"/>
    <xf numFmtId="0" fontId="0" fillId="0" borderId="64" xfId="0" applyBorder="1"/>
    <xf numFmtId="0" fontId="3" fillId="0" borderId="66" xfId="0" applyFont="1" applyBorder="1"/>
    <xf numFmtId="190" fontId="0" fillId="7" borderId="1" xfId="0" applyNumberFormat="1" applyFill="1" applyBorder="1"/>
    <xf numFmtId="0" fontId="3" fillId="0" borderId="67" xfId="0" applyFont="1" applyBorder="1"/>
    <xf numFmtId="0" fontId="0" fillId="0" borderId="68" xfId="0" applyBorder="1"/>
    <xf numFmtId="0" fontId="3" fillId="0" borderId="69" xfId="0" applyFont="1" applyBorder="1"/>
    <xf numFmtId="190" fontId="0" fillId="7" borderId="25" xfId="0" applyNumberFormat="1" applyFill="1" applyBorder="1"/>
    <xf numFmtId="0" fontId="3" fillId="0" borderId="70" xfId="0" applyFont="1" applyBorder="1"/>
    <xf numFmtId="0" fontId="0" fillId="7" borderId="62" xfId="0" applyFill="1" applyBorder="1"/>
    <xf numFmtId="0" fontId="0" fillId="0" borderId="8" xfId="0" applyBorder="1"/>
    <xf numFmtId="0" fontId="0" fillId="0" borderId="11" xfId="0" applyBorder="1"/>
    <xf numFmtId="0" fontId="0" fillId="7" borderId="67" xfId="0" applyFill="1" applyBorder="1"/>
    <xf numFmtId="0" fontId="0" fillId="0" borderId="14" xfId="0" applyBorder="1"/>
    <xf numFmtId="0" fontId="0" fillId="0" borderId="70" xfId="0" applyBorder="1"/>
    <xf numFmtId="0" fontId="2" fillId="31" borderId="61" xfId="0" applyFont="1" applyFill="1" applyBorder="1"/>
    <xf numFmtId="0" fontId="0" fillId="0" borderId="67" xfId="0" applyBorder="1"/>
    <xf numFmtId="0" fontId="0" fillId="31" borderId="67" xfId="0" applyFill="1" applyBorder="1"/>
    <xf numFmtId="0" fontId="0" fillId="0" borderId="25" xfId="0" applyBorder="1"/>
    <xf numFmtId="0" fontId="0" fillId="0" borderId="1" xfId="0" applyBorder="1"/>
    <xf numFmtId="0" fontId="3" fillId="0" borderId="45" xfId="0" applyFont="1" applyBorder="1" applyAlignment="1">
      <alignment horizontal="left" vertical="top"/>
    </xf>
    <xf numFmtId="0" fontId="0" fillId="0" borderId="8" xfId="0" applyBorder="1" applyAlignment="1">
      <alignment horizontal="left" vertical="top"/>
    </xf>
    <xf numFmtId="0" fontId="0" fillId="0" borderId="11" xfId="0" applyBorder="1" applyAlignment="1">
      <alignment horizontal="left" vertical="top"/>
    </xf>
    <xf numFmtId="190" fontId="0" fillId="0" borderId="76" xfId="0" applyNumberFormat="1" applyBorder="1"/>
    <xf numFmtId="0" fontId="2" fillId="31" borderId="78" xfId="0" applyFont="1" applyFill="1" applyBorder="1"/>
    <xf numFmtId="0" fontId="2" fillId="31" borderId="79" xfId="0" applyFont="1" applyFill="1" applyBorder="1"/>
    <xf numFmtId="0" fontId="2" fillId="31" borderId="80" xfId="0" applyFont="1" applyFill="1" applyBorder="1"/>
    <xf numFmtId="0" fontId="0" fillId="0" borderId="56" xfId="0" applyBorder="1"/>
    <xf numFmtId="0" fontId="0" fillId="7" borderId="53" xfId="0" applyFill="1" applyBorder="1"/>
    <xf numFmtId="0" fontId="0" fillId="0" borderId="82" xfId="0" applyBorder="1"/>
    <xf numFmtId="0" fontId="0" fillId="0" borderId="53" xfId="0" applyBorder="1" applyAlignment="1">
      <alignment horizontal="left" vertical="top"/>
    </xf>
    <xf numFmtId="0" fontId="0" fillId="7" borderId="84" xfId="0" applyFill="1" applyBorder="1"/>
    <xf numFmtId="0" fontId="0" fillId="0" borderId="85" xfId="0" applyBorder="1"/>
    <xf numFmtId="0" fontId="0" fillId="0" borderId="59" xfId="0" applyBorder="1"/>
    <xf numFmtId="0" fontId="0" fillId="31" borderId="53" xfId="0" applyFill="1" applyBorder="1"/>
    <xf numFmtId="0" fontId="0" fillId="31" borderId="82" xfId="0" applyFill="1" applyBorder="1"/>
    <xf numFmtId="0" fontId="0" fillId="0" borderId="84" xfId="0" applyBorder="1"/>
    <xf numFmtId="0" fontId="141" fillId="0" borderId="0" xfId="0" applyFont="1" applyAlignment="1">
      <alignment horizontal="left" vertical="center"/>
    </xf>
    <xf numFmtId="0" fontId="0" fillId="31" borderId="1" xfId="0" applyFill="1" applyBorder="1"/>
    <xf numFmtId="0" fontId="3" fillId="0" borderId="1" xfId="0" applyFont="1" applyBorder="1" applyAlignment="1">
      <alignment horizontal="center" vertical="top"/>
    </xf>
    <xf numFmtId="0" fontId="4" fillId="7" borderId="62" xfId="0" applyFont="1" applyFill="1" applyBorder="1"/>
    <xf numFmtId="0" fontId="4" fillId="7" borderId="67" xfId="0" applyFont="1" applyFill="1" applyBorder="1"/>
    <xf numFmtId="0" fontId="0" fillId="7" borderId="1" xfId="0" applyFill="1" applyBorder="1"/>
    <xf numFmtId="0" fontId="0" fillId="0" borderId="53" xfId="0" applyBorder="1" applyAlignment="1">
      <alignment horizontal="left" vertical="center"/>
    </xf>
    <xf numFmtId="0" fontId="3" fillId="0" borderId="0" xfId="0" applyFont="1" applyAlignment="1">
      <alignment horizontal="center" vertical="top"/>
    </xf>
    <xf numFmtId="166" fontId="25" fillId="0" borderId="0" xfId="0" quotePrefix="1" applyNumberFormat="1" applyFont="1" applyAlignment="1">
      <alignment vertical="top"/>
    </xf>
    <xf numFmtId="166" fontId="25" fillId="0" borderId="0" xfId="0" applyNumberFormat="1" applyFont="1" applyAlignment="1">
      <alignment horizontal="center" vertical="top"/>
    </xf>
    <xf numFmtId="166" fontId="25" fillId="0" borderId="0" xfId="0" applyNumberFormat="1" applyFont="1" applyAlignment="1">
      <alignment vertical="top" wrapText="1"/>
    </xf>
    <xf numFmtId="166" fontId="25" fillId="0" borderId="0" xfId="0" applyNumberFormat="1" applyFont="1" applyAlignment="1">
      <alignment horizontal="left" wrapText="1"/>
    </xf>
    <xf numFmtId="166" fontId="25" fillId="0" borderId="0" xfId="0" applyNumberFormat="1" applyFont="1" applyAlignment="1">
      <alignment horizontal="center" wrapText="1"/>
    </xf>
    <xf numFmtId="166" fontId="25" fillId="0" borderId="0" xfId="0" applyNumberFormat="1" applyFont="1" applyAlignment="1">
      <alignment horizontal="right" wrapText="1"/>
    </xf>
    <xf numFmtId="166" fontId="25" fillId="0" borderId="0" xfId="0" applyNumberFormat="1" applyFont="1" applyAlignment="1">
      <alignment horizontal="right" vertical="top"/>
    </xf>
    <xf numFmtId="166" fontId="0" fillId="0" borderId="7" xfId="0" applyNumberFormat="1" applyBorder="1"/>
    <xf numFmtId="166" fontId="26" fillId="0" borderId="8" xfId="0" applyNumberFormat="1" applyFont="1" applyBorder="1" applyAlignment="1">
      <alignment vertical="top"/>
    </xf>
    <xf numFmtId="166" fontId="25" fillId="0" borderId="5" xfId="0" applyNumberFormat="1" applyFont="1" applyBorder="1"/>
    <xf numFmtId="167" fontId="26" fillId="18" borderId="0" xfId="1" applyNumberFormat="1" applyFont="1" applyFill="1"/>
    <xf numFmtId="164" fontId="3" fillId="4" borderId="0" xfId="1" applyNumberFormat="1" applyFont="1" applyFill="1" applyAlignment="1">
      <alignment horizontal="right" vertical="center"/>
    </xf>
    <xf numFmtId="164" fontId="3" fillId="0" borderId="0" xfId="1" applyNumberFormat="1" applyFont="1" applyFill="1" applyAlignment="1">
      <alignment horizontal="left" vertical="center"/>
    </xf>
    <xf numFmtId="164" fontId="17" fillId="0" borderId="0" xfId="1" applyNumberFormat="1" applyFont="1" applyFill="1" applyAlignment="1">
      <alignment horizontal="left" vertical="center" wrapText="1"/>
    </xf>
    <xf numFmtId="164" fontId="82" fillId="0" borderId="0" xfId="1" applyNumberFormat="1" applyFont="1" applyFill="1" applyAlignment="1">
      <alignment horizontal="left" vertical="center"/>
    </xf>
    <xf numFmtId="164" fontId="3" fillId="0" borderId="0" xfId="5" applyNumberFormat="1" applyFont="1" applyFill="1" applyAlignment="1">
      <alignment horizontal="right" vertical="center"/>
    </xf>
    <xf numFmtId="164" fontId="3" fillId="0" borderId="0" xfId="11" applyNumberFormat="1" applyFont="1" applyFill="1" applyAlignment="1">
      <alignment horizontal="right" vertical="center"/>
    </xf>
    <xf numFmtId="167" fontId="0" fillId="0" borderId="0" xfId="1" applyNumberFormat="1" applyFont="1" applyFill="1"/>
    <xf numFmtId="164" fontId="1" fillId="0" borderId="0" xfId="1" applyNumberFormat="1" applyFont="1" applyFill="1" applyAlignment="1">
      <alignment horizontal="left" vertical="center"/>
    </xf>
    <xf numFmtId="3" fontId="26" fillId="0" borderId="0" xfId="16" applyNumberFormat="1" applyFont="1" applyAlignment="1">
      <alignment horizontal="right"/>
    </xf>
    <xf numFmtId="0" fontId="25" fillId="14" borderId="14" xfId="16" applyFont="1" applyFill="1" applyBorder="1" applyAlignment="1">
      <alignment horizontal="center" vertical="center"/>
    </xf>
    <xf numFmtId="0" fontId="26" fillId="0" borderId="9" xfId="16" applyFont="1" applyBorder="1"/>
    <xf numFmtId="0" fontId="26" fillId="18" borderId="0" xfId="16" applyFont="1" applyFill="1" applyAlignment="1">
      <alignment horizontal="center"/>
    </xf>
    <xf numFmtId="0" fontId="26" fillId="4" borderId="1" xfId="22" applyFill="1" applyBorder="1"/>
    <xf numFmtId="43" fontId="26" fillId="0" borderId="1" xfId="5" applyFont="1" applyFill="1" applyBorder="1"/>
    <xf numFmtId="164" fontId="1" fillId="0" borderId="0" xfId="1" applyNumberFormat="1" applyFont="1" applyFill="1" applyAlignment="1">
      <alignment horizontal="right" vertical="center"/>
    </xf>
    <xf numFmtId="170" fontId="33" fillId="0" borderId="0" xfId="16" applyNumberFormat="1" applyFont="1" applyAlignment="1">
      <alignment horizontal="center"/>
    </xf>
    <xf numFmtId="0" fontId="33" fillId="0" borderId="0" xfId="16" applyFont="1" applyAlignment="1">
      <alignment horizontal="center"/>
    </xf>
    <xf numFmtId="166" fontId="33" fillId="18" borderId="0" xfId="4" applyNumberFormat="1" applyFont="1" applyFill="1" applyAlignment="1">
      <alignment horizontal="center"/>
    </xf>
    <xf numFmtId="166" fontId="25" fillId="0" borderId="0" xfId="0" quotePrefix="1" applyNumberFormat="1" applyFont="1"/>
    <xf numFmtId="166" fontId="26" fillId="4" borderId="0" xfId="0" applyNumberFormat="1" applyFont="1" applyFill="1"/>
    <xf numFmtId="166" fontId="25" fillId="0" borderId="4" xfId="0" applyNumberFormat="1" applyFont="1" applyBorder="1"/>
    <xf numFmtId="164" fontId="0" fillId="0" borderId="0" xfId="1" applyNumberFormat="1" applyFont="1" applyFill="1" applyAlignment="1">
      <alignment horizontal="right" vertical="center" wrapText="1"/>
    </xf>
    <xf numFmtId="164" fontId="0" fillId="7" borderId="0" xfId="1" applyNumberFormat="1" applyFont="1" applyFill="1" applyAlignment="1">
      <alignment horizontal="right" vertical="center" wrapText="1"/>
    </xf>
    <xf numFmtId="173" fontId="26" fillId="40" borderId="0" xfId="16" applyNumberFormat="1" applyFont="1" applyFill="1" applyAlignment="1" applyProtection="1">
      <alignment horizontal="right"/>
      <protection locked="0"/>
    </xf>
    <xf numFmtId="166" fontId="33" fillId="0" borderId="0" xfId="4" applyNumberFormat="1" applyFont="1" applyAlignment="1">
      <alignment horizontal="center"/>
    </xf>
    <xf numFmtId="166" fontId="25" fillId="0" borderId="2" xfId="4" applyNumberFormat="1" applyFont="1" applyBorder="1" applyAlignment="1">
      <alignment horizontal="center" vertical="center" wrapText="1"/>
    </xf>
    <xf numFmtId="166" fontId="25" fillId="0" borderId="14" xfId="4" applyNumberFormat="1" applyFont="1" applyBorder="1" applyAlignment="1">
      <alignment horizontal="center" vertical="center" wrapText="1"/>
    </xf>
    <xf numFmtId="166" fontId="25" fillId="0" borderId="14" xfId="4" applyNumberFormat="1" applyFont="1" applyBorder="1" applyAlignment="1">
      <alignment horizontal="right"/>
    </xf>
    <xf numFmtId="166" fontId="26" fillId="4" borderId="2" xfId="5" applyNumberFormat="1" applyFill="1" applyBorder="1" applyAlignment="1">
      <alignment vertical="center" shrinkToFit="1"/>
    </xf>
    <xf numFmtId="166" fontId="26" fillId="4" borderId="0" xfId="5" applyNumberFormat="1" applyFill="1" applyBorder="1" applyAlignment="1">
      <alignment vertical="center" shrinkToFit="1"/>
    </xf>
    <xf numFmtId="166" fontId="26" fillId="0" borderId="15" xfId="4" applyNumberFormat="1" applyBorder="1"/>
    <xf numFmtId="166" fontId="26" fillId="0" borderId="2" xfId="5" applyNumberFormat="1" applyBorder="1" applyAlignment="1">
      <alignment vertical="center" shrinkToFit="1"/>
    </xf>
    <xf numFmtId="166" fontId="26" fillId="0" borderId="0" xfId="5" applyNumberFormat="1" applyBorder="1" applyAlignment="1">
      <alignment vertical="center" shrinkToFit="1"/>
    </xf>
    <xf numFmtId="166" fontId="26" fillId="0" borderId="14" xfId="5" applyNumberFormat="1" applyBorder="1" applyAlignment="1">
      <alignment vertical="center" shrinkToFit="1"/>
    </xf>
    <xf numFmtId="166" fontId="25" fillId="0" borderId="92" xfId="5" applyNumberFormat="1" applyFont="1" applyBorder="1" applyAlignment="1">
      <alignment vertical="center" shrinkToFit="1"/>
    </xf>
    <xf numFmtId="166" fontId="25" fillId="0" borderId="5" xfId="5" applyNumberFormat="1" applyFont="1" applyBorder="1" applyAlignment="1">
      <alignment vertical="center" shrinkToFit="1"/>
    </xf>
    <xf numFmtId="166" fontId="25" fillId="0" borderId="72" xfId="5" applyNumberFormat="1" applyFont="1" applyBorder="1" applyAlignment="1">
      <alignment vertical="center" shrinkToFit="1"/>
    </xf>
    <xf numFmtId="166" fontId="25" fillId="0" borderId="92" xfId="4" applyNumberFormat="1" applyFont="1" applyBorder="1"/>
    <xf numFmtId="166" fontId="25" fillId="0" borderId="72" xfId="4" applyNumberFormat="1" applyFont="1" applyBorder="1"/>
    <xf numFmtId="173" fontId="26" fillId="4" borderId="7" xfId="16" applyNumberFormat="1" applyFont="1" applyFill="1" applyBorder="1"/>
    <xf numFmtId="0" fontId="26" fillId="4" borderId="0" xfId="16" applyFont="1" applyFill="1"/>
    <xf numFmtId="173" fontId="26" fillId="4" borderId="7" xfId="16" applyNumberFormat="1" applyFont="1" applyFill="1" applyBorder="1" applyAlignment="1">
      <alignment horizontal="right"/>
    </xf>
    <xf numFmtId="0" fontId="26" fillId="4" borderId="7" xfId="16" applyFont="1" applyFill="1" applyBorder="1" applyProtection="1">
      <protection locked="0"/>
    </xf>
    <xf numFmtId="164" fontId="0" fillId="43" borderId="0" xfId="1" applyNumberFormat="1" applyFont="1" applyFill="1" applyAlignment="1">
      <alignment horizontal="right" vertical="center"/>
    </xf>
    <xf numFmtId="164" fontId="3" fillId="4" borderId="0" xfId="11" applyNumberFormat="1" applyFont="1" applyFill="1" applyAlignment="1">
      <alignment horizontal="left" vertical="center"/>
    </xf>
    <xf numFmtId="0" fontId="81" fillId="4" borderId="34" xfId="0" applyFont="1" applyFill="1" applyBorder="1" applyAlignment="1">
      <alignment horizontal="right" vertical="center"/>
    </xf>
    <xf numFmtId="164" fontId="1" fillId="4" borderId="0" xfId="11" applyNumberFormat="1" applyFont="1" applyFill="1" applyAlignment="1">
      <alignment horizontal="right" vertical="center"/>
    </xf>
    <xf numFmtId="164" fontId="3" fillId="4" borderId="3" xfId="11" applyNumberFormat="1" applyFont="1" applyFill="1" applyBorder="1" applyAlignment="1">
      <alignment horizontal="right" vertical="center"/>
    </xf>
    <xf numFmtId="167" fontId="3" fillId="4" borderId="0" xfId="1" applyNumberFormat="1" applyFont="1" applyFill="1" applyAlignment="1">
      <alignment horizontal="right" vertical="center"/>
    </xf>
    <xf numFmtId="0" fontId="1" fillId="4" borderId="0" xfId="14" applyFill="1" applyAlignment="1">
      <alignment wrapText="1"/>
    </xf>
    <xf numFmtId="164" fontId="0" fillId="4" borderId="0" xfId="11" applyNumberFormat="1" applyFont="1" applyFill="1" applyAlignment="1">
      <alignment horizontal="left" vertical="center"/>
    </xf>
    <xf numFmtId="166" fontId="0" fillId="0" borderId="8" xfId="0" applyNumberFormat="1" applyBorder="1"/>
    <xf numFmtId="166" fontId="26" fillId="10" borderId="6" xfId="4" applyNumberFormat="1" applyFill="1" applyBorder="1"/>
    <xf numFmtId="166" fontId="26" fillId="0" borderId="0" xfId="0" applyNumberFormat="1" applyFont="1" applyAlignment="1">
      <alignment wrapText="1"/>
    </xf>
    <xf numFmtId="173" fontId="26" fillId="12" borderId="0" xfId="22" applyNumberFormat="1" applyFill="1" applyProtection="1">
      <protection locked="0"/>
    </xf>
    <xf numFmtId="173" fontId="26" fillId="4" borderId="6" xfId="22" applyNumberFormat="1" applyFill="1" applyBorder="1" applyAlignment="1" applyProtection="1">
      <alignment horizontal="right"/>
      <protection locked="0"/>
    </xf>
    <xf numFmtId="173" fontId="25" fillId="0" borderId="0" xfId="0" applyNumberFormat="1" applyFont="1"/>
    <xf numFmtId="173" fontId="26" fillId="0" borderId="0" xfId="0" applyNumberFormat="1" applyFont="1"/>
    <xf numFmtId="166" fontId="25" fillId="0" borderId="1" xfId="4" applyNumberFormat="1" applyFont="1" applyBorder="1" applyAlignment="1">
      <alignment horizontal="center" vertical="center"/>
    </xf>
    <xf numFmtId="164" fontId="81" fillId="0" borderId="0" xfId="11" applyNumberFormat="1" applyFont="1" applyFill="1" applyAlignment="1">
      <alignment horizontal="right" vertical="center"/>
    </xf>
    <xf numFmtId="164" fontId="3" fillId="24" borderId="0" xfId="1" applyNumberFormat="1" applyFont="1" applyFill="1" applyAlignment="1">
      <alignment horizontal="right" vertical="center"/>
    </xf>
    <xf numFmtId="164" fontId="82" fillId="7" borderId="0" xfId="1" applyNumberFormat="1" applyFont="1" applyFill="1" applyAlignment="1">
      <alignment vertical="center" wrapText="1"/>
    </xf>
    <xf numFmtId="164" fontId="1" fillId="0" borderId="0" xfId="5" applyNumberFormat="1" applyFont="1" applyFill="1" applyAlignment="1">
      <alignment horizontal="right" vertical="center"/>
    </xf>
    <xf numFmtId="0" fontId="0" fillId="4" borderId="0" xfId="0" applyFill="1" applyAlignment="1">
      <alignment wrapText="1"/>
    </xf>
    <xf numFmtId="164" fontId="7" fillId="4" borderId="0" xfId="5" applyNumberFormat="1" applyFont="1" applyFill="1" applyAlignment="1">
      <alignment horizontal="left" vertical="center"/>
    </xf>
    <xf numFmtId="166" fontId="36" fillId="0" borderId="0" xfId="4" applyNumberFormat="1" applyFont="1"/>
    <xf numFmtId="166" fontId="25" fillId="0" borderId="17" xfId="4" applyNumberFormat="1" applyFont="1" applyBorder="1" applyAlignment="1">
      <alignment vertical="top"/>
    </xf>
    <xf numFmtId="166" fontId="26" fillId="0" borderId="10" xfId="4" applyNumberFormat="1" applyBorder="1" applyAlignment="1">
      <alignment horizontal="left" vertical="top"/>
    </xf>
    <xf numFmtId="166" fontId="0" fillId="0" borderId="21" xfId="0" applyNumberFormat="1" applyBorder="1"/>
    <xf numFmtId="0" fontId="133" fillId="0" borderId="0" xfId="0" applyFont="1"/>
    <xf numFmtId="0" fontId="15" fillId="0" borderId="0" xfId="0" applyFont="1" applyAlignment="1">
      <alignment horizontal="center" vertical="center" wrapText="1"/>
    </xf>
    <xf numFmtId="167" fontId="3" fillId="4" borderId="0" xfId="1" applyNumberFormat="1" applyFont="1" applyFill="1"/>
    <xf numFmtId="164" fontId="0" fillId="43" borderId="0" xfId="11" applyNumberFormat="1" applyFont="1" applyFill="1" applyAlignment="1">
      <alignment horizontal="right" vertical="center"/>
    </xf>
    <xf numFmtId="164" fontId="0" fillId="44" borderId="0" xfId="11" applyNumberFormat="1" applyFont="1" applyFill="1" applyAlignment="1">
      <alignment horizontal="right" vertical="center"/>
    </xf>
    <xf numFmtId="164" fontId="0" fillId="44" borderId="0" xfId="1" applyNumberFormat="1" applyFont="1" applyFill="1" applyAlignment="1">
      <alignment horizontal="right" vertical="center"/>
    </xf>
    <xf numFmtId="0" fontId="0" fillId="44" borderId="0" xfId="0" applyFill="1" applyAlignment="1">
      <alignment horizontal="center"/>
    </xf>
    <xf numFmtId="0" fontId="0" fillId="45" borderId="0" xfId="0" applyFill="1" applyAlignment="1">
      <alignment horizontal="center"/>
    </xf>
    <xf numFmtId="164" fontId="0" fillId="45" borderId="0" xfId="11" applyNumberFormat="1" applyFont="1" applyFill="1" applyAlignment="1">
      <alignment horizontal="right" vertical="center"/>
    </xf>
    <xf numFmtId="164" fontId="0" fillId="46" borderId="0" xfId="11" applyNumberFormat="1" applyFont="1" applyFill="1" applyAlignment="1">
      <alignment horizontal="right" vertical="center"/>
    </xf>
    <xf numFmtId="164" fontId="0" fillId="47" borderId="0" xfId="1" applyNumberFormat="1" applyFont="1" applyFill="1" applyAlignment="1">
      <alignment horizontal="right" vertical="center"/>
    </xf>
    <xf numFmtId="0" fontId="7" fillId="47" borderId="0" xfId="0" applyFont="1" applyFill="1" applyAlignment="1">
      <alignment horizontal="center" vertical="center" wrapText="1"/>
    </xf>
    <xf numFmtId="0" fontId="0" fillId="43" borderId="0" xfId="0" applyFill="1" applyAlignment="1">
      <alignment horizontal="center" vertical="center"/>
    </xf>
    <xf numFmtId="0" fontId="0" fillId="46" borderId="0" xfId="0" applyFill="1" applyAlignment="1">
      <alignment horizontal="center" vertical="center"/>
    </xf>
    <xf numFmtId="164" fontId="0" fillId="43" borderId="0" xfId="1" applyNumberFormat="1" applyFont="1" applyFill="1" applyAlignment="1">
      <alignment vertical="center"/>
    </xf>
    <xf numFmtId="0" fontId="7" fillId="43" borderId="0" xfId="0" applyFont="1" applyFill="1" applyAlignment="1">
      <alignment horizontal="center" vertical="center"/>
    </xf>
    <xf numFmtId="0" fontId="15" fillId="0" borderId="0" xfId="0" applyFont="1" applyAlignment="1">
      <alignment horizontal="left" vertical="top" wrapText="1"/>
    </xf>
    <xf numFmtId="166" fontId="26" fillId="0" borderId="5" xfId="4" applyNumberFormat="1" applyBorder="1" applyAlignment="1">
      <alignment horizontal="right"/>
    </xf>
    <xf numFmtId="43" fontId="25" fillId="18" borderId="0" xfId="1" applyFont="1" applyFill="1" applyAlignment="1">
      <alignment horizontal="center"/>
    </xf>
    <xf numFmtId="0" fontId="143" fillId="0" borderId="0" xfId="20" applyFont="1" applyAlignment="1">
      <alignment vertical="center"/>
    </xf>
    <xf numFmtId="0" fontId="67" fillId="0" borderId="0" xfId="20" applyFont="1" applyAlignment="1">
      <alignment horizontal="center" vertical="center" wrapText="1"/>
    </xf>
    <xf numFmtId="174" fontId="25" fillId="0" borderId="0" xfId="0" applyNumberFormat="1" applyFont="1" applyAlignment="1">
      <alignment horizontal="center"/>
    </xf>
    <xf numFmtId="0" fontId="143" fillId="0" borderId="0" xfId="20" applyFont="1" applyAlignment="1">
      <alignment vertical="center" wrapText="1"/>
    </xf>
    <xf numFmtId="0" fontId="66" fillId="0" borderId="8" xfId="20" applyFont="1" applyBorder="1" applyAlignment="1">
      <alignment vertical="center" wrapText="1"/>
    </xf>
    <xf numFmtId="0" fontId="67" fillId="0" borderId="8" xfId="20" applyFont="1" applyBorder="1" applyAlignment="1">
      <alignment vertical="center" wrapText="1"/>
    </xf>
    <xf numFmtId="166" fontId="26" fillId="0" borderId="6" xfId="5" applyNumberFormat="1" applyFont="1" applyFill="1" applyBorder="1" applyAlignment="1" applyProtection="1">
      <alignment horizontal="right" shrinkToFit="1"/>
    </xf>
    <xf numFmtId="166" fontId="25" fillId="0" borderId="6" xfId="5" applyNumberFormat="1" applyFont="1" applyFill="1" applyBorder="1" applyAlignment="1" applyProtection="1">
      <alignment horizontal="right" shrinkToFit="1"/>
    </xf>
    <xf numFmtId="166" fontId="26" fillId="37" borderId="0" xfId="11" applyNumberFormat="1" applyFont="1" applyFill="1" applyAlignment="1" applyProtection="1">
      <alignment horizontal="right" shrinkToFit="1"/>
    </xf>
    <xf numFmtId="0" fontId="66" fillId="37" borderId="8" xfId="20" applyFont="1" applyFill="1" applyBorder="1" applyAlignment="1">
      <alignment vertical="center" wrapText="1"/>
    </xf>
    <xf numFmtId="166" fontId="26" fillId="37" borderId="6" xfId="5" applyNumberFormat="1" applyFont="1" applyFill="1" applyBorder="1" applyAlignment="1" applyProtection="1">
      <alignment horizontal="right" shrinkToFit="1"/>
    </xf>
    <xf numFmtId="0" fontId="6" fillId="0" borderId="0" xfId="0" applyFont="1" applyAlignment="1">
      <alignment horizontal="left" vertical="center"/>
    </xf>
    <xf numFmtId="166" fontId="26" fillId="0" borderId="0" xfId="11" applyNumberFormat="1" applyFont="1" applyFill="1" applyAlignment="1" applyProtection="1">
      <alignment horizontal="right" shrinkToFit="1"/>
    </xf>
    <xf numFmtId="0" fontId="26" fillId="21" borderId="1" xfId="22" applyFill="1" applyBorder="1" applyAlignment="1">
      <alignment horizontal="center" vertical="center" wrapText="1"/>
    </xf>
    <xf numFmtId="0" fontId="7" fillId="18" borderId="1" xfId="22" applyFont="1" applyFill="1" applyBorder="1" applyAlignment="1">
      <alignment horizontal="center" vertical="center" wrapText="1"/>
    </xf>
    <xf numFmtId="166" fontId="25" fillId="0" borderId="0" xfId="0" applyNumberFormat="1" applyFont="1" applyAlignment="1">
      <alignment horizontal="right"/>
    </xf>
    <xf numFmtId="166" fontId="25" fillId="0" borderId="0" xfId="0" applyNumberFormat="1" applyFont="1" applyAlignment="1">
      <alignment horizontal="center"/>
    </xf>
    <xf numFmtId="0" fontId="7" fillId="21" borderId="1" xfId="22" applyFont="1" applyFill="1" applyBorder="1" applyAlignment="1">
      <alignment horizontal="center" vertical="center" wrapText="1"/>
    </xf>
    <xf numFmtId="6" fontId="3" fillId="18" borderId="1" xfId="22" applyNumberFormat="1" applyFont="1" applyFill="1" applyBorder="1" applyAlignment="1">
      <alignment horizontal="center" vertical="center"/>
    </xf>
    <xf numFmtId="173" fontId="26" fillId="0" borderId="22" xfId="22" applyNumberFormat="1" applyBorder="1"/>
    <xf numFmtId="173" fontId="25" fillId="0" borderId="10" xfId="22" applyNumberFormat="1" applyFont="1" applyBorder="1"/>
    <xf numFmtId="0" fontId="26" fillId="20" borderId="1" xfId="22" applyFill="1" applyBorder="1" applyAlignment="1">
      <alignment horizontal="center" vertical="center"/>
    </xf>
    <xf numFmtId="173" fontId="26" fillId="0" borderId="1" xfId="22" applyNumberFormat="1" applyBorder="1" applyAlignment="1">
      <alignment vertical="center"/>
    </xf>
    <xf numFmtId="0" fontId="26" fillId="20" borderId="22" xfId="22" applyFill="1" applyBorder="1" applyAlignment="1">
      <alignment horizontal="center" vertical="center"/>
    </xf>
    <xf numFmtId="173" fontId="26" fillId="0" borderId="22" xfId="22" applyNumberFormat="1" applyBorder="1" applyAlignment="1">
      <alignment vertical="center"/>
    </xf>
    <xf numFmtId="166" fontId="0" fillId="0" borderId="6" xfId="0" applyNumberFormat="1" applyBorder="1"/>
    <xf numFmtId="0" fontId="26" fillId="20" borderId="93" xfId="22" applyFill="1" applyBorder="1" applyAlignment="1">
      <alignment horizontal="center" vertical="center"/>
    </xf>
    <xf numFmtId="173" fontId="26" fillId="0" borderId="93" xfId="22" applyNumberFormat="1" applyBorder="1" applyAlignment="1">
      <alignment vertical="center"/>
    </xf>
    <xf numFmtId="0" fontId="26" fillId="21" borderId="1" xfId="22" applyFill="1" applyBorder="1" applyAlignment="1">
      <alignment horizontal="center" vertical="center"/>
    </xf>
    <xf numFmtId="0" fontId="15" fillId="21" borderId="1" xfId="22" applyFont="1" applyFill="1" applyBorder="1" applyAlignment="1">
      <alignment horizontal="center" vertical="center" wrapText="1"/>
    </xf>
    <xf numFmtId="6" fontId="3" fillId="21" borderId="1" xfId="22" applyNumberFormat="1" applyFont="1" applyFill="1" applyBorder="1" applyAlignment="1">
      <alignment horizontal="center" vertical="center"/>
    </xf>
    <xf numFmtId="166" fontId="26" fillId="0" borderId="0" xfId="5" applyNumberFormat="1" applyFont="1" applyProtection="1"/>
    <xf numFmtId="173" fontId="26" fillId="17" borderId="0" xfId="22" applyNumberFormat="1" applyFill="1" applyAlignment="1">
      <alignment horizontal="right"/>
    </xf>
    <xf numFmtId="166" fontId="26" fillId="0" borderId="5" xfId="5" applyNumberFormat="1" applyFont="1" applyBorder="1" applyProtection="1"/>
    <xf numFmtId="173" fontId="25" fillId="0" borderId="4" xfId="22" applyNumberFormat="1" applyFont="1" applyBorder="1"/>
    <xf numFmtId="166" fontId="26" fillId="0" borderId="6" xfId="5" applyNumberFormat="1" applyFont="1" applyFill="1" applyBorder="1" applyProtection="1"/>
    <xf numFmtId="166" fontId="26" fillId="0" borderId="6" xfId="0" applyNumberFormat="1" applyFont="1" applyBorder="1"/>
    <xf numFmtId="173" fontId="26" fillId="17" borderId="6" xfId="22" applyNumberFormat="1" applyFill="1" applyBorder="1" applyAlignment="1">
      <alignment horizontal="right"/>
    </xf>
    <xf numFmtId="173" fontId="26" fillId="0" borderId="25" xfId="22" applyNumberFormat="1" applyBorder="1" applyAlignment="1">
      <alignment vertical="center"/>
    </xf>
    <xf numFmtId="0" fontId="26" fillId="20" borderId="25" xfId="22" applyFill="1" applyBorder="1" applyAlignment="1">
      <alignment horizontal="center" vertical="center"/>
    </xf>
    <xf numFmtId="166" fontId="26" fillId="12" borderId="0" xfId="5" applyNumberFormat="1" applyFont="1" applyFill="1" applyProtection="1">
      <protection locked="0"/>
    </xf>
    <xf numFmtId="166" fontId="26" fillId="12" borderId="7" xfId="5" applyNumberFormat="1" applyFont="1" applyFill="1" applyBorder="1" applyProtection="1">
      <protection locked="0"/>
    </xf>
    <xf numFmtId="166" fontId="26" fillId="4" borderId="6" xfId="0" applyNumberFormat="1" applyFont="1" applyFill="1" applyBorder="1" applyProtection="1">
      <protection locked="0"/>
    </xf>
    <xf numFmtId="166" fontId="26" fillId="4" borderId="0" xfId="0" applyNumberFormat="1" applyFont="1" applyFill="1" applyProtection="1">
      <protection locked="0"/>
    </xf>
    <xf numFmtId="0" fontId="144" fillId="0" borderId="0" xfId="0" applyFont="1"/>
    <xf numFmtId="0" fontId="67" fillId="0" borderId="0" xfId="0" applyFont="1"/>
    <xf numFmtId="0" fontId="0" fillId="0" borderId="0" xfId="0" applyAlignment="1">
      <alignment horizontal="right"/>
    </xf>
    <xf numFmtId="0" fontId="0" fillId="0" borderId="0" xfId="0" applyAlignment="1">
      <alignment horizontal="right" vertical="center"/>
    </xf>
    <xf numFmtId="166" fontId="0" fillId="0" borderId="0" xfId="0" applyNumberFormat="1" applyProtection="1">
      <protection locked="0"/>
    </xf>
    <xf numFmtId="166" fontId="0" fillId="0" borderId="5" xfId="0" applyNumberFormat="1" applyBorder="1" applyProtection="1">
      <protection locked="0"/>
    </xf>
    <xf numFmtId="166" fontId="0" fillId="0" borderId="5" xfId="0" applyNumberFormat="1" applyBorder="1"/>
    <xf numFmtId="166" fontId="0" fillId="0" borderId="92" xfId="0" applyNumberFormat="1" applyBorder="1"/>
    <xf numFmtId="166" fontId="3" fillId="0" borderId="0" xfId="0" applyNumberFormat="1" applyFont="1"/>
    <xf numFmtId="173" fontId="25" fillId="0" borderId="95" xfId="22" applyNumberFormat="1" applyFont="1" applyBorder="1"/>
    <xf numFmtId="173" fontId="25" fillId="0" borderId="94" xfId="22" applyNumberFormat="1" applyFont="1" applyBorder="1"/>
    <xf numFmtId="173" fontId="25" fillId="0" borderId="3" xfId="22" applyNumberFormat="1" applyFont="1" applyBorder="1"/>
    <xf numFmtId="166" fontId="0" fillId="0" borderId="39" xfId="0" applyNumberFormat="1" applyBorder="1"/>
    <xf numFmtId="166" fontId="0" fillId="0" borderId="10" xfId="0" applyNumberFormat="1" applyBorder="1"/>
    <xf numFmtId="173" fontId="26" fillId="0" borderId="1" xfId="16" applyNumberFormat="1" applyFont="1" applyBorder="1" applyProtection="1">
      <protection locked="0"/>
    </xf>
    <xf numFmtId="173" fontId="26" fillId="0" borderId="15" xfId="16" applyNumberFormat="1" applyFont="1" applyBorder="1"/>
    <xf numFmtId="173" fontId="26" fillId="0" borderId="0" xfId="22" applyNumberFormat="1" applyAlignment="1">
      <alignment horizontal="left" wrapText="1"/>
    </xf>
    <xf numFmtId="173" fontId="26" fillId="4" borderId="10" xfId="22" applyNumberFormat="1" applyFill="1" applyBorder="1" applyProtection="1">
      <protection locked="0"/>
    </xf>
    <xf numFmtId="173" fontId="26" fillId="0" borderId="1" xfId="22" applyNumberFormat="1" applyBorder="1"/>
    <xf numFmtId="173" fontId="26" fillId="0" borderId="1" xfId="22" applyNumberFormat="1" applyBorder="1" applyProtection="1">
      <protection locked="0"/>
    </xf>
    <xf numFmtId="173" fontId="26" fillId="0" borderId="15" xfId="22" applyNumberFormat="1" applyBorder="1"/>
    <xf numFmtId="173" fontId="26" fillId="12" borderId="12" xfId="16" applyNumberFormat="1" applyFont="1" applyFill="1" applyBorder="1" applyProtection="1">
      <protection locked="0"/>
    </xf>
    <xf numFmtId="173" fontId="26" fillId="12" borderId="13" xfId="16" applyNumberFormat="1" applyFont="1" applyFill="1" applyBorder="1" applyProtection="1">
      <protection locked="0"/>
    </xf>
    <xf numFmtId="164" fontId="0" fillId="0" borderId="0" xfId="1" applyNumberFormat="1" applyFont="1" applyFill="1" applyAlignment="1">
      <alignment vertical="center"/>
    </xf>
    <xf numFmtId="0" fontId="26" fillId="17" borderId="0" xfId="22" applyFill="1"/>
    <xf numFmtId="173" fontId="26" fillId="4" borderId="1" xfId="22" applyNumberFormat="1" applyFill="1" applyBorder="1" applyAlignment="1" applyProtection="1">
      <alignment horizontal="right"/>
      <protection locked="0"/>
    </xf>
    <xf numFmtId="0" fontId="26" fillId="20" borderId="0" xfId="22" applyFill="1" applyAlignment="1">
      <alignment horizontal="center" vertical="center"/>
    </xf>
    <xf numFmtId="166" fontId="26" fillId="43" borderId="0" xfId="4" applyNumberFormat="1" applyFill="1" applyAlignment="1">
      <alignment vertical="top"/>
    </xf>
    <xf numFmtId="167" fontId="1" fillId="8" borderId="0" xfId="1" applyNumberFormat="1" applyFill="1"/>
    <xf numFmtId="43" fontId="26" fillId="0" borderId="0" xfId="1" applyFont="1"/>
    <xf numFmtId="167" fontId="25" fillId="0" borderId="4" xfId="1" applyNumberFormat="1" applyFont="1" applyBorder="1"/>
    <xf numFmtId="166" fontId="25" fillId="0" borderId="4" xfId="4" applyNumberFormat="1" applyFont="1" applyBorder="1" applyAlignment="1">
      <alignment horizontal="center"/>
    </xf>
    <xf numFmtId="166" fontId="25" fillId="0" borderId="16" xfId="4" applyNumberFormat="1" applyFont="1" applyBorder="1" applyAlignment="1">
      <alignment horizontal="center" wrapText="1"/>
    </xf>
    <xf numFmtId="3" fontId="145" fillId="0" borderId="2" xfId="0" applyNumberFormat="1" applyFont="1" applyBorder="1" applyAlignment="1" applyProtection="1">
      <alignment horizontal="left" vertical="center"/>
      <protection locked="0"/>
    </xf>
    <xf numFmtId="0" fontId="0" fillId="0" borderId="2" xfId="0" applyBorder="1" applyAlignment="1">
      <alignment horizontal="left" vertical="center"/>
    </xf>
    <xf numFmtId="0" fontId="4" fillId="0" borderId="2" xfId="0" applyFont="1" applyBorder="1" applyAlignment="1">
      <alignment vertical="center"/>
    </xf>
    <xf numFmtId="0" fontId="11" fillId="0" borderId="2" xfId="0" applyFont="1" applyBorder="1" applyAlignment="1">
      <alignment horizontal="left" vertical="center"/>
    </xf>
    <xf numFmtId="0" fontId="82" fillId="0" borderId="9" xfId="0" applyFont="1" applyBorder="1"/>
    <xf numFmtId="166" fontId="26" fillId="0" borderId="14" xfId="24" applyNumberFormat="1" applyBorder="1" applyAlignment="1">
      <alignment vertical="center" wrapText="1"/>
    </xf>
    <xf numFmtId="0" fontId="82" fillId="0" borderId="0" xfId="0" applyFont="1" applyAlignment="1">
      <alignment vertical="center"/>
    </xf>
    <xf numFmtId="0" fontId="82" fillId="0" borderId="1" xfId="0" applyFont="1" applyBorder="1" applyAlignment="1">
      <alignment horizontal="center" vertical="center" wrapText="1"/>
    </xf>
    <xf numFmtId="0" fontId="82" fillId="0" borderId="15" xfId="0" applyFont="1" applyBorder="1" applyAlignment="1">
      <alignment horizontal="center" vertical="center"/>
    </xf>
    <xf numFmtId="0" fontId="82" fillId="0" borderId="16" xfId="0" applyFont="1" applyBorder="1" applyAlignment="1">
      <alignment horizontal="center" vertical="center" wrapText="1"/>
    </xf>
    <xf numFmtId="0" fontId="82" fillId="0" borderId="1" xfId="0" applyFont="1" applyBorder="1" applyAlignment="1">
      <alignment vertical="center"/>
    </xf>
    <xf numFmtId="0" fontId="82" fillId="0" borderId="16" xfId="0" applyFont="1" applyBorder="1" applyAlignment="1">
      <alignment vertical="center"/>
    </xf>
    <xf numFmtId="0" fontId="4" fillId="0" borderId="10" xfId="0" applyFont="1" applyBorder="1" applyAlignment="1">
      <alignment vertical="center"/>
    </xf>
    <xf numFmtId="0" fontId="82" fillId="0" borderId="2" xfId="0" applyFont="1" applyBorder="1" applyAlignment="1">
      <alignment vertical="center"/>
    </xf>
    <xf numFmtId="0" fontId="4" fillId="0" borderId="12" xfId="0" applyFont="1" applyBorder="1" applyAlignment="1">
      <alignment vertical="center"/>
    </xf>
    <xf numFmtId="0" fontId="131" fillId="0" borderId="2" xfId="0" applyFont="1" applyBorder="1" applyAlignment="1">
      <alignment vertical="center"/>
    </xf>
    <xf numFmtId="0" fontId="132" fillId="0" borderId="2" xfId="0" applyFont="1" applyBorder="1" applyAlignment="1">
      <alignment vertical="center"/>
    </xf>
    <xf numFmtId="0" fontId="4" fillId="0" borderId="22" xfId="0" applyFont="1" applyBorder="1" applyAlignment="1">
      <alignment vertical="center"/>
    </xf>
    <xf numFmtId="166" fontId="26" fillId="0" borderId="10" xfId="24" applyNumberFormat="1" applyBorder="1"/>
    <xf numFmtId="166" fontId="26" fillId="0" borderId="4" xfId="4" applyNumberFormat="1" applyBorder="1" applyAlignment="1">
      <alignment horizontal="center"/>
    </xf>
    <xf numFmtId="166" fontId="26" fillId="0" borderId="1" xfId="4" applyNumberFormat="1" applyBorder="1"/>
    <xf numFmtId="166" fontId="26" fillId="0" borderId="2" xfId="4" applyNumberFormat="1" applyBorder="1" applyAlignment="1">
      <alignment horizontal="left"/>
    </xf>
    <xf numFmtId="166" fontId="26" fillId="0" borderId="2" xfId="24" applyNumberFormat="1" applyBorder="1" applyAlignment="1">
      <alignment horizontal="left"/>
    </xf>
    <xf numFmtId="166" fontId="25" fillId="0" borderId="4" xfId="4" quotePrefix="1" applyNumberFormat="1" applyFont="1" applyBorder="1" applyAlignment="1">
      <alignment horizontal="center"/>
    </xf>
    <xf numFmtId="166" fontId="26" fillId="0" borderId="14" xfId="24" quotePrefix="1" applyNumberFormat="1" applyBorder="1" applyAlignment="1">
      <alignment horizontal="center"/>
    </xf>
    <xf numFmtId="166" fontId="31" fillId="0" borderId="51" xfId="4" applyNumberFormat="1" applyFont="1" applyBorder="1"/>
    <xf numFmtId="166" fontId="4" fillId="0" borderId="0" xfId="4" applyNumberFormat="1" applyFont="1"/>
    <xf numFmtId="166" fontId="4" fillId="0" borderId="0" xfId="1" applyNumberFormat="1" applyFont="1" applyBorder="1" applyAlignment="1">
      <alignment vertical="center"/>
    </xf>
    <xf numFmtId="166" fontId="4" fillId="0" borderId="0" xfId="1" applyNumberFormat="1" applyFont="1" applyBorder="1"/>
    <xf numFmtId="166" fontId="4" fillId="0" borderId="0" xfId="1" applyNumberFormat="1" applyFont="1" applyAlignment="1">
      <alignment vertical="center"/>
    </xf>
    <xf numFmtId="166" fontId="4" fillId="0" borderId="10" xfId="1" applyNumberFormat="1" applyFont="1" applyBorder="1"/>
    <xf numFmtId="166" fontId="4" fillId="0" borderId="10" xfId="1" applyNumberFormat="1" applyFont="1" applyFill="1" applyBorder="1"/>
    <xf numFmtId="166" fontId="4" fillId="0" borderId="4" xfId="1" applyNumberFormat="1" applyFont="1" applyBorder="1"/>
    <xf numFmtId="166" fontId="4" fillId="0" borderId="4" xfId="1" applyNumberFormat="1" applyFont="1" applyFill="1" applyBorder="1"/>
    <xf numFmtId="166" fontId="4" fillId="0" borderId="1" xfId="1" applyNumberFormat="1" applyFont="1" applyBorder="1"/>
    <xf numFmtId="166" fontId="9" fillId="0" borderId="0" xfId="1" applyNumberFormat="1" applyFont="1" applyBorder="1"/>
    <xf numFmtId="166" fontId="9" fillId="0" borderId="10" xfId="1" applyNumberFormat="1" applyFont="1" applyBorder="1"/>
    <xf numFmtId="166" fontId="4" fillId="0" borderId="0" xfId="0" applyNumberFormat="1" applyFont="1" applyAlignment="1">
      <alignment vertical="center"/>
    </xf>
    <xf numFmtId="166" fontId="4" fillId="0" borderId="10" xfId="0" applyNumberFormat="1" applyFont="1" applyBorder="1" applyAlignment="1">
      <alignment vertical="center"/>
    </xf>
    <xf numFmtId="166" fontId="4" fillId="0" borderId="10" xfId="1" applyNumberFormat="1" applyFont="1" applyBorder="1" applyAlignment="1">
      <alignment vertical="center"/>
    </xf>
    <xf numFmtId="166" fontId="4" fillId="0" borderId="8" xfId="1" applyNumberFormat="1" applyFont="1" applyBorder="1"/>
    <xf numFmtId="166" fontId="4" fillId="0" borderId="22" xfId="1" applyNumberFormat="1" applyFont="1" applyBorder="1"/>
    <xf numFmtId="166" fontId="132" fillId="0" borderId="0" xfId="1" applyNumberFormat="1" applyFont="1" applyBorder="1"/>
    <xf numFmtId="166" fontId="132" fillId="0" borderId="10" xfId="1" applyNumberFormat="1" applyFont="1" applyBorder="1"/>
    <xf numFmtId="166" fontId="4" fillId="0" borderId="4" xfId="1" applyNumberFormat="1" applyFont="1" applyBorder="1" applyAlignment="1">
      <alignment vertical="center"/>
    </xf>
    <xf numFmtId="166" fontId="4" fillId="0" borderId="1" xfId="1" applyNumberFormat="1" applyFont="1" applyBorder="1" applyAlignment="1">
      <alignment vertical="center"/>
    </xf>
    <xf numFmtId="166" fontId="4" fillId="0" borderId="7" xfId="0" applyNumberFormat="1" applyFont="1" applyBorder="1" applyAlignment="1">
      <alignment vertical="center"/>
    </xf>
    <xf numFmtId="166" fontId="4" fillId="0" borderId="17" xfId="0" applyNumberFormat="1" applyFont="1" applyBorder="1" applyAlignment="1">
      <alignment vertical="center"/>
    </xf>
    <xf numFmtId="166" fontId="4" fillId="0" borderId="17" xfId="1" applyNumberFormat="1" applyFont="1" applyBorder="1" applyAlignment="1">
      <alignment vertical="center"/>
    </xf>
    <xf numFmtId="166" fontId="3" fillId="0" borderId="0" xfId="0" applyNumberFormat="1" applyFont="1" applyAlignment="1">
      <alignment vertical="center" wrapText="1"/>
    </xf>
    <xf numFmtId="166" fontId="26" fillId="12" borderId="6" xfId="5" applyNumberFormat="1" applyFont="1" applyFill="1" applyBorder="1" applyProtection="1">
      <protection locked="0"/>
    </xf>
    <xf numFmtId="0" fontId="114" fillId="0" borderId="0" xfId="25" applyFont="1" applyAlignment="1">
      <alignment horizontal="center"/>
    </xf>
    <xf numFmtId="1" fontId="146" fillId="0" borderId="0" xfId="22" applyNumberFormat="1" applyFont="1"/>
    <xf numFmtId="0" fontId="148" fillId="0" borderId="0" xfId="16" applyFont="1"/>
    <xf numFmtId="1" fontId="149" fillId="0" borderId="0" xfId="22" applyNumberFormat="1" applyFont="1"/>
    <xf numFmtId="0" fontId="68" fillId="14" borderId="0" xfId="16" applyFont="1" applyFill="1" applyAlignment="1">
      <alignment horizontal="center" vertical="center"/>
    </xf>
    <xf numFmtId="166" fontId="26" fillId="0" borderId="1" xfId="4" applyNumberFormat="1" applyBorder="1" applyAlignment="1">
      <alignment vertical="center"/>
    </xf>
    <xf numFmtId="166" fontId="150" fillId="0" borderId="0" xfId="4" applyNumberFormat="1" applyFont="1" applyAlignment="1">
      <alignment vertical="top"/>
    </xf>
    <xf numFmtId="166" fontId="26" fillId="4" borderId="0" xfId="5" applyNumberFormat="1" applyFill="1" applyAlignment="1">
      <alignment horizontal="right" shrinkToFit="1"/>
    </xf>
    <xf numFmtId="167" fontId="0" fillId="0" borderId="0" xfId="0" applyNumberFormat="1"/>
    <xf numFmtId="189" fontId="0" fillId="0" borderId="0" xfId="0" applyNumberFormat="1" applyAlignment="1">
      <alignment vertical="center"/>
    </xf>
    <xf numFmtId="189" fontId="133" fillId="0" borderId="0" xfId="0" applyNumberFormat="1" applyFont="1" applyAlignment="1">
      <alignment vertical="center"/>
    </xf>
    <xf numFmtId="6" fontId="111" fillId="0" borderId="0" xfId="0" quotePrefix="1" applyNumberFormat="1" applyFont="1" applyAlignment="1">
      <alignment vertical="center"/>
    </xf>
    <xf numFmtId="0" fontId="26" fillId="0" borderId="0" xfId="4" applyAlignment="1">
      <alignment vertical="center" wrapText="1"/>
    </xf>
    <xf numFmtId="167" fontId="26" fillId="0" borderId="0" xfId="5" applyNumberFormat="1" applyFont="1" applyAlignment="1">
      <alignment vertical="center" wrapText="1"/>
    </xf>
    <xf numFmtId="0" fontId="0" fillId="0" borderId="7" xfId="0" applyBorder="1" applyAlignment="1">
      <alignment vertical="center"/>
    </xf>
    <xf numFmtId="0" fontId="111" fillId="0" borderId="0" xfId="0" applyFont="1" applyAlignment="1">
      <alignment horizontal="right" vertical="center"/>
    </xf>
    <xf numFmtId="166" fontId="143" fillId="0" borderId="0" xfId="1" applyNumberFormat="1" applyFont="1" applyAlignment="1">
      <alignment vertical="center" wrapText="1"/>
    </xf>
    <xf numFmtId="166" fontId="143" fillId="0" borderId="8" xfId="1" applyNumberFormat="1" applyFont="1" applyFill="1" applyBorder="1" applyAlignment="1">
      <alignment vertical="center" wrapText="1"/>
    </xf>
    <xf numFmtId="166" fontId="143" fillId="0" borderId="8" xfId="1" applyNumberFormat="1" applyFont="1" applyBorder="1" applyAlignment="1">
      <alignment vertical="center" wrapText="1"/>
    </xf>
    <xf numFmtId="166" fontId="143" fillId="0" borderId="18" xfId="1" applyNumberFormat="1" applyFont="1" applyFill="1" applyBorder="1" applyAlignment="1">
      <alignment vertical="center" wrapText="1"/>
    </xf>
    <xf numFmtId="166" fontId="143" fillId="0" borderId="18" xfId="1" applyNumberFormat="1" applyFont="1" applyBorder="1" applyAlignment="1">
      <alignment vertical="center" wrapText="1"/>
    </xf>
    <xf numFmtId="166" fontId="143" fillId="0" borderId="8" xfId="20" applyNumberFormat="1" applyFont="1" applyBorder="1" applyAlignment="1">
      <alignment vertical="center" wrapText="1"/>
    </xf>
    <xf numFmtId="166" fontId="143" fillId="0" borderId="18" xfId="20" applyNumberFormat="1" applyFont="1" applyBorder="1" applyAlignment="1">
      <alignment vertical="center" wrapText="1"/>
    </xf>
    <xf numFmtId="166" fontId="26" fillId="0" borderId="0" xfId="5" applyNumberFormat="1" applyFill="1" applyAlignment="1">
      <alignment horizontal="right" shrinkToFit="1"/>
    </xf>
    <xf numFmtId="166" fontId="26" fillId="0" borderId="0" xfId="5" applyNumberFormat="1" applyFill="1" applyAlignment="1">
      <alignment vertical="center" shrinkToFit="1"/>
    </xf>
    <xf numFmtId="166" fontId="25" fillId="0" borderId="5" xfId="5" applyNumberFormat="1" applyFont="1" applyBorder="1"/>
    <xf numFmtId="0" fontId="0" fillId="0" borderId="53" xfId="0" applyBorder="1" applyAlignment="1">
      <alignment horizontal="left" vertical="top" wrapText="1"/>
    </xf>
    <xf numFmtId="0" fontId="0" fillId="0" borderId="66" xfId="0" applyBorder="1" applyAlignment="1">
      <alignment wrapText="1"/>
    </xf>
    <xf numFmtId="0" fontId="3" fillId="0" borderId="81" xfId="0" applyFont="1" applyBorder="1" applyAlignment="1">
      <alignment horizontal="left" vertical="top"/>
    </xf>
    <xf numFmtId="0" fontId="110" fillId="0" borderId="44" xfId="0" applyFont="1" applyBorder="1" applyAlignment="1">
      <alignment horizontal="left" vertical="center"/>
    </xf>
    <xf numFmtId="0" fontId="0" fillId="0" borderId="65" xfId="0" applyBorder="1"/>
    <xf numFmtId="0" fontId="3" fillId="0" borderId="65" xfId="0" applyFont="1" applyBorder="1"/>
    <xf numFmtId="190" fontId="0" fillId="0" borderId="0" xfId="0" applyNumberFormat="1"/>
    <xf numFmtId="0" fontId="0" fillId="0" borderId="64" xfId="0" applyBorder="1" applyAlignment="1">
      <alignment horizontal="left" vertical="top" wrapText="1"/>
    </xf>
    <xf numFmtId="0" fontId="3" fillId="0" borderId="97" xfId="0" applyFont="1" applyBorder="1" applyAlignment="1">
      <alignment horizontal="left" vertical="top" wrapText="1"/>
    </xf>
    <xf numFmtId="0" fontId="0" fillId="0" borderId="98" xfId="0" applyBorder="1" applyAlignment="1">
      <alignment horizontal="left" vertical="top" wrapText="1"/>
    </xf>
    <xf numFmtId="0" fontId="0" fillId="0" borderId="0" xfId="0" applyAlignment="1">
      <alignment horizontal="left" vertical="top" wrapText="1"/>
    </xf>
    <xf numFmtId="0" fontId="0" fillId="0" borderId="63" xfId="0" applyBorder="1" applyAlignment="1">
      <alignment horizontal="left" vertical="top" wrapText="1"/>
    </xf>
    <xf numFmtId="3" fontId="0" fillId="7" borderId="67" xfId="0" applyNumberFormat="1" applyFill="1" applyBorder="1"/>
    <xf numFmtId="0" fontId="0" fillId="0" borderId="69" xfId="0" applyBorder="1" applyAlignment="1">
      <alignment wrapText="1"/>
    </xf>
    <xf numFmtId="0" fontId="82" fillId="49" borderId="99" xfId="26" applyFont="1" applyFill="1" applyBorder="1" applyAlignment="1" applyProtection="1">
      <alignment horizontal="center"/>
    </xf>
    <xf numFmtId="0" fontId="3" fillId="0" borderId="38" xfId="0" applyFont="1" applyBorder="1" applyAlignment="1">
      <alignment horizontal="left" vertical="top" wrapText="1"/>
    </xf>
    <xf numFmtId="0" fontId="3" fillId="0" borderId="69" xfId="0" applyFont="1" applyBorder="1" applyAlignment="1">
      <alignment wrapText="1"/>
    </xf>
    <xf numFmtId="0" fontId="0" fillId="4" borderId="67" xfId="0" applyFill="1" applyBorder="1"/>
    <xf numFmtId="0" fontId="2" fillId="31" borderId="0" xfId="0" applyFont="1" applyFill="1"/>
    <xf numFmtId="167" fontId="0" fillId="7" borderId="62" xfId="1" applyNumberFormat="1" applyFont="1" applyFill="1" applyBorder="1"/>
    <xf numFmtId="167" fontId="0" fillId="7" borderId="67" xfId="1" applyNumberFormat="1" applyFont="1" applyFill="1" applyBorder="1"/>
    <xf numFmtId="167" fontId="0" fillId="7" borderId="53" xfId="1" applyNumberFormat="1" applyFont="1" applyFill="1" applyBorder="1"/>
    <xf numFmtId="167" fontId="0" fillId="7" borderId="84" xfId="1" applyNumberFormat="1" applyFont="1" applyFill="1" applyBorder="1"/>
    <xf numFmtId="166" fontId="26" fillId="4" borderId="10" xfId="4" applyNumberFormat="1" applyFill="1" applyBorder="1"/>
    <xf numFmtId="167" fontId="0" fillId="45" borderId="0" xfId="1" applyNumberFormat="1" applyFont="1" applyFill="1"/>
    <xf numFmtId="167" fontId="0" fillId="50" borderId="0" xfId="1" applyNumberFormat="1" applyFont="1" applyFill="1"/>
    <xf numFmtId="167" fontId="1" fillId="50" borderId="0" xfId="1" applyNumberFormat="1" applyFill="1"/>
    <xf numFmtId="167" fontId="0" fillId="4" borderId="53" xfId="1" applyNumberFormat="1" applyFont="1" applyFill="1" applyBorder="1"/>
    <xf numFmtId="167" fontId="0" fillId="0" borderId="7" xfId="1" applyNumberFormat="1" applyFont="1" applyBorder="1"/>
    <xf numFmtId="0" fontId="3" fillId="0" borderId="64" xfId="0" applyFont="1" applyBorder="1"/>
    <xf numFmtId="167" fontId="0" fillId="0" borderId="70" xfId="1" applyNumberFormat="1" applyFont="1" applyBorder="1"/>
    <xf numFmtId="0" fontId="2" fillId="31" borderId="65" xfId="0" applyFont="1" applyFill="1" applyBorder="1"/>
    <xf numFmtId="190" fontId="0" fillId="7" borderId="1" xfId="0" applyNumberFormat="1" applyFill="1" applyBorder="1" applyAlignment="1">
      <alignment horizontal="right"/>
    </xf>
    <xf numFmtId="167" fontId="0" fillId="7" borderId="1" xfId="1" applyNumberFormat="1" applyFont="1" applyFill="1" applyBorder="1"/>
    <xf numFmtId="0" fontId="157" fillId="0" borderId="0" xfId="0" applyFont="1"/>
    <xf numFmtId="173" fontId="26" fillId="0" borderId="0" xfId="0" applyNumberFormat="1" applyFont="1" applyAlignment="1">
      <alignment horizontal="left" vertical="top"/>
    </xf>
    <xf numFmtId="0" fontId="66" fillId="0" borderId="0" xfId="0" applyFont="1" applyAlignment="1">
      <alignment vertical="center"/>
    </xf>
    <xf numFmtId="0" fontId="144" fillId="0" borderId="0" xfId="0" applyFont="1" applyAlignment="1">
      <alignment vertical="center" wrapText="1"/>
    </xf>
    <xf numFmtId="0" fontId="158" fillId="0" borderId="0" xfId="0" applyFont="1" applyAlignment="1">
      <alignment vertical="center" wrapText="1"/>
    </xf>
    <xf numFmtId="173" fontId="26" fillId="0" borderId="0" xfId="19" applyNumberFormat="1" applyFont="1" applyFill="1" applyBorder="1" applyProtection="1"/>
    <xf numFmtId="173" fontId="26" fillId="0" borderId="0" xfId="0" applyNumberFormat="1" applyFont="1" applyAlignment="1">
      <alignment wrapText="1"/>
    </xf>
    <xf numFmtId="173" fontId="26" fillId="0" borderId="0" xfId="19" applyNumberFormat="1" applyFont="1" applyFill="1" applyBorder="1" applyAlignment="1" applyProtection="1">
      <alignment horizontal="right"/>
    </xf>
    <xf numFmtId="173" fontId="25" fillId="0" borderId="0" xfId="0" applyNumberFormat="1" applyFont="1" applyAlignment="1">
      <alignment wrapText="1"/>
    </xf>
    <xf numFmtId="173" fontId="26" fillId="4" borderId="0" xfId="19" applyNumberFormat="1" applyFont="1" applyFill="1" applyProtection="1"/>
    <xf numFmtId="173" fontId="26" fillId="12" borderId="0" xfId="19" applyNumberFormat="1" applyFont="1" applyFill="1" applyProtection="1"/>
    <xf numFmtId="173" fontId="26" fillId="0" borderId="0" xfId="19" applyNumberFormat="1" applyFont="1" applyFill="1" applyProtection="1"/>
    <xf numFmtId="0" fontId="66" fillId="0" borderId="0" xfId="0" applyFont="1" applyAlignment="1">
      <alignment horizontal="center" vertical="center"/>
    </xf>
    <xf numFmtId="0" fontId="67" fillId="0" borderId="0" xfId="0" applyFont="1" applyAlignment="1">
      <alignment vertical="center" wrapText="1"/>
    </xf>
    <xf numFmtId="0" fontId="66" fillId="4" borderId="0" xfId="0" applyFont="1" applyFill="1" applyAlignment="1">
      <alignment vertical="center" wrapText="1"/>
    </xf>
    <xf numFmtId="0" fontId="26" fillId="4" borderId="0" xfId="0" applyFont="1" applyFill="1" applyAlignment="1">
      <alignment vertical="center" wrapText="1"/>
    </xf>
    <xf numFmtId="0" fontId="26" fillId="0" borderId="0" xfId="0" applyFont="1" applyAlignment="1">
      <alignment vertical="center" wrapText="1"/>
    </xf>
    <xf numFmtId="0" fontId="66" fillId="0" borderId="0" xfId="0" applyFont="1" applyAlignment="1">
      <alignment vertical="center" wrapText="1"/>
    </xf>
    <xf numFmtId="0" fontId="158" fillId="0" borderId="0" xfId="0" applyFont="1" applyAlignment="1">
      <alignment horizontal="center" vertical="center" wrapText="1"/>
    </xf>
    <xf numFmtId="173" fontId="25" fillId="0" borderId="0" xfId="0" applyNumberFormat="1" applyFont="1" applyAlignment="1">
      <alignment horizontal="center"/>
    </xf>
    <xf numFmtId="173" fontId="26" fillId="0" borderId="21" xfId="0" applyNumberFormat="1" applyFont="1" applyBorder="1"/>
    <xf numFmtId="173" fontId="26" fillId="12" borderId="0" xfId="0" applyNumberFormat="1" applyFont="1" applyFill="1"/>
    <xf numFmtId="173" fontId="26" fillId="4" borderId="0" xfId="0" applyNumberFormat="1" applyFont="1" applyFill="1"/>
    <xf numFmtId="173" fontId="26" fillId="4" borderId="0" xfId="0" applyNumberFormat="1" applyFont="1" applyFill="1" applyAlignment="1">
      <alignment wrapText="1"/>
    </xf>
    <xf numFmtId="173" fontId="26" fillId="51" borderId="0" xfId="0" applyNumberFormat="1" applyFont="1" applyFill="1"/>
    <xf numFmtId="173" fontId="27" fillId="0" borderId="0" xfId="0" applyNumberFormat="1" applyFont="1"/>
    <xf numFmtId="173" fontId="25" fillId="0" borderId="0" xfId="0" applyNumberFormat="1" applyFont="1" applyAlignment="1">
      <alignment vertical="center"/>
    </xf>
    <xf numFmtId="173" fontId="26" fillId="51" borderId="0" xfId="0" applyNumberFormat="1" applyFont="1" applyFill="1" applyProtection="1">
      <protection locked="0"/>
    </xf>
    <xf numFmtId="166" fontId="26" fillId="4" borderId="10" xfId="4" applyNumberFormat="1" applyFill="1" applyBorder="1" applyAlignment="1">
      <alignment vertical="top"/>
    </xf>
    <xf numFmtId="166" fontId="4" fillId="0" borderId="10" xfId="1" applyNumberFormat="1" applyFont="1" applyBorder="1" applyAlignment="1">
      <alignment horizontal="right" vertical="center"/>
    </xf>
    <xf numFmtId="166" fontId="26" fillId="0" borderId="101" xfId="5" applyNumberFormat="1" applyBorder="1" applyAlignment="1">
      <alignment vertical="center" shrinkToFit="1"/>
    </xf>
    <xf numFmtId="22" fontId="0" fillId="10" borderId="0" xfId="0" applyNumberFormat="1" applyFill="1" applyAlignment="1">
      <alignment horizontal="center" vertical="center"/>
    </xf>
    <xf numFmtId="0" fontId="48" fillId="0" borderId="0" xfId="0" applyFont="1" applyAlignment="1">
      <alignment vertical="center" wrapText="1"/>
    </xf>
    <xf numFmtId="0" fontId="26" fillId="0" borderId="0" xfId="12"/>
    <xf numFmtId="170" fontId="26" fillId="4" borderId="0" xfId="22" applyNumberFormat="1" applyFill="1" applyProtection="1">
      <protection locked="0"/>
    </xf>
    <xf numFmtId="166" fontId="26" fillId="0" borderId="0" xfId="21" applyNumberFormat="1"/>
    <xf numFmtId="0" fontId="29" fillId="0" borderId="0" xfId="12" applyFont="1"/>
    <xf numFmtId="3" fontId="25" fillId="52" borderId="0" xfId="22" applyNumberFormat="1" applyFont="1" applyFill="1" applyAlignment="1">
      <alignment horizontal="center"/>
    </xf>
    <xf numFmtId="0" fontId="29" fillId="0" borderId="0" xfId="22" applyFont="1" applyAlignment="1">
      <alignment horizontal="left"/>
    </xf>
    <xf numFmtId="0" fontId="30" fillId="0" borderId="0" xfId="22" applyFont="1" applyAlignment="1">
      <alignment horizontal="left"/>
    </xf>
    <xf numFmtId="0" fontId="159" fillId="0" borderId="0" xfId="22" applyFont="1" applyAlignment="1">
      <alignment horizontal="left"/>
    </xf>
    <xf numFmtId="0" fontId="33" fillId="0" borderId="0" xfId="22" applyFont="1" applyAlignment="1">
      <alignment horizontal="right"/>
    </xf>
    <xf numFmtId="0" fontId="41" fillId="0" borderId="0" xfId="22" applyFont="1" applyAlignment="1">
      <alignment horizontal="right"/>
    </xf>
    <xf numFmtId="0" fontId="41" fillId="0" borderId="0" xfId="22" applyFont="1"/>
    <xf numFmtId="6" fontId="25" fillId="0" borderId="0" xfId="22" applyNumberFormat="1" applyFont="1" applyAlignment="1">
      <alignment horizontal="right"/>
    </xf>
    <xf numFmtId="0" fontId="26" fillId="0" borderId="0" xfId="22" applyAlignment="1">
      <alignment horizontal="right"/>
    </xf>
    <xf numFmtId="6" fontId="25" fillId="0" borderId="0" xfId="22" applyNumberFormat="1" applyFont="1" applyAlignment="1">
      <alignment horizontal="center"/>
    </xf>
    <xf numFmtId="167" fontId="25" fillId="0" borderId="0" xfId="11" applyNumberFormat="1" applyFont="1" applyAlignment="1">
      <alignment horizontal="center"/>
    </xf>
    <xf numFmtId="167" fontId="26" fillId="0" borderId="0" xfId="11" applyNumberFormat="1" applyAlignment="1">
      <alignment horizontal="center"/>
    </xf>
    <xf numFmtId="167" fontId="26" fillId="0" borderId="4" xfId="22" applyNumberFormat="1" applyBorder="1" applyAlignment="1">
      <alignment horizontal="right"/>
    </xf>
    <xf numFmtId="167" fontId="26" fillId="0" borderId="4" xfId="11" applyNumberFormat="1" applyBorder="1" applyAlignment="1">
      <alignment horizontal="center"/>
    </xf>
    <xf numFmtId="192" fontId="26" fillId="0" borderId="0" xfId="22" applyNumberFormat="1"/>
    <xf numFmtId="193" fontId="26" fillId="0" borderId="0" xfId="11" applyNumberFormat="1"/>
    <xf numFmtId="170" fontId="26" fillId="4" borderId="7" xfId="22" applyNumberFormat="1" applyFill="1" applyBorder="1" applyProtection="1">
      <protection locked="0"/>
    </xf>
    <xf numFmtId="167" fontId="25" fillId="0" borderId="18" xfId="22" applyNumberFormat="1" applyFont="1" applyBorder="1"/>
    <xf numFmtId="167" fontId="26" fillId="0" borderId="18" xfId="22" applyNumberFormat="1" applyBorder="1"/>
    <xf numFmtId="49" fontId="26" fillId="0" borderId="0" xfId="22" applyNumberFormat="1" applyAlignment="1">
      <alignment horizontal="left"/>
    </xf>
    <xf numFmtId="0" fontId="133" fillId="4" borderId="37" xfId="0" applyFont="1" applyFill="1" applyBorder="1" applyAlignment="1">
      <alignment vertical="center"/>
    </xf>
    <xf numFmtId="164" fontId="81" fillId="30" borderId="34" xfId="0" applyNumberFormat="1" applyFont="1" applyFill="1" applyBorder="1" applyAlignment="1">
      <alignment horizontal="right" vertical="center"/>
    </xf>
    <xf numFmtId="0" fontId="0" fillId="0" borderId="8" xfId="0" applyBorder="1" applyAlignment="1">
      <alignment vertical="center"/>
    </xf>
    <xf numFmtId="0" fontId="0" fillId="0" borderId="11" xfId="0" applyBorder="1" applyAlignment="1">
      <alignment vertical="center"/>
    </xf>
    <xf numFmtId="0" fontId="0" fillId="0" borderId="14" xfId="0" applyBorder="1" applyAlignment="1">
      <alignment vertical="center"/>
    </xf>
    <xf numFmtId="0" fontId="111" fillId="0" borderId="14" xfId="0" applyFont="1" applyBorder="1" applyAlignment="1">
      <alignment vertical="center"/>
    </xf>
    <xf numFmtId="0" fontId="111" fillId="0" borderId="16" xfId="0" applyFont="1" applyBorder="1" applyAlignment="1">
      <alignment horizontal="right" vertical="center"/>
    </xf>
    <xf numFmtId="189" fontId="133" fillId="0" borderId="21" xfId="0" applyNumberFormat="1" applyFont="1" applyBorder="1" applyAlignment="1">
      <alignment vertical="center"/>
    </xf>
    <xf numFmtId="0" fontId="0" fillId="0" borderId="13" xfId="0" applyBorder="1" applyAlignment="1">
      <alignment vertical="center"/>
    </xf>
    <xf numFmtId="166" fontId="26" fillId="0" borderId="0" xfId="0" applyNumberFormat="1" applyFont="1" applyAlignment="1">
      <alignment horizontal="right"/>
    </xf>
    <xf numFmtId="166" fontId="25" fillId="4" borderId="0" xfId="4" applyNumberFormat="1" applyFont="1" applyFill="1" applyAlignment="1">
      <alignment vertical="top"/>
    </xf>
    <xf numFmtId="189" fontId="111" fillId="0" borderId="8" xfId="0" applyNumberFormat="1" applyFont="1" applyBorder="1" applyAlignment="1">
      <alignment vertical="center"/>
    </xf>
    <xf numFmtId="0" fontId="111" fillId="0" borderId="11" xfId="0" applyFont="1" applyBorder="1" applyAlignment="1">
      <alignment vertical="center"/>
    </xf>
    <xf numFmtId="0" fontId="111" fillId="0" borderId="8" xfId="0" applyFont="1" applyBorder="1" applyAlignment="1">
      <alignment vertical="center"/>
    </xf>
    <xf numFmtId="0" fontId="111" fillId="0" borderId="16" xfId="0" applyFont="1" applyBorder="1" applyAlignment="1">
      <alignment horizontal="left" vertical="center"/>
    </xf>
    <xf numFmtId="0" fontId="0" fillId="0" borderId="42" xfId="0" applyBorder="1" applyAlignment="1">
      <alignment wrapText="1"/>
    </xf>
    <xf numFmtId="167" fontId="0" fillId="0" borderId="53" xfId="1" applyNumberFormat="1" applyFont="1" applyBorder="1"/>
    <xf numFmtId="167" fontId="0" fillId="0" borderId="53" xfId="0" applyNumberFormat="1" applyBorder="1"/>
    <xf numFmtId="167" fontId="0" fillId="0" borderId="0" xfId="1" applyNumberFormat="1" applyFont="1" applyAlignment="1"/>
    <xf numFmtId="167" fontId="0" fillId="0" borderId="0" xfId="1" applyNumberFormat="1" applyFont="1" applyAlignment="1">
      <alignment wrapText="1"/>
    </xf>
    <xf numFmtId="167" fontId="0" fillId="0" borderId="21" xfId="1" applyNumberFormat="1" applyFont="1" applyBorder="1"/>
    <xf numFmtId="190" fontId="0" fillId="4" borderId="102" xfId="0" applyNumberFormat="1" applyFill="1" applyBorder="1"/>
    <xf numFmtId="190" fontId="3" fillId="4" borderId="1" xfId="0" applyNumberFormat="1" applyFont="1" applyFill="1" applyBorder="1"/>
    <xf numFmtId="190" fontId="0" fillId="4" borderId="1" xfId="0" applyNumberFormat="1" applyFill="1" applyBorder="1"/>
    <xf numFmtId="190" fontId="3" fillId="2" borderId="1" xfId="0" applyNumberFormat="1" applyFont="1" applyFill="1" applyBorder="1" applyAlignment="1">
      <alignment horizontal="right"/>
    </xf>
    <xf numFmtId="190" fontId="0" fillId="2" borderId="1" xfId="0" applyNumberFormat="1" applyFill="1" applyBorder="1" applyAlignment="1">
      <alignment horizontal="right"/>
    </xf>
    <xf numFmtId="190" fontId="0" fillId="2" borderId="98" xfId="0" applyNumberFormat="1" applyFill="1" applyBorder="1"/>
    <xf numFmtId="0" fontId="3" fillId="2" borderId="1" xfId="0" applyFont="1" applyFill="1" applyBorder="1" applyAlignment="1">
      <alignment horizontal="center"/>
    </xf>
    <xf numFmtId="0" fontId="3" fillId="4" borderId="1" xfId="0" applyFont="1" applyFill="1" applyBorder="1" applyAlignment="1">
      <alignment horizontal="center"/>
    </xf>
    <xf numFmtId="190" fontId="0" fillId="43" borderId="23" xfId="0" applyNumberFormat="1" applyFill="1" applyBorder="1"/>
    <xf numFmtId="190" fontId="3" fillId="43" borderId="1" xfId="0" applyNumberFormat="1" applyFont="1" applyFill="1" applyBorder="1"/>
    <xf numFmtId="0" fontId="3" fillId="43" borderId="25" xfId="0" applyFont="1" applyFill="1" applyBorder="1" applyAlignment="1">
      <alignment horizontal="center"/>
    </xf>
    <xf numFmtId="1" fontId="0" fillId="7" borderId="67" xfId="0" applyNumberFormat="1" applyFill="1" applyBorder="1"/>
    <xf numFmtId="1" fontId="0" fillId="7" borderId="62" xfId="0" applyNumberFormat="1" applyFill="1" applyBorder="1"/>
    <xf numFmtId="1" fontId="0" fillId="0" borderId="0" xfId="0" applyNumberFormat="1"/>
    <xf numFmtId="164" fontId="0" fillId="0" borderId="0" xfId="0" applyNumberFormat="1" applyAlignment="1">
      <alignment vertical="center"/>
    </xf>
    <xf numFmtId="186" fontId="15" fillId="53" borderId="0" xfId="0" applyNumberFormat="1" applyFont="1" applyFill="1" applyAlignment="1">
      <alignment horizontal="center" vertical="center" wrapText="1"/>
    </xf>
    <xf numFmtId="186" fontId="7" fillId="0" borderId="0" xfId="0" applyNumberFormat="1" applyFont="1" applyAlignment="1">
      <alignment horizontal="left" vertical="center"/>
    </xf>
    <xf numFmtId="189" fontId="111" fillId="0" borderId="7" xfId="0" applyNumberFormat="1" applyFont="1" applyBorder="1" applyAlignment="1">
      <alignment vertical="center"/>
    </xf>
    <xf numFmtId="43" fontId="111" fillId="0" borderId="0" xfId="1" applyFont="1"/>
    <xf numFmtId="0" fontId="25" fillId="0" borderId="0" xfId="10" applyFont="1" applyAlignment="1">
      <alignment horizontal="center" wrapText="1"/>
    </xf>
    <xf numFmtId="176" fontId="0" fillId="0" borderId="0" xfId="1" applyNumberFormat="1" applyFont="1" applyFill="1" applyAlignment="1">
      <alignment vertical="center"/>
    </xf>
    <xf numFmtId="166" fontId="160" fillId="0" borderId="0" xfId="4" applyNumberFormat="1" applyFont="1"/>
    <xf numFmtId="0" fontId="6" fillId="0" borderId="0" xfId="0" applyFont="1" applyAlignment="1">
      <alignment horizontal="right" vertical="center"/>
    </xf>
    <xf numFmtId="0" fontId="6" fillId="0" borderId="0" xfId="0" applyFont="1" applyAlignment="1">
      <alignment horizontal="right" vertical="center" wrapText="1"/>
    </xf>
    <xf numFmtId="166" fontId="26" fillId="0" borderId="7" xfId="5" applyNumberFormat="1" applyBorder="1" applyAlignment="1">
      <alignment vertical="center" shrinkToFit="1"/>
    </xf>
    <xf numFmtId="37" fontId="26" fillId="0" borderId="0" xfId="0" applyNumberFormat="1" applyFont="1" applyAlignment="1">
      <alignment wrapText="1"/>
    </xf>
    <xf numFmtId="37" fontId="26" fillId="0" borderId="0" xfId="0" applyNumberFormat="1" applyFont="1"/>
    <xf numFmtId="37" fontId="26" fillId="4" borderId="0" xfId="19" applyNumberFormat="1" applyFont="1" applyFill="1" applyProtection="1"/>
    <xf numFmtId="37" fontId="26" fillId="4" borderId="0" xfId="19" applyNumberFormat="1" applyFont="1" applyFill="1" applyBorder="1" applyProtection="1"/>
    <xf numFmtId="173" fontId="0" fillId="0" borderId="0" xfId="0" applyNumberFormat="1"/>
    <xf numFmtId="191" fontId="0" fillId="0" borderId="0" xfId="0" applyNumberFormat="1"/>
    <xf numFmtId="166" fontId="26" fillId="4" borderId="0" xfId="4" applyNumberFormat="1" applyFill="1" applyAlignment="1">
      <alignment vertical="center"/>
    </xf>
    <xf numFmtId="186" fontId="15" fillId="0" borderId="0" xfId="0" applyNumberFormat="1" applyFont="1" applyAlignment="1">
      <alignment horizontal="center" vertical="center" wrapText="1"/>
    </xf>
    <xf numFmtId="186" fontId="15" fillId="0" borderId="0" xfId="0" applyNumberFormat="1" applyFont="1" applyAlignment="1">
      <alignment vertical="center" wrapText="1"/>
    </xf>
    <xf numFmtId="186" fontId="0" fillId="0" borderId="0" xfId="1" applyNumberFormat="1" applyFont="1" applyFill="1" applyAlignment="1">
      <alignment vertical="center"/>
    </xf>
    <xf numFmtId="173" fontId="26" fillId="0" borderId="0" xfId="0" applyNumberFormat="1" applyFont="1" applyProtection="1">
      <protection locked="0"/>
    </xf>
    <xf numFmtId="37" fontId="26" fillId="0" borderId="0" xfId="19" applyNumberFormat="1" applyFont="1" applyFill="1" applyProtection="1"/>
    <xf numFmtId="0" fontId="44" fillId="47" borderId="1" xfId="16" applyFont="1" applyFill="1" applyBorder="1" applyAlignment="1">
      <alignment vertical="center" wrapText="1"/>
    </xf>
    <xf numFmtId="166" fontId="80" fillId="13" borderId="0" xfId="4" applyNumberFormat="1" applyFont="1" applyFill="1" applyAlignment="1">
      <alignment horizontal="right"/>
    </xf>
    <xf numFmtId="173" fontId="26" fillId="4" borderId="0" xfId="19" applyNumberFormat="1" applyFont="1" applyFill="1" applyBorder="1" applyProtection="1"/>
    <xf numFmtId="191" fontId="67" fillId="7" borderId="21" xfId="0" applyNumberFormat="1" applyFont="1" applyFill="1" applyBorder="1" applyAlignment="1">
      <alignment horizontal="right" vertical="center" wrapText="1"/>
    </xf>
    <xf numFmtId="191" fontId="66" fillId="0" borderId="0" xfId="0" applyNumberFormat="1" applyFont="1" applyAlignment="1">
      <alignment horizontal="right" vertical="center" wrapText="1"/>
    </xf>
    <xf numFmtId="191" fontId="66" fillId="4" borderId="0" xfId="0" applyNumberFormat="1" applyFont="1" applyFill="1" applyAlignment="1">
      <alignment horizontal="right" vertical="center" wrapText="1"/>
    </xf>
    <xf numFmtId="191" fontId="66" fillId="7" borderId="0" xfId="0" applyNumberFormat="1" applyFont="1" applyFill="1" applyAlignment="1">
      <alignment horizontal="right" vertical="center" wrapText="1"/>
    </xf>
    <xf numFmtId="10" fontId="66" fillId="7" borderId="0" xfId="2" applyNumberFormat="1" applyFont="1" applyFill="1" applyAlignment="1">
      <alignment horizontal="right" vertical="center" wrapText="1"/>
    </xf>
    <xf numFmtId="191" fontId="67" fillId="0" borderId="0" xfId="0" applyNumberFormat="1" applyFont="1" applyAlignment="1">
      <alignment horizontal="right" vertical="center" wrapText="1"/>
    </xf>
    <xf numFmtId="191" fontId="66" fillId="7" borderId="21" xfId="0" applyNumberFormat="1" applyFont="1" applyFill="1" applyBorder="1" applyAlignment="1">
      <alignment horizontal="right" vertical="center" wrapText="1"/>
    </xf>
    <xf numFmtId="191" fontId="158" fillId="7" borderId="21" xfId="0" applyNumberFormat="1" applyFont="1" applyFill="1" applyBorder="1" applyAlignment="1">
      <alignment horizontal="right" vertical="center" wrapText="1"/>
    </xf>
    <xf numFmtId="191" fontId="144" fillId="0" borderId="0" xfId="0" applyNumberFormat="1" applyFont="1" applyAlignment="1">
      <alignment horizontal="right" vertical="center" wrapText="1"/>
    </xf>
    <xf numFmtId="191" fontId="144" fillId="7" borderId="0" xfId="0" applyNumberFormat="1" applyFont="1" applyFill="1" applyAlignment="1">
      <alignment horizontal="right" vertical="center" wrapText="1"/>
    </xf>
    <xf numFmtId="10" fontId="144" fillId="7" borderId="0" xfId="2" applyNumberFormat="1" applyFont="1" applyFill="1" applyAlignment="1" applyProtection="1">
      <alignment horizontal="right" vertical="center" wrapText="1"/>
    </xf>
    <xf numFmtId="191" fontId="158" fillId="0" borderId="0" xfId="0" applyNumberFormat="1" applyFont="1" applyAlignment="1">
      <alignment horizontal="right" vertical="center" wrapText="1"/>
    </xf>
    <xf numFmtId="191" fontId="144" fillId="7" borderId="21" xfId="0" applyNumberFormat="1" applyFont="1" applyFill="1" applyBorder="1" applyAlignment="1">
      <alignment horizontal="right" vertical="center" wrapText="1"/>
    </xf>
    <xf numFmtId="173" fontId="26" fillId="12" borderId="0" xfId="0" applyNumberFormat="1" applyFont="1" applyFill="1" applyProtection="1">
      <protection locked="0"/>
    </xf>
    <xf numFmtId="173" fontId="26" fillId="4" borderId="0" xfId="0" applyNumberFormat="1" applyFont="1" applyFill="1" applyAlignment="1" applyProtection="1">
      <alignment wrapText="1"/>
      <protection locked="0"/>
    </xf>
    <xf numFmtId="0" fontId="66" fillId="4" borderId="0" xfId="0" applyFont="1" applyFill="1" applyAlignment="1" applyProtection="1">
      <alignment vertical="center" wrapText="1"/>
      <protection locked="0"/>
    </xf>
    <xf numFmtId="191" fontId="144" fillId="4" borderId="0" xfId="0" applyNumberFormat="1" applyFont="1" applyFill="1" applyAlignment="1" applyProtection="1">
      <alignment horizontal="right" vertical="center" wrapText="1"/>
      <protection locked="0"/>
    </xf>
    <xf numFmtId="173" fontId="26" fillId="4" borderId="0" xfId="0" applyNumberFormat="1" applyFont="1" applyFill="1" applyProtection="1">
      <protection locked="0"/>
    </xf>
    <xf numFmtId="0" fontId="26" fillId="4" borderId="0" xfId="0" applyFont="1" applyFill="1" applyAlignment="1" applyProtection="1">
      <alignment vertical="center" wrapText="1"/>
      <protection locked="0"/>
    </xf>
    <xf numFmtId="173" fontId="26" fillId="4" borderId="0" xfId="19" applyNumberFormat="1" applyFont="1" applyFill="1" applyProtection="1">
      <protection locked="0"/>
    </xf>
    <xf numFmtId="173" fontId="26" fillId="12" borderId="0" xfId="19" applyNumberFormat="1" applyFont="1" applyFill="1" applyProtection="1">
      <protection locked="0"/>
    </xf>
    <xf numFmtId="37" fontId="26" fillId="4" borderId="0" xfId="19" applyNumberFormat="1" applyFont="1" applyFill="1" applyProtection="1">
      <protection locked="0"/>
    </xf>
    <xf numFmtId="37" fontId="26" fillId="4" borderId="0" xfId="19" applyNumberFormat="1" applyFont="1" applyFill="1" applyBorder="1" applyProtection="1">
      <protection locked="0"/>
    </xf>
    <xf numFmtId="0" fontId="39" fillId="0" borderId="0" xfId="16" applyFont="1" applyAlignment="1">
      <alignment horizontal="center"/>
    </xf>
    <xf numFmtId="3" fontId="26" fillId="4" borderId="12" xfId="16" applyNumberFormat="1" applyFont="1" applyFill="1" applyBorder="1" applyAlignment="1" applyProtection="1">
      <alignment horizontal="right"/>
      <protection locked="0"/>
    </xf>
    <xf numFmtId="3" fontId="25" fillId="0" borderId="0" xfId="22" applyNumberFormat="1" applyFont="1" applyAlignment="1">
      <alignment horizontal="left"/>
    </xf>
    <xf numFmtId="3" fontId="39" fillId="0" borderId="0" xfId="22" applyNumberFormat="1" applyFont="1"/>
    <xf numFmtId="173" fontId="80" fillId="25" borderId="0" xfId="22" applyNumberFormat="1" applyFont="1" applyFill="1" applyAlignment="1">
      <alignment horizontal="center"/>
    </xf>
    <xf numFmtId="0" fontId="26" fillId="0" borderId="0" xfId="22" applyAlignment="1">
      <alignment horizontal="center"/>
    </xf>
    <xf numFmtId="173" fontId="26" fillId="4" borderId="0" xfId="22" applyNumberFormat="1" applyFill="1" applyAlignment="1">
      <alignment horizontal="right"/>
    </xf>
    <xf numFmtId="173" fontId="25" fillId="0" borderId="21" xfId="22" applyNumberFormat="1" applyFont="1" applyBorder="1"/>
    <xf numFmtId="170" fontId="25" fillId="0" borderId="0" xfId="22" applyNumberFormat="1" applyFont="1"/>
    <xf numFmtId="166" fontId="31" fillId="0" borderId="0" xfId="21" applyNumberFormat="1" applyFont="1"/>
    <xf numFmtId="166" fontId="26" fillId="0" borderId="0" xfId="21" applyNumberFormat="1" applyAlignment="1">
      <alignment horizontal="center"/>
    </xf>
    <xf numFmtId="0" fontId="94" fillId="0" borderId="0" xfId="0" applyFont="1" applyAlignment="1">
      <alignment horizontal="left" vertical="center" wrapText="1"/>
    </xf>
    <xf numFmtId="166" fontId="80" fillId="13" borderId="0" xfId="4" applyNumberFormat="1" applyFont="1" applyFill="1" applyAlignment="1">
      <alignment horizontal="center"/>
    </xf>
    <xf numFmtId="166" fontId="80" fillId="13" borderId="14" xfId="4" applyNumberFormat="1" applyFont="1" applyFill="1" applyBorder="1" applyAlignment="1">
      <alignment horizontal="center"/>
    </xf>
    <xf numFmtId="0" fontId="25" fillId="0" borderId="0" xfId="4" applyFont="1" applyAlignment="1">
      <alignment wrapText="1"/>
    </xf>
    <xf numFmtId="166" fontId="25" fillId="0" borderId="16" xfId="4" applyNumberFormat="1" applyFont="1" applyBorder="1" applyAlignment="1">
      <alignment horizontal="center"/>
    </xf>
    <xf numFmtId="166" fontId="25" fillId="0" borderId="4" xfId="4" applyNumberFormat="1" applyFont="1" applyBorder="1" applyAlignment="1">
      <alignment horizontal="center"/>
    </xf>
    <xf numFmtId="166" fontId="25" fillId="0" borderId="15" xfId="4" applyNumberFormat="1" applyFont="1" applyBorder="1" applyAlignment="1">
      <alignment horizontal="center"/>
    </xf>
    <xf numFmtId="166" fontId="25" fillId="0" borderId="12" xfId="4" applyNumberFormat="1" applyFont="1" applyBorder="1" applyAlignment="1">
      <alignment horizontal="center"/>
    </xf>
    <xf numFmtId="166" fontId="25" fillId="0" borderId="7" xfId="4" applyNumberFormat="1" applyFont="1" applyBorder="1" applyAlignment="1">
      <alignment horizontal="center"/>
    </xf>
    <xf numFmtId="166" fontId="25" fillId="0" borderId="13" xfId="4" applyNumberFormat="1" applyFont="1" applyBorder="1" applyAlignment="1">
      <alignment horizontal="center"/>
    </xf>
    <xf numFmtId="166" fontId="25" fillId="0" borderId="16" xfId="4" applyNumberFormat="1" applyFont="1" applyBorder="1" applyAlignment="1">
      <alignment horizontal="center" wrapText="1"/>
    </xf>
    <xf numFmtId="166" fontId="25" fillId="0" borderId="15" xfId="4" applyNumberFormat="1" applyFont="1" applyBorder="1" applyAlignment="1">
      <alignment horizontal="center" wrapText="1"/>
    </xf>
    <xf numFmtId="167" fontId="4" fillId="0" borderId="1" xfId="1" applyNumberFormat="1" applyFont="1" applyBorder="1" applyAlignment="1">
      <alignment horizontal="center" vertical="center" wrapText="1"/>
    </xf>
    <xf numFmtId="167" fontId="82" fillId="0" borderId="1" xfId="1" applyNumberFormat="1" applyFont="1" applyBorder="1" applyAlignment="1">
      <alignment horizontal="center"/>
    </xf>
    <xf numFmtId="167" fontId="82" fillId="0" borderId="16" xfId="1" applyNumberFormat="1" applyFont="1" applyBorder="1" applyAlignment="1">
      <alignment horizontal="center"/>
    </xf>
    <xf numFmtId="167" fontId="82" fillId="0" borderId="22" xfId="1" applyNumberFormat="1" applyFont="1" applyBorder="1" applyAlignment="1">
      <alignment horizontal="center" vertical="center"/>
    </xf>
    <xf numFmtId="167" fontId="82" fillId="0" borderId="17" xfId="1" applyNumberFormat="1" applyFont="1" applyBorder="1" applyAlignment="1">
      <alignment horizontal="center" vertical="center"/>
    </xf>
    <xf numFmtId="167" fontId="82" fillId="0" borderId="15" xfId="1" applyNumberFormat="1" applyFont="1" applyBorder="1" applyAlignment="1">
      <alignment horizontal="center" vertical="center"/>
    </xf>
    <xf numFmtId="167" fontId="82" fillId="0" borderId="16" xfId="1" applyNumberFormat="1" applyFont="1" applyBorder="1" applyAlignment="1">
      <alignment horizontal="center" vertical="center" wrapText="1"/>
    </xf>
    <xf numFmtId="167" fontId="82" fillId="0" borderId="1" xfId="1" applyNumberFormat="1" applyFont="1" applyBorder="1" applyAlignment="1">
      <alignment horizontal="center" vertical="center" wrapText="1"/>
    </xf>
    <xf numFmtId="166" fontId="26" fillId="0" borderId="0" xfId="4" applyNumberFormat="1" applyAlignment="1">
      <alignment wrapText="1"/>
    </xf>
    <xf numFmtId="0" fontId="82" fillId="0" borderId="1" xfId="0" applyFont="1" applyBorder="1" applyAlignment="1">
      <alignment horizontal="center"/>
    </xf>
    <xf numFmtId="0" fontId="82" fillId="0" borderId="1" xfId="0" applyFont="1" applyBorder="1" applyAlignment="1">
      <alignment horizontal="center" vertical="center" wrapText="1"/>
    </xf>
    <xf numFmtId="0" fontId="82" fillId="0" borderId="0" xfId="0" applyFont="1" applyAlignment="1">
      <alignment horizontal="left" vertical="center" wrapText="1"/>
    </xf>
    <xf numFmtId="0" fontId="82" fillId="0" borderId="1" xfId="0" applyFont="1" applyBorder="1" applyAlignment="1">
      <alignment horizontal="center" vertical="center"/>
    </xf>
    <xf numFmtId="166" fontId="25" fillId="0" borderId="0" xfId="4" applyNumberFormat="1" applyFont="1" applyAlignment="1">
      <alignment vertical="top" wrapText="1"/>
    </xf>
    <xf numFmtId="166" fontId="26" fillId="0" borderId="0" xfId="4" applyNumberFormat="1" applyAlignment="1">
      <alignment vertical="top" wrapText="1"/>
    </xf>
    <xf numFmtId="166" fontId="28" fillId="13" borderId="0" xfId="4" applyNumberFormat="1" applyFont="1" applyFill="1" applyAlignment="1">
      <alignment horizontal="center" vertical="top"/>
    </xf>
    <xf numFmtId="166" fontId="25" fillId="0" borderId="1" xfId="4" applyNumberFormat="1" applyFont="1" applyBorder="1" applyAlignment="1">
      <alignment horizontal="left" vertical="center"/>
    </xf>
    <xf numFmtId="166" fontId="25" fillId="0" borderId="1" xfId="4" applyNumberFormat="1" applyFont="1" applyBorder="1" applyAlignment="1">
      <alignment horizontal="center" vertical="center"/>
    </xf>
    <xf numFmtId="166" fontId="25" fillId="0" borderId="1" xfId="4" applyNumberFormat="1" applyFont="1" applyBorder="1" applyAlignment="1">
      <alignment horizontal="center" vertical="top" wrapText="1"/>
    </xf>
    <xf numFmtId="166" fontId="33" fillId="0" borderId="0" xfId="24" applyNumberFormat="1" applyFont="1" applyAlignment="1">
      <alignment vertical="center" wrapText="1"/>
    </xf>
    <xf numFmtId="0" fontId="26" fillId="0" borderId="0" xfId="4" applyAlignment="1">
      <alignment horizontal="left" wrapText="1"/>
    </xf>
    <xf numFmtId="0" fontId="25" fillId="0" borderId="0" xfId="4" applyFont="1" applyAlignment="1">
      <alignment horizontal="center" wrapText="1"/>
    </xf>
    <xf numFmtId="173" fontId="26" fillId="12" borderId="16" xfId="16" applyNumberFormat="1" applyFont="1" applyFill="1" applyBorder="1" applyAlignment="1" applyProtection="1">
      <alignment horizontal="center"/>
      <protection locked="0"/>
    </xf>
    <xf numFmtId="173" fontId="26" fillId="12" borderId="4" xfId="16" applyNumberFormat="1" applyFont="1" applyFill="1" applyBorder="1" applyAlignment="1" applyProtection="1">
      <alignment horizontal="center"/>
      <protection locked="0"/>
    </xf>
    <xf numFmtId="173" fontId="26" fillId="12" borderId="15" xfId="16" applyNumberFormat="1" applyFont="1" applyFill="1" applyBorder="1" applyAlignment="1" applyProtection="1">
      <alignment horizontal="center"/>
      <protection locked="0"/>
    </xf>
    <xf numFmtId="0" fontId="25" fillId="0" borderId="47" xfId="16" applyFont="1" applyBorder="1" applyAlignment="1">
      <alignment horizontal="center"/>
    </xf>
    <xf numFmtId="0" fontId="25" fillId="0" borderId="48" xfId="16" applyFont="1" applyBorder="1" applyAlignment="1">
      <alignment horizontal="center"/>
    </xf>
    <xf numFmtId="0" fontId="25" fillId="19" borderId="9" xfId="16" applyFont="1" applyFill="1" applyBorder="1" applyAlignment="1">
      <alignment horizontal="center" vertical="center"/>
    </xf>
    <xf numFmtId="0" fontId="25" fillId="19" borderId="8" xfId="16" applyFont="1" applyFill="1" applyBorder="1" applyAlignment="1">
      <alignment horizontal="center" vertical="center"/>
    </xf>
    <xf numFmtId="0" fontId="25" fillId="19" borderId="12" xfId="16" applyFont="1" applyFill="1" applyBorder="1" applyAlignment="1">
      <alignment horizontal="center" vertical="center"/>
    </xf>
    <xf numFmtId="0" fontId="25" fillId="19" borderId="7" xfId="16" applyFont="1" applyFill="1" applyBorder="1" applyAlignment="1">
      <alignment horizontal="center" vertical="center"/>
    </xf>
    <xf numFmtId="0" fontId="25" fillId="0" borderId="16" xfId="16" applyFont="1" applyBorder="1" applyAlignment="1">
      <alignment horizontal="center"/>
    </xf>
    <xf numFmtId="0" fontId="25" fillId="0" borderId="15" xfId="16" applyFont="1" applyBorder="1" applyAlignment="1">
      <alignment horizontal="center"/>
    </xf>
    <xf numFmtId="166" fontId="25" fillId="0" borderId="0" xfId="4" applyNumberFormat="1" applyFont="1" applyAlignment="1">
      <alignment horizontal="center" vertical="center" wrapText="1"/>
    </xf>
    <xf numFmtId="0" fontId="25" fillId="0" borderId="16" xfId="22" applyFont="1" applyBorder="1" applyAlignment="1">
      <alignment horizontal="center" wrapText="1"/>
    </xf>
    <xf numFmtId="0" fontId="25" fillId="0" borderId="15" xfId="22" applyFont="1" applyBorder="1" applyAlignment="1">
      <alignment horizontal="center" wrapText="1"/>
    </xf>
    <xf numFmtId="0" fontId="26" fillId="4" borderId="16" xfId="22" applyFill="1" applyBorder="1"/>
    <xf numFmtId="0" fontId="26" fillId="4" borderId="15" xfId="22" applyFill="1" applyBorder="1"/>
    <xf numFmtId="0" fontId="25" fillId="0" borderId="1" xfId="22" applyFont="1" applyBorder="1" applyAlignment="1">
      <alignment horizontal="center"/>
    </xf>
    <xf numFmtId="0" fontId="31" fillId="4" borderId="0" xfId="16" applyFont="1" applyFill="1" applyAlignment="1" applyProtection="1">
      <alignment wrapText="1"/>
      <protection locked="0"/>
    </xf>
    <xf numFmtId="0" fontId="26" fillId="0" borderId="0" xfId="16" applyFont="1" applyAlignment="1">
      <alignment wrapText="1"/>
    </xf>
    <xf numFmtId="0" fontId="25" fillId="0" borderId="12" xfId="22" applyFont="1" applyBorder="1" applyAlignment="1">
      <alignment horizontal="center"/>
    </xf>
    <xf numFmtId="0" fontId="25" fillId="0" borderId="7" xfId="22" applyFont="1" applyBorder="1" applyAlignment="1">
      <alignment horizontal="center"/>
    </xf>
    <xf numFmtId="166" fontId="25" fillId="3" borderId="0" xfId="4" applyNumberFormat="1" applyFont="1" applyFill="1" applyAlignment="1">
      <alignment horizontal="center" vertical="center" wrapText="1"/>
    </xf>
    <xf numFmtId="0" fontId="114" fillId="0" borderId="16" xfId="0" applyFont="1" applyBorder="1" applyAlignment="1">
      <alignment horizontal="left" vertical="center" wrapText="1"/>
    </xf>
    <xf numFmtId="0" fontId="114" fillId="0" borderId="4" xfId="0" applyFont="1" applyBorder="1" applyAlignment="1">
      <alignment horizontal="left" vertical="center" wrapText="1"/>
    </xf>
    <xf numFmtId="0" fontId="114" fillId="0" borderId="15" xfId="0" applyFont="1" applyBorder="1" applyAlignment="1">
      <alignment horizontal="left" vertical="center" wrapText="1"/>
    </xf>
    <xf numFmtId="166" fontId="28" fillId="13" borderId="0" xfId="4" applyNumberFormat="1" applyFont="1" applyFill="1" applyAlignment="1">
      <alignment horizontal="center" vertical="center"/>
    </xf>
    <xf numFmtId="0" fontId="6" fillId="0" borderId="0" xfId="0" applyFont="1" applyAlignment="1">
      <alignment vertical="center" wrapText="1"/>
    </xf>
    <xf numFmtId="189" fontId="4" fillId="0" borderId="0" xfId="0" applyNumberFormat="1" applyFont="1" applyAlignment="1">
      <alignment vertical="center"/>
    </xf>
    <xf numFmtId="0" fontId="111" fillId="0" borderId="0" xfId="0" applyFont="1" applyAlignment="1">
      <alignment vertical="center"/>
    </xf>
    <xf numFmtId="0" fontId="0" fillId="4" borderId="104" xfId="0" applyFill="1" applyBorder="1" applyAlignment="1">
      <alignment wrapText="1"/>
    </xf>
    <xf numFmtId="0" fontId="0" fillId="4" borderId="103" xfId="0" applyFill="1" applyBorder="1" applyAlignment="1">
      <alignment wrapText="1"/>
    </xf>
    <xf numFmtId="0" fontId="0" fillId="2" borderId="88" xfId="0" applyFill="1" applyBorder="1" applyAlignment="1">
      <alignment vertical="top"/>
    </xf>
    <xf numFmtId="0" fontId="0" fillId="2" borderId="91" xfId="0" applyFill="1" applyBorder="1" applyAlignment="1">
      <alignment vertical="top"/>
    </xf>
    <xf numFmtId="0" fontId="0" fillId="43" borderId="3" xfId="0" applyFill="1" applyBorder="1"/>
    <xf numFmtId="0" fontId="0" fillId="43" borderId="24" xfId="0" applyFill="1" applyBorder="1"/>
    <xf numFmtId="0" fontId="0" fillId="0" borderId="42" xfId="0" applyBorder="1" applyAlignment="1">
      <alignment wrapText="1"/>
    </xf>
    <xf numFmtId="0" fontId="0" fillId="0" borderId="0" xfId="0" applyAlignment="1">
      <alignment wrapText="1"/>
    </xf>
    <xf numFmtId="0" fontId="0" fillId="0" borderId="53" xfId="0" applyBorder="1" applyAlignment="1">
      <alignment horizontal="left" vertical="top" wrapText="1"/>
    </xf>
    <xf numFmtId="0" fontId="0" fillId="31" borderId="9" xfId="0" applyFill="1" applyBorder="1"/>
    <xf numFmtId="0" fontId="0" fillId="31" borderId="8" xfId="0" applyFill="1" applyBorder="1"/>
    <xf numFmtId="0" fontId="0" fillId="31" borderId="87" xfId="0" applyFill="1" applyBorder="1"/>
    <xf numFmtId="0" fontId="0" fillId="31" borderId="2" xfId="0" applyFill="1" applyBorder="1"/>
    <xf numFmtId="0" fontId="0" fillId="31" borderId="0" xfId="0" applyFill="1"/>
    <xf numFmtId="0" fontId="0" fillId="31" borderId="88" xfId="0" applyFill="1" applyBorder="1"/>
    <xf numFmtId="0" fontId="0" fillId="31" borderId="90" xfId="0" applyFill="1" applyBorder="1"/>
    <xf numFmtId="0" fontId="0" fillId="31" borderId="6" xfId="0" applyFill="1" applyBorder="1"/>
    <xf numFmtId="0" fontId="0" fillId="31" borderId="91" xfId="0" applyFill="1" applyBorder="1"/>
    <xf numFmtId="0" fontId="0" fillId="0" borderId="66" xfId="0" applyBorder="1"/>
    <xf numFmtId="0" fontId="0" fillId="0" borderId="1" xfId="0" applyBorder="1"/>
    <xf numFmtId="0" fontId="0" fillId="0" borderId="69" xfId="0" applyBorder="1"/>
    <xf numFmtId="0" fontId="0" fillId="0" borderId="25" xfId="0" applyBorder="1"/>
    <xf numFmtId="0" fontId="3" fillId="0" borderId="63" xfId="0" applyFont="1" applyBorder="1" applyAlignment="1">
      <alignment horizontal="left" vertical="top"/>
    </xf>
    <xf numFmtId="0" fontId="0" fillId="0" borderId="1" xfId="0" applyBorder="1" applyAlignment="1">
      <alignment horizontal="left" vertical="top"/>
    </xf>
    <xf numFmtId="0" fontId="3" fillId="42" borderId="53" xfId="0" applyFont="1" applyFill="1" applyBorder="1" applyAlignment="1">
      <alignment horizontal="left" vertical="top"/>
    </xf>
    <xf numFmtId="0" fontId="3" fillId="0" borderId="53" xfId="0" applyFont="1" applyBorder="1" applyAlignment="1">
      <alignment horizontal="center" vertical="top"/>
    </xf>
    <xf numFmtId="0" fontId="0" fillId="0" borderId="53" xfId="0" applyBorder="1" applyAlignment="1">
      <alignment horizontal="left" vertical="top"/>
    </xf>
    <xf numFmtId="0" fontId="11" fillId="0" borderId="53" xfId="0" applyFont="1" applyBorder="1" applyAlignment="1">
      <alignment horizontal="left" vertical="top" wrapText="1"/>
    </xf>
    <xf numFmtId="0" fontId="11" fillId="0" borderId="53" xfId="0" applyFont="1" applyBorder="1" applyAlignment="1">
      <alignment horizontal="left" vertical="top"/>
    </xf>
    <xf numFmtId="0" fontId="3" fillId="0" borderId="57" xfId="0" applyFont="1" applyBorder="1" applyAlignment="1">
      <alignment horizontal="center" vertical="top"/>
    </xf>
    <xf numFmtId="0" fontId="3" fillId="0" borderId="58" xfId="0" applyFont="1" applyBorder="1" applyAlignment="1">
      <alignment horizontal="center" vertical="top"/>
    </xf>
    <xf numFmtId="0" fontId="3" fillId="0" borderId="59" xfId="0" applyFont="1" applyBorder="1" applyAlignment="1">
      <alignment horizontal="center" vertical="top"/>
    </xf>
    <xf numFmtId="0" fontId="0" fillId="0" borderId="57" xfId="0" applyBorder="1" applyAlignment="1">
      <alignment horizontal="left" vertical="top" wrapText="1"/>
    </xf>
    <xf numFmtId="0" fontId="0" fillId="0" borderId="58" xfId="0" applyBorder="1" applyAlignment="1">
      <alignment horizontal="left" vertical="top" wrapText="1"/>
    </xf>
    <xf numFmtId="0" fontId="0" fillId="0" borderId="59" xfId="0" applyBorder="1" applyAlignment="1">
      <alignment horizontal="left" vertical="top" wrapText="1"/>
    </xf>
    <xf numFmtId="0" fontId="0" fillId="0" borderId="60" xfId="0" applyBorder="1"/>
    <xf numFmtId="0" fontId="0" fillId="0" borderId="65" xfId="0" applyBorder="1"/>
    <xf numFmtId="0" fontId="0" fillId="0" borderId="77" xfId="0" applyBorder="1"/>
    <xf numFmtId="0" fontId="0" fillId="0" borderId="75" xfId="0" applyBorder="1" applyAlignment="1">
      <alignment wrapText="1"/>
    </xf>
    <xf numFmtId="0" fontId="0" fillId="0" borderId="4" xfId="0" applyBorder="1" applyAlignment="1">
      <alignment wrapText="1"/>
    </xf>
    <xf numFmtId="0" fontId="0" fillId="0" borderId="15" xfId="0" applyBorder="1" applyAlignment="1">
      <alignment wrapText="1"/>
    </xf>
    <xf numFmtId="0" fontId="0" fillId="0" borderId="75" xfId="0" applyBorder="1"/>
    <xf numFmtId="0" fontId="0" fillId="0" borderId="4" xfId="0" applyBorder="1"/>
    <xf numFmtId="0" fontId="0" fillId="0" borderId="15" xfId="0" applyBorder="1"/>
    <xf numFmtId="0" fontId="3" fillId="0" borderId="71" xfId="0" applyFont="1" applyBorder="1"/>
    <xf numFmtId="0" fontId="3" fillId="0" borderId="5" xfId="0" applyFont="1" applyBorder="1"/>
    <xf numFmtId="0" fontId="3" fillId="0" borderId="72" xfId="0" applyFont="1" applyBorder="1"/>
    <xf numFmtId="0" fontId="141" fillId="7" borderId="0" xfId="0" applyFont="1" applyFill="1" applyAlignment="1">
      <alignment horizontal="left" vertical="center"/>
    </xf>
    <xf numFmtId="0" fontId="141" fillId="7" borderId="68" xfId="0" applyFont="1" applyFill="1" applyBorder="1" applyAlignment="1">
      <alignment horizontal="left" vertical="center"/>
    </xf>
    <xf numFmtId="0" fontId="0" fillId="0" borderId="73" xfId="0" applyBorder="1"/>
    <xf numFmtId="0" fontId="0" fillId="0" borderId="74" xfId="0" applyBorder="1"/>
    <xf numFmtId="0" fontId="0" fillId="0" borderId="48" xfId="0" applyBorder="1"/>
    <xf numFmtId="0" fontId="3" fillId="0" borderId="16" xfId="0" applyFont="1" applyBorder="1" applyAlignment="1">
      <alignment horizontal="left" vertical="top"/>
    </xf>
    <xf numFmtId="0" fontId="3" fillId="0" borderId="4" xfId="0" applyFont="1" applyBorder="1" applyAlignment="1">
      <alignment horizontal="left" vertical="top"/>
    </xf>
    <xf numFmtId="0" fontId="3" fillId="0" borderId="15" xfId="0" applyFont="1" applyBorder="1" applyAlignment="1">
      <alignment horizontal="left" vertical="top"/>
    </xf>
    <xf numFmtId="0" fontId="0" fillId="0" borderId="1" xfId="0" applyBorder="1" applyAlignment="1">
      <alignment horizontal="left" vertical="top" wrapText="1"/>
    </xf>
    <xf numFmtId="0" fontId="3" fillId="0" borderId="22" xfId="0" applyFont="1" applyBorder="1" applyAlignment="1">
      <alignment horizontal="center" vertical="top"/>
    </xf>
    <xf numFmtId="0" fontId="3" fillId="0" borderId="10" xfId="0" applyFont="1" applyBorder="1" applyAlignment="1">
      <alignment horizontal="center" vertical="top"/>
    </xf>
    <xf numFmtId="0" fontId="0" fillId="0" borderId="22" xfId="0" applyBorder="1" applyAlignment="1">
      <alignment horizontal="left" vertical="top" wrapText="1"/>
    </xf>
    <xf numFmtId="0" fontId="0" fillId="0" borderId="10" xfId="0" applyBorder="1" applyAlignment="1">
      <alignment horizontal="left" vertical="top" wrapText="1"/>
    </xf>
    <xf numFmtId="0" fontId="0" fillId="0" borderId="9" xfId="0" applyBorder="1"/>
    <xf numFmtId="0" fontId="0" fillId="0" borderId="2" xfId="0" applyBorder="1"/>
    <xf numFmtId="0" fontId="0" fillId="0" borderId="10" xfId="0" applyBorder="1"/>
    <xf numFmtId="0" fontId="0" fillId="0" borderId="66" xfId="0" applyBorder="1" applyAlignment="1">
      <alignment wrapText="1"/>
    </xf>
    <xf numFmtId="0" fontId="0" fillId="0" borderId="1" xfId="0" applyBorder="1" applyAlignment="1">
      <alignment wrapText="1"/>
    </xf>
    <xf numFmtId="0" fontId="3" fillId="0" borderId="71" xfId="0" applyFont="1" applyBorder="1" applyAlignment="1">
      <alignment horizontal="left" vertical="top"/>
    </xf>
    <xf numFmtId="0" fontId="3" fillId="0" borderId="5" xfId="0" applyFont="1" applyBorder="1" applyAlignment="1">
      <alignment horizontal="left" vertical="top"/>
    </xf>
    <xf numFmtId="0" fontId="3" fillId="0" borderId="72" xfId="0" applyFont="1" applyBorder="1" applyAlignment="1">
      <alignment horizontal="left" vertical="top"/>
    </xf>
    <xf numFmtId="0" fontId="141" fillId="7" borderId="2" xfId="0" applyFont="1" applyFill="1" applyBorder="1" applyAlignment="1">
      <alignment horizontal="left" vertical="center"/>
    </xf>
    <xf numFmtId="0" fontId="141" fillId="7" borderId="14" xfId="0" applyFont="1" applyFill="1" applyBorder="1" applyAlignment="1">
      <alignment horizontal="left" vertical="center"/>
    </xf>
    <xf numFmtId="0" fontId="0" fillId="0" borderId="61" xfId="0" applyBorder="1"/>
    <xf numFmtId="0" fontId="0" fillId="0" borderId="40" xfId="0" applyBorder="1"/>
    <xf numFmtId="0" fontId="0" fillId="0" borderId="58" xfId="0" applyBorder="1"/>
    <xf numFmtId="0" fontId="0" fillId="0" borderId="59" xfId="0" applyBorder="1"/>
    <xf numFmtId="0" fontId="3" fillId="0" borderId="75" xfId="0" applyFont="1" applyBorder="1" applyAlignment="1">
      <alignment horizontal="left" vertical="top"/>
    </xf>
    <xf numFmtId="0" fontId="3" fillId="0" borderId="86" xfId="0" applyFont="1" applyBorder="1" applyAlignment="1">
      <alignment horizontal="left" vertical="top"/>
    </xf>
    <xf numFmtId="0" fontId="3" fillId="0" borderId="75" xfId="0" applyFont="1" applyBorder="1"/>
    <xf numFmtId="0" fontId="3" fillId="0" borderId="4" xfId="0" applyFont="1" applyBorder="1"/>
    <xf numFmtId="0" fontId="3" fillId="0" borderId="15" xfId="0" applyFont="1" applyBorder="1"/>
    <xf numFmtId="0" fontId="141" fillId="7" borderId="65" xfId="0" applyFont="1" applyFill="1" applyBorder="1" applyAlignment="1">
      <alignment horizontal="left" vertical="center"/>
    </xf>
    <xf numFmtId="0" fontId="0" fillId="0" borderId="81" xfId="0" applyBorder="1" applyAlignment="1">
      <alignment horizontal="left" vertical="top"/>
    </xf>
    <xf numFmtId="0" fontId="3" fillId="0" borderId="81" xfId="0" applyFont="1" applyBorder="1" applyAlignment="1">
      <alignment horizontal="left" vertical="top" wrapText="1"/>
    </xf>
    <xf numFmtId="0" fontId="3" fillId="0" borderId="53" xfId="0" applyFont="1" applyBorder="1" applyAlignment="1">
      <alignment horizontal="left" vertical="top" wrapText="1"/>
    </xf>
    <xf numFmtId="0" fontId="3" fillId="0" borderId="81" xfId="0" applyFont="1" applyBorder="1" applyAlignment="1">
      <alignment horizontal="left" vertical="top"/>
    </xf>
    <xf numFmtId="0" fontId="3" fillId="0" borderId="53" xfId="0" applyFont="1" applyBorder="1" applyAlignment="1">
      <alignment horizontal="left" vertical="top"/>
    </xf>
    <xf numFmtId="0" fontId="3" fillId="0" borderId="83" xfId="0" applyFont="1" applyBorder="1" applyAlignment="1">
      <alignment horizontal="left" vertical="top"/>
    </xf>
    <xf numFmtId="0" fontId="3" fillId="0" borderId="84" xfId="0" applyFont="1" applyBorder="1" applyAlignment="1">
      <alignment horizontal="left" vertical="top"/>
    </xf>
    <xf numFmtId="0" fontId="111" fillId="0" borderId="71" xfId="0" applyFont="1" applyBorder="1" applyAlignment="1">
      <alignment horizontal="left" wrapText="1"/>
    </xf>
    <xf numFmtId="0" fontId="111" fillId="0" borderId="5" xfId="0" applyFont="1" applyBorder="1" applyAlignment="1">
      <alignment horizontal="left" wrapText="1"/>
    </xf>
    <xf numFmtId="0" fontId="111" fillId="0" borderId="72" xfId="0" applyFont="1" applyBorder="1" applyAlignment="1">
      <alignment horizontal="left" wrapText="1"/>
    </xf>
    <xf numFmtId="0" fontId="4" fillId="0" borderId="61" xfId="0" applyFont="1" applyBorder="1" applyAlignment="1">
      <alignment horizontal="left" wrapText="1"/>
    </xf>
    <xf numFmtId="0" fontId="4" fillId="0" borderId="40" xfId="0" applyFont="1" applyBorder="1" applyAlignment="1">
      <alignment horizontal="left" wrapText="1"/>
    </xf>
    <xf numFmtId="0" fontId="3" fillId="0" borderId="75" xfId="0" applyFont="1" applyBorder="1" applyAlignment="1">
      <alignment horizontal="left" vertical="top" wrapText="1"/>
    </xf>
    <xf numFmtId="0" fontId="3" fillId="0" borderId="4" xfId="0" applyFont="1" applyBorder="1" applyAlignment="1">
      <alignment horizontal="left" vertical="top" wrapText="1"/>
    </xf>
    <xf numFmtId="0" fontId="3" fillId="0" borderId="15" xfId="0" applyFont="1" applyBorder="1" applyAlignment="1">
      <alignment horizontal="left" vertical="top" wrapText="1"/>
    </xf>
    <xf numFmtId="0" fontId="3" fillId="0" borderId="66" xfId="0" applyFont="1" applyBorder="1" applyAlignment="1">
      <alignment horizontal="left" vertical="top"/>
    </xf>
    <xf numFmtId="0" fontId="3" fillId="0" borderId="1" xfId="0" applyFont="1" applyBorder="1" applyAlignment="1">
      <alignment horizontal="left" vertical="top"/>
    </xf>
    <xf numFmtId="0" fontId="3" fillId="0" borderId="66" xfId="0" applyFont="1" applyBorder="1"/>
    <xf numFmtId="0" fontId="3" fillId="0" borderId="1" xfId="0" applyFont="1" applyBorder="1"/>
    <xf numFmtId="0" fontId="3" fillId="0" borderId="67" xfId="0" applyFont="1" applyBorder="1"/>
    <xf numFmtId="0" fontId="0" fillId="31" borderId="9" xfId="0" applyFill="1" applyBorder="1" applyAlignment="1">
      <alignment horizontal="center"/>
    </xf>
    <xf numFmtId="0" fontId="0" fillId="31" borderId="8" xfId="0" applyFill="1" applyBorder="1" applyAlignment="1">
      <alignment horizontal="center"/>
    </xf>
    <xf numFmtId="0" fontId="0" fillId="31" borderId="87" xfId="0" applyFill="1" applyBorder="1" applyAlignment="1">
      <alignment horizontal="center"/>
    </xf>
    <xf numFmtId="0" fontId="0" fillId="31" borderId="2" xfId="0" applyFill="1" applyBorder="1" applyAlignment="1">
      <alignment horizontal="center"/>
    </xf>
    <xf numFmtId="0" fontId="0" fillId="31" borderId="0" xfId="0" applyFill="1" applyAlignment="1">
      <alignment horizontal="center"/>
    </xf>
    <xf numFmtId="0" fontId="0" fillId="31" borderId="88" xfId="0" applyFill="1" applyBorder="1" applyAlignment="1">
      <alignment horizontal="center"/>
    </xf>
    <xf numFmtId="0" fontId="0" fillId="31" borderId="12" xfId="0" applyFill="1" applyBorder="1" applyAlignment="1">
      <alignment horizontal="center"/>
    </xf>
    <xf numFmtId="0" fontId="0" fillId="31" borderId="7" xfId="0" applyFill="1" applyBorder="1" applyAlignment="1">
      <alignment horizontal="center"/>
    </xf>
    <xf numFmtId="0" fontId="0" fillId="31" borderId="89" xfId="0" applyFill="1" applyBorder="1" applyAlignment="1">
      <alignment horizontal="center"/>
    </xf>
    <xf numFmtId="0" fontId="0" fillId="0" borderId="75" xfId="0" applyBorder="1" applyAlignment="1">
      <alignment horizontal="left" vertical="top"/>
    </xf>
    <xf numFmtId="0" fontId="0" fillId="0" borderId="15" xfId="0" applyBorder="1" applyAlignment="1">
      <alignment horizontal="left" vertical="top"/>
    </xf>
    <xf numFmtId="0" fontId="0" fillId="0" borderId="54" xfId="0" applyBorder="1"/>
    <xf numFmtId="0" fontId="0" fillId="0" borderId="81" xfId="0" applyBorder="1" applyAlignment="1">
      <alignment horizontal="left"/>
    </xf>
    <xf numFmtId="0" fontId="0" fillId="0" borderId="53" xfId="0" applyBorder="1" applyAlignment="1">
      <alignment horizontal="left"/>
    </xf>
    <xf numFmtId="0" fontId="141" fillId="7" borderId="53" xfId="0" applyFont="1" applyFill="1" applyBorder="1" applyAlignment="1">
      <alignment horizontal="left" vertical="center"/>
    </xf>
    <xf numFmtId="0" fontId="2" fillId="31" borderId="78" xfId="0" applyFont="1" applyFill="1" applyBorder="1" applyAlignment="1">
      <alignment horizontal="left" vertical="top"/>
    </xf>
    <xf numFmtId="0" fontId="2" fillId="31" borderId="79" xfId="0" applyFont="1" applyFill="1" applyBorder="1" applyAlignment="1">
      <alignment horizontal="left" vertical="top"/>
    </xf>
    <xf numFmtId="0" fontId="0" fillId="0" borderId="83" xfId="0" applyBorder="1" applyAlignment="1">
      <alignment horizontal="left" vertical="top"/>
    </xf>
    <xf numFmtId="0" fontId="0" fillId="0" borderId="84" xfId="0" applyBorder="1" applyAlignment="1">
      <alignment horizontal="left" vertical="top"/>
    </xf>
    <xf numFmtId="0" fontId="3" fillId="42" borderId="63" xfId="0" applyFont="1" applyFill="1" applyBorder="1" applyAlignment="1">
      <alignment horizontal="left" vertical="top"/>
    </xf>
    <xf numFmtId="0" fontId="0" fillId="0" borderId="66" xfId="0" applyBorder="1" applyAlignment="1">
      <alignment horizontal="left" vertical="top" wrapText="1"/>
    </xf>
    <xf numFmtId="0" fontId="0" fillId="0" borderId="69" xfId="0" applyBorder="1" applyAlignment="1">
      <alignment horizontal="left"/>
    </xf>
    <xf numFmtId="0" fontId="0" fillId="0" borderId="25" xfId="0" applyBorder="1" applyAlignment="1">
      <alignment horizontal="left"/>
    </xf>
    <xf numFmtId="0" fontId="0" fillId="0" borderId="61" xfId="0" applyBorder="1" applyAlignment="1">
      <alignment horizontal="left" vertical="top"/>
    </xf>
    <xf numFmtId="0" fontId="0" fillId="0" borderId="40" xfId="0" applyBorder="1" applyAlignment="1">
      <alignment horizontal="left" vertical="top"/>
    </xf>
    <xf numFmtId="0" fontId="0" fillId="0" borderId="73" xfId="0" applyBorder="1" applyAlignment="1">
      <alignment horizontal="left" vertical="top"/>
    </xf>
    <xf numFmtId="0" fontId="0" fillId="0" borderId="74" xfId="0" applyBorder="1" applyAlignment="1">
      <alignment horizontal="left" vertical="top"/>
    </xf>
    <xf numFmtId="0" fontId="0" fillId="0" borderId="48" xfId="0" applyBorder="1" applyAlignment="1">
      <alignment horizontal="left" vertical="top"/>
    </xf>
    <xf numFmtId="0" fontId="0" fillId="0" borderId="4" xfId="0" applyBorder="1" applyAlignment="1">
      <alignment horizontal="left" vertical="top"/>
    </xf>
    <xf numFmtId="0" fontId="141" fillId="0" borderId="65" xfId="0" applyFont="1" applyBorder="1" applyAlignment="1">
      <alignment horizontal="left" vertical="center" wrapText="1"/>
    </xf>
    <xf numFmtId="0" fontId="141" fillId="0" borderId="0" xfId="0" applyFont="1" applyAlignment="1">
      <alignment horizontal="left" vertical="center" wrapText="1"/>
    </xf>
    <xf numFmtId="0" fontId="141" fillId="0" borderId="68" xfId="0" applyFont="1" applyBorder="1" applyAlignment="1">
      <alignment horizontal="left" vertical="center" wrapText="1"/>
    </xf>
    <xf numFmtId="0" fontId="0" fillId="0" borderId="60"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wrapText="1"/>
    </xf>
    <xf numFmtId="0" fontId="0" fillId="0" borderId="68" xfId="0" applyBorder="1" applyAlignment="1">
      <alignment horizontal="left" vertical="top" wrapText="1"/>
    </xf>
    <xf numFmtId="0" fontId="0" fillId="0" borderId="77" xfId="0" applyBorder="1" applyAlignment="1">
      <alignment horizontal="left" vertical="top" wrapText="1"/>
    </xf>
    <xf numFmtId="0" fontId="0" fillId="0" borderId="100" xfId="0" applyBorder="1" applyAlignment="1">
      <alignment horizontal="left" vertical="top" wrapText="1"/>
    </xf>
    <xf numFmtId="0" fontId="0" fillId="0" borderId="58" xfId="0" applyBorder="1" applyAlignment="1">
      <alignment horizontal="center" vertical="top"/>
    </xf>
    <xf numFmtId="0" fontId="0" fillId="0" borderId="59" xfId="0" applyBorder="1" applyAlignment="1">
      <alignment horizontal="center" vertical="top"/>
    </xf>
    <xf numFmtId="0" fontId="3" fillId="0" borderId="66" xfId="0" applyFont="1" applyBorder="1" applyAlignment="1">
      <alignment horizontal="left"/>
    </xf>
    <xf numFmtId="0" fontId="3" fillId="0" borderId="1" xfId="0" applyFont="1" applyBorder="1" applyAlignment="1">
      <alignment horizontal="left"/>
    </xf>
    <xf numFmtId="0" fontId="3" fillId="0" borderId="66" xfId="0" applyFont="1" applyBorder="1" applyAlignment="1">
      <alignment horizontal="left" wrapText="1"/>
    </xf>
    <xf numFmtId="0" fontId="3" fillId="0" borderId="1" xfId="0" applyFont="1" applyBorder="1" applyAlignment="1">
      <alignment horizontal="left" wrapText="1"/>
    </xf>
    <xf numFmtId="0" fontId="3" fillId="0" borderId="69" xfId="0" applyFont="1" applyBorder="1" applyAlignment="1">
      <alignment horizontal="left"/>
    </xf>
    <xf numFmtId="0" fontId="3" fillId="0" borderId="25" xfId="0" applyFont="1" applyBorder="1" applyAlignment="1">
      <alignment horizontal="left"/>
    </xf>
    <xf numFmtId="0" fontId="3" fillId="0" borderId="61" xfId="0" applyFont="1" applyBorder="1" applyAlignment="1">
      <alignment horizontal="left"/>
    </xf>
    <xf numFmtId="0" fontId="3" fillId="0" borderId="40" xfId="0" applyFont="1" applyBorder="1" applyAlignment="1">
      <alignment horizontal="left"/>
    </xf>
    <xf numFmtId="0" fontId="3" fillId="42" borderId="54" xfId="0" applyFont="1" applyFill="1" applyBorder="1" applyAlignment="1">
      <alignment horizontal="left" vertical="center"/>
    </xf>
    <xf numFmtId="0" fontId="3" fillId="42" borderId="55" xfId="0" applyFont="1" applyFill="1" applyBorder="1" applyAlignment="1">
      <alignment horizontal="left" vertical="center"/>
    </xf>
    <xf numFmtId="0" fontId="3" fillId="42" borderId="56" xfId="0" applyFont="1" applyFill="1" applyBorder="1" applyAlignment="1">
      <alignment horizontal="left" vertical="center"/>
    </xf>
    <xf numFmtId="0" fontId="0" fillId="0" borderId="53" xfId="0" applyBorder="1" applyAlignment="1">
      <alignment horizontal="left" vertical="center" wrapText="1"/>
    </xf>
    <xf numFmtId="0" fontId="3" fillId="42" borderId="53" xfId="0" applyFont="1" applyFill="1" applyBorder="1" applyAlignment="1">
      <alignment horizontal="left" vertical="center"/>
    </xf>
    <xf numFmtId="0" fontId="4" fillId="0" borderId="53" xfId="0" applyFont="1" applyBorder="1" applyAlignment="1">
      <alignment horizontal="left" vertical="top" wrapText="1"/>
    </xf>
    <xf numFmtId="0" fontId="134" fillId="31" borderId="52" xfId="0" applyFont="1" applyFill="1" applyBorder="1" applyAlignment="1">
      <alignment horizontal="center" vertical="top"/>
    </xf>
    <xf numFmtId="0" fontId="135" fillId="31" borderId="53" xfId="0" applyFont="1" applyFill="1" applyBorder="1" applyAlignment="1">
      <alignment horizontal="center" vertical="center"/>
    </xf>
    <xf numFmtId="0" fontId="135" fillId="31" borderId="53" xfId="0" applyFont="1" applyFill="1" applyBorder="1" applyAlignment="1">
      <alignment horizontal="center"/>
    </xf>
    <xf numFmtId="0" fontId="136" fillId="0" borderId="53" xfId="0" applyFont="1" applyBorder="1" applyAlignment="1">
      <alignment horizontal="left" vertical="center" wrapText="1"/>
    </xf>
    <xf numFmtId="0" fontId="0" fillId="0" borderId="53" xfId="0" applyBorder="1" applyAlignment="1">
      <alignment horizontal="left" vertical="center"/>
    </xf>
    <xf numFmtId="0" fontId="25" fillId="0" borderId="0" xfId="4" applyFont="1" applyAlignment="1">
      <alignment vertical="center" wrapText="1"/>
    </xf>
    <xf numFmtId="0" fontId="25" fillId="0" borderId="0" xfId="4" applyFont="1" applyAlignment="1">
      <alignment horizontal="left" vertical="center" wrapText="1"/>
    </xf>
    <xf numFmtId="0" fontId="26" fillId="0" borderId="0" xfId="4" applyAlignment="1">
      <alignment horizontal="left" vertical="center" wrapText="1"/>
    </xf>
    <xf numFmtId="166" fontId="97" fillId="0" borderId="1" xfId="4" applyNumberFormat="1" applyFont="1" applyBorder="1" applyAlignment="1">
      <alignment horizontal="center" vertical="center" wrapText="1"/>
    </xf>
    <xf numFmtId="166" fontId="92" fillId="21" borderId="1" xfId="4" applyNumberFormat="1" applyFont="1" applyFill="1" applyBorder="1" applyAlignment="1">
      <alignment horizontal="center" vertical="center" wrapText="1"/>
    </xf>
    <xf numFmtId="0" fontId="26" fillId="0" borderId="0" xfId="4" applyAlignment="1">
      <alignment horizontal="left" vertical="top" wrapText="1"/>
    </xf>
    <xf numFmtId="0" fontId="25" fillId="0" borderId="0" xfId="4" applyFont="1" applyAlignment="1">
      <alignment horizontal="center"/>
    </xf>
    <xf numFmtId="15" fontId="25" fillId="0" borderId="0" xfId="4" applyNumberFormat="1" applyFont="1" applyAlignment="1">
      <alignment horizontal="center"/>
    </xf>
    <xf numFmtId="0" fontId="26" fillId="0" borderId="0" xfId="0" applyFont="1" applyAlignment="1">
      <alignment wrapText="1"/>
    </xf>
    <xf numFmtId="166" fontId="25" fillId="0" borderId="0" xfId="4" applyNumberFormat="1" applyFont="1" applyAlignment="1">
      <alignment horizontal="center"/>
    </xf>
    <xf numFmtId="0" fontId="26" fillId="0" borderId="0" xfId="4" applyAlignment="1">
      <alignment horizontal="center"/>
    </xf>
    <xf numFmtId="0" fontId="25" fillId="21" borderId="0" xfId="4" applyFont="1" applyFill="1" applyAlignment="1">
      <alignment horizontal="center"/>
    </xf>
    <xf numFmtId="0" fontId="26" fillId="21" borderId="0" xfId="4" applyFill="1" applyAlignment="1">
      <alignment horizontal="center"/>
    </xf>
    <xf numFmtId="173" fontId="31" fillId="0" borderId="0" xfId="16" applyNumberFormat="1" applyFont="1" applyAlignment="1">
      <alignment horizontal="left" wrapText="1"/>
    </xf>
    <xf numFmtId="166" fontId="28" fillId="13" borderId="0" xfId="4" quotePrefix="1" applyNumberFormat="1" applyFont="1" applyFill="1" applyAlignment="1">
      <alignment horizontal="center"/>
    </xf>
    <xf numFmtId="166" fontId="25" fillId="0" borderId="0" xfId="4" applyNumberFormat="1" applyFont="1" applyAlignment="1">
      <alignment horizontal="center" vertical="center"/>
    </xf>
    <xf numFmtId="173" fontId="26" fillId="0" borderId="0" xfId="16" applyNumberFormat="1" applyFont="1" applyAlignment="1">
      <alignment horizontal="left" wrapText="1"/>
    </xf>
    <xf numFmtId="173" fontId="26" fillId="0" borderId="0" xfId="16" applyNumberFormat="1" applyFont="1" applyAlignment="1">
      <alignment horizontal="left"/>
    </xf>
    <xf numFmtId="166" fontId="25" fillId="0" borderId="9" xfId="4" applyNumberFormat="1" applyFont="1" applyBorder="1" applyAlignment="1">
      <alignment horizontal="center"/>
    </xf>
    <xf numFmtId="166" fontId="25" fillId="0" borderId="8" xfId="4" applyNumberFormat="1" applyFont="1" applyBorder="1" applyAlignment="1">
      <alignment horizontal="center"/>
    </xf>
    <xf numFmtId="166" fontId="25" fillId="0" borderId="11" xfId="4" applyNumberFormat="1" applyFont="1" applyBorder="1" applyAlignment="1">
      <alignment horizontal="center"/>
    </xf>
    <xf numFmtId="0" fontId="26" fillId="0" borderId="0" xfId="10" applyFont="1" applyAlignment="1">
      <alignment wrapText="1"/>
    </xf>
    <xf numFmtId="1" fontId="25" fillId="0" borderId="0" xfId="10" applyNumberFormat="1" applyFont="1" applyAlignment="1">
      <alignment horizontal="center"/>
    </xf>
    <xf numFmtId="0" fontId="26" fillId="0" borderId="0" xfId="10" applyFont="1" applyAlignment="1">
      <alignment horizontal="left" wrapText="1"/>
    </xf>
    <xf numFmtId="0" fontId="26" fillId="6" borderId="0" xfId="4" applyFill="1" applyAlignment="1">
      <alignment wrapText="1"/>
    </xf>
    <xf numFmtId="0" fontId="26" fillId="10" borderId="0" xfId="10" applyFont="1" applyFill="1" applyAlignment="1">
      <alignment horizontal="left" vertical="top" wrapText="1"/>
    </xf>
    <xf numFmtId="0" fontId="25" fillId="0" borderId="0" xfId="22" applyFont="1"/>
    <xf numFmtId="0" fontId="25" fillId="0" borderId="0" xfId="22" applyFont="1" applyAlignment="1">
      <alignment wrapText="1"/>
    </xf>
    <xf numFmtId="0" fontId="25" fillId="0" borderId="9" xfId="16" applyFont="1" applyBorder="1" applyAlignment="1">
      <alignment horizontal="center" vertical="center"/>
    </xf>
    <xf numFmtId="0" fontId="25" fillId="0" borderId="8" xfId="16" applyFont="1" applyBorder="1" applyAlignment="1">
      <alignment horizontal="center" vertical="center"/>
    </xf>
    <xf numFmtId="0" fontId="25" fillId="0" borderId="12" xfId="16" applyFont="1" applyBorder="1" applyAlignment="1">
      <alignment horizontal="center" vertical="center"/>
    </xf>
    <xf numFmtId="0" fontId="25" fillId="0" borderId="7" xfId="16" applyFont="1" applyBorder="1" applyAlignment="1">
      <alignment horizontal="center" vertical="center"/>
    </xf>
    <xf numFmtId="0" fontId="25" fillId="0" borderId="12" xfId="16" applyFont="1" applyBorder="1" applyAlignment="1">
      <alignment horizontal="center"/>
    </xf>
    <xf numFmtId="0" fontId="26" fillId="0" borderId="7" xfId="16" applyFont="1" applyBorder="1"/>
    <xf numFmtId="0" fontId="26" fillId="0" borderId="7" xfId="16" applyFont="1" applyBorder="1" applyAlignment="1">
      <alignment horizontal="left" wrapText="1"/>
    </xf>
    <xf numFmtId="0" fontId="26" fillId="4" borderId="1" xfId="22" applyFill="1" applyBorder="1"/>
    <xf numFmtId="0" fontId="25" fillId="0" borderId="16" xfId="22" applyFont="1" applyBorder="1" applyAlignment="1">
      <alignment horizontal="center"/>
    </xf>
    <xf numFmtId="0" fontId="25" fillId="0" borderId="4" xfId="22" applyFont="1" applyBorder="1" applyAlignment="1">
      <alignment horizontal="center"/>
    </xf>
    <xf numFmtId="0" fontId="25" fillId="0" borderId="15" xfId="22" applyFont="1" applyBorder="1" applyAlignment="1">
      <alignment horizontal="center"/>
    </xf>
    <xf numFmtId="3" fontId="25" fillId="0" borderId="0" xfId="16" applyNumberFormat="1" applyFont="1" applyAlignment="1">
      <alignment horizontal="center"/>
    </xf>
    <xf numFmtId="0" fontId="25" fillId="0" borderId="0" xfId="16" applyFont="1" applyAlignment="1">
      <alignment horizontal="center" wrapText="1"/>
    </xf>
    <xf numFmtId="0" fontId="25" fillId="0" borderId="0" xfId="16" applyFont="1" applyAlignment="1">
      <alignment horizontal="left"/>
    </xf>
    <xf numFmtId="0" fontId="26" fillId="0" borderId="0" xfId="16" applyFont="1" applyAlignment="1">
      <alignment horizontal="left"/>
    </xf>
    <xf numFmtId="0" fontId="26" fillId="0" borderId="0" xfId="16" applyFont="1" applyAlignment="1">
      <alignment horizontal="left" wrapText="1"/>
    </xf>
    <xf numFmtId="0" fontId="25" fillId="0" borderId="0" xfId="16" applyFont="1" applyAlignment="1">
      <alignment horizontal="left" wrapText="1"/>
    </xf>
    <xf numFmtId="0" fontId="25" fillId="0" borderId="0" xfId="16" applyFont="1" applyAlignment="1">
      <alignment horizontal="center"/>
    </xf>
    <xf numFmtId="0" fontId="26" fillId="0" borderId="0" xfId="16" applyFont="1" applyAlignment="1">
      <alignment horizontal="center"/>
    </xf>
    <xf numFmtId="173" fontId="25" fillId="0" borderId="0" xfId="16" applyNumberFormat="1" applyFont="1" applyAlignment="1">
      <alignment horizontal="center"/>
    </xf>
    <xf numFmtId="0" fontId="25" fillId="26" borderId="0" xfId="16" applyFont="1" applyFill="1" applyAlignment="1">
      <alignment horizontal="center"/>
    </xf>
    <xf numFmtId="0" fontId="26" fillId="26" borderId="0" xfId="16" applyFont="1" applyFill="1"/>
    <xf numFmtId="173" fontId="26" fillId="0" borderId="0" xfId="22" applyNumberFormat="1" applyAlignment="1">
      <alignment horizontal="left" wrapText="1"/>
    </xf>
    <xf numFmtId="0" fontId="67" fillId="0" borderId="0" xfId="20" applyFont="1" applyAlignment="1">
      <alignment horizontal="center" vertical="center" wrapText="1"/>
    </xf>
    <xf numFmtId="49" fontId="26" fillId="0" borderId="0" xfId="16" applyNumberFormat="1" applyFont="1" applyAlignment="1">
      <alignment horizontal="left" wrapText="1"/>
    </xf>
    <xf numFmtId="0" fontId="25" fillId="0" borderId="0" xfId="16" applyFont="1"/>
    <xf numFmtId="3" fontId="26" fillId="0" borderId="0" xfId="16" applyNumberFormat="1" applyFont="1" applyAlignment="1">
      <alignment horizontal="left" vertical="top" wrapText="1"/>
    </xf>
    <xf numFmtId="0" fontId="25" fillId="0" borderId="0" xfId="22" applyFont="1" applyAlignment="1">
      <alignment horizontal="left"/>
    </xf>
    <xf numFmtId="0" fontId="26" fillId="4" borderId="0" xfId="22" applyFill="1" applyAlignment="1" applyProtection="1">
      <alignment horizontal="left" wrapText="1"/>
      <protection locked="0"/>
    </xf>
    <xf numFmtId="173" fontId="26" fillId="4" borderId="1" xfId="16" applyNumberFormat="1" applyFont="1" applyFill="1" applyBorder="1" applyAlignment="1" applyProtection="1">
      <alignment horizontal="left" vertical="top" wrapText="1"/>
      <protection locked="0"/>
    </xf>
    <xf numFmtId="0" fontId="26" fillId="0" borderId="0" xfId="16" applyFont="1" applyAlignment="1">
      <alignment horizontal="left" vertical="top" wrapText="1"/>
    </xf>
    <xf numFmtId="173" fontId="26" fillId="4" borderId="0" xfId="16" applyNumberFormat="1" applyFont="1" applyFill="1" applyAlignment="1" applyProtection="1">
      <alignment horizontal="left" vertical="top"/>
      <protection locked="0"/>
    </xf>
    <xf numFmtId="173" fontId="26" fillId="0" borderId="0" xfId="16" applyNumberFormat="1" applyFont="1" applyAlignment="1">
      <alignment horizontal="left" vertical="top" wrapText="1"/>
    </xf>
    <xf numFmtId="173" fontId="26" fillId="12" borderId="16" xfId="16" applyNumberFormat="1" applyFont="1" applyFill="1" applyBorder="1" applyAlignment="1" applyProtection="1">
      <alignment horizontal="left" indent="1"/>
      <protection locked="0"/>
    </xf>
    <xf numFmtId="0" fontId="0" fillId="0" borderId="4" xfId="0" applyBorder="1" applyAlignment="1">
      <alignment horizontal="left" indent="1"/>
    </xf>
    <xf numFmtId="0" fontId="0" fillId="0" borderId="15" xfId="0" applyBorder="1" applyAlignment="1">
      <alignment horizontal="left" indent="1"/>
    </xf>
    <xf numFmtId="173" fontId="26" fillId="4" borderId="0" xfId="16" applyNumberFormat="1" applyFont="1" applyFill="1" applyAlignment="1" applyProtection="1">
      <alignment horizontal="left" vertical="top" wrapText="1"/>
      <protection locked="0"/>
    </xf>
    <xf numFmtId="0" fontId="26" fillId="0" borderId="14" xfId="16" applyFont="1" applyBorder="1" applyAlignment="1">
      <alignment wrapText="1"/>
    </xf>
    <xf numFmtId="0" fontId="68" fillId="0" borderId="9" xfId="16" applyFont="1" applyBorder="1" applyAlignment="1">
      <alignment horizontal="center" wrapText="1"/>
    </xf>
    <xf numFmtId="0" fontId="26" fillId="0" borderId="8" xfId="16" applyFont="1" applyBorder="1" applyAlignment="1">
      <alignment wrapText="1"/>
    </xf>
    <xf numFmtId="0" fontId="26" fillId="0" borderId="11" xfId="16" applyFont="1" applyBorder="1" applyAlignment="1">
      <alignment wrapText="1"/>
    </xf>
    <xf numFmtId="0" fontId="68" fillId="14" borderId="0" xfId="16" applyFont="1" applyFill="1" applyAlignment="1">
      <alignment horizontal="center" vertical="center"/>
    </xf>
    <xf numFmtId="0" fontId="26" fillId="0" borderId="0" xfId="16" applyFont="1"/>
  </cellXfs>
  <cellStyles count="27">
    <cellStyle name="Calculation" xfId="26" builtinId="22"/>
    <cellStyle name="Comma" xfId="1" builtinId="3"/>
    <cellStyle name="Comma 10" xfId="15" xr:uid="{00000000-0005-0000-0000-000001000000}"/>
    <cellStyle name="Comma 2" xfId="5" xr:uid="{00000000-0005-0000-0000-000002000000}"/>
    <cellStyle name="Comma 2 2" xfId="11" xr:uid="{00000000-0005-0000-0000-000003000000}"/>
    <cellStyle name="Comma 3" xfId="7" xr:uid="{00000000-0005-0000-0000-000004000000}"/>
    <cellStyle name="Comma 4" xfId="3" xr:uid="{00000000-0005-0000-0000-000005000000}"/>
    <cellStyle name="Comma 4 8" xfId="18" xr:uid="{00000000-0005-0000-0000-000006000000}"/>
    <cellStyle name="Comma 5" xfId="19" xr:uid="{00000000-0005-0000-0000-000007000000}"/>
    <cellStyle name="Hyperlink" xfId="23" builtinId="8"/>
    <cellStyle name="Normal" xfId="0" builtinId="0"/>
    <cellStyle name="Normal 10" xfId="21" xr:uid="{00000000-0005-0000-0000-00000B000000}"/>
    <cellStyle name="Normal 2" xfId="4" xr:uid="{00000000-0005-0000-0000-00000C000000}"/>
    <cellStyle name="Normal 2 14" xfId="24" xr:uid="{00000000-0005-0000-0000-00000D000000}"/>
    <cellStyle name="Normal 2 2" xfId="12" xr:uid="{00000000-0005-0000-0000-00000E000000}"/>
    <cellStyle name="Normal 2 3" xfId="20" xr:uid="{00000000-0005-0000-0000-00000F000000}"/>
    <cellStyle name="Normal 3" xfId="9" xr:uid="{00000000-0005-0000-0000-000010000000}"/>
    <cellStyle name="Normal 4" xfId="10" xr:uid="{00000000-0005-0000-0000-000011000000}"/>
    <cellStyle name="Normal 5" xfId="6" xr:uid="{00000000-0005-0000-0000-000012000000}"/>
    <cellStyle name="Normal 5 2" xfId="17" xr:uid="{00000000-0005-0000-0000-000013000000}"/>
    <cellStyle name="Normal 6" xfId="16" xr:uid="{00000000-0005-0000-0000-000014000000}"/>
    <cellStyle name="Normal 6 2" xfId="22" xr:uid="{00000000-0005-0000-0000-000015000000}"/>
    <cellStyle name="Normal 7" xfId="25" xr:uid="{00000000-0005-0000-0000-000016000000}"/>
    <cellStyle name="Normal 9" xfId="14" xr:uid="{00000000-0005-0000-0000-000017000000}"/>
    <cellStyle name="Percent" xfId="2" builtinId="5"/>
    <cellStyle name="Percent 2" xfId="8" xr:uid="{00000000-0005-0000-0000-000019000000}"/>
    <cellStyle name="Percent 8" xfId="13" xr:uid="{00000000-0005-0000-0000-00001A000000}"/>
  </cellStyles>
  <dxfs count="35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bgColor indexed="10"/>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ont>
        <color rgb="FF00B050"/>
      </font>
    </dxf>
    <dxf>
      <font>
        <color rgb="FFFF0000"/>
      </font>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patternType="gray0625">
          <f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
      <fill>
        <patternFill patternType="gray0625">
          <fgColor theme="4" tint="0.39994506668294322"/>
        </patternFill>
      </fill>
    </dxf>
  </dxfs>
  <tableStyles count="0" defaultTableStyle="TableStyleMedium2" defaultPivotStyle="PivotStyleLight16"/>
  <colors>
    <mruColors>
      <color rgb="FFCCFF33"/>
      <color rgb="FFCC99FF"/>
      <color rgb="FF99CCFF"/>
      <color rgb="FF66FFCC"/>
      <color rgb="FFFFFFCC"/>
      <color rgb="FFFF00FF"/>
      <color rgb="FF33CCFF"/>
      <color rgb="FFFF9933"/>
      <color rgb="FFFF0066"/>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2</xdr:col>
      <xdr:colOff>5653087</xdr:colOff>
      <xdr:row>11</xdr:row>
      <xdr:rowOff>14287</xdr:rowOff>
    </xdr:from>
    <xdr:to>
      <xdr:col>2</xdr:col>
      <xdr:colOff>6567487</xdr:colOff>
      <xdr:row>15</xdr:row>
      <xdr:rowOff>166687</xdr:rowOff>
    </xdr:to>
    <xdr:sp macro="" textlink="">
      <xdr:nvSpPr>
        <xdr:cNvPr id="2" name="TextBox 1">
          <a:extLst>
            <a:ext uri="{FF2B5EF4-FFF2-40B4-BE49-F238E27FC236}">
              <a16:creationId xmlns:a16="http://schemas.microsoft.com/office/drawing/2014/main" id="{43AC9A4B-8547-4A7F-9CB5-A60E9F43D6C9}"/>
            </a:ext>
          </a:extLst>
        </xdr:cNvPr>
        <xdr:cNvSpPr txBox="1"/>
      </xdr:nvSpPr>
      <xdr:spPr>
        <a:xfrm>
          <a:off x="6881812" y="4357687"/>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CONSOL Accounts TABs</a:t>
          </a:r>
        </a:p>
      </xdr:txBody>
    </xdr:sp>
    <xdr:clientData/>
  </xdr:twoCellAnchor>
  <xdr:oneCellAnchor>
    <xdr:from>
      <xdr:col>2</xdr:col>
      <xdr:colOff>9039225</xdr:colOff>
      <xdr:row>12</xdr:row>
      <xdr:rowOff>28575</xdr:rowOff>
    </xdr:from>
    <xdr:ext cx="184731" cy="264560"/>
    <xdr:sp macro="" textlink="">
      <xdr:nvSpPr>
        <xdr:cNvPr id="3" name="TextBox 2">
          <a:extLst>
            <a:ext uri="{FF2B5EF4-FFF2-40B4-BE49-F238E27FC236}">
              <a16:creationId xmlns:a16="http://schemas.microsoft.com/office/drawing/2014/main" id="{09785935-653C-4566-BF64-171205FEB202}"/>
            </a:ext>
          </a:extLst>
        </xdr:cNvPr>
        <xdr:cNvSpPr txBox="1"/>
      </xdr:nvSpPr>
      <xdr:spPr>
        <a:xfrm>
          <a:off x="10267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257175</xdr:colOff>
      <xdr:row>11</xdr:row>
      <xdr:rowOff>0</xdr:rowOff>
    </xdr:from>
    <xdr:to>
      <xdr:col>2</xdr:col>
      <xdr:colOff>1171575</xdr:colOff>
      <xdr:row>15</xdr:row>
      <xdr:rowOff>152400</xdr:rowOff>
    </xdr:to>
    <xdr:sp macro="" textlink="">
      <xdr:nvSpPr>
        <xdr:cNvPr id="4" name="TextBox 3">
          <a:extLst>
            <a:ext uri="{FF2B5EF4-FFF2-40B4-BE49-F238E27FC236}">
              <a16:creationId xmlns:a16="http://schemas.microsoft.com/office/drawing/2014/main" id="{672F626E-FE15-4020-A113-1D0787DD5B22}"/>
            </a:ext>
          </a:extLst>
        </xdr:cNvPr>
        <xdr:cNvSpPr txBox="1"/>
      </xdr:nvSpPr>
      <xdr:spPr>
        <a:xfrm>
          <a:off x="1485900" y="4724400"/>
          <a:ext cx="9144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ALB Template TABs</a:t>
          </a:r>
        </a:p>
      </xdr:txBody>
    </xdr:sp>
    <xdr:clientData/>
  </xdr:twoCellAnchor>
  <xdr:twoCellAnchor>
    <xdr:from>
      <xdr:col>2</xdr:col>
      <xdr:colOff>3914775</xdr:colOff>
      <xdr:row>10</xdr:row>
      <xdr:rowOff>180975</xdr:rowOff>
    </xdr:from>
    <xdr:to>
      <xdr:col>2</xdr:col>
      <xdr:colOff>5191125</xdr:colOff>
      <xdr:row>15</xdr:row>
      <xdr:rowOff>142875</xdr:rowOff>
    </xdr:to>
    <xdr:sp macro="" textlink="">
      <xdr:nvSpPr>
        <xdr:cNvPr id="5" name="TextBox 4">
          <a:extLst>
            <a:ext uri="{FF2B5EF4-FFF2-40B4-BE49-F238E27FC236}">
              <a16:creationId xmlns:a16="http://schemas.microsoft.com/office/drawing/2014/main" id="{550AA6F0-723E-42EA-B8F8-E88ECE748361}"/>
            </a:ext>
          </a:extLst>
        </xdr:cNvPr>
        <xdr:cNvSpPr txBox="1"/>
      </xdr:nvSpPr>
      <xdr:spPr>
        <a:xfrm>
          <a:off x="5143500" y="4714875"/>
          <a:ext cx="127635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MAP TAB</a:t>
          </a:r>
          <a:endParaRPr lang="en-GB">
            <a:effectLst/>
          </a:endParaRPr>
        </a:p>
        <a:p>
          <a:pPr algn="ctr"/>
          <a:endParaRPr lang="en-GB" sz="1100"/>
        </a:p>
        <a:p>
          <a:pPr algn="ctr"/>
          <a:r>
            <a:rPr lang="en-GB" sz="1100"/>
            <a:t>Output Mapping - CONSOL Accounts</a:t>
          </a:r>
        </a:p>
      </xdr:txBody>
    </xdr:sp>
    <xdr:clientData/>
  </xdr:twoCellAnchor>
  <xdr:twoCellAnchor>
    <xdr:from>
      <xdr:col>2</xdr:col>
      <xdr:colOff>1704975</xdr:colOff>
      <xdr:row>11</xdr:row>
      <xdr:rowOff>9525</xdr:rowOff>
    </xdr:from>
    <xdr:to>
      <xdr:col>2</xdr:col>
      <xdr:colOff>2905125</xdr:colOff>
      <xdr:row>15</xdr:row>
      <xdr:rowOff>161925</xdr:rowOff>
    </xdr:to>
    <xdr:sp macro="" textlink="">
      <xdr:nvSpPr>
        <xdr:cNvPr id="6" name="TextBox 5">
          <a:extLst>
            <a:ext uri="{FF2B5EF4-FFF2-40B4-BE49-F238E27FC236}">
              <a16:creationId xmlns:a16="http://schemas.microsoft.com/office/drawing/2014/main" id="{E92F2FF9-14D4-4BB8-90CA-CCDC2198C7DB}"/>
            </a:ext>
          </a:extLst>
        </xdr:cNvPr>
        <xdr:cNvSpPr txBox="1"/>
      </xdr:nvSpPr>
      <xdr:spPr>
        <a:xfrm>
          <a:off x="2933700" y="4733925"/>
          <a:ext cx="120015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MAP TAB</a:t>
          </a:r>
        </a:p>
        <a:p>
          <a:pPr algn="ctr"/>
          <a:endParaRPr lang="en-GB" sz="1100"/>
        </a:p>
        <a:p>
          <a:pPr algn="ctr"/>
          <a:r>
            <a:rPr lang="en-GB" sz="1100"/>
            <a:t>Input Mapping for ALB</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400050</xdr:colOff>
      <xdr:row>48</xdr:row>
      <xdr:rowOff>0</xdr:rowOff>
    </xdr:from>
    <xdr:ext cx="76200" cy="196849"/>
    <xdr:sp macro="" textlink="">
      <xdr:nvSpPr>
        <xdr:cNvPr id="2" name="Text Box 1">
          <a:extLst>
            <a:ext uri="{FF2B5EF4-FFF2-40B4-BE49-F238E27FC236}">
              <a16:creationId xmlns:a16="http://schemas.microsoft.com/office/drawing/2014/main" id="{7B8F98B9-2F00-40DB-9665-37066AD9FDFD}"/>
            </a:ext>
          </a:extLst>
        </xdr:cNvPr>
        <xdr:cNvSpPr txBox="1">
          <a:spLocks noChangeArrowheads="1"/>
        </xdr:cNvSpPr>
      </xdr:nvSpPr>
      <xdr:spPr bwMode="auto">
        <a:xfrm>
          <a:off x="400050" y="10039350"/>
          <a:ext cx="76200" cy="196849"/>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40</xdr:row>
      <xdr:rowOff>0</xdr:rowOff>
    </xdr:from>
    <xdr:ext cx="76200" cy="200024"/>
    <xdr:sp macro="" textlink="">
      <xdr:nvSpPr>
        <xdr:cNvPr id="2" name="Text Box 1">
          <a:extLst>
            <a:ext uri="{FF2B5EF4-FFF2-40B4-BE49-F238E27FC236}">
              <a16:creationId xmlns:a16="http://schemas.microsoft.com/office/drawing/2014/main" id="{978C8A7D-73C2-4564-8B38-174958FEFB1F}"/>
            </a:ext>
          </a:extLst>
        </xdr:cNvPr>
        <xdr:cNvSpPr txBox="1">
          <a:spLocks noChangeArrowheads="1"/>
        </xdr:cNvSpPr>
      </xdr:nvSpPr>
      <xdr:spPr bwMode="auto">
        <a:xfrm>
          <a:off x="1219200" y="7448550"/>
          <a:ext cx="76200" cy="200024"/>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56.bin"/><Relationship Id="rId4" Type="http://schemas.openxmlformats.org/officeDocument/2006/relationships/comments" Target="../comments13.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H219"/>
  <sheetViews>
    <sheetView workbookViewId="0">
      <pane xSplit="1" ySplit="4" topLeftCell="B5" activePane="bottomRight" state="frozen"/>
      <selection activeCell="G5" sqref="G4:G5"/>
      <selection pane="topRight" activeCell="G5" sqref="G4:G5"/>
      <selection pane="bottomLeft" activeCell="G5" sqref="G4:G5"/>
      <selection pane="bottomRight" activeCell="G5" sqref="G4:G5"/>
    </sheetView>
  </sheetViews>
  <sheetFormatPr defaultRowHeight="15" outlineLevelRow="1" x14ac:dyDescent="0.25"/>
  <cols>
    <col min="1" max="1" width="25.7109375" bestFit="1" customWidth="1"/>
    <col min="2" max="2" width="70.42578125" bestFit="1" customWidth="1"/>
    <col min="3" max="3" width="12.140625" customWidth="1"/>
    <col min="4" max="4" width="10.7109375" bestFit="1" customWidth="1"/>
    <col min="5" max="5" width="12.5703125" customWidth="1"/>
    <col min="6" max="6" width="14.85546875" customWidth="1"/>
    <col min="7" max="7" width="70.42578125" bestFit="1" customWidth="1"/>
    <col min="8" max="8" width="9.140625" style="1584"/>
  </cols>
  <sheetData>
    <row r="1" spans="1:5" x14ac:dyDescent="0.25">
      <c r="A1" s="1" t="str">
        <f>B6</f>
        <v>Department of Health</v>
      </c>
      <c r="B1" s="2"/>
    </row>
    <row r="2" spans="1:5" x14ac:dyDescent="0.25">
      <c r="A2" s="32" t="str">
        <f>B9</f>
        <v>Consolidated Accounts</v>
      </c>
      <c r="B2" s="2"/>
    </row>
    <row r="3" spans="1:5" x14ac:dyDescent="0.25">
      <c r="A3" s="32" t="str">
        <f>$B$13</f>
        <v>2025-26</v>
      </c>
      <c r="B3" s="2"/>
    </row>
    <row r="4" spans="1:5" x14ac:dyDescent="0.25">
      <c r="A4" s="781" t="s">
        <v>1349</v>
      </c>
      <c r="B4" s="2"/>
    </row>
    <row r="5" spans="1:5" x14ac:dyDescent="0.25">
      <c r="A5" s="853"/>
      <c r="B5" s="853"/>
    </row>
    <row r="6" spans="1:5" ht="15" customHeight="1" x14ac:dyDescent="0.25">
      <c r="A6" s="32" t="s">
        <v>1481</v>
      </c>
      <c r="B6" s="32" t="s">
        <v>45</v>
      </c>
      <c r="E6" t="s">
        <v>1653</v>
      </c>
    </row>
    <row r="7" spans="1:5" x14ac:dyDescent="0.25">
      <c r="A7" t="s">
        <v>1063</v>
      </c>
      <c r="B7" s="366" t="s">
        <v>483</v>
      </c>
    </row>
    <row r="8" spans="1:5" x14ac:dyDescent="0.25">
      <c r="A8" t="s">
        <v>1064</v>
      </c>
      <c r="B8" s="366" t="s">
        <v>1029</v>
      </c>
    </row>
    <row r="9" spans="1:5" x14ac:dyDescent="0.25">
      <c r="A9" s="32" t="s">
        <v>1482</v>
      </c>
      <c r="B9" s="366" t="s">
        <v>1393</v>
      </c>
    </row>
    <row r="10" spans="1:5" x14ac:dyDescent="0.25">
      <c r="A10" s="32" t="s">
        <v>1483</v>
      </c>
      <c r="B10" s="366" t="s">
        <v>840</v>
      </c>
    </row>
    <row r="11" spans="1:5" x14ac:dyDescent="0.25">
      <c r="A11" s="32"/>
      <c r="B11" s="32"/>
    </row>
    <row r="12" spans="1:5" x14ac:dyDescent="0.25">
      <c r="A12" s="32"/>
      <c r="B12" s="32"/>
    </row>
    <row r="13" spans="1:5" x14ac:dyDescent="0.25">
      <c r="A13" t="s">
        <v>439</v>
      </c>
      <c r="B13" s="366" t="s">
        <v>2848</v>
      </c>
    </row>
    <row r="15" spans="1:5" x14ac:dyDescent="0.25">
      <c r="A15" t="s">
        <v>440</v>
      </c>
      <c r="B15" s="366" t="s">
        <v>2805</v>
      </c>
    </row>
    <row r="17" spans="1:5" x14ac:dyDescent="0.25">
      <c r="A17" t="s">
        <v>1476</v>
      </c>
      <c r="B17" s="366" t="s">
        <v>2531</v>
      </c>
    </row>
    <row r="18" spans="1:5" x14ac:dyDescent="0.25">
      <c r="A18" t="s">
        <v>1669</v>
      </c>
      <c r="B18" s="366" t="s">
        <v>2806</v>
      </c>
      <c r="D18" s="868">
        <v>45383</v>
      </c>
    </row>
    <row r="20" spans="1:5" x14ac:dyDescent="0.25">
      <c r="A20" t="s">
        <v>1478</v>
      </c>
      <c r="B20" s="366" t="s">
        <v>2846</v>
      </c>
      <c r="C20" s="366" t="s">
        <v>2806</v>
      </c>
      <c r="D20" s="868">
        <v>45383</v>
      </c>
      <c r="E20" s="366" t="s">
        <v>2847</v>
      </c>
    </row>
    <row r="22" spans="1:5" x14ac:dyDescent="0.25">
      <c r="A22" t="s">
        <v>1477</v>
      </c>
      <c r="B22" s="867" t="s">
        <v>2845</v>
      </c>
      <c r="D22" s="868">
        <v>46112</v>
      </c>
    </row>
    <row r="23" spans="1:5" x14ac:dyDescent="0.25">
      <c r="B23" s="33"/>
    </row>
    <row r="24" spans="1:5" x14ac:dyDescent="0.25">
      <c r="A24" t="s">
        <v>441</v>
      </c>
      <c r="B24" s="867" t="s">
        <v>2807</v>
      </c>
      <c r="C24" s="366" t="s">
        <v>2806</v>
      </c>
      <c r="D24" s="868">
        <v>45747</v>
      </c>
    </row>
    <row r="27" spans="1:5" x14ac:dyDescent="0.25">
      <c r="A27" t="s">
        <v>833</v>
      </c>
      <c r="B27" s="869">
        <v>0.24</v>
      </c>
      <c r="C27" s="31" t="s">
        <v>1484</v>
      </c>
    </row>
    <row r="29" spans="1:5" x14ac:dyDescent="0.25">
      <c r="A29" t="s">
        <v>834</v>
      </c>
      <c r="B29" s="869">
        <v>0.33</v>
      </c>
      <c r="C29" s="31" t="s">
        <v>1484</v>
      </c>
    </row>
    <row r="31" spans="1:5" x14ac:dyDescent="0.25">
      <c r="A31" t="s">
        <v>835</v>
      </c>
      <c r="B31" s="366">
        <f>ROUND(129935/111248,4)</f>
        <v>1.1679999999999999</v>
      </c>
      <c r="C31" s="31" t="s">
        <v>836</v>
      </c>
    </row>
    <row r="32" spans="1:5" x14ac:dyDescent="0.25">
      <c r="A32" t="s">
        <v>1485</v>
      </c>
      <c r="B32" s="866">
        <v>42735</v>
      </c>
    </row>
    <row r="33" spans="1:8" x14ac:dyDescent="0.25">
      <c r="A33" s="2"/>
      <c r="B33" s="2"/>
    </row>
    <row r="34" spans="1:8" x14ac:dyDescent="0.25">
      <c r="A34" s="2"/>
      <c r="B34" s="2"/>
    </row>
    <row r="35" spans="1:8" x14ac:dyDescent="0.25">
      <c r="A35" s="2"/>
      <c r="B35" s="2"/>
    </row>
    <row r="36" spans="1:8" outlineLevel="1" x14ac:dyDescent="0.25">
      <c r="A36" s="198" t="s">
        <v>1479</v>
      </c>
      <c r="B36" s="870">
        <v>2024</v>
      </c>
      <c r="C36" s="873" t="s">
        <v>2530</v>
      </c>
    </row>
    <row r="37" spans="1:8" outlineLevel="1" x14ac:dyDescent="0.25">
      <c r="A37" s="199" t="s">
        <v>440</v>
      </c>
      <c r="B37" s="871">
        <v>2025</v>
      </c>
      <c r="C37" s="874" t="s">
        <v>2805</v>
      </c>
    </row>
    <row r="38" spans="1:8" outlineLevel="1" x14ac:dyDescent="0.25">
      <c r="A38" s="200" t="s">
        <v>1480</v>
      </c>
      <c r="B38" s="872">
        <v>2026</v>
      </c>
      <c r="C38" s="941" t="s">
        <v>2848</v>
      </c>
    </row>
    <row r="39" spans="1:8" x14ac:dyDescent="0.25">
      <c r="A39" s="2"/>
      <c r="B39" s="772"/>
    </row>
    <row r="40" spans="1:8" ht="18.75" x14ac:dyDescent="0.25">
      <c r="A40" s="862" t="s">
        <v>1513</v>
      </c>
      <c r="B40" s="772"/>
    </row>
    <row r="41" spans="1:8" ht="55.5" customHeight="1" x14ac:dyDescent="0.25">
      <c r="A41" s="1878" t="s">
        <v>1457</v>
      </c>
      <c r="B41" s="1878"/>
    </row>
    <row r="42" spans="1:8" x14ac:dyDescent="0.25">
      <c r="A42" s="882">
        <v>1</v>
      </c>
      <c r="B42" s="861" t="s">
        <v>841</v>
      </c>
      <c r="G42" t="s">
        <v>788</v>
      </c>
      <c r="H42" s="1584">
        <v>100</v>
      </c>
    </row>
    <row r="43" spans="1:8" x14ac:dyDescent="0.25">
      <c r="A43" s="882">
        <f>ROUND(MAX($A$42:A42)+1,0)</f>
        <v>2</v>
      </c>
      <c r="B43" s="861" t="s">
        <v>558</v>
      </c>
      <c r="G43" t="s">
        <v>843</v>
      </c>
      <c r="H43" s="1584">
        <v>6.2999999999999989</v>
      </c>
    </row>
    <row r="44" spans="1:8" x14ac:dyDescent="0.25">
      <c r="A44" s="248">
        <f>A43+0.1</f>
        <v>2.1</v>
      </c>
      <c r="B44" s="772" t="s">
        <v>588</v>
      </c>
      <c r="G44" t="s">
        <v>1383</v>
      </c>
      <c r="H44" s="1584">
        <v>14.2</v>
      </c>
    </row>
    <row r="45" spans="1:8" x14ac:dyDescent="0.25">
      <c r="A45" s="248" t="s">
        <v>2333</v>
      </c>
      <c r="B45" s="772" t="s">
        <v>591</v>
      </c>
      <c r="G45" t="s">
        <v>1384</v>
      </c>
      <c r="H45" s="1584">
        <v>14.399999999999999</v>
      </c>
    </row>
    <row r="46" spans="1:8" x14ac:dyDescent="0.25">
      <c r="A46" s="248" t="s">
        <v>2334</v>
      </c>
      <c r="B46" s="772" t="s">
        <v>594</v>
      </c>
      <c r="G46" t="s">
        <v>1382</v>
      </c>
      <c r="H46" s="1584">
        <v>14.299999999999999</v>
      </c>
    </row>
    <row r="47" spans="1:8" x14ac:dyDescent="0.25">
      <c r="A47" s="248" t="s">
        <v>2372</v>
      </c>
      <c r="B47" s="772" t="s">
        <v>2328</v>
      </c>
      <c r="G47" t="s">
        <v>599</v>
      </c>
      <c r="H47" s="1584">
        <v>5.2999999999999989</v>
      </c>
    </row>
    <row r="48" spans="1:8" x14ac:dyDescent="0.25">
      <c r="A48" s="3">
        <v>4</v>
      </c>
      <c r="B48" s="772" t="s">
        <v>148</v>
      </c>
      <c r="G48" t="s">
        <v>601</v>
      </c>
      <c r="H48" s="1584">
        <v>5.3999999999999986</v>
      </c>
    </row>
    <row r="49" spans="1:8" x14ac:dyDescent="0.25">
      <c r="A49" s="248">
        <f>A48+0.1</f>
        <v>4.0999999999999996</v>
      </c>
      <c r="B49" s="772" t="s">
        <v>1651</v>
      </c>
      <c r="G49" t="s">
        <v>373</v>
      </c>
      <c r="H49" s="1584">
        <v>60</v>
      </c>
    </row>
    <row r="50" spans="1:8" x14ac:dyDescent="0.25">
      <c r="A50" s="248">
        <f>A49+0.1</f>
        <v>4.1999999999999993</v>
      </c>
      <c r="B50" s="772" t="s">
        <v>1677</v>
      </c>
      <c r="G50" t="s">
        <v>664</v>
      </c>
      <c r="H50" s="1584">
        <v>19</v>
      </c>
    </row>
    <row r="51" spans="1:8" x14ac:dyDescent="0.25">
      <c r="A51" s="3">
        <f>ROUND(MAX($A$42:A48)+1,0)</f>
        <v>5</v>
      </c>
      <c r="B51" s="772" t="s">
        <v>288</v>
      </c>
      <c r="G51" t="s">
        <v>665</v>
      </c>
      <c r="H51" s="1584">
        <v>19.100000000000001</v>
      </c>
    </row>
    <row r="52" spans="1:8" x14ac:dyDescent="0.25">
      <c r="A52" s="248">
        <f>A51+0.1</f>
        <v>5.0999999999999996</v>
      </c>
      <c r="B52" s="772" t="str">
        <f>"Consolidated property, plant and equipment "&amp;Update!$B$13</f>
        <v>Consolidated property, plant and equipment 2025-26</v>
      </c>
      <c r="G52" t="s">
        <v>2428</v>
      </c>
      <c r="H52" s="1584">
        <v>22.2</v>
      </c>
    </row>
    <row r="53" spans="1:8" x14ac:dyDescent="0.25">
      <c r="A53" s="248">
        <f>A52+0.1</f>
        <v>5.1999999999999993</v>
      </c>
      <c r="B53" s="772" t="str">
        <f>"Consolidated property, plant and equipment "&amp;Update!$B$15</f>
        <v>Consolidated property, plant and equipment 2024-25</v>
      </c>
      <c r="G53" t="s">
        <v>295</v>
      </c>
      <c r="H53" s="1584">
        <v>11</v>
      </c>
    </row>
    <row r="54" spans="1:8" x14ac:dyDescent="0.25">
      <c r="A54" s="248">
        <f>A53+0.1</f>
        <v>5.2999999999999989</v>
      </c>
      <c r="B54" s="772" t="s">
        <v>599</v>
      </c>
      <c r="G54" t="s">
        <v>644</v>
      </c>
      <c r="H54" s="1584">
        <v>18</v>
      </c>
    </row>
    <row r="55" spans="1:8" x14ac:dyDescent="0.25">
      <c r="A55" s="248">
        <f>A54+0.1</f>
        <v>5.3999999999999986</v>
      </c>
      <c r="B55" s="772" t="s">
        <v>601</v>
      </c>
      <c r="G55" t="s">
        <v>395</v>
      </c>
      <c r="H55" s="1584">
        <v>70</v>
      </c>
    </row>
    <row r="56" spans="1:8" x14ac:dyDescent="0.25">
      <c r="A56" s="3">
        <f>ROUND(MAX($A$42:A55)+1,0)</f>
        <v>6</v>
      </c>
      <c r="B56" s="772" t="s">
        <v>602</v>
      </c>
      <c r="G56" t="s">
        <v>2485</v>
      </c>
      <c r="H56" s="1584">
        <v>6.1999999999999993</v>
      </c>
    </row>
    <row r="57" spans="1:8" x14ac:dyDescent="0.25">
      <c r="A57" s="248">
        <f>A56+0.1</f>
        <v>6.1</v>
      </c>
      <c r="B57" s="772" t="str">
        <f>"Consolidated intangible assets "&amp;Update!$B$13</f>
        <v>Consolidated intangible assets 2025-26</v>
      </c>
      <c r="G57" t="s">
        <v>2484</v>
      </c>
      <c r="H57" s="1584">
        <v>6.1</v>
      </c>
    </row>
    <row r="58" spans="1:8" x14ac:dyDescent="0.25">
      <c r="A58" s="248">
        <f>A57+0.1</f>
        <v>6.1999999999999993</v>
      </c>
      <c r="B58" s="772" t="str">
        <f>"Consolidated intangible assets "&amp;Update!$B$15</f>
        <v>Consolidated intangible assets 2024-25</v>
      </c>
      <c r="G58" t="s">
        <v>2483</v>
      </c>
      <c r="H58" s="1584">
        <v>5.1999999999999993</v>
      </c>
    </row>
    <row r="59" spans="1:8" x14ac:dyDescent="0.25">
      <c r="A59" s="248">
        <f>A58+0.1</f>
        <v>6.2999999999999989</v>
      </c>
      <c r="B59" s="772" t="s">
        <v>843</v>
      </c>
      <c r="G59" t="s">
        <v>2482</v>
      </c>
      <c r="H59" s="1584">
        <v>5.0999999999999996</v>
      </c>
    </row>
    <row r="60" spans="1:8" x14ac:dyDescent="0.25">
      <c r="A60" s="3">
        <f>ROUND(MAX($A$42:A59)+1,0)</f>
        <v>7</v>
      </c>
      <c r="B60" s="772" t="s">
        <v>208</v>
      </c>
      <c r="G60" t="s">
        <v>845</v>
      </c>
      <c r="H60" s="1584">
        <v>14</v>
      </c>
    </row>
    <row r="61" spans="1:8" x14ac:dyDescent="0.25">
      <c r="A61" s="3">
        <f>ROUND(MAX($A$42:A60)+1,0)</f>
        <v>8</v>
      </c>
      <c r="B61" s="772" t="s">
        <v>365</v>
      </c>
      <c r="G61" t="s">
        <v>742</v>
      </c>
      <c r="H61" s="1584">
        <v>15</v>
      </c>
    </row>
    <row r="62" spans="1:8" x14ac:dyDescent="0.25">
      <c r="A62" s="3">
        <f>ROUND(MAX($A$42:A61)+1,0)</f>
        <v>9</v>
      </c>
      <c r="B62" s="772" t="s">
        <v>224</v>
      </c>
      <c r="G62" t="s">
        <v>635</v>
      </c>
      <c r="H62" s="1584">
        <v>15.1</v>
      </c>
    </row>
    <row r="63" spans="1:8" x14ac:dyDescent="0.25">
      <c r="A63" s="3">
        <f>ROUND(MAX($A$42:A62)+1,0)</f>
        <v>10</v>
      </c>
      <c r="B63" s="772" t="s">
        <v>293</v>
      </c>
      <c r="G63" t="s">
        <v>365</v>
      </c>
      <c r="H63" s="1584">
        <v>8</v>
      </c>
    </row>
    <row r="64" spans="1:8" x14ac:dyDescent="0.25">
      <c r="A64" s="3">
        <f>ROUND(MAX($A$42:A63)+1,0)</f>
        <v>11</v>
      </c>
      <c r="B64" s="772" t="s">
        <v>295</v>
      </c>
      <c r="G64" t="s">
        <v>208</v>
      </c>
      <c r="H64" s="1584">
        <v>7</v>
      </c>
    </row>
    <row r="65" spans="1:8" x14ac:dyDescent="0.25">
      <c r="A65" s="248">
        <f>A64+0.1</f>
        <v>11.1</v>
      </c>
      <c r="B65" s="2" t="s">
        <v>1381</v>
      </c>
      <c r="G65" t="s">
        <v>148</v>
      </c>
      <c r="H65" s="1584">
        <v>4</v>
      </c>
    </row>
    <row r="66" spans="1:8" x14ac:dyDescent="0.25">
      <c r="A66" s="3">
        <f>ROUND(MAX($A$42:A64)+1,0)</f>
        <v>12</v>
      </c>
      <c r="B66" s="772" t="s">
        <v>1700</v>
      </c>
      <c r="G66" t="s">
        <v>602</v>
      </c>
      <c r="H66" s="1584">
        <v>6</v>
      </c>
    </row>
    <row r="67" spans="1:8" x14ac:dyDescent="0.25">
      <c r="A67" s="3">
        <f>ROUND(MAX($A$42:A66)+1,0)</f>
        <v>13</v>
      </c>
      <c r="B67" s="772" t="s">
        <v>620</v>
      </c>
      <c r="G67" t="s">
        <v>293</v>
      </c>
      <c r="H67" s="1584">
        <v>10</v>
      </c>
    </row>
    <row r="68" spans="1:8" x14ac:dyDescent="0.25">
      <c r="A68" s="3">
        <f>ROUND(MAX($A$42:A67)+1,0)</f>
        <v>14</v>
      </c>
      <c r="B68" s="772" t="s">
        <v>845</v>
      </c>
      <c r="G68" t="s">
        <v>224</v>
      </c>
      <c r="H68" s="1584">
        <v>9</v>
      </c>
    </row>
    <row r="69" spans="1:8" x14ac:dyDescent="0.25">
      <c r="A69" s="248">
        <f>A68+0.1</f>
        <v>14.1</v>
      </c>
      <c r="B69" s="772" t="s">
        <v>2038</v>
      </c>
      <c r="G69" t="s">
        <v>2407</v>
      </c>
      <c r="H69" s="1584">
        <v>17</v>
      </c>
    </row>
    <row r="70" spans="1:8" x14ac:dyDescent="0.25">
      <c r="A70" s="248">
        <f>A69+0.1</f>
        <v>14.2</v>
      </c>
      <c r="B70" s="772" t="s">
        <v>1383</v>
      </c>
      <c r="G70" t="s">
        <v>406</v>
      </c>
      <c r="H70" s="1584">
        <v>80</v>
      </c>
    </row>
    <row r="71" spans="1:8" x14ac:dyDescent="0.25">
      <c r="A71" s="248">
        <f>A70+0.1</f>
        <v>14.299999999999999</v>
      </c>
      <c r="B71" s="772" t="s">
        <v>1382</v>
      </c>
      <c r="G71" t="s">
        <v>2038</v>
      </c>
      <c r="H71" s="1584">
        <v>14.1</v>
      </c>
    </row>
    <row r="72" spans="1:8" x14ac:dyDescent="0.25">
      <c r="A72" s="248">
        <f>A71+0.1</f>
        <v>14.399999999999999</v>
      </c>
      <c r="B72" s="772" t="s">
        <v>1384</v>
      </c>
      <c r="G72" t="s">
        <v>2034</v>
      </c>
      <c r="H72" s="1584">
        <v>14.499999999999998</v>
      </c>
    </row>
    <row r="73" spans="1:8" x14ac:dyDescent="0.25">
      <c r="A73" s="248">
        <f>A72+0.1</f>
        <v>14.499999999999998</v>
      </c>
      <c r="B73" s="772" t="s">
        <v>2034</v>
      </c>
      <c r="G73" t="s">
        <v>2374</v>
      </c>
      <c r="H73" s="1584" t="s">
        <v>2372</v>
      </c>
    </row>
    <row r="74" spans="1:8" x14ac:dyDescent="0.25">
      <c r="A74" s="3">
        <f>ROUNDDOWN(MAX($A$42:A72)+1,0)</f>
        <v>15</v>
      </c>
      <c r="B74" s="772" t="s">
        <v>742</v>
      </c>
      <c r="G74" t="s">
        <v>645</v>
      </c>
      <c r="H74" s="1584">
        <v>18.100000000000001</v>
      </c>
    </row>
    <row r="75" spans="1:8" x14ac:dyDescent="0.25">
      <c r="A75" s="248">
        <f>A74+0.1</f>
        <v>15.1</v>
      </c>
      <c r="B75" s="772" t="s">
        <v>635</v>
      </c>
      <c r="G75" t="s">
        <v>651</v>
      </c>
      <c r="H75" s="1584">
        <v>18.200000000000003</v>
      </c>
    </row>
    <row r="76" spans="1:8" x14ac:dyDescent="0.25">
      <c r="A76" s="3">
        <v>16</v>
      </c>
      <c r="B76" s="772" t="s">
        <v>1076</v>
      </c>
      <c r="G76" t="s">
        <v>591</v>
      </c>
      <c r="H76" s="1584" t="s">
        <v>2333</v>
      </c>
    </row>
    <row r="77" spans="1:8" x14ac:dyDescent="0.25">
      <c r="A77" s="3">
        <f>ROUNDDOWN(MAX($A$42:A76)+1,0)</f>
        <v>17</v>
      </c>
      <c r="B77" s="772" t="s">
        <v>2407</v>
      </c>
      <c r="G77" t="s">
        <v>2486</v>
      </c>
      <c r="H77" s="1584">
        <v>19.200000000000003</v>
      </c>
    </row>
    <row r="78" spans="1:8" x14ac:dyDescent="0.25">
      <c r="A78" s="248">
        <f>A77+0.1</f>
        <v>17.100000000000001</v>
      </c>
      <c r="B78" s="772" t="s">
        <v>2408</v>
      </c>
      <c r="G78" t="s">
        <v>667</v>
      </c>
      <c r="H78" s="1584">
        <v>19.300000000000004</v>
      </c>
    </row>
    <row r="79" spans="1:8" x14ac:dyDescent="0.25">
      <c r="A79" s="248">
        <f>A78+0.1</f>
        <v>17.200000000000003</v>
      </c>
      <c r="B79" s="772" t="s">
        <v>2409</v>
      </c>
      <c r="G79" t="s">
        <v>667</v>
      </c>
      <c r="H79" s="1584">
        <v>19.400000000000006</v>
      </c>
    </row>
    <row r="80" spans="1:8" x14ac:dyDescent="0.25">
      <c r="A80" s="248">
        <f>A79+0.1</f>
        <v>17.300000000000004</v>
      </c>
      <c r="B80" s="772" t="s">
        <v>2410</v>
      </c>
      <c r="C80" s="772"/>
      <c r="G80" t="s">
        <v>667</v>
      </c>
      <c r="H80" s="1584">
        <v>19.500000000000007</v>
      </c>
    </row>
    <row r="81" spans="1:8" x14ac:dyDescent="0.25">
      <c r="A81" s="248">
        <f>A80+0.1</f>
        <v>17.400000000000006</v>
      </c>
      <c r="B81" s="772" t="s">
        <v>2411</v>
      </c>
      <c r="G81" t="s">
        <v>667</v>
      </c>
      <c r="H81" s="1584">
        <v>19.600000000000009</v>
      </c>
    </row>
    <row r="82" spans="1:8" x14ac:dyDescent="0.25">
      <c r="A82" s="3">
        <f>ROUNDDOWN(MAX($A$42:A81)+1,0)</f>
        <v>18</v>
      </c>
      <c r="B82" s="772" t="s">
        <v>644</v>
      </c>
      <c r="G82" t="s">
        <v>667</v>
      </c>
      <c r="H82" s="1584">
        <v>19.70000000000001</v>
      </c>
    </row>
    <row r="83" spans="1:8" x14ac:dyDescent="0.25">
      <c r="A83" s="248">
        <f>A82+0.1</f>
        <v>18.100000000000001</v>
      </c>
      <c r="B83" s="773" t="s">
        <v>645</v>
      </c>
      <c r="G83" t="s">
        <v>1677</v>
      </c>
      <c r="H83" s="1584">
        <v>4.1999999999999993</v>
      </c>
    </row>
    <row r="84" spans="1:8" x14ac:dyDescent="0.25">
      <c r="A84" s="248">
        <f>A83+0.1</f>
        <v>18.200000000000003</v>
      </c>
      <c r="B84" s="772" t="s">
        <v>651</v>
      </c>
      <c r="G84" t="s">
        <v>594</v>
      </c>
      <c r="H84" s="1584" t="s">
        <v>2334</v>
      </c>
    </row>
    <row r="85" spans="1:8" x14ac:dyDescent="0.25">
      <c r="A85" s="3">
        <f>ROUNDDOWN(MAX($A$42:A84)+1,0)</f>
        <v>19</v>
      </c>
      <c r="B85" s="772" t="s">
        <v>664</v>
      </c>
      <c r="G85" t="s">
        <v>734</v>
      </c>
      <c r="H85" s="1584">
        <v>90</v>
      </c>
    </row>
    <row r="86" spans="1:8" x14ac:dyDescent="0.25">
      <c r="A86" s="248">
        <f t="shared" ref="A86:A92" si="0">A85+0.1</f>
        <v>19.100000000000001</v>
      </c>
      <c r="B86" s="772" t="s">
        <v>665</v>
      </c>
      <c r="G86" t="s">
        <v>288</v>
      </c>
      <c r="H86" s="1584">
        <v>5</v>
      </c>
    </row>
    <row r="87" spans="1:8" x14ac:dyDescent="0.25">
      <c r="A87" s="248">
        <f t="shared" si="0"/>
        <v>19.200000000000003</v>
      </c>
      <c r="B87" s="772" t="s">
        <v>2486</v>
      </c>
      <c r="G87" t="s">
        <v>2411</v>
      </c>
      <c r="H87" s="1584">
        <v>17.400000000000006</v>
      </c>
    </row>
    <row r="88" spans="1:8" x14ac:dyDescent="0.25">
      <c r="A88" s="248">
        <f t="shared" si="0"/>
        <v>19.300000000000004</v>
      </c>
      <c r="B88" s="772" t="s">
        <v>667</v>
      </c>
      <c r="G88" t="s">
        <v>2410</v>
      </c>
      <c r="H88" s="1584">
        <v>17.300000000000004</v>
      </c>
    </row>
    <row r="89" spans="1:8" x14ac:dyDescent="0.25">
      <c r="A89" s="248">
        <f t="shared" si="0"/>
        <v>19.400000000000006</v>
      </c>
      <c r="B89" s="772" t="s">
        <v>667</v>
      </c>
      <c r="G89" t="s">
        <v>2409</v>
      </c>
      <c r="H89" s="1584">
        <v>17.200000000000003</v>
      </c>
    </row>
    <row r="90" spans="1:8" x14ac:dyDescent="0.25">
      <c r="A90" s="248">
        <f t="shared" si="0"/>
        <v>19.500000000000007</v>
      </c>
      <c r="B90" s="772" t="s">
        <v>667</v>
      </c>
      <c r="G90" t="s">
        <v>2408</v>
      </c>
      <c r="H90" s="1584">
        <v>17.100000000000001</v>
      </c>
    </row>
    <row r="91" spans="1:8" x14ac:dyDescent="0.25">
      <c r="A91" s="248">
        <f t="shared" si="0"/>
        <v>19.600000000000009</v>
      </c>
      <c r="B91" s="772" t="s">
        <v>667</v>
      </c>
      <c r="G91" t="s">
        <v>588</v>
      </c>
      <c r="H91" s="1584">
        <v>2.1</v>
      </c>
    </row>
    <row r="92" spans="1:8" x14ac:dyDescent="0.25">
      <c r="A92" s="248">
        <f t="shared" si="0"/>
        <v>19.70000000000001</v>
      </c>
      <c r="B92" s="772" t="s">
        <v>667</v>
      </c>
      <c r="G92" t="s">
        <v>1381</v>
      </c>
      <c r="H92" s="1584">
        <v>11.1</v>
      </c>
    </row>
    <row r="93" spans="1:8" x14ac:dyDescent="0.25">
      <c r="A93" s="3">
        <f>ROUNDDOWN(MAX($A$42:A92)+1,0)</f>
        <v>20</v>
      </c>
      <c r="B93" s="772" t="s">
        <v>821</v>
      </c>
      <c r="G93" t="s">
        <v>821</v>
      </c>
      <c r="H93" s="1584">
        <v>20</v>
      </c>
    </row>
    <row r="94" spans="1:8" x14ac:dyDescent="0.25">
      <c r="A94" s="3">
        <f>ROUNDDOWN(MAX($A$42:A93)+1,0)</f>
        <v>21</v>
      </c>
      <c r="B94" s="772" t="s">
        <v>670</v>
      </c>
      <c r="G94" t="s">
        <v>1076</v>
      </c>
      <c r="H94" s="1584">
        <v>16</v>
      </c>
    </row>
    <row r="95" spans="1:8" x14ac:dyDescent="0.25">
      <c r="A95" s="3">
        <v>22.1</v>
      </c>
      <c r="B95" s="772" t="s">
        <v>1247</v>
      </c>
      <c r="G95" t="s">
        <v>1651</v>
      </c>
      <c r="H95" s="1584">
        <v>4.0999999999999996</v>
      </c>
    </row>
    <row r="96" spans="1:8" x14ac:dyDescent="0.25">
      <c r="A96" s="3">
        <v>22.2</v>
      </c>
      <c r="B96" s="772" t="s">
        <v>2428</v>
      </c>
      <c r="G96" t="s">
        <v>1247</v>
      </c>
      <c r="H96" s="1584">
        <v>22.1</v>
      </c>
    </row>
    <row r="97" spans="1:8" x14ac:dyDescent="0.25">
      <c r="A97" s="248">
        <v>50</v>
      </c>
      <c r="B97" s="2" t="s">
        <v>1829</v>
      </c>
      <c r="G97" t="s">
        <v>1829</v>
      </c>
      <c r="H97" s="1584">
        <v>50</v>
      </c>
    </row>
    <row r="98" spans="1:8" x14ac:dyDescent="0.25">
      <c r="A98" s="248">
        <v>51</v>
      </c>
      <c r="B98" s="2" t="s">
        <v>928</v>
      </c>
      <c r="G98" t="s">
        <v>928</v>
      </c>
      <c r="H98" s="1584">
        <v>51</v>
      </c>
    </row>
    <row r="99" spans="1:8" x14ac:dyDescent="0.25">
      <c r="A99" s="3">
        <f>ROUNDDOWN(MAX($A$42:A97)+10,0)</f>
        <v>60</v>
      </c>
      <c r="B99" s="2" t="s">
        <v>373</v>
      </c>
      <c r="G99" t="s">
        <v>670</v>
      </c>
      <c r="H99" s="1584">
        <v>21</v>
      </c>
    </row>
    <row r="100" spans="1:8" x14ac:dyDescent="0.25">
      <c r="A100" s="3">
        <f>ROUNDDOWN(MAX($A$42:A99)+10,0)</f>
        <v>70</v>
      </c>
      <c r="B100" t="s">
        <v>395</v>
      </c>
      <c r="G100" t="s">
        <v>620</v>
      </c>
      <c r="H100" s="1584">
        <v>13</v>
      </c>
    </row>
    <row r="101" spans="1:8" x14ac:dyDescent="0.25">
      <c r="A101" s="3">
        <f>ROUNDDOWN(MAX($A$42:A100)+10,0)</f>
        <v>80</v>
      </c>
      <c r="B101" t="s">
        <v>406</v>
      </c>
      <c r="G101" t="s">
        <v>1700</v>
      </c>
      <c r="H101" s="1584">
        <v>12</v>
      </c>
    </row>
    <row r="102" spans="1:8" x14ac:dyDescent="0.25">
      <c r="A102" s="3">
        <f>ROUNDDOWN(MAX($A$42:A101)+10,0)</f>
        <v>90</v>
      </c>
      <c r="B102" t="s">
        <v>734</v>
      </c>
    </row>
    <row r="103" spans="1:8" x14ac:dyDescent="0.25">
      <c r="A103" s="3">
        <f>ROUNDDOWN(MAX($A$42:A102)+10,0)</f>
        <v>100</v>
      </c>
      <c r="B103" t="s">
        <v>788</v>
      </c>
    </row>
    <row r="104" spans="1:8" x14ac:dyDescent="0.25">
      <c r="G104" s="772"/>
      <c r="H104" s="1585"/>
    </row>
    <row r="211" spans="2:2" ht="15.75" x14ac:dyDescent="0.25">
      <c r="B211" s="864"/>
    </row>
    <row r="212" spans="2:2" ht="15.75" x14ac:dyDescent="0.25">
      <c r="B212" s="864"/>
    </row>
    <row r="213" spans="2:2" ht="15.75" x14ac:dyDescent="0.25">
      <c r="B213" s="864"/>
    </row>
    <row r="214" spans="2:2" ht="15.75" x14ac:dyDescent="0.25">
      <c r="B214" s="864"/>
    </row>
    <row r="215" spans="2:2" ht="15.75" x14ac:dyDescent="0.25">
      <c r="B215" s="864"/>
    </row>
    <row r="216" spans="2:2" ht="15.75" x14ac:dyDescent="0.25">
      <c r="B216" s="864"/>
    </row>
    <row r="217" spans="2:2" ht="15.75" x14ac:dyDescent="0.25">
      <c r="B217" s="864"/>
    </row>
    <row r="218" spans="2:2" ht="15.75" x14ac:dyDescent="0.25">
      <c r="B218" s="864"/>
    </row>
    <row r="219" spans="2:2" ht="15.75" x14ac:dyDescent="0.25">
      <c r="B219" s="864"/>
    </row>
  </sheetData>
  <sortState xmlns:xlrd2="http://schemas.microsoft.com/office/spreadsheetml/2017/richdata2" ref="J42:K101">
    <sortCondition ref="K42:K101"/>
  </sortState>
  <mergeCells count="1">
    <mergeCell ref="A41:B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8" tint="-0.249977111117893"/>
    <pageSetUpPr fitToPage="1"/>
  </sheetPr>
  <dimension ref="A1:E305"/>
  <sheetViews>
    <sheetView zoomScale="85" zoomScaleNormal="85" workbookViewId="0">
      <pane xSplit="3" ySplit="3" topLeftCell="D84" activePane="bottomRight" state="frozen"/>
      <selection activeCell="A38" sqref="A37:O42"/>
      <selection pane="topRight" activeCell="A38" sqref="A37:O42"/>
      <selection pane="bottomLeft" activeCell="A38" sqref="A37:O42"/>
      <selection pane="bottomRight" activeCell="C97" sqref="C1:C1048576"/>
    </sheetView>
  </sheetViews>
  <sheetFormatPr defaultRowHeight="15" outlineLevelRow="1" x14ac:dyDescent="0.25"/>
  <cols>
    <col min="1" max="1" width="8.5703125" customWidth="1"/>
    <col min="2" max="2" width="16.140625" bestFit="1" customWidth="1"/>
    <col min="3" max="3" width="109.42578125" customWidth="1"/>
    <col min="4" max="4" width="18" bestFit="1" customWidth="1"/>
    <col min="5" max="5" width="11.42578125" customWidth="1"/>
  </cols>
  <sheetData>
    <row r="1" spans="1:5" x14ac:dyDescent="0.25">
      <c r="A1" s="47" t="str">
        <f>Update!$B$6</f>
        <v>Department of Health</v>
      </c>
      <c r="B1" s="2"/>
      <c r="C1" s="2"/>
      <c r="D1" s="2"/>
      <c r="E1" s="2"/>
    </row>
    <row r="2" spans="1:5" x14ac:dyDescent="0.25">
      <c r="A2" s="16" t="str">
        <f>"Accounts "&amp;Update!$B$13</f>
        <v>Accounts 2025-26</v>
      </c>
      <c r="B2" s="2"/>
      <c r="C2" s="2"/>
      <c r="D2" s="2"/>
      <c r="E2" s="2"/>
    </row>
    <row r="3" spans="1:5" x14ac:dyDescent="0.25">
      <c r="A3" s="16" t="s">
        <v>1102</v>
      </c>
      <c r="B3" s="1757" t="e" cm="1">
        <f t="array" aca="1" ref="B3" ca="1">LastSavedTimeStamp()</f>
        <v>#NAME?</v>
      </c>
      <c r="C3" s="2"/>
      <c r="D3" s="2"/>
      <c r="E3" s="2"/>
    </row>
    <row r="4" spans="1:5" ht="23.25" x14ac:dyDescent="0.25">
      <c r="A4" s="797"/>
      <c r="B4" s="797"/>
      <c r="C4" s="876" t="s">
        <v>1459</v>
      </c>
      <c r="D4" s="797"/>
      <c r="E4" s="797"/>
    </row>
    <row r="5" spans="1:5" ht="18.75" x14ac:dyDescent="0.25">
      <c r="A5" s="885">
        <v>1</v>
      </c>
      <c r="B5" s="881"/>
      <c r="C5" s="862" t="s">
        <v>1460</v>
      </c>
      <c r="D5" s="2"/>
      <c r="E5" s="2"/>
    </row>
    <row r="6" spans="1:5" ht="30" x14ac:dyDescent="0.25">
      <c r="A6" s="885">
        <f>MAX($A$5:A5)+0.01</f>
        <v>1.01</v>
      </c>
      <c r="B6" s="881"/>
      <c r="C6" s="7" t="s">
        <v>1535</v>
      </c>
      <c r="D6" s="2"/>
      <c r="E6" s="2"/>
    </row>
    <row r="7" spans="1:5" x14ac:dyDescent="0.25">
      <c r="A7" s="885">
        <f>MAX($A$5:A6)+0.01</f>
        <v>1.02</v>
      </c>
      <c r="B7" s="881"/>
      <c r="C7" s="7" t="s">
        <v>1462</v>
      </c>
      <c r="D7" s="2"/>
      <c r="E7" s="2"/>
    </row>
    <row r="8" spans="1:5" x14ac:dyDescent="0.25">
      <c r="A8" s="885">
        <f>MAX($A$5:A7)+0.01</f>
        <v>1.03</v>
      </c>
      <c r="B8" s="881"/>
      <c r="C8" s="7" t="s">
        <v>1464</v>
      </c>
      <c r="D8" s="2"/>
      <c r="E8" s="2"/>
    </row>
    <row r="9" spans="1:5" x14ac:dyDescent="0.25">
      <c r="A9" s="885"/>
      <c r="B9" s="881"/>
      <c r="C9" s="7"/>
      <c r="D9" s="2"/>
      <c r="E9" s="2"/>
    </row>
    <row r="10" spans="1:5" x14ac:dyDescent="0.25">
      <c r="A10" s="885">
        <f>MAX($A$5:A9)+0.01</f>
        <v>1.04</v>
      </c>
      <c r="B10" s="881"/>
      <c r="C10" s="7" t="s">
        <v>1509</v>
      </c>
      <c r="D10" s="2"/>
      <c r="E10" s="2"/>
    </row>
    <row r="11" spans="1:5" x14ac:dyDescent="0.25">
      <c r="A11" s="885"/>
      <c r="B11" s="881"/>
      <c r="C11" s="7"/>
      <c r="D11" s="2"/>
      <c r="E11" s="2"/>
    </row>
    <row r="12" spans="1:5" x14ac:dyDescent="0.25">
      <c r="A12" s="885"/>
      <c r="B12" s="881"/>
      <c r="C12" s="7"/>
      <c r="D12" s="2"/>
      <c r="E12" s="2"/>
    </row>
    <row r="13" spans="1:5" x14ac:dyDescent="0.25">
      <c r="A13" s="885"/>
      <c r="B13" s="881"/>
      <c r="C13" s="7"/>
      <c r="D13" s="2"/>
      <c r="E13" s="2"/>
    </row>
    <row r="14" spans="1:5" x14ac:dyDescent="0.25">
      <c r="A14" s="885"/>
      <c r="B14" s="881"/>
      <c r="C14" s="7"/>
      <c r="D14" s="2"/>
      <c r="E14" s="2"/>
    </row>
    <row r="15" spans="1:5" x14ac:dyDescent="0.25">
      <c r="A15" s="885"/>
      <c r="B15" s="881"/>
      <c r="C15" s="7"/>
      <c r="D15" s="2"/>
      <c r="E15" s="2"/>
    </row>
    <row r="16" spans="1:5" x14ac:dyDescent="0.25">
      <c r="A16" s="885"/>
      <c r="B16" s="881"/>
      <c r="C16" s="7"/>
      <c r="D16" s="2"/>
      <c r="E16" s="2"/>
    </row>
    <row r="17" spans="1:5" x14ac:dyDescent="0.25">
      <c r="A17" s="885"/>
      <c r="B17" s="881"/>
      <c r="C17" s="880" t="s">
        <v>1508</v>
      </c>
      <c r="D17" s="2"/>
      <c r="E17" s="2"/>
    </row>
    <row r="18" spans="1:5" x14ac:dyDescent="0.25">
      <c r="A18" s="885"/>
      <c r="B18" s="881"/>
      <c r="C18" s="7"/>
      <c r="D18" s="2"/>
      <c r="E18" s="2"/>
    </row>
    <row r="19" spans="1:5" x14ac:dyDescent="0.25">
      <c r="A19" s="885">
        <f>MAX($A$5:A18)+0.01</f>
        <v>1.05</v>
      </c>
      <c r="B19" s="881"/>
      <c r="C19" s="7" t="s">
        <v>1536</v>
      </c>
      <c r="D19" s="2"/>
      <c r="E19" s="2"/>
    </row>
    <row r="20" spans="1:5" x14ac:dyDescent="0.25">
      <c r="A20" s="885"/>
      <c r="B20" s="881"/>
      <c r="C20" s="7"/>
      <c r="D20" s="2"/>
      <c r="E20" s="2"/>
    </row>
    <row r="21" spans="1:5" ht="45" x14ac:dyDescent="0.25">
      <c r="A21" s="885">
        <f>MAX($A$5:A20)+0.01</f>
        <v>1.06</v>
      </c>
      <c r="B21" s="881"/>
      <c r="C21" s="7" t="s">
        <v>1570</v>
      </c>
      <c r="D21" s="2"/>
      <c r="E21" s="2"/>
    </row>
    <row r="22" spans="1:5" x14ac:dyDescent="0.25">
      <c r="A22" s="885"/>
      <c r="B22" s="881"/>
      <c r="C22" s="7"/>
      <c r="D22" s="2"/>
      <c r="E22" s="2"/>
    </row>
    <row r="23" spans="1:5" x14ac:dyDescent="0.25">
      <c r="A23" s="885"/>
      <c r="B23" s="881"/>
      <c r="C23" s="7"/>
      <c r="D23" s="2"/>
      <c r="E23" s="2"/>
    </row>
    <row r="24" spans="1:5" ht="18.75" x14ac:dyDescent="0.25">
      <c r="A24" s="885">
        <f>ROUNDUP(MAX($A$5:A21)+0.01,0)</f>
        <v>2</v>
      </c>
      <c r="B24" s="881"/>
      <c r="C24" s="862" t="s">
        <v>1516</v>
      </c>
      <c r="D24" s="2"/>
      <c r="E24" s="2"/>
    </row>
    <row r="25" spans="1:5" ht="30" x14ac:dyDescent="0.25">
      <c r="A25" s="885">
        <f>MAX($A$5:A24)+0.01</f>
        <v>2.0099999999999998</v>
      </c>
      <c r="B25" s="881"/>
      <c r="C25" s="7" t="s">
        <v>1517</v>
      </c>
      <c r="D25" s="2"/>
      <c r="E25" s="2"/>
    </row>
    <row r="26" spans="1:5" x14ac:dyDescent="0.25">
      <c r="A26" s="885">
        <f>MAX($A$5:A25)+0.01</f>
        <v>2.0199999999999996</v>
      </c>
      <c r="B26" s="881"/>
      <c r="C26" s="1758" t="s">
        <v>1571</v>
      </c>
      <c r="D26" s="2"/>
      <c r="E26" s="2"/>
    </row>
    <row r="27" spans="1:5" x14ac:dyDescent="0.25">
      <c r="A27" s="885">
        <f>MAX($A$5:A26)+0.01</f>
        <v>2.0299999999999994</v>
      </c>
      <c r="B27" s="881"/>
      <c r="C27" s="1758" t="s">
        <v>1518</v>
      </c>
      <c r="D27" s="2"/>
      <c r="E27" s="2"/>
    </row>
    <row r="28" spans="1:5" ht="30" x14ac:dyDescent="0.25">
      <c r="A28" s="885">
        <f>MAX($A$5:A27)+0.01</f>
        <v>2.0399999999999991</v>
      </c>
      <c r="B28" s="881"/>
      <c r="C28" s="7" t="s">
        <v>1572</v>
      </c>
      <c r="D28" s="2"/>
      <c r="E28" s="2"/>
    </row>
    <row r="29" spans="1:5" ht="30" x14ac:dyDescent="0.25">
      <c r="A29" s="885">
        <f>MAX($A$5:A28)+0.01</f>
        <v>2.0499999999999989</v>
      </c>
      <c r="B29" s="881"/>
      <c r="C29" s="7" t="s">
        <v>1522</v>
      </c>
      <c r="D29" s="2"/>
      <c r="E29" s="2"/>
    </row>
    <row r="30" spans="1:5" ht="30" x14ac:dyDescent="0.25">
      <c r="A30" s="885">
        <f>MAX($A$5:A29)+0.01</f>
        <v>2.0599999999999987</v>
      </c>
      <c r="B30" s="881"/>
      <c r="C30" s="7" t="s">
        <v>1598</v>
      </c>
      <c r="D30" s="2"/>
      <c r="E30" s="2"/>
    </row>
    <row r="31" spans="1:5" x14ac:dyDescent="0.25">
      <c r="A31" s="885">
        <f>MAX($A$5:A30)+0.01</f>
        <v>2.0699999999999985</v>
      </c>
      <c r="B31" s="881"/>
      <c r="C31" s="7" t="s">
        <v>1523</v>
      </c>
      <c r="D31" s="2"/>
      <c r="E31" s="2"/>
    </row>
    <row r="32" spans="1:5" x14ac:dyDescent="0.25">
      <c r="A32" s="885">
        <f>MAX($A$5:A31)+0.01</f>
        <v>2.0799999999999983</v>
      </c>
      <c r="B32" s="881"/>
      <c r="C32" s="7" t="s">
        <v>1519</v>
      </c>
      <c r="D32" s="2"/>
      <c r="E32" s="2"/>
    </row>
    <row r="33" spans="1:5" x14ac:dyDescent="0.25">
      <c r="A33" s="885">
        <f>MAX($A$5:A32)+0.01</f>
        <v>2.0899999999999981</v>
      </c>
      <c r="B33" s="881"/>
      <c r="C33" s="7" t="s">
        <v>1524</v>
      </c>
      <c r="D33" s="2"/>
      <c r="E33" s="2"/>
    </row>
    <row r="34" spans="1:5" x14ac:dyDescent="0.25">
      <c r="A34" s="885">
        <f>MAX($A$5:A33)+0.01</f>
        <v>2.0999999999999979</v>
      </c>
      <c r="B34" s="881"/>
      <c r="C34" s="7" t="s">
        <v>1520</v>
      </c>
      <c r="D34" s="2"/>
      <c r="E34" s="2"/>
    </row>
    <row r="35" spans="1:5" x14ac:dyDescent="0.25">
      <c r="A35" s="885">
        <f>MAX($A$5:A34)+0.01</f>
        <v>2.1099999999999977</v>
      </c>
      <c r="B35" s="881"/>
      <c r="C35" s="7" t="s">
        <v>1525</v>
      </c>
      <c r="D35" s="2"/>
      <c r="E35" s="2"/>
    </row>
    <row r="36" spans="1:5" x14ac:dyDescent="0.25">
      <c r="A36" s="885">
        <f>MAX($A$5:A35)+0.01</f>
        <v>2.1199999999999974</v>
      </c>
      <c r="B36" s="881"/>
      <c r="C36" s="7" t="s">
        <v>1521</v>
      </c>
      <c r="D36" s="2"/>
      <c r="E36" s="2"/>
    </row>
    <row r="37" spans="1:5" x14ac:dyDescent="0.25">
      <c r="A37" s="885">
        <f>MAX($A$5:A36)+0.01</f>
        <v>2.1299999999999972</v>
      </c>
      <c r="B37" s="881" t="s">
        <v>1510</v>
      </c>
      <c r="C37" s="1758" t="s">
        <v>1546</v>
      </c>
      <c r="D37" s="2"/>
      <c r="E37" s="2"/>
    </row>
    <row r="38" spans="1:5" ht="30" x14ac:dyDescent="0.25">
      <c r="A38" s="885">
        <f>MAX($A$5:A37)+0.01</f>
        <v>2.139999999999997</v>
      </c>
      <c r="B38" s="881" t="s">
        <v>1510</v>
      </c>
      <c r="C38" s="1758" t="s">
        <v>1573</v>
      </c>
      <c r="D38" s="2"/>
      <c r="E38" s="2"/>
    </row>
    <row r="39" spans="1:5" x14ac:dyDescent="0.25">
      <c r="A39" s="885"/>
      <c r="B39" s="881"/>
      <c r="C39" s="7"/>
      <c r="D39" s="2"/>
      <c r="E39" s="2"/>
    </row>
    <row r="40" spans="1:5" x14ac:dyDescent="0.25">
      <c r="A40" s="885"/>
      <c r="B40" s="881"/>
      <c r="C40" s="7"/>
      <c r="D40" s="2"/>
      <c r="E40" s="2"/>
    </row>
    <row r="41" spans="1:5" ht="18.75" x14ac:dyDescent="0.25">
      <c r="A41" s="885">
        <f>ROUNDUP(MAX($A$5:A40)+0.01,0)</f>
        <v>3</v>
      </c>
      <c r="B41" s="881"/>
      <c r="C41" s="862" t="s">
        <v>1489</v>
      </c>
      <c r="D41" s="2"/>
      <c r="E41" s="2"/>
    </row>
    <row r="42" spans="1:5" x14ac:dyDescent="0.25">
      <c r="A42" s="885">
        <f>MAX($A$5:A41)+0.01</f>
        <v>3.01</v>
      </c>
      <c r="B42" s="881"/>
      <c r="C42" s="296" t="s">
        <v>1526</v>
      </c>
      <c r="D42" s="2"/>
      <c r="E42" s="2"/>
    </row>
    <row r="43" spans="1:5" ht="90" x14ac:dyDescent="0.25">
      <c r="A43" s="885">
        <f>MAX($A$5:A42)+0.01</f>
        <v>3.0199999999999996</v>
      </c>
      <c r="B43" s="881"/>
      <c r="C43" s="7" t="s">
        <v>1469</v>
      </c>
      <c r="D43" s="2"/>
      <c r="E43" s="2"/>
    </row>
    <row r="44" spans="1:5" ht="45" x14ac:dyDescent="0.25">
      <c r="A44" s="885">
        <f>MAX($A$5:A43)+0.01</f>
        <v>3.0299999999999994</v>
      </c>
      <c r="B44" s="881"/>
      <c r="C44" s="7" t="s">
        <v>1527</v>
      </c>
      <c r="D44" s="2"/>
      <c r="E44" s="2"/>
    </row>
    <row r="45" spans="1:5" ht="45" x14ac:dyDescent="0.25">
      <c r="A45" s="885">
        <f>MAX($A$5:A44)+0.01</f>
        <v>3.0399999999999991</v>
      </c>
      <c r="B45" s="881"/>
      <c r="C45" s="7" t="s">
        <v>1470</v>
      </c>
      <c r="D45" s="2"/>
      <c r="E45" s="2"/>
    </row>
    <row r="46" spans="1:5" ht="93.75" customHeight="1" x14ac:dyDescent="0.25">
      <c r="A46" s="885">
        <f>MAX($A$5:A45)+0.01</f>
        <v>3.0499999999999989</v>
      </c>
      <c r="B46" s="881"/>
      <c r="C46" s="7" t="s">
        <v>2809</v>
      </c>
      <c r="D46" s="2"/>
      <c r="E46" s="2"/>
    </row>
    <row r="47" spans="1:5" x14ac:dyDescent="0.25">
      <c r="A47" s="885">
        <f>MAX($A$5:A46)+0.01</f>
        <v>3.0599999999999987</v>
      </c>
      <c r="B47" s="881"/>
      <c r="C47" s="7"/>
      <c r="D47" s="2"/>
      <c r="E47" s="2"/>
    </row>
    <row r="48" spans="1:5" x14ac:dyDescent="0.25">
      <c r="A48" s="885">
        <f>MAX($A$5:A47)+0.01</f>
        <v>3.0699999999999985</v>
      </c>
      <c r="B48" s="881"/>
      <c r="C48" s="7" t="s">
        <v>1463</v>
      </c>
      <c r="D48" s="2"/>
      <c r="E48" s="2"/>
    </row>
    <row r="49" spans="1:5" ht="45" x14ac:dyDescent="0.25">
      <c r="A49" s="885">
        <f>MAX($A$5:A48)+0.01</f>
        <v>3.0799999999999983</v>
      </c>
      <c r="B49" s="881"/>
      <c r="C49" s="7" t="s">
        <v>1528</v>
      </c>
      <c r="D49" s="2"/>
      <c r="E49" s="2"/>
    </row>
    <row r="50" spans="1:5" x14ac:dyDescent="0.25">
      <c r="A50" s="885">
        <f>MAX($A$5:A49)+0.01</f>
        <v>3.0899999999999981</v>
      </c>
      <c r="B50" s="881"/>
      <c r="C50" s="7" t="s">
        <v>1471</v>
      </c>
      <c r="D50" s="2"/>
      <c r="E50" s="2"/>
    </row>
    <row r="51" spans="1:5" x14ac:dyDescent="0.25">
      <c r="A51" s="885">
        <f>MAX($A$5:A50)+0.01</f>
        <v>3.0999999999999979</v>
      </c>
      <c r="B51" s="881"/>
      <c r="C51" s="268" t="s">
        <v>1466</v>
      </c>
      <c r="D51" s="2"/>
      <c r="E51" s="2"/>
    </row>
    <row r="52" spans="1:5" x14ac:dyDescent="0.25">
      <c r="A52" s="885">
        <f>MAX($A$5:A51)+0.01</f>
        <v>3.1099999999999977</v>
      </c>
      <c r="B52" s="881"/>
      <c r="C52" s="268" t="s">
        <v>1467</v>
      </c>
      <c r="D52" s="2"/>
      <c r="E52" s="2"/>
    </row>
    <row r="53" spans="1:5" x14ac:dyDescent="0.25">
      <c r="A53" s="885">
        <f>MAX($A$5:A52)+0.01</f>
        <v>3.1199999999999974</v>
      </c>
      <c r="B53" s="881"/>
      <c r="C53" s="268" t="s">
        <v>1468</v>
      </c>
      <c r="D53" s="2"/>
      <c r="E53" s="2"/>
    </row>
    <row r="54" spans="1:5" x14ac:dyDescent="0.25">
      <c r="A54" s="885">
        <f>MAX($A$5:A53)+0.01</f>
        <v>3.1299999999999972</v>
      </c>
      <c r="B54" s="881"/>
      <c r="C54" s="7" t="s">
        <v>1498</v>
      </c>
      <c r="D54" s="2"/>
      <c r="E54" s="2"/>
    </row>
    <row r="55" spans="1:5" ht="30" x14ac:dyDescent="0.25">
      <c r="A55" s="885">
        <f>MAX($A$5:A54)+0.01</f>
        <v>3.139999999999997</v>
      </c>
      <c r="B55" s="881"/>
      <c r="C55" s="7" t="s">
        <v>2810</v>
      </c>
      <c r="D55" s="2"/>
      <c r="E55" s="2"/>
    </row>
    <row r="56" spans="1:5" ht="30" x14ac:dyDescent="0.25">
      <c r="A56" s="885">
        <f>MAX($A$5:A55)+0.01</f>
        <v>3.1499999999999968</v>
      </c>
      <c r="B56" s="881"/>
      <c r="C56" s="7" t="s">
        <v>1491</v>
      </c>
      <c r="D56" s="2"/>
      <c r="E56" s="2"/>
    </row>
    <row r="57" spans="1:5" ht="45" x14ac:dyDescent="0.25">
      <c r="A57" s="885">
        <f>MAX($A$5:A56)+0.01</f>
        <v>3.1599999999999966</v>
      </c>
      <c r="B57" s="881" t="s">
        <v>1539</v>
      </c>
      <c r="C57" s="13" t="s">
        <v>1574</v>
      </c>
      <c r="D57" s="2"/>
      <c r="E57" s="2"/>
    </row>
    <row r="58" spans="1:5" ht="90" x14ac:dyDescent="0.25">
      <c r="A58" s="885">
        <f>MAX($A$5:A57)+0.01</f>
        <v>3.1699999999999964</v>
      </c>
      <c r="B58" s="881"/>
      <c r="C58" s="7" t="s">
        <v>1575</v>
      </c>
      <c r="D58" s="2"/>
      <c r="E58" s="2"/>
    </row>
    <row r="59" spans="1:5" x14ac:dyDescent="0.25">
      <c r="A59" s="885">
        <f>MAX($A$5:A58)+0.01</f>
        <v>3.1799999999999962</v>
      </c>
      <c r="B59" s="881"/>
      <c r="C59" s="7" t="s">
        <v>1595</v>
      </c>
      <c r="D59" s="2"/>
      <c r="E59" s="2"/>
    </row>
    <row r="60" spans="1:5" x14ac:dyDescent="0.25">
      <c r="A60" s="885">
        <f>MAX($A$5:A59)+0.01</f>
        <v>3.1899999999999959</v>
      </c>
      <c r="B60" s="881"/>
      <c r="C60" s="7" t="s">
        <v>1599</v>
      </c>
      <c r="D60" s="2"/>
      <c r="E60" s="2"/>
    </row>
    <row r="61" spans="1:5" ht="30" x14ac:dyDescent="0.25">
      <c r="A61" s="885">
        <f>MAX($A$5:A60)+0.01</f>
        <v>3.1999999999999957</v>
      </c>
      <c r="B61" s="881"/>
      <c r="C61" s="7" t="s">
        <v>1600</v>
      </c>
      <c r="D61" s="2"/>
      <c r="E61" s="2"/>
    </row>
    <row r="62" spans="1:5" x14ac:dyDescent="0.25">
      <c r="A62" s="885"/>
      <c r="B62" s="881"/>
      <c r="C62" s="7"/>
      <c r="D62" s="2"/>
      <c r="E62" s="2"/>
    </row>
    <row r="63" spans="1:5" x14ac:dyDescent="0.25">
      <c r="A63" s="885"/>
      <c r="B63" s="881"/>
      <c r="C63" s="7"/>
      <c r="D63" s="2"/>
      <c r="E63" s="2"/>
    </row>
    <row r="64" spans="1:5" ht="18.75" x14ac:dyDescent="0.25">
      <c r="A64" s="885">
        <f>ROUNDUP(MAX($A$5:A63)+0.01,0)</f>
        <v>4</v>
      </c>
      <c r="B64" s="881"/>
      <c r="C64" s="277" t="s">
        <v>1297</v>
      </c>
      <c r="D64" s="2"/>
      <c r="E64" s="2"/>
    </row>
    <row r="65" spans="1:5" ht="60" x14ac:dyDescent="0.25">
      <c r="A65" s="885">
        <f>MAX($A$5:A64)+0.01</f>
        <v>4.01</v>
      </c>
      <c r="B65" s="881"/>
      <c r="C65" s="7" t="s">
        <v>2811</v>
      </c>
      <c r="D65" s="2"/>
      <c r="E65" s="2"/>
    </row>
    <row r="66" spans="1:5" ht="45" x14ac:dyDescent="0.25">
      <c r="A66" s="885">
        <f>MAX($A$5:A65)+0.01</f>
        <v>4.0199999999999996</v>
      </c>
      <c r="B66" s="881"/>
      <c r="C66" s="7" t="s">
        <v>1527</v>
      </c>
      <c r="D66" s="2"/>
      <c r="E66" s="2"/>
    </row>
    <row r="67" spans="1:5" x14ac:dyDescent="0.25">
      <c r="A67" s="885">
        <f>MAX($A$5:A66)+0.01</f>
        <v>4.0299999999999994</v>
      </c>
      <c r="B67" s="881"/>
      <c r="C67" s="7" t="s">
        <v>1492</v>
      </c>
      <c r="D67" s="2"/>
      <c r="E67" s="2"/>
    </row>
    <row r="68" spans="1:5" x14ac:dyDescent="0.25">
      <c r="A68" s="885">
        <f>MAX($A$5:A67)+0.01</f>
        <v>4.0399999999999991</v>
      </c>
      <c r="B68" s="881"/>
      <c r="C68" s="268" t="s">
        <v>1347</v>
      </c>
      <c r="D68" s="2"/>
      <c r="E68" s="2"/>
    </row>
    <row r="69" spans="1:5" x14ac:dyDescent="0.25">
      <c r="A69" s="885">
        <f>MAX($A$5:A68)+0.01</f>
        <v>4.0499999999999989</v>
      </c>
      <c r="B69" s="881"/>
      <c r="C69" s="268" t="s">
        <v>1494</v>
      </c>
      <c r="D69" s="2"/>
      <c r="E69" s="2"/>
    </row>
    <row r="70" spans="1:5" x14ac:dyDescent="0.25">
      <c r="A70" s="885">
        <f>MAX($A$5:A69)+0.01</f>
        <v>4.0599999999999987</v>
      </c>
      <c r="B70" s="881"/>
      <c r="C70" s="268" t="s">
        <v>1495</v>
      </c>
      <c r="D70" s="2"/>
      <c r="E70" s="2"/>
    </row>
    <row r="71" spans="1:5" x14ac:dyDescent="0.25">
      <c r="A71" s="885">
        <f>MAX($A$5:A70)+0.01</f>
        <v>4.0699999999999985</v>
      </c>
      <c r="B71" s="881"/>
      <c r="C71" s="268" t="s">
        <v>1496</v>
      </c>
      <c r="D71" s="2"/>
      <c r="E71" s="2"/>
    </row>
    <row r="72" spans="1:5" x14ac:dyDescent="0.25">
      <c r="A72" s="885">
        <f>MAX($A$5:A71)+0.01</f>
        <v>4.0799999999999983</v>
      </c>
      <c r="B72" s="881"/>
      <c r="C72" s="268" t="s">
        <v>1493</v>
      </c>
      <c r="D72" s="2"/>
      <c r="E72" s="2"/>
    </row>
    <row r="73" spans="1:5" x14ac:dyDescent="0.25">
      <c r="A73" s="885">
        <f>MAX($A$5:A72)+0.01</f>
        <v>4.0899999999999981</v>
      </c>
      <c r="B73" s="881"/>
      <c r="C73" s="7" t="s">
        <v>1506</v>
      </c>
      <c r="D73" s="2"/>
      <c r="E73" s="2"/>
    </row>
    <row r="74" spans="1:5" ht="30" x14ac:dyDescent="0.25">
      <c r="A74" s="885">
        <f>MAX($A$5:A73)+0.01</f>
        <v>4.0999999999999979</v>
      </c>
      <c r="B74" s="881" t="s">
        <v>744</v>
      </c>
      <c r="C74" s="13" t="s">
        <v>1507</v>
      </c>
      <c r="D74" s="2"/>
      <c r="E74" s="2"/>
    </row>
    <row r="75" spans="1:5" ht="60" x14ac:dyDescent="0.25">
      <c r="A75" s="885">
        <f>MAX($A$5:A74)+0.01</f>
        <v>4.1099999999999977</v>
      </c>
      <c r="B75" s="881"/>
      <c r="C75" s="7" t="s">
        <v>1576</v>
      </c>
      <c r="D75" s="2"/>
      <c r="E75" s="2"/>
    </row>
    <row r="76" spans="1:5" x14ac:dyDescent="0.25">
      <c r="A76" s="885">
        <f>MAX($A$5:A75)+0.01</f>
        <v>4.1199999999999974</v>
      </c>
      <c r="B76" s="881"/>
      <c r="C76" s="7" t="s">
        <v>1497</v>
      </c>
      <c r="D76" s="2"/>
      <c r="E76" s="2"/>
    </row>
    <row r="77" spans="1:5" ht="75" x14ac:dyDescent="0.25">
      <c r="A77" s="885">
        <f>MAX($A$5:A76)+0.01</f>
        <v>4.1299999999999972</v>
      </c>
      <c r="B77" s="881"/>
      <c r="C77" s="7" t="s">
        <v>2812</v>
      </c>
      <c r="D77" s="2"/>
      <c r="E77" s="2"/>
    </row>
    <row r="78" spans="1:5" ht="30" x14ac:dyDescent="0.25">
      <c r="A78" s="885">
        <f>MAX($A$5:A77)+0.01</f>
        <v>4.139999999999997</v>
      </c>
      <c r="B78" s="881"/>
      <c r="C78" s="13" t="s">
        <v>1505</v>
      </c>
      <c r="D78" s="2"/>
      <c r="E78" s="2"/>
    </row>
    <row r="79" spans="1:5" ht="45" x14ac:dyDescent="0.25">
      <c r="A79" s="885">
        <f>MAX($A$5:A78)+0.01</f>
        <v>4.1499999999999968</v>
      </c>
      <c r="B79" s="881" t="s">
        <v>1510</v>
      </c>
      <c r="C79" s="7" t="s">
        <v>1529</v>
      </c>
      <c r="D79" s="2"/>
      <c r="E79" s="2"/>
    </row>
    <row r="80" spans="1:5" ht="45" x14ac:dyDescent="0.25">
      <c r="A80" s="885">
        <f>MAX($A$5:A79)+0.01</f>
        <v>4.1599999999999966</v>
      </c>
      <c r="B80" s="881" t="s">
        <v>1510</v>
      </c>
      <c r="C80" s="13" t="s">
        <v>1499</v>
      </c>
      <c r="D80" s="2"/>
      <c r="E80" s="2"/>
    </row>
    <row r="81" spans="1:5" ht="15.75" x14ac:dyDescent="0.25">
      <c r="A81" s="885">
        <f>MAX($A$5:A80)+0.01</f>
        <v>4.1699999999999964</v>
      </c>
      <c r="B81" s="881"/>
      <c r="C81" s="883" t="s">
        <v>1377</v>
      </c>
      <c r="D81" s="2"/>
      <c r="E81" s="2"/>
    </row>
    <row r="82" spans="1:5" ht="30" x14ac:dyDescent="0.25">
      <c r="A82" s="885">
        <f>MAX($A$5:A81)+0.01</f>
        <v>4.1799999999999962</v>
      </c>
      <c r="B82" s="881"/>
      <c r="C82" s="7" t="s">
        <v>1537</v>
      </c>
      <c r="D82" s="2"/>
      <c r="E82" s="2"/>
    </row>
    <row r="83" spans="1:5" ht="90" x14ac:dyDescent="0.25">
      <c r="A83" s="885">
        <f>MAX($A$5:A82)+0.01</f>
        <v>4.1899999999999959</v>
      </c>
      <c r="B83" s="881" t="s">
        <v>461</v>
      </c>
      <c r="C83" s="7" t="s">
        <v>1577</v>
      </c>
      <c r="D83" s="2"/>
      <c r="E83" s="2"/>
    </row>
    <row r="84" spans="1:5" x14ac:dyDescent="0.25">
      <c r="A84" s="885"/>
      <c r="B84" s="881"/>
      <c r="C84" s="13"/>
      <c r="D84" s="2"/>
      <c r="E84" s="2"/>
    </row>
    <row r="85" spans="1:5" x14ac:dyDescent="0.25">
      <c r="A85" s="885"/>
      <c r="B85" s="881"/>
      <c r="C85" s="7"/>
      <c r="D85" s="2"/>
      <c r="E85" s="2"/>
    </row>
    <row r="86" spans="1:5" ht="18.75" x14ac:dyDescent="0.25">
      <c r="A86" s="885">
        <f>ROUNDUP(MAX($A$5:A85)+0.01,0)</f>
        <v>5</v>
      </c>
      <c r="B86" s="881"/>
      <c r="C86" s="277" t="s">
        <v>1465</v>
      </c>
      <c r="D86" s="2"/>
      <c r="E86" s="2"/>
    </row>
    <row r="87" spans="1:5" ht="30" x14ac:dyDescent="0.25">
      <c r="A87" s="885">
        <f>MAX($A$5:A86)+0.01</f>
        <v>5.01</v>
      </c>
      <c r="B87" s="881"/>
      <c r="C87" s="7" t="s">
        <v>1530</v>
      </c>
      <c r="D87" s="2"/>
      <c r="E87" s="2"/>
    </row>
    <row r="88" spans="1:5" ht="30" x14ac:dyDescent="0.25">
      <c r="A88" s="885">
        <f>MAX($A$5:A87)+0.01</f>
        <v>5.0199999999999996</v>
      </c>
      <c r="B88" s="881"/>
      <c r="C88" s="7" t="s">
        <v>1538</v>
      </c>
      <c r="D88" s="2"/>
      <c r="E88" s="2"/>
    </row>
    <row r="89" spans="1:5" x14ac:dyDescent="0.25">
      <c r="A89" s="885">
        <f>MAX($A$5:A88)+0.01</f>
        <v>5.0299999999999994</v>
      </c>
      <c r="B89" s="881" t="s">
        <v>1510</v>
      </c>
      <c r="C89" s="7" t="s">
        <v>802</v>
      </c>
      <c r="D89" s="2"/>
      <c r="E89" s="2"/>
    </row>
    <row r="90" spans="1:5" x14ac:dyDescent="0.25">
      <c r="A90" s="885"/>
      <c r="B90" s="881"/>
      <c r="C90" s="7"/>
      <c r="D90" s="2"/>
      <c r="E90" s="2"/>
    </row>
    <row r="91" spans="1:5" x14ac:dyDescent="0.25">
      <c r="A91" s="885"/>
      <c r="B91" s="881"/>
      <c r="C91" s="7"/>
      <c r="D91" s="2"/>
      <c r="E91" s="2"/>
    </row>
    <row r="92" spans="1:5" ht="18.75" x14ac:dyDescent="0.25">
      <c r="A92" s="885">
        <f>ROUNDUP(MAX($A$5:A91)+0.01,0)</f>
        <v>6</v>
      </c>
      <c r="B92" s="881"/>
      <c r="C92" s="277" t="s">
        <v>1547</v>
      </c>
      <c r="D92" s="2"/>
      <c r="E92" s="2"/>
    </row>
    <row r="93" spans="1:5" ht="30" x14ac:dyDescent="0.25">
      <c r="A93" s="885">
        <f>MAX($A$5:A92)+0.01</f>
        <v>6.01</v>
      </c>
      <c r="B93" s="881"/>
      <c r="C93" s="7" t="s">
        <v>1504</v>
      </c>
      <c r="D93" s="2"/>
      <c r="E93" s="2"/>
    </row>
    <row r="94" spans="1:5" x14ac:dyDescent="0.25">
      <c r="A94" s="885">
        <f>MAX($A$5:A93)+0.01</f>
        <v>6.02</v>
      </c>
      <c r="B94" s="881"/>
      <c r="C94" s="7" t="s">
        <v>1531</v>
      </c>
      <c r="D94" s="2"/>
      <c r="E94" s="2"/>
    </row>
    <row r="95" spans="1:5" ht="30" x14ac:dyDescent="0.25">
      <c r="A95" s="885">
        <f>MAX($A$5:A94)+0.01</f>
        <v>6.0299999999999994</v>
      </c>
      <c r="B95" s="881"/>
      <c r="C95" s="7" t="s">
        <v>1532</v>
      </c>
      <c r="D95" s="2"/>
      <c r="E95" s="2"/>
    </row>
    <row r="96" spans="1:5" x14ac:dyDescent="0.25">
      <c r="A96" s="885">
        <f>MAX($A$5:A95)+0.01</f>
        <v>6.0399999999999991</v>
      </c>
      <c r="B96" s="881"/>
      <c r="C96" s="7" t="s">
        <v>1541</v>
      </c>
      <c r="D96" s="2"/>
      <c r="E96" s="2"/>
    </row>
    <row r="97" spans="1:5" ht="45" x14ac:dyDescent="0.25">
      <c r="A97" s="885">
        <f>MAX($A$5:A96)+0.01</f>
        <v>6.0499999999999989</v>
      </c>
      <c r="B97" s="881"/>
      <c r="C97" s="7" t="s">
        <v>2813</v>
      </c>
      <c r="D97" s="2"/>
      <c r="E97" s="2"/>
    </row>
    <row r="98" spans="1:5" ht="30" x14ac:dyDescent="0.25">
      <c r="A98" s="885">
        <f>MAX($A$5:A97)+0.01</f>
        <v>6.0599999999999987</v>
      </c>
      <c r="B98" s="881"/>
      <c r="C98" s="7" t="s">
        <v>1542</v>
      </c>
      <c r="D98" s="2"/>
      <c r="E98" s="2"/>
    </row>
    <row r="99" spans="1:5" ht="45" x14ac:dyDescent="0.25">
      <c r="A99" s="885">
        <f>MAX($A$5:A98)+0.01</f>
        <v>6.0699999999999985</v>
      </c>
      <c r="B99" s="881"/>
      <c r="C99" s="7" t="s">
        <v>1543</v>
      </c>
      <c r="D99" s="2"/>
      <c r="E99" s="2"/>
    </row>
    <row r="100" spans="1:5" ht="30" x14ac:dyDescent="0.25">
      <c r="A100" s="885">
        <f>MAX($A$5:A99)+0.01</f>
        <v>6.0799999999999983</v>
      </c>
      <c r="B100" s="881" t="s">
        <v>1539</v>
      </c>
      <c r="C100" s="7" t="s">
        <v>1540</v>
      </c>
      <c r="D100" s="2"/>
      <c r="E100" s="2"/>
    </row>
    <row r="101" spans="1:5" ht="30" x14ac:dyDescent="0.25">
      <c r="A101" s="885">
        <f>MAX($A$5:A100)+0.01</f>
        <v>6.0899999999999981</v>
      </c>
      <c r="B101" s="881" t="s">
        <v>1510</v>
      </c>
      <c r="C101" s="7" t="s">
        <v>1578</v>
      </c>
      <c r="D101" s="2"/>
      <c r="E101" s="2"/>
    </row>
    <row r="102" spans="1:5" ht="30" x14ac:dyDescent="0.25">
      <c r="A102" s="885">
        <f>MAX($A$5:A101)+0.01</f>
        <v>6.0999999999999979</v>
      </c>
      <c r="B102" s="881" t="s">
        <v>1510</v>
      </c>
      <c r="C102" s="7" t="s">
        <v>1579</v>
      </c>
      <c r="D102" s="2"/>
      <c r="E102" s="2"/>
    </row>
    <row r="103" spans="1:5" x14ac:dyDescent="0.25">
      <c r="A103" s="885">
        <f>MAX($A$5:A102)+0.01</f>
        <v>6.1099999999999977</v>
      </c>
      <c r="B103" s="881"/>
      <c r="C103" s="7" t="s">
        <v>1545</v>
      </c>
      <c r="D103" s="2"/>
      <c r="E103" s="2"/>
    </row>
    <row r="104" spans="1:5" ht="30" x14ac:dyDescent="0.25">
      <c r="A104" s="885">
        <f>MAX($A$5:A103)+0.01</f>
        <v>6.1199999999999974</v>
      </c>
      <c r="B104" s="881"/>
      <c r="C104" s="7" t="s">
        <v>1580</v>
      </c>
      <c r="D104" s="2"/>
      <c r="E104" s="2"/>
    </row>
    <row r="105" spans="1:5" x14ac:dyDescent="0.25">
      <c r="A105" s="885">
        <f>MAX($A$5:A104)+0.01</f>
        <v>6.1299999999999972</v>
      </c>
      <c r="B105" s="881" t="s">
        <v>1510</v>
      </c>
      <c r="C105" s="7" t="s">
        <v>1357</v>
      </c>
      <c r="D105" s="2"/>
      <c r="E105" s="2"/>
    </row>
    <row r="106" spans="1:5" ht="30" x14ac:dyDescent="0.25">
      <c r="A106" s="885">
        <f>MAX($A$5:A105)+0.01</f>
        <v>6.139999999999997</v>
      </c>
      <c r="B106" s="881" t="s">
        <v>1510</v>
      </c>
      <c r="C106" s="7" t="s">
        <v>1581</v>
      </c>
      <c r="D106" s="2"/>
      <c r="E106" s="2"/>
    </row>
    <row r="107" spans="1:5" ht="30" x14ac:dyDescent="0.25">
      <c r="A107" s="885">
        <f>MAX($A$5:A106)+0.01</f>
        <v>6.1499999999999968</v>
      </c>
      <c r="B107" s="881"/>
      <c r="C107" s="7" t="s">
        <v>1582</v>
      </c>
      <c r="D107" s="2"/>
      <c r="E107" s="2"/>
    </row>
    <row r="108" spans="1:5" ht="30" x14ac:dyDescent="0.25">
      <c r="A108" s="885">
        <f>MAX($A$5:A107)+0.01</f>
        <v>6.1599999999999966</v>
      </c>
      <c r="B108" s="881"/>
      <c r="C108" s="7" t="s">
        <v>1601</v>
      </c>
      <c r="D108" s="2"/>
      <c r="E108" s="2"/>
    </row>
    <row r="109" spans="1:5" x14ac:dyDescent="0.25">
      <c r="A109" s="885"/>
      <c r="B109" s="881"/>
      <c r="C109" s="7"/>
      <c r="D109" s="2"/>
      <c r="E109" s="2"/>
    </row>
    <row r="110" spans="1:5" x14ac:dyDescent="0.25">
      <c r="A110" s="885"/>
      <c r="B110" s="881"/>
      <c r="C110" s="7"/>
      <c r="D110" s="2"/>
      <c r="E110" s="2"/>
    </row>
    <row r="111" spans="1:5" ht="18.75" x14ac:dyDescent="0.25">
      <c r="A111" s="885">
        <f>ROUNDUP(MAX($A$5:A110)+0.01,0)</f>
        <v>7</v>
      </c>
      <c r="B111" s="881"/>
      <c r="C111" s="277" t="s">
        <v>1548</v>
      </c>
      <c r="D111" s="2"/>
      <c r="E111" s="2"/>
    </row>
    <row r="112" spans="1:5" x14ac:dyDescent="0.25">
      <c r="A112" s="885">
        <f>MAX($A$5:A111)+0.01</f>
        <v>7.01</v>
      </c>
      <c r="B112" s="881"/>
      <c r="C112" s="279" t="s">
        <v>1370</v>
      </c>
      <c r="D112" s="2"/>
      <c r="E112" s="2"/>
    </row>
    <row r="113" spans="1:5" ht="60" x14ac:dyDescent="0.25">
      <c r="A113" s="885">
        <f>MAX($A$5:A112)+0.01</f>
        <v>7.02</v>
      </c>
      <c r="B113" s="881"/>
      <c r="C113" s="7" t="s">
        <v>1558</v>
      </c>
      <c r="D113" s="2"/>
      <c r="E113" s="2"/>
    </row>
    <row r="114" spans="1:5" ht="30" x14ac:dyDescent="0.25">
      <c r="A114" s="885">
        <f>MAX($A$5:A113)+0.01</f>
        <v>7.0299999999999994</v>
      </c>
      <c r="B114" s="881"/>
      <c r="C114" s="296" t="s">
        <v>1368</v>
      </c>
      <c r="D114" s="2"/>
      <c r="E114" s="2"/>
    </row>
    <row r="115" spans="1:5" ht="45" x14ac:dyDescent="0.25">
      <c r="A115" s="885">
        <f>MAX($A$5:A114)+0.01</f>
        <v>7.0399999999999991</v>
      </c>
      <c r="B115" s="881"/>
      <c r="C115" s="7" t="s">
        <v>1574</v>
      </c>
      <c r="D115" s="2"/>
      <c r="E115" s="2"/>
    </row>
    <row r="116" spans="1:5" ht="30" x14ac:dyDescent="0.25">
      <c r="A116" s="885">
        <f>MAX($A$5:A115)+0.01</f>
        <v>7.0499999999999989</v>
      </c>
      <c r="B116" s="881"/>
      <c r="C116" s="7" t="s">
        <v>1592</v>
      </c>
      <c r="D116" s="2"/>
      <c r="E116" s="2"/>
    </row>
    <row r="117" spans="1:5" ht="45" x14ac:dyDescent="0.25">
      <c r="A117" s="885">
        <f>MAX($A$5:A116)+0.01</f>
        <v>7.0599999999999987</v>
      </c>
      <c r="B117" s="881"/>
      <c r="C117" s="7" t="s">
        <v>1472</v>
      </c>
      <c r="D117" s="2"/>
      <c r="E117" s="2"/>
    </row>
    <row r="118" spans="1:5" x14ac:dyDescent="0.25">
      <c r="A118" s="885"/>
      <c r="B118" s="881"/>
      <c r="C118" s="7"/>
      <c r="D118" s="2"/>
      <c r="E118" s="2"/>
    </row>
    <row r="119" spans="1:5" x14ac:dyDescent="0.25">
      <c r="A119" s="885"/>
      <c r="B119" s="881"/>
      <c r="C119" s="7"/>
      <c r="D119" s="2"/>
      <c r="E119" s="2"/>
    </row>
    <row r="120" spans="1:5" ht="18.75" x14ac:dyDescent="0.25">
      <c r="A120" s="885">
        <f>ROUNDUP(MAX($A$5:A119)+0.01,0)</f>
        <v>8</v>
      </c>
      <c r="B120" s="881"/>
      <c r="C120" s="277" t="s">
        <v>1354</v>
      </c>
      <c r="D120" s="2"/>
      <c r="E120" s="2"/>
    </row>
    <row r="121" spans="1:5" x14ac:dyDescent="0.25">
      <c r="A121" s="885">
        <f>MAX($A$5:A120)+0.01</f>
        <v>8.01</v>
      </c>
      <c r="B121" s="881"/>
      <c r="C121" s="7" t="s">
        <v>1583</v>
      </c>
      <c r="D121" s="2"/>
      <c r="E121" s="2"/>
    </row>
    <row r="122" spans="1:5" x14ac:dyDescent="0.25">
      <c r="A122" s="885">
        <f>MAX($A$5:A121)+0.01</f>
        <v>8.02</v>
      </c>
      <c r="B122" s="881"/>
      <c r="C122" s="7" t="s">
        <v>1553</v>
      </c>
      <c r="D122" s="2"/>
      <c r="E122" s="2"/>
    </row>
    <row r="123" spans="1:5" x14ac:dyDescent="0.25">
      <c r="A123" s="885">
        <f>MAX($A$5:A122)+0.01</f>
        <v>8.0299999999999994</v>
      </c>
      <c r="B123" s="881"/>
      <c r="C123" s="7" t="s">
        <v>1552</v>
      </c>
      <c r="D123" s="2"/>
      <c r="E123" s="2"/>
    </row>
    <row r="124" spans="1:5" x14ac:dyDescent="0.25">
      <c r="A124" s="885">
        <f>MAX($A$5:A123)+0.01</f>
        <v>8.0399999999999991</v>
      </c>
      <c r="B124" s="881"/>
      <c r="C124" s="7" t="s">
        <v>1551</v>
      </c>
      <c r="D124" s="2"/>
      <c r="E124" s="2"/>
    </row>
    <row r="125" spans="1:5" ht="30" x14ac:dyDescent="0.25">
      <c r="A125" s="885">
        <f>MAX($A$5:A124)+0.01</f>
        <v>8.0499999999999989</v>
      </c>
      <c r="B125" s="881"/>
      <c r="C125" s="7" t="s">
        <v>1550</v>
      </c>
      <c r="D125" s="2"/>
      <c r="E125" s="2"/>
    </row>
    <row r="126" spans="1:5" x14ac:dyDescent="0.25">
      <c r="A126" s="885">
        <f>MAX($A$5:A125)+0.01</f>
        <v>8.0599999999999987</v>
      </c>
      <c r="B126" s="881"/>
      <c r="C126" s="7" t="s">
        <v>1554</v>
      </c>
      <c r="D126" s="2"/>
      <c r="E126" s="2"/>
    </row>
    <row r="127" spans="1:5" x14ac:dyDescent="0.25">
      <c r="A127" s="885">
        <f>MAX($A$5:A126)+0.01</f>
        <v>8.0699999999999985</v>
      </c>
      <c r="B127" s="881"/>
      <c r="C127" s="7" t="s">
        <v>1358</v>
      </c>
      <c r="D127" s="2"/>
      <c r="E127" s="2"/>
    </row>
    <row r="128" spans="1:5" x14ac:dyDescent="0.25">
      <c r="A128" s="885">
        <f>MAX($A$5:A127)+0.01</f>
        <v>8.0799999999999983</v>
      </c>
      <c r="B128" s="881"/>
      <c r="C128" s="7" t="s">
        <v>1555</v>
      </c>
      <c r="D128" s="2"/>
      <c r="E128" s="2"/>
    </row>
    <row r="129" spans="1:5" x14ac:dyDescent="0.25">
      <c r="A129" s="885">
        <f>MAX($A$5:A128)+0.01</f>
        <v>8.0899999999999981</v>
      </c>
      <c r="B129" s="881"/>
      <c r="C129" s="7" t="s">
        <v>1556</v>
      </c>
      <c r="D129" s="2"/>
      <c r="E129" s="2"/>
    </row>
    <row r="130" spans="1:5" x14ac:dyDescent="0.25">
      <c r="A130" s="885"/>
      <c r="B130" s="881"/>
      <c r="C130" s="7"/>
      <c r="D130" s="2"/>
      <c r="E130" s="2"/>
    </row>
    <row r="131" spans="1:5" x14ac:dyDescent="0.25">
      <c r="A131" s="885"/>
      <c r="B131" s="881"/>
      <c r="C131" s="7"/>
      <c r="D131" s="2"/>
      <c r="E131" s="2"/>
    </row>
    <row r="132" spans="1:5" ht="18.75" x14ac:dyDescent="0.25">
      <c r="A132" s="885">
        <f>ROUNDUP(MAX($A$5:A131)+0.01,0)</f>
        <v>9</v>
      </c>
      <c r="B132" s="881"/>
      <c r="C132" s="879" t="s">
        <v>1356</v>
      </c>
      <c r="D132" s="2"/>
      <c r="E132" s="2"/>
    </row>
    <row r="133" spans="1:5" ht="30" x14ac:dyDescent="0.25">
      <c r="A133" s="885">
        <f>MAX($A$5:A132)+0.01</f>
        <v>9.01</v>
      </c>
      <c r="B133" s="881" t="s">
        <v>1649</v>
      </c>
      <c r="C133" s="921" t="s">
        <v>1561</v>
      </c>
      <c r="D133" s="2"/>
      <c r="E133" s="2"/>
    </row>
    <row r="134" spans="1:5" ht="45" x14ac:dyDescent="0.25">
      <c r="A134" s="885">
        <f>MAX($A$5:A133)+0.01</f>
        <v>9.02</v>
      </c>
      <c r="B134" s="881"/>
      <c r="C134" s="7" t="s">
        <v>1564</v>
      </c>
      <c r="D134" s="2"/>
      <c r="E134" s="2"/>
    </row>
    <row r="135" spans="1:5" ht="60" x14ac:dyDescent="0.25">
      <c r="A135" s="885">
        <f>MAX($A$5:A134)+0.01</f>
        <v>9.0299999999999994</v>
      </c>
      <c r="B135" s="881"/>
      <c r="C135" s="7" t="s">
        <v>1565</v>
      </c>
      <c r="D135" s="2"/>
      <c r="E135" s="2"/>
    </row>
    <row r="136" spans="1:5" ht="30" x14ac:dyDescent="0.25">
      <c r="A136" s="885">
        <f>MAX($A$5:A135)+0.01</f>
        <v>9.0399999999999991</v>
      </c>
      <c r="B136" s="881"/>
      <c r="C136" s="7" t="s">
        <v>1562</v>
      </c>
      <c r="D136" s="2"/>
      <c r="E136" s="2"/>
    </row>
    <row r="137" spans="1:5" x14ac:dyDescent="0.25">
      <c r="A137" s="885">
        <f>MAX($A$5:A136)+0.01</f>
        <v>9.0499999999999989</v>
      </c>
      <c r="B137" s="881"/>
      <c r="C137" s="7" t="s">
        <v>1563</v>
      </c>
      <c r="D137" s="2"/>
      <c r="E137" s="2"/>
    </row>
    <row r="138" spans="1:5" x14ac:dyDescent="0.25">
      <c r="A138" s="885"/>
      <c r="B138" s="881"/>
      <c r="C138" s="7"/>
      <c r="D138" s="2"/>
      <c r="E138" s="2"/>
    </row>
    <row r="139" spans="1:5" x14ac:dyDescent="0.25">
      <c r="A139" s="885">
        <f>MAX($A$5:A138)+0.01</f>
        <v>9.0599999999999987</v>
      </c>
      <c r="B139" s="881"/>
      <c r="C139" s="279" t="s">
        <v>1360</v>
      </c>
      <c r="D139" s="2"/>
      <c r="E139" s="2"/>
    </row>
    <row r="140" spans="1:5" x14ac:dyDescent="0.25">
      <c r="A140" s="885">
        <f>MAX($A$5:A139)+0.01</f>
        <v>9.0699999999999985</v>
      </c>
      <c r="B140" s="881"/>
      <c r="C140" s="7" t="s">
        <v>1369</v>
      </c>
      <c r="D140" s="2"/>
      <c r="E140" s="2"/>
    </row>
    <row r="141" spans="1:5" x14ac:dyDescent="0.25">
      <c r="A141" s="885">
        <f>MAX($A$5:A140)+0.01</f>
        <v>9.0799999999999983</v>
      </c>
      <c r="B141" s="881"/>
      <c r="C141" s="7" t="s">
        <v>1362</v>
      </c>
      <c r="D141" s="2"/>
      <c r="E141" s="2"/>
    </row>
    <row r="142" spans="1:5" x14ac:dyDescent="0.25">
      <c r="A142" s="885">
        <f>MAX($A$5:A141)+0.01</f>
        <v>9.0899999999999981</v>
      </c>
      <c r="B142" s="881"/>
      <c r="C142" s="7" t="s">
        <v>1364</v>
      </c>
      <c r="D142" s="2"/>
      <c r="E142" s="2"/>
    </row>
    <row r="143" spans="1:5" x14ac:dyDescent="0.25">
      <c r="A143" s="885">
        <f>MAX($A$5:A142)+0.01</f>
        <v>9.0999999999999979</v>
      </c>
      <c r="B143" s="881"/>
      <c r="C143" s="7" t="s">
        <v>1365</v>
      </c>
      <c r="D143" s="2"/>
      <c r="E143" s="2"/>
    </row>
    <row r="144" spans="1:5" x14ac:dyDescent="0.25">
      <c r="A144" s="885">
        <f>MAX($A$5:A143)+0.01</f>
        <v>9.1099999999999977</v>
      </c>
      <c r="B144" s="881"/>
      <c r="C144" s="7" t="s">
        <v>1366</v>
      </c>
      <c r="D144" s="2"/>
      <c r="E144" s="2"/>
    </row>
    <row r="145" spans="1:5" x14ac:dyDescent="0.25">
      <c r="A145" s="885"/>
      <c r="B145" s="881"/>
      <c r="C145" s="7"/>
      <c r="D145" s="2"/>
      <c r="E145" s="2"/>
    </row>
    <row r="146" spans="1:5" x14ac:dyDescent="0.25">
      <c r="A146" s="885">
        <f>MAX($A$5:A145)+0.01</f>
        <v>9.1199999999999974</v>
      </c>
      <c r="B146" s="881"/>
      <c r="C146" s="279" t="s">
        <v>1361</v>
      </c>
      <c r="D146" s="2"/>
      <c r="E146" s="2"/>
    </row>
    <row r="147" spans="1:5" x14ac:dyDescent="0.25">
      <c r="A147" s="885">
        <f>MAX($A$5:A146)+0.01</f>
        <v>9.1299999999999972</v>
      </c>
      <c r="B147" s="881"/>
      <c r="C147" s="7" t="s">
        <v>1566</v>
      </c>
      <c r="D147" s="2"/>
      <c r="E147" s="2"/>
    </row>
    <row r="148" spans="1:5" x14ac:dyDescent="0.25">
      <c r="A148" s="885">
        <f>MAX($A$5:A147)+0.01</f>
        <v>9.139999999999997</v>
      </c>
      <c r="B148" s="881"/>
      <c r="C148" s="7" t="s">
        <v>1567</v>
      </c>
      <c r="D148" s="2"/>
      <c r="E148" s="2"/>
    </row>
    <row r="149" spans="1:5" ht="30" x14ac:dyDescent="0.25">
      <c r="A149" s="885">
        <f>MAX($A$5:A148)+0.01</f>
        <v>9.1499999999999968</v>
      </c>
      <c r="B149" s="881"/>
      <c r="C149" s="7" t="s">
        <v>1569</v>
      </c>
      <c r="D149" s="2"/>
      <c r="E149" s="2"/>
    </row>
    <row r="150" spans="1:5" x14ac:dyDescent="0.25">
      <c r="A150" s="885">
        <f>MAX($A$5:A149)+0.01</f>
        <v>9.1599999999999966</v>
      </c>
      <c r="B150" s="881"/>
      <c r="C150" s="7" t="s">
        <v>1363</v>
      </c>
      <c r="D150" s="2"/>
      <c r="E150" s="2"/>
    </row>
    <row r="151" spans="1:5" x14ac:dyDescent="0.25">
      <c r="A151" s="885">
        <f>MAX($A$5:A150)+0.01</f>
        <v>9.1699999999999964</v>
      </c>
      <c r="B151" s="881"/>
      <c r="C151" s="7" t="s">
        <v>1568</v>
      </c>
      <c r="D151" s="2"/>
      <c r="E151" s="2"/>
    </row>
    <row r="152" spans="1:5" x14ac:dyDescent="0.25">
      <c r="A152" s="885"/>
      <c r="B152" s="881"/>
      <c r="C152" s="7"/>
      <c r="D152" s="2"/>
      <c r="E152" s="2"/>
    </row>
    <row r="153" spans="1:5" ht="18.75" x14ac:dyDescent="0.25">
      <c r="A153" s="886">
        <f>ROUNDUP(MAX($A$5:A152)+0.01,0)</f>
        <v>10</v>
      </c>
      <c r="B153" s="263"/>
      <c r="C153" s="908" t="s">
        <v>1338</v>
      </c>
      <c r="D153" s="263"/>
      <c r="E153" s="263"/>
    </row>
    <row r="154" spans="1:5" x14ac:dyDescent="0.25">
      <c r="A154" s="885">
        <f>MAX($A$5:A153)+0.01</f>
        <v>10.01</v>
      </c>
      <c r="B154" s="881" t="s">
        <v>1510</v>
      </c>
      <c r="C154" s="7" t="s">
        <v>1546</v>
      </c>
      <c r="D154" s="2"/>
      <c r="E154" s="2"/>
    </row>
    <row r="155" spans="1:5" ht="30" x14ac:dyDescent="0.25">
      <c r="A155" s="885">
        <f>MAX($A$5:A154)+0.01</f>
        <v>10.02</v>
      </c>
      <c r="B155" s="881" t="s">
        <v>1510</v>
      </c>
      <c r="C155" s="7" t="s">
        <v>1573</v>
      </c>
      <c r="D155" s="2"/>
      <c r="E155" s="2"/>
    </row>
    <row r="156" spans="1:5" ht="45" x14ac:dyDescent="0.25">
      <c r="A156" s="885">
        <f>MAX($A$5:A155)+0.01</f>
        <v>10.029999999999999</v>
      </c>
      <c r="B156" s="881" t="s">
        <v>1510</v>
      </c>
      <c r="C156" s="7" t="s">
        <v>1529</v>
      </c>
      <c r="D156" s="2"/>
      <c r="E156" s="2"/>
    </row>
    <row r="157" spans="1:5" ht="45" x14ac:dyDescent="0.25">
      <c r="A157" s="885">
        <f>MAX($A$5:A156)+0.01</f>
        <v>10.039999999999999</v>
      </c>
      <c r="B157" s="881" t="s">
        <v>1510</v>
      </c>
      <c r="C157" s="13" t="s">
        <v>1499</v>
      </c>
      <c r="D157" s="2"/>
      <c r="E157" s="2"/>
    </row>
    <row r="158" spans="1:5" x14ac:dyDescent="0.25">
      <c r="A158" s="885">
        <f>MAX($A$5:A157)+0.01</f>
        <v>10.049999999999999</v>
      </c>
      <c r="B158" s="881" t="s">
        <v>1510</v>
      </c>
      <c r="C158" s="7" t="s">
        <v>802</v>
      </c>
      <c r="D158" s="2"/>
      <c r="E158" s="2"/>
    </row>
    <row r="159" spans="1:5" ht="30" x14ac:dyDescent="0.25">
      <c r="A159" s="885">
        <f>MAX($A$5:A158)+0.01</f>
        <v>10.059999999999999</v>
      </c>
      <c r="B159" s="881" t="s">
        <v>1510</v>
      </c>
      <c r="C159" s="7" t="s">
        <v>1578</v>
      </c>
      <c r="D159" s="2"/>
      <c r="E159" s="2"/>
    </row>
    <row r="160" spans="1:5" ht="30" x14ac:dyDescent="0.25">
      <c r="A160" s="885">
        <f>MAX($A$5:A159)+0.01</f>
        <v>10.069999999999999</v>
      </c>
      <c r="B160" s="881" t="s">
        <v>1510</v>
      </c>
      <c r="C160" s="7" t="s">
        <v>1579</v>
      </c>
      <c r="D160" s="2"/>
      <c r="E160" s="2"/>
    </row>
    <row r="161" spans="1:5" x14ac:dyDescent="0.25">
      <c r="A161" s="885">
        <f>MAX($A$5:A160)+0.01</f>
        <v>10.079999999999998</v>
      </c>
      <c r="B161" s="881" t="s">
        <v>1510</v>
      </c>
      <c r="C161" s="7" t="s">
        <v>1357</v>
      </c>
      <c r="D161" s="2"/>
      <c r="E161" s="2"/>
    </row>
    <row r="162" spans="1:5" ht="30" x14ac:dyDescent="0.25">
      <c r="A162" s="885">
        <f>MAX($A$5:A161)+0.01</f>
        <v>10.089999999999998</v>
      </c>
      <c r="B162" s="881" t="s">
        <v>1510</v>
      </c>
      <c r="C162" s="7" t="s">
        <v>1581</v>
      </c>
      <c r="D162" s="2"/>
      <c r="E162" s="2"/>
    </row>
    <row r="163" spans="1:5" x14ac:dyDescent="0.25">
      <c r="A163" s="885">
        <f>MAX($A$5:A162)+0.01</f>
        <v>10.099999999999998</v>
      </c>
      <c r="B163" s="881" t="s">
        <v>1510</v>
      </c>
      <c r="C163" s="7" t="s">
        <v>1473</v>
      </c>
      <c r="D163" s="2"/>
      <c r="E163" s="2"/>
    </row>
    <row r="164" spans="1:5" ht="30" x14ac:dyDescent="0.25">
      <c r="A164" s="885">
        <f>MAX($A$5:A163)+0.01</f>
        <v>10.109999999999998</v>
      </c>
      <c r="B164" s="881" t="s">
        <v>1510</v>
      </c>
      <c r="C164" s="7" t="s">
        <v>1500</v>
      </c>
      <c r="D164" s="2"/>
      <c r="E164" s="2"/>
    </row>
    <row r="165" spans="1:5" ht="45" x14ac:dyDescent="0.25">
      <c r="A165" s="885">
        <f>MAX($A$5:A164)+0.01</f>
        <v>10.119999999999997</v>
      </c>
      <c r="B165" s="881" t="s">
        <v>1510</v>
      </c>
      <c r="C165" s="7" t="s">
        <v>1594</v>
      </c>
      <c r="D165" s="2"/>
      <c r="E165" s="2"/>
    </row>
    <row r="166" spans="1:5" x14ac:dyDescent="0.25">
      <c r="A166" s="887"/>
      <c r="B166" s="881"/>
      <c r="C166" s="7"/>
      <c r="D166" s="2"/>
      <c r="E166" s="2"/>
    </row>
    <row r="167" spans="1:5" ht="21" x14ac:dyDescent="0.25">
      <c r="A167" s="877"/>
      <c r="B167" s="877"/>
      <c r="C167" s="878" t="s">
        <v>1490</v>
      </c>
      <c r="D167" s="877"/>
      <c r="E167" s="877"/>
    </row>
    <row r="168" spans="1:5" x14ac:dyDescent="0.25">
      <c r="A168" s="30"/>
      <c r="B168" s="30"/>
      <c r="C168" s="819" t="s">
        <v>1486</v>
      </c>
      <c r="D168" s="2"/>
      <c r="E168" s="2"/>
    </row>
    <row r="169" spans="1:5" ht="36" x14ac:dyDescent="0.25">
      <c r="A169" s="913" t="s">
        <v>1321</v>
      </c>
      <c r="B169" s="913" t="s">
        <v>0</v>
      </c>
      <c r="C169" s="913" t="s">
        <v>1</v>
      </c>
      <c r="D169" s="913" t="s">
        <v>899</v>
      </c>
      <c r="E169" s="914" t="s">
        <v>1557</v>
      </c>
    </row>
    <row r="170" spans="1:5" x14ac:dyDescent="0.25">
      <c r="A170" s="30">
        <v>1</v>
      </c>
      <c r="B170" s="2" t="s">
        <v>49</v>
      </c>
      <c r="C170" s="7" t="s">
        <v>48</v>
      </c>
      <c r="D170" s="2"/>
      <c r="E170" s="2"/>
    </row>
    <row r="171" spans="1:5" x14ac:dyDescent="0.25">
      <c r="A171" s="30">
        <v>2</v>
      </c>
      <c r="B171" s="2" t="s">
        <v>10</v>
      </c>
      <c r="C171" s="7" t="s">
        <v>11</v>
      </c>
      <c r="D171" s="2" t="s">
        <v>52</v>
      </c>
      <c r="E171" s="2"/>
    </row>
    <row r="172" spans="1:5" x14ac:dyDescent="0.25">
      <c r="A172" s="30">
        <v>3</v>
      </c>
      <c r="B172" s="2" t="s">
        <v>24</v>
      </c>
      <c r="C172" s="7" t="s">
        <v>25</v>
      </c>
      <c r="D172" s="2"/>
      <c r="E172" s="2"/>
    </row>
    <row r="173" spans="1:5" x14ac:dyDescent="0.25">
      <c r="A173" s="30">
        <v>4</v>
      </c>
      <c r="B173" s="2" t="s">
        <v>2</v>
      </c>
      <c r="C173" s="7" t="s">
        <v>3</v>
      </c>
      <c r="D173" s="2"/>
      <c r="E173" s="2"/>
    </row>
    <row r="174" spans="1:5" x14ac:dyDescent="0.25">
      <c r="A174" s="30">
        <v>5</v>
      </c>
      <c r="B174" s="2" t="s">
        <v>16</v>
      </c>
      <c r="C174" s="7" t="s">
        <v>17</v>
      </c>
      <c r="D174" s="2" t="s">
        <v>52</v>
      </c>
      <c r="E174" s="2"/>
    </row>
    <row r="175" spans="1:5" x14ac:dyDescent="0.25">
      <c r="A175" s="30">
        <v>6</v>
      </c>
      <c r="B175" s="2" t="s">
        <v>18</v>
      </c>
      <c r="C175" s="7" t="s">
        <v>19</v>
      </c>
      <c r="D175" s="2" t="s">
        <v>53</v>
      </c>
      <c r="E175" s="2"/>
    </row>
    <row r="176" spans="1:5" x14ac:dyDescent="0.25">
      <c r="A176" s="30">
        <v>7</v>
      </c>
      <c r="B176" s="2" t="s">
        <v>34</v>
      </c>
      <c r="C176" s="7" t="s">
        <v>35</v>
      </c>
      <c r="D176" s="2"/>
      <c r="E176" s="2"/>
    </row>
    <row r="177" spans="1:5" x14ac:dyDescent="0.25">
      <c r="A177" s="30">
        <v>8</v>
      </c>
      <c r="B177" s="2" t="s">
        <v>20</v>
      </c>
      <c r="C177" s="7" t="s">
        <v>21</v>
      </c>
      <c r="D177" s="2" t="s">
        <v>53</v>
      </c>
      <c r="E177" s="2" t="s">
        <v>1487</v>
      </c>
    </row>
    <row r="178" spans="1:5" x14ac:dyDescent="0.25">
      <c r="A178" s="30">
        <v>9</v>
      </c>
      <c r="B178" s="2" t="s">
        <v>22</v>
      </c>
      <c r="C178" s="7" t="s">
        <v>23</v>
      </c>
      <c r="D178" s="2" t="s">
        <v>54</v>
      </c>
      <c r="E178" s="2" t="s">
        <v>1487</v>
      </c>
    </row>
    <row r="179" spans="1:5" x14ac:dyDescent="0.25">
      <c r="A179" s="30">
        <v>10</v>
      </c>
      <c r="B179" s="2" t="s">
        <v>32</v>
      </c>
      <c r="C179" s="7" t="s">
        <v>33</v>
      </c>
      <c r="D179" s="2"/>
      <c r="E179" s="2"/>
    </row>
    <row r="180" spans="1:5" x14ac:dyDescent="0.25">
      <c r="A180" s="30">
        <v>11</v>
      </c>
      <c r="B180" s="2" t="s">
        <v>30</v>
      </c>
      <c r="C180" s="7" t="s">
        <v>31</v>
      </c>
      <c r="D180" s="2"/>
      <c r="E180" s="2" t="s">
        <v>1487</v>
      </c>
    </row>
    <row r="181" spans="1:5" x14ac:dyDescent="0.25">
      <c r="A181" s="30">
        <v>12</v>
      </c>
      <c r="B181" s="2" t="s">
        <v>6</v>
      </c>
      <c r="C181" s="7" t="s">
        <v>7</v>
      </c>
      <c r="D181" s="2" t="s">
        <v>52</v>
      </c>
      <c r="E181" s="2" t="s">
        <v>1487</v>
      </c>
    </row>
    <row r="182" spans="1:5" x14ac:dyDescent="0.25">
      <c r="A182" s="30">
        <v>13</v>
      </c>
      <c r="B182" s="2" t="s">
        <v>26</v>
      </c>
      <c r="C182" s="7" t="s">
        <v>27</v>
      </c>
      <c r="D182" s="2"/>
      <c r="E182" s="2" t="s">
        <v>1487</v>
      </c>
    </row>
    <row r="183" spans="1:5" x14ac:dyDescent="0.25">
      <c r="A183" s="30">
        <v>14</v>
      </c>
      <c r="B183" s="2" t="s">
        <v>4</v>
      </c>
      <c r="C183" s="7" t="s">
        <v>5</v>
      </c>
      <c r="D183" s="2"/>
      <c r="E183" s="2"/>
    </row>
    <row r="184" spans="1:5" x14ac:dyDescent="0.25">
      <c r="A184" s="30">
        <v>15</v>
      </c>
      <c r="B184" s="2" t="s">
        <v>28</v>
      </c>
      <c r="C184" s="7" t="s">
        <v>29</v>
      </c>
      <c r="D184" s="2"/>
      <c r="E184" s="2" t="s">
        <v>1487</v>
      </c>
    </row>
    <row r="185" spans="1:5" x14ac:dyDescent="0.25">
      <c r="A185" s="30">
        <v>16</v>
      </c>
      <c r="B185" s="2" t="s">
        <v>12</v>
      </c>
      <c r="C185" s="7" t="s">
        <v>13</v>
      </c>
      <c r="D185" s="2" t="s">
        <v>52</v>
      </c>
      <c r="E185" s="2"/>
    </row>
    <row r="186" spans="1:5" x14ac:dyDescent="0.25">
      <c r="A186" s="30">
        <v>17</v>
      </c>
      <c r="B186" s="2" t="s">
        <v>8</v>
      </c>
      <c r="C186" s="7" t="s">
        <v>9</v>
      </c>
      <c r="D186" s="2" t="s">
        <v>52</v>
      </c>
      <c r="E186" s="2"/>
    </row>
    <row r="187" spans="1:5" x14ac:dyDescent="0.25">
      <c r="A187" s="30">
        <v>18</v>
      </c>
      <c r="B187" s="2" t="s">
        <v>14</v>
      </c>
      <c r="C187" s="7" t="s">
        <v>15</v>
      </c>
      <c r="D187" s="2" t="s">
        <v>52</v>
      </c>
      <c r="E187" s="2"/>
    </row>
    <row r="188" spans="1:5" x14ac:dyDescent="0.25">
      <c r="A188" s="30">
        <v>19</v>
      </c>
      <c r="B188" s="2" t="s">
        <v>36</v>
      </c>
      <c r="C188" s="7" t="s">
        <v>37</v>
      </c>
      <c r="D188" s="2" t="s">
        <v>50</v>
      </c>
      <c r="E188" s="2"/>
    </row>
    <row r="189" spans="1:5" x14ac:dyDescent="0.25">
      <c r="A189" s="30">
        <v>20</v>
      </c>
      <c r="B189" s="2" t="s">
        <v>38</v>
      </c>
      <c r="C189" s="7" t="s">
        <v>39</v>
      </c>
      <c r="D189" s="2" t="s">
        <v>50</v>
      </c>
      <c r="E189" s="2"/>
    </row>
    <row r="190" spans="1:5" x14ac:dyDescent="0.25">
      <c r="A190" s="30"/>
      <c r="B190" s="2"/>
      <c r="C190" s="7"/>
      <c r="D190" s="2"/>
      <c r="E190" s="2"/>
    </row>
    <row r="191" spans="1:5" ht="21" x14ac:dyDescent="0.25">
      <c r="A191" s="909"/>
      <c r="B191" s="910"/>
      <c r="C191" s="911" t="s">
        <v>1489</v>
      </c>
      <c r="D191" s="910"/>
      <c r="E191" s="910"/>
    </row>
    <row r="192" spans="1:5" ht="30" x14ac:dyDescent="0.25">
      <c r="A192" s="30"/>
      <c r="B192" s="2"/>
      <c r="C192" s="7" t="s">
        <v>1511</v>
      </c>
      <c r="D192" s="2"/>
      <c r="E192" s="2"/>
    </row>
    <row r="193" spans="1:5" x14ac:dyDescent="0.25">
      <c r="A193" s="30"/>
      <c r="B193" s="2"/>
      <c r="C193" s="13" t="s">
        <v>1488</v>
      </c>
      <c r="D193" s="2"/>
      <c r="E193" s="2"/>
    </row>
    <row r="194" spans="1:5" ht="15.75" x14ac:dyDescent="0.25">
      <c r="A194" s="915"/>
      <c r="B194" s="918"/>
      <c r="C194" s="917" t="s">
        <v>1321</v>
      </c>
      <c r="D194" s="2"/>
      <c r="E194" s="2"/>
    </row>
    <row r="195" spans="1:5" ht="15.75" x14ac:dyDescent="0.25">
      <c r="A195" s="915"/>
      <c r="B195" s="918"/>
      <c r="C195" s="917" t="s">
        <v>1320</v>
      </c>
      <c r="D195" s="2"/>
      <c r="E195" s="2"/>
    </row>
    <row r="196" spans="1:5" ht="15.75" x14ac:dyDescent="0.25">
      <c r="A196" s="915"/>
      <c r="B196" s="918"/>
      <c r="C196" s="917" t="s">
        <v>1315</v>
      </c>
      <c r="D196" s="2"/>
      <c r="E196" s="2"/>
    </row>
    <row r="197" spans="1:5" ht="15.75" x14ac:dyDescent="0.25">
      <c r="A197" s="915"/>
      <c r="B197" s="918"/>
      <c r="C197" s="917" t="s">
        <v>1316</v>
      </c>
      <c r="D197" s="2"/>
      <c r="E197" s="2"/>
    </row>
    <row r="198" spans="1:5" ht="15.75" x14ac:dyDescent="0.25">
      <c r="A198" s="915"/>
      <c r="B198" s="918"/>
      <c r="C198" s="917" t="s">
        <v>1502</v>
      </c>
      <c r="D198" s="2"/>
      <c r="E198" s="2"/>
    </row>
    <row r="199" spans="1:5" ht="15.75" x14ac:dyDescent="0.25">
      <c r="A199" s="915"/>
      <c r="B199" s="918"/>
      <c r="C199" s="917" t="s">
        <v>1317</v>
      </c>
      <c r="D199" s="2"/>
      <c r="E199" s="2"/>
    </row>
    <row r="200" spans="1:5" ht="15.75" x14ac:dyDescent="0.25">
      <c r="A200" s="915"/>
      <c r="B200" s="918"/>
      <c r="C200" s="917" t="s">
        <v>1322</v>
      </c>
      <c r="D200" s="2"/>
      <c r="E200" s="2"/>
    </row>
    <row r="201" spans="1:5" ht="15.75" x14ac:dyDescent="0.25">
      <c r="A201" s="915"/>
      <c r="B201" s="918"/>
      <c r="C201" s="917" t="s">
        <v>1323</v>
      </c>
      <c r="D201" s="2"/>
      <c r="E201" s="2"/>
    </row>
    <row r="202" spans="1:5" ht="15.75" x14ac:dyDescent="0.25">
      <c r="A202" s="915"/>
      <c r="B202" s="918"/>
      <c r="C202" s="917" t="s">
        <v>1329</v>
      </c>
      <c r="D202" s="2"/>
      <c r="E202" s="2"/>
    </row>
    <row r="203" spans="1:5" ht="15.75" x14ac:dyDescent="0.25">
      <c r="A203" s="915"/>
      <c r="B203" s="918"/>
      <c r="C203" s="917" t="s">
        <v>1327</v>
      </c>
      <c r="D203" s="2"/>
      <c r="E203" s="2"/>
    </row>
    <row r="204" spans="1:5" ht="15.75" x14ac:dyDescent="0.25">
      <c r="A204" s="915"/>
      <c r="B204" s="918"/>
      <c r="C204" s="917" t="s">
        <v>1326</v>
      </c>
      <c r="D204" s="2"/>
      <c r="E204" s="2"/>
    </row>
    <row r="205" spans="1:5" ht="15.75" x14ac:dyDescent="0.25">
      <c r="A205" s="915"/>
      <c r="B205" s="918"/>
      <c r="C205" s="917" t="s">
        <v>1461</v>
      </c>
      <c r="D205" s="2"/>
      <c r="E205" s="2"/>
    </row>
    <row r="206" spans="1:5" ht="15.75" x14ac:dyDescent="0.25">
      <c r="A206" s="915"/>
      <c r="B206" s="918"/>
      <c r="C206" s="917" t="s">
        <v>55</v>
      </c>
      <c r="D206" s="2"/>
      <c r="E206" s="2"/>
    </row>
    <row r="207" spans="1:5" ht="15.75" x14ac:dyDescent="0.25">
      <c r="A207" s="915"/>
      <c r="B207" s="918"/>
      <c r="C207" s="917" t="s">
        <v>347</v>
      </c>
      <c r="D207" s="2"/>
      <c r="E207" s="2"/>
    </row>
    <row r="208" spans="1:5" ht="15.75" x14ac:dyDescent="0.25">
      <c r="A208" s="915"/>
      <c r="B208" s="918"/>
      <c r="C208" s="917" t="s">
        <v>65</v>
      </c>
      <c r="D208" s="2"/>
      <c r="E208" s="2"/>
    </row>
    <row r="209" spans="1:5" ht="15.75" x14ac:dyDescent="0.25">
      <c r="A209" s="915"/>
      <c r="B209" s="918"/>
      <c r="C209" s="917" t="s">
        <v>364</v>
      </c>
      <c r="D209" s="2"/>
      <c r="E209" s="2"/>
    </row>
    <row r="210" spans="1:5" ht="15.75" x14ac:dyDescent="0.25">
      <c r="A210" s="915"/>
      <c r="B210" s="918"/>
      <c r="C210" s="917" t="s">
        <v>66</v>
      </c>
      <c r="D210" s="2"/>
      <c r="E210" s="2"/>
    </row>
    <row r="211" spans="1:5" ht="15.75" x14ac:dyDescent="0.25">
      <c r="A211" s="915"/>
      <c r="B211" s="918"/>
      <c r="C211" s="917" t="s">
        <v>362</v>
      </c>
      <c r="D211" s="2"/>
      <c r="E211" s="2"/>
    </row>
    <row r="212" spans="1:5" ht="15.75" x14ac:dyDescent="0.25">
      <c r="A212" s="915"/>
      <c r="B212" s="918">
        <v>0</v>
      </c>
      <c r="C212" s="917" t="s">
        <v>64</v>
      </c>
      <c r="D212" s="2"/>
      <c r="E212" s="2"/>
    </row>
    <row r="213" spans="1:5" ht="15.75" x14ac:dyDescent="0.25">
      <c r="A213" s="915"/>
      <c r="B213" s="918"/>
      <c r="C213" s="917" t="s">
        <v>346</v>
      </c>
      <c r="D213" s="2"/>
      <c r="E213" s="2"/>
    </row>
    <row r="214" spans="1:5" ht="15.75" x14ac:dyDescent="0.25">
      <c r="A214" s="915"/>
      <c r="B214" s="918"/>
      <c r="C214" s="917" t="s">
        <v>1337</v>
      </c>
      <c r="D214" s="2"/>
      <c r="E214" s="2"/>
    </row>
    <row r="215" spans="1:5" ht="15.75" x14ac:dyDescent="0.25">
      <c r="A215" s="915"/>
      <c r="B215" s="918"/>
      <c r="C215" s="917" t="s">
        <v>65</v>
      </c>
      <c r="D215" s="2"/>
      <c r="E215" s="2"/>
    </row>
    <row r="216" spans="1:5" ht="15.75" x14ac:dyDescent="0.25">
      <c r="A216" s="915"/>
      <c r="B216" s="918" t="s">
        <v>1318</v>
      </c>
      <c r="C216" s="917" t="s">
        <v>1324</v>
      </c>
      <c r="D216" s="2"/>
      <c r="E216" s="2"/>
    </row>
    <row r="217" spans="1:5" ht="15.75" x14ac:dyDescent="0.25">
      <c r="A217" s="915"/>
      <c r="B217" s="918" t="s">
        <v>1318</v>
      </c>
      <c r="C217" s="917" t="s">
        <v>3</v>
      </c>
      <c r="D217" s="2"/>
      <c r="E217" s="2"/>
    </row>
    <row r="218" spans="1:5" ht="15.75" x14ac:dyDescent="0.25">
      <c r="A218" s="915"/>
      <c r="B218" s="918" t="s">
        <v>1318</v>
      </c>
      <c r="C218" s="917" t="s">
        <v>5</v>
      </c>
      <c r="D218" s="2"/>
      <c r="E218" s="2"/>
    </row>
    <row r="219" spans="1:5" ht="15.75" x14ac:dyDescent="0.25">
      <c r="A219" s="915"/>
      <c r="B219" s="918" t="s">
        <v>1318</v>
      </c>
      <c r="C219" s="917" t="s">
        <v>11</v>
      </c>
      <c r="D219" s="2"/>
      <c r="E219" s="2"/>
    </row>
    <row r="220" spans="1:5" ht="15.75" x14ac:dyDescent="0.25">
      <c r="A220" s="915"/>
      <c r="B220" s="918" t="s">
        <v>1318</v>
      </c>
      <c r="C220" s="917" t="s">
        <v>25</v>
      </c>
      <c r="D220" s="2"/>
      <c r="E220" s="2"/>
    </row>
    <row r="221" spans="1:5" ht="15.75" x14ac:dyDescent="0.25">
      <c r="A221" s="915"/>
      <c r="B221" s="918" t="s">
        <v>1318</v>
      </c>
      <c r="C221" s="917" t="s">
        <v>1011</v>
      </c>
      <c r="D221" s="2"/>
      <c r="E221" s="2"/>
    </row>
    <row r="222" spans="1:5" ht="15.75" x14ac:dyDescent="0.25">
      <c r="A222" s="915"/>
      <c r="B222" s="918" t="s">
        <v>1318</v>
      </c>
      <c r="C222" s="917" t="s">
        <v>19</v>
      </c>
      <c r="D222" s="2"/>
      <c r="E222" s="2"/>
    </row>
    <row r="223" spans="1:5" ht="15.75" x14ac:dyDescent="0.25">
      <c r="A223" s="915"/>
      <c r="B223" s="918" t="s">
        <v>1318</v>
      </c>
      <c r="C223" s="917" t="s">
        <v>35</v>
      </c>
      <c r="D223" s="2"/>
      <c r="E223" s="2"/>
    </row>
    <row r="224" spans="1:5" ht="31.5" x14ac:dyDescent="0.25">
      <c r="A224" s="915"/>
      <c r="B224" s="918" t="s">
        <v>1318</v>
      </c>
      <c r="C224" s="917" t="s">
        <v>902</v>
      </c>
      <c r="D224" s="2"/>
      <c r="E224" s="2"/>
    </row>
    <row r="225" spans="1:5" ht="15.75" x14ac:dyDescent="0.25">
      <c r="A225" s="915"/>
      <c r="B225" s="918" t="s">
        <v>1318</v>
      </c>
      <c r="C225" s="917" t="s">
        <v>21</v>
      </c>
      <c r="D225" s="2"/>
      <c r="E225" s="2"/>
    </row>
    <row r="226" spans="1:5" ht="15.75" x14ac:dyDescent="0.25">
      <c r="A226" s="915"/>
      <c r="B226" s="918" t="s">
        <v>1318</v>
      </c>
      <c r="C226" s="917" t="s">
        <v>23</v>
      </c>
      <c r="D226" s="2"/>
      <c r="E226" s="2"/>
    </row>
    <row r="227" spans="1:5" ht="15.75" x14ac:dyDescent="0.25">
      <c r="A227" s="915"/>
      <c r="B227" s="918" t="s">
        <v>1318</v>
      </c>
      <c r="C227" s="917" t="s">
        <v>33</v>
      </c>
      <c r="D227" s="2"/>
      <c r="E227" s="2"/>
    </row>
    <row r="228" spans="1:5" ht="15.75" x14ac:dyDescent="0.25">
      <c r="A228" s="915"/>
      <c r="B228" s="918" t="s">
        <v>1318</v>
      </c>
      <c r="C228" s="917" t="s">
        <v>31</v>
      </c>
      <c r="D228" s="2"/>
      <c r="E228" s="2"/>
    </row>
    <row r="229" spans="1:5" ht="15.75" x14ac:dyDescent="0.25">
      <c r="A229" s="915"/>
      <c r="B229" s="918" t="s">
        <v>1318</v>
      </c>
      <c r="C229" s="917" t="s">
        <v>7</v>
      </c>
      <c r="D229" s="2"/>
      <c r="E229" s="2"/>
    </row>
    <row r="230" spans="1:5" ht="15.75" x14ac:dyDescent="0.25">
      <c r="A230" s="915"/>
      <c r="B230" s="918" t="s">
        <v>1318</v>
      </c>
      <c r="C230" s="917" t="s">
        <v>27</v>
      </c>
      <c r="D230" s="2"/>
      <c r="E230" s="2"/>
    </row>
    <row r="231" spans="1:5" ht="15.75" x14ac:dyDescent="0.25">
      <c r="A231" s="915"/>
      <c r="B231" s="918" t="s">
        <v>1318</v>
      </c>
      <c r="C231" s="917" t="s">
        <v>29</v>
      </c>
      <c r="D231" s="2"/>
      <c r="E231" s="2"/>
    </row>
    <row r="232" spans="1:5" ht="15.75" x14ac:dyDescent="0.25">
      <c r="A232" s="915"/>
      <c r="B232" s="918" t="s">
        <v>1318</v>
      </c>
      <c r="C232" s="917" t="s">
        <v>13</v>
      </c>
      <c r="D232" s="2"/>
      <c r="E232" s="2"/>
    </row>
    <row r="233" spans="1:5" ht="15.75" x14ac:dyDescent="0.25">
      <c r="A233" s="915"/>
      <c r="B233" s="918" t="s">
        <v>1318</v>
      </c>
      <c r="C233" s="917" t="s">
        <v>9</v>
      </c>
      <c r="D233" s="2"/>
      <c r="E233" s="2"/>
    </row>
    <row r="234" spans="1:5" ht="15.75" x14ac:dyDescent="0.25">
      <c r="A234" s="915"/>
      <c r="B234" s="918" t="s">
        <v>1318</v>
      </c>
      <c r="C234" s="917" t="s">
        <v>15</v>
      </c>
      <c r="D234" s="2"/>
      <c r="E234" s="2"/>
    </row>
    <row r="235" spans="1:5" ht="15.75" x14ac:dyDescent="0.25">
      <c r="A235" s="915"/>
      <c r="B235" s="918" t="s">
        <v>1318</v>
      </c>
      <c r="C235" s="917" t="s">
        <v>37</v>
      </c>
      <c r="D235" s="2"/>
      <c r="E235" s="2"/>
    </row>
    <row r="236" spans="1:5" ht="15.75" x14ac:dyDescent="0.25">
      <c r="A236" s="915"/>
      <c r="B236" s="918" t="s">
        <v>1318</v>
      </c>
      <c r="C236" s="917" t="s">
        <v>39</v>
      </c>
      <c r="D236" s="2"/>
      <c r="E236" s="2"/>
    </row>
    <row r="237" spans="1:5" ht="15.75" x14ac:dyDescent="0.25">
      <c r="A237" s="915"/>
      <c r="B237" s="918" t="s">
        <v>1318</v>
      </c>
      <c r="C237" s="917"/>
      <c r="D237" s="2"/>
      <c r="E237" s="2"/>
    </row>
    <row r="238" spans="1:5" ht="15.75" x14ac:dyDescent="0.25">
      <c r="A238" s="915"/>
      <c r="B238" s="918" t="s">
        <v>1318</v>
      </c>
      <c r="C238" s="917"/>
      <c r="D238" s="2"/>
      <c r="E238" s="2"/>
    </row>
    <row r="239" spans="1:5" ht="15.75" x14ac:dyDescent="0.25">
      <c r="A239" s="915"/>
      <c r="B239" s="918" t="s">
        <v>1318</v>
      </c>
      <c r="C239" s="917"/>
      <c r="D239" s="2"/>
      <c r="E239" s="2"/>
    </row>
    <row r="240" spans="1:5" ht="15.75" x14ac:dyDescent="0.25">
      <c r="A240" s="915"/>
      <c r="B240" s="918" t="s">
        <v>1318</v>
      </c>
      <c r="C240" s="917"/>
      <c r="D240" s="2"/>
      <c r="E240" s="2"/>
    </row>
    <row r="241" spans="1:5" ht="15.75" x14ac:dyDescent="0.25">
      <c r="A241" s="915"/>
      <c r="B241" s="918" t="s">
        <v>1318</v>
      </c>
      <c r="C241" s="917"/>
      <c r="D241" s="2"/>
      <c r="E241" s="2"/>
    </row>
    <row r="242" spans="1:5" ht="15.75" hidden="1" outlineLevel="1" x14ac:dyDescent="0.25">
      <c r="A242" s="915"/>
      <c r="B242" s="918"/>
      <c r="C242" s="917"/>
      <c r="D242" s="2"/>
      <c r="E242" s="2"/>
    </row>
    <row r="243" spans="1:5" ht="15.75" hidden="1" outlineLevel="1" x14ac:dyDescent="0.25">
      <c r="A243" s="915"/>
      <c r="B243" s="918"/>
      <c r="C243" s="917"/>
      <c r="D243" s="2"/>
      <c r="E243" s="2"/>
    </row>
    <row r="244" spans="1:5" ht="15.75" collapsed="1" x14ac:dyDescent="0.25">
      <c r="A244" s="915"/>
      <c r="B244" s="918" t="s">
        <v>1318</v>
      </c>
      <c r="C244" s="917" t="s">
        <v>1331</v>
      </c>
      <c r="D244" s="2"/>
      <c r="E244" s="2"/>
    </row>
    <row r="245" spans="1:5" ht="15.75" x14ac:dyDescent="0.25">
      <c r="A245" s="915"/>
      <c r="B245" s="918"/>
      <c r="C245" s="917" t="s">
        <v>1332</v>
      </c>
      <c r="D245" s="2"/>
      <c r="E245" s="2"/>
    </row>
    <row r="246" spans="1:5" ht="15.75" hidden="1" outlineLevel="1" x14ac:dyDescent="0.25">
      <c r="A246" s="915"/>
      <c r="B246" s="918"/>
      <c r="C246" s="917"/>
      <c r="D246" s="2"/>
      <c r="E246" s="2"/>
    </row>
    <row r="247" spans="1:5" ht="15.75" collapsed="1" x14ac:dyDescent="0.25">
      <c r="A247" s="915"/>
      <c r="B247" s="918" t="s">
        <v>1318</v>
      </c>
      <c r="C247" s="917" t="s">
        <v>1333</v>
      </c>
      <c r="D247" s="2"/>
      <c r="E247" s="2"/>
    </row>
    <row r="248" spans="1:5" ht="15.75" x14ac:dyDescent="0.25">
      <c r="A248" s="915"/>
      <c r="B248" s="918"/>
      <c r="C248" s="917" t="s">
        <v>1334</v>
      </c>
      <c r="D248" s="2"/>
      <c r="E248" s="2"/>
    </row>
    <row r="249" spans="1:5" ht="15.75" hidden="1" outlineLevel="1" x14ac:dyDescent="0.25">
      <c r="A249" s="915"/>
      <c r="B249" s="918"/>
      <c r="C249" s="917"/>
      <c r="D249" s="2"/>
      <c r="E249" s="2"/>
    </row>
    <row r="250" spans="1:5" ht="15.75" collapsed="1" x14ac:dyDescent="0.25">
      <c r="A250" s="915"/>
      <c r="B250" s="918" t="s">
        <v>1336</v>
      </c>
      <c r="C250" s="917" t="s">
        <v>1335</v>
      </c>
      <c r="D250" s="2"/>
      <c r="E250" s="2"/>
    </row>
    <row r="251" spans="1:5" ht="15.75" x14ac:dyDescent="0.25">
      <c r="A251" s="915"/>
      <c r="B251" s="918" t="s">
        <v>1336</v>
      </c>
      <c r="C251" s="917" t="s">
        <v>1341</v>
      </c>
      <c r="D251" s="2"/>
      <c r="E251" s="2"/>
    </row>
    <row r="252" spans="1:5" ht="15.75" x14ac:dyDescent="0.25">
      <c r="A252" s="915"/>
      <c r="B252" s="918" t="s">
        <v>1336</v>
      </c>
      <c r="C252" s="917" t="s">
        <v>1340</v>
      </c>
      <c r="D252" s="2"/>
      <c r="E252" s="2"/>
    </row>
    <row r="253" spans="1:5" ht="15.75" x14ac:dyDescent="0.25">
      <c r="A253" s="915"/>
      <c r="B253" s="918" t="s">
        <v>1336</v>
      </c>
      <c r="C253" s="917" t="s">
        <v>1339</v>
      </c>
      <c r="D253" s="2"/>
      <c r="E253" s="2"/>
    </row>
    <row r="254" spans="1:5" ht="15.75" x14ac:dyDescent="0.25">
      <c r="A254" s="915"/>
      <c r="B254" s="918" t="s">
        <v>1336</v>
      </c>
      <c r="C254" s="917" t="s">
        <v>1443</v>
      </c>
      <c r="D254" s="2"/>
      <c r="E254" s="2"/>
    </row>
    <row r="255" spans="1:5" ht="15.75" x14ac:dyDescent="0.25">
      <c r="A255" s="915"/>
      <c r="B255" s="918" t="s">
        <v>1336</v>
      </c>
      <c r="C255" s="917" t="s">
        <v>1441</v>
      </c>
      <c r="D255" s="2"/>
      <c r="E255" s="2"/>
    </row>
    <row r="256" spans="1:5" ht="15.75" x14ac:dyDescent="0.25">
      <c r="A256" s="915"/>
      <c r="B256" s="918" t="s">
        <v>1336</v>
      </c>
      <c r="C256" s="917" t="s">
        <v>1442</v>
      </c>
      <c r="D256" s="2"/>
      <c r="E256" s="2"/>
    </row>
    <row r="257" spans="1:5" ht="15.75" x14ac:dyDescent="0.25">
      <c r="A257" s="915"/>
      <c r="B257" s="918"/>
      <c r="C257" s="917" t="s">
        <v>1342</v>
      </c>
      <c r="D257" s="2"/>
      <c r="E257" s="2"/>
    </row>
    <row r="258" spans="1:5" ht="15.75" x14ac:dyDescent="0.25">
      <c r="A258" s="915"/>
      <c r="B258" s="918" t="s">
        <v>1319</v>
      </c>
      <c r="C258" s="917" t="s">
        <v>48</v>
      </c>
      <c r="D258" s="2"/>
      <c r="E258" s="2"/>
    </row>
    <row r="259" spans="1:5" ht="15.75" x14ac:dyDescent="0.25">
      <c r="A259" s="915"/>
      <c r="B259" s="918" t="s">
        <v>1319</v>
      </c>
      <c r="C259" s="917" t="s">
        <v>3</v>
      </c>
      <c r="D259" s="2"/>
      <c r="E259" s="2"/>
    </row>
    <row r="260" spans="1:5" ht="15.75" x14ac:dyDescent="0.25">
      <c r="A260" s="915"/>
      <c r="B260" s="918" t="s">
        <v>1319</v>
      </c>
      <c r="C260" s="917" t="s">
        <v>5</v>
      </c>
      <c r="D260" s="2"/>
      <c r="E260" s="2"/>
    </row>
    <row r="261" spans="1:5" ht="15.75" x14ac:dyDescent="0.25">
      <c r="A261" s="915"/>
      <c r="B261" s="918" t="s">
        <v>1319</v>
      </c>
      <c r="C261" s="917" t="s">
        <v>11</v>
      </c>
      <c r="D261" s="2"/>
      <c r="E261" s="2"/>
    </row>
    <row r="262" spans="1:5" ht="15.75" x14ac:dyDescent="0.25">
      <c r="A262" s="915"/>
      <c r="B262" s="918" t="s">
        <v>1319</v>
      </c>
      <c r="C262" s="917" t="s">
        <v>25</v>
      </c>
      <c r="D262" s="2"/>
      <c r="E262" s="2"/>
    </row>
    <row r="263" spans="1:5" ht="15.75" x14ac:dyDescent="0.25">
      <c r="A263" s="915"/>
      <c r="B263" s="918" t="s">
        <v>1319</v>
      </c>
      <c r="C263" s="917" t="s">
        <v>1011</v>
      </c>
      <c r="D263" s="2"/>
      <c r="E263" s="2"/>
    </row>
    <row r="264" spans="1:5" ht="15.75" x14ac:dyDescent="0.25">
      <c r="A264" s="915"/>
      <c r="B264" s="918" t="s">
        <v>1319</v>
      </c>
      <c r="C264" s="917" t="s">
        <v>19</v>
      </c>
      <c r="D264" s="2"/>
      <c r="E264" s="2"/>
    </row>
    <row r="265" spans="1:5" ht="15.75" x14ac:dyDescent="0.25">
      <c r="A265" s="915"/>
      <c r="B265" s="918" t="s">
        <v>1319</v>
      </c>
      <c r="C265" s="917" t="s">
        <v>35</v>
      </c>
      <c r="D265" s="2"/>
      <c r="E265" s="2"/>
    </row>
    <row r="266" spans="1:5" ht="31.5" x14ac:dyDescent="0.25">
      <c r="A266" s="915"/>
      <c r="B266" s="918" t="s">
        <v>1319</v>
      </c>
      <c r="C266" s="917" t="s">
        <v>902</v>
      </c>
      <c r="D266" s="2"/>
      <c r="E266" s="2"/>
    </row>
    <row r="267" spans="1:5" ht="15.75" x14ac:dyDescent="0.25">
      <c r="A267" s="915"/>
      <c r="B267" s="918" t="s">
        <v>1319</v>
      </c>
      <c r="C267" s="917" t="s">
        <v>21</v>
      </c>
      <c r="D267" s="2"/>
      <c r="E267" s="2"/>
    </row>
    <row r="268" spans="1:5" ht="15.75" x14ac:dyDescent="0.25">
      <c r="A268" s="915"/>
      <c r="B268" s="918" t="s">
        <v>1319</v>
      </c>
      <c r="C268" s="916" t="s">
        <v>23</v>
      </c>
      <c r="D268" s="2"/>
      <c r="E268" s="2"/>
    </row>
    <row r="269" spans="1:5" ht="15.75" x14ac:dyDescent="0.25">
      <c r="A269" s="915"/>
      <c r="B269" s="918" t="s">
        <v>1319</v>
      </c>
      <c r="C269" s="916" t="s">
        <v>33</v>
      </c>
      <c r="D269" s="2"/>
      <c r="E269" s="2"/>
    </row>
    <row r="270" spans="1:5" ht="15.75" x14ac:dyDescent="0.25">
      <c r="A270" s="915"/>
      <c r="B270" s="918" t="s">
        <v>1319</v>
      </c>
      <c r="C270" s="916" t="s">
        <v>31</v>
      </c>
      <c r="D270" s="2"/>
      <c r="E270" s="2"/>
    </row>
    <row r="271" spans="1:5" ht="15.75" x14ac:dyDescent="0.25">
      <c r="A271" s="915"/>
      <c r="B271" s="918" t="s">
        <v>1319</v>
      </c>
      <c r="C271" s="916" t="s">
        <v>7</v>
      </c>
      <c r="D271" s="2"/>
      <c r="E271" s="2"/>
    </row>
    <row r="272" spans="1:5" ht="15.75" x14ac:dyDescent="0.25">
      <c r="A272" s="915"/>
      <c r="B272" s="918" t="s">
        <v>1319</v>
      </c>
      <c r="C272" s="916" t="s">
        <v>27</v>
      </c>
      <c r="D272" s="2"/>
      <c r="E272" s="2"/>
    </row>
    <row r="273" spans="1:5" ht="15.75" x14ac:dyDescent="0.25">
      <c r="A273" s="915"/>
      <c r="B273" s="918" t="s">
        <v>1319</v>
      </c>
      <c r="C273" s="916" t="s">
        <v>29</v>
      </c>
      <c r="D273" s="2"/>
      <c r="E273" s="2"/>
    </row>
    <row r="274" spans="1:5" ht="15.75" x14ac:dyDescent="0.25">
      <c r="A274" s="915"/>
      <c r="B274" s="918" t="s">
        <v>1319</v>
      </c>
      <c r="C274" s="916" t="s">
        <v>13</v>
      </c>
      <c r="D274" s="2"/>
      <c r="E274" s="2"/>
    </row>
    <row r="275" spans="1:5" ht="15.75" x14ac:dyDescent="0.25">
      <c r="A275" s="915"/>
      <c r="B275" s="918" t="s">
        <v>1319</v>
      </c>
      <c r="C275" s="916" t="s">
        <v>9</v>
      </c>
      <c r="D275" s="2"/>
      <c r="E275" s="2"/>
    </row>
    <row r="276" spans="1:5" ht="15.75" x14ac:dyDescent="0.25">
      <c r="A276" s="915"/>
      <c r="B276" s="918" t="s">
        <v>1319</v>
      </c>
      <c r="C276" s="916" t="s">
        <v>15</v>
      </c>
      <c r="D276" s="2"/>
      <c r="E276" s="2"/>
    </row>
    <row r="277" spans="1:5" ht="15.75" x14ac:dyDescent="0.25">
      <c r="A277" s="915"/>
      <c r="B277" s="918" t="s">
        <v>1319</v>
      </c>
      <c r="C277" s="916" t="s">
        <v>37</v>
      </c>
      <c r="D277" s="2"/>
      <c r="E277" s="2"/>
    </row>
    <row r="278" spans="1:5" ht="15.75" x14ac:dyDescent="0.25">
      <c r="A278" s="915"/>
      <c r="B278" s="918" t="s">
        <v>1319</v>
      </c>
      <c r="C278" s="916" t="s">
        <v>39</v>
      </c>
      <c r="D278" s="2"/>
      <c r="E278" s="2"/>
    </row>
    <row r="279" spans="1:5" ht="15.75" x14ac:dyDescent="0.25">
      <c r="A279" s="915"/>
      <c r="B279" s="918" t="s">
        <v>1319</v>
      </c>
      <c r="C279" s="916" t="s">
        <v>1343</v>
      </c>
      <c r="D279" s="2"/>
      <c r="E279" s="2"/>
    </row>
    <row r="280" spans="1:5" ht="15.75" x14ac:dyDescent="0.25">
      <c r="A280" s="915"/>
      <c r="B280" s="918" t="s">
        <v>1319</v>
      </c>
      <c r="C280" s="916" t="s">
        <v>1343</v>
      </c>
      <c r="D280" s="2"/>
      <c r="E280" s="2"/>
    </row>
    <row r="281" spans="1:5" ht="15.75" x14ac:dyDescent="0.25">
      <c r="A281" s="915"/>
      <c r="B281" s="918" t="s">
        <v>1319</v>
      </c>
      <c r="C281" s="916" t="s">
        <v>1343</v>
      </c>
      <c r="D281" s="2"/>
      <c r="E281" s="2"/>
    </row>
    <row r="282" spans="1:5" ht="15.75" x14ac:dyDescent="0.25">
      <c r="A282" s="915"/>
      <c r="B282" s="918" t="s">
        <v>1319</v>
      </c>
      <c r="C282" s="916" t="s">
        <v>1343</v>
      </c>
      <c r="D282" s="2"/>
      <c r="E282" s="2"/>
    </row>
    <row r="283" spans="1:5" ht="15.75" x14ac:dyDescent="0.25">
      <c r="A283" s="915"/>
      <c r="B283" s="918" t="s">
        <v>1319</v>
      </c>
      <c r="C283" s="916" t="s">
        <v>1343</v>
      </c>
      <c r="D283" s="2"/>
      <c r="E283" s="2"/>
    </row>
    <row r="284" spans="1:5" x14ac:dyDescent="0.25">
      <c r="A284" s="30"/>
      <c r="B284" s="2"/>
      <c r="C284" s="2"/>
      <c r="D284" s="2"/>
      <c r="E284" s="2"/>
    </row>
    <row r="285" spans="1:5" ht="21" x14ac:dyDescent="0.25">
      <c r="A285" s="877"/>
      <c r="B285" s="877"/>
      <c r="C285" s="878" t="s">
        <v>837</v>
      </c>
      <c r="D285" s="877"/>
      <c r="E285" s="2"/>
    </row>
    <row r="286" spans="1:5" x14ac:dyDescent="0.25">
      <c r="A286" s="884">
        <v>1</v>
      </c>
      <c r="B286" s="875" t="s">
        <v>363</v>
      </c>
      <c r="C286" s="7" t="s">
        <v>1474</v>
      </c>
      <c r="D286" s="2"/>
      <c r="E286" s="2"/>
    </row>
    <row r="287" spans="1:5" ht="45" x14ac:dyDescent="0.25">
      <c r="A287" s="884">
        <f>MAX($A$286:A286)+1</f>
        <v>2</v>
      </c>
      <c r="B287" s="875" t="s">
        <v>744</v>
      </c>
      <c r="C287" s="7" t="s">
        <v>1503</v>
      </c>
      <c r="D287" s="2"/>
      <c r="E287" s="2"/>
    </row>
    <row r="288" spans="1:5" x14ac:dyDescent="0.25">
      <c r="A288" s="884">
        <f>MAX($A$286:A287)+1</f>
        <v>3</v>
      </c>
      <c r="B288" s="881"/>
      <c r="C288" s="7" t="s">
        <v>1475</v>
      </c>
      <c r="D288" s="2"/>
      <c r="E288" s="2"/>
    </row>
    <row r="289" spans="1:5" x14ac:dyDescent="0.25">
      <c r="A289" s="884">
        <f>MAX($A$286:A288)+1</f>
        <v>4</v>
      </c>
      <c r="B289" s="881"/>
      <c r="C289" s="7" t="s">
        <v>1560</v>
      </c>
      <c r="D289" s="2"/>
      <c r="E289" s="2"/>
    </row>
    <row r="290" spans="1:5" ht="30" x14ac:dyDescent="0.25">
      <c r="A290" s="884">
        <f>MAX($A$286:A289)+1</f>
        <v>5</v>
      </c>
      <c r="B290" s="881"/>
      <c r="C290" s="7" t="s">
        <v>1505</v>
      </c>
      <c r="D290" s="2"/>
      <c r="E290" s="2"/>
    </row>
    <row r="291" spans="1:5" x14ac:dyDescent="0.25">
      <c r="A291" s="884">
        <f>MAX($A$286:A290)+1</f>
        <v>6</v>
      </c>
      <c r="B291" s="881"/>
      <c r="C291" s="7" t="s">
        <v>1533</v>
      </c>
      <c r="D291" s="2"/>
      <c r="E291" s="2"/>
    </row>
    <row r="292" spans="1:5" x14ac:dyDescent="0.25">
      <c r="A292" s="884">
        <f>MAX($A$286:A291)+1</f>
        <v>7</v>
      </c>
      <c r="B292" s="881"/>
      <c r="C292" s="7" t="s">
        <v>1534</v>
      </c>
      <c r="D292" s="2"/>
      <c r="E292" s="2"/>
    </row>
    <row r="293" spans="1:5" ht="45" x14ac:dyDescent="0.25">
      <c r="A293" s="884">
        <f>MAX($A$286:A292)+1</f>
        <v>8</v>
      </c>
      <c r="B293" s="881" t="s">
        <v>1539</v>
      </c>
      <c r="C293" s="13" t="s">
        <v>1574</v>
      </c>
      <c r="D293" s="2"/>
      <c r="E293" s="2"/>
    </row>
    <row r="294" spans="1:5" x14ac:dyDescent="0.25">
      <c r="A294" s="884">
        <f>MAX($A$286:A293)+1</f>
        <v>9</v>
      </c>
      <c r="B294" s="881"/>
      <c r="C294" s="7" t="s">
        <v>1584</v>
      </c>
      <c r="D294" s="2"/>
      <c r="E294" s="2"/>
    </row>
    <row r="295" spans="1:5" x14ac:dyDescent="0.25">
      <c r="A295" s="884">
        <f>MAX($A$286:A294)+1</f>
        <v>10</v>
      </c>
      <c r="B295" s="881"/>
      <c r="C295" s="7" t="s">
        <v>1501</v>
      </c>
      <c r="D295" s="2"/>
      <c r="E295" s="2"/>
    </row>
    <row r="296" spans="1:5" ht="45" x14ac:dyDescent="0.25">
      <c r="A296" s="884">
        <f>MAX($A$286:A295)+1</f>
        <v>11</v>
      </c>
      <c r="B296" s="881"/>
      <c r="C296" s="7" t="s">
        <v>1544</v>
      </c>
      <c r="D296" s="2"/>
      <c r="E296" s="2"/>
    </row>
    <row r="297" spans="1:5" ht="30" x14ac:dyDescent="0.25">
      <c r="A297" s="884">
        <f>MAX($A$286:A296)+1</f>
        <v>12</v>
      </c>
      <c r="B297" s="881"/>
      <c r="C297" s="7" t="s">
        <v>1559</v>
      </c>
      <c r="D297" s="2"/>
      <c r="E297" s="2"/>
    </row>
    <row r="298" spans="1:5" x14ac:dyDescent="0.25">
      <c r="A298" s="884">
        <f>MAX($A$286:A297)+1</f>
        <v>13</v>
      </c>
      <c r="B298" s="881"/>
      <c r="C298" s="7" t="s">
        <v>1549</v>
      </c>
      <c r="D298" s="2"/>
      <c r="E298" s="2"/>
    </row>
    <row r="299" spans="1:5" x14ac:dyDescent="0.25">
      <c r="A299" s="884">
        <f>MAX($A$286:A298)+1</f>
        <v>14</v>
      </c>
      <c r="B299" s="881"/>
      <c r="C299" s="7" t="s">
        <v>1585</v>
      </c>
      <c r="D299" s="2"/>
      <c r="E299" s="2"/>
    </row>
    <row r="300" spans="1:5" x14ac:dyDescent="0.25">
      <c r="A300" s="884">
        <f>MAX($A$286:A299)+1</f>
        <v>15</v>
      </c>
      <c r="B300" s="881"/>
      <c r="C300" s="2" t="s">
        <v>1650</v>
      </c>
      <c r="D300" s="2"/>
      <c r="E300" s="2"/>
    </row>
    <row r="301" spans="1:5" x14ac:dyDescent="0.25">
      <c r="A301" s="884">
        <f>MAX($A$286:A300)+1</f>
        <v>16</v>
      </c>
      <c r="B301" s="881"/>
      <c r="C301" s="2" t="s">
        <v>1355</v>
      </c>
      <c r="D301" s="2"/>
      <c r="E301" s="2"/>
    </row>
    <row r="302" spans="1:5" x14ac:dyDescent="0.25">
      <c r="A302" s="884">
        <f>MAX($A$286:A301)+1</f>
        <v>17</v>
      </c>
      <c r="B302" s="881"/>
      <c r="C302" s="2" t="s">
        <v>1602</v>
      </c>
      <c r="D302" s="2"/>
      <c r="E302" s="2"/>
    </row>
    <row r="303" spans="1:5" x14ac:dyDescent="0.25">
      <c r="A303" s="884">
        <f>MAX($A$286:A302)+1</f>
        <v>18</v>
      </c>
      <c r="B303" s="881"/>
      <c r="C303" s="2" t="s">
        <v>1596</v>
      </c>
      <c r="D303" s="2"/>
      <c r="E303" s="2"/>
    </row>
    <row r="304" spans="1:5" x14ac:dyDescent="0.25">
      <c r="A304" s="884">
        <f>MAX($A$286:A303)+1</f>
        <v>19</v>
      </c>
      <c r="C304" s="2" t="s">
        <v>1597</v>
      </c>
    </row>
    <row r="305" spans="1:3" x14ac:dyDescent="0.25">
      <c r="A305" s="884">
        <f>MAX($A$286:A304)+1</f>
        <v>20</v>
      </c>
      <c r="C305" s="2" t="s">
        <v>1603</v>
      </c>
    </row>
  </sheetData>
  <printOptions horizontalCentered="1"/>
  <pageMargins left="0.51181102362204722" right="0.31496062992125984" top="0.55118110236220474" bottom="0.35433070866141736" header="0.11811023622047245" footer="0.11811023622047245"/>
  <pageSetup paperSize="9" scale="88" fitToHeight="0" orientation="landscape" r:id="rId1"/>
  <headerFooter>
    <oddHeader>&amp;RDepartment of Health</oddHeader>
    <oddFooter>&amp;L&amp;D &amp;T&amp;CPage &amp;P of &amp;N&amp;R&amp;F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2"/>
    <pageSetUpPr fitToPage="1"/>
  </sheetPr>
  <dimension ref="A1:L59"/>
  <sheetViews>
    <sheetView zoomScaleNormal="100" workbookViewId="0">
      <selection activeCell="G5" sqref="G4:G5"/>
    </sheetView>
  </sheetViews>
  <sheetFormatPr defaultColWidth="9" defaultRowHeight="12.75" outlineLevelRow="1" outlineLevelCol="1" x14ac:dyDescent="0.2"/>
  <cols>
    <col min="1" max="1" width="8.42578125" style="59" customWidth="1"/>
    <col min="2" max="2" width="22.42578125" style="59" bestFit="1" customWidth="1"/>
    <col min="3" max="3" width="23.42578125" style="59" customWidth="1"/>
    <col min="4" max="4" width="13.140625" style="59" customWidth="1" outlineLevel="1"/>
    <col min="5" max="5" width="9" style="59" customWidth="1"/>
    <col min="6" max="6" width="21.5703125" style="59" customWidth="1"/>
    <col min="7" max="7" width="13.85546875" style="59" customWidth="1" outlineLevel="1"/>
    <col min="8" max="8" width="9" style="59" customWidth="1"/>
    <col min="9" max="9" width="21.85546875" style="59" customWidth="1"/>
    <col min="10" max="10" width="12.85546875" style="59" customWidth="1" outlineLevel="1"/>
    <col min="11" max="16384" width="9" style="59"/>
  </cols>
  <sheetData>
    <row r="1" spans="1:12" ht="14.65" customHeight="1" x14ac:dyDescent="0.2">
      <c r="A1" s="304" t="str">
        <f>Update!$B$6</f>
        <v>Department of Health</v>
      </c>
      <c r="B1" s="312"/>
      <c r="C1" s="47"/>
      <c r="D1" s="312"/>
      <c r="E1" s="312"/>
      <c r="F1" s="312"/>
      <c r="G1" s="312"/>
      <c r="H1" s="312"/>
      <c r="I1" s="312"/>
      <c r="J1" s="312"/>
      <c r="K1" s="312"/>
    </row>
    <row r="2" spans="1:12" x14ac:dyDescent="0.2">
      <c r="A2" s="304" t="s">
        <v>911</v>
      </c>
      <c r="B2" s="306"/>
      <c r="C2" s="47"/>
      <c r="D2" s="62"/>
      <c r="E2" s="62"/>
      <c r="F2" s="62"/>
      <c r="G2" s="62"/>
      <c r="H2" s="62"/>
      <c r="I2" s="62"/>
      <c r="J2" s="62"/>
      <c r="K2" s="62"/>
    </row>
    <row r="3" spans="1:12" x14ac:dyDescent="0.2">
      <c r="A3" s="304" t="str">
        <f>Update!$A$3</f>
        <v>2025-26</v>
      </c>
      <c r="B3" s="62"/>
      <c r="C3" s="47"/>
      <c r="D3" s="62"/>
      <c r="E3" s="62"/>
      <c r="F3" s="62"/>
      <c r="G3" s="62"/>
      <c r="H3" s="62"/>
      <c r="I3" s="62"/>
      <c r="J3" s="62"/>
      <c r="K3" s="62"/>
    </row>
    <row r="4" spans="1:12" x14ac:dyDescent="0.2">
      <c r="A4" s="62"/>
      <c r="B4" s="306"/>
      <c r="C4" s="62"/>
      <c r="D4" s="62"/>
      <c r="E4" s="62"/>
      <c r="F4" s="62"/>
      <c r="G4" s="62"/>
      <c r="H4" s="62"/>
      <c r="I4" s="62"/>
      <c r="J4" s="62"/>
      <c r="K4" s="62"/>
    </row>
    <row r="5" spans="1:12" x14ac:dyDescent="0.2">
      <c r="A5" s="62" t="s">
        <v>1834</v>
      </c>
      <c r="B5" s="307"/>
      <c r="L5" s="47"/>
    </row>
    <row r="6" spans="1:12" x14ac:dyDescent="0.2">
      <c r="L6" s="47"/>
    </row>
    <row r="8" spans="1:12" ht="30" customHeight="1" x14ac:dyDescent="0.2">
      <c r="B8" s="63" t="s">
        <v>935</v>
      </c>
      <c r="C8" s="1911" t="s">
        <v>403</v>
      </c>
      <c r="D8" s="1911"/>
      <c r="F8" s="1911" t="s">
        <v>404</v>
      </c>
      <c r="G8" s="1911"/>
      <c r="I8" s="1911" t="s">
        <v>405</v>
      </c>
      <c r="J8" s="1911"/>
    </row>
    <row r="9" spans="1:12" x14ac:dyDescent="0.2">
      <c r="B9" s="63"/>
      <c r="C9" s="132">
        <f>Update!$B$38</f>
        <v>2026</v>
      </c>
      <c r="D9" s="132">
        <f>Update!$B$37</f>
        <v>2025</v>
      </c>
      <c r="F9" s="132">
        <f>C9</f>
        <v>2026</v>
      </c>
      <c r="G9" s="132">
        <f>D9</f>
        <v>2025</v>
      </c>
      <c r="I9" s="132">
        <f>C9</f>
        <v>2026</v>
      </c>
      <c r="J9" s="132">
        <f>D9</f>
        <v>2025</v>
      </c>
    </row>
    <row r="11" spans="1:12" x14ac:dyDescent="0.2">
      <c r="B11" s="61" t="s">
        <v>892</v>
      </c>
      <c r="C11" s="1114">
        <f>SUMIF(MAP!$E$1967:$E$1978,'A - Compensation packages'!$B11,MAP!$N$1967:$N$1978)</f>
        <v>0</v>
      </c>
      <c r="D11" s="1115">
        <v>0</v>
      </c>
      <c r="E11" s="1116"/>
      <c r="F11" s="1114">
        <f>SUMIF(MAP!$E$1979:$E$1990,'A - Compensation packages'!$B11,MAP!$N$1979:$N$1990)</f>
        <v>0</v>
      </c>
      <c r="G11" s="1115">
        <v>0</v>
      </c>
      <c r="H11" s="1116"/>
      <c r="I11" s="762">
        <f t="shared" ref="I11:I20" si="0">+C11+F11</f>
        <v>0</v>
      </c>
      <c r="J11" s="762">
        <f t="shared" ref="J11:J20" si="1">+D11+G11</f>
        <v>0</v>
      </c>
    </row>
    <row r="12" spans="1:12" x14ac:dyDescent="0.2">
      <c r="B12" s="62" t="s">
        <v>396</v>
      </c>
      <c r="C12" s="1114">
        <f>SUMIF(MAP!$E$1967:$E$1978,'A - Compensation packages'!$B12,MAP!$N$1967:$N$1978)</f>
        <v>0</v>
      </c>
      <c r="D12" s="1115">
        <v>0</v>
      </c>
      <c r="E12" s="1116"/>
      <c r="F12" s="1114">
        <f>SUMIF(MAP!$E$1979:$E$1990,'A - Compensation packages'!$B12,MAP!$N$1979:$N$1990)</f>
        <v>0</v>
      </c>
      <c r="G12" s="1115">
        <v>0</v>
      </c>
      <c r="H12" s="1116"/>
      <c r="I12" s="762">
        <f t="shared" si="0"/>
        <v>0</v>
      </c>
      <c r="J12" s="762">
        <f t="shared" si="1"/>
        <v>0</v>
      </c>
    </row>
    <row r="13" spans="1:12" x14ac:dyDescent="0.2">
      <c r="B13" s="62" t="s">
        <v>397</v>
      </c>
      <c r="C13" s="1114">
        <f>SUMIF(MAP!$E$1967:$E$1978,'A - Compensation packages'!$B13,MAP!$N$1967:$N$1978)</f>
        <v>0</v>
      </c>
      <c r="D13" s="1115">
        <v>0</v>
      </c>
      <c r="E13" s="1116"/>
      <c r="F13" s="1114">
        <f>SUMIF(MAP!$E$1979:$E$1990,'A - Compensation packages'!$B13,MAP!$N$1979:$N$1990)</f>
        <v>0</v>
      </c>
      <c r="G13" s="1115">
        <v>0</v>
      </c>
      <c r="H13" s="1116"/>
      <c r="I13" s="762">
        <f t="shared" si="0"/>
        <v>0</v>
      </c>
      <c r="J13" s="762">
        <f t="shared" si="1"/>
        <v>0</v>
      </c>
    </row>
    <row r="14" spans="1:12" x14ac:dyDescent="0.2">
      <c r="B14" s="62" t="s">
        <v>398</v>
      </c>
      <c r="C14" s="1114">
        <f>SUMIF(MAP!$E$1967:$E$1978,'A - Compensation packages'!$B14,MAP!$N$1967:$N$1978)</f>
        <v>0</v>
      </c>
      <c r="D14" s="1115">
        <v>0</v>
      </c>
      <c r="E14" s="1116"/>
      <c r="F14" s="1114">
        <f>SUMIF(MAP!$E$1979:$E$1990,'A - Compensation packages'!$B14,MAP!$N$1979:$N$1990)</f>
        <v>0</v>
      </c>
      <c r="G14" s="1115">
        <v>1</v>
      </c>
      <c r="H14" s="1116"/>
      <c r="I14" s="762">
        <f t="shared" si="0"/>
        <v>0</v>
      </c>
      <c r="J14" s="762">
        <f t="shared" si="1"/>
        <v>1</v>
      </c>
    </row>
    <row r="15" spans="1:12" x14ac:dyDescent="0.2">
      <c r="B15" s="62" t="s">
        <v>399</v>
      </c>
      <c r="C15" s="1114">
        <f>SUMIF(MAP!$E$1967:$E$1978,'A - Compensation packages'!$B15,MAP!$N$1967:$N$1978)</f>
        <v>0</v>
      </c>
      <c r="D15" s="1115">
        <v>0</v>
      </c>
      <c r="E15" s="1116"/>
      <c r="F15" s="1114">
        <f>SUMIF(MAP!$E$1979:$E$1990,'A - Compensation packages'!$B15,MAP!$N$1979:$N$1990)</f>
        <v>0</v>
      </c>
      <c r="G15" s="1115">
        <v>0</v>
      </c>
      <c r="H15" s="1116"/>
      <c r="I15" s="762">
        <f t="shared" si="0"/>
        <v>0</v>
      </c>
      <c r="J15" s="762">
        <f t="shared" si="1"/>
        <v>0</v>
      </c>
    </row>
    <row r="16" spans="1:12" x14ac:dyDescent="0.2">
      <c r="B16" s="62" t="s">
        <v>400</v>
      </c>
      <c r="C16" s="1114">
        <f>SUMIF(MAP!$E$1967:$E$1978,'A - Compensation packages'!$B16,MAP!$N$1967:$N$1978)</f>
        <v>0</v>
      </c>
      <c r="D16" s="1115">
        <v>0</v>
      </c>
      <c r="E16" s="1116"/>
      <c r="F16" s="1114">
        <f>SUMIF(MAP!$E$1979:$E$1990,'A - Compensation packages'!$B16,MAP!$N$1979:$N$1990)</f>
        <v>0</v>
      </c>
      <c r="G16" s="1115">
        <v>0</v>
      </c>
      <c r="H16" s="1116"/>
      <c r="I16" s="762">
        <f t="shared" si="0"/>
        <v>0</v>
      </c>
      <c r="J16" s="762">
        <f t="shared" si="1"/>
        <v>0</v>
      </c>
    </row>
    <row r="17" spans="1:10" x14ac:dyDescent="0.2">
      <c r="B17" s="62" t="s">
        <v>888</v>
      </c>
      <c r="C17" s="1114">
        <f>SUMIF(MAP!$E$1967:$E$1978,'A - Compensation packages'!$B17,MAP!$N$1967:$N$1978)</f>
        <v>0</v>
      </c>
      <c r="D17" s="1115">
        <v>0</v>
      </c>
      <c r="E17" s="1116"/>
      <c r="F17" s="1114">
        <f>SUMIF(MAP!$E$1979:$E$1990,'A - Compensation packages'!$B17,MAP!$N$1979:$N$1990)</f>
        <v>0</v>
      </c>
      <c r="G17" s="1115">
        <v>0</v>
      </c>
      <c r="H17" s="1116"/>
      <c r="I17" s="762">
        <f t="shared" si="0"/>
        <v>0</v>
      </c>
      <c r="J17" s="762">
        <f t="shared" si="1"/>
        <v>0</v>
      </c>
    </row>
    <row r="18" spans="1:10" x14ac:dyDescent="0.2">
      <c r="B18" s="62" t="s">
        <v>889</v>
      </c>
      <c r="C18" s="1114">
        <f>SUMIF(MAP!$E$1967:$E$1978,'A - Compensation packages'!$B18,MAP!$N$1967:$N$1978)</f>
        <v>0</v>
      </c>
      <c r="D18" s="1115">
        <v>0</v>
      </c>
      <c r="E18" s="1116"/>
      <c r="F18" s="1114">
        <f>SUMIF(MAP!$E$1979:$E$1990,'A - Compensation packages'!$B18,MAP!$N$1979:$N$1990)</f>
        <v>0</v>
      </c>
      <c r="G18" s="1115">
        <v>0</v>
      </c>
      <c r="H18" s="1116"/>
      <c r="I18" s="762">
        <f t="shared" si="0"/>
        <v>0</v>
      </c>
      <c r="J18" s="762">
        <f t="shared" si="1"/>
        <v>0</v>
      </c>
    </row>
    <row r="19" spans="1:10" x14ac:dyDescent="0.2">
      <c r="B19" s="62" t="s">
        <v>890</v>
      </c>
      <c r="C19" s="1114">
        <f>SUMIF(MAP!$E$1967:$E$1978,'A - Compensation packages'!$B19,MAP!$N$1967:$N$1978)</f>
        <v>0</v>
      </c>
      <c r="D19" s="1115">
        <v>0</v>
      </c>
      <c r="E19" s="1116"/>
      <c r="F19" s="1114">
        <f>SUMIF(MAP!$E$1979:$E$1990,'A - Compensation packages'!$B19,MAP!$N$1979:$N$1990)</f>
        <v>0</v>
      </c>
      <c r="G19" s="1115">
        <v>0</v>
      </c>
      <c r="H19" s="1116"/>
      <c r="I19" s="762">
        <f t="shared" si="0"/>
        <v>0</v>
      </c>
      <c r="J19" s="762">
        <f t="shared" si="1"/>
        <v>0</v>
      </c>
    </row>
    <row r="20" spans="1:10" x14ac:dyDescent="0.2">
      <c r="B20" s="62" t="s">
        <v>891</v>
      </c>
      <c r="C20" s="1114">
        <f>SUMIF(MAP!$E$1967:$E$1978,'A - Compensation packages'!$B20,MAP!$N$1967:$N$1978)</f>
        <v>0</v>
      </c>
      <c r="D20" s="1115">
        <v>0</v>
      </c>
      <c r="E20" s="1116"/>
      <c r="F20" s="1114">
        <f>SUMIF(MAP!$E$1979:$E$1990,'A - Compensation packages'!$B20,MAP!$N$1979:$N$1990)</f>
        <v>0</v>
      </c>
      <c r="G20" s="1115">
        <v>0</v>
      </c>
      <c r="H20" s="1116"/>
      <c r="I20" s="762">
        <f t="shared" si="0"/>
        <v>0</v>
      </c>
      <c r="J20" s="762">
        <f t="shared" si="1"/>
        <v>0</v>
      </c>
    </row>
    <row r="21" spans="1:10" ht="25.5" x14ac:dyDescent="0.2">
      <c r="B21" s="63" t="s">
        <v>401</v>
      </c>
      <c r="C21" s="762">
        <f>C11+C12+C13+C14+C15+C16+C17+C18+C19+C20</f>
        <v>0</v>
      </c>
      <c r="D21" s="762">
        <f>D11+D12+D13+D14+D15+D16+D17+D18+D19+D20</f>
        <v>0</v>
      </c>
      <c r="E21" s="1116"/>
      <c r="F21" s="762">
        <f>F11+F12+F13+F14+F15+F16+F17+F18+F19+F20</f>
        <v>0</v>
      </c>
      <c r="G21" s="762">
        <f>G11+G12+G13+G14+G15+G16+G17+G18+G19+G20</f>
        <v>1</v>
      </c>
      <c r="H21" s="1116"/>
      <c r="I21" s="762">
        <f>I11+I12+I13+I14+I15+I16+I17+I18+I19+I20</f>
        <v>0</v>
      </c>
      <c r="J21" s="762">
        <f>J11+J12+J13+J14+J15+J16+J17+J18+J19+J20</f>
        <v>1</v>
      </c>
    </row>
    <row r="22" spans="1:10" x14ac:dyDescent="0.2">
      <c r="B22" s="63"/>
      <c r="C22" s="762"/>
      <c r="D22" s="762"/>
      <c r="E22" s="1116"/>
      <c r="F22" s="762"/>
      <c r="G22" s="762"/>
      <c r="H22" s="1116"/>
      <c r="I22" s="762"/>
      <c r="J22" s="762"/>
    </row>
    <row r="23" spans="1:10" x14ac:dyDescent="0.2">
      <c r="B23" s="62"/>
      <c r="C23" s="1117" t="s">
        <v>493</v>
      </c>
      <c r="D23" s="1117" t="s">
        <v>493</v>
      </c>
      <c r="E23" s="1116"/>
      <c r="F23" s="1117" t="s">
        <v>493</v>
      </c>
      <c r="G23" s="1117" t="s">
        <v>493</v>
      </c>
      <c r="H23" s="1116"/>
      <c r="I23" s="1117" t="s">
        <v>493</v>
      </c>
      <c r="J23" s="1117" t="s">
        <v>493</v>
      </c>
    </row>
    <row r="24" spans="1:10" x14ac:dyDescent="0.2">
      <c r="B24" s="62" t="s">
        <v>402</v>
      </c>
      <c r="C24" s="1114">
        <f>SUMIF(MAP!$E$1967:$E$1978,'A - Compensation packages'!$B24,MAP!$N$1967:$N$1978)</f>
        <v>0</v>
      </c>
      <c r="D24" s="1115">
        <v>0</v>
      </c>
      <c r="E24" s="1116"/>
      <c r="F24" s="1114">
        <f>SUMIF(MAP!$E$1979:$E$1990,'A - Compensation packages'!$B24,MAP!$N$1979:$N$1990)</f>
        <v>0</v>
      </c>
      <c r="G24" s="1115">
        <v>75</v>
      </c>
      <c r="H24" s="1116"/>
      <c r="I24" s="762">
        <f>+C24+F24</f>
        <v>0</v>
      </c>
      <c r="J24" s="762">
        <f>+D24+G24</f>
        <v>75</v>
      </c>
    </row>
    <row r="28" spans="1:10" outlineLevel="1" x14ac:dyDescent="0.2">
      <c r="A28" s="1051" t="s">
        <v>482</v>
      </c>
      <c r="B28" s="1051"/>
      <c r="C28" s="1051"/>
      <c r="D28" s="1051"/>
    </row>
    <row r="31" spans="1:10" x14ac:dyDescent="0.2">
      <c r="A31" s="47" t="str">
        <f>Update!$A$3</f>
        <v>2025-26</v>
      </c>
      <c r="B31" s="306"/>
      <c r="C31" s="62"/>
      <c r="D31" s="62"/>
      <c r="F31" s="62"/>
      <c r="G31" s="62"/>
      <c r="I31" s="62"/>
      <c r="J31" s="62"/>
    </row>
    <row r="32" spans="1:10" x14ac:dyDescent="0.2">
      <c r="B32" s="307"/>
    </row>
    <row r="33" spans="1:10" x14ac:dyDescent="0.2">
      <c r="A33" s="62" t="s">
        <v>1835</v>
      </c>
      <c r="B33" s="307"/>
    </row>
    <row r="37" spans="1:10" x14ac:dyDescent="0.2">
      <c r="B37" s="63" t="s">
        <v>935</v>
      </c>
      <c r="C37" s="1911" t="s">
        <v>403</v>
      </c>
      <c r="D37" s="1911"/>
      <c r="F37" s="1911" t="s">
        <v>404</v>
      </c>
      <c r="G37" s="1911"/>
      <c r="I37" s="1911" t="s">
        <v>405</v>
      </c>
      <c r="J37" s="1911"/>
    </row>
    <row r="38" spans="1:10" x14ac:dyDescent="0.2">
      <c r="B38" s="63"/>
      <c r="C38" s="132">
        <f>Update!$B$38</f>
        <v>2026</v>
      </c>
      <c r="D38" s="132">
        <f>Update!$B$37</f>
        <v>2025</v>
      </c>
      <c r="F38" s="132">
        <f>C38</f>
        <v>2026</v>
      </c>
      <c r="G38" s="132">
        <f>D38</f>
        <v>2025</v>
      </c>
      <c r="I38" s="132">
        <f>C38</f>
        <v>2026</v>
      </c>
      <c r="J38" s="132">
        <f>D38</f>
        <v>2025</v>
      </c>
    </row>
    <row r="40" spans="1:10" x14ac:dyDescent="0.2">
      <c r="B40" s="61" t="s">
        <v>892</v>
      </c>
      <c r="C40" s="1114">
        <f>SUMIF(MAP!$E$1967:$E$1978,'A - Compensation packages'!$B40,MAP!$T$1967:$T$1978)</f>
        <v>0</v>
      </c>
      <c r="D40" s="1115">
        <v>0</v>
      </c>
      <c r="E40" s="1116"/>
      <c r="F40" s="1114">
        <f>SUMIF(MAP!$E$1979:$E$1990,'A - Compensation packages'!$B40,MAP!$T$1979:$T$1990)</f>
        <v>0</v>
      </c>
      <c r="G40" s="1115">
        <v>0</v>
      </c>
      <c r="H40" s="1116"/>
      <c r="I40" s="762">
        <f t="shared" ref="I40:I49" si="2">+C40+F40</f>
        <v>0</v>
      </c>
      <c r="J40" s="762">
        <f t="shared" ref="J40:J49" si="3">+D40+G40</f>
        <v>0</v>
      </c>
    </row>
    <row r="41" spans="1:10" x14ac:dyDescent="0.2">
      <c r="B41" s="62" t="s">
        <v>396</v>
      </c>
      <c r="C41" s="1114">
        <f>SUMIF(MAP!$E$1967:$E$1978,'A - Compensation packages'!$B41,MAP!$T$1967:$T$1978)</f>
        <v>0</v>
      </c>
      <c r="D41" s="1115">
        <v>0</v>
      </c>
      <c r="E41" s="1116"/>
      <c r="F41" s="1114">
        <f>SUMIF(MAP!$E$1979:$E$1990,'A - Compensation packages'!$B41,MAP!$T$1979:$T$1990)</f>
        <v>0</v>
      </c>
      <c r="G41" s="1115">
        <v>0</v>
      </c>
      <c r="H41" s="1116"/>
      <c r="I41" s="762">
        <f t="shared" si="2"/>
        <v>0</v>
      </c>
      <c r="J41" s="762">
        <f t="shared" si="3"/>
        <v>0</v>
      </c>
    </row>
    <row r="42" spans="1:10" x14ac:dyDescent="0.2">
      <c r="B42" s="62" t="s">
        <v>397</v>
      </c>
      <c r="C42" s="1114">
        <f>SUMIF(MAP!$E$1967:$E$1978,'A - Compensation packages'!$B42,MAP!$T$1967:$T$1978)</f>
        <v>0</v>
      </c>
      <c r="D42" s="1115">
        <v>0</v>
      </c>
      <c r="E42" s="1116"/>
      <c r="F42" s="1114">
        <f>SUMIF(MAP!$E$1979:$E$1990,'A - Compensation packages'!$B42,MAP!$T$1979:$T$1990)</f>
        <v>0</v>
      </c>
      <c r="G42" s="1115">
        <v>0</v>
      </c>
      <c r="H42" s="1116"/>
      <c r="I42" s="762">
        <f t="shared" si="2"/>
        <v>0</v>
      </c>
      <c r="J42" s="762">
        <f t="shared" si="3"/>
        <v>0</v>
      </c>
    </row>
    <row r="43" spans="1:10" x14ac:dyDescent="0.2">
      <c r="B43" s="62" t="s">
        <v>398</v>
      </c>
      <c r="C43" s="1114">
        <f>SUMIF(MAP!$E$1967:$E$1978,'A - Compensation packages'!$B43,MAP!$T$1967:$T$1978)</f>
        <v>0</v>
      </c>
      <c r="D43" s="1115">
        <v>0</v>
      </c>
      <c r="E43" s="1116"/>
      <c r="F43" s="1114">
        <f>SUMIF(MAP!$E$1979:$E$1990,'A - Compensation packages'!$B43,MAP!$T$1979:$T$1990)</f>
        <v>0</v>
      </c>
      <c r="G43" s="1115">
        <v>1</v>
      </c>
      <c r="H43" s="1116"/>
      <c r="I43" s="762">
        <f t="shared" si="2"/>
        <v>0</v>
      </c>
      <c r="J43" s="762">
        <f t="shared" si="3"/>
        <v>1</v>
      </c>
    </row>
    <row r="44" spans="1:10" x14ac:dyDescent="0.2">
      <c r="B44" s="62" t="s">
        <v>399</v>
      </c>
      <c r="C44" s="1114">
        <f>SUMIF(MAP!$E$1967:$E$1978,'A - Compensation packages'!$B44,MAP!$T$1967:$T$1978)</f>
        <v>0</v>
      </c>
      <c r="D44" s="1115">
        <v>0</v>
      </c>
      <c r="E44" s="1116"/>
      <c r="F44" s="1114">
        <f>SUMIF(MAP!$E$1979:$E$1990,'A - Compensation packages'!$B44,MAP!$T$1979:$T$1990)</f>
        <v>0</v>
      </c>
      <c r="G44" s="1115">
        <v>0</v>
      </c>
      <c r="H44" s="1116"/>
      <c r="I44" s="762">
        <f t="shared" si="2"/>
        <v>0</v>
      </c>
      <c r="J44" s="762">
        <f t="shared" si="3"/>
        <v>0</v>
      </c>
    </row>
    <row r="45" spans="1:10" x14ac:dyDescent="0.2">
      <c r="B45" s="62" t="s">
        <v>400</v>
      </c>
      <c r="C45" s="1114">
        <f>SUMIF(MAP!$E$1967:$E$1978,'A - Compensation packages'!$B45,MAP!$T$1967:$T$1978)</f>
        <v>0</v>
      </c>
      <c r="D45" s="1115">
        <v>0</v>
      </c>
      <c r="E45" s="1116"/>
      <c r="F45" s="1114">
        <f>SUMIF(MAP!$E$1979:$E$1990,'A - Compensation packages'!$B45,MAP!$T$1979:$T$1990)</f>
        <v>0</v>
      </c>
      <c r="G45" s="1115">
        <v>0</v>
      </c>
      <c r="H45" s="1116"/>
      <c r="I45" s="762">
        <f t="shared" si="2"/>
        <v>0</v>
      </c>
      <c r="J45" s="762">
        <f t="shared" si="3"/>
        <v>0</v>
      </c>
    </row>
    <row r="46" spans="1:10" x14ac:dyDescent="0.2">
      <c r="B46" s="62" t="s">
        <v>888</v>
      </c>
      <c r="C46" s="1114">
        <f>SUMIF(MAP!$E$1967:$E$1978,'A - Compensation packages'!$B46,MAP!$T$1967:$T$1978)</f>
        <v>0</v>
      </c>
      <c r="D46" s="1115">
        <v>0</v>
      </c>
      <c r="E46" s="1116"/>
      <c r="F46" s="1114">
        <f>SUMIF(MAP!$E$1979:$E$1990,'A - Compensation packages'!$B46,MAP!$T$1979:$T$1990)</f>
        <v>0</v>
      </c>
      <c r="G46" s="1115">
        <v>0</v>
      </c>
      <c r="H46" s="1116"/>
      <c r="I46" s="762">
        <f t="shared" si="2"/>
        <v>0</v>
      </c>
      <c r="J46" s="762">
        <f t="shared" si="3"/>
        <v>0</v>
      </c>
    </row>
    <row r="47" spans="1:10" x14ac:dyDescent="0.2">
      <c r="B47" s="62" t="s">
        <v>889</v>
      </c>
      <c r="C47" s="1114">
        <f>SUMIF(MAP!$E$1967:$E$1978,'A - Compensation packages'!$B47,MAP!$T$1967:$T$1978)</f>
        <v>0</v>
      </c>
      <c r="D47" s="1115">
        <v>0</v>
      </c>
      <c r="E47" s="1116"/>
      <c r="F47" s="1114">
        <f>SUMIF(MAP!$E$1979:$E$1990,'A - Compensation packages'!$B47,MAP!$T$1979:$T$1990)</f>
        <v>0</v>
      </c>
      <c r="G47" s="1115">
        <v>0</v>
      </c>
      <c r="H47" s="1116"/>
      <c r="I47" s="762">
        <f t="shared" si="2"/>
        <v>0</v>
      </c>
      <c r="J47" s="762">
        <f t="shared" si="3"/>
        <v>0</v>
      </c>
    </row>
    <row r="48" spans="1:10" x14ac:dyDescent="0.2">
      <c r="B48" s="62" t="s">
        <v>890</v>
      </c>
      <c r="C48" s="1114">
        <f>SUMIF(MAP!$E$1967:$E$1978,'A - Compensation packages'!$B48,MAP!$T$1967:$T$1978)</f>
        <v>0</v>
      </c>
      <c r="D48" s="1115">
        <v>0</v>
      </c>
      <c r="E48" s="1116"/>
      <c r="F48" s="1114">
        <f>SUMIF(MAP!$E$1979:$E$1990,'A - Compensation packages'!$B48,MAP!$T$1979:$T$1990)</f>
        <v>0</v>
      </c>
      <c r="G48" s="1115">
        <v>0</v>
      </c>
      <c r="H48" s="1116"/>
      <c r="I48" s="762">
        <f t="shared" si="2"/>
        <v>0</v>
      </c>
      <c r="J48" s="762">
        <f t="shared" si="3"/>
        <v>0</v>
      </c>
    </row>
    <row r="49" spans="2:10" x14ac:dyDescent="0.2">
      <c r="B49" s="62" t="s">
        <v>891</v>
      </c>
      <c r="C49" s="1114">
        <f>SUMIF(MAP!$E$1967:$E$1978,'A - Compensation packages'!$B49,MAP!$T$1967:$T$1978)</f>
        <v>0</v>
      </c>
      <c r="D49" s="1115"/>
      <c r="E49" s="1116"/>
      <c r="F49" s="1114">
        <f>SUMIF(MAP!$E$1979:$E$1990,'A - Compensation packages'!$B49,MAP!$T$1979:$T$1990)</f>
        <v>0</v>
      </c>
      <c r="G49" s="1115"/>
      <c r="H49" s="1116"/>
      <c r="I49" s="762">
        <f t="shared" si="2"/>
        <v>0</v>
      </c>
      <c r="J49" s="762">
        <f t="shared" si="3"/>
        <v>0</v>
      </c>
    </row>
    <row r="50" spans="2:10" x14ac:dyDescent="0.2">
      <c r="B50" s="62"/>
      <c r="C50" s="762"/>
      <c r="D50" s="762"/>
      <c r="E50" s="1116"/>
      <c r="F50" s="762"/>
      <c r="G50" s="762"/>
      <c r="H50" s="1116"/>
      <c r="I50" s="762"/>
      <c r="J50" s="762"/>
    </row>
    <row r="51" spans="2:10" ht="25.5" x14ac:dyDescent="0.2">
      <c r="B51" s="63" t="s">
        <v>401</v>
      </c>
      <c r="C51" s="762">
        <f>C40+C41+C42+C43+C44+C45+C46+C47+C48+C49</f>
        <v>0</v>
      </c>
      <c r="D51" s="762">
        <f>D40+D41+D42+D43+D44+D45+D46+D47+D48+D49</f>
        <v>0</v>
      </c>
      <c r="E51" s="1116"/>
      <c r="F51" s="762">
        <f>F40+F41+F42+F43+F44+F45+F46+F47+F48+F49</f>
        <v>0</v>
      </c>
      <c r="G51" s="762">
        <f>G40+G41+G42+G43+G44+G45+G46+G47+G48+G49</f>
        <v>1</v>
      </c>
      <c r="H51" s="1116"/>
      <c r="I51" s="762">
        <f>I40+I41+I42+I43+I44+I45+I46+I47+I48+I49</f>
        <v>0</v>
      </c>
      <c r="J51" s="762">
        <f>J40+J41+J42+J43+J44+J45+J46+J47+J48+J49</f>
        <v>1</v>
      </c>
    </row>
    <row r="52" spans="2:10" x14ac:dyDescent="0.2">
      <c r="B52" s="62"/>
      <c r="C52" s="1117" t="s">
        <v>493</v>
      </c>
      <c r="D52" s="1117" t="s">
        <v>493</v>
      </c>
      <c r="E52" s="1116"/>
      <c r="F52" s="1117" t="s">
        <v>493</v>
      </c>
      <c r="G52" s="1117" t="s">
        <v>493</v>
      </c>
      <c r="H52" s="1116"/>
      <c r="I52" s="1117" t="s">
        <v>493</v>
      </c>
      <c r="J52" s="1117" t="s">
        <v>493</v>
      </c>
    </row>
    <row r="53" spans="2:10" x14ac:dyDescent="0.2">
      <c r="B53" s="62" t="s">
        <v>402</v>
      </c>
      <c r="C53" s="1114">
        <f>SUMIF(MAP!$E$1967:$E$1978,'A - Compensation packages'!$B53,MAP!$T$1967:$T$1978)</f>
        <v>0</v>
      </c>
      <c r="D53" s="1115">
        <v>0</v>
      </c>
      <c r="E53" s="1116"/>
      <c r="F53" s="1114">
        <f>SUMIF(MAP!$E$1979:$E$1990,'A - Compensation packages'!$B53,MAP!$T$1979:$T$1990)</f>
        <v>0</v>
      </c>
      <c r="G53" s="1115">
        <v>75</v>
      </c>
      <c r="H53" s="1116"/>
      <c r="I53" s="762">
        <f>+C53+F53</f>
        <v>0</v>
      </c>
      <c r="J53" s="762">
        <f>+D53+G53</f>
        <v>75</v>
      </c>
    </row>
    <row r="54" spans="2:10" x14ac:dyDescent="0.2">
      <c r="C54" s="1116"/>
      <c r="D54" s="1116"/>
      <c r="E54" s="1116"/>
      <c r="F54" s="1116"/>
      <c r="G54" s="1116"/>
      <c r="H54" s="1116"/>
      <c r="I54" s="1116"/>
      <c r="J54" s="1116"/>
    </row>
    <row r="59" spans="2:10" ht="61.5" customHeight="1" x14ac:dyDescent="0.2">
      <c r="B59" s="1910" t="s">
        <v>936</v>
      </c>
      <c r="C59" s="1910"/>
      <c r="D59" s="1910"/>
      <c r="E59" s="1910"/>
      <c r="F59" s="1910"/>
      <c r="G59" s="1910"/>
      <c r="H59" s="1910"/>
      <c r="I59" s="1910"/>
      <c r="J59" s="1910"/>
    </row>
  </sheetData>
  <mergeCells count="7">
    <mergeCell ref="B59:J59"/>
    <mergeCell ref="C8:D8"/>
    <mergeCell ref="F8:G8"/>
    <mergeCell ref="I8:J8"/>
    <mergeCell ref="C37:D37"/>
    <mergeCell ref="F37:G37"/>
    <mergeCell ref="I37:J37"/>
  </mergeCells>
  <pageMargins left="0.74803149606299213" right="0.74803149606299213" top="0.59055118110236227" bottom="0.59055118110236227" header="0.51181102362204722" footer="0.51181102362204722"/>
  <pageSetup paperSize="9" scale="5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Z121"/>
  <sheetViews>
    <sheetView topLeftCell="A52" zoomScale="90" zoomScaleNormal="90" workbookViewId="0">
      <selection activeCell="G5" sqref="G4:G5"/>
    </sheetView>
  </sheetViews>
  <sheetFormatPr defaultColWidth="9.140625" defaultRowHeight="12.75" outlineLevelCol="1" x14ac:dyDescent="0.2"/>
  <cols>
    <col min="1" max="1" width="5.85546875" style="59" customWidth="1"/>
    <col min="2" max="2" width="15.42578125" style="59" customWidth="1"/>
    <col min="3" max="3" width="38.28515625" style="59" customWidth="1"/>
    <col min="4" max="6" width="13.42578125" style="59" customWidth="1"/>
    <col min="7" max="7" width="10.140625" style="59" customWidth="1"/>
    <col min="8" max="10" width="11.42578125" style="59" customWidth="1"/>
    <col min="11" max="11" width="9.28515625" style="59" customWidth="1" outlineLevel="1"/>
    <col min="12" max="12" width="12.7109375" style="59" customWidth="1" outlineLevel="1"/>
    <col min="13" max="15" width="9.28515625" style="59" customWidth="1" outlineLevel="1"/>
    <col min="16" max="16" width="17" style="59" customWidth="1" outlineLevel="1"/>
    <col min="17" max="20" width="9.28515625" style="59" customWidth="1" outlineLevel="1"/>
    <col min="21" max="21" width="9.42578125" style="59" customWidth="1" outlineLevel="1"/>
    <col min="22" max="24" width="9.28515625" style="59" customWidth="1" outlineLevel="1"/>
    <col min="25" max="26" width="9.140625" style="59" customWidth="1" outlineLevel="1"/>
    <col min="27" max="16384" width="9.140625" style="59"/>
  </cols>
  <sheetData>
    <row r="1" spans="1:10" x14ac:dyDescent="0.2">
      <c r="B1" s="304" t="str">
        <f>Update!$B$6</f>
        <v>Department of Health</v>
      </c>
    </row>
    <row r="2" spans="1:10" x14ac:dyDescent="0.2">
      <c r="B2" s="304" t="s">
        <v>911</v>
      </c>
    </row>
    <row r="3" spans="1:10" x14ac:dyDescent="0.2">
      <c r="A3" s="1100"/>
      <c r="B3" s="304" t="str">
        <f>Update!$A$3</f>
        <v>2025-26</v>
      </c>
      <c r="C3" s="1100"/>
      <c r="D3" s="1100"/>
      <c r="E3" s="1100"/>
      <c r="F3" s="1100"/>
    </row>
    <row r="4" spans="1:10" ht="15.75" x14ac:dyDescent="0.25">
      <c r="A4" s="301"/>
      <c r="B4" s="302"/>
      <c r="C4" s="302"/>
      <c r="D4" s="303"/>
      <c r="E4" s="303"/>
    </row>
    <row r="5" spans="1:10" x14ac:dyDescent="0.2">
      <c r="A5" s="304"/>
      <c r="B5" s="304"/>
      <c r="C5" s="62"/>
    </row>
    <row r="6" spans="1:10" ht="38.25" customHeight="1" x14ac:dyDescent="0.2">
      <c r="A6" s="62"/>
      <c r="B6" s="62"/>
      <c r="C6" s="62"/>
      <c r="D6" s="1923" t="str">
        <f>Update!$B$8</f>
        <v>Departmental Group</v>
      </c>
      <c r="E6" s="1923"/>
      <c r="F6" s="1923"/>
      <c r="H6" s="1923" t="str">
        <f>Update!$B$7</f>
        <v>Core Department &amp; Agencies</v>
      </c>
      <c r="I6" s="1923"/>
      <c r="J6" s="1923"/>
    </row>
    <row r="7" spans="1:10" x14ac:dyDescent="0.2">
      <c r="A7" s="397"/>
      <c r="B7" s="397"/>
      <c r="C7" s="397"/>
      <c r="D7" s="397"/>
      <c r="E7" s="397"/>
      <c r="F7" s="397"/>
      <c r="G7" s="397"/>
      <c r="H7" s="397"/>
      <c r="I7" s="397"/>
      <c r="J7" s="397"/>
    </row>
    <row r="8" spans="1:10" x14ac:dyDescent="0.2">
      <c r="A8" s="397"/>
      <c r="B8" s="1917" t="s">
        <v>1727</v>
      </c>
      <c r="C8" s="1918"/>
      <c r="D8" s="1921" t="str">
        <f>Update!$B$13</f>
        <v>2025-26</v>
      </c>
      <c r="E8" s="1922"/>
      <c r="F8" s="945" t="str">
        <f>Update!$B$15</f>
        <v>2024-25</v>
      </c>
      <c r="G8" s="491"/>
      <c r="H8" s="1921" t="str">
        <f>Update!$B$13</f>
        <v>2025-26</v>
      </c>
      <c r="I8" s="1922"/>
      <c r="J8" s="945" t="str">
        <f>Update!$B$15</f>
        <v>2024-25</v>
      </c>
    </row>
    <row r="9" spans="1:10" ht="25.5" x14ac:dyDescent="0.2">
      <c r="A9" s="397"/>
      <c r="B9" s="1919"/>
      <c r="C9" s="1920"/>
      <c r="D9" s="444" t="s">
        <v>913</v>
      </c>
      <c r="E9" s="977" t="s">
        <v>462</v>
      </c>
      <c r="F9" s="977"/>
      <c r="G9" s="397"/>
      <c r="H9" s="444" t="s">
        <v>913</v>
      </c>
      <c r="I9" s="977" t="s">
        <v>462</v>
      </c>
      <c r="J9" s="977"/>
    </row>
    <row r="10" spans="1:10" x14ac:dyDescent="0.2">
      <c r="A10" s="397"/>
      <c r="B10" s="440"/>
      <c r="C10" s="381"/>
      <c r="D10" s="432"/>
      <c r="E10" s="431"/>
      <c r="F10" s="431"/>
      <c r="G10" s="397"/>
      <c r="H10" s="432"/>
      <c r="I10" s="431"/>
      <c r="J10" s="431"/>
    </row>
    <row r="11" spans="1:10" x14ac:dyDescent="0.2">
      <c r="A11" s="397"/>
      <c r="B11" s="442"/>
      <c r="C11" s="443" t="s">
        <v>1707</v>
      </c>
      <c r="D11" s="504">
        <f>SUMIF(MAP!$E$2003:$E$2038,$C11,MAP!$N$2003:$N$2038)</f>
        <v>0</v>
      </c>
      <c r="E11" s="1050"/>
      <c r="F11" s="504">
        <v>116743</v>
      </c>
      <c r="G11" s="397"/>
      <c r="H11" s="504">
        <f>SUMIF(MAP!$E$2003:$E$2038,$C11,MAP!$T$2003:$T$2038)</f>
        <v>0</v>
      </c>
      <c r="I11" s="1050"/>
      <c r="J11" s="504">
        <v>10</v>
      </c>
    </row>
    <row r="12" spans="1:10" x14ac:dyDescent="0.2">
      <c r="A12" s="397"/>
      <c r="B12" s="1101"/>
      <c r="C12" s="957" t="s">
        <v>2070</v>
      </c>
      <c r="D12" s="1050"/>
      <c r="E12" s="504">
        <f>SUMIF(MAP!$E$2003:$E$2038,$C12,MAP!$N$2003:$N$2086)</f>
        <v>0</v>
      </c>
      <c r="F12" s="504">
        <v>31319</v>
      </c>
      <c r="G12" s="397"/>
      <c r="H12" s="1050"/>
      <c r="I12" s="504">
        <f>SUMIF(MAP!$E$2003:$E$2038,$C12,MAP!$T$2003:$T$2086)</f>
        <v>0</v>
      </c>
      <c r="J12" s="504">
        <v>5569</v>
      </c>
    </row>
    <row r="13" spans="1:10" x14ac:dyDescent="0.2">
      <c r="A13" s="397"/>
      <c r="B13" s="441"/>
      <c r="C13" s="397"/>
      <c r="D13" s="397"/>
      <c r="E13" s="397"/>
      <c r="F13" s="397"/>
      <c r="G13" s="397"/>
      <c r="H13" s="397"/>
      <c r="I13" s="397"/>
      <c r="J13" s="477"/>
    </row>
    <row r="14" spans="1:10" x14ac:dyDescent="0.2">
      <c r="A14" s="397"/>
      <c r="B14" s="441"/>
      <c r="C14" s="397"/>
      <c r="D14" s="397"/>
      <c r="E14" s="397"/>
      <c r="F14" s="397"/>
      <c r="G14" s="397"/>
      <c r="H14" s="397"/>
      <c r="I14" s="397"/>
      <c r="J14" s="477"/>
    </row>
    <row r="15" spans="1:10" ht="13.5" thickBot="1" x14ac:dyDescent="0.25">
      <c r="A15" s="388"/>
      <c r="B15" s="441"/>
      <c r="C15" s="397"/>
      <c r="D15" s="397"/>
      <c r="E15" s="397"/>
      <c r="F15" s="397"/>
      <c r="G15" s="397"/>
      <c r="H15" s="397"/>
      <c r="I15" s="397"/>
      <c r="J15" s="477"/>
    </row>
    <row r="16" spans="1:10" ht="15" customHeight="1" x14ac:dyDescent="0.2">
      <c r="A16" s="397"/>
      <c r="B16" s="1126" t="s">
        <v>2613</v>
      </c>
      <c r="C16" s="1127"/>
      <c r="D16" s="1915" t="str">
        <f>+D8</f>
        <v>2025-26</v>
      </c>
      <c r="E16" s="1916"/>
      <c r="F16" s="969" t="str">
        <f>+F8</f>
        <v>2024-25</v>
      </c>
      <c r="G16" s="397"/>
      <c r="H16" s="1915" t="str">
        <f>+H8</f>
        <v>2025-26</v>
      </c>
      <c r="I16" s="1916"/>
      <c r="J16" s="969" t="str">
        <f>+J8</f>
        <v>2024-25</v>
      </c>
    </row>
    <row r="17" spans="1:10" ht="25.5" x14ac:dyDescent="0.2">
      <c r="A17" s="397"/>
      <c r="B17" s="440"/>
      <c r="C17" s="381"/>
      <c r="D17" s="444" t="s">
        <v>913</v>
      </c>
      <c r="E17" s="977" t="s">
        <v>462</v>
      </c>
      <c r="F17" s="977" t="s">
        <v>462</v>
      </c>
      <c r="G17" s="397"/>
      <c r="H17" s="444" t="s">
        <v>913</v>
      </c>
      <c r="I17" s="977" t="s">
        <v>462</v>
      </c>
      <c r="J17" s="977" t="s">
        <v>462</v>
      </c>
    </row>
    <row r="18" spans="1:10" x14ac:dyDescent="0.2">
      <c r="A18" s="397"/>
      <c r="B18" s="440"/>
      <c r="C18" s="1016" t="s">
        <v>410</v>
      </c>
      <c r="D18" s="1145">
        <f>SUMIF(MAP!$E$2007:$E$2018,$C18,MAP!$N$2007:$N$2018)</f>
        <v>0</v>
      </c>
      <c r="E18" s="1145">
        <f>SUMIF(MAP!$E$2019:$E$2031,$C18,MAP!$N$2019:$N$2031)</f>
        <v>0</v>
      </c>
      <c r="F18" s="1145">
        <f>SUMIF(MAP!$E$2046:$E$2063,$C18,MAP!$N$2046:$N$2063)</f>
        <v>0</v>
      </c>
      <c r="G18" s="397"/>
      <c r="H18" s="1144">
        <f>SUMIF(MAP!$E$2007:$E$2018,$C18,MAP!$T$2007:$T$2018)</f>
        <v>0</v>
      </c>
      <c r="I18" s="1144">
        <f>SUMIF(MAP!$E$2019:$E$2031,$C18,MAP!$T$2019:$T$2031)</f>
        <v>0</v>
      </c>
      <c r="J18" s="1145">
        <f>SUMIF(MAP!$E$2046:$E$2063,$C18,MAP!$T$2046:$T$2063)</f>
        <v>0</v>
      </c>
    </row>
    <row r="19" spans="1:10" x14ac:dyDescent="0.2">
      <c r="A19" s="397"/>
      <c r="B19" s="440"/>
      <c r="C19" s="1016" t="s">
        <v>411</v>
      </c>
      <c r="D19" s="1145">
        <f>SUMIF(MAP!$E$2007:$E$2018,$C19,MAP!$N$2007:$N$2018)</f>
        <v>0</v>
      </c>
      <c r="E19" s="1145">
        <f>SUMIF(MAP!$E$2019:$E$2031,$C19,MAP!$N$2019:$N$2031)</f>
        <v>0</v>
      </c>
      <c r="F19" s="1145">
        <f>ROUND(SUMIF(MAP!$E$389:$E$406,$B19,MAP!$N$389:$N$406),0)</f>
        <v>0</v>
      </c>
      <c r="G19" s="397"/>
      <c r="H19" s="1144">
        <f>SUMIF(MAP!$E$2007:$E$2018,$C19,MAP!$T$2007:$T$2018)</f>
        <v>0</v>
      </c>
      <c r="I19" s="1144">
        <f>SUMIF(MAP!$E$2019:$E$2031,$C19,MAP!$T$2019:$T$2031)</f>
        <v>0</v>
      </c>
      <c r="J19" s="1145">
        <f>SUMIF(MAP!$E$2046:$E$2063,$C19,MAP!$T$2046:$T$2063)</f>
        <v>0</v>
      </c>
    </row>
    <row r="20" spans="1:10" x14ac:dyDescent="0.2">
      <c r="A20" s="397"/>
      <c r="B20" s="440"/>
      <c r="C20" s="1016" t="s">
        <v>412</v>
      </c>
      <c r="D20" s="1145">
        <f>SUMIF(MAP!$E$2007:$E$2018,$C20,MAP!$N$2007:$N$2018)</f>
        <v>0</v>
      </c>
      <c r="E20" s="1145">
        <f>SUMIF(MAP!$E$2019:$E$2031,$C20,MAP!$N$2019:$N$2031)</f>
        <v>0</v>
      </c>
      <c r="F20" s="1145">
        <v>4153</v>
      </c>
      <c r="G20" s="397"/>
      <c r="H20" s="1144">
        <f>SUMIF(MAP!$E$2007:$E$2018,$C20,MAP!$T$2007:$T$2018)</f>
        <v>0</v>
      </c>
      <c r="I20" s="1144">
        <f>SUMIF(MAP!$E$2019:$E$2031,$C20,MAP!$T$2019:$T$2031)</f>
        <v>0</v>
      </c>
      <c r="J20" s="1145">
        <v>4153</v>
      </c>
    </row>
    <row r="21" spans="1:10" x14ac:dyDescent="0.2">
      <c r="A21" s="397"/>
      <c r="B21" s="440"/>
      <c r="C21" s="1016" t="s">
        <v>413</v>
      </c>
      <c r="D21" s="1145">
        <f>SUMIF(MAP!$E$2007:$E$2018,$C21,MAP!$N$2007:$N$2018)</f>
        <v>0</v>
      </c>
      <c r="E21" s="1145">
        <f>SUMIF(MAP!$E$2019:$E$2031,$C21,MAP!$N$2019:$N$2031)</f>
        <v>0</v>
      </c>
      <c r="F21" s="1145">
        <v>1413</v>
      </c>
      <c r="G21" s="397"/>
      <c r="H21" s="1144">
        <f>SUMIF(MAP!$E$2007:$E$2018,$C21,MAP!$T$2007:$T$2018)</f>
        <v>0</v>
      </c>
      <c r="I21" s="1144">
        <f>SUMIF(MAP!$E$2019:$E$2031,$C21,MAP!$T$2019:$T$2031)</f>
        <v>0</v>
      </c>
      <c r="J21" s="1145">
        <v>1413</v>
      </c>
    </row>
    <row r="22" spans="1:10" x14ac:dyDescent="0.2">
      <c r="A22" s="397"/>
      <c r="B22" s="1053"/>
      <c r="C22" s="1016" t="s">
        <v>414</v>
      </c>
      <c r="D22" s="1145">
        <f>SUMIF(MAP!$E$2007:$E$2018,$C22,MAP!$N$2007:$N$2018)</f>
        <v>0</v>
      </c>
      <c r="E22" s="1145">
        <f>SUMIF(MAP!$E$2019:$E$2031,$C22,MAP!$N$2019:$N$2031)</f>
        <v>0</v>
      </c>
      <c r="F22" s="1145">
        <v>21564</v>
      </c>
      <c r="G22" s="397"/>
      <c r="H22" s="1144">
        <f>SUMIF(MAP!$E$2007:$E$2018,$C22,MAP!$T$2007:$T$2018)</f>
        <v>0</v>
      </c>
      <c r="I22" s="1144">
        <f>SUMIF(MAP!$E$2019:$E$2031,$C22,MAP!$T$2019:$T$2031)</f>
        <v>0</v>
      </c>
      <c r="J22" s="1145">
        <v>0</v>
      </c>
    </row>
    <row r="23" spans="1:10" x14ac:dyDescent="0.2">
      <c r="A23" s="397"/>
      <c r="B23" s="1052"/>
      <c r="C23" s="1122" t="s">
        <v>1731</v>
      </c>
      <c r="D23" s="1123">
        <f>SUM(D18:D22)</f>
        <v>0</v>
      </c>
      <c r="E23" s="1123">
        <f>SUM(E18:E22)</f>
        <v>0</v>
      </c>
      <c r="F23" s="1123">
        <f>SUM(F18:F22)</f>
        <v>27130</v>
      </c>
      <c r="G23" s="473"/>
      <c r="H23" s="1123">
        <f>SUM(H18:H22)</f>
        <v>0</v>
      </c>
      <c r="I23" s="1123">
        <f>SUM(I18:I22)</f>
        <v>0</v>
      </c>
      <c r="J23" s="1123">
        <f>SUM(J18:J22)</f>
        <v>5566</v>
      </c>
    </row>
    <row r="26" spans="1:10" ht="25.5" x14ac:dyDescent="0.2">
      <c r="A26" s="397"/>
      <c r="B26" s="1128" t="s">
        <v>415</v>
      </c>
      <c r="C26" s="1129"/>
      <c r="D26" s="1119" t="s">
        <v>913</v>
      </c>
      <c r="E26" s="1120" t="str">
        <f>$E$17</f>
        <v>£000</v>
      </c>
      <c r="F26" s="1121" t="str">
        <f>+E26</f>
        <v>£000</v>
      </c>
      <c r="G26" s="491"/>
      <c r="H26" s="1119" t="s">
        <v>913</v>
      </c>
      <c r="I26" s="1120" t="str">
        <f>$E$17</f>
        <v>£000</v>
      </c>
      <c r="J26" s="1121" t="str">
        <f>+I26</f>
        <v>£000</v>
      </c>
    </row>
    <row r="27" spans="1:10" x14ac:dyDescent="0.2">
      <c r="A27" s="397"/>
      <c r="B27" s="437"/>
      <c r="C27" s="443" t="s">
        <v>1728</v>
      </c>
      <c r="D27" s="504">
        <f>SUMIF(MAP!$E$2003:$E$2038,$C27,MAP!$N$2003:$N$2086)</f>
        <v>0</v>
      </c>
      <c r="E27" s="1050"/>
      <c r="F27" s="504">
        <v>1186</v>
      </c>
      <c r="G27" s="397"/>
      <c r="H27" s="1144">
        <f>SUMIF(MAP!$E$2003:$E$2038,$C27,MAP!$T$2003:$T$2086)</f>
        <v>0</v>
      </c>
      <c r="I27" s="1242"/>
      <c r="J27" s="504">
        <v>14</v>
      </c>
    </row>
    <row r="28" spans="1:10" x14ac:dyDescent="0.2">
      <c r="A28" s="397"/>
      <c r="B28" s="983"/>
      <c r="C28" s="957" t="s">
        <v>2071</v>
      </c>
      <c r="D28" s="1050"/>
      <c r="E28" s="504">
        <f>SUMIF(MAP!$E$2003:$E$2038,$C28,MAP!$N$2003:$N$2086)</f>
        <v>0</v>
      </c>
      <c r="F28" s="504">
        <v>72823</v>
      </c>
      <c r="G28" s="397"/>
      <c r="H28" s="1242"/>
      <c r="I28" s="1144">
        <f>SUMIF(MAP!$E$2003:$E$2038,$C28,MAP!$T$2003:$T$2086)</f>
        <v>0</v>
      </c>
      <c r="J28" s="504">
        <v>974</v>
      </c>
    </row>
    <row r="29" spans="1:10" x14ac:dyDescent="0.2">
      <c r="A29" s="397"/>
      <c r="B29" s="437"/>
      <c r="C29" s="436"/>
      <c r="D29" s="979"/>
      <c r="E29" s="980"/>
      <c r="F29" s="980"/>
      <c r="G29" s="397"/>
      <c r="H29" s="979"/>
      <c r="I29" s="980"/>
      <c r="J29" s="980"/>
    </row>
    <row r="30" spans="1:10" x14ac:dyDescent="0.2">
      <c r="A30" s="397"/>
      <c r="B30" s="437"/>
      <c r="C30" s="436"/>
      <c r="D30" s="979"/>
      <c r="E30" s="980"/>
      <c r="F30" s="980"/>
      <c r="G30" s="397"/>
      <c r="H30" s="979"/>
      <c r="I30" s="980"/>
      <c r="J30" s="980"/>
    </row>
    <row r="31" spans="1:10" x14ac:dyDescent="0.2">
      <c r="A31" s="397"/>
      <c r="B31" s="1124" t="s">
        <v>2611</v>
      </c>
      <c r="C31" s="1125"/>
      <c r="D31" s="979"/>
      <c r="E31" s="980"/>
      <c r="F31" s="980"/>
      <c r="G31" s="397"/>
      <c r="H31" s="979"/>
      <c r="I31" s="980"/>
      <c r="J31" s="980"/>
    </row>
    <row r="32" spans="1:10" x14ac:dyDescent="0.2">
      <c r="A32" s="397"/>
      <c r="B32" s="437"/>
      <c r="C32" s="436" t="s">
        <v>915</v>
      </c>
      <c r="D32" s="432"/>
      <c r="E32" s="431"/>
      <c r="F32" s="431"/>
      <c r="G32" s="397"/>
      <c r="H32" s="432"/>
      <c r="I32" s="431"/>
      <c r="J32" s="431"/>
    </row>
    <row r="33" spans="1:10" x14ac:dyDescent="0.2">
      <c r="A33" s="397"/>
      <c r="B33" s="437"/>
      <c r="C33" s="974" t="s">
        <v>272</v>
      </c>
      <c r="D33" s="1144">
        <f>SUMIF(MAP!$E$2007:$E$2018,$C33,MAP!$N$2007:$N$2018)</f>
        <v>0</v>
      </c>
      <c r="E33" s="1144">
        <f>SUMIF(MAP!$E$2019:$E$2031,$C33,MAP!$N$2019:$N$2031)</f>
        <v>0</v>
      </c>
      <c r="F33" s="1144">
        <v>39133</v>
      </c>
      <c r="G33" s="1147"/>
      <c r="H33" s="1144">
        <f>SUMIF(MAP!$E$2007:$E$2018,$C33,MAP!$T$2007:$T$2018)</f>
        <v>0</v>
      </c>
      <c r="I33" s="1144">
        <f>SUMIF(MAP!$E$2019:$E$2031,$C33,MAP!$T$2019:$T$2031)</f>
        <v>0</v>
      </c>
      <c r="J33" s="1144">
        <v>325</v>
      </c>
    </row>
    <row r="34" spans="1:10" x14ac:dyDescent="0.2">
      <c r="A34" s="397"/>
      <c r="B34" s="437"/>
      <c r="C34" s="974" t="s">
        <v>416</v>
      </c>
      <c r="D34" s="1144">
        <f>SUMIF(MAP!$E$2007:$E$2018,$C34,MAP!$N$2007:$N$2018)</f>
        <v>0</v>
      </c>
      <c r="E34" s="1144">
        <f>SUMIF(MAP!$E$2019:$E$2031,$C34,MAP!$N$2019:$N$2031)</f>
        <v>0</v>
      </c>
      <c r="F34" s="1144">
        <v>0</v>
      </c>
      <c r="G34" s="1147"/>
      <c r="H34" s="1144">
        <f>SUMIF(MAP!$E$2007:$E$2018,$C34,MAP!$T$2007:$T$2018)</f>
        <v>0</v>
      </c>
      <c r="I34" s="1144">
        <f>SUMIF(MAP!$E$2019:$E$2031,$C34,MAP!$T$2019:$T$2031)</f>
        <v>0</v>
      </c>
      <c r="J34" s="1144">
        <f>SUMIF(MAP!$E$2056:$E$2062,$C34,MAP!$T$2056:$T$2062)</f>
        <v>0</v>
      </c>
    </row>
    <row r="35" spans="1:10" x14ac:dyDescent="0.2">
      <c r="A35" s="397"/>
      <c r="B35" s="437"/>
      <c r="C35" s="974" t="s">
        <v>417</v>
      </c>
      <c r="D35" s="1144">
        <f>SUMIF(MAP!$E$2007:$E$2018,$C35,MAP!$N$2007:$N$2018)</f>
        <v>0</v>
      </c>
      <c r="E35" s="1144">
        <f>SUMIF(MAP!$E$2019:$E$2031,$C35,MAP!$N$2019:$N$2031)</f>
        <v>0</v>
      </c>
      <c r="F35" s="1144">
        <v>350</v>
      </c>
      <c r="G35" s="1147"/>
      <c r="H35" s="1144">
        <f>SUMIF(MAP!$E$2007:$E$2018,$C35,MAP!$T$2007:$T$2018)</f>
        <v>0</v>
      </c>
      <c r="I35" s="1144">
        <f>SUMIF(MAP!$E$2019:$E$2031,$C35,MAP!$T$2019:$T$2031)</f>
        <v>0</v>
      </c>
      <c r="J35" s="1144">
        <f>SUMIF(MAP!$E$2056:$E$2062,$C35,MAP!$T$2056:$T$2062)</f>
        <v>0</v>
      </c>
    </row>
    <row r="36" spans="1:10" x14ac:dyDescent="0.2">
      <c r="A36" s="397"/>
      <c r="B36" s="437"/>
      <c r="C36" s="974" t="s">
        <v>910</v>
      </c>
      <c r="D36" s="1144">
        <f>SUMIF(MAP!$E$2007:$E$2018,$C36,MAP!$N$2007:$N$2018)</f>
        <v>0</v>
      </c>
      <c r="E36" s="1144">
        <f>SUMIF(MAP!$E$2019:$E$2031,$C36,MAP!$N$2019:$N$2031)</f>
        <v>0</v>
      </c>
      <c r="F36" s="1144">
        <v>1359</v>
      </c>
      <c r="G36" s="1147"/>
      <c r="H36" s="1144">
        <f>SUMIF(MAP!$E$2007:$E$2018,$C36,MAP!$T$2007:$T$2018)</f>
        <v>0</v>
      </c>
      <c r="I36" s="1144">
        <f>SUMIF(MAP!$E$2019:$E$2031,$C36,MAP!$T$2019:$T$2031)</f>
        <v>0</v>
      </c>
      <c r="J36" s="1144">
        <f>SUMIF(MAP!$E$2056:$E$2062,$C36,MAP!$T$2056:$T$2062)</f>
        <v>0</v>
      </c>
    </row>
    <row r="37" spans="1:10" x14ac:dyDescent="0.2">
      <c r="A37" s="397"/>
      <c r="B37" s="437"/>
      <c r="C37" s="416" t="s">
        <v>472</v>
      </c>
      <c r="D37" s="1148">
        <f>SUM(D33:D36)</f>
        <v>0</v>
      </c>
      <c r="E37" s="1148">
        <f>SUM(E33:E36)</f>
        <v>0</v>
      </c>
      <c r="F37" s="1148">
        <f>SUM(F33:F36)</f>
        <v>40842</v>
      </c>
      <c r="G37" s="1147"/>
      <c r="H37" s="1148">
        <f>SUM(H33:H36)</f>
        <v>0</v>
      </c>
      <c r="I37" s="1148">
        <f>SUM(I33:I36)</f>
        <v>0</v>
      </c>
      <c r="J37" s="1148">
        <f>SUM(J33:J36)</f>
        <v>325</v>
      </c>
    </row>
    <row r="38" spans="1:10" x14ac:dyDescent="0.2">
      <c r="A38" s="397"/>
      <c r="B38" s="437"/>
      <c r="C38" s="436"/>
    </row>
    <row r="39" spans="1:10" x14ac:dyDescent="0.2">
      <c r="A39" s="397"/>
      <c r="B39" s="437"/>
      <c r="C39" s="1016" t="s">
        <v>407</v>
      </c>
      <c r="D39" s="1145">
        <f>SUMIF(MAP!$E$2007:$E$2018,$C39,MAP!$N$2007:$N$2018)</f>
        <v>0</v>
      </c>
      <c r="E39" s="1145">
        <f>SUMIF(MAP!$E$2019:$E$2031,$C39,MAP!$N$2019:$N$2031)</f>
        <v>0</v>
      </c>
      <c r="F39" s="1144">
        <v>0</v>
      </c>
      <c r="G39" s="1135"/>
      <c r="H39" s="1145">
        <f>SUMIF(MAP!$E$2007:$E$2018,$C39,MAP!$T$2007:$T$2018)</f>
        <v>0</v>
      </c>
      <c r="I39" s="1145">
        <f>SUMIF(MAP!$E$2019:$E$2031,$C39,MAP!$T$2019:$T$2031)</f>
        <v>0</v>
      </c>
      <c r="J39" s="1144">
        <f>SUMIF(MAP!$E$2056:$E$2062,$C39,MAP!$T$2056:$T$2062)</f>
        <v>0</v>
      </c>
    </row>
    <row r="40" spans="1:10" x14ac:dyDescent="0.2">
      <c r="A40" s="397"/>
      <c r="B40" s="437"/>
      <c r="C40" s="1016"/>
      <c r="D40" s="1149"/>
      <c r="E40" s="1149"/>
      <c r="F40" s="1149"/>
      <c r="G40" s="1149"/>
      <c r="H40" s="1149"/>
      <c r="I40" s="1149"/>
      <c r="J40" s="1149"/>
    </row>
    <row r="41" spans="1:10" x14ac:dyDescent="0.2">
      <c r="A41" s="397"/>
      <c r="B41" s="437"/>
      <c r="C41" s="1016" t="s">
        <v>408</v>
      </c>
      <c r="D41" s="1145">
        <f>SUMIF(MAP!$E$2007:$E$2018,$C41,MAP!$N$2007:$N$2018)</f>
        <v>0</v>
      </c>
      <c r="E41" s="1145">
        <f>SUMIF(MAP!$E$2019:$E$2031,$C41,MAP!$N$2019:$N$2031)</f>
        <v>0</v>
      </c>
      <c r="F41" s="1144">
        <f>SUMIF(MAP!$E$2056:$E$2062,$C41,MAP!$N$2056:$N$2062)</f>
        <v>0</v>
      </c>
      <c r="G41" s="1135"/>
      <c r="H41" s="1145">
        <f>SUMIF(MAP!$E$2007:$E$2018,$C41,MAP!$T$2007:$T$2018)</f>
        <v>0</v>
      </c>
      <c r="I41" s="1145">
        <f>SUMIF(MAP!$E$2019:$E$2031,$C41,MAP!$T$2019:$T$2031)</f>
        <v>0</v>
      </c>
      <c r="J41" s="1144">
        <f>SUMIF(MAP!$E$2056:$E$2062,$C41,MAP!$T$2056:$T$2062)</f>
        <v>0</v>
      </c>
    </row>
    <row r="42" spans="1:10" x14ac:dyDescent="0.2">
      <c r="A42" s="397"/>
      <c r="B42" s="437"/>
      <c r="C42" s="436"/>
      <c r="D42" s="1149"/>
      <c r="E42" s="1149"/>
      <c r="F42" s="1149"/>
      <c r="G42" s="1149"/>
      <c r="H42" s="1149"/>
      <c r="I42" s="1149"/>
      <c r="J42" s="1149"/>
    </row>
    <row r="43" spans="1:10" x14ac:dyDescent="0.2">
      <c r="A43" s="397"/>
      <c r="B43" s="437"/>
      <c r="C43" s="436"/>
      <c r="D43" s="1149"/>
      <c r="E43" s="1149"/>
      <c r="F43" s="1149"/>
      <c r="G43" s="1149"/>
      <c r="H43" s="1149"/>
      <c r="I43" s="1149"/>
      <c r="J43" s="1149"/>
    </row>
    <row r="44" spans="1:10" x14ac:dyDescent="0.2">
      <c r="A44" s="397"/>
      <c r="B44" s="437"/>
      <c r="C44" s="436" t="s">
        <v>1832</v>
      </c>
      <c r="D44" s="1145">
        <f>SUMIF(MAP!$E$2007:$E$2018,$C44,MAP!$N$2007:$N$2018)</f>
        <v>0</v>
      </c>
      <c r="E44" s="1145">
        <f>SUMIF(MAP!$E$2019:$E$2031,$C44,MAP!$N$2019:$N$2031)</f>
        <v>0</v>
      </c>
      <c r="F44" s="1144">
        <f>SUMIF(MAP!$E$2056:$E$2062,$C44,MAP!$N$2056:$N$2062)</f>
        <v>0</v>
      </c>
      <c r="G44" s="1135"/>
      <c r="H44" s="1145">
        <f>SUMIF(MAP!$E$2007:$E$2018,$C44,MAP!$T$2007:$T$2018)</f>
        <v>0</v>
      </c>
      <c r="I44" s="1145">
        <f>SUMIF(MAP!$E$2019:$E$2031,$C44,MAP!$T$2019:$T$2031)</f>
        <v>0</v>
      </c>
      <c r="J44" s="1144">
        <f>SUMIF(MAP!$E$2056:$E$2062,$C44,MAP!$T$2056:$T$2062)</f>
        <v>0</v>
      </c>
    </row>
    <row r="45" spans="1:10" x14ac:dyDescent="0.2">
      <c r="A45" s="397"/>
      <c r="B45" s="437"/>
      <c r="C45" s="436"/>
      <c r="D45" s="1149"/>
      <c r="E45" s="1149"/>
      <c r="F45" s="1149"/>
      <c r="G45" s="1149"/>
      <c r="H45" s="1149"/>
      <c r="I45" s="1149"/>
      <c r="J45" s="1150"/>
    </row>
    <row r="46" spans="1:10" x14ac:dyDescent="0.2">
      <c r="A46" s="397"/>
      <c r="B46" s="983"/>
      <c r="C46" s="1122" t="s">
        <v>1897</v>
      </c>
      <c r="D46" s="1146">
        <f>SUM(D37:D45)</f>
        <v>0</v>
      </c>
      <c r="E46" s="1146">
        <f>SUM(E37:E45)</f>
        <v>0</v>
      </c>
      <c r="F46" s="1146">
        <f>SUM(F37:F45)</f>
        <v>40842</v>
      </c>
      <c r="G46" s="1151"/>
      <c r="H46" s="1146">
        <f>SUM(H37:H45)</f>
        <v>0</v>
      </c>
      <c r="I46" s="1146">
        <f>SUM(I37:I45)</f>
        <v>0</v>
      </c>
      <c r="J46" s="1146">
        <f>SUM(J37:J45)</f>
        <v>325</v>
      </c>
    </row>
    <row r="47" spans="1:10" x14ac:dyDescent="0.2">
      <c r="A47" s="397"/>
      <c r="B47" s="397"/>
      <c r="C47" s="397"/>
      <c r="D47" s="397"/>
      <c r="E47" s="397"/>
      <c r="F47" s="397"/>
      <c r="G47" s="397"/>
      <c r="H47" s="397"/>
      <c r="I47" s="397"/>
      <c r="J47" s="397"/>
    </row>
    <row r="48" spans="1:10" x14ac:dyDescent="0.2">
      <c r="A48" s="397"/>
      <c r="B48" s="1130" t="s">
        <v>1833</v>
      </c>
      <c r="C48" s="397"/>
      <c r="D48" s="397"/>
      <c r="E48" s="397"/>
      <c r="F48" s="397"/>
      <c r="G48" s="397"/>
      <c r="H48" s="397"/>
      <c r="I48" s="397"/>
      <c r="J48" s="397"/>
    </row>
    <row r="49" spans="1:11" x14ac:dyDescent="0.2">
      <c r="A49" s="397"/>
      <c r="B49" s="494"/>
      <c r="C49" s="494"/>
      <c r="D49" s="397"/>
      <c r="E49" s="397"/>
      <c r="F49" s="397"/>
      <c r="G49" s="947"/>
      <c r="H49" s="397"/>
      <c r="I49" s="397"/>
      <c r="J49" s="397"/>
    </row>
    <row r="50" spans="1:11" x14ac:dyDescent="0.2">
      <c r="A50" s="397"/>
      <c r="B50" s="494"/>
      <c r="C50" s="494"/>
      <c r="D50" s="397"/>
      <c r="E50" s="397"/>
      <c r="F50" s="397"/>
      <c r="G50" s="947"/>
      <c r="H50" s="397"/>
      <c r="I50" s="397"/>
      <c r="J50" s="397"/>
    </row>
    <row r="51" spans="1:11" x14ac:dyDescent="0.2">
      <c r="A51" s="397"/>
      <c r="B51" s="484" t="s">
        <v>894</v>
      </c>
      <c r="C51" s="494"/>
      <c r="D51" s="397"/>
      <c r="E51" s="397"/>
      <c r="F51" s="397"/>
      <c r="G51" s="947"/>
      <c r="H51" s="397"/>
      <c r="I51" s="397"/>
      <c r="J51" s="397"/>
    </row>
    <row r="52" spans="1:11" ht="68.25" customHeight="1" x14ac:dyDescent="0.2">
      <c r="A52" s="397"/>
      <c r="B52" s="1912" t="s">
        <v>2822</v>
      </c>
      <c r="C52" s="1913"/>
      <c r="D52" s="1913"/>
      <c r="E52" s="1913"/>
      <c r="F52" s="1914"/>
      <c r="H52" s="1017" t="s">
        <v>914</v>
      </c>
      <c r="I52" s="397"/>
      <c r="J52" s="397"/>
      <c r="K52" s="1017" t="s">
        <v>914</v>
      </c>
    </row>
    <row r="53" spans="1:11" x14ac:dyDescent="0.2">
      <c r="A53" s="397"/>
      <c r="B53" s="397"/>
      <c r="C53" s="397"/>
      <c r="D53" s="397"/>
      <c r="E53" s="397"/>
      <c r="F53" s="397"/>
      <c r="G53" s="397"/>
      <c r="H53" s="397"/>
      <c r="I53" s="397"/>
      <c r="J53" s="397"/>
    </row>
    <row r="54" spans="1:11" x14ac:dyDescent="0.2">
      <c r="A54" s="397"/>
      <c r="B54" s="397"/>
      <c r="C54" s="397"/>
      <c r="D54" s="397"/>
      <c r="E54" s="397"/>
      <c r="F54" s="397"/>
      <c r="G54" s="397"/>
      <c r="H54" s="397"/>
      <c r="I54" s="397"/>
      <c r="J54" s="397"/>
    </row>
    <row r="55" spans="1:11" x14ac:dyDescent="0.2">
      <c r="A55" s="397"/>
      <c r="B55" s="397"/>
      <c r="C55" s="397"/>
      <c r="D55" s="397"/>
      <c r="E55" s="397"/>
      <c r="F55" s="397"/>
      <c r="G55" s="397"/>
      <c r="H55" s="397"/>
      <c r="I55" s="397"/>
      <c r="J55" s="397"/>
    </row>
    <row r="56" spans="1:11" x14ac:dyDescent="0.2">
      <c r="A56" s="397"/>
      <c r="B56" s="1917" t="s">
        <v>2062</v>
      </c>
      <c r="C56" s="1918"/>
      <c r="D56" s="1921" t="str">
        <f>Update!$B$13</f>
        <v>2025-26</v>
      </c>
      <c r="E56" s="1922"/>
      <c r="F56" s="945" t="str">
        <f>Update!$B$15</f>
        <v>2024-25</v>
      </c>
      <c r="G56" s="491"/>
      <c r="H56" s="1921" t="str">
        <f>Update!$B$13</f>
        <v>2025-26</v>
      </c>
      <c r="I56" s="1922"/>
      <c r="J56" s="945" t="str">
        <f>Update!$B$15</f>
        <v>2024-25</v>
      </c>
    </row>
    <row r="57" spans="1:11" ht="25.5" x14ac:dyDescent="0.2">
      <c r="A57" s="397"/>
      <c r="B57" s="1919"/>
      <c r="C57" s="1920"/>
      <c r="D57" s="444" t="s">
        <v>913</v>
      </c>
      <c r="E57" s="977" t="s">
        <v>462</v>
      </c>
      <c r="F57" s="977"/>
      <c r="G57" s="397"/>
      <c r="H57" s="444" t="s">
        <v>913</v>
      </c>
      <c r="I57" s="977" t="s">
        <v>462</v>
      </c>
      <c r="J57" s="977"/>
    </row>
    <row r="58" spans="1:11" x14ac:dyDescent="0.2">
      <c r="A58" s="397"/>
      <c r="B58" s="440"/>
      <c r="C58" s="381"/>
      <c r="D58" s="432"/>
      <c r="E58" s="431"/>
      <c r="F58" s="431"/>
      <c r="G58" s="397"/>
      <c r="H58" s="432"/>
      <c r="I58" s="431"/>
      <c r="J58" s="431"/>
    </row>
    <row r="59" spans="1:11" x14ac:dyDescent="0.2">
      <c r="A59" s="397"/>
      <c r="B59" s="442"/>
      <c r="C59" s="443" t="s">
        <v>2063</v>
      </c>
      <c r="D59" s="504">
        <f>SUMIF(MAP!$E$2003:$E$2045,$C59,MAP!$N$2003:$N$2045)</f>
        <v>0</v>
      </c>
      <c r="E59" s="1050"/>
      <c r="F59" s="504">
        <f>SUMIF(MAP!$E$2064:$E$2068,$C59,MAP!$N$2064:$N$2068)</f>
        <v>0</v>
      </c>
      <c r="G59" s="397"/>
      <c r="H59" s="504">
        <f>SUMIF(MAP!$E$2003:$E$2045,$C59,MAP!$T$2003:$T$2045)</f>
        <v>0</v>
      </c>
      <c r="I59" s="1050"/>
      <c r="J59" s="504">
        <f>SUMIF(MAP!$E$2064:$E$2068,$C59,MAP!$T$2064:$T$2068)</f>
        <v>0</v>
      </c>
    </row>
    <row r="60" spans="1:11" x14ac:dyDescent="0.2">
      <c r="A60" s="397"/>
      <c r="B60" s="1101"/>
      <c r="C60" s="957" t="s">
        <v>2072</v>
      </c>
      <c r="D60" s="1050"/>
      <c r="E60" s="504">
        <f>SUMIF(MAP!$E$2003:$E$2045,$C60,MAP!$N$2003:$N$2086)</f>
        <v>0</v>
      </c>
      <c r="F60" s="504">
        <f>SUMIF(MAP!$E$2064:$E$2068,$C60,MAP!$N$2064:$N$2068)</f>
        <v>0</v>
      </c>
      <c r="G60" s="397"/>
      <c r="H60" s="1050"/>
      <c r="I60" s="504">
        <f>SUMIF(MAP!$E$2003:$E$2045,$C60,MAP!$T$2003:$T$2086)</f>
        <v>0</v>
      </c>
      <c r="J60" s="504">
        <f>SUMIF(MAP!$E$2064:$E$2068,$C60,MAP!$T$2064:$T$2068)</f>
        <v>0</v>
      </c>
    </row>
    <row r="61" spans="1:11" x14ac:dyDescent="0.2">
      <c r="A61" s="397"/>
      <c r="B61" s="441"/>
      <c r="C61" s="397"/>
      <c r="D61" s="397"/>
      <c r="E61" s="397"/>
      <c r="F61" s="397"/>
      <c r="G61" s="397"/>
      <c r="H61" s="397"/>
      <c r="I61" s="397"/>
      <c r="J61" s="477"/>
    </row>
    <row r="62" spans="1:11" x14ac:dyDescent="0.2">
      <c r="A62" s="397"/>
      <c r="B62" s="441"/>
      <c r="C62" s="397"/>
      <c r="D62" s="397"/>
      <c r="E62" s="397"/>
      <c r="F62" s="397"/>
      <c r="G62" s="397"/>
      <c r="H62" s="397"/>
      <c r="I62" s="397"/>
      <c r="J62" s="477"/>
    </row>
    <row r="63" spans="1:11" ht="13.5" thickBot="1" x14ac:dyDescent="0.25">
      <c r="A63" s="388"/>
      <c r="B63" s="441"/>
      <c r="C63" s="397"/>
      <c r="D63" s="397"/>
      <c r="E63" s="397"/>
      <c r="F63" s="397"/>
      <c r="G63" s="397"/>
      <c r="H63" s="397"/>
      <c r="I63" s="397"/>
      <c r="J63" s="477"/>
    </row>
    <row r="64" spans="1:11" ht="15" customHeight="1" x14ac:dyDescent="0.2">
      <c r="A64" s="397"/>
      <c r="B64" s="1126" t="s">
        <v>2612</v>
      </c>
      <c r="C64" s="1127"/>
      <c r="D64" s="1915" t="str">
        <f>+D56</f>
        <v>2025-26</v>
      </c>
      <c r="E64" s="1916"/>
      <c r="F64" s="969" t="str">
        <f>+F56</f>
        <v>2024-25</v>
      </c>
      <c r="G64" s="397"/>
      <c r="H64" s="1915" t="str">
        <f>+H56</f>
        <v>2025-26</v>
      </c>
      <c r="I64" s="1916"/>
      <c r="J64" s="969" t="str">
        <f>+J56</f>
        <v>2024-25</v>
      </c>
    </row>
    <row r="65" spans="1:10" ht="25.5" x14ac:dyDescent="0.2">
      <c r="A65" s="397"/>
      <c r="B65" s="440"/>
      <c r="C65" s="381"/>
      <c r="D65" s="444" t="s">
        <v>913</v>
      </c>
      <c r="E65" s="977" t="s">
        <v>462</v>
      </c>
      <c r="F65" s="977" t="s">
        <v>462</v>
      </c>
      <c r="G65" s="397"/>
      <c r="H65" s="444" t="s">
        <v>913</v>
      </c>
      <c r="I65" s="977" t="s">
        <v>462</v>
      </c>
      <c r="J65" s="977" t="s">
        <v>462</v>
      </c>
    </row>
    <row r="66" spans="1:10" x14ac:dyDescent="0.2">
      <c r="A66" s="397"/>
      <c r="B66" s="440"/>
      <c r="C66" s="1016" t="s">
        <v>2065</v>
      </c>
      <c r="D66" s="1145">
        <f>SUMIF(MAP!$E$2041:$E$2041,$C66,MAP!$N$2041:$N$2041)</f>
        <v>0</v>
      </c>
      <c r="E66" s="1145">
        <f>SUMIF(MAP!$E$2042:$E$2042,$C66,MAP!$N$2042:$N$2042)</f>
        <v>0</v>
      </c>
      <c r="F66" s="504">
        <f>SUMIF(MAP!$E$2064:$E$2068,$C66,MAP!$N$2064:$N$2068)</f>
        <v>0</v>
      </c>
      <c r="G66" s="397"/>
      <c r="H66" s="1144">
        <f>SUMIF(MAP!$E$2041:$E$2041,$C66,MAP!$T$2041:$T$2041)</f>
        <v>0</v>
      </c>
      <c r="I66" s="1144">
        <f>SUMIF(MAP!$E$2042:$E$2042,$C66,MAP!$T$2042:$T$2042)</f>
        <v>0</v>
      </c>
      <c r="J66" s="504">
        <f>SUMIF(MAP!$E$2064:$E$2068,$C66,MAP!$T$2064:$T$2068)</f>
        <v>0</v>
      </c>
    </row>
    <row r="67" spans="1:10" x14ac:dyDescent="0.2">
      <c r="A67" s="397"/>
      <c r="B67" s="1053"/>
      <c r="C67" s="1016"/>
      <c r="D67" s="1145"/>
      <c r="E67" s="1145"/>
      <c r="F67" s="1118"/>
      <c r="G67" s="397"/>
      <c r="H67" s="1144"/>
      <c r="I67" s="1144"/>
      <c r="J67" s="1118"/>
    </row>
    <row r="68" spans="1:10" x14ac:dyDescent="0.2">
      <c r="A68" s="397"/>
      <c r="B68" s="1052"/>
      <c r="C68" s="1122" t="s">
        <v>2068</v>
      </c>
      <c r="D68" s="1123">
        <f>SUM(D66:D67)</f>
        <v>0</v>
      </c>
      <c r="E68" s="1123">
        <f>SUM(E66:E67)</f>
        <v>0</v>
      </c>
      <c r="F68" s="1123">
        <f>SUM(F66:F67)</f>
        <v>0</v>
      </c>
      <c r="G68" s="473"/>
      <c r="H68" s="1123">
        <f>SUM(H66:H67)</f>
        <v>0</v>
      </c>
      <c r="I68" s="1123">
        <f>SUM(I66:I67)</f>
        <v>0</v>
      </c>
      <c r="J68" s="1146">
        <f>SUM(J66:J67)/2</f>
        <v>0</v>
      </c>
    </row>
    <row r="70" spans="1:10" x14ac:dyDescent="0.2">
      <c r="A70" s="397"/>
      <c r="B70" s="397"/>
      <c r="C70" s="397"/>
      <c r="D70" s="397"/>
      <c r="E70" s="397"/>
      <c r="F70" s="397"/>
      <c r="G70" s="397"/>
      <c r="H70" s="397"/>
      <c r="I70" s="397"/>
      <c r="J70" s="397"/>
    </row>
    <row r="71" spans="1:10" x14ac:dyDescent="0.2">
      <c r="A71" s="388" t="s">
        <v>916</v>
      </c>
      <c r="B71" s="397"/>
      <c r="C71" s="397"/>
      <c r="D71" s="397"/>
      <c r="E71" s="397"/>
      <c r="F71" s="397"/>
      <c r="G71" s="397"/>
      <c r="H71" s="397"/>
      <c r="I71" s="397"/>
      <c r="J71" s="397"/>
    </row>
    <row r="72" spans="1:10" x14ac:dyDescent="0.2">
      <c r="A72" s="397"/>
      <c r="B72" s="397"/>
      <c r="C72" s="397"/>
      <c r="D72" s="397"/>
      <c r="E72" s="397"/>
      <c r="F72" s="397"/>
      <c r="G72" s="397"/>
      <c r="H72" s="397"/>
      <c r="I72" s="397"/>
      <c r="J72" s="397"/>
    </row>
    <row r="73" spans="1:10" x14ac:dyDescent="0.2">
      <c r="A73" s="397"/>
      <c r="B73" s="1929" t="s">
        <v>917</v>
      </c>
      <c r="C73" s="1929"/>
      <c r="D73" s="1929"/>
      <c r="E73" s="1929"/>
      <c r="F73" s="1929"/>
      <c r="G73" s="397"/>
      <c r="H73" s="397"/>
      <c r="I73" s="397"/>
      <c r="J73" s="397"/>
    </row>
    <row r="74" spans="1:10" x14ac:dyDescent="0.2">
      <c r="A74" s="397"/>
      <c r="B74" s="429" t="s">
        <v>918</v>
      </c>
      <c r="C74" s="428" t="s">
        <v>919</v>
      </c>
      <c r="D74" s="427"/>
      <c r="E74" s="427"/>
      <c r="F74" s="427"/>
      <c r="G74" s="397"/>
      <c r="H74" s="397"/>
      <c r="I74" s="397"/>
      <c r="J74" s="397"/>
    </row>
    <row r="75" spans="1:10" x14ac:dyDescent="0.2">
      <c r="A75" s="397"/>
      <c r="B75" s="429" t="s">
        <v>920</v>
      </c>
      <c r="C75" s="428" t="s">
        <v>921</v>
      </c>
      <c r="D75" s="427"/>
      <c r="E75" s="427"/>
      <c r="F75" s="427"/>
      <c r="G75" s="397"/>
      <c r="H75" s="397"/>
      <c r="I75" s="397"/>
      <c r="J75" s="397"/>
    </row>
    <row r="76" spans="1:10" x14ac:dyDescent="0.2">
      <c r="A76" s="397"/>
      <c r="B76" s="429" t="s">
        <v>922</v>
      </c>
      <c r="C76" s="428" t="s">
        <v>923</v>
      </c>
      <c r="D76" s="427"/>
      <c r="E76" s="427"/>
      <c r="F76" s="427"/>
      <c r="G76" s="397"/>
      <c r="H76" s="397"/>
      <c r="I76" s="397"/>
      <c r="J76" s="397"/>
    </row>
    <row r="77" spans="1:10" x14ac:dyDescent="0.2">
      <c r="A77" s="397"/>
      <c r="B77" s="429" t="s">
        <v>924</v>
      </c>
      <c r="C77" s="428" t="s">
        <v>925</v>
      </c>
      <c r="D77" s="427"/>
      <c r="E77" s="427"/>
      <c r="F77" s="427"/>
      <c r="G77" s="397"/>
      <c r="H77" s="397"/>
      <c r="I77" s="397"/>
      <c r="J77" s="397"/>
    </row>
    <row r="78" spans="1:10" x14ac:dyDescent="0.2">
      <c r="A78" s="397"/>
      <c r="B78" s="429"/>
      <c r="C78" s="428"/>
      <c r="D78" s="427"/>
      <c r="E78" s="427"/>
      <c r="F78" s="427"/>
      <c r="G78" s="397"/>
      <c r="H78" s="397"/>
      <c r="I78" s="397"/>
      <c r="J78" s="397"/>
    </row>
    <row r="79" spans="1:10" x14ac:dyDescent="0.2">
      <c r="A79" s="397"/>
      <c r="B79" s="397"/>
      <c r="C79" s="397"/>
      <c r="D79" s="397"/>
      <c r="E79" s="397"/>
      <c r="F79" s="397"/>
      <c r="G79" s="397"/>
      <c r="H79" s="397"/>
      <c r="I79" s="397"/>
      <c r="J79" s="397"/>
    </row>
    <row r="80" spans="1:10" x14ac:dyDescent="0.2">
      <c r="A80" s="388" t="s">
        <v>926</v>
      </c>
      <c r="B80" s="397"/>
      <c r="C80" s="397"/>
      <c r="D80" s="397"/>
      <c r="E80" s="397"/>
      <c r="F80" s="397"/>
      <c r="G80" s="397"/>
      <c r="H80" s="397"/>
      <c r="I80" s="397"/>
      <c r="J80" s="397"/>
    </row>
    <row r="81" spans="1:10" x14ac:dyDescent="0.2">
      <c r="A81" s="397"/>
      <c r="B81" s="397"/>
      <c r="C81" s="397"/>
      <c r="D81" s="397"/>
      <c r="E81" s="397"/>
      <c r="F81" s="397"/>
      <c r="G81" s="397"/>
      <c r="H81" s="397"/>
      <c r="I81" s="397"/>
      <c r="J81" s="397"/>
    </row>
    <row r="82" spans="1:10" x14ac:dyDescent="0.2">
      <c r="A82" s="397"/>
      <c r="B82" s="1930" t="s">
        <v>2626</v>
      </c>
      <c r="C82" s="1930"/>
      <c r="D82" s="1930"/>
      <c r="E82" s="1930"/>
      <c r="F82" s="1930"/>
      <c r="G82" s="397"/>
      <c r="H82" s="397"/>
      <c r="I82" s="397"/>
      <c r="J82" s="397"/>
    </row>
    <row r="83" spans="1:10" x14ac:dyDescent="0.2">
      <c r="A83" s="397"/>
      <c r="B83" s="1930"/>
      <c r="C83" s="1930"/>
      <c r="D83" s="1930"/>
      <c r="E83" s="1930"/>
      <c r="F83" s="1930"/>
      <c r="G83" s="397"/>
      <c r="H83" s="397"/>
      <c r="I83" s="397"/>
      <c r="J83" s="397"/>
    </row>
    <row r="84" spans="1:10" x14ac:dyDescent="0.2">
      <c r="A84" s="397"/>
      <c r="B84" s="388" t="s">
        <v>2361</v>
      </c>
      <c r="C84" s="397"/>
      <c r="D84" s="397"/>
      <c r="E84" s="397"/>
      <c r="F84" s="397"/>
      <c r="G84" s="397"/>
      <c r="H84" s="397"/>
      <c r="I84" s="397"/>
      <c r="J84" s="397"/>
    </row>
    <row r="85" spans="1:10" x14ac:dyDescent="0.2">
      <c r="A85" s="397"/>
      <c r="B85" s="397"/>
      <c r="C85" s="397"/>
      <c r="D85" s="397"/>
      <c r="E85" s="397"/>
      <c r="F85" s="397"/>
      <c r="G85" s="397"/>
      <c r="H85" s="397"/>
      <c r="I85" s="397"/>
      <c r="J85" s="397"/>
    </row>
    <row r="86" spans="1:10" x14ac:dyDescent="0.2">
      <c r="A86" s="397"/>
      <c r="B86" s="1931" t="s">
        <v>2359</v>
      </c>
      <c r="C86" s="1932"/>
      <c r="D86" s="1932"/>
      <c r="E86" s="1932"/>
      <c r="F86" s="1932"/>
      <c r="G86" s="397"/>
      <c r="H86" s="397"/>
      <c r="I86" s="397"/>
      <c r="J86" s="397"/>
    </row>
    <row r="87" spans="1:10" ht="76.5" x14ac:dyDescent="0.2">
      <c r="A87" s="397"/>
      <c r="B87" s="1924" t="s">
        <v>2362</v>
      </c>
      <c r="C87" s="1925"/>
      <c r="D87" s="1223" t="s">
        <v>2363</v>
      </c>
      <c r="E87" s="1223" t="s">
        <v>2364</v>
      </c>
      <c r="F87" s="1223" t="s">
        <v>2365</v>
      </c>
      <c r="G87" s="397"/>
      <c r="H87" s="397"/>
    </row>
    <row r="88" spans="1:10" x14ac:dyDescent="0.2">
      <c r="A88" s="397"/>
      <c r="B88" s="1926" t="s">
        <v>815</v>
      </c>
      <c r="C88" s="1927"/>
      <c r="D88" s="1462">
        <v>7035</v>
      </c>
      <c r="E88" s="1462">
        <f>SUMIF(MAP!$E$2071:$E$2085,$B88,MAP!$N$2071:$N$2085)</f>
        <v>0</v>
      </c>
      <c r="F88" s="1463">
        <f>+D88-E88</f>
        <v>7035</v>
      </c>
      <c r="G88" s="397"/>
      <c r="H88" s="397"/>
      <c r="I88" s="397"/>
      <c r="J88" s="397"/>
    </row>
    <row r="89" spans="1:10" x14ac:dyDescent="0.2">
      <c r="A89" s="397"/>
      <c r="B89" s="1926" t="s">
        <v>816</v>
      </c>
      <c r="C89" s="1927"/>
      <c r="D89" s="1462">
        <v>268</v>
      </c>
      <c r="E89" s="1462">
        <f>SUMIF(MAP!$E$2071:$E$2085,$B89,MAP!$N$2071:$N$2085)</f>
        <v>0</v>
      </c>
      <c r="F89" s="1463">
        <f t="shared" ref="F89:F94" si="0">+D89-E89</f>
        <v>268</v>
      </c>
      <c r="G89" s="397"/>
      <c r="H89" s="397"/>
      <c r="I89" s="397"/>
      <c r="J89" s="397"/>
    </row>
    <row r="90" spans="1:10" x14ac:dyDescent="0.2">
      <c r="A90" s="397"/>
      <c r="B90" s="1926" t="s">
        <v>817</v>
      </c>
      <c r="C90" s="1927"/>
      <c r="D90" s="1462">
        <v>1315</v>
      </c>
      <c r="E90" s="1462">
        <f>SUMIF(MAP!$E$2071:$E$2085,$B90,MAP!$N$2071:$N$2085)</f>
        <v>0</v>
      </c>
      <c r="F90" s="1463">
        <f t="shared" si="0"/>
        <v>1315</v>
      </c>
      <c r="G90" s="397"/>
      <c r="H90" s="397"/>
      <c r="I90" s="397"/>
      <c r="J90" s="397"/>
    </row>
    <row r="91" spans="1:10" x14ac:dyDescent="0.2">
      <c r="A91" s="397"/>
      <c r="B91" s="1926" t="s">
        <v>818</v>
      </c>
      <c r="C91" s="1927"/>
      <c r="D91" s="1462">
        <v>0</v>
      </c>
      <c r="E91" s="1462">
        <f>SUMIF(MAP!$E$2071:$E$2085,$B91,MAP!$N$2071:$N$2085)</f>
        <v>0</v>
      </c>
      <c r="F91" s="1463">
        <f t="shared" si="0"/>
        <v>0</v>
      </c>
      <c r="G91" s="397"/>
      <c r="H91" s="397"/>
      <c r="I91" s="397"/>
      <c r="J91" s="397"/>
    </row>
    <row r="92" spans="1:10" x14ac:dyDescent="0.2">
      <c r="A92" s="397"/>
      <c r="B92" s="1926" t="s">
        <v>819</v>
      </c>
      <c r="C92" s="1927"/>
      <c r="D92" s="1462">
        <v>0</v>
      </c>
      <c r="E92" s="1462">
        <f>SUMIF(MAP!$E$2071:$E$2085,$B92,MAP!$N$2071:$N$2085)</f>
        <v>0</v>
      </c>
      <c r="F92" s="1463">
        <f t="shared" si="0"/>
        <v>0</v>
      </c>
      <c r="G92" s="397"/>
      <c r="H92" s="397"/>
      <c r="I92" s="397"/>
      <c r="J92" s="397"/>
    </row>
    <row r="93" spans="1:10" x14ac:dyDescent="0.2">
      <c r="A93" s="397"/>
      <c r="B93" s="1926" t="s">
        <v>820</v>
      </c>
      <c r="C93" s="1927"/>
      <c r="D93" s="1462">
        <v>435</v>
      </c>
      <c r="E93" s="1462">
        <f>SUMIF(MAP!$E$2071:$E$2085,$B93,MAP!$N$2071:$N$2085)</f>
        <v>0</v>
      </c>
      <c r="F93" s="1463">
        <f t="shared" si="0"/>
        <v>435</v>
      </c>
      <c r="G93" s="397"/>
      <c r="H93" s="397"/>
      <c r="I93" s="397"/>
      <c r="J93" s="397"/>
    </row>
    <row r="94" spans="1:10" x14ac:dyDescent="0.2">
      <c r="A94" s="397"/>
      <c r="B94" s="1926"/>
      <c r="C94" s="1927"/>
      <c r="D94" s="1462"/>
      <c r="E94" s="1462">
        <f>SUMIF(MAP!$E$2071:$E$2085,$B94,MAP!$N$2071:$N$2085)</f>
        <v>0</v>
      </c>
      <c r="F94" s="1463">
        <f t="shared" si="0"/>
        <v>0</v>
      </c>
      <c r="G94" s="397"/>
      <c r="H94" s="397"/>
      <c r="I94" s="397"/>
      <c r="J94" s="397"/>
    </row>
    <row r="95" spans="1:10" x14ac:dyDescent="0.2">
      <c r="A95" s="397"/>
      <c r="B95" s="1928" t="s">
        <v>2360</v>
      </c>
      <c r="C95" s="1928"/>
      <c r="D95" s="1928"/>
      <c r="E95" s="1928"/>
      <c r="G95" s="397"/>
      <c r="H95" s="397"/>
      <c r="I95" s="397"/>
      <c r="J95" s="397"/>
    </row>
    <row r="96" spans="1:10" ht="76.5" x14ac:dyDescent="0.2">
      <c r="A96" s="397"/>
      <c r="B96" s="1924" t="s">
        <v>2362</v>
      </c>
      <c r="C96" s="1925"/>
      <c r="D96" s="1223" t="s">
        <v>2363</v>
      </c>
      <c r="E96" s="1223" t="s">
        <v>2364</v>
      </c>
      <c r="F96" s="1223" t="s">
        <v>2365</v>
      </c>
      <c r="G96" s="397"/>
    </row>
    <row r="97" spans="1:10" x14ac:dyDescent="0.2">
      <c r="A97" s="397"/>
      <c r="B97" s="1926"/>
      <c r="C97" s="1927"/>
      <c r="D97" s="1462"/>
      <c r="E97" s="1462"/>
      <c r="F97" s="1463">
        <f t="shared" ref="F97:F104" si="1">+D97-E97</f>
        <v>0</v>
      </c>
      <c r="G97" s="397"/>
      <c r="H97" s="397"/>
      <c r="I97" s="397"/>
      <c r="J97" s="397"/>
    </row>
    <row r="98" spans="1:10" x14ac:dyDescent="0.2">
      <c r="A98" s="397"/>
      <c r="B98" s="1926"/>
      <c r="C98" s="1927"/>
      <c r="D98" s="1462"/>
      <c r="E98" s="1462"/>
      <c r="F98" s="1463">
        <f t="shared" si="1"/>
        <v>0</v>
      </c>
      <c r="G98" s="397"/>
      <c r="H98" s="397"/>
      <c r="I98" s="397"/>
      <c r="J98" s="397"/>
    </row>
    <row r="99" spans="1:10" x14ac:dyDescent="0.2">
      <c r="A99" s="397"/>
      <c r="B99" s="1926"/>
      <c r="C99" s="1927"/>
      <c r="D99" s="1462"/>
      <c r="E99" s="1462"/>
      <c r="F99" s="1463">
        <f t="shared" si="1"/>
        <v>0</v>
      </c>
      <c r="G99" s="397"/>
      <c r="H99" s="397"/>
      <c r="I99" s="397"/>
      <c r="J99" s="397"/>
    </row>
    <row r="100" spans="1:10" x14ac:dyDescent="0.2">
      <c r="A100" s="397"/>
      <c r="B100" s="1926"/>
      <c r="C100" s="1927"/>
      <c r="D100" s="1462"/>
      <c r="E100" s="1462"/>
      <c r="F100" s="1463">
        <f t="shared" si="1"/>
        <v>0</v>
      </c>
      <c r="G100" s="397"/>
      <c r="H100" s="397"/>
      <c r="I100" s="397"/>
      <c r="J100" s="397"/>
    </row>
    <row r="101" spans="1:10" x14ac:dyDescent="0.2">
      <c r="A101" s="397"/>
      <c r="B101" s="1926"/>
      <c r="C101" s="1927"/>
      <c r="D101" s="1462"/>
      <c r="E101" s="1462"/>
      <c r="F101" s="1463">
        <f t="shared" si="1"/>
        <v>0</v>
      </c>
      <c r="G101" s="397"/>
      <c r="H101" s="397"/>
      <c r="I101" s="397"/>
      <c r="J101" s="397"/>
    </row>
    <row r="102" spans="1:10" x14ac:dyDescent="0.2">
      <c r="A102" s="397"/>
      <c r="B102" s="1926"/>
      <c r="C102" s="1927"/>
      <c r="D102" s="1462"/>
      <c r="E102" s="1462"/>
      <c r="F102" s="1463">
        <f t="shared" si="1"/>
        <v>0</v>
      </c>
      <c r="G102" s="397"/>
      <c r="H102" s="397"/>
      <c r="I102" s="397"/>
      <c r="J102" s="397"/>
    </row>
    <row r="103" spans="1:10" x14ac:dyDescent="0.2">
      <c r="A103" s="397"/>
      <c r="B103" s="1926"/>
      <c r="C103" s="1927"/>
      <c r="D103" s="1462"/>
      <c r="E103" s="1462"/>
      <c r="F103" s="1463">
        <f t="shared" si="1"/>
        <v>0</v>
      </c>
      <c r="G103" s="397"/>
      <c r="H103" s="397"/>
      <c r="I103" s="397"/>
      <c r="J103" s="397"/>
    </row>
    <row r="104" spans="1:10" x14ac:dyDescent="0.2">
      <c r="A104" s="397"/>
      <c r="B104" s="1926"/>
      <c r="C104" s="1927"/>
      <c r="D104" s="1462"/>
      <c r="E104" s="1462"/>
      <c r="F104" s="1463">
        <f t="shared" si="1"/>
        <v>0</v>
      </c>
      <c r="G104" s="397"/>
      <c r="H104" s="397"/>
      <c r="I104" s="397"/>
      <c r="J104" s="397"/>
    </row>
    <row r="105" spans="1:10" x14ac:dyDescent="0.2">
      <c r="A105" s="397"/>
      <c r="B105" s="1926"/>
      <c r="C105" s="1927"/>
      <c r="D105" s="1462"/>
      <c r="E105" s="1462"/>
      <c r="F105" s="1463">
        <f t="shared" ref="F105:F112" si="2">+D105-E105</f>
        <v>0</v>
      </c>
      <c r="G105" s="397"/>
      <c r="H105" s="397"/>
      <c r="I105" s="397"/>
      <c r="J105" s="397"/>
    </row>
    <row r="106" spans="1:10" x14ac:dyDescent="0.2">
      <c r="A106" s="397"/>
      <c r="B106" s="1926"/>
      <c r="C106" s="1927"/>
      <c r="D106" s="1462"/>
      <c r="E106" s="1462"/>
      <c r="F106" s="1463">
        <f t="shared" si="2"/>
        <v>0</v>
      </c>
      <c r="G106" s="397"/>
      <c r="H106" s="397"/>
      <c r="I106" s="397"/>
      <c r="J106" s="397"/>
    </row>
    <row r="107" spans="1:10" x14ac:dyDescent="0.2">
      <c r="A107" s="397"/>
      <c r="B107" s="1926"/>
      <c r="C107" s="1927"/>
      <c r="D107" s="1462"/>
      <c r="E107" s="1462"/>
      <c r="F107" s="1463">
        <f t="shared" si="2"/>
        <v>0</v>
      </c>
      <c r="G107" s="397"/>
      <c r="H107" s="397"/>
      <c r="I107" s="397"/>
      <c r="J107" s="397"/>
    </row>
    <row r="108" spans="1:10" x14ac:dyDescent="0.2">
      <c r="A108" s="397"/>
      <c r="B108" s="1926"/>
      <c r="C108" s="1927"/>
      <c r="D108" s="1462"/>
      <c r="E108" s="1462"/>
      <c r="F108" s="1463">
        <f t="shared" si="2"/>
        <v>0</v>
      </c>
      <c r="G108" s="397"/>
      <c r="H108" s="397"/>
      <c r="I108" s="397"/>
      <c r="J108" s="397"/>
    </row>
    <row r="109" spans="1:10" x14ac:dyDescent="0.2">
      <c r="A109" s="397"/>
      <c r="B109" s="1926"/>
      <c r="C109" s="1927"/>
      <c r="D109" s="1462"/>
      <c r="E109" s="1462"/>
      <c r="F109" s="1463">
        <f t="shared" si="2"/>
        <v>0</v>
      </c>
      <c r="G109" s="397"/>
      <c r="H109" s="397"/>
      <c r="I109" s="397"/>
      <c r="J109" s="397"/>
    </row>
    <row r="110" spans="1:10" x14ac:dyDescent="0.2">
      <c r="A110" s="397"/>
      <c r="B110" s="1926"/>
      <c r="C110" s="1927"/>
      <c r="D110" s="1462"/>
      <c r="E110" s="1462"/>
      <c r="F110" s="1463">
        <f t="shared" si="2"/>
        <v>0</v>
      </c>
      <c r="G110" s="397"/>
      <c r="H110" s="397"/>
      <c r="I110" s="397"/>
      <c r="J110" s="397"/>
    </row>
    <row r="111" spans="1:10" x14ac:dyDescent="0.2">
      <c r="A111" s="397"/>
      <c r="B111" s="1926"/>
      <c r="C111" s="1927"/>
      <c r="D111" s="1462"/>
      <c r="E111" s="1462"/>
      <c r="F111" s="1463">
        <f t="shared" si="2"/>
        <v>0</v>
      </c>
      <c r="G111" s="397"/>
      <c r="H111" s="397"/>
      <c r="I111" s="397"/>
      <c r="J111" s="397"/>
    </row>
    <row r="112" spans="1:10" x14ac:dyDescent="0.2">
      <c r="A112" s="397"/>
      <c r="B112" s="1926"/>
      <c r="C112" s="1927"/>
      <c r="D112" s="1462"/>
      <c r="E112" s="1462"/>
      <c r="F112" s="1463">
        <f t="shared" si="2"/>
        <v>0</v>
      </c>
      <c r="G112" s="397"/>
      <c r="H112" s="397"/>
      <c r="I112" s="397"/>
      <c r="J112" s="397"/>
    </row>
    <row r="113" spans="1:25" x14ac:dyDescent="0.2">
      <c r="A113" s="397"/>
      <c r="B113" s="397"/>
      <c r="C113" s="397"/>
      <c r="D113" s="397"/>
      <c r="E113" s="397"/>
      <c r="F113" s="397"/>
      <c r="G113" s="397"/>
      <c r="H113" s="397"/>
      <c r="I113" s="397"/>
      <c r="J113" s="397"/>
    </row>
    <row r="114" spans="1:25" x14ac:dyDescent="0.2">
      <c r="A114" s="397"/>
      <c r="B114" s="397"/>
      <c r="C114" s="397"/>
      <c r="D114" s="397"/>
      <c r="E114" s="397"/>
      <c r="F114" s="397"/>
      <c r="G114" s="397"/>
      <c r="H114" s="397"/>
      <c r="I114" s="397"/>
      <c r="J114" s="397"/>
    </row>
    <row r="115" spans="1:25" x14ac:dyDescent="0.2">
      <c r="A115" s="397"/>
      <c r="B115" s="397"/>
      <c r="C115" s="397"/>
      <c r="D115" s="397"/>
      <c r="E115" s="397"/>
      <c r="F115" s="397"/>
      <c r="G115" s="397"/>
      <c r="H115" s="397"/>
      <c r="I115" s="397"/>
      <c r="J115" s="397"/>
    </row>
    <row r="117" spans="1:25" x14ac:dyDescent="0.2">
      <c r="B117" s="1030" t="s">
        <v>1810</v>
      </c>
    </row>
    <row r="118" spans="1:25" x14ac:dyDescent="0.2">
      <c r="B118" s="1029" t="s">
        <v>1831</v>
      </c>
    </row>
    <row r="119" spans="1:25" ht="50.25" customHeight="1" x14ac:dyDescent="0.2">
      <c r="B119" s="1025"/>
      <c r="C119" s="1025"/>
      <c r="D119" s="1027" t="s">
        <v>604</v>
      </c>
      <c r="E119" s="1022" t="s">
        <v>1324</v>
      </c>
      <c r="F119" s="1023" t="s">
        <v>2457</v>
      </c>
      <c r="G119" s="1023" t="s">
        <v>5</v>
      </c>
      <c r="H119" s="1023" t="s">
        <v>11</v>
      </c>
      <c r="I119" s="1023" t="s">
        <v>25</v>
      </c>
      <c r="J119" s="1023" t="s">
        <v>1011</v>
      </c>
      <c r="K119" s="1023" t="s">
        <v>19</v>
      </c>
      <c r="L119" s="1023" t="s">
        <v>35</v>
      </c>
      <c r="M119" s="1023" t="s">
        <v>902</v>
      </c>
      <c r="N119" s="1023" t="s">
        <v>2446</v>
      </c>
      <c r="O119" s="1023" t="s">
        <v>23</v>
      </c>
      <c r="P119" s="1023" t="s">
        <v>33</v>
      </c>
      <c r="Q119" s="1023" t="s">
        <v>31</v>
      </c>
      <c r="R119" s="1023" t="s">
        <v>7</v>
      </c>
      <c r="S119" s="1023" t="s">
        <v>27</v>
      </c>
      <c r="T119" s="1023" t="s">
        <v>29</v>
      </c>
      <c r="U119" s="1023" t="s">
        <v>13</v>
      </c>
      <c r="V119" s="1023" t="s">
        <v>9</v>
      </c>
      <c r="W119" s="1023" t="s">
        <v>15</v>
      </c>
      <c r="X119" s="1023" t="s">
        <v>37</v>
      </c>
      <c r="Y119" s="1023" t="s">
        <v>39</v>
      </c>
    </row>
    <row r="120" spans="1:25" x14ac:dyDescent="0.2">
      <c r="B120" s="1025" t="s">
        <v>1709</v>
      </c>
      <c r="C120" s="1026" t="s">
        <v>425</v>
      </c>
      <c r="D120" s="1028">
        <f>SUM(E120:Y120)</f>
        <v>0</v>
      </c>
      <c r="E120" s="1024">
        <f>MAP!W2033</f>
        <v>0</v>
      </c>
      <c r="F120" s="1024">
        <f>MAP!X2033</f>
        <v>0</v>
      </c>
      <c r="G120" s="1024">
        <f>MAP!Y2033</f>
        <v>0</v>
      </c>
      <c r="H120" s="1024">
        <f>MAP!Z2033</f>
        <v>0</v>
      </c>
      <c r="I120" s="1024">
        <f>MAP!AA2033</f>
        <v>0</v>
      </c>
      <c r="J120" s="1024">
        <f>MAP!AB2033</f>
        <v>0</v>
      </c>
      <c r="K120" s="1024">
        <f>MAP!AC2033</f>
        <v>0</v>
      </c>
      <c r="L120" s="1024">
        <f>MAP!AD2033</f>
        <v>0</v>
      </c>
      <c r="M120" s="1024">
        <f>MAP!AE2033</f>
        <v>0</v>
      </c>
      <c r="N120" s="1024">
        <f>MAP!AF2033</f>
        <v>0</v>
      </c>
      <c r="O120" s="1024">
        <f>MAP!AG2033</f>
        <v>0</v>
      </c>
      <c r="P120" s="1024">
        <f>MAP!AH2033</f>
        <v>0</v>
      </c>
      <c r="Q120" s="1024">
        <f>MAP!AI2033</f>
        <v>0</v>
      </c>
      <c r="R120" s="1024">
        <f>MAP!AJ2033</f>
        <v>0</v>
      </c>
      <c r="S120" s="1024">
        <f>MAP!AK2033</f>
        <v>0</v>
      </c>
      <c r="T120" s="1024">
        <f>MAP!AL2033</f>
        <v>0</v>
      </c>
      <c r="U120" s="1024">
        <f>MAP!AM2033</f>
        <v>0</v>
      </c>
      <c r="V120" s="1024">
        <f>MAP!AN2033</f>
        <v>0</v>
      </c>
      <c r="W120" s="1024">
        <f>MAP!AO2033</f>
        <v>0</v>
      </c>
      <c r="X120" s="1024">
        <f>MAP!AP2033</f>
        <v>0</v>
      </c>
      <c r="Y120" s="1024">
        <f>MAP!AQ2033</f>
        <v>0</v>
      </c>
    </row>
    <row r="121" spans="1:25" ht="25.5" x14ac:dyDescent="0.2">
      <c r="B121" s="1025" t="s">
        <v>415</v>
      </c>
      <c r="C121" s="1026" t="s">
        <v>425</v>
      </c>
      <c r="D121" s="1028">
        <f>SUM(E121:Y121)</f>
        <v>0</v>
      </c>
      <c r="E121" s="1024">
        <f>MAP!W2035</f>
        <v>0</v>
      </c>
      <c r="F121" s="1024">
        <f>MAP!X2035</f>
        <v>0</v>
      </c>
      <c r="G121" s="1024">
        <f>MAP!Y2035</f>
        <v>0</v>
      </c>
      <c r="H121" s="1024">
        <f>MAP!Z2035</f>
        <v>0</v>
      </c>
      <c r="I121" s="1024">
        <f>MAP!AA2035</f>
        <v>0</v>
      </c>
      <c r="J121" s="1024">
        <f>MAP!AB2035</f>
        <v>0</v>
      </c>
      <c r="K121" s="1024">
        <f>MAP!AC2035</f>
        <v>0</v>
      </c>
      <c r="L121" s="1024">
        <f>MAP!AD2035</f>
        <v>0</v>
      </c>
      <c r="M121" s="1024">
        <f>MAP!AE2035</f>
        <v>0</v>
      </c>
      <c r="N121" s="1024">
        <f>MAP!AF2035</f>
        <v>0</v>
      </c>
      <c r="O121" s="1024">
        <f>MAP!AG2035</f>
        <v>0</v>
      </c>
      <c r="P121" s="1024">
        <f>MAP!AH2035</f>
        <v>0</v>
      </c>
      <c r="Q121" s="1024">
        <f>MAP!AI2035</f>
        <v>0</v>
      </c>
      <c r="R121" s="1024">
        <f>MAP!AJ2035</f>
        <v>0</v>
      </c>
      <c r="S121" s="1024">
        <f>MAP!AK2035</f>
        <v>0</v>
      </c>
      <c r="T121" s="1024">
        <f>MAP!AL2035</f>
        <v>0</v>
      </c>
      <c r="U121" s="1024">
        <f>MAP!AM2035</f>
        <v>0</v>
      </c>
      <c r="V121" s="1024">
        <f>MAP!AN2035</f>
        <v>0</v>
      </c>
      <c r="W121" s="1024">
        <f>MAP!AO2035</f>
        <v>0</v>
      </c>
      <c r="X121" s="1024">
        <f>MAP!AP2035</f>
        <v>0</v>
      </c>
      <c r="Y121" s="1024">
        <f>MAP!AQ2035</f>
        <v>0</v>
      </c>
    </row>
  </sheetData>
  <mergeCells count="42">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6:C96"/>
    <mergeCell ref="B97:C97"/>
    <mergeCell ref="H64:I64"/>
    <mergeCell ref="B95:E95"/>
    <mergeCell ref="B73:F73"/>
    <mergeCell ref="B82:F83"/>
    <mergeCell ref="D64:E64"/>
    <mergeCell ref="B86:F86"/>
    <mergeCell ref="B87:C87"/>
    <mergeCell ref="B88:C88"/>
    <mergeCell ref="B89:C89"/>
    <mergeCell ref="B90:C90"/>
    <mergeCell ref="B91:C91"/>
    <mergeCell ref="B92:C92"/>
    <mergeCell ref="B93:C93"/>
    <mergeCell ref="B94:C94"/>
    <mergeCell ref="H6:J6"/>
    <mergeCell ref="D6:F6"/>
    <mergeCell ref="H8:I8"/>
    <mergeCell ref="H16:I16"/>
    <mergeCell ref="B8:C9"/>
    <mergeCell ref="D8:E8"/>
    <mergeCell ref="B52:F52"/>
    <mergeCell ref="D16:E16"/>
    <mergeCell ref="B56:C57"/>
    <mergeCell ref="D56:E56"/>
    <mergeCell ref="H56:I56"/>
  </mergeCells>
  <conditionalFormatting sqref="B52">
    <cfRule type="expression" dxfId="357" priority="45">
      <formula>CELL("Protect",B52)=0</formula>
    </cfRule>
  </conditionalFormatting>
  <pageMargins left="0.35433070866141736" right="0.47244094488188981" top="0.19685039370078741" bottom="0.19685039370078741" header="0.31496062992125984" footer="0.31496062992125984"/>
  <pageSetup paperSize="9" scale="65" orientation="portrait" r:id="rId1"/>
  <ignoredErrors>
    <ignoredError sqref="E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A1:J123"/>
  <sheetViews>
    <sheetView zoomScaleNormal="100" workbookViewId="0">
      <selection activeCell="G5" sqref="G4:G5"/>
    </sheetView>
  </sheetViews>
  <sheetFormatPr defaultColWidth="9.140625" defaultRowHeight="12.75" x14ac:dyDescent="0.2"/>
  <cols>
    <col min="1" max="1" width="46.140625" style="397" customWidth="1"/>
    <col min="2" max="2" width="15.140625" style="397" customWidth="1"/>
    <col min="3" max="3" width="16.140625" style="397" customWidth="1"/>
    <col min="4" max="4" width="18.140625" style="450" customWidth="1"/>
    <col min="5" max="5" width="14.7109375" style="450" customWidth="1"/>
    <col min="6" max="6" width="12.42578125" style="450" customWidth="1"/>
    <col min="7" max="7" width="18.7109375" style="397" customWidth="1"/>
    <col min="8" max="8" width="15.5703125" style="397" customWidth="1"/>
    <col min="9" max="9" width="15.7109375" style="397" bestFit="1" customWidth="1"/>
    <col min="10" max="10" width="15.7109375" style="397" customWidth="1"/>
    <col min="11" max="16384" width="9.140625" style="397"/>
  </cols>
  <sheetData>
    <row r="1" spans="1:10" x14ac:dyDescent="0.2">
      <c r="A1" s="304" t="str">
        <f>Update!$B$6</f>
        <v>Department of Health</v>
      </c>
      <c r="B1" s="416"/>
      <c r="C1" s="416"/>
      <c r="D1" s="416"/>
      <c r="E1" s="416"/>
      <c r="F1" s="416"/>
      <c r="G1" s="416"/>
      <c r="H1" s="416"/>
      <c r="I1" s="416"/>
      <c r="J1" s="416"/>
    </row>
    <row r="2" spans="1:10" x14ac:dyDescent="0.2">
      <c r="A2" s="304" t="s">
        <v>911</v>
      </c>
      <c r="B2" s="416"/>
      <c r="C2" s="416"/>
      <c r="D2" s="416"/>
      <c r="E2" s="416"/>
      <c r="F2" s="416"/>
      <c r="G2" s="416"/>
      <c r="H2" s="416"/>
      <c r="I2" s="416"/>
      <c r="J2" s="416"/>
    </row>
    <row r="3" spans="1:10" x14ac:dyDescent="0.2">
      <c r="A3" s="304" t="str">
        <f>Update!$A$3</f>
        <v>2025-26</v>
      </c>
      <c r="B3" s="416"/>
      <c r="C3" s="416"/>
      <c r="D3" s="416"/>
      <c r="E3" s="416"/>
      <c r="F3" s="416"/>
      <c r="G3" s="416"/>
      <c r="H3" s="416"/>
      <c r="I3" s="416"/>
      <c r="J3" s="416"/>
    </row>
    <row r="4" spans="1:10" x14ac:dyDescent="0.2">
      <c r="A4" s="388"/>
      <c r="B4" s="388"/>
      <c r="C4" s="388"/>
      <c r="D4" s="465"/>
      <c r="E4" s="465"/>
      <c r="F4" s="465"/>
      <c r="G4" s="388"/>
      <c r="H4" s="388"/>
      <c r="I4" s="388"/>
      <c r="J4" s="388"/>
    </row>
    <row r="5" spans="1:10" ht="12.75" customHeight="1" x14ac:dyDescent="0.2">
      <c r="A5" s="416" t="str">
        <f>'alb A - Staff data'!A3</f>
        <v>ACCOUNTABILITY REPORT</v>
      </c>
      <c r="B5" s="1933" t="str">
        <f>Update!$B$7</f>
        <v>Core Department &amp; Agencies</v>
      </c>
      <c r="C5" s="1933"/>
      <c r="D5" s="1933"/>
      <c r="E5" s="1933"/>
      <c r="F5" s="388"/>
      <c r="G5" s="1933" t="str">
        <f>Update!$B$8</f>
        <v>Departmental Group</v>
      </c>
      <c r="H5" s="1933"/>
      <c r="I5" s="1933"/>
      <c r="J5" s="1933"/>
    </row>
    <row r="7" spans="1:10" x14ac:dyDescent="0.2">
      <c r="A7" s="388"/>
    </row>
    <row r="8" spans="1:10" ht="15" x14ac:dyDescent="0.25">
      <c r="A8" s="988" t="str">
        <f>"Staff Gender Breakdown "&amp;Update!C38</f>
        <v>Staff Gender Breakdown 2025-26</v>
      </c>
      <c r="B8" s="988" t="s">
        <v>1745</v>
      </c>
      <c r="C8" s="988" t="s">
        <v>1746</v>
      </c>
      <c r="D8" s="988" t="s">
        <v>146</v>
      </c>
      <c r="E8" s="989"/>
      <c r="G8" s="988" t="s">
        <v>1745</v>
      </c>
      <c r="H8" s="988" t="s">
        <v>1746</v>
      </c>
      <c r="I8" s="988" t="s">
        <v>146</v>
      </c>
      <c r="J8" s="989"/>
    </row>
    <row r="9" spans="1:10" ht="15" x14ac:dyDescent="0.25">
      <c r="A9" s="990" t="s">
        <v>1788</v>
      </c>
      <c r="B9" s="1013">
        <f>SUMIF(MAP!$E$1876:$E$1878,$A9,MAP!$T$1876:$T$1878)</f>
        <v>0</v>
      </c>
      <c r="C9" s="1013">
        <f>SUMIF(MAP!$E$1879:$E$1881,$A9,MAP!$T$1879:$T$1881)</f>
        <v>0</v>
      </c>
      <c r="D9" s="1013">
        <f>SUM(B9:C9)</f>
        <v>0</v>
      </c>
      <c r="E9" s="989"/>
      <c r="G9" s="1132">
        <f>SUMIF(MAP!$E$1876:$E$1878,$A9,MAP!$N$1876:$N$1878)</f>
        <v>0</v>
      </c>
      <c r="H9" s="1132">
        <f>SUMIF(MAP!$E$1879:$E$1881,$A9,MAP!$N$1879:$N$1881)</f>
        <v>0</v>
      </c>
      <c r="I9" s="1132">
        <f>SUM(G9:H9)</f>
        <v>0</v>
      </c>
      <c r="J9" s="989"/>
    </row>
    <row r="10" spans="1:10" ht="15" x14ac:dyDescent="0.25">
      <c r="A10" s="990" t="s">
        <v>1787</v>
      </c>
      <c r="B10" s="1013">
        <f>SUMIF(MAP!$E$1876:$E$1878,$A10,MAP!$T$1876:$T$1878)</f>
        <v>0</v>
      </c>
      <c r="C10" s="1013">
        <f>SUMIF(MAP!$E$1879:$E$1881,$A10,MAP!$T$1879:$T$1881)</f>
        <v>0</v>
      </c>
      <c r="D10" s="1013">
        <f>SUM(B10:C10)</f>
        <v>0</v>
      </c>
      <c r="E10" s="989"/>
      <c r="G10" s="1132">
        <f>SUMIF(MAP!$E$1876:$E$1878,$A10,MAP!$N$1876:$N$1878)</f>
        <v>0</v>
      </c>
      <c r="H10" s="1132">
        <f>SUMIF(MAP!$E$1879:$E$1881,$A10,MAP!$N$1879:$N$1881)</f>
        <v>0</v>
      </c>
      <c r="I10" s="1132">
        <f>SUM(G10:H10)</f>
        <v>0</v>
      </c>
      <c r="J10" s="989"/>
    </row>
    <row r="11" spans="1:10" ht="15" x14ac:dyDescent="0.25">
      <c r="A11" s="990" t="s">
        <v>1747</v>
      </c>
      <c r="B11" s="1013">
        <f>SUMIF(MAP!$E$1876:$E$1878,$A11,MAP!$T$1876:$T$1878)</f>
        <v>0</v>
      </c>
      <c r="C11" s="1013">
        <f>SUMIF(MAP!$E$1879:$E$1881,$A11,MAP!$T$1879:$T$1881)</f>
        <v>0</v>
      </c>
      <c r="D11" s="1013">
        <f>SUM(B11:C11)</f>
        <v>0</v>
      </c>
      <c r="E11" s="989"/>
      <c r="G11" s="1132">
        <f>SUMIF(MAP!$E$1876:$E$1878,$A11,MAP!$N$1876:$N$1878)</f>
        <v>0</v>
      </c>
      <c r="H11" s="1132">
        <f>SUMIF(MAP!$E$1879:$E$1881,$A11,MAP!$N$1879:$N$1881)</f>
        <v>0</v>
      </c>
      <c r="I11" s="1132">
        <f>SUM(G11:H11)</f>
        <v>0</v>
      </c>
      <c r="J11" s="989"/>
    </row>
    <row r="12" spans="1:10" ht="15" x14ac:dyDescent="0.25">
      <c r="A12" s="992" t="s">
        <v>146</v>
      </c>
      <c r="B12" s="1014">
        <f>SUM(B9:B11)</f>
        <v>0</v>
      </c>
      <c r="C12" s="1014">
        <f>SUM(C9:C11)</f>
        <v>0</v>
      </c>
      <c r="D12" s="1014">
        <f>SUM(D9:D11)</f>
        <v>0</v>
      </c>
      <c r="E12" s="989"/>
      <c r="G12" s="1137">
        <f>SUM(G9:G11)</f>
        <v>0</v>
      </c>
      <c r="H12" s="1137">
        <f>SUM(H9:H11)</f>
        <v>0</v>
      </c>
      <c r="I12" s="1137">
        <f>SUM(I9:I11)</f>
        <v>0</v>
      </c>
      <c r="J12" s="989"/>
    </row>
    <row r="13" spans="1:10" ht="15" x14ac:dyDescent="0.25">
      <c r="A13" s="989"/>
      <c r="B13" s="989"/>
      <c r="C13" s="989"/>
      <c r="D13" s="989"/>
      <c r="E13" s="989"/>
      <c r="G13" s="989"/>
      <c r="H13" s="989"/>
      <c r="I13" s="989"/>
      <c r="J13" s="989"/>
    </row>
    <row r="14" spans="1:10" ht="15" x14ac:dyDescent="0.25">
      <c r="A14" s="989"/>
      <c r="B14" s="989"/>
      <c r="C14" s="989"/>
      <c r="D14" s="989"/>
      <c r="E14" s="989"/>
      <c r="G14" s="989"/>
      <c r="H14" s="989"/>
      <c r="I14" s="989"/>
      <c r="J14" s="989"/>
    </row>
    <row r="15" spans="1:10" ht="42.75" x14ac:dyDescent="0.2">
      <c r="A15" s="994" t="s">
        <v>1748</v>
      </c>
      <c r="B15" s="987" t="s">
        <v>1749</v>
      </c>
      <c r="C15" s="987" t="s">
        <v>1750</v>
      </c>
      <c r="D15" s="987" t="s">
        <v>1751</v>
      </c>
      <c r="E15" s="987" t="s">
        <v>1752</v>
      </c>
      <c r="G15" s="987" t="s">
        <v>1749</v>
      </c>
      <c r="H15" s="987" t="s">
        <v>1750</v>
      </c>
      <c r="I15" s="987" t="s">
        <v>1751</v>
      </c>
      <c r="J15" s="987" t="s">
        <v>1752</v>
      </c>
    </row>
    <row r="16" spans="1:10" ht="15" x14ac:dyDescent="0.2">
      <c r="A16" s="995" t="str">
        <f>Update!C38</f>
        <v>2025-26</v>
      </c>
      <c r="B16" s="1013">
        <f>MAP!T1882</f>
        <v>0</v>
      </c>
      <c r="C16" s="1013">
        <f>MAP!T1883</f>
        <v>0</v>
      </c>
      <c r="D16" s="996">
        <f>IF(B16=0,0,C16/B16)</f>
        <v>0</v>
      </c>
      <c r="E16" s="997">
        <f>+D16/219</f>
        <v>0</v>
      </c>
      <c r="G16" s="1013">
        <f>MAP!N1882</f>
        <v>0</v>
      </c>
      <c r="H16" s="1013">
        <f>MAP!N1883</f>
        <v>0</v>
      </c>
      <c r="I16" s="996">
        <f>IF(G16=0,0,H16/G16)</f>
        <v>0</v>
      </c>
      <c r="J16" s="997">
        <f>+I16/219</f>
        <v>0</v>
      </c>
    </row>
    <row r="17" spans="1:10" ht="15" x14ac:dyDescent="0.2">
      <c r="A17" s="995" t="str">
        <f>Update!C37</f>
        <v>2024-25</v>
      </c>
      <c r="B17" s="1013">
        <v>1139</v>
      </c>
      <c r="C17" s="1013">
        <v>6881</v>
      </c>
      <c r="D17" s="996">
        <f>IF(B17=0,0,C17/B17)</f>
        <v>6.0412642669007903</v>
      </c>
      <c r="E17" s="998">
        <f>+D17/219</f>
        <v>2.7585681584021873E-2</v>
      </c>
      <c r="G17" s="1013">
        <v>1139</v>
      </c>
      <c r="H17" s="1013">
        <v>6881</v>
      </c>
      <c r="I17" s="996">
        <f>IF(G17=0,0,H17/G17)</f>
        <v>6.0412642669007903</v>
      </c>
      <c r="J17" s="998">
        <f>+I17/219</f>
        <v>2.7585681584021873E-2</v>
      </c>
    </row>
    <row r="18" spans="1:10" ht="15" x14ac:dyDescent="0.25">
      <c r="A18" s="989"/>
      <c r="B18" s="989"/>
      <c r="C18" s="989"/>
      <c r="D18" s="989"/>
      <c r="E18" s="989"/>
      <c r="G18" s="989"/>
      <c r="H18" s="989"/>
      <c r="I18" s="989"/>
      <c r="J18" s="989"/>
    </row>
    <row r="19" spans="1:10" ht="15" x14ac:dyDescent="0.25">
      <c r="A19" s="989"/>
      <c r="B19" s="989"/>
      <c r="C19" s="989"/>
      <c r="D19" s="989"/>
      <c r="E19" s="989"/>
      <c r="G19" s="989"/>
      <c r="H19" s="989"/>
      <c r="I19" s="989"/>
      <c r="J19" s="989"/>
    </row>
    <row r="20" spans="1:10" ht="15" x14ac:dyDescent="0.25">
      <c r="A20" s="1035" t="s">
        <v>1811</v>
      </c>
      <c r="B20" s="1001"/>
      <c r="C20" s="1002"/>
      <c r="D20" s="1003" t="str">
        <f>Update!$C$38</f>
        <v>2025-26</v>
      </c>
      <c r="E20" s="1003" t="str">
        <f>Update!$C$37</f>
        <v>2024-25</v>
      </c>
      <c r="G20" s="1003" t="str">
        <f>Update!$C$38</f>
        <v>2025-26</v>
      </c>
      <c r="H20" s="1003" t="str">
        <f>Update!$C$37</f>
        <v>2024-25</v>
      </c>
      <c r="I20" s="989"/>
      <c r="J20" s="989"/>
    </row>
    <row r="21" spans="1:10" ht="15" x14ac:dyDescent="0.25">
      <c r="A21" s="1004" t="s">
        <v>1812</v>
      </c>
      <c r="B21" s="1005"/>
      <c r="C21" s="1006"/>
      <c r="D21" s="1049">
        <f>SUMIF(MAP!$E$1890,A21,MAP!$T$1890)</f>
        <v>0</v>
      </c>
      <c r="E21" s="1049">
        <f>SUMIF(MAP!$E$1891,A21,MAP!$T$1891)</f>
        <v>0</v>
      </c>
      <c r="G21" s="1049">
        <f>SUMIF(MAP!$E$1890,A21,MAP!$N$1890)</f>
        <v>0</v>
      </c>
      <c r="H21" s="1049">
        <v>0</v>
      </c>
      <c r="I21" s="989"/>
      <c r="J21" s="989"/>
    </row>
    <row r="22" spans="1:10" ht="15" x14ac:dyDescent="0.25">
      <c r="A22" s="989"/>
      <c r="B22" s="989"/>
      <c r="C22" s="989"/>
      <c r="D22" s="989"/>
      <c r="E22" s="989"/>
      <c r="G22" s="989"/>
      <c r="H22" s="989"/>
      <c r="I22" s="989"/>
      <c r="J22" s="989"/>
    </row>
    <row r="23" spans="1:10" ht="15" x14ac:dyDescent="0.25">
      <c r="A23" s="989"/>
      <c r="B23" s="989"/>
      <c r="C23" s="989"/>
      <c r="D23" s="989"/>
      <c r="E23" s="989"/>
      <c r="G23" s="989"/>
      <c r="H23" s="989"/>
      <c r="I23" s="989"/>
      <c r="J23" s="989"/>
    </row>
    <row r="24" spans="1:10" ht="15" x14ac:dyDescent="0.25">
      <c r="A24" s="999" t="s">
        <v>1753</v>
      </c>
      <c r="B24" s="989"/>
      <c r="C24" s="989"/>
      <c r="D24" s="989"/>
      <c r="G24" s="989"/>
      <c r="H24" s="450"/>
      <c r="I24" s="989"/>
      <c r="J24" s="989"/>
    </row>
    <row r="25" spans="1:10" ht="15" x14ac:dyDescent="0.2">
      <c r="A25" s="1000"/>
      <c r="B25" s="1001"/>
      <c r="C25" s="1002"/>
      <c r="D25" s="1003" t="str">
        <f>Update!$C$38</f>
        <v>2025-26</v>
      </c>
      <c r="G25" s="1003" t="str">
        <f>Update!$C$38</f>
        <v>2025-26</v>
      </c>
      <c r="H25" s="450"/>
    </row>
    <row r="26" spans="1:10" ht="15" x14ac:dyDescent="0.2">
      <c r="A26" s="1004" t="s">
        <v>1754</v>
      </c>
      <c r="B26" s="1005"/>
      <c r="C26" s="1006"/>
      <c r="D26" s="1013">
        <f>MAP!T1892</f>
        <v>0</v>
      </c>
      <c r="G26" s="1013">
        <f>MAP!N1892</f>
        <v>0</v>
      </c>
      <c r="H26" s="450"/>
    </row>
    <row r="27" spans="1:10" ht="15" x14ac:dyDescent="0.2">
      <c r="A27" s="1004" t="s">
        <v>1983</v>
      </c>
      <c r="B27" s="1005"/>
      <c r="C27" s="1006"/>
      <c r="D27" s="1013">
        <f>MAP!T1893</f>
        <v>0</v>
      </c>
      <c r="G27" s="1013">
        <f>MAP!N1893</f>
        <v>0</v>
      </c>
      <c r="H27" s="450"/>
    </row>
    <row r="28" spans="1:10" ht="15" x14ac:dyDescent="0.2">
      <c r="A28" s="1004" t="s">
        <v>1984</v>
      </c>
      <c r="B28" s="1005"/>
      <c r="C28" s="1006"/>
      <c r="D28" s="1013">
        <f>MAP!T1894</f>
        <v>0</v>
      </c>
      <c r="G28" s="1013">
        <f>MAP!N1894</f>
        <v>0</v>
      </c>
      <c r="H28" s="450"/>
    </row>
    <row r="29" spans="1:10" ht="15" x14ac:dyDescent="0.2">
      <c r="A29" s="1004" t="s">
        <v>1985</v>
      </c>
      <c r="B29" s="1005"/>
      <c r="C29" s="1006"/>
      <c r="D29" s="1013">
        <f>MAP!T1895</f>
        <v>0</v>
      </c>
      <c r="G29" s="1013">
        <f>MAP!N1895</f>
        <v>0</v>
      </c>
      <c r="H29" s="450"/>
    </row>
    <row r="30" spans="1:10" ht="15" x14ac:dyDescent="0.2">
      <c r="A30" s="1004" t="s">
        <v>1986</v>
      </c>
      <c r="B30" s="1005"/>
      <c r="C30" s="1006"/>
      <c r="D30" s="1013">
        <f>MAP!T1896</f>
        <v>0</v>
      </c>
      <c r="G30" s="1013">
        <f>MAP!N1896</f>
        <v>0</v>
      </c>
      <c r="H30" s="450"/>
    </row>
    <row r="31" spans="1:10" ht="15" x14ac:dyDescent="0.2">
      <c r="A31" s="1004" t="s">
        <v>1987</v>
      </c>
      <c r="B31" s="1005"/>
      <c r="C31" s="1006"/>
      <c r="D31" s="1131">
        <f>MAP!T1897</f>
        <v>0</v>
      </c>
      <c r="G31" s="1131">
        <f>MAP!N1897</f>
        <v>0</v>
      </c>
      <c r="H31" s="450"/>
    </row>
    <row r="32" spans="1:10" ht="15" x14ac:dyDescent="0.2">
      <c r="A32" s="1004" t="s">
        <v>1988</v>
      </c>
      <c r="B32" s="1005"/>
      <c r="C32" s="1006"/>
      <c r="D32" s="1131">
        <f>MAP!T1898</f>
        <v>0</v>
      </c>
      <c r="G32" s="1131">
        <f>MAP!N1898</f>
        <v>0</v>
      </c>
      <c r="H32" s="450"/>
    </row>
    <row r="33" spans="1:10" ht="15" x14ac:dyDescent="0.25">
      <c r="A33" s="989"/>
      <c r="B33" s="989"/>
      <c r="C33" s="989"/>
      <c r="D33" s="989"/>
      <c r="G33" s="989"/>
      <c r="H33" s="450"/>
      <c r="I33" s="989"/>
      <c r="J33" s="989"/>
    </row>
    <row r="34" spans="1:10" ht="15" x14ac:dyDescent="0.25">
      <c r="A34" s="999" t="s">
        <v>1989</v>
      </c>
      <c r="B34" s="989"/>
      <c r="C34" s="989"/>
      <c r="D34" s="989"/>
      <c r="E34" s="989"/>
    </row>
    <row r="35" spans="1:10" ht="15" x14ac:dyDescent="0.2">
      <c r="A35" s="1000"/>
      <c r="B35" s="1001"/>
      <c r="C35" s="1002"/>
      <c r="D35" s="1003" t="str">
        <f>Update!$C$38</f>
        <v>2025-26</v>
      </c>
    </row>
    <row r="36" spans="1:10" ht="15" x14ac:dyDescent="0.2">
      <c r="A36" s="1004" t="s">
        <v>2529</v>
      </c>
      <c r="B36" s="1005"/>
      <c r="C36" s="1006"/>
      <c r="D36" s="1131">
        <f>MAP!N1899</f>
        <v>0</v>
      </c>
    </row>
    <row r="37" spans="1:10" ht="15" x14ac:dyDescent="0.25">
      <c r="A37" s="1201" t="s">
        <v>1991</v>
      </c>
      <c r="B37" s="1001"/>
      <c r="C37" s="1002"/>
      <c r="D37" s="1003"/>
    </row>
    <row r="38" spans="1:10" ht="15" x14ac:dyDescent="0.2">
      <c r="A38" s="1202" t="s">
        <v>1992</v>
      </c>
      <c r="B38" s="1005"/>
      <c r="C38" s="1006"/>
      <c r="D38" s="1131">
        <f>MAP!N1900</f>
        <v>0</v>
      </c>
    </row>
    <row r="39" spans="1:10" ht="15" x14ac:dyDescent="0.2">
      <c r="A39" s="1202" t="s">
        <v>1993</v>
      </c>
      <c r="B39" s="1005"/>
      <c r="C39" s="1006"/>
      <c r="D39" s="1131">
        <f>MAP!N1901</f>
        <v>0</v>
      </c>
    </row>
    <row r="40" spans="1:10" ht="15" x14ac:dyDescent="0.2">
      <c r="A40" s="1202" t="s">
        <v>1994</v>
      </c>
      <c r="B40" s="1005"/>
      <c r="C40" s="1006"/>
      <c r="D40" s="1131">
        <f>MAP!N1902</f>
        <v>0</v>
      </c>
    </row>
    <row r="41" spans="1:10" ht="15" x14ac:dyDescent="0.25">
      <c r="A41" s="1201" t="s">
        <v>1991</v>
      </c>
      <c r="B41" s="1001"/>
      <c r="C41" s="1002"/>
      <c r="D41" s="1003"/>
    </row>
    <row r="42" spans="1:10" ht="15" x14ac:dyDescent="0.2">
      <c r="A42" s="1202" t="s">
        <v>1995</v>
      </c>
      <c r="B42" s="1005"/>
      <c r="C42" s="1006"/>
      <c r="D42" s="1131">
        <f>MAP!N1903</f>
        <v>0</v>
      </c>
    </row>
    <row r="43" spans="1:10" ht="29.25" customHeight="1" x14ac:dyDescent="0.2">
      <c r="A43" s="1934" t="s">
        <v>1996</v>
      </c>
      <c r="B43" s="1935"/>
      <c r="C43" s="1936"/>
      <c r="D43" s="1131">
        <f>MAP!N1904</f>
        <v>0</v>
      </c>
    </row>
    <row r="44" spans="1:10" ht="15" x14ac:dyDescent="0.25">
      <c r="A44" s="1201" t="s">
        <v>1991</v>
      </c>
      <c r="B44" s="1001"/>
      <c r="C44" s="1002"/>
      <c r="D44" s="1003"/>
    </row>
    <row r="45" spans="1:10" ht="15" x14ac:dyDescent="0.2">
      <c r="A45" s="1203" t="s">
        <v>1997</v>
      </c>
      <c r="B45" s="1005"/>
      <c r="C45" s="1006"/>
      <c r="D45" s="1131">
        <f>MAP!N1905</f>
        <v>0</v>
      </c>
    </row>
    <row r="46" spans="1:10" ht="15" x14ac:dyDescent="0.25">
      <c r="A46" s="989"/>
      <c r="B46" s="989"/>
      <c r="C46" s="989"/>
      <c r="D46" s="989"/>
      <c r="E46" s="989"/>
    </row>
    <row r="47" spans="1:10" ht="15" x14ac:dyDescent="0.25">
      <c r="A47" s="989"/>
      <c r="B47" s="989"/>
      <c r="C47" s="989"/>
      <c r="D47" s="989"/>
      <c r="E47" s="989"/>
      <c r="G47" s="989"/>
      <c r="H47" s="989"/>
      <c r="I47" s="989"/>
      <c r="J47" s="989"/>
    </row>
    <row r="48" spans="1:10" ht="15" x14ac:dyDescent="0.25">
      <c r="A48" s="999" t="s">
        <v>1755</v>
      </c>
      <c r="B48" s="989"/>
      <c r="C48" s="989"/>
      <c r="D48" s="989"/>
      <c r="E48" s="989"/>
      <c r="G48" s="989"/>
      <c r="H48" s="989"/>
      <c r="I48" s="989"/>
      <c r="J48" s="989"/>
    </row>
    <row r="49" spans="1:10" ht="42.75" x14ac:dyDescent="0.25">
      <c r="A49" s="1007" t="s">
        <v>1756</v>
      </c>
      <c r="B49" s="986" t="s">
        <v>1757</v>
      </c>
      <c r="C49" s="989"/>
      <c r="D49" s="989"/>
      <c r="E49" s="989"/>
      <c r="G49" s="986" t="s">
        <v>1757</v>
      </c>
      <c r="H49" s="989"/>
      <c r="I49" s="989"/>
      <c r="J49" s="989"/>
    </row>
    <row r="50" spans="1:10" ht="15" x14ac:dyDescent="0.25">
      <c r="A50" s="1012" t="s">
        <v>1906</v>
      </c>
      <c r="B50" s="1133">
        <f>SUMIF(MAP!$E$1906:$E$1963,$A50,MAP!$T$1906:$T$1963)</f>
        <v>0</v>
      </c>
      <c r="C50" s="1134"/>
      <c r="D50" s="1134"/>
      <c r="E50" s="1134"/>
      <c r="F50" s="1135"/>
      <c r="G50" s="1133">
        <f>SUMIF(MAP!$E$1906:$E$1963,$A50,MAP!$N$1906:$N$1963)</f>
        <v>0</v>
      </c>
      <c r="H50" s="989"/>
      <c r="I50" s="989"/>
      <c r="J50" s="989"/>
    </row>
    <row r="51" spans="1:10" ht="15" x14ac:dyDescent="0.25">
      <c r="A51" s="1012" t="s">
        <v>1907</v>
      </c>
      <c r="B51" s="1133">
        <f>SUMIF(MAP!$E$1906:$E$1963,$A51,MAP!$T$1906:$T$1963)</f>
        <v>0</v>
      </c>
      <c r="C51" s="1134"/>
      <c r="D51" s="1134"/>
      <c r="E51" s="1134"/>
      <c r="F51" s="1135"/>
      <c r="G51" s="1133">
        <f>SUMIF(MAP!$E$1906:$E$1963,$A51,MAP!$N$1906:$N$1963)</f>
        <v>0</v>
      </c>
      <c r="H51" s="989"/>
      <c r="I51" s="989"/>
      <c r="J51" s="989"/>
    </row>
    <row r="52" spans="1:10" ht="15" x14ac:dyDescent="0.25">
      <c r="A52" s="1012" t="s">
        <v>1908</v>
      </c>
      <c r="B52" s="1133">
        <f>SUMIF(MAP!$E$1906:$E$1963,$A52,MAP!$T$1906:$T$1963)</f>
        <v>0</v>
      </c>
      <c r="C52" s="1134"/>
      <c r="D52" s="1134"/>
      <c r="E52" s="1134"/>
      <c r="F52" s="1135"/>
      <c r="G52" s="1133">
        <f>SUMIF(MAP!$E$1906:$E$1963,$A52,MAP!$N$1906:$N$1963)</f>
        <v>0</v>
      </c>
      <c r="H52" s="989"/>
      <c r="I52" s="989"/>
      <c r="J52" s="989"/>
    </row>
    <row r="53" spans="1:10" ht="15" x14ac:dyDescent="0.25">
      <c r="A53" s="1012" t="s">
        <v>1909</v>
      </c>
      <c r="B53" s="1133">
        <f>SUMIF(MAP!$E$1906:$E$1963,$A53,MAP!$T$1906:$T$1963)</f>
        <v>0</v>
      </c>
      <c r="C53" s="1134"/>
      <c r="D53" s="1134"/>
      <c r="E53" s="1134"/>
      <c r="F53" s="1135"/>
      <c r="G53" s="1133">
        <f>SUMIF(MAP!$E$1906:$E$1963,$A53,MAP!$N$1906:$N$1963)</f>
        <v>0</v>
      </c>
      <c r="H53" s="989"/>
      <c r="I53" s="989"/>
      <c r="J53" s="989"/>
    </row>
    <row r="54" spans="1:10" ht="15" x14ac:dyDescent="0.25">
      <c r="A54" s="1012" t="s">
        <v>1928</v>
      </c>
      <c r="B54" s="1133">
        <f>SUMIF(MAP!$E$1906:$E$1963,$A54,MAP!$T$1906:$T$1963)</f>
        <v>0</v>
      </c>
      <c r="C54" s="1134"/>
      <c r="D54" s="1134"/>
      <c r="E54" s="1134"/>
      <c r="F54" s="1135"/>
      <c r="G54" s="1133">
        <f>SUMIF(MAP!$E$1906:$E$1963,$A54,MAP!$N$1906:$N$1963)</f>
        <v>0</v>
      </c>
      <c r="H54" s="989"/>
      <c r="I54" s="989"/>
      <c r="J54" s="989"/>
    </row>
    <row r="55" spans="1:10" ht="15" x14ac:dyDescent="0.25">
      <c r="A55" s="1012" t="s">
        <v>1910</v>
      </c>
      <c r="B55" s="1133">
        <f>SUMIF(MAP!$E$1906:$E$1963,$A55,MAP!$T$1906:$T$1963)</f>
        <v>0</v>
      </c>
      <c r="C55" s="1134"/>
      <c r="D55" s="1134"/>
      <c r="E55" s="1134"/>
      <c r="F55" s="1135"/>
      <c r="G55" s="1133">
        <f>SUMIF(MAP!$E$1906:$E$1963,$A55,MAP!$N$1906:$N$1963)</f>
        <v>0</v>
      </c>
      <c r="H55" s="989"/>
      <c r="I55" s="989"/>
      <c r="J55" s="989"/>
    </row>
    <row r="56" spans="1:10" ht="15" x14ac:dyDescent="0.25">
      <c r="A56" s="1012" t="s">
        <v>1929</v>
      </c>
      <c r="B56" s="1133">
        <f>SUMIF(MAP!$E$1906:$E$1963,$A56,MAP!$T$1906:$T$1963)</f>
        <v>0</v>
      </c>
      <c r="C56" s="1134"/>
      <c r="D56" s="1134"/>
      <c r="E56" s="1134"/>
      <c r="F56" s="1135"/>
      <c r="G56" s="1133">
        <f>SUMIF(MAP!$E$1906:$E$1963,$A56,MAP!$N$1906:$N$1963)</f>
        <v>0</v>
      </c>
      <c r="H56" s="989"/>
      <c r="I56" s="989"/>
      <c r="J56" s="989"/>
    </row>
    <row r="57" spans="1:10" ht="15" x14ac:dyDescent="0.25">
      <c r="A57" s="1012" t="s">
        <v>1911</v>
      </c>
      <c r="B57" s="1133">
        <f>SUMIF(MAP!$E$1906:$E$1963,$A57,MAP!$T$1906:$T$1963)</f>
        <v>0</v>
      </c>
      <c r="C57" s="1134"/>
      <c r="D57" s="1134"/>
      <c r="E57" s="1134"/>
      <c r="F57" s="1135"/>
      <c r="G57" s="1133">
        <f>SUMIF(MAP!$E$1906:$E$1963,$A57,MAP!$N$1906:$N$1963)</f>
        <v>0</v>
      </c>
      <c r="H57" s="989"/>
      <c r="I57" s="989"/>
      <c r="J57" s="989"/>
    </row>
    <row r="58" spans="1:10" ht="15" x14ac:dyDescent="0.25">
      <c r="A58" s="1012" t="s">
        <v>1930</v>
      </c>
      <c r="B58" s="1133">
        <f>SUMIF(MAP!$E$1906:$E$1963,$A58,MAP!$T$1906:$T$1963)</f>
        <v>0</v>
      </c>
      <c r="C58" s="1134"/>
      <c r="D58" s="1134"/>
      <c r="E58" s="1134"/>
      <c r="F58" s="1135"/>
      <c r="G58" s="1133">
        <f>SUMIF(MAP!$E$1906:$E$1963,$A58,MAP!$N$1906:$N$1963)</f>
        <v>0</v>
      </c>
      <c r="H58" s="989"/>
      <c r="I58" s="989"/>
      <c r="J58" s="989"/>
    </row>
    <row r="59" spans="1:10" ht="15" x14ac:dyDescent="0.25">
      <c r="A59" s="1012" t="s">
        <v>1912</v>
      </c>
      <c r="B59" s="1133">
        <f>SUMIF(MAP!$E$1906:$E$1963,$A59,MAP!$T$1906:$T$1963)</f>
        <v>0</v>
      </c>
      <c r="C59" s="1134"/>
      <c r="D59" s="1134"/>
      <c r="E59" s="1134"/>
      <c r="F59" s="1135"/>
      <c r="G59" s="1133">
        <f>SUMIF(MAP!$E$1906:$E$1963,$A59,MAP!$N$1906:$N$1963)</f>
        <v>0</v>
      </c>
      <c r="H59" s="989"/>
      <c r="I59" s="989"/>
      <c r="J59" s="989"/>
    </row>
    <row r="60" spans="1:10" ht="15" x14ac:dyDescent="0.25">
      <c r="A60" s="1012" t="s">
        <v>1934</v>
      </c>
      <c r="B60" s="1133">
        <f>SUMIF(MAP!$E$1906:$E$1963,$A60,MAP!$T$1906:$T$1963)</f>
        <v>0</v>
      </c>
      <c r="C60" s="1134"/>
      <c r="D60" s="1134"/>
      <c r="E60" s="1134"/>
      <c r="F60" s="1135"/>
      <c r="G60" s="1133">
        <f>SUMIF(MAP!$E$1906:$E$1963,$A60,MAP!$N$1906:$N$1963)</f>
        <v>0</v>
      </c>
      <c r="H60" s="989"/>
      <c r="I60" s="989"/>
      <c r="J60" s="989"/>
    </row>
    <row r="61" spans="1:10" ht="15" x14ac:dyDescent="0.25">
      <c r="A61" s="1012" t="s">
        <v>1758</v>
      </c>
      <c r="B61" s="1133">
        <f>SUMIF(MAP!$E$1906:$E$1963,$A61,MAP!$T$1906:$T$1963)</f>
        <v>0</v>
      </c>
      <c r="C61" s="1134"/>
      <c r="D61" s="1134"/>
      <c r="E61" s="1134"/>
      <c r="F61" s="1135"/>
      <c r="G61" s="1133">
        <f>SUMIF(MAP!$E$1906:$E$1963,$A61,MAP!$N$1906:$N$1963)</f>
        <v>0</v>
      </c>
      <c r="H61" s="989"/>
      <c r="I61" s="989"/>
      <c r="J61" s="989"/>
    </row>
    <row r="62" spans="1:10" ht="15" x14ac:dyDescent="0.25">
      <c r="A62" s="1008" t="s">
        <v>1759</v>
      </c>
      <c r="B62" s="1133">
        <f>SUMIF(MAP!$E$1906:$E$1963,$A62,MAP!$T$1906:$T$1963)</f>
        <v>0</v>
      </c>
      <c r="C62" s="1134"/>
      <c r="D62" s="1134"/>
      <c r="E62" s="1134"/>
      <c r="F62" s="1135"/>
      <c r="G62" s="1133">
        <f>SUMIF(MAP!$E$1906:$E$1963,$A62,MAP!$N$1906:$N$1963)</f>
        <v>0</v>
      </c>
      <c r="H62" s="989"/>
      <c r="I62" s="989"/>
      <c r="J62" s="989"/>
    </row>
    <row r="63" spans="1:10" ht="15" x14ac:dyDescent="0.25">
      <c r="A63" s="1008" t="s">
        <v>1760</v>
      </c>
      <c r="B63" s="1133">
        <f>SUMIF(MAP!$E$1906:$E$1963,$A63,MAP!$T$1906:$T$1963)</f>
        <v>0</v>
      </c>
      <c r="C63" s="1134"/>
      <c r="D63" s="1134"/>
      <c r="E63" s="1134"/>
      <c r="F63" s="1135"/>
      <c r="G63" s="1133">
        <f>SUMIF(MAP!$E$1906:$E$1963,$A63,MAP!$N$1906:$N$1963)</f>
        <v>0</v>
      </c>
      <c r="H63" s="989"/>
      <c r="I63" s="989"/>
      <c r="J63" s="989"/>
    </row>
    <row r="64" spans="1:10" ht="15" x14ac:dyDescent="0.25">
      <c r="A64" s="1008" t="s">
        <v>1761</v>
      </c>
      <c r="B64" s="1133">
        <f>SUMIF(MAP!$E$1906:$E$1963,$A64,MAP!$T$1906:$T$1963)</f>
        <v>0</v>
      </c>
      <c r="C64" s="1134"/>
      <c r="D64" s="1134"/>
      <c r="E64" s="1134"/>
      <c r="F64" s="1135"/>
      <c r="G64" s="1133">
        <f>SUMIF(MAP!$E$1906:$E$1963,$A64,MAP!$N$1906:$N$1963)</f>
        <v>0</v>
      </c>
      <c r="H64" s="989"/>
      <c r="I64" s="989"/>
      <c r="J64" s="989"/>
    </row>
    <row r="65" spans="1:10" ht="15" x14ac:dyDescent="0.25">
      <c r="A65" s="1008" t="s">
        <v>1762</v>
      </c>
      <c r="B65" s="1133">
        <f>SUMIF(MAP!$E$1906:$E$1963,$A65,MAP!$T$1906:$T$1963)</f>
        <v>0</v>
      </c>
      <c r="C65" s="1134"/>
      <c r="D65" s="1134"/>
      <c r="E65" s="1134"/>
      <c r="F65" s="1135"/>
      <c r="G65" s="1133">
        <f>SUMIF(MAP!$E$1906:$E$1963,$A65,MAP!$N$1906:$N$1963)</f>
        <v>0</v>
      </c>
      <c r="H65" s="989"/>
      <c r="I65" s="989"/>
      <c r="J65" s="989"/>
    </row>
    <row r="66" spans="1:10" ht="15" x14ac:dyDescent="0.25">
      <c r="A66" s="1008" t="s">
        <v>1763</v>
      </c>
      <c r="B66" s="1133">
        <f>SUMIF(MAP!$E$1906:$E$1963,$A66,MAP!$T$1906:$T$1963)</f>
        <v>0</v>
      </c>
      <c r="C66" s="1134"/>
      <c r="D66" s="1134"/>
      <c r="E66" s="1134"/>
      <c r="F66" s="1135"/>
      <c r="G66" s="1133">
        <f>SUMIF(MAP!$E$1906:$E$1963,$A66,MAP!$N$1906:$N$1963)</f>
        <v>0</v>
      </c>
      <c r="H66" s="989"/>
      <c r="I66" s="989"/>
      <c r="J66" s="989"/>
    </row>
    <row r="67" spans="1:10" ht="15" x14ac:dyDescent="0.25">
      <c r="A67" s="1008" t="s">
        <v>1764</v>
      </c>
      <c r="B67" s="1133">
        <f>SUMIF(MAP!$E$1906:$E$1963,$A67,MAP!$T$1906:$T$1963)</f>
        <v>0</v>
      </c>
      <c r="C67" s="1134"/>
      <c r="D67" s="1134"/>
      <c r="E67" s="1134"/>
      <c r="F67" s="1135"/>
      <c r="G67" s="1133">
        <f>SUMIF(MAP!$E$1906:$E$1963,$A67,MAP!$N$1906:$N$1963)</f>
        <v>0</v>
      </c>
      <c r="H67" s="989"/>
      <c r="I67" s="989"/>
      <c r="J67" s="989"/>
    </row>
    <row r="68" spans="1:10" ht="15" x14ac:dyDescent="0.25">
      <c r="A68" s="1008" t="s">
        <v>1765</v>
      </c>
      <c r="B68" s="1133">
        <f>SUMIF(MAP!$E$1906:$E$1963,$A68,MAP!$T$1906:$T$1963)</f>
        <v>0</v>
      </c>
      <c r="C68" s="1134"/>
      <c r="D68" s="1134"/>
      <c r="E68" s="1134"/>
      <c r="F68" s="1135"/>
      <c r="G68" s="1133">
        <f>SUMIF(MAP!$E$1906:$E$1963,$A68,MAP!$N$1906:$N$1963)</f>
        <v>0</v>
      </c>
      <c r="H68" s="989"/>
      <c r="I68" s="989"/>
      <c r="J68" s="989"/>
    </row>
    <row r="69" spans="1:10" ht="15" x14ac:dyDescent="0.25">
      <c r="A69" s="1008" t="s">
        <v>1766</v>
      </c>
      <c r="B69" s="1133">
        <f>SUMIF(MAP!$E$1906:$E$1963,$A69,MAP!$T$1906:$T$1963)</f>
        <v>0</v>
      </c>
      <c r="C69" s="1134"/>
      <c r="D69" s="1134"/>
      <c r="E69" s="1134"/>
      <c r="F69" s="1135"/>
      <c r="G69" s="1133">
        <f>SUMIF(MAP!$E$1906:$E$1963,$A69,MAP!$N$1906:$N$1963)</f>
        <v>0</v>
      </c>
      <c r="H69" s="989"/>
      <c r="I69" s="989"/>
      <c r="J69" s="989"/>
    </row>
    <row r="70" spans="1:10" ht="15" x14ac:dyDescent="0.25">
      <c r="A70" s="1008" t="s">
        <v>1767</v>
      </c>
      <c r="B70" s="1133">
        <f>SUMIF(MAP!$E$1906:$E$1963,$A70,MAP!$T$1906:$T$1963)</f>
        <v>0</v>
      </c>
      <c r="C70" s="1134"/>
      <c r="D70" s="1134"/>
      <c r="E70" s="1134"/>
      <c r="F70" s="1135"/>
      <c r="G70" s="1133">
        <f>SUMIF(MAP!$E$1906:$E$1963,$A70,MAP!$N$1906:$N$1963)</f>
        <v>0</v>
      </c>
      <c r="H70" s="989"/>
      <c r="I70" s="989"/>
      <c r="J70" s="989"/>
    </row>
    <row r="71" spans="1:10" ht="15" x14ac:dyDescent="0.25">
      <c r="A71" s="1008" t="s">
        <v>1768</v>
      </c>
      <c r="B71" s="1133">
        <f>SUMIF(MAP!$E$1906:$E$1963,$A71,MAP!$T$1906:$T$1963)</f>
        <v>0</v>
      </c>
      <c r="C71" s="1134"/>
      <c r="D71" s="1134"/>
      <c r="E71" s="1134"/>
      <c r="F71" s="1135"/>
      <c r="G71" s="1133">
        <f>SUMIF(MAP!$E$1906:$E$1963,$A71,MAP!$N$1906:$N$1963)</f>
        <v>0</v>
      </c>
      <c r="H71" s="989"/>
      <c r="I71" s="989"/>
      <c r="J71" s="989"/>
    </row>
    <row r="72" spans="1:10" ht="15" x14ac:dyDescent="0.25">
      <c r="A72" s="1008" t="s">
        <v>1769</v>
      </c>
      <c r="B72" s="1133">
        <f>SUMIF(MAP!$E$1906:$E$1963,$A72,MAP!$T$1906:$T$1963)</f>
        <v>0</v>
      </c>
      <c r="C72" s="1134"/>
      <c r="D72" s="1134"/>
      <c r="E72" s="1134"/>
      <c r="F72" s="1135"/>
      <c r="G72" s="1133">
        <f>SUMIF(MAP!$E$1906:$E$1963,$A72,MAP!$N$1906:$N$1963)</f>
        <v>0</v>
      </c>
      <c r="H72" s="989"/>
      <c r="I72" s="989"/>
      <c r="J72" s="989"/>
    </row>
    <row r="73" spans="1:10" ht="15" x14ac:dyDescent="0.25">
      <c r="A73" s="1008" t="s">
        <v>1770</v>
      </c>
      <c r="B73" s="1133">
        <f>SUMIF(MAP!$E$1906:$E$1963,$A73,MAP!$T$1906:$T$1963)</f>
        <v>0</v>
      </c>
      <c r="C73" s="1134"/>
      <c r="D73" s="1134"/>
      <c r="E73" s="1134"/>
      <c r="F73" s="1135"/>
      <c r="G73" s="1133">
        <f>SUMIF(MAP!$E$1906:$E$1963,$A73,MAP!$N$1906:$N$1963)</f>
        <v>0</v>
      </c>
      <c r="H73" s="989"/>
      <c r="I73" s="989"/>
      <c r="J73" s="989"/>
    </row>
    <row r="74" spans="1:10" ht="15" x14ac:dyDescent="0.25">
      <c r="A74" s="1008" t="s">
        <v>1771</v>
      </c>
      <c r="B74" s="1133">
        <f>SUMIF(MAP!$E$1906:$E$1963,$A74,MAP!$T$1906:$T$1963)</f>
        <v>0</v>
      </c>
      <c r="C74" s="1134"/>
      <c r="D74" s="1134"/>
      <c r="E74" s="1134"/>
      <c r="F74" s="1135"/>
      <c r="G74" s="1133">
        <f>SUMIF(MAP!$E$1906:$E$1963,$A74,MAP!$N$1906:$N$1963)</f>
        <v>0</v>
      </c>
      <c r="H74" s="989"/>
      <c r="I74" s="989"/>
      <c r="J74" s="989"/>
    </row>
    <row r="75" spans="1:10" ht="15" x14ac:dyDescent="0.25">
      <c r="A75" s="1008" t="s">
        <v>1772</v>
      </c>
      <c r="B75" s="1133">
        <f>SUMIF(MAP!$E$1906:$E$1963,$A75,MAP!$T$1906:$T$1963)</f>
        <v>0</v>
      </c>
      <c r="C75" s="1134"/>
      <c r="D75" s="1134"/>
      <c r="E75" s="1134"/>
      <c r="F75" s="1135"/>
      <c r="G75" s="1133">
        <f>SUMIF(MAP!$E$1906:$E$1963,$A75,MAP!$N$1906:$N$1963)</f>
        <v>0</v>
      </c>
      <c r="H75" s="989"/>
      <c r="I75" s="989"/>
      <c r="J75" s="989"/>
    </row>
    <row r="76" spans="1:10" ht="15" x14ac:dyDescent="0.25">
      <c r="A76" s="1008" t="s">
        <v>1773</v>
      </c>
      <c r="B76" s="1133">
        <f>SUMIF(MAP!$E$1906:$E$1963,$A76,MAP!$T$1906:$T$1963)</f>
        <v>0</v>
      </c>
      <c r="C76" s="1134"/>
      <c r="D76" s="1134"/>
      <c r="E76" s="1134"/>
      <c r="F76" s="1135"/>
      <c r="G76" s="1133">
        <f>SUMIF(MAP!$E$1906:$E$1963,$A76,MAP!$N$1906:$N$1963)</f>
        <v>0</v>
      </c>
      <c r="H76" s="989"/>
      <c r="I76" s="989"/>
      <c r="J76" s="989"/>
    </row>
    <row r="77" spans="1:10" ht="15" x14ac:dyDescent="0.25">
      <c r="A77" s="1008" t="s">
        <v>1774</v>
      </c>
      <c r="B77" s="1133">
        <f>SUMIF(MAP!$E$1906:$E$1963,$A77,MAP!$T$1906:$T$1963)</f>
        <v>0</v>
      </c>
      <c r="C77" s="1134"/>
      <c r="D77" s="1134"/>
      <c r="E77" s="1134"/>
      <c r="F77" s="1135"/>
      <c r="G77" s="1133">
        <f>SUMIF(MAP!$E$1906:$E$1963,$A77,MAP!$N$1906:$N$1963)</f>
        <v>0</v>
      </c>
      <c r="H77" s="989"/>
      <c r="I77" s="989"/>
      <c r="J77" s="989"/>
    </row>
    <row r="78" spans="1:10" ht="15" x14ac:dyDescent="0.25">
      <c r="A78" s="1008" t="s">
        <v>1775</v>
      </c>
      <c r="B78" s="1133">
        <f>SUMIF(MAP!$E$1906:$E$1963,$A78,MAP!$T$1906:$T$1963)</f>
        <v>0</v>
      </c>
      <c r="C78" s="1134"/>
      <c r="D78" s="1134"/>
      <c r="E78" s="1134"/>
      <c r="F78" s="1135"/>
      <c r="G78" s="1133">
        <f>SUMIF(MAP!$E$1906:$E$1963,$A78,MAP!$N$1906:$N$1963)</f>
        <v>0</v>
      </c>
      <c r="H78" s="989"/>
      <c r="I78" s="989"/>
      <c r="J78" s="989"/>
    </row>
    <row r="79" spans="1:10" ht="15" x14ac:dyDescent="0.25">
      <c r="A79" s="1008" t="s">
        <v>1776</v>
      </c>
      <c r="B79" s="1133">
        <f>SUMIF(MAP!$E$1906:$E$1963,$A79,MAP!$T$1906:$T$1963)</f>
        <v>0</v>
      </c>
      <c r="C79" s="1134"/>
      <c r="D79" s="1134"/>
      <c r="E79" s="1134"/>
      <c r="F79" s="1135"/>
      <c r="G79" s="1133">
        <f>SUMIF(MAP!$E$1906:$E$1963,$A79,MAP!$N$1906:$N$1963)</f>
        <v>0</v>
      </c>
      <c r="H79" s="989"/>
      <c r="I79" s="989"/>
      <c r="J79" s="989"/>
    </row>
    <row r="80" spans="1:10" ht="15" x14ac:dyDescent="0.25">
      <c r="A80" s="1008" t="s">
        <v>1777</v>
      </c>
      <c r="B80" s="1133">
        <f>SUMIF(MAP!$E$1906:$E$1963,$A80,MAP!$T$1906:$T$1963)</f>
        <v>0</v>
      </c>
      <c r="C80" s="1134"/>
      <c r="D80" s="1134"/>
      <c r="E80" s="1134"/>
      <c r="F80" s="1135"/>
      <c r="G80" s="1133">
        <f>SUMIF(MAP!$E$1906:$E$1963,$A80,MAP!$N$1906:$N$1963)</f>
        <v>0</v>
      </c>
      <c r="H80" s="989"/>
      <c r="I80" s="989"/>
      <c r="J80" s="989"/>
    </row>
    <row r="81" spans="1:10" ht="15" x14ac:dyDescent="0.25">
      <c r="A81" s="1008" t="s">
        <v>1778</v>
      </c>
      <c r="B81" s="1133">
        <f>SUMIF(MAP!$E$1906:$E$1963,$A81,MAP!$T$1906:$T$1963)</f>
        <v>0</v>
      </c>
      <c r="C81" s="1134"/>
      <c r="D81" s="1134"/>
      <c r="E81" s="1134"/>
      <c r="F81" s="1135"/>
      <c r="G81" s="1133">
        <f>SUMIF(MAP!$E$1906:$E$1963,$A81,MAP!$N$1906:$N$1963)</f>
        <v>0</v>
      </c>
      <c r="H81" s="989"/>
      <c r="I81" s="989"/>
      <c r="J81" s="989"/>
    </row>
    <row r="82" spans="1:10" ht="15" x14ac:dyDescent="0.25">
      <c r="A82" s="1008" t="s">
        <v>1779</v>
      </c>
      <c r="B82" s="1133">
        <f>SUMIF(MAP!$E$1906:$E$1963,$A82,MAP!$T$1906:$T$1963)</f>
        <v>0</v>
      </c>
      <c r="C82" s="1134"/>
      <c r="D82" s="1134"/>
      <c r="E82" s="1134"/>
      <c r="F82" s="1135"/>
      <c r="G82" s="1133">
        <f>SUMIF(MAP!$E$1906:$E$1963,$A82,MAP!$N$1906:$N$1963)</f>
        <v>0</v>
      </c>
      <c r="H82" s="989"/>
      <c r="I82" s="989"/>
      <c r="J82" s="989"/>
    </row>
    <row r="83" spans="1:10" ht="15" x14ac:dyDescent="0.25">
      <c r="A83" s="1008" t="s">
        <v>1780</v>
      </c>
      <c r="B83" s="1133">
        <f>SUMIF(MAP!$E$1906:$E$1963,$A83,MAP!$T$1906:$T$1963)</f>
        <v>0</v>
      </c>
      <c r="C83" s="1134"/>
      <c r="D83" s="1134"/>
      <c r="E83" s="1134"/>
      <c r="F83" s="1135"/>
      <c r="G83" s="1133">
        <f>SUMIF(MAP!$E$1906:$E$1963,$A83,MAP!$N$1906:$N$1963)</f>
        <v>0</v>
      </c>
      <c r="H83" s="989"/>
      <c r="I83" s="989"/>
      <c r="J83" s="989"/>
    </row>
    <row r="84" spans="1:10" ht="15" x14ac:dyDescent="0.25">
      <c r="A84" s="1008" t="s">
        <v>1781</v>
      </c>
      <c r="B84" s="1133">
        <f>SUMIF(MAP!$E$1906:$E$1963,$A84,MAP!$T$1906:$T$1963)</f>
        <v>0</v>
      </c>
      <c r="C84" s="1134"/>
      <c r="D84" s="1134"/>
      <c r="E84" s="1134"/>
      <c r="F84" s="1135"/>
      <c r="G84" s="1133">
        <f>SUMIF(MAP!$E$1906:$E$1963,$A84,MAP!$N$1906:$N$1963)</f>
        <v>0</v>
      </c>
      <c r="H84" s="989"/>
      <c r="I84" s="989"/>
      <c r="J84" s="989"/>
    </row>
    <row r="85" spans="1:10" ht="15" x14ac:dyDescent="0.25">
      <c r="A85" s="1008" t="s">
        <v>1782</v>
      </c>
      <c r="B85" s="1133">
        <f>SUMIF(MAP!$E$1906:$E$1963,$A85,MAP!$T$1906:$T$1963)</f>
        <v>0</v>
      </c>
      <c r="C85" s="1134"/>
      <c r="D85" s="1134"/>
      <c r="E85" s="1134"/>
      <c r="F85" s="1135"/>
      <c r="G85" s="1133">
        <f>SUMIF(MAP!$E$1906:$E$1963,$A85,MAP!$N$1906:$N$1963)</f>
        <v>0</v>
      </c>
      <c r="H85" s="989"/>
      <c r="I85" s="989"/>
      <c r="J85" s="989"/>
    </row>
    <row r="86" spans="1:10" ht="15" x14ac:dyDescent="0.25">
      <c r="A86" s="1008" t="s">
        <v>1783</v>
      </c>
      <c r="B86" s="1133">
        <f>SUMIF(MAP!$E$1906:$E$1963,$A86,MAP!$T$1906:$T$1963)</f>
        <v>0</v>
      </c>
      <c r="C86" s="1134"/>
      <c r="D86" s="1134"/>
      <c r="E86" s="1134"/>
      <c r="F86" s="1135"/>
      <c r="G86" s="1133">
        <f>SUMIF(MAP!$E$1906:$E$1963,$A86,MAP!$N$1906:$N$1963)</f>
        <v>0</v>
      </c>
      <c r="H86" s="989"/>
      <c r="I86" s="989"/>
      <c r="J86" s="989"/>
    </row>
    <row r="87" spans="1:10" ht="15" x14ac:dyDescent="0.25">
      <c r="A87" s="1008" t="s">
        <v>1784</v>
      </c>
      <c r="B87" s="1133">
        <f>SUMIF(MAP!$E$1906:$E$1963,$A87,MAP!$T$1906:$T$1963)</f>
        <v>0</v>
      </c>
      <c r="C87" s="1134"/>
      <c r="D87" s="1134"/>
      <c r="E87" s="1134"/>
      <c r="F87" s="1135"/>
      <c r="G87" s="1133">
        <f>SUMIF(MAP!$E$1906:$E$1963,$A87,MAP!$N$1906:$N$1963)</f>
        <v>0</v>
      </c>
      <c r="H87" s="989"/>
      <c r="I87" s="989"/>
      <c r="J87" s="989"/>
    </row>
    <row r="88" spans="1:10" ht="15" x14ac:dyDescent="0.25">
      <c r="A88" s="1008" t="s">
        <v>1785</v>
      </c>
      <c r="B88" s="1133">
        <f>SUMIF(MAP!$E$1906:$E$1963,$A88,MAP!$T$1906:$T$1963)</f>
        <v>0</v>
      </c>
      <c r="C88" s="1134"/>
      <c r="D88" s="1134"/>
      <c r="E88" s="1134"/>
      <c r="F88" s="1135"/>
      <c r="G88" s="1133">
        <f>SUMIF(MAP!$E$1906:$E$1963,$A88,MAP!$N$1906:$N$1963)</f>
        <v>0</v>
      </c>
      <c r="H88" s="989"/>
      <c r="I88" s="989"/>
      <c r="J88" s="989"/>
    </row>
    <row r="89" spans="1:10" ht="15" x14ac:dyDescent="0.25">
      <c r="A89" s="1008" t="s">
        <v>1786</v>
      </c>
      <c r="B89" s="1133">
        <f>SUMIF(MAP!$E$1906:$E$1963,$A89,MAP!$T$1906:$T$1963)</f>
        <v>0</v>
      </c>
      <c r="C89" s="1134"/>
      <c r="D89" s="1134"/>
      <c r="E89" s="1134"/>
      <c r="F89" s="1135"/>
      <c r="G89" s="1133">
        <f>SUMIF(MAP!$E$1906:$E$1963,$A89,MAP!$N$1906:$N$1963)</f>
        <v>0</v>
      </c>
      <c r="H89" s="989"/>
      <c r="I89" s="989"/>
      <c r="J89" s="989"/>
    </row>
    <row r="90" spans="1:10" ht="15" x14ac:dyDescent="0.25">
      <c r="A90" s="1008" t="s">
        <v>1914</v>
      </c>
      <c r="B90" s="1133">
        <f>SUMIF(MAP!$E$1906:$E$1963,$A90,MAP!$T$1906:$T$1963)</f>
        <v>0</v>
      </c>
      <c r="C90" s="1134"/>
      <c r="D90" s="1134"/>
      <c r="E90" s="1134"/>
      <c r="F90" s="1135"/>
      <c r="G90" s="1133">
        <f>SUMIF(MAP!$E$1906:$E$1963,$A90,MAP!$N$1906:$N$1963)</f>
        <v>0</v>
      </c>
      <c r="H90" s="989"/>
      <c r="I90" s="989"/>
      <c r="J90" s="989"/>
    </row>
    <row r="91" spans="1:10" ht="15" x14ac:dyDescent="0.25">
      <c r="A91" s="1008" t="s">
        <v>1913</v>
      </c>
      <c r="B91" s="1133">
        <f>SUMIF(MAP!$E$1906:$E$1963,$A91,MAP!$T$1906:$T$1963)</f>
        <v>0</v>
      </c>
      <c r="C91" s="1134"/>
      <c r="D91" s="1134"/>
      <c r="E91" s="1134"/>
      <c r="F91" s="1135"/>
      <c r="G91" s="1133">
        <f>SUMIF(MAP!$E$1906:$E$1963,$A91,MAP!$N$1906:$N$1963)</f>
        <v>0</v>
      </c>
      <c r="H91" s="989"/>
      <c r="I91" s="989"/>
      <c r="J91" s="989"/>
    </row>
    <row r="92" spans="1:10" ht="15" x14ac:dyDescent="0.25">
      <c r="A92" s="1008" t="s">
        <v>1915</v>
      </c>
      <c r="B92" s="1133">
        <f>SUMIF(MAP!$E$1906:$E$1963,$A92,MAP!$T$1906:$T$1963)</f>
        <v>0</v>
      </c>
      <c r="C92" s="1134"/>
      <c r="D92" s="1134"/>
      <c r="E92" s="1134"/>
      <c r="F92" s="1135"/>
      <c r="G92" s="1133">
        <f>SUMIF(MAP!$E$1906:$E$1963,$A92,MAP!$N$1906:$N$1963)</f>
        <v>0</v>
      </c>
      <c r="H92" s="989"/>
      <c r="I92" s="989"/>
      <c r="J92" s="989"/>
    </row>
    <row r="93" spans="1:10" ht="15" x14ac:dyDescent="0.25">
      <c r="A93" s="1008" t="s">
        <v>1917</v>
      </c>
      <c r="B93" s="1133">
        <f>SUMIF(MAP!$E$1906:$E$1963,$A93,MAP!$T$1906:$T$1963)</f>
        <v>0</v>
      </c>
      <c r="C93" s="1134"/>
      <c r="D93" s="1134"/>
      <c r="E93" s="1134"/>
      <c r="F93" s="1135"/>
      <c r="G93" s="1133">
        <f>SUMIF(MAP!$E$1906:$E$1963,$A93,MAP!$N$1906:$N$1963)</f>
        <v>0</v>
      </c>
      <c r="H93" s="989"/>
      <c r="I93" s="989"/>
      <c r="J93" s="989"/>
    </row>
    <row r="94" spans="1:10" ht="15" x14ac:dyDescent="0.25">
      <c r="A94" s="1008" t="s">
        <v>1916</v>
      </c>
      <c r="B94" s="1133">
        <f>SUMIF(MAP!$E$1906:$E$1963,$A94,MAP!$T$1906:$T$1963)</f>
        <v>0</v>
      </c>
      <c r="C94" s="1134"/>
      <c r="D94" s="1134"/>
      <c r="E94" s="1134"/>
      <c r="F94" s="1135"/>
      <c r="G94" s="1133">
        <f>SUMIF(MAP!$E$1906:$E$1963,$A94,MAP!$N$1906:$N$1963)</f>
        <v>0</v>
      </c>
      <c r="H94" s="989"/>
      <c r="I94" s="989"/>
      <c r="J94" s="989"/>
    </row>
    <row r="95" spans="1:10" ht="15" x14ac:dyDescent="0.25">
      <c r="A95" s="1008" t="s">
        <v>1918</v>
      </c>
      <c r="B95" s="1133">
        <f>SUMIF(MAP!$E$1906:$E$1963,$A95,MAP!$T$1906:$T$1963)</f>
        <v>0</v>
      </c>
      <c r="C95" s="1134"/>
      <c r="D95" s="1134"/>
      <c r="E95" s="1134"/>
      <c r="F95" s="1135"/>
      <c r="G95" s="1133">
        <f>SUMIF(MAP!$E$1906:$E$1963,$A95,MAP!$N$1906:$N$1963)</f>
        <v>0</v>
      </c>
      <c r="H95" s="989"/>
      <c r="I95" s="989"/>
      <c r="J95" s="989"/>
    </row>
    <row r="96" spans="1:10" ht="15" x14ac:dyDescent="0.25">
      <c r="A96" s="1008" t="s">
        <v>1919</v>
      </c>
      <c r="B96" s="1133">
        <f>SUMIF(MAP!$E$1906:$E$1963,$A96,MAP!$T$1906:$T$1963)</f>
        <v>0</v>
      </c>
      <c r="C96" s="1134"/>
      <c r="D96" s="1134"/>
      <c r="E96" s="1134"/>
      <c r="F96" s="1135"/>
      <c r="G96" s="1133">
        <f>SUMIF(MAP!$E$1906:$E$1963,$A96,MAP!$N$1906:$N$1963)</f>
        <v>0</v>
      </c>
      <c r="H96" s="989"/>
      <c r="I96" s="989"/>
      <c r="J96" s="989"/>
    </row>
    <row r="97" spans="1:10" ht="15" x14ac:dyDescent="0.25">
      <c r="A97" s="1008" t="s">
        <v>1920</v>
      </c>
      <c r="B97" s="1133">
        <f>SUMIF(MAP!$E$1906:$E$1963,$A97,MAP!$T$1906:$T$1963)</f>
        <v>0</v>
      </c>
      <c r="C97" s="1134"/>
      <c r="D97" s="1134"/>
      <c r="E97" s="1134"/>
      <c r="F97" s="1135"/>
      <c r="G97" s="1133">
        <f>SUMIF(MAP!$E$1906:$E$1963,$A97,MAP!$N$1906:$N$1963)</f>
        <v>0</v>
      </c>
      <c r="H97" s="989"/>
      <c r="I97" s="989"/>
      <c r="J97" s="989"/>
    </row>
    <row r="98" spans="1:10" ht="15" x14ac:dyDescent="0.25">
      <c r="A98" s="1008" t="s">
        <v>1921</v>
      </c>
      <c r="B98" s="1133">
        <f>SUMIF(MAP!$E$1906:$E$1963,$A98,MAP!$T$1906:$T$1963)</f>
        <v>0</v>
      </c>
      <c r="C98" s="1134"/>
      <c r="D98" s="1134"/>
      <c r="E98" s="1134"/>
      <c r="F98" s="1135"/>
      <c r="G98" s="1133">
        <f>SUMIF(MAP!$E$1906:$E$1963,$A98,MAP!$N$1906:$N$1963)</f>
        <v>0</v>
      </c>
      <c r="H98" s="989"/>
      <c r="I98" s="989"/>
      <c r="J98" s="989"/>
    </row>
    <row r="99" spans="1:10" ht="15" x14ac:dyDescent="0.25">
      <c r="A99" s="1008" t="s">
        <v>1922</v>
      </c>
      <c r="B99" s="1133">
        <f>SUMIF(MAP!$E$1906:$E$1963,$A99,MAP!$T$1906:$T$1963)</f>
        <v>0</v>
      </c>
      <c r="C99" s="1134"/>
      <c r="D99" s="1134"/>
      <c r="E99" s="1134"/>
      <c r="F99" s="1135"/>
      <c r="G99" s="1133">
        <f>SUMIF(MAP!$E$1906:$E$1963,$A99,MAP!$N$1906:$N$1963)</f>
        <v>0</v>
      </c>
      <c r="H99" s="989"/>
      <c r="I99" s="989"/>
      <c r="J99" s="989"/>
    </row>
    <row r="100" spans="1:10" ht="15" x14ac:dyDescent="0.25">
      <c r="A100" s="1008" t="s">
        <v>1923</v>
      </c>
      <c r="B100" s="1133">
        <f>SUMIF(MAP!$E$1906:$E$1963,$A100,MAP!$T$1906:$T$1963)</f>
        <v>0</v>
      </c>
      <c r="C100" s="1134"/>
      <c r="D100" s="1134"/>
      <c r="E100" s="1134"/>
      <c r="F100" s="1135"/>
      <c r="G100" s="1133">
        <f>SUMIF(MAP!$E$1906:$E$1963,$A100,MAP!$N$1906:$N$1963)</f>
        <v>0</v>
      </c>
      <c r="H100" s="989"/>
      <c r="I100" s="989"/>
      <c r="J100" s="989"/>
    </row>
    <row r="101" spans="1:10" ht="15" x14ac:dyDescent="0.25">
      <c r="A101" s="1008" t="s">
        <v>1924</v>
      </c>
      <c r="B101" s="1133">
        <f>SUMIF(MAP!$E$1906:$E$1963,$A101,MAP!$T$1906:$T$1963)</f>
        <v>0</v>
      </c>
      <c r="C101" s="1134"/>
      <c r="D101" s="1134"/>
      <c r="E101" s="1134"/>
      <c r="F101" s="1135"/>
      <c r="G101" s="1133">
        <f>SUMIF(MAP!$E$1906:$E$1963,$A101,MAP!$N$1906:$N$1963)</f>
        <v>0</v>
      </c>
      <c r="H101" s="989"/>
      <c r="I101" s="989"/>
      <c r="J101" s="989"/>
    </row>
    <row r="102" spans="1:10" ht="15" x14ac:dyDescent="0.25">
      <c r="A102" s="1008" t="s">
        <v>1925</v>
      </c>
      <c r="B102" s="1133">
        <f>SUMIF(MAP!$E$1906:$E$1963,$A102,MAP!$T$1906:$T$1963)</f>
        <v>0</v>
      </c>
      <c r="C102" s="1134"/>
      <c r="D102" s="1134"/>
      <c r="E102" s="1134"/>
      <c r="F102" s="1135"/>
      <c r="G102" s="1133">
        <f>SUMIF(MAP!$E$1906:$E$1963,$A102,MAP!$N$1906:$N$1963)</f>
        <v>0</v>
      </c>
      <c r="H102" s="989"/>
      <c r="I102" s="989"/>
      <c r="J102" s="989"/>
    </row>
    <row r="103" spans="1:10" ht="15" x14ac:dyDescent="0.25">
      <c r="A103" s="1008" t="s">
        <v>1926</v>
      </c>
      <c r="B103" s="1133">
        <f>SUMIF(MAP!$E$1906:$E$1963,$A103,MAP!$T$1906:$T$1963)</f>
        <v>0</v>
      </c>
      <c r="C103" s="1134"/>
      <c r="D103" s="1134"/>
      <c r="E103" s="1134"/>
      <c r="F103" s="1135"/>
      <c r="G103" s="1133">
        <f>SUMIF(MAP!$E$1906:$E$1963,$A103,MAP!$N$1906:$N$1963)</f>
        <v>0</v>
      </c>
      <c r="H103" s="989"/>
      <c r="I103" s="989"/>
      <c r="J103" s="989"/>
    </row>
    <row r="104" spans="1:10" ht="15" x14ac:dyDescent="0.25">
      <c r="A104" s="1008" t="s">
        <v>1931</v>
      </c>
      <c r="B104" s="1133">
        <f>SUMIF(MAP!$E$1906:$E$1963,$A104,MAP!$T$1906:$T$1963)</f>
        <v>0</v>
      </c>
      <c r="C104" s="1134"/>
      <c r="D104" s="1134"/>
      <c r="E104" s="1134"/>
      <c r="F104" s="1135"/>
      <c r="G104" s="1133">
        <f>SUMIF(MAP!$E$1906:$E$1963,$A104,MAP!$N$1906:$N$1963)</f>
        <v>0</v>
      </c>
      <c r="H104" s="989"/>
      <c r="I104" s="989"/>
      <c r="J104" s="989"/>
    </row>
    <row r="105" spans="1:10" ht="15" x14ac:dyDescent="0.25">
      <c r="A105" s="1008" t="s">
        <v>1927</v>
      </c>
      <c r="B105" s="1133">
        <f>SUMIF(MAP!$E$1906:$E$1963,$A105,MAP!$T$1906:$T$1963)</f>
        <v>0</v>
      </c>
      <c r="C105" s="1134"/>
      <c r="D105" s="1134"/>
      <c r="E105" s="1134"/>
      <c r="F105" s="1135"/>
      <c r="G105" s="1133">
        <f>SUMIF(MAP!$E$1906:$E$1963,$A105,MAP!$N$1906:$N$1963)</f>
        <v>0</v>
      </c>
      <c r="H105" s="989"/>
      <c r="I105" s="989"/>
      <c r="J105" s="989"/>
    </row>
    <row r="106" spans="1:10" ht="15" x14ac:dyDescent="0.25">
      <c r="A106" s="1008" t="s">
        <v>1932</v>
      </c>
      <c r="B106" s="1133">
        <f>SUMIF(MAP!$E$1906:$E$1963,$A106,MAP!$T$1906:$T$1963)</f>
        <v>0</v>
      </c>
      <c r="C106" s="1134"/>
      <c r="D106" s="1134"/>
      <c r="E106" s="1134"/>
      <c r="F106" s="1135"/>
      <c r="G106" s="1133">
        <f>SUMIF(MAP!$E$1906:$E$1963,$A106,MAP!$N$1906:$N$1963)</f>
        <v>0</v>
      </c>
      <c r="H106" s="989"/>
      <c r="I106" s="989"/>
      <c r="J106" s="989"/>
    </row>
    <row r="107" spans="1:10" ht="15" x14ac:dyDescent="0.25">
      <c r="A107" s="1008" t="s">
        <v>1933</v>
      </c>
      <c r="B107" s="1133">
        <f>SUMIF(MAP!$E$1906:$E$1963,$A107,MAP!$T$1906:$T$1963)</f>
        <v>0</v>
      </c>
      <c r="C107" s="1134"/>
      <c r="D107" s="1134"/>
      <c r="E107" s="1134"/>
      <c r="F107" s="1135"/>
      <c r="G107" s="1133">
        <f>SUMIF(MAP!$E$1906:$E$1963,$A107,MAP!$N$1906:$N$1963)</f>
        <v>0</v>
      </c>
      <c r="H107" s="989"/>
      <c r="I107" s="989"/>
      <c r="J107" s="989"/>
    </row>
    <row r="108" spans="1:10" ht="15" x14ac:dyDescent="0.25">
      <c r="A108" s="1008" t="s">
        <v>1786</v>
      </c>
      <c r="B108" s="1133">
        <f>SUMIF(MAP!$E$1906:$E$1963,$A108,MAP!$T$1906:$T$1963)</f>
        <v>0</v>
      </c>
      <c r="C108" s="1134"/>
      <c r="D108" s="1134"/>
      <c r="E108" s="1134"/>
      <c r="F108" s="1135"/>
      <c r="G108" s="1133">
        <f>SUMIF(MAP!$E$1906:$E$1963,$A108,MAP!$N$1906:$N$1963)</f>
        <v>0</v>
      </c>
      <c r="H108" s="989"/>
      <c r="I108" s="989"/>
      <c r="J108" s="989"/>
    </row>
    <row r="109" spans="1:10" ht="15" x14ac:dyDescent="0.25">
      <c r="A109" s="1009" t="s">
        <v>146</v>
      </c>
      <c r="B109" s="1136">
        <f>SUM(B50:B108)</f>
        <v>0</v>
      </c>
      <c r="C109" s="1134"/>
      <c r="D109" s="1134"/>
      <c r="E109" s="1134"/>
      <c r="F109" s="1135"/>
      <c r="G109" s="1136">
        <f>SUM(G50:G108)</f>
        <v>0</v>
      </c>
      <c r="H109" s="989"/>
      <c r="I109" s="989"/>
      <c r="J109" s="989"/>
    </row>
    <row r="110" spans="1:10" x14ac:dyDescent="0.2">
      <c r="I110" s="450"/>
      <c r="J110" s="450"/>
    </row>
    <row r="111" spans="1:10" x14ac:dyDescent="0.2">
      <c r="I111" s="450"/>
      <c r="J111" s="450"/>
    </row>
    <row r="112" spans="1:10" x14ac:dyDescent="0.2">
      <c r="I112" s="450"/>
      <c r="J112" s="450"/>
    </row>
    <row r="113" spans="9:10" x14ac:dyDescent="0.2">
      <c r="I113" s="450"/>
      <c r="J113" s="450"/>
    </row>
    <row r="114" spans="9:10" x14ac:dyDescent="0.2">
      <c r="I114" s="450"/>
      <c r="J114" s="450"/>
    </row>
    <row r="115" spans="9:10" x14ac:dyDescent="0.2">
      <c r="I115" s="450"/>
      <c r="J115" s="450"/>
    </row>
    <row r="116" spans="9:10" x14ac:dyDescent="0.2">
      <c r="I116" s="450"/>
      <c r="J116" s="450"/>
    </row>
    <row r="117" spans="9:10" x14ac:dyDescent="0.2">
      <c r="I117" s="450"/>
      <c r="J117" s="450"/>
    </row>
    <row r="118" spans="9:10" x14ac:dyDescent="0.2">
      <c r="I118" s="450"/>
      <c r="J118" s="450"/>
    </row>
    <row r="119" spans="9:10" x14ac:dyDescent="0.2">
      <c r="I119" s="450"/>
      <c r="J119" s="450"/>
    </row>
    <row r="120" spans="9:10" x14ac:dyDescent="0.2">
      <c r="I120" s="450"/>
      <c r="J120" s="450"/>
    </row>
    <row r="121" spans="9:10" x14ac:dyDescent="0.2">
      <c r="I121" s="450"/>
      <c r="J121" s="450"/>
    </row>
    <row r="122" spans="9:10" x14ac:dyDescent="0.2">
      <c r="I122" s="450"/>
      <c r="J122" s="450"/>
    </row>
    <row r="123" spans="9:10" x14ac:dyDescent="0.2">
      <c r="I123" s="450"/>
      <c r="J123" s="450"/>
    </row>
  </sheetData>
  <sheetProtection formatColumns="0" formatRows="0"/>
  <mergeCells count="3">
    <mergeCell ref="B5:E5"/>
    <mergeCell ref="G5:J5"/>
    <mergeCell ref="A43:C43"/>
  </mergeCells>
  <conditionalFormatting sqref="B62:B108 G62:G108">
    <cfRule type="expression" dxfId="356" priority="5">
      <formula>CELL("Protect",B62)=0</formula>
    </cfRule>
  </conditionalFormatting>
  <pageMargins left="0.74803149606299213" right="0.74803149606299213" top="0.59055118110236227" bottom="0.59055118110236227" header="0.51181102362204722" footer="0.51181102362204722"/>
  <pageSetup paperSize="9" scale="5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A1:R80"/>
  <sheetViews>
    <sheetView zoomScaleNormal="100" workbookViewId="0">
      <selection activeCell="G5" sqref="G4:G5"/>
    </sheetView>
  </sheetViews>
  <sheetFormatPr defaultRowHeight="12.75" outlineLevelRow="1" outlineLevelCol="1" x14ac:dyDescent="0.2"/>
  <cols>
    <col min="1" max="1" width="4.28515625" style="34" customWidth="1"/>
    <col min="2" max="2" width="56.42578125" style="34" customWidth="1"/>
    <col min="3" max="6" width="16" style="34" customWidth="1"/>
    <col min="7" max="7" width="9" style="34" customWidth="1" outlineLevel="1"/>
    <col min="8" max="8" width="9" style="34" customWidth="1"/>
    <col min="9" max="9" width="16" style="34" customWidth="1"/>
    <col min="10" max="10" width="9.140625" style="34"/>
    <col min="11" max="13" width="9.140625" style="34" hidden="1" customWidth="1" outlineLevel="1"/>
    <col min="14" max="16" width="9.7109375" style="34" hidden="1" customWidth="1" outlineLevel="1"/>
    <col min="17" max="17" width="9.140625" style="34" hidden="1" customWidth="1" outlineLevel="1"/>
    <col min="18" max="18" width="9.140625" style="34" collapsed="1"/>
    <col min="19" max="256" width="9.140625" style="34"/>
    <col min="257" max="257" width="4.28515625" style="34" customWidth="1"/>
    <col min="258" max="258" width="39.140625" style="34" customWidth="1"/>
    <col min="259" max="259" width="9.140625" style="34"/>
    <col min="260" max="263" width="16" style="34" customWidth="1"/>
    <col min="264" max="264" width="9" style="34" customWidth="1"/>
    <col min="265" max="265" width="16" style="34" customWidth="1"/>
    <col min="266" max="512" width="9.140625" style="34"/>
    <col min="513" max="513" width="4.28515625" style="34" customWidth="1"/>
    <col min="514" max="514" width="39.140625" style="34" customWidth="1"/>
    <col min="515" max="515" width="9.140625" style="34"/>
    <col min="516" max="519" width="16" style="34" customWidth="1"/>
    <col min="520" max="520" width="9" style="34" customWidth="1"/>
    <col min="521" max="521" width="16" style="34" customWidth="1"/>
    <col min="522" max="768" width="9.140625" style="34"/>
    <col min="769" max="769" width="4.28515625" style="34" customWidth="1"/>
    <col min="770" max="770" width="39.140625" style="34" customWidth="1"/>
    <col min="771" max="771" width="9.140625" style="34"/>
    <col min="772" max="775" width="16" style="34" customWidth="1"/>
    <col min="776" max="776" width="9" style="34" customWidth="1"/>
    <col min="777" max="777" width="16" style="34" customWidth="1"/>
    <col min="778" max="1024" width="9.140625" style="34"/>
    <col min="1025" max="1025" width="4.28515625" style="34" customWidth="1"/>
    <col min="1026" max="1026" width="39.140625" style="34" customWidth="1"/>
    <col min="1027" max="1027" width="9.140625" style="34"/>
    <col min="1028" max="1031" width="16" style="34" customWidth="1"/>
    <col min="1032" max="1032" width="9" style="34" customWidth="1"/>
    <col min="1033" max="1033" width="16" style="34" customWidth="1"/>
    <col min="1034" max="1280" width="9.140625" style="34"/>
    <col min="1281" max="1281" width="4.28515625" style="34" customWidth="1"/>
    <col min="1282" max="1282" width="39.140625" style="34" customWidth="1"/>
    <col min="1283" max="1283" width="9.140625" style="34"/>
    <col min="1284" max="1287" width="16" style="34" customWidth="1"/>
    <col min="1288" max="1288" width="9" style="34" customWidth="1"/>
    <col min="1289" max="1289" width="16" style="34" customWidth="1"/>
    <col min="1290" max="1536" width="9.140625" style="34"/>
    <col min="1537" max="1537" width="4.28515625" style="34" customWidth="1"/>
    <col min="1538" max="1538" width="39.140625" style="34" customWidth="1"/>
    <col min="1539" max="1539" width="9.140625" style="34"/>
    <col min="1540" max="1543" width="16" style="34" customWidth="1"/>
    <col min="1544" max="1544" width="9" style="34" customWidth="1"/>
    <col min="1545" max="1545" width="16" style="34" customWidth="1"/>
    <col min="1546" max="1792" width="9.140625" style="34"/>
    <col min="1793" max="1793" width="4.28515625" style="34" customWidth="1"/>
    <col min="1794" max="1794" width="39.140625" style="34" customWidth="1"/>
    <col min="1795" max="1795" width="9.140625" style="34"/>
    <col min="1796" max="1799" width="16" style="34" customWidth="1"/>
    <col min="1800" max="1800" width="9" style="34" customWidth="1"/>
    <col min="1801" max="1801" width="16" style="34" customWidth="1"/>
    <col min="1802" max="2048" width="9.140625" style="34"/>
    <col min="2049" max="2049" width="4.28515625" style="34" customWidth="1"/>
    <col min="2050" max="2050" width="39.140625" style="34" customWidth="1"/>
    <col min="2051" max="2051" width="9.140625" style="34"/>
    <col min="2052" max="2055" width="16" style="34" customWidth="1"/>
    <col min="2056" max="2056" width="9" style="34" customWidth="1"/>
    <col min="2057" max="2057" width="16" style="34" customWidth="1"/>
    <col min="2058" max="2304" width="9.140625" style="34"/>
    <col min="2305" max="2305" width="4.28515625" style="34" customWidth="1"/>
    <col min="2306" max="2306" width="39.140625" style="34" customWidth="1"/>
    <col min="2307" max="2307" width="9.140625" style="34"/>
    <col min="2308" max="2311" width="16" style="34" customWidth="1"/>
    <col min="2312" max="2312" width="9" style="34" customWidth="1"/>
    <col min="2313" max="2313" width="16" style="34" customWidth="1"/>
    <col min="2314" max="2560" width="9.140625" style="34"/>
    <col min="2561" max="2561" width="4.28515625" style="34" customWidth="1"/>
    <col min="2562" max="2562" width="39.140625" style="34" customWidth="1"/>
    <col min="2563" max="2563" width="9.140625" style="34"/>
    <col min="2564" max="2567" width="16" style="34" customWidth="1"/>
    <col min="2568" max="2568" width="9" style="34" customWidth="1"/>
    <col min="2569" max="2569" width="16" style="34" customWidth="1"/>
    <col min="2570" max="2816" width="9.140625" style="34"/>
    <col min="2817" max="2817" width="4.28515625" style="34" customWidth="1"/>
    <col min="2818" max="2818" width="39.140625" style="34" customWidth="1"/>
    <col min="2819" max="2819" width="9.140625" style="34"/>
    <col min="2820" max="2823" width="16" style="34" customWidth="1"/>
    <col min="2824" max="2824" width="9" style="34" customWidth="1"/>
    <col min="2825" max="2825" width="16" style="34" customWidth="1"/>
    <col min="2826" max="3072" width="9.140625" style="34"/>
    <col min="3073" max="3073" width="4.28515625" style="34" customWidth="1"/>
    <col min="3074" max="3074" width="39.140625" style="34" customWidth="1"/>
    <col min="3075" max="3075" width="9.140625" style="34"/>
    <col min="3076" max="3079" width="16" style="34" customWidth="1"/>
    <col min="3080" max="3080" width="9" style="34" customWidth="1"/>
    <col min="3081" max="3081" width="16" style="34" customWidth="1"/>
    <col min="3082" max="3328" width="9.140625" style="34"/>
    <col min="3329" max="3329" width="4.28515625" style="34" customWidth="1"/>
    <col min="3330" max="3330" width="39.140625" style="34" customWidth="1"/>
    <col min="3331" max="3331" width="9.140625" style="34"/>
    <col min="3332" max="3335" width="16" style="34" customWidth="1"/>
    <col min="3336" max="3336" width="9" style="34" customWidth="1"/>
    <col min="3337" max="3337" width="16" style="34" customWidth="1"/>
    <col min="3338" max="3584" width="9.140625" style="34"/>
    <col min="3585" max="3585" width="4.28515625" style="34" customWidth="1"/>
    <col min="3586" max="3586" width="39.140625" style="34" customWidth="1"/>
    <col min="3587" max="3587" width="9.140625" style="34"/>
    <col min="3588" max="3591" width="16" style="34" customWidth="1"/>
    <col min="3592" max="3592" width="9" style="34" customWidth="1"/>
    <col min="3593" max="3593" width="16" style="34" customWidth="1"/>
    <col min="3594" max="3840" width="9.140625" style="34"/>
    <col min="3841" max="3841" width="4.28515625" style="34" customWidth="1"/>
    <col min="3842" max="3842" width="39.140625" style="34" customWidth="1"/>
    <col min="3843" max="3843" width="9.140625" style="34"/>
    <col min="3844" max="3847" width="16" style="34" customWidth="1"/>
    <col min="3848" max="3848" width="9" style="34" customWidth="1"/>
    <col min="3849" max="3849" width="16" style="34" customWidth="1"/>
    <col min="3850" max="4096" width="9.140625" style="34"/>
    <col min="4097" max="4097" width="4.28515625" style="34" customWidth="1"/>
    <col min="4098" max="4098" width="39.140625" style="34" customWidth="1"/>
    <col min="4099" max="4099" width="9.140625" style="34"/>
    <col min="4100" max="4103" width="16" style="34" customWidth="1"/>
    <col min="4104" max="4104" width="9" style="34" customWidth="1"/>
    <col min="4105" max="4105" width="16" style="34" customWidth="1"/>
    <col min="4106" max="4352" width="9.140625" style="34"/>
    <col min="4353" max="4353" width="4.28515625" style="34" customWidth="1"/>
    <col min="4354" max="4354" width="39.140625" style="34" customWidth="1"/>
    <col min="4355" max="4355" width="9.140625" style="34"/>
    <col min="4356" max="4359" width="16" style="34" customWidth="1"/>
    <col min="4360" max="4360" width="9" style="34" customWidth="1"/>
    <col min="4361" max="4361" width="16" style="34" customWidth="1"/>
    <col min="4362" max="4608" width="9.140625" style="34"/>
    <col min="4609" max="4609" width="4.28515625" style="34" customWidth="1"/>
    <col min="4610" max="4610" width="39.140625" style="34" customWidth="1"/>
    <col min="4611" max="4611" width="9.140625" style="34"/>
    <col min="4612" max="4615" width="16" style="34" customWidth="1"/>
    <col min="4616" max="4616" width="9" style="34" customWidth="1"/>
    <col min="4617" max="4617" width="16" style="34" customWidth="1"/>
    <col min="4618" max="4864" width="9.140625" style="34"/>
    <col min="4865" max="4865" width="4.28515625" style="34" customWidth="1"/>
    <col min="4866" max="4866" width="39.140625" style="34" customWidth="1"/>
    <col min="4867" max="4867" width="9.140625" style="34"/>
    <col min="4868" max="4871" width="16" style="34" customWidth="1"/>
    <col min="4872" max="4872" width="9" style="34" customWidth="1"/>
    <col min="4873" max="4873" width="16" style="34" customWidth="1"/>
    <col min="4874" max="5120" width="9.140625" style="34"/>
    <col min="5121" max="5121" width="4.28515625" style="34" customWidth="1"/>
    <col min="5122" max="5122" width="39.140625" style="34" customWidth="1"/>
    <col min="5123" max="5123" width="9.140625" style="34"/>
    <col min="5124" max="5127" width="16" style="34" customWidth="1"/>
    <col min="5128" max="5128" width="9" style="34" customWidth="1"/>
    <col min="5129" max="5129" width="16" style="34" customWidth="1"/>
    <col min="5130" max="5376" width="9.140625" style="34"/>
    <col min="5377" max="5377" width="4.28515625" style="34" customWidth="1"/>
    <col min="5378" max="5378" width="39.140625" style="34" customWidth="1"/>
    <col min="5379" max="5379" width="9.140625" style="34"/>
    <col min="5380" max="5383" width="16" style="34" customWidth="1"/>
    <col min="5384" max="5384" width="9" style="34" customWidth="1"/>
    <col min="5385" max="5385" width="16" style="34" customWidth="1"/>
    <col min="5386" max="5632" width="9.140625" style="34"/>
    <col min="5633" max="5633" width="4.28515625" style="34" customWidth="1"/>
    <col min="5634" max="5634" width="39.140625" style="34" customWidth="1"/>
    <col min="5635" max="5635" width="9.140625" style="34"/>
    <col min="5636" max="5639" width="16" style="34" customWidth="1"/>
    <col min="5640" max="5640" width="9" style="34" customWidth="1"/>
    <col min="5641" max="5641" width="16" style="34" customWidth="1"/>
    <col min="5642" max="5888" width="9.140625" style="34"/>
    <col min="5889" max="5889" width="4.28515625" style="34" customWidth="1"/>
    <col min="5890" max="5890" width="39.140625" style="34" customWidth="1"/>
    <col min="5891" max="5891" width="9.140625" style="34"/>
    <col min="5892" max="5895" width="16" style="34" customWidth="1"/>
    <col min="5896" max="5896" width="9" style="34" customWidth="1"/>
    <col min="5897" max="5897" width="16" style="34" customWidth="1"/>
    <col min="5898" max="6144" width="9.140625" style="34"/>
    <col min="6145" max="6145" width="4.28515625" style="34" customWidth="1"/>
    <col min="6146" max="6146" width="39.140625" style="34" customWidth="1"/>
    <col min="6147" max="6147" width="9.140625" style="34"/>
    <col min="6148" max="6151" width="16" style="34" customWidth="1"/>
    <col min="6152" max="6152" width="9" style="34" customWidth="1"/>
    <col min="6153" max="6153" width="16" style="34" customWidth="1"/>
    <col min="6154" max="6400" width="9.140625" style="34"/>
    <col min="6401" max="6401" width="4.28515625" style="34" customWidth="1"/>
    <col min="6402" max="6402" width="39.140625" style="34" customWidth="1"/>
    <col min="6403" max="6403" width="9.140625" style="34"/>
    <col min="6404" max="6407" width="16" style="34" customWidth="1"/>
    <col min="6408" max="6408" width="9" style="34" customWidth="1"/>
    <col min="6409" max="6409" width="16" style="34" customWidth="1"/>
    <col min="6410" max="6656" width="9.140625" style="34"/>
    <col min="6657" max="6657" width="4.28515625" style="34" customWidth="1"/>
    <col min="6658" max="6658" width="39.140625" style="34" customWidth="1"/>
    <col min="6659" max="6659" width="9.140625" style="34"/>
    <col min="6660" max="6663" width="16" style="34" customWidth="1"/>
    <col min="6664" max="6664" width="9" style="34" customWidth="1"/>
    <col min="6665" max="6665" width="16" style="34" customWidth="1"/>
    <col min="6666" max="6912" width="9.140625" style="34"/>
    <col min="6913" max="6913" width="4.28515625" style="34" customWidth="1"/>
    <col min="6914" max="6914" width="39.140625" style="34" customWidth="1"/>
    <col min="6915" max="6915" width="9.140625" style="34"/>
    <col min="6916" max="6919" width="16" style="34" customWidth="1"/>
    <col min="6920" max="6920" width="9" style="34" customWidth="1"/>
    <col min="6921" max="6921" width="16" style="34" customWidth="1"/>
    <col min="6922" max="7168" width="9.140625" style="34"/>
    <col min="7169" max="7169" width="4.28515625" style="34" customWidth="1"/>
    <col min="7170" max="7170" width="39.140625" style="34" customWidth="1"/>
    <col min="7171" max="7171" width="9.140625" style="34"/>
    <col min="7172" max="7175" width="16" style="34" customWidth="1"/>
    <col min="7176" max="7176" width="9" style="34" customWidth="1"/>
    <col min="7177" max="7177" width="16" style="34" customWidth="1"/>
    <col min="7178" max="7424" width="9.140625" style="34"/>
    <col min="7425" max="7425" width="4.28515625" style="34" customWidth="1"/>
    <col min="7426" max="7426" width="39.140625" style="34" customWidth="1"/>
    <col min="7427" max="7427" width="9.140625" style="34"/>
    <col min="7428" max="7431" width="16" style="34" customWidth="1"/>
    <col min="7432" max="7432" width="9" style="34" customWidth="1"/>
    <col min="7433" max="7433" width="16" style="34" customWidth="1"/>
    <col min="7434" max="7680" width="9.140625" style="34"/>
    <col min="7681" max="7681" width="4.28515625" style="34" customWidth="1"/>
    <col min="7682" max="7682" width="39.140625" style="34" customWidth="1"/>
    <col min="7683" max="7683" width="9.140625" style="34"/>
    <col min="7684" max="7687" width="16" style="34" customWidth="1"/>
    <col min="7688" max="7688" width="9" style="34" customWidth="1"/>
    <col min="7689" max="7689" width="16" style="34" customWidth="1"/>
    <col min="7690" max="7936" width="9.140625" style="34"/>
    <col min="7937" max="7937" width="4.28515625" style="34" customWidth="1"/>
    <col min="7938" max="7938" width="39.140625" style="34" customWidth="1"/>
    <col min="7939" max="7939" width="9.140625" style="34"/>
    <col min="7940" max="7943" width="16" style="34" customWidth="1"/>
    <col min="7944" max="7944" width="9" style="34" customWidth="1"/>
    <col min="7945" max="7945" width="16" style="34" customWidth="1"/>
    <col min="7946" max="8192" width="9.140625" style="34"/>
    <col min="8193" max="8193" width="4.28515625" style="34" customWidth="1"/>
    <col min="8194" max="8194" width="39.140625" style="34" customWidth="1"/>
    <col min="8195" max="8195" width="9.140625" style="34"/>
    <col min="8196" max="8199" width="16" style="34" customWidth="1"/>
    <col min="8200" max="8200" width="9" style="34" customWidth="1"/>
    <col min="8201" max="8201" width="16" style="34" customWidth="1"/>
    <col min="8202" max="8448" width="9.140625" style="34"/>
    <col min="8449" max="8449" width="4.28515625" style="34" customWidth="1"/>
    <col min="8450" max="8450" width="39.140625" style="34" customWidth="1"/>
    <col min="8451" max="8451" width="9.140625" style="34"/>
    <col min="8452" max="8455" width="16" style="34" customWidth="1"/>
    <col min="8456" max="8456" width="9" style="34" customWidth="1"/>
    <col min="8457" max="8457" width="16" style="34" customWidth="1"/>
    <col min="8458" max="8704" width="9.140625" style="34"/>
    <col min="8705" max="8705" width="4.28515625" style="34" customWidth="1"/>
    <col min="8706" max="8706" width="39.140625" style="34" customWidth="1"/>
    <col min="8707" max="8707" width="9.140625" style="34"/>
    <col min="8708" max="8711" width="16" style="34" customWidth="1"/>
    <col min="8712" max="8712" width="9" style="34" customWidth="1"/>
    <col min="8713" max="8713" width="16" style="34" customWidth="1"/>
    <col min="8714" max="8960" width="9.140625" style="34"/>
    <col min="8961" max="8961" width="4.28515625" style="34" customWidth="1"/>
    <col min="8962" max="8962" width="39.140625" style="34" customWidth="1"/>
    <col min="8963" max="8963" width="9.140625" style="34"/>
    <col min="8964" max="8967" width="16" style="34" customWidth="1"/>
    <col min="8968" max="8968" width="9" style="34" customWidth="1"/>
    <col min="8969" max="8969" width="16" style="34" customWidth="1"/>
    <col min="8970" max="9216" width="9.140625" style="34"/>
    <col min="9217" max="9217" width="4.28515625" style="34" customWidth="1"/>
    <col min="9218" max="9218" width="39.140625" style="34" customWidth="1"/>
    <col min="9219" max="9219" width="9.140625" style="34"/>
    <col min="9220" max="9223" width="16" style="34" customWidth="1"/>
    <col min="9224" max="9224" width="9" style="34" customWidth="1"/>
    <col min="9225" max="9225" width="16" style="34" customWidth="1"/>
    <col min="9226" max="9472" width="9.140625" style="34"/>
    <col min="9473" max="9473" width="4.28515625" style="34" customWidth="1"/>
    <col min="9474" max="9474" width="39.140625" style="34" customWidth="1"/>
    <col min="9475" max="9475" width="9.140625" style="34"/>
    <col min="9476" max="9479" width="16" style="34" customWidth="1"/>
    <col min="9480" max="9480" width="9" style="34" customWidth="1"/>
    <col min="9481" max="9481" width="16" style="34" customWidth="1"/>
    <col min="9482" max="9728" width="9.140625" style="34"/>
    <col min="9729" max="9729" width="4.28515625" style="34" customWidth="1"/>
    <col min="9730" max="9730" width="39.140625" style="34" customWidth="1"/>
    <col min="9731" max="9731" width="9.140625" style="34"/>
    <col min="9732" max="9735" width="16" style="34" customWidth="1"/>
    <col min="9736" max="9736" width="9" style="34" customWidth="1"/>
    <col min="9737" max="9737" width="16" style="34" customWidth="1"/>
    <col min="9738" max="9984" width="9.140625" style="34"/>
    <col min="9985" max="9985" width="4.28515625" style="34" customWidth="1"/>
    <col min="9986" max="9986" width="39.140625" style="34" customWidth="1"/>
    <col min="9987" max="9987" width="9.140625" style="34"/>
    <col min="9988" max="9991" width="16" style="34" customWidth="1"/>
    <col min="9992" max="9992" width="9" style="34" customWidth="1"/>
    <col min="9993" max="9993" width="16" style="34" customWidth="1"/>
    <col min="9994" max="10240" width="9.140625" style="34"/>
    <col min="10241" max="10241" width="4.28515625" style="34" customWidth="1"/>
    <col min="10242" max="10242" width="39.140625" style="34" customWidth="1"/>
    <col min="10243" max="10243" width="9.140625" style="34"/>
    <col min="10244" max="10247" width="16" style="34" customWidth="1"/>
    <col min="10248" max="10248" width="9" style="34" customWidth="1"/>
    <col min="10249" max="10249" width="16" style="34" customWidth="1"/>
    <col min="10250" max="10496" width="9.140625" style="34"/>
    <col min="10497" max="10497" width="4.28515625" style="34" customWidth="1"/>
    <col min="10498" max="10498" width="39.140625" style="34" customWidth="1"/>
    <col min="10499" max="10499" width="9.140625" style="34"/>
    <col min="10500" max="10503" width="16" style="34" customWidth="1"/>
    <col min="10504" max="10504" width="9" style="34" customWidth="1"/>
    <col min="10505" max="10505" width="16" style="34" customWidth="1"/>
    <col min="10506" max="10752" width="9.140625" style="34"/>
    <col min="10753" max="10753" width="4.28515625" style="34" customWidth="1"/>
    <col min="10754" max="10754" width="39.140625" style="34" customWidth="1"/>
    <col min="10755" max="10755" width="9.140625" style="34"/>
    <col min="10756" max="10759" width="16" style="34" customWidth="1"/>
    <col min="10760" max="10760" width="9" style="34" customWidth="1"/>
    <col min="10761" max="10761" width="16" style="34" customWidth="1"/>
    <col min="10762" max="11008" width="9.140625" style="34"/>
    <col min="11009" max="11009" width="4.28515625" style="34" customWidth="1"/>
    <col min="11010" max="11010" width="39.140625" style="34" customWidth="1"/>
    <col min="11011" max="11011" width="9.140625" style="34"/>
    <col min="11012" max="11015" width="16" style="34" customWidth="1"/>
    <col min="11016" max="11016" width="9" style="34" customWidth="1"/>
    <col min="11017" max="11017" width="16" style="34" customWidth="1"/>
    <col min="11018" max="11264" width="9.140625" style="34"/>
    <col min="11265" max="11265" width="4.28515625" style="34" customWidth="1"/>
    <col min="11266" max="11266" width="39.140625" style="34" customWidth="1"/>
    <col min="11267" max="11267" width="9.140625" style="34"/>
    <col min="11268" max="11271" width="16" style="34" customWidth="1"/>
    <col min="11272" max="11272" width="9" style="34" customWidth="1"/>
    <col min="11273" max="11273" width="16" style="34" customWidth="1"/>
    <col min="11274" max="11520" width="9.140625" style="34"/>
    <col min="11521" max="11521" width="4.28515625" style="34" customWidth="1"/>
    <col min="11522" max="11522" width="39.140625" style="34" customWidth="1"/>
    <col min="11523" max="11523" width="9.140625" style="34"/>
    <col min="11524" max="11527" width="16" style="34" customWidth="1"/>
    <col min="11528" max="11528" width="9" style="34" customWidth="1"/>
    <col min="11529" max="11529" width="16" style="34" customWidth="1"/>
    <col min="11530" max="11776" width="9.140625" style="34"/>
    <col min="11777" max="11777" width="4.28515625" style="34" customWidth="1"/>
    <col min="11778" max="11778" width="39.140625" style="34" customWidth="1"/>
    <col min="11779" max="11779" width="9.140625" style="34"/>
    <col min="11780" max="11783" width="16" style="34" customWidth="1"/>
    <col min="11784" max="11784" width="9" style="34" customWidth="1"/>
    <col min="11785" max="11785" width="16" style="34" customWidth="1"/>
    <col min="11786" max="12032" width="9.140625" style="34"/>
    <col min="12033" max="12033" width="4.28515625" style="34" customWidth="1"/>
    <col min="12034" max="12034" width="39.140625" style="34" customWidth="1"/>
    <col min="12035" max="12035" width="9.140625" style="34"/>
    <col min="12036" max="12039" width="16" style="34" customWidth="1"/>
    <col min="12040" max="12040" width="9" style="34" customWidth="1"/>
    <col min="12041" max="12041" width="16" style="34" customWidth="1"/>
    <col min="12042" max="12288" width="9.140625" style="34"/>
    <col min="12289" max="12289" width="4.28515625" style="34" customWidth="1"/>
    <col min="12290" max="12290" width="39.140625" style="34" customWidth="1"/>
    <col min="12291" max="12291" width="9.140625" style="34"/>
    <col min="12292" max="12295" width="16" style="34" customWidth="1"/>
    <col min="12296" max="12296" width="9" style="34" customWidth="1"/>
    <col min="12297" max="12297" width="16" style="34" customWidth="1"/>
    <col min="12298" max="12544" width="9.140625" style="34"/>
    <col min="12545" max="12545" width="4.28515625" style="34" customWidth="1"/>
    <col min="12546" max="12546" width="39.140625" style="34" customWidth="1"/>
    <col min="12547" max="12547" width="9.140625" style="34"/>
    <col min="12548" max="12551" width="16" style="34" customWidth="1"/>
    <col min="12552" max="12552" width="9" style="34" customWidth="1"/>
    <col min="12553" max="12553" width="16" style="34" customWidth="1"/>
    <col min="12554" max="12800" width="9.140625" style="34"/>
    <col min="12801" max="12801" width="4.28515625" style="34" customWidth="1"/>
    <col min="12802" max="12802" width="39.140625" style="34" customWidth="1"/>
    <col min="12803" max="12803" width="9.140625" style="34"/>
    <col min="12804" max="12807" width="16" style="34" customWidth="1"/>
    <col min="12808" max="12808" width="9" style="34" customWidth="1"/>
    <col min="12809" max="12809" width="16" style="34" customWidth="1"/>
    <col min="12810" max="13056" width="9.140625" style="34"/>
    <col min="13057" max="13057" width="4.28515625" style="34" customWidth="1"/>
    <col min="13058" max="13058" width="39.140625" style="34" customWidth="1"/>
    <col min="13059" max="13059" width="9.140625" style="34"/>
    <col min="13060" max="13063" width="16" style="34" customWidth="1"/>
    <col min="13064" max="13064" width="9" style="34" customWidth="1"/>
    <col min="13065" max="13065" width="16" style="34" customWidth="1"/>
    <col min="13066" max="13312" width="9.140625" style="34"/>
    <col min="13313" max="13313" width="4.28515625" style="34" customWidth="1"/>
    <col min="13314" max="13314" width="39.140625" style="34" customWidth="1"/>
    <col min="13315" max="13315" width="9.140625" style="34"/>
    <col min="13316" max="13319" width="16" style="34" customWidth="1"/>
    <col min="13320" max="13320" width="9" style="34" customWidth="1"/>
    <col min="13321" max="13321" width="16" style="34" customWidth="1"/>
    <col min="13322" max="13568" width="9.140625" style="34"/>
    <col min="13569" max="13569" width="4.28515625" style="34" customWidth="1"/>
    <col min="13570" max="13570" width="39.140625" style="34" customWidth="1"/>
    <col min="13571" max="13571" width="9.140625" style="34"/>
    <col min="13572" max="13575" width="16" style="34" customWidth="1"/>
    <col min="13576" max="13576" width="9" style="34" customWidth="1"/>
    <col min="13577" max="13577" width="16" style="34" customWidth="1"/>
    <col min="13578" max="13824" width="9.140625" style="34"/>
    <col min="13825" max="13825" width="4.28515625" style="34" customWidth="1"/>
    <col min="13826" max="13826" width="39.140625" style="34" customWidth="1"/>
    <col min="13827" max="13827" width="9.140625" style="34"/>
    <col min="13828" max="13831" width="16" style="34" customWidth="1"/>
    <col min="13832" max="13832" width="9" style="34" customWidth="1"/>
    <col min="13833" max="13833" width="16" style="34" customWidth="1"/>
    <col min="13834" max="14080" width="9.140625" style="34"/>
    <col min="14081" max="14081" width="4.28515625" style="34" customWidth="1"/>
    <col min="14082" max="14082" width="39.140625" style="34" customWidth="1"/>
    <col min="14083" max="14083" width="9.140625" style="34"/>
    <col min="14084" max="14087" width="16" style="34" customWidth="1"/>
    <col min="14088" max="14088" width="9" style="34" customWidth="1"/>
    <col min="14089" max="14089" width="16" style="34" customWidth="1"/>
    <col min="14090" max="14336" width="9.140625" style="34"/>
    <col min="14337" max="14337" width="4.28515625" style="34" customWidth="1"/>
    <col min="14338" max="14338" width="39.140625" style="34" customWidth="1"/>
    <col min="14339" max="14339" width="9.140625" style="34"/>
    <col min="14340" max="14343" width="16" style="34" customWidth="1"/>
    <col min="14344" max="14344" width="9" style="34" customWidth="1"/>
    <col min="14345" max="14345" width="16" style="34" customWidth="1"/>
    <col min="14346" max="14592" width="9.140625" style="34"/>
    <col min="14593" max="14593" width="4.28515625" style="34" customWidth="1"/>
    <col min="14594" max="14594" width="39.140625" style="34" customWidth="1"/>
    <col min="14595" max="14595" width="9.140625" style="34"/>
    <col min="14596" max="14599" width="16" style="34" customWidth="1"/>
    <col min="14600" max="14600" width="9" style="34" customWidth="1"/>
    <col min="14601" max="14601" width="16" style="34" customWidth="1"/>
    <col min="14602" max="14848" width="9.140625" style="34"/>
    <col min="14849" max="14849" width="4.28515625" style="34" customWidth="1"/>
    <col min="14850" max="14850" width="39.140625" style="34" customWidth="1"/>
    <col min="14851" max="14851" width="9.140625" style="34"/>
    <col min="14852" max="14855" width="16" style="34" customWidth="1"/>
    <col min="14856" max="14856" width="9" style="34" customWidth="1"/>
    <col min="14857" max="14857" width="16" style="34" customWidth="1"/>
    <col min="14858" max="15104" width="9.140625" style="34"/>
    <col min="15105" max="15105" width="4.28515625" style="34" customWidth="1"/>
    <col min="15106" max="15106" width="39.140625" style="34" customWidth="1"/>
    <col min="15107" max="15107" width="9.140625" style="34"/>
    <col min="15108" max="15111" width="16" style="34" customWidth="1"/>
    <col min="15112" max="15112" width="9" style="34" customWidth="1"/>
    <col min="15113" max="15113" width="16" style="34" customWidth="1"/>
    <col min="15114" max="15360" width="9.140625" style="34"/>
    <col min="15361" max="15361" width="4.28515625" style="34" customWidth="1"/>
    <col min="15362" max="15362" width="39.140625" style="34" customWidth="1"/>
    <col min="15363" max="15363" width="9.140625" style="34"/>
    <col min="15364" max="15367" width="16" style="34" customWidth="1"/>
    <col min="15368" max="15368" width="9" style="34" customWidth="1"/>
    <col min="15369" max="15369" width="16" style="34" customWidth="1"/>
    <col min="15370" max="15616" width="9.140625" style="34"/>
    <col min="15617" max="15617" width="4.28515625" style="34" customWidth="1"/>
    <col min="15618" max="15618" width="39.140625" style="34" customWidth="1"/>
    <col min="15619" max="15619" width="9.140625" style="34"/>
    <col min="15620" max="15623" width="16" style="34" customWidth="1"/>
    <col min="15624" max="15624" width="9" style="34" customWidth="1"/>
    <col min="15625" max="15625" width="16" style="34" customWidth="1"/>
    <col min="15626" max="15872" width="9.140625" style="34"/>
    <col min="15873" max="15873" width="4.28515625" style="34" customWidth="1"/>
    <col min="15874" max="15874" width="39.140625" style="34" customWidth="1"/>
    <col min="15875" max="15875" width="9.140625" style="34"/>
    <col min="15876" max="15879" width="16" style="34" customWidth="1"/>
    <col min="15880" max="15880" width="9" style="34" customWidth="1"/>
    <col min="15881" max="15881" width="16" style="34" customWidth="1"/>
    <col min="15882" max="16128" width="9.140625" style="34"/>
    <col min="16129" max="16129" width="4.28515625" style="34" customWidth="1"/>
    <col min="16130" max="16130" width="39.140625" style="34" customWidth="1"/>
    <col min="16131" max="16131" width="9.140625" style="34"/>
    <col min="16132" max="16135" width="16" style="34" customWidth="1"/>
    <col min="16136" max="16136" width="9" style="34" customWidth="1"/>
    <col min="16137" max="16137" width="16" style="34" customWidth="1"/>
    <col min="16138" max="16384" width="9.140625" style="34"/>
  </cols>
  <sheetData>
    <row r="1" spans="1:17" x14ac:dyDescent="0.2">
      <c r="A1" s="51"/>
      <c r="B1" s="304" t="str">
        <f>Update!$B$6</f>
        <v>Department of Health</v>
      </c>
      <c r="C1" s="51"/>
      <c r="D1" s="51"/>
      <c r="E1" s="51"/>
      <c r="F1" s="51"/>
      <c r="G1" s="51"/>
      <c r="H1" s="51"/>
      <c r="I1" s="51"/>
    </row>
    <row r="2" spans="1:17" x14ac:dyDescent="0.2">
      <c r="A2" s="51"/>
      <c r="B2" s="304" t="s">
        <v>911</v>
      </c>
      <c r="C2" s="51"/>
      <c r="D2" s="51"/>
      <c r="E2" s="51"/>
      <c r="F2" s="51"/>
      <c r="G2" s="51"/>
      <c r="H2" s="51"/>
      <c r="I2" s="51"/>
    </row>
    <row r="3" spans="1:17" x14ac:dyDescent="0.2">
      <c r="A3" s="51"/>
      <c r="B3" s="304" t="str">
        <f>Update!$A$3</f>
        <v>2025-26</v>
      </c>
      <c r="C3" s="51"/>
      <c r="D3" s="51"/>
      <c r="E3" s="51"/>
      <c r="F3" s="51"/>
      <c r="G3" s="51"/>
      <c r="H3" s="51"/>
      <c r="I3" s="51"/>
    </row>
    <row r="4" spans="1:17" x14ac:dyDescent="0.2">
      <c r="A4" s="51"/>
      <c r="B4" s="51"/>
      <c r="C4" s="51"/>
      <c r="D4" s="51"/>
      <c r="E4" s="51"/>
      <c r="F4" s="51"/>
      <c r="G4" s="51"/>
      <c r="H4" s="51"/>
      <c r="I4" s="51"/>
    </row>
    <row r="5" spans="1:17" x14ac:dyDescent="0.2">
      <c r="A5" s="723"/>
      <c r="B5" s="47" t="s">
        <v>469</v>
      </c>
      <c r="C5" s="51"/>
      <c r="D5" s="51"/>
      <c r="E5" s="51"/>
      <c r="F5" s="51"/>
      <c r="G5" s="51"/>
      <c r="H5" s="51"/>
      <c r="I5" s="51"/>
    </row>
    <row r="6" spans="1:17" x14ac:dyDescent="0.2">
      <c r="A6" s="723"/>
      <c r="B6" s="47"/>
      <c r="C6" s="51"/>
      <c r="D6" s="51"/>
      <c r="E6" s="51"/>
      <c r="F6" s="51"/>
      <c r="G6" s="51"/>
      <c r="H6" s="51"/>
      <c r="I6" s="113"/>
    </row>
    <row r="7" spans="1:17" x14ac:dyDescent="0.2">
      <c r="A7" s="51"/>
      <c r="B7" s="51" t="s">
        <v>470</v>
      </c>
      <c r="C7" s="51"/>
      <c r="D7" s="51"/>
      <c r="E7" s="51"/>
      <c r="F7" s="51"/>
      <c r="G7" s="51"/>
      <c r="H7" s="51"/>
      <c r="I7" s="51"/>
    </row>
    <row r="8" spans="1:17" x14ac:dyDescent="0.2">
      <c r="A8" s="51"/>
      <c r="B8" s="51"/>
      <c r="C8" s="1937" t="str">
        <f>Update!$B$13</f>
        <v>2025-26</v>
      </c>
      <c r="D8" s="1937"/>
      <c r="E8" s="1937"/>
      <c r="F8" s="1937"/>
      <c r="G8" s="225"/>
      <c r="H8" s="225"/>
      <c r="I8" s="835" t="str">
        <f>Update!$B$15</f>
        <v>2024-25</v>
      </c>
      <c r="K8" s="34" t="s">
        <v>1401</v>
      </c>
      <c r="L8" s="34" t="s">
        <v>1401</v>
      </c>
      <c r="M8" s="34" t="s">
        <v>1402</v>
      </c>
      <c r="N8" s="34" t="s">
        <v>1402</v>
      </c>
      <c r="O8" s="106" t="s">
        <v>604</v>
      </c>
      <c r="P8" s="34" t="s">
        <v>1427</v>
      </c>
      <c r="Q8" s="34" t="s">
        <v>1427</v>
      </c>
    </row>
    <row r="9" spans="1:17" s="41" customFormat="1" ht="25.5" x14ac:dyDescent="0.2">
      <c r="A9" s="189"/>
      <c r="B9" s="189"/>
      <c r="C9" s="224" t="s">
        <v>390</v>
      </c>
      <c r="D9" s="224" t="s">
        <v>389</v>
      </c>
      <c r="E9" s="224" t="s">
        <v>471</v>
      </c>
      <c r="F9" s="224" t="s">
        <v>146</v>
      </c>
      <c r="G9" s="224"/>
      <c r="H9" s="224"/>
      <c r="I9" s="224" t="s">
        <v>146</v>
      </c>
      <c r="K9" s="41" t="s">
        <v>1346</v>
      </c>
      <c r="L9" s="41" t="s">
        <v>838</v>
      </c>
      <c r="M9" s="41" t="s">
        <v>1346</v>
      </c>
      <c r="N9" s="41" t="s">
        <v>838</v>
      </c>
      <c r="O9" s="41" t="s">
        <v>838</v>
      </c>
      <c r="P9" s="41" t="s">
        <v>1346</v>
      </c>
      <c r="Q9" s="41" t="s">
        <v>838</v>
      </c>
    </row>
    <row r="10" spans="1:17" s="41" customFormat="1" x14ac:dyDescent="0.2">
      <c r="A10" s="189"/>
      <c r="B10" s="189"/>
      <c r="C10" s="225" t="s">
        <v>462</v>
      </c>
      <c r="D10" s="225" t="s">
        <v>462</v>
      </c>
      <c r="E10" s="225" t="s">
        <v>462</v>
      </c>
      <c r="F10" s="225" t="s">
        <v>462</v>
      </c>
      <c r="G10" s="224"/>
      <c r="H10" s="224"/>
      <c r="I10" s="225" t="s">
        <v>462</v>
      </c>
    </row>
    <row r="11" spans="1:17" x14ac:dyDescent="0.2">
      <c r="A11" s="51"/>
      <c r="B11" s="51"/>
      <c r="C11" s="113"/>
      <c r="D11" s="113"/>
      <c r="E11" s="113"/>
      <c r="F11" s="225"/>
      <c r="G11" s="113"/>
      <c r="H11" s="113"/>
      <c r="I11" s="113"/>
    </row>
    <row r="12" spans="1:17" ht="24.4" customHeight="1" x14ac:dyDescent="0.2">
      <c r="A12" s="51"/>
      <c r="B12" s="51" t="s">
        <v>152</v>
      </c>
      <c r="C12" s="836">
        <f>SUMIFS(MAP!$N$1833:$N$1875,MAP!$E$1833:$E$1875,"Permanent",MAP!$D$1833:$D$1875,$B12)</f>
        <v>0</v>
      </c>
      <c r="D12" s="836">
        <f>SUMIFS(MAP!$N$1833:$N$1875,MAP!$E$1833:$E$1875,"Others",MAP!$D$1833:$D$1875,$B12)</f>
        <v>0</v>
      </c>
      <c r="E12" s="1198">
        <v>0</v>
      </c>
      <c r="F12" s="51">
        <f>SUM(C12:E12)</f>
        <v>0</v>
      </c>
      <c r="G12" s="333"/>
      <c r="H12" s="333"/>
      <c r="I12" s="749">
        <v>3793001</v>
      </c>
      <c r="K12" s="34">
        <f>'Note 3a'!D10</f>
        <v>0</v>
      </c>
      <c r="L12" s="34">
        <f>'Note 3a'!F10</f>
        <v>0</v>
      </c>
      <c r="M12" s="34">
        <f>'Note 3b &amp; 3c'!D11</f>
        <v>0</v>
      </c>
      <c r="N12" s="34">
        <f>'Note 3b &amp; 3c'!F11</f>
        <v>0</v>
      </c>
      <c r="O12" s="37">
        <f>N12+L12</f>
        <v>0</v>
      </c>
      <c r="P12" s="37"/>
    </row>
    <row r="13" spans="1:17" ht="24.4" customHeight="1" x14ac:dyDescent="0.2">
      <c r="A13" s="51"/>
      <c r="B13" s="51" t="s">
        <v>153</v>
      </c>
      <c r="C13" s="836">
        <f>SUMIFS(MAP!$N$1833:$N$1875,MAP!$E$1833:$E$1875,"Permanent",MAP!$D$1833:$D$1875,$B13)</f>
        <v>0</v>
      </c>
      <c r="D13" s="836">
        <f>SUMIFS(MAP!$N$1833:$N$1875,MAP!$E$1833:$E$1875,"Others",MAP!$D$1833:$D$1875,$B13)</f>
        <v>0</v>
      </c>
      <c r="E13" s="1198">
        <v>0</v>
      </c>
      <c r="F13" s="51">
        <f>SUM(C13:E13)</f>
        <v>0</v>
      </c>
      <c r="G13" s="333"/>
      <c r="H13" s="333"/>
      <c r="I13" s="749">
        <v>346030</v>
      </c>
      <c r="K13" s="34">
        <f>'Note 3a'!D11</f>
        <v>0</v>
      </c>
      <c r="L13" s="34">
        <f>'Note 3a'!F11</f>
        <v>0</v>
      </c>
      <c r="M13" s="34">
        <f>'Note 3b &amp; 3c'!D12</f>
        <v>0</v>
      </c>
      <c r="N13" s="34">
        <f>'Note 3b &amp; 3c'!F12</f>
        <v>0</v>
      </c>
      <c r="O13" s="37">
        <f>N13+L13</f>
        <v>0</v>
      </c>
      <c r="P13" s="37"/>
    </row>
    <row r="14" spans="1:17" ht="24.4" customHeight="1" thickBot="1" x14ac:dyDescent="0.25">
      <c r="A14" s="51"/>
      <c r="B14" s="51" t="s">
        <v>154</v>
      </c>
      <c r="C14" s="837">
        <f>SUMIFS(MAP!$N$1833:$N$1875,MAP!$E$1833:$E$1875,"Permanent",MAP!$D$1833:$D$1875,$B14)</f>
        <v>0</v>
      </c>
      <c r="D14" s="837">
        <f>SUMIFS(MAP!$N$1833:$N$1875,MAP!$E$1833:$E$1875,"Others",MAP!$D$1833:$D$1875,$B14)</f>
        <v>0</v>
      </c>
      <c r="E14" s="1199">
        <v>0</v>
      </c>
      <c r="F14" s="838">
        <f>SUM(C14:E14)</f>
        <v>0</v>
      </c>
      <c r="G14" s="333"/>
      <c r="H14" s="333"/>
      <c r="I14" s="749">
        <v>660119</v>
      </c>
      <c r="K14" s="34">
        <f>'Note 3a'!D12</f>
        <v>0</v>
      </c>
      <c r="L14" s="34">
        <f>'Note 3a'!F12</f>
        <v>0</v>
      </c>
      <c r="M14" s="34">
        <f>'Note 3b &amp; 3c'!D13</f>
        <v>0</v>
      </c>
      <c r="N14" s="34">
        <f>'Note 3b &amp; 3c'!F13</f>
        <v>0</v>
      </c>
      <c r="O14" s="37">
        <f>N14+L14</f>
        <v>0</v>
      </c>
      <c r="P14" s="37"/>
    </row>
    <row r="15" spans="1:17" s="37" customFormat="1" ht="24.4" customHeight="1" thickBot="1" x14ac:dyDescent="0.25">
      <c r="A15" s="47"/>
      <c r="B15" s="47" t="s">
        <v>472</v>
      </c>
      <c r="C15" s="47">
        <f>ROUND(SUM(C12:C14),0)</f>
        <v>0</v>
      </c>
      <c r="D15" s="47">
        <f>ROUND(SUM(D12:D14),0)</f>
        <v>0</v>
      </c>
      <c r="E15" s="47">
        <f>ROUND(SUM(E12:E14),0)</f>
        <v>0</v>
      </c>
      <c r="F15" s="47">
        <f>SUM(F12:F14)</f>
        <v>0</v>
      </c>
      <c r="G15" s="1072" t="e">
        <f>F15-SCNE!F21-F30</f>
        <v>#VALUE!</v>
      </c>
      <c r="H15" s="47"/>
      <c r="I15" s="839">
        <f>SUM(I12:I14)</f>
        <v>4799150</v>
      </c>
      <c r="K15" s="842">
        <f>SUM(K12:K14)</f>
        <v>0</v>
      </c>
      <c r="L15" s="843">
        <f>SUM(L12:L14)</f>
        <v>0</v>
      </c>
      <c r="M15" s="843">
        <f>SUM(M12:M14)</f>
        <v>0</v>
      </c>
      <c r="N15" s="843">
        <f>SUM(N12:N14)</f>
        <v>0</v>
      </c>
      <c r="O15" s="844">
        <f>SUM(O12:O14)</f>
        <v>0</v>
      </c>
      <c r="Q15" s="34"/>
    </row>
    <row r="16" spans="1:17" ht="24.4" customHeight="1" x14ac:dyDescent="0.2">
      <c r="A16" s="51"/>
      <c r="B16" s="51" t="s">
        <v>473</v>
      </c>
      <c r="C16" s="333">
        <f>+F16</f>
        <v>0</v>
      </c>
      <c r="D16" s="333"/>
      <c r="E16" s="333"/>
      <c r="F16" s="310">
        <f>-SUMIF(MAP!$D$1833:$D$1875,"Less recoveries in respect of outward secondments",MAP!$N$1833:$N$1875)</f>
        <v>0</v>
      </c>
      <c r="G16" s="49"/>
      <c r="H16" s="47"/>
      <c r="I16" s="749">
        <v>-184393</v>
      </c>
      <c r="K16" s="51"/>
      <c r="L16" s="51"/>
      <c r="N16" s="51"/>
      <c r="O16" s="37"/>
      <c r="P16" s="34">
        <f>-SUMIFS(MAP!$T$485:$T$492, MAP!$E$485:$E$492,"Seconded officer recovery",MAP!$D$485:$D$492,"Income")</f>
        <v>0</v>
      </c>
      <c r="Q16" s="34">
        <f>-SUMIFS(MAP!$N$485:$N$492, MAP!$E$485:$E$492,"Seconded officer recovery",MAP!$D$485:$D$492,"Income")</f>
        <v>0</v>
      </c>
    </row>
    <row r="17" spans="1:17" s="51" customFormat="1" ht="24.4" customHeight="1" thickBot="1" x14ac:dyDescent="0.25">
      <c r="B17" s="47" t="s">
        <v>474</v>
      </c>
      <c r="C17" s="48">
        <f>ROUND(C15+C16,0)</f>
        <v>0</v>
      </c>
      <c r="D17" s="48">
        <f>ROUND(D15+D16,0)</f>
        <v>0</v>
      </c>
      <c r="E17" s="48">
        <f>ROUND(E15+E16,0)</f>
        <v>0</v>
      </c>
      <c r="F17" s="48">
        <f>ROUND(F15+F16,0)</f>
        <v>0</v>
      </c>
      <c r="G17" s="49"/>
      <c r="H17" s="49"/>
      <c r="I17" s="50">
        <f>I15+I16</f>
        <v>4614757</v>
      </c>
      <c r="Q17" s="34"/>
    </row>
    <row r="18" spans="1:17" x14ac:dyDescent="0.2">
      <c r="A18" s="51"/>
      <c r="B18" s="47"/>
      <c r="C18" s="49"/>
      <c r="D18" s="49"/>
      <c r="E18" s="49"/>
      <c r="F18" s="49"/>
      <c r="G18" s="49"/>
      <c r="H18" s="49"/>
      <c r="I18" s="49"/>
    </row>
    <row r="19" spans="1:17" x14ac:dyDescent="0.2">
      <c r="A19" s="51"/>
      <c r="G19" s="49"/>
      <c r="H19" s="49"/>
      <c r="I19" s="49"/>
    </row>
    <row r="20" spans="1:17" x14ac:dyDescent="0.2">
      <c r="A20" s="51"/>
      <c r="B20" s="51"/>
      <c r="C20" s="51"/>
      <c r="D20" s="51"/>
      <c r="E20" s="51"/>
      <c r="F20" s="51"/>
      <c r="G20" s="51"/>
      <c r="H20" s="51"/>
      <c r="I20" s="212"/>
    </row>
    <row r="21" spans="1:17" x14ac:dyDescent="0.2">
      <c r="A21" s="51"/>
      <c r="B21" s="51"/>
      <c r="C21" s="51"/>
      <c r="D21" s="51"/>
      <c r="E21" s="51"/>
      <c r="F21" s="724" t="str">
        <f>$C$8</f>
        <v>2025-26</v>
      </c>
      <c r="G21" s="225"/>
      <c r="H21" s="225"/>
      <c r="I21" s="212"/>
    </row>
    <row r="22" spans="1:17" ht="25.5" x14ac:dyDescent="0.2">
      <c r="A22" s="51"/>
      <c r="B22" s="51" t="s">
        <v>475</v>
      </c>
      <c r="C22" s="51"/>
      <c r="D22" s="203" t="s">
        <v>1425</v>
      </c>
      <c r="E22" s="203" t="s">
        <v>1426</v>
      </c>
      <c r="F22" s="225" t="s">
        <v>462</v>
      </c>
      <c r="G22" s="225"/>
      <c r="H22" s="225"/>
      <c r="I22" s="212"/>
    </row>
    <row r="23" spans="1:17" x14ac:dyDescent="0.2">
      <c r="A23" s="51"/>
      <c r="B23" s="47" t="s">
        <v>476</v>
      </c>
      <c r="C23" s="51"/>
      <c r="D23" s="749">
        <f>MAP!T1838+MAP!T1845-D24</f>
        <v>0</v>
      </c>
      <c r="E23" s="749">
        <v>0</v>
      </c>
      <c r="F23" s="333">
        <f>SUM(D23:E23)</f>
        <v>0</v>
      </c>
      <c r="G23" s="225"/>
      <c r="H23" s="225"/>
      <c r="I23" s="212"/>
    </row>
    <row r="24" spans="1:17" x14ac:dyDescent="0.2">
      <c r="A24" s="51"/>
      <c r="B24" s="47" t="s">
        <v>478</v>
      </c>
      <c r="C24" s="51"/>
      <c r="D24" s="749">
        <f>MAP!X1836+MAP!Y1836+MAP!X1845+MAP!Y1845</f>
        <v>0</v>
      </c>
      <c r="E24" s="749">
        <v>0</v>
      </c>
      <c r="F24" s="333">
        <f>SUM(D24:E24)</f>
        <v>0</v>
      </c>
      <c r="G24" s="225"/>
      <c r="H24" s="225"/>
      <c r="I24" s="212"/>
    </row>
    <row r="25" spans="1:17" x14ac:dyDescent="0.2">
      <c r="A25" s="51"/>
      <c r="B25" s="47" t="s">
        <v>181</v>
      </c>
      <c r="C25" s="51"/>
      <c r="D25" s="749">
        <v>0</v>
      </c>
      <c r="E25" s="749">
        <f>F17-D26</f>
        <v>0</v>
      </c>
      <c r="F25" s="333">
        <f>SUM(D25:E25)</f>
        <v>0</v>
      </c>
      <c r="G25" s="225"/>
      <c r="H25" s="225"/>
      <c r="I25" s="212"/>
    </row>
    <row r="26" spans="1:17" ht="13.5" thickBot="1" x14ac:dyDescent="0.25">
      <c r="A26" s="51"/>
      <c r="B26" s="47" t="s">
        <v>479</v>
      </c>
      <c r="C26" s="47"/>
      <c r="D26" s="114">
        <f>SUM(D23:D25)</f>
        <v>0</v>
      </c>
      <c r="E26" s="114">
        <f>SUM(E23:E25)</f>
        <v>0</v>
      </c>
      <c r="F26" s="114">
        <f>F17</f>
        <v>0</v>
      </c>
      <c r="G26" s="225"/>
      <c r="H26" s="225"/>
      <c r="I26" s="212"/>
    </row>
    <row r="27" spans="1:17" x14ac:dyDescent="0.2">
      <c r="A27" s="51"/>
      <c r="B27" s="51"/>
      <c r="C27" s="51"/>
      <c r="D27" s="51"/>
      <c r="E27" s="51"/>
      <c r="F27" s="225"/>
      <c r="G27" s="225"/>
      <c r="H27" s="225"/>
      <c r="I27" s="212"/>
    </row>
    <row r="28" spans="1:17" x14ac:dyDescent="0.2">
      <c r="A28" s="51"/>
      <c r="B28" s="51"/>
      <c r="C28" s="51"/>
      <c r="D28" s="51"/>
      <c r="E28" s="51"/>
      <c r="F28" s="225"/>
      <c r="G28" s="225"/>
      <c r="H28" s="225"/>
      <c r="I28" s="212"/>
    </row>
    <row r="29" spans="1:17" x14ac:dyDescent="0.2">
      <c r="A29" s="51"/>
      <c r="B29" s="51"/>
      <c r="C29" s="51"/>
      <c r="D29" s="51"/>
      <c r="E29" s="51"/>
      <c r="F29" s="225" t="s">
        <v>462</v>
      </c>
      <c r="G29" s="225"/>
      <c r="H29" s="225"/>
      <c r="I29" s="212"/>
    </row>
    <row r="30" spans="1:17" x14ac:dyDescent="0.2">
      <c r="A30" s="51"/>
      <c r="B30" s="51" t="s">
        <v>477</v>
      </c>
      <c r="C30" s="51"/>
      <c r="D30" s="51"/>
      <c r="E30" s="51"/>
      <c r="F30" s="749">
        <f>SUMIF(MAP!$E$1832:$E$1875,"Capitalised Staff Costs",MAP!N1832:N1875)</f>
        <v>0</v>
      </c>
      <c r="G30" s="51"/>
      <c r="H30" s="51"/>
      <c r="I30" s="212"/>
    </row>
    <row r="31" spans="1:17" outlineLevel="1" x14ac:dyDescent="0.2">
      <c r="A31" s="51"/>
      <c r="B31" s="51"/>
      <c r="C31" s="51"/>
      <c r="D31" s="51"/>
      <c r="E31" s="51"/>
      <c r="F31" s="51"/>
      <c r="G31" s="51"/>
      <c r="H31" s="51"/>
      <c r="I31" s="212"/>
    </row>
    <row r="32" spans="1:17" outlineLevel="1" x14ac:dyDescent="0.2">
      <c r="A32" s="51"/>
      <c r="B32" s="51"/>
      <c r="C32" s="51"/>
      <c r="D32" s="51"/>
      <c r="E32" s="51"/>
      <c r="F32" s="51"/>
      <c r="G32" s="51"/>
      <c r="H32" s="51"/>
      <c r="I32" s="212"/>
    </row>
    <row r="33" spans="1:10" outlineLevel="1" x14ac:dyDescent="0.2">
      <c r="A33" s="51"/>
      <c r="B33" s="738" t="s">
        <v>1429</v>
      </c>
      <c r="C33" s="49"/>
      <c r="D33" s="49"/>
      <c r="E33" s="49"/>
      <c r="F33" s="49"/>
      <c r="G33" s="51"/>
      <c r="H33" s="51"/>
      <c r="I33" s="51"/>
    </row>
    <row r="34" spans="1:10" outlineLevel="1" x14ac:dyDescent="0.2">
      <c r="A34" s="51"/>
      <c r="B34" s="51" t="s">
        <v>474</v>
      </c>
      <c r="C34" s="49"/>
      <c r="D34" s="49"/>
      <c r="E34" s="49"/>
      <c r="F34" s="47">
        <f>F17</f>
        <v>0</v>
      </c>
      <c r="G34" s="51"/>
      <c r="H34" s="51"/>
      <c r="I34" s="51"/>
    </row>
    <row r="35" spans="1:10" outlineLevel="1" x14ac:dyDescent="0.2">
      <c r="A35" s="51"/>
      <c r="B35" s="51" t="s">
        <v>1431</v>
      </c>
      <c r="C35" s="49"/>
      <c r="D35" s="49"/>
      <c r="E35" s="49"/>
      <c r="F35" s="34">
        <f>-F16</f>
        <v>0</v>
      </c>
      <c r="G35" s="225"/>
      <c r="H35" s="225"/>
      <c r="I35" s="51"/>
    </row>
    <row r="36" spans="1:10" outlineLevel="1" x14ac:dyDescent="0.2">
      <c r="A36" s="51"/>
      <c r="B36" s="51" t="s">
        <v>1428</v>
      </c>
      <c r="C36" s="836"/>
      <c r="D36" s="836"/>
      <c r="E36" s="836"/>
      <c r="F36" s="749">
        <f>-SUMIF(MAP!$E$1832:$E$1875,"Capitalised Staff Costs",MAP!N1832:N1875)</f>
        <v>0</v>
      </c>
      <c r="G36" s="225"/>
      <c r="H36" s="225"/>
      <c r="I36" s="51"/>
    </row>
    <row r="37" spans="1:10" ht="13.5" outlineLevel="1" thickBot="1" x14ac:dyDescent="0.25">
      <c r="A37" s="51"/>
      <c r="B37" s="51" t="s">
        <v>1430</v>
      </c>
      <c r="C37" s="49"/>
      <c r="D37" s="49"/>
      <c r="E37" s="49"/>
      <c r="F37" s="48">
        <f>SUM(F34:F36)</f>
        <v>0</v>
      </c>
      <c r="G37" s="51"/>
      <c r="H37" s="51"/>
      <c r="I37" s="51"/>
    </row>
    <row r="38" spans="1:10" outlineLevel="1" x14ac:dyDescent="0.2">
      <c r="A38" s="51"/>
      <c r="F38" s="204">
        <f>F37-O15</f>
        <v>0</v>
      </c>
      <c r="G38" s="51"/>
      <c r="H38" s="51"/>
      <c r="I38" s="51"/>
    </row>
    <row r="39" spans="1:10" s="37" customFormat="1" ht="21.95" customHeight="1" outlineLevel="1" x14ac:dyDescent="0.2">
      <c r="A39" s="47"/>
      <c r="G39" s="47"/>
      <c r="H39" s="47"/>
      <c r="I39" s="51"/>
    </row>
    <row r="40" spans="1:10" s="37" customFormat="1" x14ac:dyDescent="0.2">
      <c r="A40" s="47"/>
      <c r="B40" s="47"/>
      <c r="C40" s="47"/>
      <c r="D40" s="47"/>
      <c r="E40" s="47"/>
      <c r="F40" s="47"/>
      <c r="G40" s="47"/>
      <c r="H40" s="47"/>
      <c r="I40" s="51"/>
    </row>
    <row r="41" spans="1:10" s="37" customFormat="1" x14ac:dyDescent="0.2">
      <c r="A41" s="47"/>
      <c r="B41" s="1078" t="s">
        <v>373</v>
      </c>
      <c r="C41" s="1078"/>
      <c r="D41" s="1077"/>
      <c r="E41" s="1077"/>
      <c r="F41" s="1077"/>
      <c r="G41" s="47"/>
      <c r="H41" s="47"/>
      <c r="I41" s="51"/>
    </row>
    <row r="42" spans="1:10" s="37" customFormat="1" x14ac:dyDescent="0.2">
      <c r="A42" s="47"/>
      <c r="B42" s="1079" t="s">
        <v>933</v>
      </c>
      <c r="C42" s="1078"/>
      <c r="D42" s="1077"/>
      <c r="E42" s="1077"/>
      <c r="F42" s="1077"/>
      <c r="G42" s="47"/>
      <c r="H42" s="47"/>
      <c r="I42" s="51"/>
    </row>
    <row r="43" spans="1:10" s="37" customFormat="1" x14ac:dyDescent="0.2">
      <c r="A43" s="47"/>
      <c r="B43" s="1079"/>
      <c r="C43" s="1078"/>
      <c r="D43" s="1077"/>
      <c r="E43" s="1077"/>
      <c r="F43" s="1077"/>
      <c r="G43" s="47"/>
      <c r="H43" s="47"/>
      <c r="I43" s="51"/>
    </row>
    <row r="44" spans="1:10" s="37" customFormat="1" x14ac:dyDescent="0.2">
      <c r="A44" s="47"/>
      <c r="B44" s="1078"/>
      <c r="C44" s="1073"/>
      <c r="D44" s="1073"/>
      <c r="E44" s="1073"/>
      <c r="F44" s="1074" t="str">
        <f>$C$8</f>
        <v>2025-26</v>
      </c>
      <c r="G44" s="1074" t="str">
        <f>+Update!B15</f>
        <v>2024-25</v>
      </c>
      <c r="H44" s="47"/>
      <c r="I44" s="47"/>
      <c r="J44" s="51"/>
    </row>
    <row r="45" spans="1:10" s="37" customFormat="1" ht="25.5" x14ac:dyDescent="0.2">
      <c r="A45" s="47"/>
      <c r="B45" s="1079"/>
      <c r="C45" s="1075" t="s">
        <v>390</v>
      </c>
      <c r="D45" s="1074" t="s">
        <v>389</v>
      </c>
      <c r="E45" s="1074" t="s">
        <v>471</v>
      </c>
      <c r="F45" s="1074" t="s">
        <v>146</v>
      </c>
      <c r="G45" s="1074" t="s">
        <v>146</v>
      </c>
      <c r="H45" s="47"/>
      <c r="I45" s="47"/>
      <c r="J45" s="51"/>
    </row>
    <row r="46" spans="1:10" s="37" customFormat="1" x14ac:dyDescent="0.2">
      <c r="A46" s="47"/>
      <c r="B46" s="1079"/>
      <c r="C46" s="1074" t="s">
        <v>447</v>
      </c>
      <c r="D46" s="1074" t="s">
        <v>447</v>
      </c>
      <c r="E46" s="1074"/>
      <c r="F46" s="1074" t="s">
        <v>447</v>
      </c>
      <c r="G46" s="1074" t="s">
        <v>447</v>
      </c>
      <c r="H46" s="47"/>
      <c r="I46" s="47"/>
      <c r="J46" s="51"/>
    </row>
    <row r="47" spans="1:10" s="37" customFormat="1" x14ac:dyDescent="0.2">
      <c r="A47" s="47"/>
      <c r="B47" s="1079"/>
      <c r="C47" s="1079"/>
      <c r="D47" s="1079"/>
      <c r="E47" s="1079"/>
      <c r="F47" s="1079"/>
      <c r="G47" s="1079"/>
      <c r="H47" s="47"/>
      <c r="I47" s="47"/>
      <c r="J47" s="51"/>
    </row>
    <row r="48" spans="1:10" s="37" customFormat="1" x14ac:dyDescent="0.2">
      <c r="A48" s="47"/>
      <c r="B48" s="1079" t="s">
        <v>374</v>
      </c>
      <c r="C48" s="1138">
        <f>SUMIF(MAP!$E$2114:$E$2119,$B48,MAP!$N$2114:$N$2119)</f>
        <v>0</v>
      </c>
      <c r="D48" s="1138">
        <f>SUMIF(MAP!$E$1854:$E$1868,$B48,MAP!$N$1854:$N$1868)</f>
        <v>0</v>
      </c>
      <c r="E48" s="749"/>
      <c r="F48" s="1080">
        <f>SUM(C48:E48)</f>
        <v>0</v>
      </c>
      <c r="G48" s="749">
        <v>5601</v>
      </c>
      <c r="H48" s="47"/>
      <c r="I48" s="47"/>
      <c r="J48" s="51"/>
    </row>
    <row r="49" spans="1:10" s="37" customFormat="1" x14ac:dyDescent="0.2">
      <c r="A49" s="47"/>
      <c r="B49" s="1079" t="s">
        <v>375</v>
      </c>
      <c r="C49" s="1138">
        <f>SUMIF(MAP!$E$2114:$E$2119,$B49,MAP!$N$2114:$N$2119)</f>
        <v>0</v>
      </c>
      <c r="D49" s="1138">
        <f>SUMIF(MAP!$E$1854:$E$1868,$B49,MAP!$N$1854:$N$1868)</f>
        <v>0</v>
      </c>
      <c r="E49" s="749"/>
      <c r="F49" s="1080">
        <f t="shared" ref="F49:F61" si="0">SUM(C49:E49)</f>
        <v>0</v>
      </c>
      <c r="G49" s="749">
        <v>25096</v>
      </c>
      <c r="H49" s="47"/>
      <c r="I49" s="47"/>
      <c r="J49" s="51"/>
    </row>
    <row r="50" spans="1:10" s="37" customFormat="1" x14ac:dyDescent="0.2">
      <c r="A50" s="47"/>
      <c r="B50" s="1079" t="s">
        <v>376</v>
      </c>
      <c r="C50" s="1138">
        <f>SUMIF(MAP!$E$2114:$E$2119,$B50,MAP!$N$2114:$N$2119)</f>
        <v>0</v>
      </c>
      <c r="D50" s="1138">
        <f>SUMIF(MAP!$E$1854:$E$1868,$B50,MAP!$N$1854:$N$1868)</f>
        <v>0</v>
      </c>
      <c r="E50" s="749"/>
      <c r="F50" s="1080">
        <f t="shared" si="0"/>
        <v>0</v>
      </c>
      <c r="G50" s="749">
        <v>6311</v>
      </c>
      <c r="H50" s="47"/>
      <c r="I50" s="47"/>
      <c r="J50" s="51"/>
    </row>
    <row r="51" spans="1:10" s="37" customFormat="1" x14ac:dyDescent="0.2">
      <c r="A51" s="47"/>
      <c r="B51" s="1079" t="s">
        <v>377</v>
      </c>
      <c r="C51" s="1138">
        <f>SUMIF(MAP!$E$2114:$E$2119,$B51,MAP!$N$2114:$N$2119)</f>
        <v>0</v>
      </c>
      <c r="D51" s="1138">
        <f>SUMIF(MAP!$E$1854:$E$1868,$B51,MAP!$N$1854:$N$1868)</f>
        <v>0</v>
      </c>
      <c r="E51" s="749"/>
      <c r="F51" s="1080">
        <f t="shared" si="0"/>
        <v>0</v>
      </c>
      <c r="G51" s="749">
        <v>5549</v>
      </c>
      <c r="H51" s="47"/>
      <c r="I51" s="47"/>
      <c r="J51" s="51"/>
    </row>
    <row r="52" spans="1:10" s="37" customFormat="1" x14ac:dyDescent="0.2">
      <c r="A52" s="47"/>
      <c r="B52" s="1079" t="s">
        <v>378</v>
      </c>
      <c r="C52" s="1138">
        <f>SUMIF(MAP!$E$2114:$E$2119,$B52,MAP!$N$2114:$N$2119)</f>
        <v>0</v>
      </c>
      <c r="D52" s="1138">
        <f>SUMIF(MAP!$E$1854:$E$1868,$B52,MAP!$N$1854:$N$1868)</f>
        <v>0</v>
      </c>
      <c r="E52" s="749"/>
      <c r="F52" s="1080">
        <f t="shared" si="0"/>
        <v>0</v>
      </c>
      <c r="G52" s="749">
        <v>12473</v>
      </c>
      <c r="H52" s="47"/>
      <c r="I52" s="47"/>
      <c r="J52" s="51"/>
    </row>
    <row r="53" spans="1:10" s="37" customFormat="1" x14ac:dyDescent="0.2">
      <c r="A53" s="47"/>
      <c r="B53" s="1079" t="s">
        <v>379</v>
      </c>
      <c r="C53" s="1138">
        <f>SUMIF(MAP!$E$2114:$E$2119,$B53,MAP!$N$2114:$N$2119)</f>
        <v>0</v>
      </c>
      <c r="D53" s="1138">
        <f>SUMIF(MAP!$E$1854:$E$1868,$B53,MAP!$N$1854:$N$1868)</f>
        <v>0</v>
      </c>
      <c r="E53" s="749"/>
      <c r="F53" s="1080">
        <f t="shared" si="0"/>
        <v>0</v>
      </c>
      <c r="G53" s="749">
        <v>1232</v>
      </c>
      <c r="H53" s="47"/>
      <c r="I53" s="47"/>
      <c r="J53" s="51"/>
    </row>
    <row r="54" spans="1:10" s="37" customFormat="1" x14ac:dyDescent="0.2">
      <c r="A54" s="47"/>
      <c r="B54" s="1079" t="s">
        <v>2086</v>
      </c>
      <c r="C54" s="1138">
        <f>SUMIF(MAP!$E$2114:$E$2119,$B54,MAP!$N$2114:$N$2119)</f>
        <v>0</v>
      </c>
      <c r="D54" s="1138">
        <f>SUMIF(MAP!$E$1854:$E$1868,$B54,MAP!$N$1854:$N$1868)</f>
        <v>0</v>
      </c>
      <c r="E54" s="749"/>
      <c r="F54" s="1080">
        <f t="shared" si="0"/>
        <v>0</v>
      </c>
      <c r="G54" s="749">
        <v>1698</v>
      </c>
      <c r="H54" s="47"/>
      <c r="I54" s="47"/>
      <c r="J54" s="51"/>
    </row>
    <row r="55" spans="1:10" s="37" customFormat="1" x14ac:dyDescent="0.2">
      <c r="A55" s="47"/>
      <c r="B55" s="1079" t="s">
        <v>380</v>
      </c>
      <c r="C55" s="1138">
        <f>SUMIF(MAP!$E$2114:$E$2119,$B55,MAP!$N$2114:$N$2119)</f>
        <v>0</v>
      </c>
      <c r="D55" s="1138">
        <f>SUMIF(MAP!$E$1854:$E$1868,$B55,MAP!$N$1854:$N$1868)</f>
        <v>0</v>
      </c>
      <c r="E55" s="749"/>
      <c r="F55" s="1080">
        <f t="shared" si="0"/>
        <v>0</v>
      </c>
      <c r="G55" s="749">
        <v>813</v>
      </c>
      <c r="H55" s="47"/>
      <c r="I55" s="47"/>
      <c r="J55" s="51"/>
    </row>
    <row r="56" spans="1:10" s="37" customFormat="1" x14ac:dyDescent="0.2">
      <c r="A56" s="47"/>
      <c r="B56" s="1079" t="s">
        <v>381</v>
      </c>
      <c r="C56" s="1138">
        <f>SUMIF(MAP!$E$2114:$E$2119,$B56,MAP!$N$2114:$N$2119)</f>
        <v>0</v>
      </c>
      <c r="D56" s="1138">
        <f>SUMIF(MAP!$E$1854:$E$1868,$B56,MAP!$N$1854:$N$1868)</f>
        <v>0</v>
      </c>
      <c r="E56" s="749"/>
      <c r="F56" s="1080">
        <f t="shared" si="0"/>
        <v>0</v>
      </c>
      <c r="G56" s="749">
        <v>3906</v>
      </c>
      <c r="H56" s="47"/>
      <c r="I56" s="47"/>
      <c r="J56" s="51"/>
    </row>
    <row r="57" spans="1:10" s="37" customFormat="1" x14ac:dyDescent="0.2">
      <c r="A57" s="47"/>
      <c r="B57" s="1079" t="s">
        <v>382</v>
      </c>
      <c r="C57" s="1138">
        <f>SUMIF(MAP!$E$2114:$E$2119,$B57,MAP!$N$2114:$N$2119)</f>
        <v>0</v>
      </c>
      <c r="D57" s="1138">
        <f>SUMIF(MAP!$E$1854:$E$1868,$B57,MAP!$N$1854:$N$1868)</f>
        <v>0</v>
      </c>
      <c r="E57" s="749"/>
      <c r="F57" s="1080">
        <f t="shared" si="0"/>
        <v>0</v>
      </c>
      <c r="G57" s="749">
        <v>11021</v>
      </c>
      <c r="H57" s="47"/>
      <c r="I57" s="47"/>
      <c r="J57" s="51"/>
    </row>
    <row r="58" spans="1:10" s="37" customFormat="1" x14ac:dyDescent="0.2">
      <c r="A58" s="47"/>
      <c r="B58" s="1079" t="s">
        <v>383</v>
      </c>
      <c r="C58" s="1138">
        <f>SUMIF(MAP!$E$2114:$E$2119,$B58,MAP!$N$2114:$N$2119)</f>
        <v>0</v>
      </c>
      <c r="D58" s="1138">
        <f>SUMIF(MAP!$E$1854:$E$1868,$B58,MAP!$N$1854:$N$1868)</f>
        <v>0</v>
      </c>
      <c r="E58" s="749">
        <v>1</v>
      </c>
      <c r="F58" s="1080">
        <f t="shared" si="0"/>
        <v>1</v>
      </c>
      <c r="G58" s="749">
        <v>1948</v>
      </c>
      <c r="H58" s="47"/>
      <c r="I58" s="47"/>
      <c r="J58" s="51"/>
    </row>
    <row r="59" spans="1:10" s="37" customFormat="1" x14ac:dyDescent="0.2">
      <c r="A59" s="47"/>
      <c r="B59" s="1078" t="s">
        <v>384</v>
      </c>
      <c r="C59" s="1080">
        <f>SUM(C48:C58)</f>
        <v>0</v>
      </c>
      <c r="D59" s="1080">
        <f>SUM(D48:D58)</f>
        <v>0</v>
      </c>
      <c r="E59" s="1080">
        <f>SUM(E48:E58)</f>
        <v>1</v>
      </c>
      <c r="F59" s="1080">
        <f t="shared" si="0"/>
        <v>1</v>
      </c>
      <c r="G59" s="1080">
        <f>SUM(G48:G58)</f>
        <v>75648</v>
      </c>
      <c r="H59" s="47"/>
      <c r="I59" s="47"/>
      <c r="J59" s="51"/>
    </row>
    <row r="60" spans="1:10" s="37" customFormat="1" x14ac:dyDescent="0.2">
      <c r="A60" s="47"/>
      <c r="B60" s="1079" t="s">
        <v>385</v>
      </c>
      <c r="C60" s="1138">
        <f>SUMIF(MAP!$E$2114:$E$2119,$B60,MAP!$N$2114:$N$2119)</f>
        <v>0</v>
      </c>
      <c r="D60" s="1138">
        <f>SUMIF(MAP!$E$1854:$E$1868,$B60,MAP!$N$1854:$N$1868)</f>
        <v>0</v>
      </c>
      <c r="E60" s="749"/>
      <c r="F60" s="1080">
        <f t="shared" si="0"/>
        <v>0</v>
      </c>
      <c r="G60" s="749">
        <v>91</v>
      </c>
      <c r="H60" s="47"/>
      <c r="I60" s="47"/>
      <c r="J60" s="51"/>
    </row>
    <row r="61" spans="1:10" s="37" customFormat="1" x14ac:dyDescent="0.2">
      <c r="A61" s="47"/>
      <c r="B61" s="1079" t="s">
        <v>386</v>
      </c>
      <c r="C61" s="1138">
        <f>SUMIF(MAP!$E$2114:$E$2119,$B61,MAP!$N$2114:$N$2119)</f>
        <v>0</v>
      </c>
      <c r="D61" s="1138">
        <f>SUMIF(MAP!$E$1854:$E$1868,$B61,MAP!$N$1854:$N$1868)</f>
        <v>0</v>
      </c>
      <c r="E61" s="749"/>
      <c r="F61" s="1080">
        <f t="shared" si="0"/>
        <v>0</v>
      </c>
      <c r="G61" s="749">
        <v>292</v>
      </c>
      <c r="H61" s="47"/>
      <c r="I61" s="47"/>
      <c r="J61" s="51"/>
    </row>
    <row r="62" spans="1:10" s="37" customFormat="1" x14ac:dyDescent="0.2">
      <c r="A62" s="47"/>
      <c r="B62" s="1081"/>
      <c r="C62" s="1080"/>
      <c r="D62" s="1080"/>
      <c r="E62" s="1080"/>
      <c r="F62" s="1080"/>
      <c r="G62" s="1080"/>
      <c r="H62" s="47"/>
      <c r="I62" s="47"/>
      <c r="J62" s="51"/>
    </row>
    <row r="63" spans="1:10" s="37" customFormat="1" ht="13.5" thickBot="1" x14ac:dyDescent="0.25">
      <c r="A63" s="47"/>
      <c r="B63" s="1078" t="s">
        <v>387</v>
      </c>
      <c r="C63" s="1076">
        <f>C59-C60-C61</f>
        <v>0</v>
      </c>
      <c r="D63" s="1076">
        <f>D59-D60-D61</f>
        <v>0</v>
      </c>
      <c r="E63" s="1076">
        <f>E59-E60-E61</f>
        <v>1</v>
      </c>
      <c r="F63" s="1076">
        <f>F59-F60-F61</f>
        <v>1</v>
      </c>
      <c r="G63" s="1076">
        <f>G59-G60-G61</f>
        <v>75265</v>
      </c>
      <c r="H63" s="47"/>
      <c r="I63" s="47"/>
      <c r="J63" s="51"/>
    </row>
    <row r="64" spans="1:10" s="37" customFormat="1" ht="13.5" thickTop="1" x14ac:dyDescent="0.2">
      <c r="A64" s="47"/>
      <c r="B64" s="47"/>
      <c r="C64" s="47"/>
      <c r="D64" s="47"/>
      <c r="E64" s="47"/>
      <c r="F64" s="47"/>
      <c r="G64" s="47"/>
      <c r="H64" s="47"/>
      <c r="I64" s="47"/>
      <c r="J64" s="51"/>
    </row>
    <row r="65" spans="1:9" s="37" customFormat="1" x14ac:dyDescent="0.2">
      <c r="A65" s="47"/>
      <c r="B65" s="47"/>
      <c r="C65" s="47"/>
      <c r="D65" s="47"/>
      <c r="E65" s="47"/>
      <c r="F65" s="47"/>
      <c r="G65" s="47"/>
      <c r="H65" s="47"/>
      <c r="I65" s="51"/>
    </row>
    <row r="66" spans="1:9" s="37" customFormat="1" x14ac:dyDescent="0.2">
      <c r="A66" s="47"/>
      <c r="B66" s="47"/>
      <c r="C66" s="47"/>
      <c r="D66" s="47"/>
      <c r="E66" s="47"/>
      <c r="F66" s="47"/>
      <c r="G66" s="47"/>
      <c r="H66" s="47"/>
      <c r="I66" s="51"/>
    </row>
    <row r="67" spans="1:9" s="37" customFormat="1" x14ac:dyDescent="0.2">
      <c r="A67" s="47"/>
      <c r="B67" s="47"/>
      <c r="C67" s="47"/>
      <c r="D67" s="47"/>
      <c r="E67" s="47"/>
      <c r="F67" s="47"/>
      <c r="G67" s="47"/>
      <c r="H67" s="47"/>
      <c r="I67" s="51"/>
    </row>
    <row r="68" spans="1:9" x14ac:dyDescent="0.2">
      <c r="A68" s="51"/>
      <c r="B68" s="47" t="s">
        <v>373</v>
      </c>
      <c r="C68" s="51"/>
      <c r="D68" s="51"/>
      <c r="E68" s="51"/>
      <c r="F68" s="51"/>
      <c r="G68" s="51"/>
      <c r="H68" s="51"/>
      <c r="I68" s="51"/>
    </row>
    <row r="69" spans="1:9" x14ac:dyDescent="0.2">
      <c r="A69" s="51"/>
      <c r="B69" s="113"/>
      <c r="C69" s="51"/>
      <c r="D69" s="51"/>
      <c r="E69" s="51"/>
      <c r="F69" s="51"/>
      <c r="G69" s="51"/>
      <c r="H69" s="51"/>
      <c r="I69" s="51"/>
    </row>
    <row r="70" spans="1:9" x14ac:dyDescent="0.2">
      <c r="A70" s="51"/>
      <c r="B70" s="51" t="s">
        <v>480</v>
      </c>
      <c r="C70" s="51"/>
      <c r="D70" s="51"/>
      <c r="E70" s="51"/>
      <c r="F70" s="51"/>
      <c r="G70" s="51"/>
      <c r="H70" s="51"/>
      <c r="I70" s="51"/>
    </row>
    <row r="71" spans="1:9" x14ac:dyDescent="0.2">
      <c r="A71" s="51"/>
      <c r="B71" s="51"/>
      <c r="C71" s="51"/>
      <c r="D71" s="51"/>
      <c r="E71" s="51"/>
      <c r="F71" s="51"/>
      <c r="G71" s="51"/>
      <c r="H71" s="51"/>
      <c r="I71" s="51"/>
    </row>
    <row r="72" spans="1:9" x14ac:dyDescent="0.2">
      <c r="A72" s="51"/>
      <c r="B72" s="51"/>
      <c r="C72" s="1937" t="str">
        <f>+F21</f>
        <v>2025-26</v>
      </c>
      <c r="D72" s="1937"/>
      <c r="E72" s="1937"/>
      <c r="F72" s="1937"/>
      <c r="G72" s="225"/>
      <c r="H72" s="225"/>
      <c r="I72" s="724" t="str">
        <f>I8</f>
        <v>2024-25</v>
      </c>
    </row>
    <row r="73" spans="1:9" x14ac:dyDescent="0.2">
      <c r="A73" s="51"/>
      <c r="B73" s="51"/>
      <c r="C73" s="840"/>
      <c r="D73" s="840"/>
      <c r="E73" s="840"/>
      <c r="F73" s="212" t="s">
        <v>481</v>
      </c>
      <c r="G73" s="212"/>
      <c r="H73" s="212"/>
      <c r="I73" s="212" t="s">
        <v>481</v>
      </c>
    </row>
    <row r="74" spans="1:9" s="41" customFormat="1" ht="25.5" x14ac:dyDescent="0.2">
      <c r="A74" s="189"/>
      <c r="B74" s="728"/>
      <c r="C74" s="224" t="s">
        <v>390</v>
      </c>
      <c r="D74" s="224" t="s">
        <v>389</v>
      </c>
      <c r="E74" s="224" t="s">
        <v>471</v>
      </c>
      <c r="F74" s="224" t="s">
        <v>146</v>
      </c>
      <c r="G74" s="224"/>
      <c r="H74" s="224"/>
      <c r="I74" s="224" t="s">
        <v>146</v>
      </c>
    </row>
    <row r="75" spans="1:9" s="41" customFormat="1" x14ac:dyDescent="0.2">
      <c r="A75" s="189"/>
      <c r="B75" s="189"/>
      <c r="C75" s="224" t="s">
        <v>447</v>
      </c>
      <c r="D75" s="224" t="s">
        <v>447</v>
      </c>
      <c r="E75" s="224" t="s">
        <v>447</v>
      </c>
      <c r="F75" s="224" t="s">
        <v>447</v>
      </c>
      <c r="G75" s="224"/>
      <c r="H75" s="224"/>
      <c r="I75" s="224" t="s">
        <v>447</v>
      </c>
    </row>
    <row r="76" spans="1:9" x14ac:dyDescent="0.2">
      <c r="A76" s="51"/>
      <c r="B76" s="51"/>
      <c r="C76" s="113"/>
      <c r="D76" s="47"/>
      <c r="E76" s="113"/>
      <c r="F76" s="225"/>
      <c r="G76" s="113"/>
      <c r="H76" s="113"/>
      <c r="I76" s="113"/>
    </row>
    <row r="77" spans="1:9" x14ac:dyDescent="0.2">
      <c r="A77" s="51"/>
      <c r="B77" s="841" t="s">
        <v>476</v>
      </c>
      <c r="C77" s="749">
        <f>MAP!W2112</f>
        <v>0</v>
      </c>
      <c r="D77" s="749">
        <f>MAP!T1868-D78</f>
        <v>0</v>
      </c>
      <c r="E77" s="749">
        <f>E63</f>
        <v>1</v>
      </c>
      <c r="F77" s="333">
        <f>SUM(C77:E77)</f>
        <v>1</v>
      </c>
      <c r="G77" s="333"/>
      <c r="H77" s="333"/>
      <c r="I77" s="749">
        <v>669</v>
      </c>
    </row>
    <row r="78" spans="1:9" x14ac:dyDescent="0.2">
      <c r="A78" s="51"/>
      <c r="B78" s="841" t="s">
        <v>478</v>
      </c>
      <c r="C78" s="749">
        <f>MAP!Y2113+MAP!X2113</f>
        <v>0</v>
      </c>
      <c r="D78" s="749">
        <f>MAP!X1868+MAP!Y1868</f>
        <v>0</v>
      </c>
      <c r="E78" s="749"/>
      <c r="F78" s="333">
        <f>SUM(C78:E78)</f>
        <v>0</v>
      </c>
      <c r="G78" s="333"/>
      <c r="H78" s="333"/>
      <c r="I78" s="749">
        <v>403</v>
      </c>
    </row>
    <row r="79" spans="1:9" x14ac:dyDescent="0.2">
      <c r="A79" s="51"/>
      <c r="B79" s="841" t="s">
        <v>1424</v>
      </c>
      <c r="C79" s="749">
        <f>C63-C78-C77</f>
        <v>0</v>
      </c>
      <c r="D79" s="749">
        <f>D63-D78-D77</f>
        <v>0</v>
      </c>
      <c r="E79" s="749"/>
      <c r="F79" s="333">
        <f>SUM(C79:E79)</f>
        <v>0</v>
      </c>
      <c r="G79" s="333"/>
      <c r="H79" s="333"/>
      <c r="I79" s="749">
        <v>74193</v>
      </c>
    </row>
    <row r="80" spans="1:9" x14ac:dyDescent="0.2">
      <c r="F80" s="204">
        <f>SUM(F77:F79)-F63</f>
        <v>0</v>
      </c>
      <c r="I80" s="204">
        <f>SUM(I77:I79)-G63</f>
        <v>0</v>
      </c>
    </row>
  </sheetData>
  <mergeCells count="2">
    <mergeCell ref="C8:F8"/>
    <mergeCell ref="C72:F72"/>
  </mergeCells>
  <conditionalFormatting sqref="B44:G47">
    <cfRule type="expression" dxfId="355" priority="1">
      <formula>CELL("Protect",B44)=0</formula>
    </cfRule>
  </conditionalFormatting>
  <conditionalFormatting sqref="C59:G59">
    <cfRule type="expression" dxfId="354" priority="2">
      <formula>CELL("Protect",C59)=0</formula>
    </cfRule>
  </conditionalFormatting>
  <conditionalFormatting sqref="G15 B41:F43 F48:F58 B48:B61 F60:F61 B62:G63">
    <cfRule type="expression" dxfId="353" priority="6">
      <formula>CELL("Protect",B15)=0</formula>
    </cfRule>
  </conditionalFormatting>
  <pageMargins left="0.75" right="0.75" top="1" bottom="1" header="0.5" footer="0.5"/>
  <pageSetup paperSize="9" scale="54" orientation="portrait" r:id="rId1"/>
  <headerFooter alignWithMargins="0">
    <oddFooter>&amp;L&amp;F - &amp;A&amp;C&amp;P&amp;RPrinted at &amp;T on &amp;D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tabColor theme="9" tint="0.59999389629810485"/>
    <pageSetUpPr fitToPage="1"/>
  </sheetPr>
  <dimension ref="A1:U297"/>
  <sheetViews>
    <sheetView zoomScale="90" zoomScaleNormal="90" workbookViewId="0">
      <pane xSplit="5" ySplit="3" topLeftCell="F4" activePane="bottomRight" state="frozen"/>
      <selection activeCell="G5" sqref="G4:G5"/>
      <selection pane="topRight" activeCell="G5" sqref="G4:G5"/>
      <selection pane="bottomLeft" activeCell="G5" sqref="G4:G5"/>
      <selection pane="bottomRight" activeCell="G5" sqref="G4:G5"/>
    </sheetView>
  </sheetViews>
  <sheetFormatPr defaultRowHeight="15" x14ac:dyDescent="0.25"/>
  <cols>
    <col min="2" max="2" width="26.85546875" customWidth="1"/>
    <col min="3" max="3" width="45" bestFit="1" customWidth="1"/>
    <col min="4" max="4" width="13" customWidth="1"/>
    <col min="5" max="5" width="12.42578125" customWidth="1"/>
    <col min="6" max="6" width="20" customWidth="1"/>
    <col min="7" max="7" width="15.7109375" customWidth="1"/>
    <col min="8" max="8" width="10.85546875" customWidth="1"/>
    <col min="9" max="9" width="56.28515625" bestFit="1" customWidth="1"/>
    <col min="10" max="10" width="26.7109375" bestFit="1" customWidth="1"/>
    <col min="11" max="11" width="9.5703125" bestFit="1" customWidth="1"/>
    <col min="12" max="12" width="14" customWidth="1"/>
    <col min="13" max="13" width="10.5703125" bestFit="1" customWidth="1"/>
    <col min="15" max="15" width="11.140625" customWidth="1"/>
    <col min="16" max="16" width="11.85546875" customWidth="1"/>
    <col min="17" max="17" width="10.5703125" customWidth="1"/>
    <col min="19" max="19" width="26.7109375" bestFit="1" customWidth="1"/>
  </cols>
  <sheetData>
    <row r="1" spans="1:13" x14ac:dyDescent="0.25">
      <c r="A1" s="35" t="str">
        <f>Update!$B$6</f>
        <v>Department of Health</v>
      </c>
      <c r="B1" s="16"/>
      <c r="C1" s="16"/>
      <c r="D1" s="2"/>
      <c r="E1" s="2"/>
      <c r="F1" s="2"/>
      <c r="G1" s="2"/>
      <c r="H1" s="2"/>
      <c r="I1" s="2"/>
      <c r="J1" s="2"/>
      <c r="K1" s="2"/>
      <c r="L1" s="2"/>
    </row>
    <row r="2" spans="1:13" x14ac:dyDescent="0.25">
      <c r="A2" s="35" t="str">
        <f>Update!$A$3</f>
        <v>2025-26</v>
      </c>
      <c r="B2" s="2"/>
      <c r="C2" s="2"/>
      <c r="D2" s="2"/>
      <c r="E2" s="2"/>
      <c r="F2" s="2"/>
      <c r="G2" s="2"/>
      <c r="H2" s="2"/>
      <c r="I2" s="2"/>
      <c r="J2" s="2"/>
      <c r="K2" s="2"/>
      <c r="L2" s="2"/>
    </row>
    <row r="3" spans="1:13" ht="36" x14ac:dyDescent="0.25">
      <c r="A3" s="192" t="s">
        <v>51</v>
      </c>
      <c r="B3" s="192"/>
      <c r="C3" s="192"/>
      <c r="D3" s="898" t="str">
        <f>Update!$B$7</f>
        <v>Core Department &amp; Agencies</v>
      </c>
      <c r="E3" s="2"/>
      <c r="F3" s="898" t="str">
        <f>Update!$B$8</f>
        <v>Departmental Group</v>
      </c>
      <c r="G3" s="2"/>
      <c r="H3" s="897" t="s">
        <v>64</v>
      </c>
      <c r="I3" s="899" t="s">
        <v>44</v>
      </c>
      <c r="J3" s="900"/>
      <c r="K3" s="900"/>
      <c r="L3" s="900"/>
      <c r="M3" s="901"/>
    </row>
    <row r="4" spans="1:13" x14ac:dyDescent="0.25">
      <c r="A4" s="3"/>
      <c r="B4" s="3"/>
      <c r="C4" s="888"/>
      <c r="D4" s="7"/>
      <c r="E4" s="2"/>
      <c r="F4" s="2"/>
      <c r="G4" s="2"/>
      <c r="H4" s="2"/>
      <c r="I4" s="11"/>
      <c r="J4" s="2"/>
      <c r="K4" s="2"/>
      <c r="L4" s="2"/>
    </row>
    <row r="5" spans="1:13" x14ac:dyDescent="0.25">
      <c r="A5" s="3">
        <v>1</v>
      </c>
      <c r="B5" s="3" t="s">
        <v>40</v>
      </c>
      <c r="C5" s="889" t="s">
        <v>1072</v>
      </c>
      <c r="D5" s="193" t="e">
        <f>SCNE!G14</f>
        <v>#VALUE!</v>
      </c>
      <c r="E5" s="2"/>
      <c r="F5" s="193" t="e">
        <f>SCNE!H14</f>
        <v>#VALUE!</v>
      </c>
      <c r="G5" s="2"/>
      <c r="H5" s="193">
        <f>SCNE!R14</f>
        <v>0</v>
      </c>
      <c r="I5" s="1208"/>
      <c r="J5" s="2"/>
      <c r="K5" s="2"/>
      <c r="L5" s="2"/>
    </row>
    <row r="6" spans="1:13" x14ac:dyDescent="0.25">
      <c r="A6" s="3">
        <f>MAX($A$4:A5)+1</f>
        <v>2</v>
      </c>
      <c r="B6" s="3" t="s">
        <v>40</v>
      </c>
      <c r="C6" s="889" t="s">
        <v>308</v>
      </c>
      <c r="D6" s="193" t="e">
        <f>SCNE!G16</f>
        <v>#VALUE!</v>
      </c>
      <c r="E6" s="2"/>
      <c r="F6" s="193" t="e">
        <f>SCNE!H16</f>
        <v>#VALUE!</v>
      </c>
      <c r="G6" s="2"/>
      <c r="H6" s="193">
        <f>SCNE!R16</f>
        <v>0</v>
      </c>
      <c r="I6" s="1208"/>
      <c r="J6" s="2"/>
      <c r="K6" s="2"/>
      <c r="L6" s="2"/>
    </row>
    <row r="7" spans="1:13" x14ac:dyDescent="0.25">
      <c r="A7" s="3">
        <f>MAX($A$4:A6)+1</f>
        <v>3</v>
      </c>
      <c r="B7" s="3" t="s">
        <v>40</v>
      </c>
      <c r="C7" s="889" t="s">
        <v>463</v>
      </c>
      <c r="D7" s="193" t="e">
        <f>SCNE!G18</f>
        <v>#VALUE!</v>
      </c>
      <c r="E7" s="2"/>
      <c r="F7" s="193" t="e">
        <f>SCNE!H18</f>
        <v>#VALUE!</v>
      </c>
      <c r="G7" s="2"/>
      <c r="H7" s="193">
        <f>SCNE!R18</f>
        <v>0</v>
      </c>
      <c r="I7" s="1208"/>
      <c r="J7" s="2"/>
      <c r="K7" s="2"/>
      <c r="L7" s="2"/>
    </row>
    <row r="8" spans="1:13" x14ac:dyDescent="0.25">
      <c r="A8" s="3">
        <f>MAX($A$4:A7)+1</f>
        <v>4</v>
      </c>
      <c r="B8" s="3" t="s">
        <v>40</v>
      </c>
      <c r="C8" s="889" t="s">
        <v>282</v>
      </c>
      <c r="D8" s="193" t="e">
        <f>SCNE!G21</f>
        <v>#VALUE!</v>
      </c>
      <c r="E8" s="2"/>
      <c r="F8" s="193" t="e">
        <f>SCNE!H21</f>
        <v>#VALUE!</v>
      </c>
      <c r="G8" s="2"/>
      <c r="H8" s="193">
        <f>SCNE!R21</f>
        <v>0</v>
      </c>
      <c r="J8" s="2"/>
      <c r="K8" s="2"/>
      <c r="L8" s="2"/>
    </row>
    <row r="9" spans="1:13" x14ac:dyDescent="0.25">
      <c r="A9" s="3">
        <f>MAX($A$4:A8)+1</f>
        <v>5</v>
      </c>
      <c r="B9" s="3" t="s">
        <v>40</v>
      </c>
      <c r="C9" s="889" t="s">
        <v>158</v>
      </c>
      <c r="D9" s="193" t="e">
        <f>SCNE!G23</f>
        <v>#VALUE!</v>
      </c>
      <c r="E9" s="2"/>
      <c r="F9" s="193" t="e">
        <f>SCNE!H23</f>
        <v>#VALUE!</v>
      </c>
      <c r="G9" s="2"/>
      <c r="H9" s="193">
        <f>SCNE!R23</f>
        <v>0</v>
      </c>
      <c r="I9" s="11"/>
      <c r="J9" s="2"/>
      <c r="K9" s="2"/>
      <c r="L9" s="2"/>
    </row>
    <row r="10" spans="1:13" x14ac:dyDescent="0.25">
      <c r="A10" s="3">
        <f>MAX($A$4:A9)+1</f>
        <v>6</v>
      </c>
      <c r="B10" s="3" t="s">
        <v>40</v>
      </c>
      <c r="C10" s="889" t="s">
        <v>283</v>
      </c>
      <c r="D10" s="193" t="e">
        <f>SCNE!G25</f>
        <v>#VALUE!</v>
      </c>
      <c r="E10" s="2"/>
      <c r="F10" s="193" t="e">
        <f>SCNE!H25</f>
        <v>#VALUE!</v>
      </c>
      <c r="G10" s="2"/>
      <c r="H10" s="193">
        <f>SCNE!R25</f>
        <v>0</v>
      </c>
      <c r="I10" s="11"/>
      <c r="J10" s="2"/>
      <c r="K10" s="2"/>
      <c r="L10" s="2"/>
    </row>
    <row r="11" spans="1:13" x14ac:dyDescent="0.25">
      <c r="A11" s="3">
        <f>MAX($A$4:A10)+1</f>
        <v>7</v>
      </c>
      <c r="B11" s="3" t="s">
        <v>40</v>
      </c>
      <c r="C11" s="889" t="s">
        <v>284</v>
      </c>
      <c r="D11" s="193" t="e">
        <f>SCNE!G27</f>
        <v>#VALUE!</v>
      </c>
      <c r="E11" s="2"/>
      <c r="F11" s="193" t="e">
        <f>SCNE!H27</f>
        <v>#VALUE!</v>
      </c>
      <c r="G11" s="2"/>
      <c r="H11" s="193">
        <f>SCNE!R27</f>
        <v>0</v>
      </c>
      <c r="I11" s="11"/>
      <c r="J11" s="2"/>
      <c r="K11" s="2"/>
      <c r="L11" s="2"/>
    </row>
    <row r="12" spans="1:13" x14ac:dyDescent="0.25">
      <c r="A12" s="3">
        <f>MAX($A$4:A11)+1</f>
        <v>8</v>
      </c>
      <c r="B12" s="3" t="s">
        <v>40</v>
      </c>
      <c r="C12" s="889" t="s">
        <v>1005</v>
      </c>
      <c r="D12" s="193" t="e">
        <f>SCNE!G29</f>
        <v>#VALUE!</v>
      </c>
      <c r="E12" s="2"/>
      <c r="F12" s="193" t="e">
        <f>SCNE!H29</f>
        <v>#VALUE!</v>
      </c>
      <c r="G12" s="2"/>
      <c r="H12" s="193">
        <f>SCNE!R29</f>
        <v>0</v>
      </c>
      <c r="I12" s="11"/>
      <c r="J12" s="2"/>
      <c r="K12" s="2"/>
      <c r="L12" s="2"/>
    </row>
    <row r="13" spans="1:13" x14ac:dyDescent="0.25">
      <c r="A13" s="3">
        <f>MAX($A$4:A12)+1</f>
        <v>9</v>
      </c>
      <c r="B13" s="3" t="s">
        <v>40</v>
      </c>
      <c r="C13" s="889" t="s">
        <v>465</v>
      </c>
      <c r="D13" s="193" t="e">
        <f>SCNE!G33</f>
        <v>#VALUE!</v>
      </c>
      <c r="E13" s="2"/>
      <c r="F13" s="193" t="e">
        <f>SCNE!H33</f>
        <v>#VALUE!</v>
      </c>
      <c r="G13" s="2"/>
      <c r="H13" s="193">
        <f>SCNE!R33</f>
        <v>0</v>
      </c>
      <c r="I13" s="11"/>
      <c r="J13" s="2"/>
      <c r="K13" s="2"/>
      <c r="L13" s="2"/>
    </row>
    <row r="14" spans="1:13" x14ac:dyDescent="0.25">
      <c r="A14" s="3">
        <f>MAX($A$4:A13)+1</f>
        <v>10</v>
      </c>
      <c r="B14" s="3" t="s">
        <v>40</v>
      </c>
      <c r="C14" s="889" t="s">
        <v>310</v>
      </c>
      <c r="D14" s="193" t="e">
        <f>SCNE!G37</f>
        <v>#VALUE!</v>
      </c>
      <c r="E14" s="2"/>
      <c r="F14" s="193" t="e">
        <f>SCNE!H37</f>
        <v>#VALUE!</v>
      </c>
      <c r="G14" s="2"/>
      <c r="H14" s="193">
        <f>SCNE!R37</f>
        <v>0</v>
      </c>
      <c r="I14" s="11"/>
      <c r="J14" s="2"/>
      <c r="K14" s="2"/>
      <c r="L14" s="2"/>
    </row>
    <row r="15" spans="1:13" x14ac:dyDescent="0.25">
      <c r="A15" s="3">
        <f>MAX($A$4:A14)+1</f>
        <v>11</v>
      </c>
      <c r="B15" s="3" t="s">
        <v>40</v>
      </c>
      <c r="C15" s="889" t="s">
        <v>309</v>
      </c>
      <c r="D15" s="193" t="e">
        <f>SCNE!G39</f>
        <v>#VALUE!</v>
      </c>
      <c r="E15" s="2"/>
      <c r="F15" s="193" t="e">
        <f>SCNE!H39</f>
        <v>#VALUE!</v>
      </c>
      <c r="G15" s="2"/>
      <c r="H15" s="193">
        <f>SCNE!R39</f>
        <v>0</v>
      </c>
      <c r="I15" s="1066"/>
      <c r="J15" s="2"/>
      <c r="K15" s="2"/>
      <c r="L15" s="2"/>
    </row>
    <row r="16" spans="1:13" x14ac:dyDescent="0.25">
      <c r="A16" s="3">
        <f>MAX($A$4:A15)+1</f>
        <v>12</v>
      </c>
      <c r="B16" s="3" t="s">
        <v>40</v>
      </c>
      <c r="C16" s="889" t="s">
        <v>466</v>
      </c>
      <c r="D16" s="193" t="e">
        <f>SCNE!G41</f>
        <v>#VALUE!</v>
      </c>
      <c r="E16" s="2"/>
      <c r="F16" s="193" t="e">
        <f>SCNE!H41</f>
        <v>#VALUE!</v>
      </c>
      <c r="G16" s="2"/>
      <c r="H16" s="193">
        <f>SCNE!R41</f>
        <v>0</v>
      </c>
      <c r="J16" s="2"/>
      <c r="K16" s="2"/>
      <c r="L16" s="2"/>
    </row>
    <row r="17" spans="1:12" x14ac:dyDescent="0.25">
      <c r="A17" s="3">
        <f>MAX($A$4:A16)+1</f>
        <v>13</v>
      </c>
      <c r="B17" s="3" t="s">
        <v>40</v>
      </c>
      <c r="C17" s="889" t="s">
        <v>311</v>
      </c>
      <c r="D17" s="2"/>
      <c r="E17" s="2"/>
      <c r="F17" s="193" t="e">
        <f>SCNE!H58</f>
        <v>#VALUE!</v>
      </c>
      <c r="G17" s="2"/>
      <c r="H17" s="193">
        <f>SCNE!R58</f>
        <v>0</v>
      </c>
      <c r="I17" s="11"/>
      <c r="J17" s="2"/>
      <c r="K17" s="2"/>
      <c r="L17" s="2"/>
    </row>
    <row r="18" spans="1:12" x14ac:dyDescent="0.25">
      <c r="A18" s="3">
        <f>MAX($A$4:A17)+1</f>
        <v>14</v>
      </c>
      <c r="B18" s="3" t="s">
        <v>40</v>
      </c>
      <c r="C18" s="889" t="s">
        <v>312</v>
      </c>
      <c r="D18" s="2"/>
      <c r="E18" s="2"/>
      <c r="F18" s="193" t="e">
        <f>SCNE!H60</f>
        <v>#VALUE!</v>
      </c>
      <c r="G18" s="2"/>
      <c r="H18" s="193">
        <f>SCNE!R60</f>
        <v>0</v>
      </c>
      <c r="I18" s="11"/>
      <c r="J18" s="2"/>
      <c r="K18" s="2"/>
      <c r="L18" s="2"/>
    </row>
    <row r="19" spans="1:12" x14ac:dyDescent="0.25">
      <c r="A19" s="3">
        <f>MAX($A$4:A18)+1</f>
        <v>15</v>
      </c>
      <c r="B19" s="3" t="s">
        <v>40</v>
      </c>
      <c r="C19" s="889" t="s">
        <v>358</v>
      </c>
      <c r="D19" s="2"/>
      <c r="E19" s="2"/>
      <c r="F19" s="193" t="e">
        <f>SCNE!H61</f>
        <v>#VALUE!</v>
      </c>
      <c r="G19" s="2"/>
      <c r="H19" s="193">
        <f>SCNE!R61</f>
        <v>0</v>
      </c>
      <c r="J19" s="2"/>
      <c r="K19" s="2"/>
      <c r="L19" s="2"/>
    </row>
    <row r="20" spans="1:12" x14ac:dyDescent="0.25">
      <c r="A20" s="3">
        <f>MAX($A$4:A19)+1</f>
        <v>16</v>
      </c>
      <c r="B20" s="3" t="s">
        <v>40</v>
      </c>
      <c r="C20" s="889" t="s">
        <v>937</v>
      </c>
      <c r="D20" s="2"/>
      <c r="E20" s="2"/>
      <c r="F20" s="193">
        <f>SCNE!H66</f>
        <v>0</v>
      </c>
      <c r="G20" s="2"/>
      <c r="H20" s="193">
        <f>SCNE!R66</f>
        <v>0</v>
      </c>
      <c r="I20" s="11"/>
      <c r="J20" s="2"/>
      <c r="K20" s="2"/>
      <c r="L20" s="2"/>
    </row>
    <row r="21" spans="1:12" x14ac:dyDescent="0.25">
      <c r="A21" s="3">
        <f>MAX($A$4:A20)+1</f>
        <v>17</v>
      </c>
      <c r="B21" s="3" t="s">
        <v>40</v>
      </c>
      <c r="C21" s="889" t="s">
        <v>1389</v>
      </c>
      <c r="D21" s="193" t="e">
        <f>SCNE!D72</f>
        <v>#VALUE!</v>
      </c>
      <c r="E21" s="2"/>
      <c r="F21" s="193" t="e">
        <f>SCNE!F72</f>
        <v>#VALUE!</v>
      </c>
      <c r="G21" s="2"/>
      <c r="H21" s="193">
        <f>SCNE!R72</f>
        <v>0</v>
      </c>
      <c r="I21" s="11"/>
      <c r="J21" s="2"/>
      <c r="K21" s="2"/>
      <c r="L21" s="2"/>
    </row>
    <row r="22" spans="1:12" x14ac:dyDescent="0.25">
      <c r="A22" s="3">
        <f>MAX($A$4:A21)+1</f>
        <v>18</v>
      </c>
      <c r="B22" s="3" t="s">
        <v>40</v>
      </c>
      <c r="C22" s="889" t="s">
        <v>1348</v>
      </c>
      <c r="D22" s="193" t="e">
        <f>SCNE!D73</f>
        <v>#VALUE!</v>
      </c>
      <c r="E22" s="2"/>
      <c r="F22" s="2"/>
      <c r="G22" s="2"/>
      <c r="H22" s="2"/>
      <c r="I22" s="11"/>
      <c r="J22" s="2"/>
      <c r="K22" s="2"/>
      <c r="L22" s="2"/>
    </row>
    <row r="23" spans="1:12" x14ac:dyDescent="0.25">
      <c r="A23" s="3">
        <f>MAX($A$4:A22)+1</f>
        <v>19</v>
      </c>
      <c r="B23" s="3"/>
      <c r="C23" s="889"/>
      <c r="D23" s="2"/>
      <c r="E23" s="2"/>
      <c r="F23" s="2"/>
      <c r="G23" s="2"/>
      <c r="H23" s="2"/>
      <c r="I23" s="11"/>
      <c r="J23" s="2"/>
      <c r="K23" s="2"/>
      <c r="L23" s="2"/>
    </row>
    <row r="24" spans="1:12" x14ac:dyDescent="0.25">
      <c r="A24" s="3">
        <f>MAX($A$4:A23)+1</f>
        <v>20</v>
      </c>
      <c r="B24" s="3"/>
      <c r="C24" s="889"/>
      <c r="D24" s="2"/>
      <c r="E24" s="2"/>
      <c r="F24" s="2"/>
      <c r="G24" s="2"/>
      <c r="H24" s="2"/>
      <c r="I24" s="11"/>
      <c r="J24" s="2"/>
      <c r="K24" s="2"/>
      <c r="L24" s="2"/>
    </row>
    <row r="25" spans="1:12" ht="33" customHeight="1" x14ac:dyDescent="0.25">
      <c r="A25" s="3">
        <f>MAX($A$4:A24)+1</f>
        <v>21</v>
      </c>
      <c r="B25" s="3"/>
      <c r="C25" s="889"/>
      <c r="D25" s="898" t="str">
        <f>Update!$B$8</f>
        <v>Departmental Group</v>
      </c>
      <c r="E25" s="2"/>
      <c r="F25" s="898" t="str">
        <f>Update!$B$7</f>
        <v>Core Department &amp; Agencies</v>
      </c>
      <c r="G25" s="2"/>
      <c r="H25" s="898" t="s">
        <v>64</v>
      </c>
      <c r="I25" s="11"/>
      <c r="J25" s="2"/>
      <c r="K25" s="2"/>
      <c r="L25" s="2"/>
    </row>
    <row r="26" spans="1:12" x14ac:dyDescent="0.25">
      <c r="A26" s="3">
        <f>MAX($A$4:A25)+1</f>
        <v>22</v>
      </c>
      <c r="B26" s="3" t="s">
        <v>41</v>
      </c>
      <c r="C26" s="889" t="s">
        <v>288</v>
      </c>
      <c r="D26" s="193">
        <f>SFP!H14</f>
        <v>0</v>
      </c>
      <c r="E26" s="2"/>
      <c r="F26" s="193">
        <f>SFP!J14</f>
        <v>0</v>
      </c>
      <c r="G26" s="2"/>
      <c r="H26" s="193">
        <f>SFP!W14</f>
        <v>0</v>
      </c>
      <c r="I26" s="11"/>
      <c r="J26" s="2"/>
      <c r="K26" s="2"/>
      <c r="L26" s="2"/>
    </row>
    <row r="27" spans="1:12" x14ac:dyDescent="0.25">
      <c r="A27" s="3">
        <f>MAX($A$4:A26)+1</f>
        <v>23</v>
      </c>
      <c r="B27" s="3" t="s">
        <v>41</v>
      </c>
      <c r="C27" s="889" t="s">
        <v>289</v>
      </c>
      <c r="D27" s="193">
        <f>SFP!H16</f>
        <v>0</v>
      </c>
      <c r="E27" s="2"/>
      <c r="F27" s="193">
        <f>SFP!J16</f>
        <v>0</v>
      </c>
      <c r="G27" s="2"/>
      <c r="H27" s="193">
        <f>SFP!W16</f>
        <v>0</v>
      </c>
      <c r="I27" s="11"/>
      <c r="J27" s="2"/>
      <c r="K27" s="2"/>
      <c r="L27" s="2"/>
    </row>
    <row r="28" spans="1:12" x14ac:dyDescent="0.25">
      <c r="A28" s="3">
        <f>MAX($A$4:A27)+1</f>
        <v>24</v>
      </c>
      <c r="B28" s="3" t="s">
        <v>41</v>
      </c>
      <c r="C28" s="889" t="s">
        <v>343</v>
      </c>
      <c r="D28" s="193">
        <f>SFP!H17</f>
        <v>0</v>
      </c>
      <c r="E28" s="2"/>
      <c r="F28" s="193">
        <f>SFP!J17</f>
        <v>0</v>
      </c>
      <c r="G28" s="2"/>
      <c r="H28" s="193">
        <f>SFP!W17</f>
        <v>0</v>
      </c>
      <c r="I28" s="11"/>
      <c r="J28" s="2"/>
      <c r="K28" s="2"/>
      <c r="L28" s="2"/>
    </row>
    <row r="29" spans="1:12" x14ac:dyDescent="0.25">
      <c r="A29" s="3">
        <f>MAX($A$4:A28)+1</f>
        <v>25</v>
      </c>
      <c r="B29" s="3" t="s">
        <v>41</v>
      </c>
      <c r="C29" s="889" t="s">
        <v>1080</v>
      </c>
      <c r="D29" s="193">
        <f>SFP!H18</f>
        <v>0</v>
      </c>
      <c r="E29" s="2"/>
      <c r="F29" s="193">
        <f>SFP!J18</f>
        <v>0</v>
      </c>
      <c r="G29" s="2"/>
      <c r="H29" s="193">
        <f>SFP!W18</f>
        <v>0</v>
      </c>
      <c r="I29" s="11"/>
      <c r="J29" s="2"/>
      <c r="K29" s="2"/>
      <c r="L29" s="2"/>
    </row>
    <row r="30" spans="1:12" x14ac:dyDescent="0.25">
      <c r="A30" s="3">
        <f>MAX($A$4:A29)+1</f>
        <v>26</v>
      </c>
      <c r="B30" s="3" t="s">
        <v>41</v>
      </c>
      <c r="C30" s="889" t="s">
        <v>344</v>
      </c>
      <c r="D30" s="193">
        <f>SFP!H19</f>
        <v>0</v>
      </c>
      <c r="E30" s="2"/>
      <c r="F30" s="193">
        <f>SFP!J19</f>
        <v>0</v>
      </c>
      <c r="G30" s="2"/>
      <c r="H30" s="193">
        <f>SFP!W19</f>
        <v>0</v>
      </c>
      <c r="I30" s="11"/>
      <c r="J30" s="2"/>
      <c r="K30" s="2"/>
      <c r="L30" s="2"/>
    </row>
    <row r="31" spans="1:12" x14ac:dyDescent="0.25">
      <c r="A31" s="3">
        <f>MAX($A$4:A30)+1</f>
        <v>27</v>
      </c>
      <c r="B31" s="3" t="s">
        <v>41</v>
      </c>
      <c r="C31" s="889" t="s">
        <v>541</v>
      </c>
      <c r="D31" s="193"/>
      <c r="E31" s="2"/>
      <c r="F31" s="193"/>
      <c r="G31" s="2"/>
      <c r="H31" s="193"/>
      <c r="I31" s="11"/>
      <c r="J31" s="2"/>
      <c r="K31" s="2"/>
      <c r="L31" s="2"/>
    </row>
    <row r="32" spans="1:12" x14ac:dyDescent="0.25">
      <c r="A32" s="3">
        <f>MAX($A$4:A31)+1</f>
        <v>28</v>
      </c>
      <c r="B32" s="3" t="s">
        <v>41</v>
      </c>
      <c r="C32" s="889" t="s">
        <v>292</v>
      </c>
      <c r="D32" s="193">
        <f>SFP!H24</f>
        <v>0</v>
      </c>
      <c r="E32" s="2"/>
      <c r="F32" s="193">
        <f>SFP!J24</f>
        <v>0</v>
      </c>
      <c r="G32" s="2"/>
      <c r="H32" s="193">
        <f>SFP!W24</f>
        <v>0</v>
      </c>
      <c r="I32" s="11"/>
      <c r="J32" s="2"/>
      <c r="K32" s="2"/>
      <c r="L32" s="2"/>
    </row>
    <row r="33" spans="1:12" x14ac:dyDescent="0.25">
      <c r="A33" s="3">
        <f>MAX($A$4:A32)+1</f>
        <v>29</v>
      </c>
      <c r="B33" s="3" t="s">
        <v>41</v>
      </c>
      <c r="C33" s="889" t="s">
        <v>293</v>
      </c>
      <c r="D33" s="193">
        <f>SFP!H25</f>
        <v>0</v>
      </c>
      <c r="E33" s="2"/>
      <c r="F33" s="193">
        <f>SFP!J25</f>
        <v>0</v>
      </c>
      <c r="G33" s="2"/>
      <c r="H33" s="193">
        <f>SFP!W25</f>
        <v>0</v>
      </c>
      <c r="I33" s="11"/>
      <c r="J33" s="2"/>
      <c r="K33" s="2"/>
      <c r="L33" s="2"/>
    </row>
    <row r="34" spans="1:12" x14ac:dyDescent="0.25">
      <c r="A34" s="3">
        <f>MAX($A$4:A33)+1</f>
        <v>30</v>
      </c>
      <c r="B34" s="3" t="s">
        <v>41</v>
      </c>
      <c r="C34" s="889" t="s">
        <v>341</v>
      </c>
      <c r="D34" s="193">
        <f>SFP!H26</f>
        <v>0</v>
      </c>
      <c r="E34" s="2"/>
      <c r="F34" s="193">
        <f>SFP!J26</f>
        <v>0</v>
      </c>
      <c r="G34" s="2"/>
      <c r="H34" s="193">
        <f>SFP!W26</f>
        <v>0</v>
      </c>
      <c r="I34" s="11"/>
      <c r="J34" s="2"/>
      <c r="K34" s="2"/>
      <c r="L34" s="2"/>
    </row>
    <row r="35" spans="1:12" x14ac:dyDescent="0.25">
      <c r="A35" s="3">
        <f>MAX($A$4:A34)+1</f>
        <v>31</v>
      </c>
      <c r="B35" s="3" t="s">
        <v>41</v>
      </c>
      <c r="C35" s="889" t="s">
        <v>291</v>
      </c>
      <c r="D35" s="193">
        <f>SFP!H27</f>
        <v>0</v>
      </c>
      <c r="E35" s="2"/>
      <c r="F35" s="193">
        <f>SFP!J27</f>
        <v>0</v>
      </c>
      <c r="G35" s="2"/>
      <c r="H35" s="193">
        <f>SFP!W27</f>
        <v>0</v>
      </c>
      <c r="I35" s="11"/>
      <c r="J35" s="2"/>
      <c r="K35" s="2"/>
      <c r="L35" s="2"/>
    </row>
    <row r="36" spans="1:12" x14ac:dyDescent="0.25">
      <c r="A36" s="3">
        <f>MAX($A$4:A35)+1</f>
        <v>32</v>
      </c>
      <c r="B36" s="3" t="s">
        <v>41</v>
      </c>
      <c r="C36" s="889" t="s">
        <v>826</v>
      </c>
      <c r="D36" s="193">
        <f>SFP!H28</f>
        <v>0</v>
      </c>
      <c r="E36" s="2"/>
      <c r="F36" s="193">
        <f>SFP!J28</f>
        <v>0</v>
      </c>
      <c r="G36" s="2"/>
      <c r="H36" s="193">
        <f>SFP!W28</f>
        <v>0</v>
      </c>
      <c r="I36" s="11"/>
      <c r="J36" s="2"/>
      <c r="K36" s="2"/>
      <c r="L36" s="2"/>
    </row>
    <row r="37" spans="1:12" x14ac:dyDescent="0.25">
      <c r="A37" s="3">
        <f>MAX($A$4:A36)+1</f>
        <v>33</v>
      </c>
      <c r="B37" s="3" t="s">
        <v>41</v>
      </c>
      <c r="C37" s="889" t="s">
        <v>295</v>
      </c>
      <c r="D37" s="193">
        <f>SFP!H29</f>
        <v>0</v>
      </c>
      <c r="E37" s="2"/>
      <c r="F37" s="193">
        <f>SFP!J29</f>
        <v>0</v>
      </c>
      <c r="G37" s="2"/>
      <c r="H37" s="193">
        <f>SFP!W29</f>
        <v>0</v>
      </c>
      <c r="I37" s="11"/>
      <c r="J37" s="2"/>
      <c r="K37" s="2"/>
      <c r="L37" s="2"/>
    </row>
    <row r="38" spans="1:12" x14ac:dyDescent="0.25">
      <c r="A38" s="3">
        <f>MAX($A$4:A37)+1</f>
        <v>34</v>
      </c>
      <c r="B38" s="3" t="s">
        <v>41</v>
      </c>
      <c r="C38" s="889" t="s">
        <v>543</v>
      </c>
      <c r="E38" s="2"/>
      <c r="I38" s="11"/>
      <c r="J38" s="2"/>
      <c r="K38" s="2"/>
      <c r="L38" s="2"/>
    </row>
    <row r="39" spans="1:12" x14ac:dyDescent="0.25">
      <c r="A39" s="3">
        <f>MAX($A$4:A38)+1</f>
        <v>35</v>
      </c>
      <c r="B39" s="3" t="s">
        <v>41</v>
      </c>
      <c r="C39" s="889" t="s">
        <v>314</v>
      </c>
      <c r="D39" s="193">
        <f>SFP!H35</f>
        <v>0</v>
      </c>
      <c r="E39" s="2"/>
      <c r="F39" s="193">
        <f>SFP!J35</f>
        <v>0</v>
      </c>
      <c r="G39" s="2"/>
      <c r="H39" s="193">
        <f>SFP!W35</f>
        <v>0</v>
      </c>
      <c r="I39" s="11"/>
      <c r="J39" s="2"/>
      <c r="K39" s="2"/>
      <c r="L39" s="2"/>
    </row>
    <row r="40" spans="1:12" x14ac:dyDescent="0.25">
      <c r="A40" s="3">
        <f>MAX($A$4:A39)+1</f>
        <v>36</v>
      </c>
      <c r="B40" s="3" t="s">
        <v>41</v>
      </c>
      <c r="C40" s="889" t="s">
        <v>1074</v>
      </c>
      <c r="D40" s="193">
        <f>SFP!H36</f>
        <v>0</v>
      </c>
      <c r="E40" s="2"/>
      <c r="F40" s="193">
        <f>SFP!J36</f>
        <v>0</v>
      </c>
      <c r="G40" s="2"/>
      <c r="H40" s="193">
        <f>SFP!W36</f>
        <v>0</v>
      </c>
      <c r="I40" s="11"/>
      <c r="J40" s="2"/>
      <c r="K40" s="2"/>
      <c r="L40" s="2"/>
    </row>
    <row r="41" spans="1:12" x14ac:dyDescent="0.25">
      <c r="A41" s="3">
        <f>MAX($A$4:A40)+1</f>
        <v>37</v>
      </c>
      <c r="B41" s="3" t="s">
        <v>41</v>
      </c>
      <c r="C41" s="889" t="s">
        <v>315</v>
      </c>
      <c r="D41" s="193">
        <f>SFP!H37</f>
        <v>0</v>
      </c>
      <c r="E41" s="2"/>
      <c r="F41" s="193">
        <f>SFP!J37</f>
        <v>0</v>
      </c>
      <c r="G41" s="2"/>
      <c r="H41" s="193">
        <f>SFP!W37</f>
        <v>0</v>
      </c>
      <c r="I41" s="11"/>
      <c r="J41" s="2"/>
      <c r="K41" s="2"/>
      <c r="L41" s="2"/>
    </row>
    <row r="42" spans="1:12" x14ac:dyDescent="0.25">
      <c r="A42" s="3">
        <f>MAX($A$4:A41)+1</f>
        <v>38</v>
      </c>
      <c r="B42" s="3" t="s">
        <v>41</v>
      </c>
      <c r="C42" s="889" t="s">
        <v>297</v>
      </c>
      <c r="D42" s="193">
        <f>SFP!H38</f>
        <v>0</v>
      </c>
      <c r="E42" s="2"/>
      <c r="F42" s="193">
        <f>SFP!J38</f>
        <v>0</v>
      </c>
      <c r="G42" s="2"/>
      <c r="H42" s="193">
        <f>SFP!W38</f>
        <v>0</v>
      </c>
      <c r="J42" s="2"/>
      <c r="K42" s="2"/>
      <c r="L42" s="2"/>
    </row>
    <row r="43" spans="1:12" x14ac:dyDescent="0.25">
      <c r="A43" s="3">
        <f>MAX($A$4:A42)+1</f>
        <v>39</v>
      </c>
      <c r="B43" s="3" t="s">
        <v>41</v>
      </c>
      <c r="C43" s="889" t="s">
        <v>316</v>
      </c>
      <c r="D43" s="193">
        <f>SFP!H39</f>
        <v>0</v>
      </c>
      <c r="E43" s="2"/>
      <c r="F43" s="193">
        <f>SFP!J39</f>
        <v>0</v>
      </c>
      <c r="G43" s="2"/>
      <c r="H43" s="193">
        <f>SFP!W39</f>
        <v>0</v>
      </c>
      <c r="I43" s="11"/>
      <c r="J43" s="2"/>
      <c r="K43" s="2"/>
      <c r="L43" s="2"/>
    </row>
    <row r="44" spans="1:12" x14ac:dyDescent="0.25">
      <c r="A44" s="3">
        <f>MAX($A$4:A43)+1</f>
        <v>40</v>
      </c>
      <c r="B44" s="3" t="s">
        <v>41</v>
      </c>
      <c r="C44" s="890" t="s">
        <v>741</v>
      </c>
      <c r="D44" s="193">
        <f>SFP!H46</f>
        <v>0</v>
      </c>
      <c r="E44" s="2"/>
      <c r="F44" s="193">
        <f>SFP!J46</f>
        <v>0</v>
      </c>
      <c r="G44" s="2"/>
      <c r="H44" s="193">
        <f>SFP!W46</f>
        <v>0</v>
      </c>
      <c r="J44" s="2"/>
      <c r="K44" s="2"/>
      <c r="L44" s="2"/>
    </row>
    <row r="45" spans="1:12" x14ac:dyDescent="0.25">
      <c r="A45" s="3">
        <f>MAX($A$4:A44)+1</f>
        <v>41</v>
      </c>
      <c r="B45" s="3" t="s">
        <v>41</v>
      </c>
      <c r="C45" s="890" t="s">
        <v>342</v>
      </c>
      <c r="D45" s="193">
        <f>SFP!H47</f>
        <v>0</v>
      </c>
      <c r="E45" s="2"/>
      <c r="F45" s="193">
        <f>SFP!J47</f>
        <v>0</v>
      </c>
      <c r="G45" s="2"/>
      <c r="H45" s="193">
        <f>SFP!W47</f>
        <v>0</v>
      </c>
      <c r="I45" s="11"/>
      <c r="J45" s="2"/>
      <c r="K45" s="2"/>
      <c r="L45" s="2"/>
    </row>
    <row r="46" spans="1:12" x14ac:dyDescent="0.25">
      <c r="A46" s="3">
        <f>MAX($A$4:A45)+1</f>
        <v>42</v>
      </c>
      <c r="B46" s="3" t="s">
        <v>41</v>
      </c>
      <c r="C46" s="890" t="s">
        <v>1076</v>
      </c>
      <c r="D46" s="193">
        <f>SFP!I48</f>
        <v>0</v>
      </c>
      <c r="E46" s="2"/>
      <c r="F46" s="193">
        <f>SFP!H48</f>
        <v>0</v>
      </c>
      <c r="G46" s="2"/>
      <c r="H46" s="193">
        <f>SFP!W48</f>
        <v>0</v>
      </c>
      <c r="I46" s="11"/>
      <c r="J46" s="2"/>
      <c r="K46" s="2"/>
      <c r="L46" s="2"/>
    </row>
    <row r="47" spans="1:12" x14ac:dyDescent="0.25">
      <c r="A47" s="3">
        <f>MAX($A$4:A46)+1</f>
        <v>43</v>
      </c>
      <c r="B47" s="3" t="s">
        <v>41</v>
      </c>
      <c r="C47" s="890" t="s">
        <v>1048</v>
      </c>
      <c r="D47" s="193">
        <f>SFP!H49</f>
        <v>0</v>
      </c>
      <c r="E47" s="2"/>
      <c r="F47" s="193">
        <f>SFP!J49</f>
        <v>0</v>
      </c>
      <c r="G47" s="2"/>
      <c r="H47" s="193">
        <f>SFP!W49</f>
        <v>0</v>
      </c>
      <c r="I47" s="11"/>
      <c r="J47" s="2"/>
      <c r="K47" s="2"/>
      <c r="L47" s="2"/>
    </row>
    <row r="48" spans="1:12" x14ac:dyDescent="0.25">
      <c r="A48" s="3">
        <f>MAX($A$4:A47)+1</f>
        <v>44</v>
      </c>
      <c r="B48" s="3" t="s">
        <v>41</v>
      </c>
      <c r="C48" s="890" t="s">
        <v>79</v>
      </c>
      <c r="D48" s="193">
        <f>SFP!H57</f>
        <v>-6287</v>
      </c>
      <c r="E48" s="2"/>
      <c r="F48" s="193">
        <f>SFP!J57</f>
        <v>0</v>
      </c>
      <c r="G48" s="2"/>
      <c r="H48" s="193">
        <f>SFP!W57</f>
        <v>0</v>
      </c>
      <c r="I48" s="11"/>
      <c r="J48" s="2"/>
      <c r="K48" s="2"/>
      <c r="L48" s="2"/>
    </row>
    <row r="49" spans="1:19" x14ac:dyDescent="0.25">
      <c r="A49" s="3">
        <f>MAX($A$4:A48)+1</f>
        <v>45</v>
      </c>
      <c r="B49" s="3" t="s">
        <v>41</v>
      </c>
      <c r="C49" s="890" t="s">
        <v>80</v>
      </c>
      <c r="D49" s="193">
        <f>SFP!H58</f>
        <v>-1616383</v>
      </c>
      <c r="E49" s="2"/>
      <c r="F49" s="193">
        <f>SFP!J58</f>
        <v>0</v>
      </c>
      <c r="G49" s="2"/>
      <c r="H49" s="193">
        <f>SFP!W58</f>
        <v>0</v>
      </c>
      <c r="I49" s="11"/>
      <c r="J49" s="2"/>
      <c r="K49" s="1675"/>
      <c r="L49" s="1939"/>
      <c r="M49" s="1939"/>
      <c r="N49" s="1939"/>
      <c r="O49" s="1939"/>
      <c r="P49" s="1939"/>
      <c r="Q49" s="1939"/>
      <c r="R49" s="1939"/>
      <c r="S49" s="1939"/>
    </row>
    <row r="50" spans="1:19" x14ac:dyDescent="0.25">
      <c r="A50" s="3">
        <f>MAX($A$4:A49)+1</f>
        <v>46</v>
      </c>
      <c r="B50" s="3" t="s">
        <v>41</v>
      </c>
      <c r="C50" s="890" t="s">
        <v>809</v>
      </c>
      <c r="D50" s="193">
        <f>SFP!H59</f>
        <v>-94518</v>
      </c>
      <c r="E50" s="2"/>
      <c r="F50" s="193">
        <f>SFP!J59</f>
        <v>0</v>
      </c>
      <c r="G50" s="2"/>
      <c r="H50" s="193">
        <f>SFP!W59</f>
        <v>0</v>
      </c>
      <c r="I50" s="11"/>
      <c r="J50" s="1250"/>
      <c r="K50" s="1675"/>
      <c r="L50" s="1939"/>
      <c r="M50" s="1939"/>
      <c r="N50" s="1939"/>
      <c r="O50" s="1939"/>
      <c r="P50" s="1939"/>
      <c r="Q50" s="1939"/>
      <c r="R50" s="1939"/>
      <c r="S50" s="1939"/>
    </row>
    <row r="51" spans="1:19" x14ac:dyDescent="0.25">
      <c r="A51" s="3">
        <f>MAX($A$4:A50)+1</f>
        <v>47</v>
      </c>
      <c r="B51" s="3"/>
      <c r="C51" s="890"/>
      <c r="D51" s="2"/>
      <c r="E51" s="2"/>
      <c r="F51" s="2"/>
      <c r="G51" s="2"/>
      <c r="H51" s="11"/>
      <c r="I51" s="11"/>
      <c r="J51" s="1250"/>
      <c r="K51" s="1675"/>
      <c r="L51" s="1939"/>
      <c r="M51" s="1939"/>
      <c r="N51" s="1939"/>
      <c r="O51" s="1939"/>
      <c r="P51" s="1939"/>
      <c r="Q51" s="1939"/>
      <c r="R51" s="1939"/>
      <c r="S51" s="1939"/>
    </row>
    <row r="52" spans="1:19" ht="36" x14ac:dyDescent="0.25">
      <c r="A52" s="3">
        <f>MAX($A$4:A51)+1</f>
        <v>48</v>
      </c>
      <c r="B52" s="3"/>
      <c r="C52" s="890"/>
      <c r="D52" s="898" t="str">
        <f>Update!$B$7</f>
        <v>Core Department &amp; Agencies</v>
      </c>
      <c r="E52" s="16"/>
      <c r="F52" s="898" t="str">
        <f>Update!$B$8</f>
        <v>Departmental Group</v>
      </c>
      <c r="G52" s="16"/>
      <c r="H52" s="898" t="s">
        <v>64</v>
      </c>
      <c r="I52" s="11"/>
      <c r="J52" s="1250"/>
      <c r="K52" s="1372"/>
      <c r="L52" s="1939"/>
      <c r="M52" s="1939"/>
      <c r="N52" s="1939"/>
      <c r="O52" s="1939"/>
      <c r="P52" s="1939"/>
      <c r="Q52" s="1939"/>
      <c r="R52" s="1939"/>
      <c r="S52" s="1939"/>
    </row>
    <row r="53" spans="1:19" x14ac:dyDescent="0.25">
      <c r="A53" s="3">
        <f>MAX($A$4:A52)+1</f>
        <v>49</v>
      </c>
      <c r="B53" s="3" t="s">
        <v>42</v>
      </c>
      <c r="C53" s="890" t="s">
        <v>82</v>
      </c>
      <c r="D53" s="193">
        <f>SCF!H10</f>
        <v>0</v>
      </c>
      <c r="E53" s="2"/>
      <c r="F53" s="193">
        <f>SCF!J10</f>
        <v>0</v>
      </c>
      <c r="G53" s="2"/>
      <c r="H53" s="2"/>
      <c r="I53" s="11"/>
      <c r="J53" s="1250"/>
      <c r="K53" s="1372"/>
      <c r="L53" s="1939"/>
      <c r="M53" s="1939"/>
      <c r="N53" s="1939"/>
      <c r="O53" s="1939"/>
      <c r="P53" s="1939"/>
      <c r="Q53" s="1939"/>
      <c r="R53" s="1939"/>
      <c r="S53" s="1939"/>
    </row>
    <row r="54" spans="1:19" x14ac:dyDescent="0.25">
      <c r="A54" s="3">
        <f>MAX($A$4:A53)+1</f>
        <v>50</v>
      </c>
      <c r="B54" s="3" t="s">
        <v>42</v>
      </c>
      <c r="C54" s="890" t="s">
        <v>317</v>
      </c>
      <c r="D54" s="193" t="e">
        <f>SCF!H11</f>
        <v>#VALUE!</v>
      </c>
      <c r="E54" s="2"/>
      <c r="F54" s="193" t="e">
        <f>SCF!J11</f>
        <v>#VALUE!</v>
      </c>
      <c r="G54" s="2"/>
      <c r="H54" s="2"/>
      <c r="I54" s="11"/>
      <c r="J54" s="1208"/>
      <c r="K54" s="1372"/>
      <c r="L54" s="1940"/>
      <c r="M54" s="1940"/>
      <c r="N54" s="1940"/>
      <c r="O54" s="1940"/>
      <c r="P54" s="1940"/>
      <c r="Q54" s="1940"/>
      <c r="R54" s="1940"/>
      <c r="S54" s="1940"/>
    </row>
    <row r="55" spans="1:19" x14ac:dyDescent="0.25">
      <c r="A55" s="3">
        <f>MAX($A$4:A54)+1</f>
        <v>51</v>
      </c>
      <c r="B55" s="3" t="s">
        <v>42</v>
      </c>
      <c r="C55" s="890" t="s">
        <v>318</v>
      </c>
      <c r="D55" s="193">
        <f>SCF!H12</f>
        <v>0</v>
      </c>
      <c r="E55" s="2"/>
      <c r="F55" s="193">
        <f>SCF!J12</f>
        <v>0</v>
      </c>
      <c r="G55" s="2"/>
      <c r="H55" s="2"/>
      <c r="I55" s="1789" t="s">
        <v>2821</v>
      </c>
      <c r="J55" s="1785"/>
      <c r="K55" s="1209"/>
      <c r="L55" s="1786"/>
      <c r="M55" s="1208"/>
      <c r="N55" s="1208"/>
      <c r="O55" s="1208"/>
      <c r="P55" s="1208"/>
      <c r="Q55" s="1208"/>
      <c r="R55" s="1208"/>
      <c r="S55" s="1208"/>
    </row>
    <row r="56" spans="1:19" x14ac:dyDescent="0.25">
      <c r="A56" s="3">
        <f>MAX($A$4:A55)+1</f>
        <v>52</v>
      </c>
      <c r="B56" s="3" t="s">
        <v>42</v>
      </c>
      <c r="C56" s="890" t="s">
        <v>319</v>
      </c>
      <c r="D56" s="193">
        <f>SCF!H13</f>
        <v>-11423</v>
      </c>
      <c r="E56" s="2"/>
      <c r="F56" s="193">
        <f>SCF!J13</f>
        <v>-339083</v>
      </c>
      <c r="H56" s="2"/>
      <c r="I56" s="1826"/>
      <c r="J56" s="1371"/>
      <c r="K56" s="1372"/>
      <c r="L56" s="1788"/>
    </row>
    <row r="57" spans="1:19" x14ac:dyDescent="0.25">
      <c r="A57" s="3">
        <f>MAX($A$4:A56)+1</f>
        <v>53</v>
      </c>
      <c r="B57" s="3" t="s">
        <v>42</v>
      </c>
      <c r="C57" s="890" t="s">
        <v>85</v>
      </c>
      <c r="D57" s="193">
        <f>SCF!H14</f>
        <v>0</v>
      </c>
      <c r="E57" s="2"/>
      <c r="F57" s="193">
        <f>SCF!J14</f>
        <v>0</v>
      </c>
      <c r="H57" s="2"/>
      <c r="I57" s="1585"/>
      <c r="J57" s="1371"/>
      <c r="K57" s="1372"/>
      <c r="L57" s="1788"/>
    </row>
    <row r="58" spans="1:19" x14ac:dyDescent="0.25">
      <c r="A58" s="3">
        <f>MAX($A$4:A57)+1</f>
        <v>54</v>
      </c>
      <c r="B58" s="3" t="s">
        <v>42</v>
      </c>
      <c r="C58" s="890" t="s">
        <v>86</v>
      </c>
      <c r="D58" s="193">
        <f>SCF!H15</f>
        <v>0</v>
      </c>
      <c r="E58" s="2"/>
      <c r="F58" s="193">
        <f>SCF!J15</f>
        <v>0</v>
      </c>
      <c r="H58" s="2"/>
      <c r="I58" s="1585"/>
      <c r="J58" s="1371"/>
      <c r="K58" s="1372"/>
      <c r="L58" s="1788"/>
    </row>
    <row r="59" spans="1:19" x14ac:dyDescent="0.25">
      <c r="A59" s="3">
        <f>MAX($A$4:A58)+1</f>
        <v>55</v>
      </c>
      <c r="B59" s="3" t="s">
        <v>42</v>
      </c>
      <c r="C59" s="890" t="s">
        <v>320</v>
      </c>
      <c r="D59" s="193">
        <f>SCF!H16</f>
        <v>0</v>
      </c>
      <c r="E59" s="2"/>
      <c r="F59" s="193">
        <f>SCF!J16</f>
        <v>0</v>
      </c>
      <c r="I59" s="1826"/>
      <c r="J59" s="1371"/>
      <c r="K59" s="1372"/>
      <c r="L59" s="1788"/>
    </row>
    <row r="60" spans="1:19" x14ac:dyDescent="0.25">
      <c r="A60" s="3">
        <f>MAX($A$4:A59)+1</f>
        <v>56</v>
      </c>
      <c r="B60" s="3" t="s">
        <v>42</v>
      </c>
      <c r="C60" s="890" t="s">
        <v>301</v>
      </c>
      <c r="D60" s="193">
        <f>SCF!H17</f>
        <v>0</v>
      </c>
      <c r="E60" s="2"/>
      <c r="F60" s="193">
        <f>SCF!J17</f>
        <v>16</v>
      </c>
      <c r="H60" s="2"/>
      <c r="I60" s="1826"/>
      <c r="J60" s="1371"/>
      <c r="K60" s="1372"/>
      <c r="L60" s="1788"/>
    </row>
    <row r="61" spans="1:19" x14ac:dyDescent="0.25">
      <c r="A61" s="3">
        <f>MAX($A$4:A60)+1</f>
        <v>57</v>
      </c>
      <c r="B61" s="3" t="s">
        <v>42</v>
      </c>
      <c r="C61" s="890" t="s">
        <v>321</v>
      </c>
      <c r="D61" s="193">
        <f>SCF!H18</f>
        <v>0</v>
      </c>
      <c r="E61" s="2"/>
      <c r="F61" s="193">
        <f>SCF!J18</f>
        <v>0</v>
      </c>
      <c r="H61" s="2"/>
      <c r="I61" s="1585"/>
      <c r="J61" s="1371"/>
      <c r="K61" s="1372"/>
      <c r="L61" s="1788"/>
    </row>
    <row r="62" spans="1:19" x14ac:dyDescent="0.25">
      <c r="A62" s="3">
        <f>MAX($A$4:A61)+1</f>
        <v>58</v>
      </c>
      <c r="B62" s="3" t="s">
        <v>42</v>
      </c>
      <c r="C62" s="890" t="s">
        <v>322</v>
      </c>
      <c r="D62" s="193">
        <f>SCF!H20</f>
        <v>1088</v>
      </c>
      <c r="E62" s="2"/>
      <c r="F62" s="193">
        <f>SCF!J20</f>
        <v>95311</v>
      </c>
      <c r="H62" s="2"/>
      <c r="I62" s="1585"/>
      <c r="J62" s="1371"/>
      <c r="K62" s="1372"/>
      <c r="L62" s="1788"/>
    </row>
    <row r="63" spans="1:19" x14ac:dyDescent="0.25">
      <c r="A63" s="3">
        <f>MAX($A$4:A62)+1</f>
        <v>59</v>
      </c>
      <c r="B63" s="3" t="s">
        <v>42</v>
      </c>
      <c r="C63" s="890" t="s">
        <v>307</v>
      </c>
      <c r="D63" s="193">
        <f>SCF!H21</f>
        <v>147462</v>
      </c>
      <c r="E63" s="2"/>
      <c r="F63" s="193">
        <f>SCF!J21</f>
        <v>1606714</v>
      </c>
      <c r="H63" s="2"/>
      <c r="I63" s="1826"/>
      <c r="J63" s="1371"/>
      <c r="K63" s="1372"/>
      <c r="L63" s="1788"/>
      <c r="M63" s="4"/>
      <c r="N63" s="4"/>
      <c r="O63" s="4"/>
    </row>
    <row r="64" spans="1:19" x14ac:dyDescent="0.25">
      <c r="A64" s="3">
        <f>MAX($A$4:A63)+1</f>
        <v>60</v>
      </c>
      <c r="B64" s="3" t="s">
        <v>42</v>
      </c>
      <c r="C64" s="890" t="s">
        <v>305</v>
      </c>
      <c r="D64" s="193">
        <f>SCF!H22</f>
        <v>0</v>
      </c>
      <c r="E64" s="2"/>
      <c r="F64" s="193">
        <f>SCF!J22</f>
        <v>0</v>
      </c>
      <c r="H64" s="2"/>
      <c r="I64" s="1585"/>
      <c r="J64" s="1371"/>
      <c r="K64" s="1372"/>
      <c r="L64" s="1788"/>
    </row>
    <row r="65" spans="1:15" x14ac:dyDescent="0.25">
      <c r="A65" s="3">
        <f>MAX($A$4:A64)+1</f>
        <v>61</v>
      </c>
      <c r="B65" s="3" t="s">
        <v>42</v>
      </c>
      <c r="C65" s="890" t="s">
        <v>306</v>
      </c>
      <c r="D65" s="193">
        <f>SCF!H23</f>
        <v>-172</v>
      </c>
      <c r="E65" s="2"/>
      <c r="F65" s="193">
        <f>SCF!J23</f>
        <v>-122833</v>
      </c>
      <c r="H65" s="2"/>
      <c r="I65" s="1826"/>
      <c r="J65" s="1371"/>
      <c r="K65" s="1372"/>
      <c r="L65" s="1788"/>
      <c r="M65" s="4"/>
      <c r="N65" s="4"/>
      <c r="O65" s="4"/>
    </row>
    <row r="66" spans="1:15" x14ac:dyDescent="0.25">
      <c r="A66" s="3">
        <f>MAX($A$4:A65)+1</f>
        <v>62</v>
      </c>
      <c r="B66" s="3" t="s">
        <v>42</v>
      </c>
      <c r="C66" s="890" t="s">
        <v>87</v>
      </c>
      <c r="D66" s="193">
        <f>SCF!H24</f>
        <v>-1138</v>
      </c>
      <c r="E66" s="2"/>
      <c r="F66" s="193">
        <f>SCF!J24</f>
        <v>-26620</v>
      </c>
      <c r="H66" s="2"/>
      <c r="I66" s="1585"/>
      <c r="J66" s="1371"/>
      <c r="K66" s="1372"/>
      <c r="L66" s="1788"/>
    </row>
    <row r="67" spans="1:15" ht="34.5" customHeight="1" x14ac:dyDescent="0.25">
      <c r="A67" s="3">
        <f>MAX($A$4:A66)+1</f>
        <v>63</v>
      </c>
      <c r="B67" s="3" t="s">
        <v>42</v>
      </c>
      <c r="C67" s="890" t="s">
        <v>324</v>
      </c>
      <c r="D67" s="193">
        <f>SCF!H25</f>
        <v>-166</v>
      </c>
      <c r="E67" s="2"/>
      <c r="F67" s="193">
        <f>SCF!J25</f>
        <v>-121759</v>
      </c>
      <c r="H67" s="11"/>
      <c r="I67" s="1827"/>
      <c r="J67" s="1371"/>
      <c r="K67" s="1372"/>
      <c r="L67" s="1788"/>
    </row>
    <row r="68" spans="1:15" x14ac:dyDescent="0.25">
      <c r="A68" s="3">
        <f>MAX($A$4:A67)+1</f>
        <v>64</v>
      </c>
      <c r="B68" s="3" t="s">
        <v>42</v>
      </c>
      <c r="C68" s="890" t="s">
        <v>304</v>
      </c>
      <c r="D68" s="193">
        <f>SCF!H26</f>
        <v>0</v>
      </c>
      <c r="E68" s="2"/>
      <c r="F68" s="193">
        <f>SCF!J26</f>
        <v>-137549</v>
      </c>
      <c r="H68" s="2"/>
      <c r="I68" s="1826"/>
      <c r="J68" s="1371"/>
      <c r="K68" s="1372"/>
      <c r="L68" s="1788"/>
    </row>
    <row r="69" spans="1:15" x14ac:dyDescent="0.25">
      <c r="A69" s="3">
        <f>MAX($A$4:A68)+1</f>
        <v>65</v>
      </c>
      <c r="B69" s="3" t="s">
        <v>42</v>
      </c>
      <c r="C69" s="890" t="s">
        <v>88</v>
      </c>
      <c r="D69" s="193">
        <f>SCF!H27</f>
        <v>0</v>
      </c>
      <c r="E69" s="2"/>
      <c r="F69" s="193">
        <f>SCF!J27</f>
        <v>0</v>
      </c>
      <c r="G69" s="2"/>
      <c r="H69" s="2"/>
      <c r="I69" s="11"/>
      <c r="J69" s="1371"/>
      <c r="K69" s="1372"/>
      <c r="L69" s="1788"/>
    </row>
    <row r="70" spans="1:15" x14ac:dyDescent="0.25">
      <c r="A70" s="3">
        <f>MAX($A$4:A69)+1</f>
        <v>66</v>
      </c>
      <c r="B70" s="3" t="s">
        <v>42</v>
      </c>
      <c r="C70" s="890" t="s">
        <v>89</v>
      </c>
      <c r="D70" s="193">
        <f>SCF!H28</f>
        <v>0</v>
      </c>
      <c r="E70" s="2"/>
      <c r="F70" s="193">
        <f>SCF!J28</f>
        <v>0</v>
      </c>
      <c r="G70" s="2"/>
      <c r="H70" s="2"/>
      <c r="I70" s="11"/>
      <c r="J70" s="1371"/>
      <c r="K70" s="1372"/>
      <c r="L70" s="1788"/>
    </row>
    <row r="71" spans="1:15" ht="15.75" thickBot="1" x14ac:dyDescent="0.3">
      <c r="A71" s="3">
        <f>MAX($A$4:A70)+1</f>
        <v>67</v>
      </c>
      <c r="B71" s="3" t="s">
        <v>42</v>
      </c>
      <c r="C71" s="890" t="s">
        <v>90</v>
      </c>
      <c r="D71" s="193">
        <f>SCF!H29</f>
        <v>0</v>
      </c>
      <c r="E71" s="2"/>
      <c r="F71" s="193">
        <f>SCF!J29</f>
        <v>0</v>
      </c>
      <c r="G71" s="2"/>
      <c r="H71" s="2"/>
      <c r="I71" s="11"/>
      <c r="J71" s="1371"/>
      <c r="K71" s="1790">
        <f>SUM(K57:K70)</f>
        <v>0</v>
      </c>
      <c r="L71" s="1788"/>
    </row>
    <row r="72" spans="1:15" ht="15.75" thickTop="1" x14ac:dyDescent="0.25">
      <c r="A72" s="3">
        <f>MAX($A$4:A71)+1</f>
        <v>68</v>
      </c>
      <c r="B72" s="3" t="s">
        <v>42</v>
      </c>
      <c r="C72" s="890" t="s">
        <v>91</v>
      </c>
      <c r="D72" s="193">
        <f>SCF!H30</f>
        <v>0</v>
      </c>
      <c r="E72" s="2"/>
      <c r="F72" s="193">
        <f>SCF!J30</f>
        <v>0</v>
      </c>
      <c r="G72" s="2"/>
      <c r="H72" s="2"/>
      <c r="I72" s="11"/>
      <c r="J72" s="1210"/>
      <c r="K72" s="1680"/>
      <c r="L72" s="1791"/>
    </row>
    <row r="73" spans="1:15" x14ac:dyDescent="0.25">
      <c r="A73" s="3">
        <f>MAX($A$4:A72)+1</f>
        <v>69</v>
      </c>
      <c r="B73" s="3" t="s">
        <v>42</v>
      </c>
      <c r="C73" s="890" t="s">
        <v>92</v>
      </c>
      <c r="D73" s="193">
        <f>SCF!H31</f>
        <v>0</v>
      </c>
      <c r="E73" s="2"/>
      <c r="F73" s="193">
        <f>SCF!J31</f>
        <v>0</v>
      </c>
      <c r="G73" s="2"/>
      <c r="H73" s="2"/>
      <c r="I73" s="1208"/>
      <c r="J73" s="4"/>
      <c r="K73" s="4"/>
      <c r="L73" s="4"/>
    </row>
    <row r="74" spans="1:15" x14ac:dyDescent="0.25">
      <c r="A74" s="3">
        <f>MAX($A$4:A73)+1</f>
        <v>70</v>
      </c>
      <c r="B74" s="3" t="s">
        <v>42</v>
      </c>
      <c r="C74" s="890" t="s">
        <v>549</v>
      </c>
      <c r="D74" s="193">
        <f>SCF!H32</f>
        <v>0</v>
      </c>
      <c r="E74" s="2"/>
      <c r="F74" s="193">
        <f>SCF!J32</f>
        <v>0</v>
      </c>
      <c r="G74" s="2"/>
      <c r="H74" s="2"/>
      <c r="I74" s="11"/>
    </row>
    <row r="75" spans="1:15" x14ac:dyDescent="0.25">
      <c r="A75" s="3">
        <f>MAX($A$4:A74)+1</f>
        <v>71</v>
      </c>
      <c r="B75" s="3" t="s">
        <v>42</v>
      </c>
      <c r="C75" s="890"/>
      <c r="D75" s="193">
        <f>SCF!H33</f>
        <v>0</v>
      </c>
      <c r="E75" s="2"/>
      <c r="F75" s="193">
        <f>SCF!J33</f>
        <v>0</v>
      </c>
      <c r="G75" s="2"/>
      <c r="H75" s="2"/>
      <c r="I75" s="11"/>
      <c r="J75" s="4"/>
      <c r="K75" s="4"/>
      <c r="L75" s="4"/>
    </row>
    <row r="76" spans="1:15" x14ac:dyDescent="0.25">
      <c r="A76" s="3">
        <f>MAX($A$4:A75)+1</f>
        <v>72</v>
      </c>
      <c r="B76" s="3" t="s">
        <v>42</v>
      </c>
      <c r="C76" s="890"/>
      <c r="D76" s="193">
        <f>SCF!H34</f>
        <v>0</v>
      </c>
      <c r="E76" s="2"/>
      <c r="F76" s="193">
        <f>SCF!J34</f>
        <v>0</v>
      </c>
      <c r="G76" s="2"/>
      <c r="H76" s="2"/>
      <c r="I76" s="11"/>
    </row>
    <row r="77" spans="1:15" x14ac:dyDescent="0.25">
      <c r="A77" s="3">
        <f>MAX($A$4:A76)+1</f>
        <v>73</v>
      </c>
      <c r="B77" s="3" t="s">
        <v>42</v>
      </c>
      <c r="C77" s="890" t="s">
        <v>94</v>
      </c>
      <c r="D77" s="193">
        <f>SCF!H35</f>
        <v>0</v>
      </c>
      <c r="E77" s="2"/>
      <c r="F77" s="193">
        <f>SCF!J35</f>
        <v>0</v>
      </c>
      <c r="G77" s="2"/>
      <c r="H77" s="2"/>
      <c r="I77" s="11"/>
      <c r="K77" s="1372"/>
    </row>
    <row r="78" spans="1:15" x14ac:dyDescent="0.25">
      <c r="A78" s="3">
        <f>MAX($A$4:A77)+1</f>
        <v>74</v>
      </c>
      <c r="B78" s="3" t="s">
        <v>42</v>
      </c>
      <c r="C78" s="890" t="s">
        <v>95</v>
      </c>
      <c r="D78" s="193">
        <f>SCF!H36</f>
        <v>1310</v>
      </c>
      <c r="E78" s="2"/>
      <c r="F78" s="193">
        <f>SCF!J36</f>
        <v>149453</v>
      </c>
      <c r="G78" s="2"/>
      <c r="H78" s="2"/>
      <c r="I78" s="1797" t="s">
        <v>2821</v>
      </c>
      <c r="J78" s="1796"/>
      <c r="K78" s="1794"/>
      <c r="L78" s="1795"/>
      <c r="M78" s="4"/>
      <c r="N78" s="4"/>
      <c r="O78" s="4"/>
    </row>
    <row r="79" spans="1:15" x14ac:dyDescent="0.25">
      <c r="A79" s="3">
        <f>MAX($A$4:A78)+1</f>
        <v>75</v>
      </c>
      <c r="B79" s="3" t="s">
        <v>42</v>
      </c>
      <c r="C79" s="890" t="s">
        <v>96</v>
      </c>
      <c r="D79" s="193">
        <f>SCF!H37</f>
        <v>0</v>
      </c>
      <c r="E79" s="2"/>
      <c r="F79" s="193" t="str">
        <f>SCF!J37</f>
        <v>PPE / Intang checked in total above</v>
      </c>
      <c r="G79" s="2"/>
      <c r="H79" s="2"/>
      <c r="I79" s="11"/>
      <c r="J79" s="1371"/>
      <c r="K79" s="1372"/>
      <c r="L79" s="1788"/>
    </row>
    <row r="80" spans="1:15" x14ac:dyDescent="0.25">
      <c r="A80" s="3">
        <f>MAX($A$4:A79)+1</f>
        <v>76</v>
      </c>
      <c r="B80" s="3" t="s">
        <v>42</v>
      </c>
      <c r="C80" s="890" t="s">
        <v>97</v>
      </c>
      <c r="D80" s="193">
        <f>SCF!H38</f>
        <v>0</v>
      </c>
      <c r="E80" s="2"/>
      <c r="F80" s="193">
        <f>SCF!J38</f>
        <v>0</v>
      </c>
      <c r="G80" s="2"/>
      <c r="H80" s="2"/>
      <c r="I80" s="11"/>
      <c r="J80" s="1371"/>
      <c r="K80" s="1372"/>
      <c r="L80" s="1788"/>
    </row>
    <row r="81" spans="1:12" x14ac:dyDescent="0.25">
      <c r="A81" s="3">
        <f>MAX($A$4:A80)+1</f>
        <v>77</v>
      </c>
      <c r="B81" s="3" t="s">
        <v>42</v>
      </c>
      <c r="C81" s="890" t="s">
        <v>98</v>
      </c>
      <c r="D81" s="193">
        <f>SCF!H39</f>
        <v>0</v>
      </c>
      <c r="E81" s="2"/>
      <c r="F81" s="193">
        <f>SCF!J39</f>
        <v>0</v>
      </c>
      <c r="G81" s="2"/>
      <c r="H81" s="2"/>
      <c r="I81" s="11"/>
      <c r="J81" s="1371"/>
      <c r="K81" s="1372"/>
      <c r="L81" s="1788"/>
    </row>
    <row r="82" spans="1:12" x14ac:dyDescent="0.25">
      <c r="A82" s="3">
        <f>MAX($A$4:A81)+1</f>
        <v>78</v>
      </c>
      <c r="B82" s="3" t="s">
        <v>42</v>
      </c>
      <c r="C82" s="890" t="s">
        <v>99</v>
      </c>
      <c r="D82" s="193">
        <f>SCF!H40</f>
        <v>0</v>
      </c>
      <c r="E82" s="2"/>
      <c r="F82" s="193">
        <f>SCF!J40</f>
        <v>0</v>
      </c>
      <c r="G82" s="2"/>
      <c r="H82" s="2"/>
      <c r="I82" s="11"/>
      <c r="J82" s="1371"/>
      <c r="K82" s="1372"/>
      <c r="L82" s="1788"/>
    </row>
    <row r="83" spans="1:12" x14ac:dyDescent="0.25">
      <c r="A83" s="3">
        <f>MAX($A$4:A82)+1</f>
        <v>79</v>
      </c>
      <c r="B83" s="3" t="s">
        <v>42</v>
      </c>
      <c r="C83" s="890" t="s">
        <v>758</v>
      </c>
      <c r="D83" s="193">
        <f>SCF!H41</f>
        <v>0</v>
      </c>
      <c r="E83" s="2"/>
      <c r="F83" s="193">
        <f>SCF!J41</f>
        <v>0</v>
      </c>
      <c r="G83" s="2"/>
      <c r="H83" s="2"/>
      <c r="I83" s="11"/>
      <c r="J83" s="1371"/>
      <c r="K83" s="1372"/>
      <c r="L83" s="1788"/>
    </row>
    <row r="84" spans="1:12" x14ac:dyDescent="0.25">
      <c r="A84" s="3">
        <f>MAX($A$4:A83)+1</f>
        <v>80</v>
      </c>
      <c r="B84" s="3" t="s">
        <v>42</v>
      </c>
      <c r="C84" s="890" t="s">
        <v>100</v>
      </c>
      <c r="D84" s="193">
        <f>SCF!H42</f>
        <v>0</v>
      </c>
      <c r="E84" s="2"/>
      <c r="F84" s="193">
        <f>SCF!J42</f>
        <v>0</v>
      </c>
      <c r="G84" s="2"/>
      <c r="H84" s="2"/>
      <c r="I84" s="11"/>
      <c r="J84" s="1371"/>
      <c r="K84" s="1372"/>
      <c r="L84" s="1788"/>
    </row>
    <row r="85" spans="1:12" x14ac:dyDescent="0.25">
      <c r="A85" s="3">
        <f>MAX($A$4:A84)+1</f>
        <v>81</v>
      </c>
      <c r="B85" s="3" t="s">
        <v>42</v>
      </c>
      <c r="C85" s="890" t="s">
        <v>360</v>
      </c>
      <c r="D85" s="193">
        <f>SCF!H43</f>
        <v>0</v>
      </c>
      <c r="E85" s="2"/>
      <c r="F85" s="193">
        <f>SCF!J43</f>
        <v>0</v>
      </c>
      <c r="G85" s="2"/>
      <c r="H85" s="2"/>
      <c r="I85" s="11"/>
      <c r="J85" s="1371"/>
      <c r="K85" s="1372"/>
      <c r="L85" s="1788"/>
    </row>
    <row r="86" spans="1:12" x14ac:dyDescent="0.25">
      <c r="A86" s="3">
        <f>MAX($A$4:A85)+1</f>
        <v>82</v>
      </c>
      <c r="B86" s="3" t="s">
        <v>42</v>
      </c>
      <c r="C86" s="890" t="s">
        <v>361</v>
      </c>
      <c r="D86" s="193">
        <f>SCF!H44</f>
        <v>0</v>
      </c>
      <c r="E86" s="2"/>
      <c r="F86" s="193">
        <f>SCF!J44</f>
        <v>0</v>
      </c>
      <c r="G86" s="2"/>
      <c r="H86" s="2"/>
      <c r="I86" s="11"/>
      <c r="J86" s="199"/>
      <c r="K86" s="1372"/>
      <c r="L86" s="1788"/>
    </row>
    <row r="87" spans="1:12" x14ac:dyDescent="0.25">
      <c r="A87" s="3">
        <f>MAX($A$4:A86)+1</f>
        <v>83</v>
      </c>
      <c r="B87" s="3" t="s">
        <v>42</v>
      </c>
      <c r="C87" s="890" t="s">
        <v>101</v>
      </c>
      <c r="D87" s="193">
        <f>SCF!H45</f>
        <v>0</v>
      </c>
      <c r="E87" s="2"/>
      <c r="F87" s="193">
        <f>SCF!J45</f>
        <v>0</v>
      </c>
      <c r="G87" s="2"/>
      <c r="H87" s="2"/>
      <c r="I87" s="11"/>
      <c r="J87" s="1371"/>
      <c r="K87" s="1372"/>
      <c r="L87" s="1788"/>
    </row>
    <row r="88" spans="1:12" x14ac:dyDescent="0.25">
      <c r="A88" s="3">
        <f>MAX($A$4:A87)+1</f>
        <v>84</v>
      </c>
      <c r="B88" s="3" t="s">
        <v>42</v>
      </c>
      <c r="C88" s="890" t="s">
        <v>1070</v>
      </c>
      <c r="D88" s="193">
        <f>SCF!H46</f>
        <v>0</v>
      </c>
      <c r="E88" s="2"/>
      <c r="F88" s="193">
        <f>SCF!J46</f>
        <v>0</v>
      </c>
      <c r="G88" s="2"/>
      <c r="H88" s="2"/>
      <c r="I88" s="11"/>
      <c r="J88" s="1371"/>
      <c r="K88" s="1208"/>
      <c r="L88" s="1788"/>
    </row>
    <row r="89" spans="1:12" x14ac:dyDescent="0.25">
      <c r="A89" s="3">
        <f>MAX($A$4:A88)+1</f>
        <v>85</v>
      </c>
      <c r="B89" s="3" t="s">
        <v>42</v>
      </c>
      <c r="C89" s="890" t="s">
        <v>326</v>
      </c>
      <c r="D89" s="193">
        <f>SCF!H47</f>
        <v>0</v>
      </c>
      <c r="E89" s="2"/>
      <c r="F89" s="193">
        <f>SCF!J47</f>
        <v>0</v>
      </c>
      <c r="G89" s="2"/>
      <c r="H89" s="2"/>
      <c r="I89" s="11"/>
      <c r="J89" s="1371"/>
      <c r="K89" s="1208"/>
      <c r="L89" s="1788"/>
    </row>
    <row r="90" spans="1:12" x14ac:dyDescent="0.25">
      <c r="A90" s="3">
        <f>MAX($A$4:A89)+1</f>
        <v>86</v>
      </c>
      <c r="B90" s="3" t="s">
        <v>42</v>
      </c>
      <c r="C90" s="890" t="s">
        <v>102</v>
      </c>
      <c r="D90" s="193">
        <f>SCF!H48</f>
        <v>0</v>
      </c>
      <c r="E90" s="2"/>
      <c r="F90" s="193">
        <f>SCF!J48</f>
        <v>0</v>
      </c>
      <c r="G90" s="2"/>
      <c r="H90" s="2"/>
      <c r="I90" s="11"/>
      <c r="J90" s="1371"/>
      <c r="K90" s="1208"/>
      <c r="L90" s="1787"/>
    </row>
    <row r="91" spans="1:12" x14ac:dyDescent="0.25">
      <c r="A91" s="3">
        <f>MAX($A$4:A90)+1</f>
        <v>87</v>
      </c>
      <c r="B91" s="3" t="s">
        <v>42</v>
      </c>
      <c r="C91" s="890"/>
      <c r="D91" s="193">
        <f>SCF!H49</f>
        <v>0</v>
      </c>
      <c r="E91" s="2"/>
      <c r="F91" s="193">
        <f>SCF!J49</f>
        <v>0</v>
      </c>
      <c r="G91" s="2"/>
      <c r="H91" s="2"/>
      <c r="I91" s="11"/>
      <c r="J91" s="1371"/>
      <c r="L91" s="1787"/>
    </row>
    <row r="92" spans="1:12" ht="15.75" thickBot="1" x14ac:dyDescent="0.3">
      <c r="A92" s="3">
        <f>MAX($A$4:A91)+1</f>
        <v>88</v>
      </c>
      <c r="B92" s="3" t="s">
        <v>42</v>
      </c>
      <c r="C92" s="890"/>
      <c r="D92" s="193">
        <f>SCF!H50</f>
        <v>0</v>
      </c>
      <c r="E92" s="2"/>
      <c r="F92" s="193">
        <f>SCF!J50</f>
        <v>0</v>
      </c>
      <c r="G92" s="2"/>
      <c r="H92" s="2"/>
      <c r="I92" s="11"/>
      <c r="J92" s="1371"/>
      <c r="K92" s="1790">
        <f>SUM(K78:K90)</f>
        <v>0</v>
      </c>
      <c r="L92" s="1787"/>
    </row>
    <row r="93" spans="1:12" ht="15.75" thickTop="1" x14ac:dyDescent="0.25">
      <c r="A93" s="3">
        <f>MAX($A$4:A92)+1</f>
        <v>89</v>
      </c>
      <c r="B93" s="3" t="s">
        <v>42</v>
      </c>
      <c r="C93" s="890" t="s">
        <v>103</v>
      </c>
      <c r="D93" s="193">
        <f>SCF!H51</f>
        <v>0</v>
      </c>
      <c r="E93" s="2"/>
      <c r="F93" s="193">
        <f>SCF!J51</f>
        <v>0</v>
      </c>
      <c r="G93" s="2"/>
      <c r="H93" s="2"/>
      <c r="I93" s="11"/>
      <c r="J93" s="1210"/>
      <c r="K93" s="1680"/>
      <c r="L93" s="1791"/>
    </row>
    <row r="94" spans="1:12" x14ac:dyDescent="0.25">
      <c r="A94" s="3">
        <f>MAX($A$4:A93)+1</f>
        <v>90</v>
      </c>
      <c r="B94" s="3" t="s">
        <v>42</v>
      </c>
      <c r="C94" s="890" t="s">
        <v>104</v>
      </c>
      <c r="D94" s="193">
        <f>SCF!H52</f>
        <v>0</v>
      </c>
      <c r="E94" s="2"/>
      <c r="F94" s="193">
        <f>SCF!J52</f>
        <v>0</v>
      </c>
      <c r="G94" s="2"/>
      <c r="H94" s="2"/>
      <c r="I94" s="11"/>
      <c r="J94" s="2"/>
      <c r="K94" s="2"/>
      <c r="L94" s="2"/>
    </row>
    <row r="95" spans="1:12" x14ac:dyDescent="0.25">
      <c r="A95" s="3">
        <f>MAX($A$4:A94)+1</f>
        <v>91</v>
      </c>
      <c r="B95" s="3" t="s">
        <v>42</v>
      </c>
      <c r="C95" s="890" t="s">
        <v>106</v>
      </c>
      <c r="D95" s="193">
        <f>SCF!H53</f>
        <v>27203</v>
      </c>
      <c r="E95" s="2"/>
      <c r="F95" s="193">
        <f>SCF!J53</f>
        <v>27203</v>
      </c>
      <c r="G95" s="2"/>
      <c r="H95" s="2"/>
      <c r="I95" s="1208"/>
      <c r="J95" s="2"/>
      <c r="K95" s="2"/>
      <c r="L95" s="2"/>
    </row>
    <row r="96" spans="1:12" x14ac:dyDescent="0.25">
      <c r="A96" s="3">
        <f>MAX($A$4:A95)+1</f>
        <v>92</v>
      </c>
      <c r="B96" s="3" t="s">
        <v>42</v>
      </c>
      <c r="C96" s="890" t="s">
        <v>759</v>
      </c>
      <c r="D96" s="193">
        <f>SCF!H55</f>
        <v>0</v>
      </c>
      <c r="E96" s="2"/>
      <c r="F96" s="193">
        <f>SCF!J55</f>
        <v>0</v>
      </c>
      <c r="G96" s="2"/>
      <c r="H96" s="2"/>
      <c r="I96" s="11"/>
      <c r="J96" s="2"/>
      <c r="K96" s="2"/>
      <c r="L96" s="2"/>
    </row>
    <row r="97" spans="1:15" x14ac:dyDescent="0.25">
      <c r="A97" s="3">
        <f>MAX($A$4:A96)+1</f>
        <v>93</v>
      </c>
      <c r="B97" s="3" t="s">
        <v>42</v>
      </c>
      <c r="C97" s="890" t="s">
        <v>327</v>
      </c>
      <c r="D97" s="193">
        <f>SCF!H56</f>
        <v>0</v>
      </c>
      <c r="E97" s="2"/>
      <c r="F97" s="193">
        <f>SCF!J56</f>
        <v>0</v>
      </c>
      <c r="G97" s="2"/>
      <c r="H97" s="2"/>
      <c r="I97" s="11"/>
      <c r="J97" s="2"/>
      <c r="K97" s="2"/>
      <c r="L97" s="2"/>
    </row>
    <row r="98" spans="1:15" x14ac:dyDescent="0.25">
      <c r="A98" s="3">
        <f>MAX($A$4:A97)+1</f>
        <v>94</v>
      </c>
      <c r="B98" s="3" t="s">
        <v>42</v>
      </c>
      <c r="C98" s="890" t="s">
        <v>107</v>
      </c>
      <c r="D98" s="193">
        <f>SCF!H57</f>
        <v>0</v>
      </c>
      <c r="E98" s="2"/>
      <c r="F98" s="193">
        <f>SCF!J57</f>
        <v>0</v>
      </c>
      <c r="G98" s="2"/>
      <c r="H98" s="2"/>
      <c r="I98" s="11"/>
      <c r="J98" s="2"/>
      <c r="K98" s="2"/>
      <c r="L98" s="2"/>
    </row>
    <row r="99" spans="1:15" x14ac:dyDescent="0.25">
      <c r="A99" s="3">
        <f>MAX($A$4:A98)+1</f>
        <v>95</v>
      </c>
      <c r="B99" s="3" t="s">
        <v>42</v>
      </c>
      <c r="C99" s="890"/>
      <c r="D99" s="193">
        <f>SCF!H58</f>
        <v>0</v>
      </c>
      <c r="E99" s="2"/>
      <c r="F99" s="193">
        <f>SCF!J58</f>
        <v>0</v>
      </c>
      <c r="G99" s="2"/>
      <c r="H99" s="2"/>
      <c r="I99" s="11"/>
      <c r="J99" s="2"/>
      <c r="K99" s="2"/>
      <c r="L99" s="2"/>
    </row>
    <row r="100" spans="1:15" x14ac:dyDescent="0.25">
      <c r="A100" s="3">
        <f>MAX($A$4:A99)+1</f>
        <v>96</v>
      </c>
      <c r="B100" s="3" t="s">
        <v>42</v>
      </c>
      <c r="C100" s="890"/>
      <c r="D100" s="193">
        <f>SCF!H59</f>
        <v>0</v>
      </c>
      <c r="E100" s="2"/>
      <c r="F100" s="193">
        <f>SCF!J59</f>
        <v>0</v>
      </c>
      <c r="G100" s="2"/>
      <c r="H100" s="2"/>
      <c r="I100" s="11"/>
      <c r="J100" s="2"/>
      <c r="K100" s="2"/>
      <c r="L100" s="2"/>
    </row>
    <row r="101" spans="1:15" x14ac:dyDescent="0.25">
      <c r="A101" s="3">
        <f>MAX($A$4:A100)+1</f>
        <v>97</v>
      </c>
      <c r="B101" s="3" t="s">
        <v>42</v>
      </c>
      <c r="C101" s="890" t="s">
        <v>551</v>
      </c>
      <c r="D101" s="193">
        <f>SCF!H60</f>
        <v>0</v>
      </c>
      <c r="E101" s="2"/>
      <c r="F101" s="193">
        <f>SCF!J60</f>
        <v>0</v>
      </c>
      <c r="G101" s="2"/>
      <c r="H101" s="2"/>
      <c r="I101" s="11"/>
      <c r="J101" s="2"/>
      <c r="K101" s="2"/>
      <c r="L101" s="2"/>
    </row>
    <row r="102" spans="1:15" x14ac:dyDescent="0.25">
      <c r="A102" s="3">
        <f>MAX($A$4:A101)+1</f>
        <v>98</v>
      </c>
      <c r="B102" s="3" t="s">
        <v>42</v>
      </c>
      <c r="C102" s="890"/>
      <c r="D102" s="193">
        <f>SCF!H61</f>
        <v>0</v>
      </c>
      <c r="E102" s="2"/>
      <c r="F102" s="193">
        <f>SCF!J61</f>
        <v>0</v>
      </c>
      <c r="G102" s="2"/>
      <c r="H102" s="2"/>
      <c r="I102" s="11"/>
      <c r="J102" s="2"/>
      <c r="K102" s="2"/>
      <c r="L102" s="2"/>
    </row>
    <row r="103" spans="1:15" x14ac:dyDescent="0.25">
      <c r="A103" s="3">
        <f>MAX($A$4:A102)+1</f>
        <v>99</v>
      </c>
      <c r="B103" s="3" t="s">
        <v>42</v>
      </c>
      <c r="C103" s="890" t="s">
        <v>276</v>
      </c>
      <c r="D103" s="193">
        <f>SCF!H62</f>
        <v>0</v>
      </c>
      <c r="E103" s="2"/>
      <c r="F103" s="193">
        <f>SCF!J62</f>
        <v>0</v>
      </c>
      <c r="G103" s="2"/>
      <c r="H103" s="2"/>
      <c r="I103" s="11"/>
      <c r="J103" s="2"/>
      <c r="K103" s="2"/>
      <c r="L103" s="2"/>
    </row>
    <row r="104" spans="1:15" x14ac:dyDescent="0.25">
      <c r="A104" s="3">
        <f>MAX($A$4:A103)+1</f>
        <v>100</v>
      </c>
      <c r="B104" s="3" t="s">
        <v>42</v>
      </c>
      <c r="C104" s="890" t="s">
        <v>108</v>
      </c>
      <c r="D104" s="193">
        <f>SCF!H63</f>
        <v>0</v>
      </c>
      <c r="E104" s="2"/>
      <c r="F104" s="193">
        <f>SCF!J63</f>
        <v>0</v>
      </c>
      <c r="G104" s="2"/>
      <c r="H104" s="2"/>
      <c r="I104" s="11"/>
      <c r="J104" s="2"/>
      <c r="K104" s="2"/>
      <c r="L104" s="2"/>
    </row>
    <row r="105" spans="1:15" x14ac:dyDescent="0.25">
      <c r="A105" s="3">
        <f>MAX($A$4:A104)+1</f>
        <v>101</v>
      </c>
      <c r="B105" s="3" t="s">
        <v>42</v>
      </c>
      <c r="C105" s="890" t="s">
        <v>552</v>
      </c>
      <c r="D105" s="193">
        <f>SCF!H64</f>
        <v>-29841</v>
      </c>
      <c r="E105" s="2"/>
      <c r="F105" s="193">
        <f>SCF!J64</f>
        <v>-29841</v>
      </c>
      <c r="G105" s="2"/>
      <c r="H105" s="2"/>
      <c r="I105" s="11"/>
      <c r="J105" s="2"/>
      <c r="K105" s="2"/>
      <c r="L105" s="2"/>
    </row>
    <row r="106" spans="1:15" x14ac:dyDescent="0.25">
      <c r="A106" s="3">
        <f>MAX($A$4:A105)+1</f>
        <v>102</v>
      </c>
      <c r="B106" s="3" t="s">
        <v>42</v>
      </c>
      <c r="C106" s="890"/>
      <c r="D106" s="193">
        <f>SCF!H65</f>
        <v>0</v>
      </c>
      <c r="E106" s="2"/>
      <c r="F106" s="193">
        <f>SCF!J65</f>
        <v>0</v>
      </c>
      <c r="G106" s="2"/>
      <c r="H106" s="2"/>
      <c r="I106" s="11"/>
      <c r="J106" s="2"/>
      <c r="K106" s="2"/>
      <c r="L106" s="2"/>
    </row>
    <row r="107" spans="1:15" x14ac:dyDescent="0.25">
      <c r="A107" s="3">
        <f>MAX($A$4:A106)+1</f>
        <v>103</v>
      </c>
      <c r="B107" s="3" t="s">
        <v>42</v>
      </c>
      <c r="C107" s="890" t="s">
        <v>109</v>
      </c>
      <c r="D107" s="193">
        <f>SCF!H66</f>
        <v>0</v>
      </c>
      <c r="E107" s="2"/>
      <c r="F107" s="193">
        <f>SCF!J66</f>
        <v>0</v>
      </c>
      <c r="G107" s="2"/>
      <c r="H107" s="2"/>
      <c r="I107" s="11"/>
      <c r="J107" s="2"/>
      <c r="K107" s="2"/>
      <c r="L107" s="2"/>
    </row>
    <row r="108" spans="1:15" x14ac:dyDescent="0.25">
      <c r="A108" s="3">
        <f>MAX($A$4:A107)+1</f>
        <v>104</v>
      </c>
      <c r="B108" s="3" t="s">
        <v>42</v>
      </c>
      <c r="C108" s="890" t="s">
        <v>110</v>
      </c>
      <c r="D108" s="193">
        <f>SCF!H67</f>
        <v>0</v>
      </c>
      <c r="E108" s="2"/>
      <c r="F108" s="193">
        <f>SCF!J67</f>
        <v>0</v>
      </c>
      <c r="G108" s="2"/>
      <c r="H108" s="2"/>
      <c r="I108" s="11"/>
      <c r="J108" s="2"/>
      <c r="K108" s="2"/>
      <c r="L108" s="2"/>
    </row>
    <row r="109" spans="1:15" x14ac:dyDescent="0.25">
      <c r="A109" s="3">
        <f>MAX($A$4:A108)+1</f>
        <v>105</v>
      </c>
      <c r="B109" s="2"/>
      <c r="C109" s="890"/>
      <c r="D109" s="2"/>
      <c r="E109" s="2"/>
      <c r="F109" s="2"/>
      <c r="G109" s="2"/>
      <c r="H109" s="2"/>
      <c r="I109" s="11"/>
      <c r="J109" s="2"/>
      <c r="K109" s="2"/>
      <c r="L109" s="2"/>
    </row>
    <row r="110" spans="1:15" x14ac:dyDescent="0.25">
      <c r="A110" s="3">
        <f>MAX($A$4:A109)+1</f>
        <v>106</v>
      </c>
      <c r="B110" s="3" t="s">
        <v>42</v>
      </c>
      <c r="C110" s="890" t="s">
        <v>1587</v>
      </c>
      <c r="D110" s="193">
        <f>SCF!D69</f>
        <v>-29841</v>
      </c>
      <c r="E110" s="2"/>
      <c r="F110" s="193">
        <f>SCF!F69</f>
        <v>-29841</v>
      </c>
      <c r="G110" s="2"/>
      <c r="H110" s="2"/>
      <c r="I110" s="11"/>
      <c r="J110" s="2"/>
      <c r="K110" s="2"/>
      <c r="L110" s="2"/>
    </row>
    <row r="111" spans="1:15" ht="46.5" customHeight="1" x14ac:dyDescent="0.25">
      <c r="A111" s="3">
        <f>MAX($A$4:A110)+1</f>
        <v>107</v>
      </c>
      <c r="B111" s="3" t="s">
        <v>42</v>
      </c>
      <c r="C111" s="890" t="s">
        <v>1588</v>
      </c>
      <c r="D111" s="193">
        <f>SCF!D70</f>
        <v>0</v>
      </c>
      <c r="E111" s="2"/>
      <c r="F111" s="193">
        <f>SCF!F70</f>
        <v>0</v>
      </c>
      <c r="G111" s="2"/>
      <c r="H111" s="2"/>
      <c r="I111" s="4"/>
      <c r="J111" s="2"/>
      <c r="K111" s="2"/>
      <c r="L111" s="2"/>
      <c r="M111" s="4"/>
      <c r="N111" s="4"/>
      <c r="O111" s="4"/>
    </row>
    <row r="112" spans="1:15" x14ac:dyDescent="0.25">
      <c r="A112" s="3">
        <f>MAX($A$4:A111)+1</f>
        <v>108</v>
      </c>
      <c r="B112" s="3"/>
      <c r="C112" s="890"/>
      <c r="D112" s="2"/>
      <c r="E112" s="2"/>
      <c r="F112" s="2"/>
      <c r="G112" s="2"/>
      <c r="H112" s="2"/>
      <c r="I112" s="11"/>
      <c r="J112" s="2"/>
      <c r="K112" s="2"/>
      <c r="L112" s="2"/>
    </row>
    <row r="113" spans="1:12" x14ac:dyDescent="0.25">
      <c r="A113" s="3">
        <f>MAX($A$4:A112)+1</f>
        <v>109</v>
      </c>
      <c r="B113" s="2"/>
      <c r="C113" s="890" t="s">
        <v>1589</v>
      </c>
      <c r="D113" s="2"/>
      <c r="E113" s="2"/>
      <c r="F113" s="2"/>
      <c r="G113" s="2"/>
      <c r="H113" s="2"/>
      <c r="I113" s="11"/>
      <c r="J113" s="2"/>
      <c r="K113" s="2"/>
      <c r="L113" s="2"/>
    </row>
    <row r="114" spans="1:12" ht="36" x14ac:dyDescent="0.25">
      <c r="A114" s="3">
        <f>MAX($A$4:A113)+1</f>
        <v>110</v>
      </c>
      <c r="B114" s="2"/>
      <c r="C114" s="890"/>
      <c r="D114" s="898" t="str">
        <f>Update!$B$7</f>
        <v>Core Department &amp; Agencies</v>
      </c>
      <c r="E114" s="16"/>
      <c r="F114" s="898" t="str">
        <f>Update!$B$8</f>
        <v>Departmental Group</v>
      </c>
      <c r="G114" s="16"/>
      <c r="H114" s="30"/>
      <c r="I114" s="11"/>
      <c r="J114" s="2"/>
      <c r="K114" s="2"/>
      <c r="L114" s="2"/>
    </row>
    <row r="115" spans="1:12" x14ac:dyDescent="0.25">
      <c r="A115" s="3">
        <f>MAX($A$4:A114)+1</f>
        <v>111</v>
      </c>
      <c r="B115" s="2" t="s">
        <v>43</v>
      </c>
      <c r="C115" s="890" t="s">
        <v>1026</v>
      </c>
      <c r="D115" s="193">
        <f>TE!M48</f>
        <v>0</v>
      </c>
      <c r="E115" s="2"/>
      <c r="F115" s="193">
        <f>TE!N48</f>
        <v>0</v>
      </c>
      <c r="G115" s="2"/>
      <c r="H115" s="2"/>
      <c r="I115" s="11"/>
      <c r="J115" s="2"/>
      <c r="K115" s="2"/>
      <c r="L115" s="2"/>
    </row>
    <row r="116" spans="1:12" x14ac:dyDescent="0.25">
      <c r="A116" s="3">
        <f>MAX($A$4:A115)+1</f>
        <v>112</v>
      </c>
      <c r="B116" s="2" t="s">
        <v>43</v>
      </c>
      <c r="C116" s="890" t="s">
        <v>1027</v>
      </c>
      <c r="D116" s="193">
        <f>TE!M49</f>
        <v>0</v>
      </c>
      <c r="E116" s="2"/>
      <c r="F116" s="193">
        <f>TE!N49</f>
        <v>0</v>
      </c>
      <c r="G116" s="2"/>
      <c r="H116" s="2"/>
      <c r="I116" s="11"/>
      <c r="J116" s="2"/>
      <c r="K116" s="2"/>
      <c r="L116" s="2"/>
    </row>
    <row r="117" spans="1:12" x14ac:dyDescent="0.25">
      <c r="A117" s="3">
        <f>MAX($A$4:A116)+1</f>
        <v>113</v>
      </c>
      <c r="B117" s="2" t="s">
        <v>43</v>
      </c>
      <c r="C117" s="890" t="s">
        <v>1013</v>
      </c>
      <c r="D117" s="193">
        <f>TE!M50</f>
        <v>0</v>
      </c>
      <c r="E117" s="2"/>
      <c r="F117" s="193">
        <f>TE!N50</f>
        <v>0</v>
      </c>
      <c r="G117" s="2"/>
      <c r="H117" s="2"/>
      <c r="I117" s="11"/>
      <c r="J117" s="2"/>
      <c r="K117" s="2"/>
      <c r="L117" s="2"/>
    </row>
    <row r="118" spans="1:12" x14ac:dyDescent="0.25">
      <c r="A118" s="3">
        <f>MAX($A$4:A117)+1</f>
        <v>114</v>
      </c>
      <c r="B118" s="2" t="s">
        <v>43</v>
      </c>
      <c r="C118" s="890" t="s">
        <v>1014</v>
      </c>
      <c r="D118" s="193">
        <f>TE!M51</f>
        <v>0</v>
      </c>
      <c r="E118" s="2"/>
      <c r="F118" s="193">
        <f>TE!N51</f>
        <v>0</v>
      </c>
      <c r="G118" s="2"/>
      <c r="H118" s="2"/>
      <c r="I118" s="11"/>
      <c r="J118" s="2"/>
      <c r="K118" s="2"/>
      <c r="L118" s="2"/>
    </row>
    <row r="119" spans="1:12" x14ac:dyDescent="0.25">
      <c r="A119" s="3">
        <f>MAX($A$4:A118)+1</f>
        <v>115</v>
      </c>
      <c r="B119" s="2" t="s">
        <v>43</v>
      </c>
      <c r="C119" s="890" t="s">
        <v>1015</v>
      </c>
      <c r="D119" s="193">
        <f>TE!M52</f>
        <v>0</v>
      </c>
      <c r="E119" s="2"/>
      <c r="F119" s="193">
        <f>TE!N52</f>
        <v>0</v>
      </c>
      <c r="G119" s="2"/>
      <c r="H119" s="2"/>
      <c r="I119" s="11"/>
      <c r="J119" s="2"/>
      <c r="K119" s="2"/>
      <c r="L119" s="2"/>
    </row>
    <row r="120" spans="1:12" x14ac:dyDescent="0.25">
      <c r="A120" s="3">
        <f>MAX($A$4:A119)+1</f>
        <v>116</v>
      </c>
      <c r="B120" s="2" t="s">
        <v>43</v>
      </c>
      <c r="C120" s="890" t="s">
        <v>1016</v>
      </c>
      <c r="D120" s="193">
        <f>TE!M53</f>
        <v>0</v>
      </c>
      <c r="E120" s="2"/>
      <c r="F120" s="193">
        <f>TE!N53</f>
        <v>0</v>
      </c>
      <c r="G120" s="2"/>
      <c r="H120" s="2"/>
      <c r="I120" s="11"/>
      <c r="J120" s="2"/>
      <c r="K120" s="2"/>
      <c r="L120" s="2"/>
    </row>
    <row r="121" spans="1:12" x14ac:dyDescent="0.25">
      <c r="A121" s="3">
        <f>MAX($A$4:A120)+1</f>
        <v>117</v>
      </c>
      <c r="B121" s="2" t="s">
        <v>43</v>
      </c>
      <c r="C121" s="890" t="s">
        <v>1017</v>
      </c>
      <c r="D121" s="193">
        <f>TE!M54</f>
        <v>0</v>
      </c>
      <c r="E121" s="2"/>
      <c r="F121" s="193">
        <f>TE!N54</f>
        <v>0</v>
      </c>
      <c r="G121" s="2"/>
      <c r="H121" s="2"/>
      <c r="I121" s="1208"/>
      <c r="J121" s="4"/>
      <c r="K121" s="4"/>
      <c r="L121" s="4"/>
    </row>
    <row r="122" spans="1:12" x14ac:dyDescent="0.25">
      <c r="A122" s="3">
        <f>MAX($A$4:A121)+1</f>
        <v>118</v>
      </c>
      <c r="B122" s="2" t="s">
        <v>43</v>
      </c>
      <c r="C122" s="890" t="s">
        <v>854</v>
      </c>
      <c r="D122" s="193">
        <f>TE!M56</f>
        <v>0</v>
      </c>
      <c r="E122" s="2"/>
      <c r="F122" s="193">
        <f>TE!N56</f>
        <v>0</v>
      </c>
      <c r="G122" s="2"/>
      <c r="H122" s="2"/>
      <c r="I122" s="11"/>
      <c r="J122" s="2"/>
      <c r="K122" s="2"/>
      <c r="L122" s="2"/>
    </row>
    <row r="123" spans="1:12" x14ac:dyDescent="0.25">
      <c r="A123" s="3">
        <f>MAX($A$4:A122)+1</f>
        <v>119</v>
      </c>
      <c r="B123" s="2"/>
      <c r="C123" s="890"/>
      <c r="D123" s="2"/>
      <c r="E123" s="2"/>
      <c r="F123" s="2"/>
      <c r="G123" s="2"/>
      <c r="H123" s="2"/>
      <c r="I123" s="11"/>
      <c r="J123" s="2"/>
      <c r="K123" s="2"/>
      <c r="L123" s="2"/>
    </row>
    <row r="124" spans="1:12" x14ac:dyDescent="0.25">
      <c r="A124" s="3">
        <f>MAX($A$4:A123)+1</f>
        <v>120</v>
      </c>
      <c r="B124" s="2" t="s">
        <v>43</v>
      </c>
      <c r="C124" s="890" t="s">
        <v>904</v>
      </c>
      <c r="D124" s="193" t="e">
        <f>TE!M59</f>
        <v>#VALUE!</v>
      </c>
      <c r="E124" s="2"/>
      <c r="F124" s="193" t="e">
        <f>TE!N59</f>
        <v>#VALUE!</v>
      </c>
      <c r="G124" s="2"/>
      <c r="H124" s="2"/>
      <c r="I124" s="1250"/>
      <c r="J124" s="2"/>
      <c r="K124" s="2"/>
      <c r="L124" s="2"/>
    </row>
    <row r="125" spans="1:12" x14ac:dyDescent="0.25">
      <c r="A125" s="3">
        <f>MAX($A$4:A124)+1</f>
        <v>121</v>
      </c>
      <c r="B125" s="2" t="s">
        <v>43</v>
      </c>
      <c r="C125" s="890"/>
      <c r="D125" s="193">
        <f>TE!M60</f>
        <v>0</v>
      </c>
      <c r="E125" s="2"/>
      <c r="F125" s="193">
        <f>TE!N60</f>
        <v>0</v>
      </c>
      <c r="G125" s="2"/>
      <c r="H125" s="2"/>
      <c r="I125" s="11"/>
      <c r="J125" s="2"/>
      <c r="K125" s="2"/>
      <c r="L125" s="2"/>
    </row>
    <row r="126" spans="1:12" x14ac:dyDescent="0.25">
      <c r="A126" s="3">
        <f>MAX($A$4:A125)+1</f>
        <v>122</v>
      </c>
      <c r="B126" s="2" t="s">
        <v>43</v>
      </c>
      <c r="C126" s="890" t="s">
        <v>555</v>
      </c>
      <c r="D126" s="193">
        <f>TE!M61</f>
        <v>0</v>
      </c>
      <c r="E126" s="2"/>
      <c r="F126" s="193">
        <f>TE!N61</f>
        <v>0</v>
      </c>
      <c r="G126" s="2"/>
      <c r="H126" s="2"/>
      <c r="I126" s="11"/>
      <c r="J126" s="2"/>
      <c r="K126" s="2"/>
      <c r="L126" s="2"/>
    </row>
    <row r="127" spans="1:12" x14ac:dyDescent="0.25">
      <c r="A127" s="3">
        <f>MAX($A$4:A126)+1</f>
        <v>123</v>
      </c>
      <c r="B127" s="2" t="s">
        <v>43</v>
      </c>
      <c r="C127" s="890" t="s">
        <v>1018</v>
      </c>
      <c r="D127" s="193">
        <f>TE!M62</f>
        <v>0</v>
      </c>
      <c r="E127" s="2"/>
      <c r="F127" s="193">
        <f>TE!N62</f>
        <v>0</v>
      </c>
      <c r="G127" s="2"/>
      <c r="H127" s="2"/>
      <c r="I127" s="11"/>
      <c r="J127" s="2"/>
      <c r="K127" s="2"/>
      <c r="L127" s="2"/>
    </row>
    <row r="128" spans="1:12" x14ac:dyDescent="0.25">
      <c r="A128" s="3">
        <f>MAX($A$4:A127)+1</f>
        <v>124</v>
      </c>
      <c r="B128" s="2" t="s">
        <v>43</v>
      </c>
      <c r="C128" s="890" t="s">
        <v>1019</v>
      </c>
      <c r="D128" s="193">
        <f>TE!M63</f>
        <v>0</v>
      </c>
      <c r="E128" s="2"/>
      <c r="F128" s="193">
        <f>TE!N63</f>
        <v>0</v>
      </c>
      <c r="G128" s="2"/>
      <c r="H128" s="2"/>
      <c r="I128" s="1208"/>
      <c r="J128" s="2"/>
      <c r="K128" s="2"/>
      <c r="L128" s="2"/>
    </row>
    <row r="129" spans="1:14" x14ac:dyDescent="0.25">
      <c r="A129" s="3">
        <f>MAX($A$4:A128)+1</f>
        <v>125</v>
      </c>
      <c r="B129" s="2" t="s">
        <v>43</v>
      </c>
      <c r="C129" s="890"/>
      <c r="D129" s="193">
        <f>TE!M64</f>
        <v>0</v>
      </c>
      <c r="E129" s="2"/>
      <c r="F129" s="193">
        <f>TE!N64</f>
        <v>0</v>
      </c>
      <c r="G129" s="2"/>
      <c r="H129" s="2"/>
      <c r="I129" s="11"/>
      <c r="J129" s="2"/>
      <c r="K129" s="2"/>
      <c r="L129" s="2"/>
    </row>
    <row r="130" spans="1:14" x14ac:dyDescent="0.25">
      <c r="A130" s="3">
        <f>MAX($A$4:A129)+1</f>
        <v>126</v>
      </c>
      <c r="B130" s="2" t="s">
        <v>43</v>
      </c>
      <c r="C130" s="890" t="s">
        <v>123</v>
      </c>
      <c r="D130" s="193">
        <f>TE!M65</f>
        <v>0</v>
      </c>
      <c r="E130" s="2"/>
      <c r="F130" s="193">
        <f>TE!N65</f>
        <v>0</v>
      </c>
      <c r="G130" s="2"/>
      <c r="H130" s="2"/>
      <c r="I130" s="11"/>
      <c r="J130" s="2"/>
      <c r="K130" s="2"/>
      <c r="L130" s="2"/>
    </row>
    <row r="131" spans="1:14" x14ac:dyDescent="0.25">
      <c r="A131" s="3">
        <f>MAX($A$4:A130)+1</f>
        <v>127</v>
      </c>
      <c r="B131" s="2" t="s">
        <v>43</v>
      </c>
      <c r="C131" s="890" t="s">
        <v>1020</v>
      </c>
      <c r="D131" s="193">
        <f>TE!M66</f>
        <v>0</v>
      </c>
      <c r="E131" s="2"/>
      <c r="F131" s="193">
        <f>TE!N66</f>
        <v>0</v>
      </c>
      <c r="G131" s="2"/>
      <c r="H131" s="2"/>
      <c r="I131" s="11"/>
      <c r="J131" s="2"/>
      <c r="K131" s="2"/>
      <c r="L131" s="2"/>
    </row>
    <row r="132" spans="1:14" x14ac:dyDescent="0.25">
      <c r="A132" s="3">
        <f>MAX($A$4:A131)+1</f>
        <v>128</v>
      </c>
      <c r="B132" s="2" t="s">
        <v>43</v>
      </c>
      <c r="C132" s="890" t="s">
        <v>1021</v>
      </c>
      <c r="D132" s="193">
        <f>TE!M67</f>
        <v>0</v>
      </c>
      <c r="E132" s="2"/>
      <c r="F132" s="193">
        <f>TE!N67</f>
        <v>0</v>
      </c>
      <c r="G132" s="2"/>
      <c r="H132" s="2"/>
      <c r="I132" s="11"/>
      <c r="J132" s="2"/>
      <c r="K132" s="2"/>
      <c r="L132" s="2"/>
    </row>
    <row r="133" spans="1:14" x14ac:dyDescent="0.25">
      <c r="A133" s="3">
        <f>MAX($A$4:A132)+1</f>
        <v>129</v>
      </c>
      <c r="B133" s="2" t="s">
        <v>43</v>
      </c>
      <c r="C133" s="890" t="s">
        <v>1022</v>
      </c>
      <c r="D133" s="193">
        <f>TE!M68</f>
        <v>0</v>
      </c>
      <c r="E133" s="2"/>
      <c r="F133" s="193">
        <f>TE!N68</f>
        <v>0</v>
      </c>
      <c r="G133" s="2"/>
      <c r="H133" s="2"/>
      <c r="I133" s="11"/>
      <c r="J133" s="2"/>
      <c r="K133" s="2"/>
      <c r="L133" s="2"/>
    </row>
    <row r="134" spans="1:14" x14ac:dyDescent="0.25">
      <c r="A134" s="3">
        <f>MAX($A$4:A133)+1</f>
        <v>130</v>
      </c>
      <c r="B134" s="2" t="s">
        <v>43</v>
      </c>
      <c r="C134" s="890" t="s">
        <v>1023</v>
      </c>
      <c r="D134" s="193">
        <f>TE!M69</f>
        <v>0</v>
      </c>
      <c r="E134" s="2"/>
      <c r="F134" s="193">
        <f>TE!N69</f>
        <v>0</v>
      </c>
      <c r="G134" s="2"/>
      <c r="H134" s="2"/>
      <c r="I134" s="11"/>
      <c r="J134" s="2"/>
      <c r="K134" s="2"/>
      <c r="L134" s="2"/>
      <c r="M134" s="2"/>
      <c r="N134" s="2"/>
    </row>
    <row r="135" spans="1:14" x14ac:dyDescent="0.25">
      <c r="A135" s="3">
        <f>MAX($A$4:A134)+1</f>
        <v>131</v>
      </c>
      <c r="B135" s="2" t="s">
        <v>43</v>
      </c>
      <c r="C135" s="890" t="s">
        <v>1024</v>
      </c>
      <c r="D135" s="193">
        <f>TE!M70</f>
        <v>0</v>
      </c>
      <c r="E135" s="2"/>
      <c r="F135" s="193">
        <f>TE!N70</f>
        <v>0</v>
      </c>
      <c r="G135" s="2"/>
      <c r="H135" s="2"/>
      <c r="I135" s="11"/>
      <c r="J135" s="2"/>
      <c r="K135" s="2"/>
      <c r="L135" s="2"/>
      <c r="M135" s="2"/>
      <c r="N135" s="2"/>
    </row>
    <row r="136" spans="1:14" x14ac:dyDescent="0.25">
      <c r="A136" s="3">
        <f>MAX($A$4:A135)+1</f>
        <v>132</v>
      </c>
      <c r="B136" s="2" t="s">
        <v>43</v>
      </c>
      <c r="C136" s="890" t="s">
        <v>858</v>
      </c>
      <c r="D136" s="193">
        <f>TE!M71</f>
        <v>0</v>
      </c>
      <c r="E136" s="2"/>
      <c r="F136" s="193">
        <f>TE!N71</f>
        <v>0</v>
      </c>
      <c r="G136" s="2"/>
      <c r="H136" s="2"/>
      <c r="I136" s="1208"/>
      <c r="J136" s="2"/>
      <c r="K136" s="2"/>
      <c r="L136" s="2"/>
      <c r="M136" s="2"/>
      <c r="N136" s="2"/>
    </row>
    <row r="137" spans="1:14" x14ac:dyDescent="0.25">
      <c r="A137" s="3">
        <f>MAX($A$4:A136)+1</f>
        <v>133</v>
      </c>
      <c r="B137" s="2" t="s">
        <v>43</v>
      </c>
      <c r="C137" s="890" t="s">
        <v>1456</v>
      </c>
      <c r="D137" s="193">
        <f>TE!N72</f>
        <v>0</v>
      </c>
      <c r="E137" s="2"/>
      <c r="F137" s="193">
        <f>TE!O72</f>
        <v>0</v>
      </c>
      <c r="G137" s="2"/>
      <c r="H137" s="2"/>
      <c r="I137" s="11"/>
      <c r="J137" s="2"/>
      <c r="K137" s="2"/>
      <c r="L137" s="2"/>
      <c r="M137" s="2"/>
      <c r="N137" s="2"/>
    </row>
    <row r="138" spans="1:14" x14ac:dyDescent="0.25">
      <c r="A138" s="3">
        <f>MAX($A$4:A137)+1</f>
        <v>134</v>
      </c>
      <c r="B138" s="2" t="s">
        <v>43</v>
      </c>
      <c r="C138" s="890" t="s">
        <v>1025</v>
      </c>
      <c r="D138" s="193">
        <f>TE!M73</f>
        <v>0</v>
      </c>
      <c r="E138" s="2"/>
      <c r="F138" s="193">
        <f>TE!N73</f>
        <v>0</v>
      </c>
      <c r="G138" s="2"/>
      <c r="H138" s="2"/>
      <c r="I138" s="11"/>
      <c r="J138" s="2"/>
      <c r="K138" s="2"/>
      <c r="L138" s="2"/>
    </row>
    <row r="139" spans="1:14" x14ac:dyDescent="0.25">
      <c r="A139" s="3">
        <f>MAX($A$4:A138)+1</f>
        <v>135</v>
      </c>
      <c r="B139" s="2" t="s">
        <v>43</v>
      </c>
      <c r="C139" s="890" t="s">
        <v>557</v>
      </c>
      <c r="D139" s="193">
        <f>TE!M74</f>
        <v>0</v>
      </c>
      <c r="E139" s="2"/>
      <c r="F139" s="193">
        <f>TE!N74</f>
        <v>0</v>
      </c>
      <c r="G139" s="2"/>
      <c r="H139" s="2"/>
      <c r="I139" s="11"/>
      <c r="J139" s="2"/>
      <c r="K139" s="2"/>
      <c r="L139" s="2"/>
    </row>
    <row r="140" spans="1:14" x14ac:dyDescent="0.25">
      <c r="A140" s="3">
        <f>MAX($A$4:A139)+1</f>
        <v>136</v>
      </c>
      <c r="B140" s="2" t="s">
        <v>43</v>
      </c>
      <c r="C140" s="890" t="s">
        <v>1590</v>
      </c>
      <c r="D140" s="193">
        <f>TE!M75</f>
        <v>0</v>
      </c>
      <c r="E140" s="2"/>
      <c r="F140" s="193">
        <f>TE!N75</f>
        <v>0</v>
      </c>
      <c r="G140" s="2"/>
      <c r="H140" s="2"/>
      <c r="I140" s="11"/>
      <c r="J140" s="2"/>
      <c r="K140" s="2"/>
      <c r="L140" s="2"/>
    </row>
    <row r="141" spans="1:14" x14ac:dyDescent="0.25">
      <c r="A141" s="3">
        <f>MAX($A$4:A140)+1</f>
        <v>137</v>
      </c>
      <c r="B141" s="2" t="s">
        <v>43</v>
      </c>
      <c r="C141" s="890"/>
      <c r="D141" s="2"/>
      <c r="E141" s="2"/>
      <c r="F141" s="2"/>
      <c r="G141" s="2"/>
      <c r="H141" s="2"/>
      <c r="I141" s="11"/>
      <c r="J141" s="2"/>
      <c r="K141" s="2"/>
      <c r="L141" s="2"/>
    </row>
    <row r="142" spans="1:14" x14ac:dyDescent="0.25">
      <c r="A142" s="3">
        <f>MAX($A$4:A141)+1</f>
        <v>138</v>
      </c>
      <c r="B142" s="2" t="s">
        <v>43</v>
      </c>
      <c r="C142" s="890"/>
      <c r="D142" s="7"/>
      <c r="E142" s="7"/>
      <c r="F142" s="7"/>
      <c r="G142" s="7"/>
      <c r="H142" s="7"/>
      <c r="I142" s="880"/>
      <c r="J142" s="2"/>
      <c r="K142" s="2"/>
      <c r="L142" s="2"/>
    </row>
    <row r="143" spans="1:14" x14ac:dyDescent="0.25">
      <c r="A143" s="3">
        <f>MAX($A$4:A142)+1</f>
        <v>139</v>
      </c>
      <c r="B143" s="2" t="s">
        <v>43</v>
      </c>
      <c r="C143" s="890" t="s">
        <v>1352</v>
      </c>
      <c r="D143" s="193">
        <f>TE!I77</f>
        <v>0</v>
      </c>
      <c r="E143" s="193">
        <f>TE!J77</f>
        <v>0</v>
      </c>
      <c r="F143" s="193">
        <f>TE!K77</f>
        <v>0</v>
      </c>
      <c r="G143" s="2"/>
      <c r="H143" s="2"/>
      <c r="I143" s="11"/>
      <c r="J143" s="2"/>
      <c r="K143" s="2"/>
      <c r="L143" s="2"/>
    </row>
    <row r="144" spans="1:14" x14ac:dyDescent="0.25">
      <c r="A144" s="3">
        <f>MAX($A$4:A143)+1</f>
        <v>140</v>
      </c>
      <c r="B144" s="2" t="s">
        <v>43</v>
      </c>
      <c r="C144" s="890" t="s">
        <v>1352</v>
      </c>
      <c r="D144" s="193">
        <f>TE!I78</f>
        <v>0</v>
      </c>
      <c r="E144" s="193">
        <f>TE!J78</f>
        <v>0</v>
      </c>
      <c r="F144" s="193">
        <f>TE!K78</f>
        <v>0</v>
      </c>
      <c r="G144" s="2"/>
      <c r="H144" s="2"/>
      <c r="I144" s="11"/>
      <c r="J144" s="2"/>
      <c r="K144" s="1675"/>
      <c r="L144" s="2"/>
    </row>
    <row r="145" spans="1:12" x14ac:dyDescent="0.25">
      <c r="A145" s="3">
        <f>MAX($A$4:A144)+1</f>
        <v>141</v>
      </c>
      <c r="B145" s="2" t="s">
        <v>43</v>
      </c>
      <c r="C145" s="890" t="s">
        <v>40</v>
      </c>
      <c r="D145" s="193" t="e">
        <f>TE!D79</f>
        <v>#VALUE!</v>
      </c>
      <c r="E145" s="193" t="e">
        <f>TE!E79</f>
        <v>#VALUE!</v>
      </c>
      <c r="F145" s="193" t="e">
        <f>TE!I79</f>
        <v>#VALUE!</v>
      </c>
      <c r="G145" s="193" t="e">
        <f>TE!J79</f>
        <v>#VALUE!</v>
      </c>
      <c r="H145" s="193" t="e">
        <f>TE!K79</f>
        <v>#VALUE!</v>
      </c>
      <c r="I145" s="11"/>
      <c r="J145" s="2"/>
      <c r="K145" s="1675"/>
      <c r="L145" s="2"/>
    </row>
    <row r="146" spans="1:12" x14ac:dyDescent="0.25">
      <c r="A146" s="3">
        <f>MAX($A$4:A145)+1</f>
        <v>142</v>
      </c>
      <c r="B146" s="2" t="s">
        <v>43</v>
      </c>
      <c r="C146" s="890"/>
      <c r="D146" s="2"/>
      <c r="E146" s="2"/>
      <c r="F146" s="2"/>
      <c r="G146" s="2"/>
      <c r="H146" s="2"/>
      <c r="I146" s="2"/>
      <c r="J146" s="2"/>
      <c r="K146" s="1675"/>
      <c r="L146" s="2"/>
    </row>
    <row r="147" spans="1:12" x14ac:dyDescent="0.25">
      <c r="A147" s="3">
        <f>MAX($A$4:A146)+1</f>
        <v>143</v>
      </c>
      <c r="B147" s="2" t="s">
        <v>43</v>
      </c>
      <c r="C147" s="890" t="s">
        <v>41</v>
      </c>
      <c r="D147" s="193">
        <f>TE!D81</f>
        <v>-106511</v>
      </c>
      <c r="E147" s="193">
        <f>TE!E81</f>
        <v>13323</v>
      </c>
      <c r="F147" s="193">
        <f>TE!F81</f>
        <v>0</v>
      </c>
      <c r="G147" s="193">
        <f>TE!G81</f>
        <v>-93188</v>
      </c>
      <c r="H147" s="2"/>
      <c r="I147" s="2"/>
      <c r="J147" s="2"/>
      <c r="K147" s="1675"/>
      <c r="L147" s="2"/>
    </row>
    <row r="148" spans="1:12" x14ac:dyDescent="0.25">
      <c r="A148" s="3">
        <f>MAX($A$4:A147)+1</f>
        <v>144</v>
      </c>
      <c r="B148" s="2" t="s">
        <v>43</v>
      </c>
      <c r="C148" s="890" t="s">
        <v>41</v>
      </c>
      <c r="D148" s="193">
        <f>TE!I81</f>
        <v>6287</v>
      </c>
      <c r="E148" s="193">
        <f>TE!J81</f>
        <v>1616383</v>
      </c>
      <c r="F148" s="193">
        <f>TE!K81</f>
        <v>94518</v>
      </c>
      <c r="G148" s="193">
        <f>TE!L81</f>
        <v>1717188</v>
      </c>
      <c r="H148" s="2"/>
      <c r="I148" s="2"/>
      <c r="J148" s="2"/>
      <c r="K148" s="2"/>
      <c r="L148" s="2"/>
    </row>
    <row r="149" spans="1:12" x14ac:dyDescent="0.25">
      <c r="A149" s="3">
        <f>MAX($A$4:A148)+1</f>
        <v>145</v>
      </c>
      <c r="B149" s="2" t="s">
        <v>43</v>
      </c>
      <c r="C149" s="890"/>
      <c r="D149" s="193">
        <f>TE!G79</f>
        <v>0</v>
      </c>
      <c r="E149" s="2"/>
      <c r="F149" s="193">
        <f>TE!L79</f>
        <v>0</v>
      </c>
      <c r="G149" s="2"/>
      <c r="H149" s="2"/>
      <c r="I149" s="2"/>
      <c r="J149" s="2"/>
      <c r="K149" s="2"/>
      <c r="L149" s="2"/>
    </row>
    <row r="150" spans="1:12" x14ac:dyDescent="0.25">
      <c r="A150" s="3">
        <f>MAX($A$4:A149)+1</f>
        <v>146</v>
      </c>
      <c r="B150" s="2"/>
      <c r="C150" s="890"/>
      <c r="D150" s="2"/>
      <c r="E150" s="2"/>
      <c r="F150" s="2"/>
      <c r="G150" s="2"/>
      <c r="H150" s="2"/>
      <c r="I150" s="2"/>
      <c r="J150" s="2"/>
      <c r="K150" s="1675">
        <f>SUM(K144:K149)</f>
        <v>0</v>
      </c>
      <c r="L150" s="2"/>
    </row>
    <row r="151" spans="1:12" x14ac:dyDescent="0.25">
      <c r="A151" s="3">
        <f>MAX($A$4:A150)+1</f>
        <v>147</v>
      </c>
      <c r="B151" s="2"/>
      <c r="C151" s="890"/>
      <c r="D151" s="2"/>
      <c r="E151" s="2"/>
      <c r="F151" s="2"/>
      <c r="G151" s="2"/>
      <c r="H151" s="2"/>
      <c r="I151" s="2"/>
      <c r="J151" s="2"/>
      <c r="K151" s="2"/>
      <c r="L151" s="2"/>
    </row>
    <row r="152" spans="1:12" x14ac:dyDescent="0.25">
      <c r="A152" s="3">
        <f>MAX($A$4:A151)+1</f>
        <v>148</v>
      </c>
      <c r="B152" s="2" t="str">
        <f>'Note 3a'!A5&amp;" "&amp;'Note 3a'!B5</f>
        <v>3a Other Administration Expenditure</v>
      </c>
      <c r="C152" s="890" t="s">
        <v>1071</v>
      </c>
      <c r="D152" s="193">
        <f>'Note 3a'!D38</f>
        <v>0</v>
      </c>
      <c r="E152" s="2"/>
      <c r="F152" s="193">
        <f>'Note 3a'!F38</f>
        <v>0</v>
      </c>
      <c r="G152" s="2"/>
      <c r="H152" s="193">
        <f>'Note 3a'!O38</f>
        <v>0</v>
      </c>
      <c r="I152" s="193">
        <f>'Note 3a'!Q38</f>
        <v>0</v>
      </c>
      <c r="J152" s="7"/>
      <c r="K152" s="7"/>
      <c r="L152" s="2"/>
    </row>
    <row r="153" spans="1:12" x14ac:dyDescent="0.25">
      <c r="A153" s="3">
        <f>MAX($A$4:A152)+1</f>
        <v>149</v>
      </c>
      <c r="B153" s="2" t="str">
        <f>B152</f>
        <v>3a Other Administration Expenditure</v>
      </c>
      <c r="C153" s="890" t="s">
        <v>1071</v>
      </c>
      <c r="D153" s="193">
        <f>'Note 3a'!D39</f>
        <v>0</v>
      </c>
      <c r="E153" s="2"/>
      <c r="F153" s="193">
        <f>'Note 3a'!F39</f>
        <v>0</v>
      </c>
      <c r="G153" s="2"/>
      <c r="H153" s="193">
        <f>'Note 3a'!O39</f>
        <v>0</v>
      </c>
      <c r="I153" s="193">
        <f>'Note 3a'!Q39</f>
        <v>0</v>
      </c>
      <c r="J153" s="2"/>
      <c r="K153" s="2"/>
      <c r="L153" s="2"/>
    </row>
    <row r="154" spans="1:12" x14ac:dyDescent="0.25">
      <c r="A154" s="3">
        <f>MAX($A$4:A153)+1</f>
        <v>150</v>
      </c>
      <c r="B154" s="2"/>
      <c r="C154" s="890"/>
      <c r="D154" s="2"/>
      <c r="E154" s="2"/>
      <c r="F154" s="2"/>
      <c r="G154" s="2"/>
      <c r="H154" s="2"/>
      <c r="I154" s="2"/>
      <c r="J154" s="2"/>
      <c r="K154" s="2"/>
      <c r="L154" s="2"/>
    </row>
    <row r="155" spans="1:12" x14ac:dyDescent="0.25">
      <c r="A155" s="3">
        <f>MAX($A$4:A154)+1</f>
        <v>151</v>
      </c>
      <c r="B155" s="2" t="s">
        <v>2631</v>
      </c>
      <c r="C155" s="890"/>
      <c r="D155" s="193">
        <f>'Note 3b &amp; 3c'!D55</f>
        <v>0</v>
      </c>
      <c r="E155" s="2"/>
      <c r="F155" s="193">
        <f>'Note 3b &amp; 3c'!F55</f>
        <v>0</v>
      </c>
      <c r="G155" s="2"/>
      <c r="H155" s="193">
        <f>'Note 3b &amp; 3c'!O55</f>
        <v>0</v>
      </c>
      <c r="I155" s="193">
        <f>'Note 3b &amp; 3c'!Q55</f>
        <v>0</v>
      </c>
      <c r="J155" s="2"/>
      <c r="K155" s="2"/>
      <c r="L155" s="2"/>
    </row>
    <row r="156" spans="1:12" x14ac:dyDescent="0.25">
      <c r="A156" s="3">
        <f>MAX($A$4:A155)+1</f>
        <v>152</v>
      </c>
      <c r="B156" s="2" t="s">
        <v>2631</v>
      </c>
      <c r="C156" s="890"/>
      <c r="D156" s="193">
        <f>'Note 3b &amp; 3c'!D56</f>
        <v>0</v>
      </c>
      <c r="E156" s="2"/>
      <c r="F156" s="193">
        <f>'Note 3b &amp; 3c'!F56</f>
        <v>0</v>
      </c>
      <c r="G156" s="2"/>
      <c r="H156" s="193">
        <f>'Note 3b &amp; 3c'!O56</f>
        <v>0</v>
      </c>
      <c r="I156" s="193">
        <f>'Note 3b &amp; 3c'!Q56</f>
        <v>0</v>
      </c>
      <c r="J156" s="2"/>
      <c r="K156" s="2"/>
      <c r="L156" s="2"/>
    </row>
    <row r="157" spans="1:12" x14ac:dyDescent="0.25">
      <c r="A157" s="3">
        <f>MAX($A$4:A156)+1</f>
        <v>153</v>
      </c>
      <c r="B157" s="2"/>
      <c r="C157" s="890"/>
      <c r="D157" s="2"/>
      <c r="E157" s="2"/>
      <c r="F157" s="2"/>
      <c r="G157" s="2"/>
      <c r="H157" s="2"/>
      <c r="I157" s="2"/>
      <c r="J157" s="2"/>
      <c r="K157" s="2"/>
      <c r="L157" s="2"/>
    </row>
    <row r="158" spans="1:12" x14ac:dyDescent="0.25">
      <c r="A158" s="3">
        <f>MAX($A$4:A157)+1</f>
        <v>154</v>
      </c>
      <c r="B158" s="2"/>
      <c r="C158" s="890"/>
      <c r="D158" s="2"/>
      <c r="E158" s="2"/>
      <c r="F158" s="2"/>
      <c r="G158" s="2"/>
      <c r="H158" s="2"/>
      <c r="I158" s="2"/>
      <c r="J158" s="2"/>
      <c r="K158" s="2"/>
      <c r="L158" s="2"/>
    </row>
    <row r="159" spans="1:12" x14ac:dyDescent="0.25">
      <c r="A159" s="3">
        <f>MAX($A$4:A158)+1</f>
        <v>155</v>
      </c>
      <c r="B159" s="2" t="s">
        <v>2632</v>
      </c>
      <c r="C159" s="890"/>
      <c r="D159" s="193" t="e">
        <f>'Note 4'!C31</f>
        <v>#VALUE!</v>
      </c>
      <c r="E159" s="2"/>
      <c r="F159" s="193" t="e">
        <f>'Note 4'!E31</f>
        <v>#VALUE!</v>
      </c>
      <c r="G159" s="2"/>
      <c r="H159" s="2"/>
      <c r="I159" s="2"/>
      <c r="J159" s="2"/>
      <c r="K159" s="2"/>
      <c r="L159" s="2"/>
    </row>
    <row r="160" spans="1:12" x14ac:dyDescent="0.25">
      <c r="A160" s="3">
        <f>MAX($A$4:A159)+1</f>
        <v>156</v>
      </c>
      <c r="B160" s="2" t="s">
        <v>2633</v>
      </c>
      <c r="C160" s="890"/>
      <c r="D160" s="193"/>
      <c r="E160" s="2"/>
      <c r="F160" s="193"/>
      <c r="G160" s="2"/>
      <c r="H160" s="2"/>
      <c r="I160" s="2"/>
      <c r="J160" s="2"/>
      <c r="K160" s="2"/>
      <c r="L160" s="2"/>
    </row>
    <row r="161" spans="1:12" x14ac:dyDescent="0.25">
      <c r="A161" s="3">
        <f>MAX($A$4:A160)+1</f>
        <v>157</v>
      </c>
      <c r="B161" s="2"/>
      <c r="C161" s="890"/>
      <c r="D161" s="2"/>
      <c r="E161" s="2"/>
      <c r="F161" s="2"/>
      <c r="G161" s="2"/>
      <c r="H161" s="2"/>
      <c r="I161" s="2"/>
      <c r="J161" s="2"/>
      <c r="K161" s="2"/>
      <c r="L161" s="2"/>
    </row>
    <row r="162" spans="1:12" x14ac:dyDescent="0.25">
      <c r="A162" s="3">
        <f>MAX($A$4:A161)+1</f>
        <v>158</v>
      </c>
      <c r="B162" s="2" t="s">
        <v>2634</v>
      </c>
      <c r="C162" s="890"/>
      <c r="D162" s="193">
        <f>'Note 5'!C24</f>
        <v>0</v>
      </c>
      <c r="E162" s="193">
        <f>'Note 5'!D24</f>
        <v>0</v>
      </c>
      <c r="F162" s="193">
        <f>'Note 5'!E24</f>
        <v>0</v>
      </c>
      <c r="G162" s="193">
        <f>'Note 5'!F24</f>
        <v>0</v>
      </c>
      <c r="H162" s="193">
        <f>'Note 5'!G24</f>
        <v>0</v>
      </c>
      <c r="I162" s="193">
        <f>'Note 5'!H24</f>
        <v>0</v>
      </c>
      <c r="J162" s="2"/>
      <c r="K162" s="2"/>
      <c r="L162" s="2"/>
    </row>
    <row r="163" spans="1:12" x14ac:dyDescent="0.25">
      <c r="A163" s="3">
        <f>MAX($A$4:A162)+1</f>
        <v>159</v>
      </c>
      <c r="B163" s="2" t="s">
        <v>2634</v>
      </c>
      <c r="C163" s="890"/>
      <c r="D163" s="193">
        <f>'Note 5'!C39</f>
        <v>0</v>
      </c>
      <c r="E163" s="193">
        <f>'Note 5'!D39</f>
        <v>0</v>
      </c>
      <c r="F163" s="193">
        <f>'Note 5'!E39</f>
        <v>0</v>
      </c>
      <c r="G163" s="193">
        <f>'Note 5'!F39</f>
        <v>0</v>
      </c>
      <c r="H163" s="193">
        <f>'Note 5'!G39</f>
        <v>0</v>
      </c>
      <c r="I163" s="193">
        <f>'Note 5'!H39</f>
        <v>0</v>
      </c>
      <c r="J163" s="2"/>
      <c r="K163" s="2"/>
      <c r="L163" s="2"/>
    </row>
    <row r="164" spans="1:12" x14ac:dyDescent="0.25">
      <c r="A164" s="3">
        <f>MAX($A$4:A163)+1</f>
        <v>160</v>
      </c>
      <c r="B164" s="2" t="s">
        <v>2634</v>
      </c>
      <c r="C164" s="890"/>
      <c r="D164" s="193">
        <f>'Note 5'!C45</f>
        <v>0</v>
      </c>
      <c r="E164" s="193">
        <f>'Note 5'!D45</f>
        <v>0</v>
      </c>
      <c r="F164" s="193">
        <f>'Note 5'!E45</f>
        <v>0</v>
      </c>
      <c r="G164" s="193">
        <f>'Note 5'!F45</f>
        <v>0</v>
      </c>
      <c r="H164" s="193">
        <f>'Note 5'!G45</f>
        <v>0</v>
      </c>
      <c r="I164" s="193">
        <f>'Note 5'!H45</f>
        <v>0</v>
      </c>
      <c r="J164" s="2"/>
      <c r="K164" s="2"/>
      <c r="L164" s="2"/>
    </row>
    <row r="165" spans="1:12" x14ac:dyDescent="0.25">
      <c r="A165" s="3">
        <f>MAX($A$4:A164)+1</f>
        <v>161</v>
      </c>
      <c r="B165" s="2" t="s">
        <v>2634</v>
      </c>
      <c r="C165" s="890"/>
      <c r="D165" s="193">
        <f>'Note 5'!C53</f>
        <v>0</v>
      </c>
      <c r="E165" s="193">
        <f>'Note 5'!D53</f>
        <v>0</v>
      </c>
      <c r="F165" s="193">
        <f>'Note 5'!E53</f>
        <v>0</v>
      </c>
      <c r="G165" s="193">
        <f>'Note 5'!F53</f>
        <v>0</v>
      </c>
      <c r="H165" s="193">
        <f>'Note 5'!G53</f>
        <v>0</v>
      </c>
      <c r="I165" s="193">
        <f>'Note 5'!H53</f>
        <v>0</v>
      </c>
      <c r="K165" s="2"/>
      <c r="L165" s="2"/>
    </row>
    <row r="166" spans="1:12" x14ac:dyDescent="0.25">
      <c r="A166" s="3">
        <f>MAX($A$4:A165)+1</f>
        <v>162</v>
      </c>
      <c r="B166" s="2" t="s">
        <v>2634</v>
      </c>
      <c r="C166" s="890"/>
      <c r="D166" s="193">
        <f>'Note 5'!C121</f>
        <v>0</v>
      </c>
      <c r="E166" s="193">
        <f>'Note 5'!D121</f>
        <v>0</v>
      </c>
      <c r="F166" s="193">
        <f>'Note 5'!E121</f>
        <v>0</v>
      </c>
      <c r="G166" s="193">
        <f>'Note 5'!F121</f>
        <v>0</v>
      </c>
      <c r="H166" s="193">
        <f>'Note 5'!G121</f>
        <v>0</v>
      </c>
      <c r="I166" s="193">
        <f>'Note 5'!H121</f>
        <v>0</v>
      </c>
      <c r="K166" s="2"/>
      <c r="L166" s="2"/>
    </row>
    <row r="167" spans="1:12" x14ac:dyDescent="0.25">
      <c r="A167" s="3">
        <f>MAX($A$4:A166)+1</f>
        <v>163</v>
      </c>
      <c r="B167" s="2" t="s">
        <v>2634</v>
      </c>
      <c r="C167" s="890"/>
      <c r="D167" s="193">
        <f>+'Note 5'!L49</f>
        <v>0</v>
      </c>
      <c r="E167" s="1824"/>
      <c r="F167" s="1824"/>
      <c r="G167" s="1824"/>
      <c r="H167" s="1824"/>
      <c r="I167" s="1824"/>
      <c r="K167" s="2"/>
      <c r="L167" s="2"/>
    </row>
    <row r="168" spans="1:12" x14ac:dyDescent="0.25">
      <c r="A168" s="3">
        <f>MAX($A$4:A167)+1</f>
        <v>164</v>
      </c>
      <c r="B168" s="2"/>
      <c r="C168" s="890"/>
      <c r="D168" s="2"/>
      <c r="E168" s="2"/>
      <c r="F168" s="2"/>
      <c r="G168" s="2"/>
      <c r="H168" s="2"/>
      <c r="I168" s="2"/>
      <c r="J168" s="2"/>
      <c r="K168" s="2"/>
      <c r="L168" s="2"/>
    </row>
    <row r="169" spans="1:12" x14ac:dyDescent="0.25">
      <c r="A169" s="3">
        <f>MAX($A$4:A168)+1</f>
        <v>165</v>
      </c>
      <c r="B169" s="2" t="s">
        <v>2635</v>
      </c>
      <c r="C169" s="890"/>
      <c r="D169" s="193">
        <f>'Note 5.4'!D22</f>
        <v>-2</v>
      </c>
      <c r="E169" s="193">
        <f>'Note 5.4'!G22</f>
        <v>-160</v>
      </c>
      <c r="F169" s="193">
        <f>'Note 5.4'!J22</f>
        <v>0</v>
      </c>
      <c r="G169" s="193">
        <f>'Note 5.4'!M22</f>
        <v>-162</v>
      </c>
      <c r="H169" s="2"/>
      <c r="I169" s="11" t="s">
        <v>1586</v>
      </c>
      <c r="J169" s="2"/>
      <c r="K169" s="2"/>
      <c r="L169" s="2"/>
    </row>
    <row r="170" spans="1:12" x14ac:dyDescent="0.25">
      <c r="A170" s="3">
        <f>MAX($A$4:A169)+1</f>
        <v>166</v>
      </c>
      <c r="B170" s="2"/>
      <c r="C170" s="890"/>
      <c r="D170" s="2"/>
      <c r="E170" s="2"/>
      <c r="F170" s="2"/>
      <c r="G170" s="2"/>
      <c r="H170" s="2"/>
      <c r="I170" s="2"/>
      <c r="J170" s="2"/>
      <c r="K170" s="2"/>
      <c r="L170" s="2"/>
    </row>
    <row r="171" spans="1:12" x14ac:dyDescent="0.25">
      <c r="A171" s="3">
        <f>MAX($A$4:A170)+1</f>
        <v>167</v>
      </c>
      <c r="B171" s="2" t="s">
        <v>2636</v>
      </c>
      <c r="C171" s="890"/>
      <c r="D171" s="193">
        <f>'Note 6'!C25</f>
        <v>0</v>
      </c>
      <c r="E171" s="193">
        <f>'Note 6'!D25</f>
        <v>0</v>
      </c>
      <c r="F171" s="193">
        <f>'Note 6'!E25</f>
        <v>0</v>
      </c>
      <c r="G171" s="193">
        <f>'Note 6'!F25</f>
        <v>0</v>
      </c>
      <c r="H171" s="193">
        <f>'Note 6'!G25</f>
        <v>0</v>
      </c>
      <c r="I171" s="193">
        <f>'Note 6'!H25</f>
        <v>0</v>
      </c>
      <c r="J171" s="2"/>
      <c r="K171" s="2"/>
      <c r="L171" s="2"/>
    </row>
    <row r="172" spans="1:12" x14ac:dyDescent="0.25">
      <c r="A172" s="3">
        <f>MAX($A$4:A171)+1</f>
        <v>168</v>
      </c>
      <c r="B172" s="2" t="s">
        <v>2636</v>
      </c>
      <c r="C172" s="890"/>
      <c r="D172" s="193">
        <f>'Note 6'!C40</f>
        <v>0</v>
      </c>
      <c r="E172" s="193">
        <f>'Note 6'!D40</f>
        <v>0</v>
      </c>
      <c r="F172" s="193">
        <f>'Note 6'!E40</f>
        <v>0</v>
      </c>
      <c r="G172" s="193">
        <f>'Note 6'!F40</f>
        <v>0</v>
      </c>
      <c r="H172" s="193">
        <f>'Note 6'!G40</f>
        <v>0</v>
      </c>
      <c r="I172" s="193">
        <f>'Note 6'!H40</f>
        <v>0</v>
      </c>
      <c r="J172" s="2"/>
      <c r="K172" s="2"/>
      <c r="L172" s="2"/>
    </row>
    <row r="173" spans="1:12" x14ac:dyDescent="0.25">
      <c r="A173" s="3">
        <f>MAX($A$4:A172)+1</f>
        <v>169</v>
      </c>
      <c r="B173" s="2" t="s">
        <v>2636</v>
      </c>
      <c r="C173" s="890"/>
      <c r="D173" s="193" t="e">
        <f>'Note 6'!C51</f>
        <v>#VALUE!</v>
      </c>
      <c r="E173" s="193" t="e">
        <f>'Note 6'!D51</f>
        <v>#VALUE!</v>
      </c>
      <c r="F173" s="193" t="e">
        <f>'Note 6'!E51</f>
        <v>#VALUE!</v>
      </c>
      <c r="G173" s="193">
        <f>'Note 6'!F51</f>
        <v>0</v>
      </c>
      <c r="H173" s="193" t="e">
        <f>'Note 6'!G51</f>
        <v>#VALUE!</v>
      </c>
      <c r="I173" s="193" t="e">
        <f>'Note 6'!H51</f>
        <v>#VALUE!</v>
      </c>
      <c r="J173" s="193">
        <f>'Note 5'!I24</f>
        <v>0</v>
      </c>
      <c r="K173" s="193">
        <f>'Note 5'!J24</f>
        <v>0</v>
      </c>
      <c r="L173" s="193">
        <f>'Note 5'!L12</f>
        <v>0</v>
      </c>
    </row>
    <row r="174" spans="1:12" x14ac:dyDescent="0.25">
      <c r="A174" s="3">
        <f>MAX($A$4:A173)+1</f>
        <v>170</v>
      </c>
      <c r="B174" s="2" t="s">
        <v>2636</v>
      </c>
      <c r="C174" s="890"/>
      <c r="D174" s="193" t="e">
        <f>'Note 6'!C115</f>
        <v>#VALUE!</v>
      </c>
      <c r="E174" s="193" t="e">
        <f>'Note 6'!D115</f>
        <v>#VALUE!</v>
      </c>
      <c r="F174" s="193" t="e">
        <f>'Note 6'!E115</f>
        <v>#VALUE!</v>
      </c>
      <c r="G174" s="193">
        <f>'Note 6'!F115</f>
        <v>0</v>
      </c>
      <c r="H174" s="193" t="e">
        <f>'Note 6'!G115</f>
        <v>#VALUE!</v>
      </c>
      <c r="I174" s="193" t="e">
        <f>'Note 6'!H115</f>
        <v>#VALUE!</v>
      </c>
      <c r="J174" s="193">
        <f>'Note 5'!I39</f>
        <v>0</v>
      </c>
      <c r="K174" s="193">
        <f>'Note 5'!J39</f>
        <v>0</v>
      </c>
      <c r="L174" s="193">
        <f>'Note 5'!L28</f>
        <v>0</v>
      </c>
    </row>
    <row r="175" spans="1:12" x14ac:dyDescent="0.25">
      <c r="A175" s="3">
        <f>MAX($A$4:A174)+1</f>
        <v>171</v>
      </c>
      <c r="B175" s="2" t="s">
        <v>2636</v>
      </c>
      <c r="C175" s="890"/>
      <c r="D175" s="193">
        <f>'Note 6'!C121</f>
        <v>0</v>
      </c>
      <c r="E175" s="193">
        <f>'Note 6'!D121</f>
        <v>0</v>
      </c>
      <c r="F175" s="193">
        <f>'Note 6'!E121</f>
        <v>0</v>
      </c>
      <c r="G175" s="193">
        <f>'Note 6'!F121</f>
        <v>0</v>
      </c>
      <c r="H175" s="193">
        <f>'Note 6'!G121</f>
        <v>0</v>
      </c>
      <c r="I175" s="193">
        <f>'Note 6'!H121</f>
        <v>0</v>
      </c>
      <c r="J175" s="193">
        <f>'Note 5'!I45</f>
        <v>0</v>
      </c>
      <c r="K175" s="193">
        <f>'Note 5'!J45</f>
        <v>0</v>
      </c>
      <c r="L175" s="2"/>
    </row>
    <row r="176" spans="1:12" x14ac:dyDescent="0.25">
      <c r="A176" s="3">
        <f>MAX($A$4:A175)+1</f>
        <v>172</v>
      </c>
      <c r="B176" s="2" t="s">
        <v>2636</v>
      </c>
      <c r="C176" s="890"/>
      <c r="D176" s="193">
        <f>'Note 6'!C44</f>
        <v>0</v>
      </c>
      <c r="E176" s="193">
        <f>'Note 6'!D44</f>
        <v>0</v>
      </c>
      <c r="F176" s="193">
        <f>'Note 6'!E44</f>
        <v>0</v>
      </c>
      <c r="G176" s="193">
        <f>'Note 6'!F44</f>
        <v>0</v>
      </c>
      <c r="H176" s="193">
        <f>'Note 6'!G44</f>
        <v>0</v>
      </c>
      <c r="I176" s="193">
        <f>'Note 6'!H44</f>
        <v>0</v>
      </c>
      <c r="J176" s="193">
        <f>'Note 5'!I53</f>
        <v>0</v>
      </c>
      <c r="K176" s="193">
        <f>'Note 5'!J53</f>
        <v>0</v>
      </c>
      <c r="L176" s="2"/>
    </row>
    <row r="177" spans="1:12" x14ac:dyDescent="0.25">
      <c r="A177" s="3">
        <f>MAX($A$4:A176)+1</f>
        <v>173</v>
      </c>
      <c r="B177" s="2" t="s">
        <v>2636</v>
      </c>
      <c r="C177" s="890"/>
      <c r="D177" s="193">
        <f>'Note 6'!C45</f>
        <v>0</v>
      </c>
      <c r="E177" s="193">
        <f>'Note 6'!D45</f>
        <v>0</v>
      </c>
      <c r="F177" s="193">
        <f>'Note 6'!E45</f>
        <v>0</v>
      </c>
      <c r="G177" s="193">
        <f>'Note 6'!F45</f>
        <v>0</v>
      </c>
      <c r="H177" s="193">
        <f>'Note 6'!G45</f>
        <v>0</v>
      </c>
      <c r="I177" s="193">
        <f>'Note 6'!H45</f>
        <v>0</v>
      </c>
      <c r="J177" s="193">
        <f>'Note 5'!I121</f>
        <v>0</v>
      </c>
      <c r="K177" s="193">
        <f>'Note 5'!J121</f>
        <v>0</v>
      </c>
      <c r="L177" s="2"/>
    </row>
    <row r="178" spans="1:12" x14ac:dyDescent="0.25">
      <c r="A178" s="3">
        <f>MAX($A$4:A177)+1</f>
        <v>174</v>
      </c>
      <c r="B178" s="2"/>
      <c r="C178" s="890"/>
      <c r="D178" s="2"/>
      <c r="E178" s="2"/>
      <c r="F178" s="2"/>
      <c r="G178" s="2"/>
      <c r="H178" s="2"/>
      <c r="I178" s="2"/>
      <c r="J178" s="2"/>
      <c r="K178" s="2"/>
      <c r="L178" s="2"/>
    </row>
    <row r="179" spans="1:12" x14ac:dyDescent="0.25">
      <c r="A179" s="3">
        <f>MAX($A$4:A178)+1</f>
        <v>175</v>
      </c>
      <c r="B179" s="2" t="s">
        <v>2637</v>
      </c>
      <c r="C179" s="890"/>
      <c r="D179" s="193">
        <f>'Note 7'!F10</f>
        <v>0</v>
      </c>
      <c r="E179" s="193">
        <f>'Note 7'!G10</f>
        <v>0</v>
      </c>
      <c r="F179" s="2"/>
      <c r="G179" s="2"/>
      <c r="H179" s="2"/>
      <c r="I179" s="2"/>
      <c r="J179" s="2"/>
      <c r="K179" s="2"/>
      <c r="L179" s="2"/>
    </row>
    <row r="180" spans="1:12" x14ac:dyDescent="0.25">
      <c r="A180" s="3">
        <f>MAX($A$4:A179)+1</f>
        <v>176</v>
      </c>
      <c r="B180" s="2"/>
      <c r="C180" s="890"/>
      <c r="D180" s="2"/>
      <c r="E180" s="2"/>
      <c r="F180" s="2"/>
      <c r="G180" s="1091"/>
      <c r="H180" s="1091"/>
      <c r="I180" s="2"/>
      <c r="J180" s="2"/>
      <c r="K180" s="2"/>
      <c r="L180" s="2"/>
    </row>
    <row r="181" spans="1:12" x14ac:dyDescent="0.25">
      <c r="A181" s="3">
        <f>MAX($A$4:A180)+1</f>
        <v>177</v>
      </c>
      <c r="B181" s="34" t="s">
        <v>2638</v>
      </c>
      <c r="C181" s="890"/>
      <c r="D181" s="193">
        <f>'Notes 8 &amp; 9'!C44</f>
        <v>0</v>
      </c>
      <c r="E181" s="193">
        <f>'Notes 8 &amp; 9'!D44</f>
        <v>0</v>
      </c>
      <c r="F181" s="193">
        <f>'Notes 8 &amp; 9'!E44</f>
        <v>0</v>
      </c>
      <c r="G181" s="193">
        <f>'Notes 8 &amp; 9'!F44</f>
        <v>0</v>
      </c>
      <c r="H181" s="2"/>
      <c r="J181" s="193">
        <f>'Note 6'!I25</f>
        <v>0</v>
      </c>
      <c r="K181" s="193">
        <f>'Note 6'!J25</f>
        <v>0</v>
      </c>
      <c r="L181" s="193">
        <f>'Note 6'!M14</f>
        <v>0</v>
      </c>
    </row>
    <row r="182" spans="1:12" x14ac:dyDescent="0.25">
      <c r="A182" s="3">
        <f>MAX($A$4:A181)+1</f>
        <v>178</v>
      </c>
      <c r="B182" s="34" t="s">
        <v>2638</v>
      </c>
      <c r="C182" s="890"/>
      <c r="D182" s="193">
        <f>'Notes 8 &amp; 9'!G40</f>
        <v>0</v>
      </c>
      <c r="E182" s="2"/>
      <c r="F182" s="2"/>
      <c r="G182" s="2"/>
      <c r="H182" s="2"/>
      <c r="I182" s="2"/>
      <c r="J182" s="193">
        <f>'Note 6'!I40</f>
        <v>0</v>
      </c>
      <c r="K182" s="193">
        <f>'Note 6'!J40</f>
        <v>0</v>
      </c>
      <c r="L182" s="193">
        <f>'Note 6'!M29</f>
        <v>0</v>
      </c>
    </row>
    <row r="183" spans="1:12" x14ac:dyDescent="0.25">
      <c r="A183" s="3">
        <f>MAX($A$4:A182)+1</f>
        <v>179</v>
      </c>
      <c r="B183" s="34" t="s">
        <v>2638</v>
      </c>
      <c r="C183" s="890"/>
      <c r="D183" s="193">
        <f>'Notes 8 &amp; 9'!G41</f>
        <v>0</v>
      </c>
      <c r="E183" s="2"/>
      <c r="F183" s="2"/>
      <c r="G183" s="2"/>
      <c r="H183" s="2"/>
      <c r="I183" s="2"/>
      <c r="J183" s="193" t="e">
        <f>'Note 6'!I51</f>
        <v>#VALUE!</v>
      </c>
      <c r="K183" s="193" t="e">
        <f>'Note 6'!J51</f>
        <v>#VALUE!</v>
      </c>
      <c r="L183" s="2"/>
    </row>
    <row r="184" spans="1:12" x14ac:dyDescent="0.25">
      <c r="A184" s="3">
        <f>MAX($A$4:A183)+1</f>
        <v>180</v>
      </c>
      <c r="B184" s="34" t="s">
        <v>2638</v>
      </c>
      <c r="C184" s="890"/>
      <c r="D184" s="193">
        <f>'Notes 8 &amp; 9'!I44</f>
        <v>0</v>
      </c>
      <c r="E184" s="193">
        <f>'Notes 8 &amp; 9'!J44</f>
        <v>0</v>
      </c>
      <c r="F184" s="193">
        <f>'Notes 8 &amp; 9'!K44</f>
        <v>0</v>
      </c>
      <c r="G184" s="193">
        <f>'Notes 8 &amp; 9'!L44</f>
        <v>0</v>
      </c>
      <c r="H184" s="2"/>
      <c r="I184" s="2"/>
      <c r="J184" s="193" t="e">
        <f>'Note 6'!I115</f>
        <v>#VALUE!</v>
      </c>
      <c r="K184" s="193" t="e">
        <f>'Note 6'!J115</f>
        <v>#VALUE!</v>
      </c>
      <c r="L184" s="2"/>
    </row>
    <row r="185" spans="1:12" x14ac:dyDescent="0.25">
      <c r="A185" s="3">
        <f>MAX($A$4:A184)+1</f>
        <v>181</v>
      </c>
      <c r="B185" s="34" t="s">
        <v>2638</v>
      </c>
      <c r="C185" s="890"/>
      <c r="D185" s="193">
        <f>'Notes 8 &amp; 9'!M40</f>
        <v>0</v>
      </c>
      <c r="E185" s="2"/>
      <c r="F185" s="2"/>
      <c r="G185" s="2"/>
      <c r="H185" s="2"/>
      <c r="I185" s="2"/>
      <c r="J185" s="193">
        <f>'Note 6'!I121</f>
        <v>0</v>
      </c>
      <c r="K185" s="193">
        <f>'Note 6'!J121</f>
        <v>0</v>
      </c>
      <c r="L185" s="2"/>
    </row>
    <row r="186" spans="1:12" x14ac:dyDescent="0.25">
      <c r="A186" s="3">
        <f>MAX($A$4:A185)+1</f>
        <v>182</v>
      </c>
      <c r="B186" s="34" t="s">
        <v>2638</v>
      </c>
      <c r="C186" s="890"/>
      <c r="D186" s="193">
        <f>'Notes 8 &amp; 9'!M41</f>
        <v>0</v>
      </c>
      <c r="E186" s="2"/>
      <c r="F186" s="2"/>
      <c r="G186" s="2"/>
      <c r="H186" s="2"/>
      <c r="I186" s="2"/>
      <c r="J186" s="193">
        <f>'Note 6'!I44</f>
        <v>0</v>
      </c>
      <c r="K186" s="193">
        <f>'Note 6'!J44</f>
        <v>0</v>
      </c>
      <c r="L186" s="2"/>
    </row>
    <row r="187" spans="1:12" x14ac:dyDescent="0.25">
      <c r="A187" s="3">
        <f>MAX($A$4:A186)+1</f>
        <v>183</v>
      </c>
      <c r="B187" s="34" t="s">
        <v>2638</v>
      </c>
      <c r="C187" s="890"/>
      <c r="D187" s="2"/>
      <c r="E187" s="2"/>
      <c r="F187" s="2"/>
      <c r="G187" s="2"/>
      <c r="H187" s="2"/>
      <c r="I187" s="2"/>
      <c r="J187" s="193">
        <f>'Note 6'!I45</f>
        <v>0</v>
      </c>
      <c r="K187" s="193">
        <f>'Note 6'!J45</f>
        <v>0</v>
      </c>
      <c r="L187" s="2"/>
    </row>
    <row r="188" spans="1:12" x14ac:dyDescent="0.25">
      <c r="A188" s="3">
        <f>MAX($A$4:A187)+1</f>
        <v>184</v>
      </c>
      <c r="B188" s="34" t="s">
        <v>2639</v>
      </c>
      <c r="C188" s="890"/>
      <c r="D188" s="193">
        <f>'Notes 8 &amp; 9'!I35</f>
        <v>0</v>
      </c>
      <c r="E188" s="2"/>
      <c r="F188" s="2"/>
      <c r="G188" s="2"/>
      <c r="H188" s="2"/>
      <c r="I188" s="2"/>
      <c r="J188" s="2"/>
      <c r="K188" s="2"/>
      <c r="L188" s="2"/>
    </row>
    <row r="189" spans="1:12" x14ac:dyDescent="0.25">
      <c r="A189" s="3">
        <f>MAX($A$4:A188)+1</f>
        <v>185</v>
      </c>
      <c r="B189" s="2"/>
      <c r="C189" s="890"/>
      <c r="D189" s="2"/>
      <c r="E189" s="2"/>
      <c r="F189" s="2"/>
      <c r="G189" s="2"/>
      <c r="H189" s="2"/>
      <c r="I189" s="2"/>
      <c r="J189" s="2"/>
      <c r="K189" s="2"/>
      <c r="L189" s="2"/>
    </row>
    <row r="190" spans="1:12" x14ac:dyDescent="0.25">
      <c r="A190" s="3">
        <f>MAX($A$4:A189)+1</f>
        <v>186</v>
      </c>
      <c r="B190" s="34" t="s">
        <v>1591</v>
      </c>
      <c r="C190" s="890"/>
      <c r="D190" s="193">
        <f>'Notes 10 &amp; 11'!C23</f>
        <v>0</v>
      </c>
      <c r="E190" s="193">
        <f>'Notes 10 &amp; 11'!E23</f>
        <v>0</v>
      </c>
      <c r="G190" s="2"/>
      <c r="H190" s="2"/>
      <c r="I190" s="2"/>
      <c r="J190" s="2"/>
      <c r="K190" s="2"/>
      <c r="L190" s="2"/>
    </row>
    <row r="191" spans="1:12" x14ac:dyDescent="0.25">
      <c r="A191" s="3">
        <f>MAX($A$4:A190)+1</f>
        <v>187</v>
      </c>
      <c r="B191" s="34" t="s">
        <v>1591</v>
      </c>
      <c r="C191" s="890"/>
      <c r="D191" s="193">
        <f>'Notes 10 &amp; 11'!C25</f>
        <v>0</v>
      </c>
      <c r="E191" s="193">
        <f>'Notes 10 &amp; 11'!E25</f>
        <v>0</v>
      </c>
      <c r="F191" s="193">
        <f>'Notes 10 &amp; 11'!G25</f>
        <v>0</v>
      </c>
      <c r="G191" s="193">
        <f>'Notes 10 &amp; 11'!I25</f>
        <v>0</v>
      </c>
      <c r="H191" s="2"/>
      <c r="J191" s="2"/>
      <c r="K191" s="2"/>
      <c r="L191" s="2"/>
    </row>
    <row r="192" spans="1:12" x14ac:dyDescent="0.25">
      <c r="A192" s="3">
        <f>MAX($A$4:A191)+1</f>
        <v>188</v>
      </c>
      <c r="B192" s="34" t="s">
        <v>1591</v>
      </c>
      <c r="C192" s="890"/>
      <c r="D192" s="193">
        <f>'Notes 10 &amp; 11'!C37</f>
        <v>0</v>
      </c>
      <c r="E192" s="193">
        <f>'Notes 10 &amp; 11'!E37</f>
        <v>0</v>
      </c>
      <c r="F192" s="193">
        <f>'Notes 10 &amp; 11'!G37</f>
        <v>0</v>
      </c>
      <c r="G192" s="193">
        <f>'Notes 10 &amp; 11'!I37</f>
        <v>0</v>
      </c>
      <c r="I192" s="2"/>
      <c r="J192" s="2"/>
      <c r="K192" s="2"/>
      <c r="L192" s="2"/>
    </row>
    <row r="193" spans="1:13" x14ac:dyDescent="0.25">
      <c r="A193" s="3">
        <f>MAX($A$4:A192)+1</f>
        <v>189</v>
      </c>
      <c r="B193" s="34" t="s">
        <v>2688</v>
      </c>
      <c r="C193" s="34" t="s">
        <v>2474</v>
      </c>
      <c r="D193" s="193" t="e">
        <f>+'Notes 10 &amp; 11'!M47</f>
        <v>#VALUE!</v>
      </c>
      <c r="F193" s="193" t="e">
        <f>+'Notes 10 &amp; 11'!M57</f>
        <v>#VALUE!</v>
      </c>
      <c r="I193" s="2"/>
      <c r="J193" s="2"/>
      <c r="K193" s="2"/>
      <c r="L193" s="2"/>
    </row>
    <row r="194" spans="1:13" x14ac:dyDescent="0.25">
      <c r="A194" s="3">
        <f>MAX($A$4:A193)+1</f>
        <v>190</v>
      </c>
      <c r="B194" s="34" t="s">
        <v>2688</v>
      </c>
      <c r="C194" s="34" t="s">
        <v>2475</v>
      </c>
      <c r="D194" s="193">
        <f>+'Notes 10 &amp; 11'!M48</f>
        <v>306</v>
      </c>
      <c r="F194" s="193">
        <f>+'Notes 10 &amp; 11'!M58</f>
        <v>306</v>
      </c>
      <c r="I194" s="2"/>
      <c r="J194" s="2"/>
      <c r="K194" s="2"/>
      <c r="L194" s="2"/>
    </row>
    <row r="195" spans="1:13" ht="15" customHeight="1" x14ac:dyDescent="0.25">
      <c r="A195" s="3">
        <f>MAX($A$4:A194)+1</f>
        <v>191</v>
      </c>
      <c r="B195" s="34" t="s">
        <v>2688</v>
      </c>
      <c r="C195" s="34" t="s">
        <v>2476</v>
      </c>
      <c r="D195" s="193">
        <f>+'Notes 10 &amp; 11'!M49</f>
        <v>0</v>
      </c>
      <c r="F195" s="193">
        <f>+'Notes 10 &amp; 11'!M59</f>
        <v>0</v>
      </c>
      <c r="G195" s="11"/>
      <c r="H195" s="1369"/>
      <c r="I195" s="1822"/>
      <c r="J195" s="1372"/>
      <c r="K195" s="880"/>
      <c r="L195" s="880"/>
      <c r="M195" s="880"/>
    </row>
    <row r="196" spans="1:13" x14ac:dyDescent="0.25">
      <c r="A196" s="3">
        <f>MAX($A$4:A195)+1</f>
        <v>192</v>
      </c>
      <c r="B196" s="2"/>
      <c r="C196" s="890"/>
      <c r="D196" s="2"/>
      <c r="E196" s="2"/>
      <c r="F196" s="2"/>
      <c r="G196" s="2"/>
      <c r="H196" s="1369"/>
      <c r="I196" s="1822"/>
      <c r="J196" s="1372"/>
      <c r="K196" s="880"/>
      <c r="L196" s="880"/>
      <c r="M196" s="880"/>
    </row>
    <row r="197" spans="1:13" x14ac:dyDescent="0.25">
      <c r="A197" s="3">
        <f>MAX($A$4:A196)+1</f>
        <v>193</v>
      </c>
      <c r="B197" s="2"/>
      <c r="C197" s="890"/>
      <c r="D197" s="2"/>
      <c r="E197" s="2"/>
      <c r="F197" s="2"/>
      <c r="G197" s="2"/>
      <c r="H197" s="1369"/>
      <c r="I197" s="1822"/>
      <c r="J197" s="1821"/>
      <c r="K197" s="880"/>
      <c r="L197" s="880"/>
      <c r="M197" s="880"/>
    </row>
    <row r="198" spans="1:13" x14ac:dyDescent="0.25">
      <c r="A198" s="3">
        <f>MAX($A$4:A197)+1</f>
        <v>194</v>
      </c>
      <c r="B198" s="51" t="s">
        <v>2640</v>
      </c>
      <c r="C198" s="890"/>
      <c r="D198" s="193">
        <f>'Note 12'!F21</f>
        <v>0</v>
      </c>
      <c r="E198" s="2"/>
      <c r="F198" s="2"/>
      <c r="G198" s="2"/>
      <c r="H198" s="1369"/>
      <c r="I198" s="1822"/>
      <c r="J198" s="1372"/>
      <c r="K198" s="880"/>
      <c r="L198" s="880"/>
      <c r="M198" s="880"/>
    </row>
    <row r="199" spans="1:13" x14ac:dyDescent="0.25">
      <c r="A199" s="3">
        <f>MAX($A$4:A198)+1</f>
        <v>195</v>
      </c>
      <c r="B199" s="51" t="s">
        <v>2640</v>
      </c>
      <c r="C199" s="890"/>
      <c r="D199" s="193">
        <f>'Note 12'!F22</f>
        <v>0</v>
      </c>
      <c r="E199" s="2"/>
      <c r="F199" s="2"/>
      <c r="G199" s="2"/>
      <c r="H199" s="2"/>
      <c r="I199" s="880"/>
      <c r="J199" s="880"/>
      <c r="K199" s="880"/>
      <c r="L199" s="880"/>
      <c r="M199" s="880"/>
    </row>
    <row r="200" spans="1:13" x14ac:dyDescent="0.25">
      <c r="A200" s="3">
        <f>MAX($A$4:A199)+1</f>
        <v>196</v>
      </c>
      <c r="B200" s="51" t="s">
        <v>2640</v>
      </c>
      <c r="C200" s="890"/>
      <c r="D200" s="193">
        <f>'Note 12'!F23</f>
        <v>0</v>
      </c>
      <c r="E200" s="2"/>
      <c r="F200" s="2"/>
      <c r="G200" s="2"/>
      <c r="H200" s="2"/>
      <c r="I200" s="2"/>
      <c r="J200" s="2"/>
      <c r="K200" s="2"/>
      <c r="L200" s="2"/>
    </row>
    <row r="201" spans="1:13" x14ac:dyDescent="0.25">
      <c r="A201" s="3">
        <f>MAX($A$4:A200)+1</f>
        <v>197</v>
      </c>
      <c r="B201" s="51" t="s">
        <v>2640</v>
      </c>
      <c r="C201" s="890"/>
      <c r="D201" s="193">
        <f>'Note 12'!F35</f>
        <v>0</v>
      </c>
      <c r="E201" s="2"/>
      <c r="F201" s="2"/>
      <c r="G201" s="2"/>
      <c r="H201" s="2"/>
      <c r="I201" s="2"/>
      <c r="J201" s="2"/>
      <c r="K201" s="2"/>
      <c r="L201" s="2"/>
    </row>
    <row r="202" spans="1:13" x14ac:dyDescent="0.25">
      <c r="A202" s="3">
        <f>MAX($A$4:A201)+1</f>
        <v>198</v>
      </c>
      <c r="B202" s="51" t="s">
        <v>2640</v>
      </c>
      <c r="C202" s="890"/>
      <c r="D202" s="193">
        <f>'Note 12'!F36</f>
        <v>0</v>
      </c>
      <c r="E202" s="2"/>
      <c r="F202" s="2"/>
      <c r="G202" s="2"/>
      <c r="H202" s="2"/>
      <c r="I202" s="2"/>
      <c r="J202" s="2"/>
      <c r="K202" s="2"/>
      <c r="L202" s="2"/>
    </row>
    <row r="203" spans="1:13" x14ac:dyDescent="0.25">
      <c r="A203" s="3">
        <f>MAX($A$4:A202)+1</f>
        <v>199</v>
      </c>
      <c r="B203" s="51" t="s">
        <v>2640</v>
      </c>
      <c r="C203" s="890"/>
      <c r="D203" s="193">
        <f>'Note 12'!F40</f>
        <v>0</v>
      </c>
      <c r="E203" s="2"/>
      <c r="F203" s="2"/>
      <c r="G203" s="2"/>
      <c r="H203" s="2"/>
      <c r="I203" s="2"/>
      <c r="J203" s="2"/>
      <c r="K203" s="2"/>
      <c r="L203" s="2"/>
    </row>
    <row r="204" spans="1:13" x14ac:dyDescent="0.25">
      <c r="A204" s="3">
        <f>MAX($A$4:A203)+1</f>
        <v>200</v>
      </c>
      <c r="B204" s="51" t="s">
        <v>2640</v>
      </c>
      <c r="C204" s="890"/>
      <c r="D204" s="193">
        <f>'Note 12'!F41</f>
        <v>0</v>
      </c>
      <c r="E204" s="2"/>
      <c r="F204" s="2"/>
      <c r="G204" s="2"/>
      <c r="H204" s="2"/>
      <c r="I204" s="2"/>
      <c r="J204" s="2"/>
      <c r="K204" s="2"/>
      <c r="L204" s="2"/>
    </row>
    <row r="205" spans="1:13" x14ac:dyDescent="0.25">
      <c r="A205" s="3">
        <f>MAX($A$4:A204)+1</f>
        <v>201</v>
      </c>
      <c r="B205" s="51" t="s">
        <v>2640</v>
      </c>
      <c r="C205" s="890"/>
      <c r="D205" s="193">
        <f>'Note 12'!C48</f>
        <v>0</v>
      </c>
      <c r="E205" s="193">
        <f>'Note 12'!E48</f>
        <v>0</v>
      </c>
      <c r="F205" s="193">
        <f>'Note 12'!L48</f>
        <v>0</v>
      </c>
      <c r="G205" s="193">
        <f>'Note 12'!N48</f>
        <v>0</v>
      </c>
      <c r="I205" s="2"/>
      <c r="J205" s="2"/>
      <c r="K205" s="2"/>
      <c r="L205" s="2"/>
    </row>
    <row r="206" spans="1:13" x14ac:dyDescent="0.25">
      <c r="A206" s="3">
        <f>MAX($A$4:A205)+1</f>
        <v>202</v>
      </c>
      <c r="B206" s="51" t="s">
        <v>2640</v>
      </c>
      <c r="C206" s="890"/>
      <c r="D206" s="193">
        <f>'Note 12'!C56</f>
        <v>0</v>
      </c>
      <c r="E206" s="193">
        <f>'Note 12'!E56</f>
        <v>0</v>
      </c>
      <c r="F206" s="193">
        <f>'Note 12'!G56</f>
        <v>0</v>
      </c>
      <c r="G206" s="193">
        <f>'Note 12'!I56</f>
        <v>0</v>
      </c>
      <c r="I206" s="2"/>
      <c r="J206" s="2"/>
      <c r="K206" s="2"/>
      <c r="L206" s="2"/>
    </row>
    <row r="207" spans="1:13" x14ac:dyDescent="0.25">
      <c r="A207" s="3">
        <f>MAX($A$4:A206)+1</f>
        <v>203</v>
      </c>
      <c r="B207" s="2"/>
      <c r="C207" s="890"/>
      <c r="D207" s="2"/>
      <c r="E207" s="2"/>
      <c r="F207" s="2"/>
      <c r="G207" s="2"/>
      <c r="H207" s="2"/>
      <c r="I207" s="2"/>
      <c r="J207" s="2"/>
      <c r="K207" s="2"/>
      <c r="L207" s="2"/>
    </row>
    <row r="208" spans="1:13" x14ac:dyDescent="0.25">
      <c r="A208" s="3">
        <f>MAX($A$4:A207)+1</f>
        <v>204</v>
      </c>
      <c r="B208" s="51" t="s">
        <v>2641</v>
      </c>
      <c r="C208" s="890"/>
      <c r="D208" s="193">
        <f>'Note 13'!C40</f>
        <v>0</v>
      </c>
      <c r="E208" s="193">
        <f>'Note 13'!E40</f>
        <v>0</v>
      </c>
      <c r="F208" s="193">
        <f>'Note 13'!G40</f>
        <v>0</v>
      </c>
      <c r="G208" s="193">
        <f>'Note 13'!I40</f>
        <v>0</v>
      </c>
      <c r="H208" s="193">
        <f>'Note 13'!K40</f>
        <v>0</v>
      </c>
      <c r="I208" s="193">
        <f>'Note 13'!M40</f>
        <v>0</v>
      </c>
      <c r="J208" s="2"/>
      <c r="K208" s="2"/>
      <c r="L208" s="2"/>
    </row>
    <row r="209" spans="1:14" x14ac:dyDescent="0.25">
      <c r="A209" s="3">
        <f>MAX($A$4:A208)+1</f>
        <v>205</v>
      </c>
      <c r="B209" s="51" t="s">
        <v>2641</v>
      </c>
      <c r="C209" s="890"/>
      <c r="D209" s="193">
        <f>'Note 13'!C60</f>
        <v>0</v>
      </c>
      <c r="E209" s="193">
        <f>'Note 13'!E60</f>
        <v>0</v>
      </c>
      <c r="F209" s="193">
        <f>'Note 13'!G41</f>
        <v>0</v>
      </c>
      <c r="G209" s="193">
        <f>'Note 13'!I41</f>
        <v>0</v>
      </c>
      <c r="H209" s="193">
        <f>'Note 13'!K41</f>
        <v>0</v>
      </c>
      <c r="I209" s="193">
        <f>'Note 13'!M41</f>
        <v>0</v>
      </c>
      <c r="J209" s="2"/>
      <c r="K209" s="2"/>
      <c r="L209" s="2"/>
    </row>
    <row r="210" spans="1:14" x14ac:dyDescent="0.25">
      <c r="A210" s="3">
        <f>MAX($A$4:A209)+1</f>
        <v>206</v>
      </c>
      <c r="B210" s="2"/>
      <c r="C210" s="890"/>
      <c r="D210" s="2"/>
      <c r="E210" s="2"/>
      <c r="F210" s="2"/>
      <c r="G210" s="2"/>
      <c r="H210" s="2"/>
      <c r="I210" s="2"/>
      <c r="J210" s="2"/>
      <c r="K210" s="2"/>
      <c r="L210" s="2"/>
    </row>
    <row r="211" spans="1:14" x14ac:dyDescent="0.25">
      <c r="A211" s="3">
        <f>MAX($A$4:A210)+1</f>
        <v>207</v>
      </c>
      <c r="B211" s="2" t="s">
        <v>2642</v>
      </c>
      <c r="C211" s="890"/>
      <c r="D211" s="193">
        <f>+'Note 14'!R32</f>
        <v>25011</v>
      </c>
      <c r="E211" s="193">
        <f>+'Note 14'!T32</f>
        <v>2465</v>
      </c>
      <c r="F211" s="193">
        <f>+'Note 14'!V32</f>
        <v>633992</v>
      </c>
      <c r="G211" s="193">
        <f>+'Note 14'!X32</f>
        <v>13630</v>
      </c>
      <c r="H211" s="193">
        <f>+'Note 14'!AA32</f>
        <v>7548</v>
      </c>
      <c r="I211" s="193">
        <f>+'Note 14'!AB32</f>
        <v>969922</v>
      </c>
      <c r="J211" s="2"/>
      <c r="K211" s="2"/>
      <c r="L211" s="2"/>
      <c r="M211" s="193">
        <f>'Note 14'!AD20</f>
        <v>0</v>
      </c>
      <c r="N211" s="193">
        <f>'Note 14'!AE20</f>
        <v>0</v>
      </c>
    </row>
    <row r="212" spans="1:14" x14ac:dyDescent="0.25">
      <c r="A212" s="3">
        <f>MAX($A$4:A211)+1</f>
        <v>208</v>
      </c>
      <c r="B212" s="2" t="s">
        <v>2642</v>
      </c>
      <c r="C212" s="890"/>
      <c r="D212" s="193">
        <f>+'Note 14'!R36</f>
        <v>0</v>
      </c>
      <c r="E212" s="193">
        <f>+'Note 14'!T36</f>
        <v>0</v>
      </c>
      <c r="F212" s="193">
        <f>+'Note 14'!V36</f>
        <v>0</v>
      </c>
      <c r="G212" s="193">
        <f>+'Note 14'!X36</f>
        <v>0</v>
      </c>
      <c r="H212" s="193">
        <f>+'Note 14'!AA36</f>
        <v>0</v>
      </c>
      <c r="I212" s="193">
        <f>+'Note 14'!AB36</f>
        <v>0</v>
      </c>
      <c r="J212" s="2"/>
      <c r="K212" s="2"/>
      <c r="L212" s="2"/>
      <c r="M212" s="193">
        <f>'Note 14'!AD21</f>
        <v>0</v>
      </c>
      <c r="N212" s="193">
        <f>'Note 14'!AE21</f>
        <v>0</v>
      </c>
    </row>
    <row r="213" spans="1:14" x14ac:dyDescent="0.25">
      <c r="A213" s="3">
        <f>MAX($A$4:A212)+1</f>
        <v>209</v>
      </c>
      <c r="B213" s="2"/>
      <c r="C213" s="890"/>
      <c r="D213" s="2"/>
      <c r="E213" s="2"/>
      <c r="F213" s="2"/>
      <c r="G213" s="2"/>
      <c r="H213" s="2"/>
      <c r="I213" s="2"/>
      <c r="J213" s="2"/>
      <c r="K213" s="2"/>
      <c r="L213" s="2"/>
    </row>
    <row r="214" spans="1:14" x14ac:dyDescent="0.25">
      <c r="A214" s="3">
        <f>MAX($A$4:A213)+1</f>
        <v>210</v>
      </c>
      <c r="B214" s="2" t="s">
        <v>1593</v>
      </c>
      <c r="C214" s="890"/>
      <c r="D214" s="193">
        <f>'Note 17'!C62</f>
        <v>0</v>
      </c>
      <c r="E214" s="193">
        <f>'Note 17'!D62</f>
        <v>0</v>
      </c>
      <c r="F214" s="2"/>
      <c r="G214" s="2"/>
      <c r="H214" s="2"/>
      <c r="I214" s="2"/>
      <c r="J214" s="2"/>
      <c r="K214" s="2"/>
      <c r="L214" s="2"/>
    </row>
    <row r="215" spans="1:14" x14ac:dyDescent="0.25">
      <c r="A215" s="3">
        <f>MAX($A$4:A214)+1</f>
        <v>211</v>
      </c>
      <c r="B215" s="2"/>
      <c r="C215" s="890"/>
      <c r="D215" s="2"/>
      <c r="E215" s="2"/>
      <c r="F215" s="2"/>
      <c r="G215" s="2"/>
      <c r="H215" s="2"/>
      <c r="I215" s="2"/>
      <c r="K215" s="2"/>
      <c r="L215" s="2"/>
    </row>
    <row r="216" spans="1:14" x14ac:dyDescent="0.25">
      <c r="A216" s="895">
        <f>MAX($A$4:A215)+1</f>
        <v>212</v>
      </c>
      <c r="B216" s="893"/>
      <c r="C216" s="894"/>
      <c r="D216" s="893"/>
      <c r="E216" s="893"/>
      <c r="F216" s="893"/>
      <c r="G216" s="893"/>
      <c r="H216" s="893"/>
      <c r="I216" s="893"/>
      <c r="K216" s="2"/>
      <c r="L216" s="2"/>
      <c r="M216" s="714"/>
      <c r="N216" s="714"/>
    </row>
    <row r="217" spans="1:14" ht="30" x14ac:dyDescent="0.25">
      <c r="A217" s="3">
        <f>MAX($A$4:A216)+1</f>
        <v>213</v>
      </c>
      <c r="B217" s="195" t="s">
        <v>2643</v>
      </c>
      <c r="C217" s="890"/>
      <c r="D217" s="16" t="s">
        <v>40</v>
      </c>
      <c r="E217" s="191" t="s">
        <v>1405</v>
      </c>
      <c r="F217" s="30" t="s">
        <v>63</v>
      </c>
      <c r="G217" s="2"/>
      <c r="H217" s="2"/>
      <c r="I217" s="11"/>
      <c r="J217" s="2"/>
      <c r="K217" s="2"/>
      <c r="L217" s="2"/>
    </row>
    <row r="218" spans="1:14" x14ac:dyDescent="0.25">
      <c r="A218" s="3">
        <f>MAX($A$4:A217)+1</f>
        <v>214</v>
      </c>
      <c r="B218" s="2" t="s">
        <v>282</v>
      </c>
      <c r="C218" s="890"/>
      <c r="D218" s="359" t="e">
        <f>SUMIF(SCNE!$B$20:$B$47,B218,SCNE!$F$20:$F$47)</f>
        <v>#VALUE!</v>
      </c>
      <c r="E218" s="359">
        <f>SUMIF(MAP!$D$358:$D$485,B218,MAP!$N$358:$N$485)</f>
        <v>0</v>
      </c>
      <c r="F218" s="360" t="e">
        <f t="shared" ref="F218:F222" si="0">E218-D218</f>
        <v>#VALUE!</v>
      </c>
      <c r="G218" s="2"/>
      <c r="H218" s="2"/>
      <c r="I218" s="11"/>
      <c r="J218" s="1824"/>
      <c r="K218" s="1824"/>
      <c r="L218" s="1824"/>
    </row>
    <row r="219" spans="1:14" x14ac:dyDescent="0.25">
      <c r="A219" s="3">
        <f>MAX($A$4:A218)+1</f>
        <v>215</v>
      </c>
      <c r="B219" s="2" t="s">
        <v>158</v>
      </c>
      <c r="C219" s="890"/>
      <c r="D219" s="359" t="e">
        <f>SUMIF(SCNE!$B$20:$B$47,B219,SCNE!$F$20:$F$47)</f>
        <v>#VALUE!</v>
      </c>
      <c r="E219" s="359">
        <f>SUMIF(MAP!$D$358:$D$485,B219,MAP!$N$358:$N$485)</f>
        <v>0</v>
      </c>
      <c r="F219" s="360" t="e">
        <f t="shared" si="0"/>
        <v>#VALUE!</v>
      </c>
      <c r="G219" s="2"/>
      <c r="H219" s="2"/>
      <c r="I219" s="11"/>
      <c r="J219" s="1824"/>
      <c r="K219" s="1824"/>
      <c r="L219" s="1824"/>
    </row>
    <row r="220" spans="1:14" x14ac:dyDescent="0.25">
      <c r="A220" s="3">
        <f>MAX($A$4:A219)+1</f>
        <v>216</v>
      </c>
      <c r="B220" s="2" t="s">
        <v>283</v>
      </c>
      <c r="C220" s="890"/>
      <c r="D220" s="359" t="e">
        <f>SUMIF(SCNE!$B$20:$B$47,B220,SCNE!$F$20:$F$47)</f>
        <v>#VALUE!</v>
      </c>
      <c r="E220" s="359">
        <f>SUMIF(MAP!$D$358:$D$485,B220,MAP!$N$358:$N$485)</f>
        <v>0</v>
      </c>
      <c r="F220" s="360" t="e">
        <f t="shared" si="0"/>
        <v>#VALUE!</v>
      </c>
      <c r="G220" s="2"/>
      <c r="H220" s="2"/>
      <c r="I220" s="11"/>
      <c r="J220" s="1824"/>
      <c r="K220" s="1824"/>
      <c r="L220" s="1824"/>
    </row>
    <row r="221" spans="1:14" x14ac:dyDescent="0.25">
      <c r="A221" s="3">
        <f>MAX($A$4:A220)+1</f>
        <v>217</v>
      </c>
      <c r="B221" s="2" t="s">
        <v>284</v>
      </c>
      <c r="C221" s="890"/>
      <c r="D221" s="359" t="e">
        <f>SUMIF(SCNE!$B$20:$B$47,B221,SCNE!$F$20:$F$47)</f>
        <v>#VALUE!</v>
      </c>
      <c r="E221" s="359">
        <f>SUMIF(MAP!$D$358:$D$485,B221,MAP!$N$358:$N$485)</f>
        <v>0</v>
      </c>
      <c r="F221" s="360" t="e">
        <f t="shared" si="0"/>
        <v>#VALUE!</v>
      </c>
      <c r="G221" s="2"/>
      <c r="H221" s="2"/>
      <c r="I221" s="11"/>
      <c r="J221" s="1824"/>
      <c r="K221" s="1824"/>
      <c r="L221" s="1824"/>
    </row>
    <row r="222" spans="1:14" x14ac:dyDescent="0.25">
      <c r="A222" s="3">
        <f>MAX($A$4:A221)+1</f>
        <v>218</v>
      </c>
      <c r="B222" s="2" t="s">
        <v>1005</v>
      </c>
      <c r="C222" s="890"/>
      <c r="D222" s="359" t="e">
        <f>SUMIF(SCNE!$B$20:$B$47,B222,SCNE!$F$20:$F$47)</f>
        <v>#VALUE!</v>
      </c>
      <c r="E222" s="359">
        <f>SUMIF(MAP!$D$358:$D$485,B222,MAP!$N$358:$N$485)</f>
        <v>0</v>
      </c>
      <c r="F222" s="360" t="e">
        <f t="shared" si="0"/>
        <v>#VALUE!</v>
      </c>
      <c r="G222" s="2"/>
      <c r="H222" s="2"/>
      <c r="I222" s="11"/>
      <c r="J222" s="1824"/>
      <c r="K222" s="1824"/>
      <c r="L222" s="1824"/>
    </row>
    <row r="223" spans="1:14" x14ac:dyDescent="0.25">
      <c r="A223" s="3">
        <f>MAX($A$4:A222)+1</f>
        <v>219</v>
      </c>
      <c r="B223" s="2" t="s">
        <v>464</v>
      </c>
      <c r="C223" s="890"/>
      <c r="D223" s="359" t="e">
        <f>SUMIF(SCNE!$B$20:$B$47,B223,SCNE!$F$20:$F$47)</f>
        <v>#VALUE!</v>
      </c>
      <c r="E223" s="359">
        <f>SUMIF(MAP!$D$358:$D$485,B223,MAP!$N$358:$N$485)</f>
        <v>0</v>
      </c>
      <c r="F223" s="360" t="e">
        <f>E223-D223-D224</f>
        <v>#VALUE!</v>
      </c>
      <c r="G223" s="1208"/>
      <c r="H223" s="2"/>
      <c r="I223" s="1066"/>
      <c r="J223" s="2"/>
      <c r="K223" s="2"/>
      <c r="L223" s="2"/>
    </row>
    <row r="224" spans="1:14" x14ac:dyDescent="0.25">
      <c r="A224" s="3">
        <f>MAX($A$4:A223)+1</f>
        <v>220</v>
      </c>
      <c r="B224" s="2" t="s">
        <v>2330</v>
      </c>
      <c r="C224" s="890"/>
      <c r="D224" s="359" t="e">
        <f>SUMIF(SCNE!$B$20:$B$47,B224,SCNE!$F$20:$F$47)</f>
        <v>#VALUE!</v>
      </c>
      <c r="E224" s="359">
        <f>SUMIF(MAP!$D$358:$D$485,B224,MAP!$N$358:$N$485)</f>
        <v>0</v>
      </c>
      <c r="F224" s="359"/>
      <c r="G224" s="2"/>
      <c r="H224" s="2"/>
      <c r="I224" s="11"/>
      <c r="J224" s="2"/>
      <c r="K224" s="2"/>
      <c r="L224" s="2"/>
    </row>
    <row r="225" spans="1:16" x14ac:dyDescent="0.25">
      <c r="A225" s="3">
        <f>MAX($A$4:A224)+1</f>
        <v>221</v>
      </c>
      <c r="B225" s="2" t="s">
        <v>310</v>
      </c>
      <c r="C225" s="890"/>
      <c r="D225" s="815" t="e">
        <f>SUMIF(SCNE!$B$20:$B$47,B225,SCNE!$F$20:$F$47)</f>
        <v>#VALUE!</v>
      </c>
      <c r="E225" s="815">
        <f>-SUMIF(MAP!$E$358:$E$485,"Interest receivable and other similar income",MAP!$N$358:$N$485)-SUMIF(MAP!$E$358:$E$485,"Interest receivable and other similar income ",MAP!$N$358:$N$485)</f>
        <v>0</v>
      </c>
      <c r="F225" s="360" t="e">
        <f>E225-D225</f>
        <v>#VALUE!</v>
      </c>
      <c r="G225" s="2"/>
      <c r="H225" s="2"/>
      <c r="I225" s="11"/>
      <c r="J225" s="2"/>
      <c r="K225" s="2"/>
      <c r="L225" s="2"/>
    </row>
    <row r="226" spans="1:16" x14ac:dyDescent="0.25">
      <c r="A226" s="3">
        <f>MAX($A$4:A225)+1</f>
        <v>222</v>
      </c>
      <c r="B226" s="2" t="s">
        <v>309</v>
      </c>
      <c r="C226" s="890"/>
      <c r="D226" s="359" t="e">
        <f>SUMIF(SCNE!$B$20:$B$47,B226,SCNE!$F$20:$F$47)</f>
        <v>#VALUE!</v>
      </c>
      <c r="E226" s="359">
        <f>SUMIF(MAP!$D$358:$D$485,B226,MAP!$N$358:$N$485)</f>
        <v>0</v>
      </c>
      <c r="F226" s="360" t="e">
        <f>E226-D226</f>
        <v>#VALUE!</v>
      </c>
      <c r="G226" s="2"/>
      <c r="H226" s="2"/>
      <c r="I226" s="1066"/>
      <c r="J226" s="2"/>
      <c r="K226" s="2"/>
      <c r="L226" s="2"/>
    </row>
    <row r="227" spans="1:16" x14ac:dyDescent="0.25">
      <c r="A227" s="3">
        <f>MAX($A$4:A226)+1</f>
        <v>223</v>
      </c>
      <c r="B227" s="2"/>
      <c r="C227" s="890"/>
      <c r="D227" s="2"/>
      <c r="E227" s="2"/>
      <c r="F227" s="2"/>
      <c r="G227" s="2"/>
      <c r="H227" s="2"/>
      <c r="I227" s="11"/>
      <c r="J227" s="2"/>
      <c r="K227" s="2"/>
      <c r="L227" s="2"/>
    </row>
    <row r="228" spans="1:16" x14ac:dyDescent="0.25">
      <c r="A228" s="3">
        <f>MAX($A$4:A227)+1</f>
        <v>224</v>
      </c>
      <c r="B228" s="195" t="s">
        <v>2643</v>
      </c>
      <c r="C228" s="890"/>
      <c r="D228" s="30" t="s">
        <v>40</v>
      </c>
      <c r="E228" s="30" t="s">
        <v>63</v>
      </c>
      <c r="F228" s="16" t="s">
        <v>1403</v>
      </c>
      <c r="G228" s="30" t="s">
        <v>1401</v>
      </c>
      <c r="H228" s="30" t="s">
        <v>1402</v>
      </c>
      <c r="I228" s="11"/>
      <c r="J228" s="2"/>
      <c r="K228" s="2"/>
      <c r="L228" s="2"/>
    </row>
    <row r="229" spans="1:16" x14ac:dyDescent="0.25">
      <c r="A229" s="3">
        <f>MAX($A$4:A228)+1</f>
        <v>225</v>
      </c>
      <c r="B229" s="51" t="s">
        <v>282</v>
      </c>
      <c r="C229" s="801"/>
      <c r="D229" s="359" t="e">
        <f>SUMIF(SCNE!$B$21:$B$47,B229,SCNE!$F$21:$F$47)</f>
        <v>#VALUE!</v>
      </c>
      <c r="E229" s="360" t="e">
        <f t="shared" ref="E229:E236" si="1">D229-F229</f>
        <v>#VALUE!</v>
      </c>
      <c r="F229" s="816">
        <f t="shared" ref="F229:F236" si="2">SUM(G229:H229)</f>
        <v>0</v>
      </c>
      <c r="G229" s="51">
        <f>SUMIF('Note 3a'!$H$9:$H$31,B229,'Note 3a'!$F$9:$F$31)</f>
        <v>0</v>
      </c>
      <c r="H229" s="359">
        <f>SUMIF('Note 3b &amp; 3c'!$I$10:$I$50,B229,'Note 3b &amp; 3c'!$F$10:$F$50)</f>
        <v>0</v>
      </c>
      <c r="I229" s="11"/>
      <c r="J229" s="2"/>
      <c r="K229" s="2"/>
      <c r="L229" s="2"/>
    </row>
    <row r="230" spans="1:16" x14ac:dyDescent="0.25">
      <c r="A230" s="3">
        <f>MAX($A$4:A229)+1</f>
        <v>226</v>
      </c>
      <c r="B230" s="51" t="s">
        <v>158</v>
      </c>
      <c r="C230" s="801"/>
      <c r="D230" s="359" t="e">
        <f>SUMIF(SCNE!$B$21:$B$47,B230,SCNE!$F$21:$F$47)</f>
        <v>#VALUE!</v>
      </c>
      <c r="E230" s="360" t="e">
        <f t="shared" si="1"/>
        <v>#VALUE!</v>
      </c>
      <c r="F230" s="816">
        <f t="shared" si="2"/>
        <v>0</v>
      </c>
      <c r="G230" s="51">
        <f>SUMIF('Note 3a'!$H$9:$H$31,B230,'Note 3a'!$F$9:$F$31)</f>
        <v>0</v>
      </c>
      <c r="H230" s="359">
        <f>SUMIF('Note 3b &amp; 3c'!$I$10:$I$50,B230,'Note 3b &amp; 3c'!$F$10:$F$50)</f>
        <v>0</v>
      </c>
      <c r="I230" s="11"/>
      <c r="J230" s="2"/>
      <c r="K230" s="2"/>
      <c r="L230" s="2"/>
    </row>
    <row r="231" spans="1:16" x14ac:dyDescent="0.25">
      <c r="A231" s="3">
        <f>MAX($A$4:A230)+1</f>
        <v>227</v>
      </c>
      <c r="B231" s="51" t="s">
        <v>283</v>
      </c>
      <c r="C231" s="801"/>
      <c r="D231" s="359" t="e">
        <f>SUMIF(SCNE!$B$21:$B$47,B231,SCNE!$F$21:$F$47)</f>
        <v>#VALUE!</v>
      </c>
      <c r="E231" s="360" t="e">
        <f t="shared" si="1"/>
        <v>#VALUE!</v>
      </c>
      <c r="F231" s="816">
        <f t="shared" si="2"/>
        <v>0</v>
      </c>
      <c r="G231" s="51">
        <f>SUMIF('Note 3a'!$H$9:$H$31,B231,'Note 3a'!$F$9:$F$31)</f>
        <v>0</v>
      </c>
      <c r="H231" s="359">
        <f>SUMIF('Note 3b &amp; 3c'!$I$10:$I$50,B231,'Note 3b &amp; 3c'!$F$10:$F$50)</f>
        <v>0</v>
      </c>
      <c r="I231" s="11"/>
      <c r="J231" s="2"/>
      <c r="K231" s="2"/>
      <c r="L231" s="2"/>
    </row>
    <row r="232" spans="1:16" x14ac:dyDescent="0.25">
      <c r="A232" s="3">
        <f>MAX($A$4:A231)+1</f>
        <v>228</v>
      </c>
      <c r="B232" s="51" t="s">
        <v>284</v>
      </c>
      <c r="C232" s="801"/>
      <c r="D232" s="359" t="e">
        <f>SUMIF(SCNE!$B$21:$B$47,B232,SCNE!$F$21:$F$47)</f>
        <v>#VALUE!</v>
      </c>
      <c r="E232" s="360" t="e">
        <f t="shared" si="1"/>
        <v>#VALUE!</v>
      </c>
      <c r="F232" s="816">
        <f t="shared" si="2"/>
        <v>0</v>
      </c>
      <c r="G232" s="51">
        <f>SUMIF('Note 3a'!$H$9:$H$31,B232,'Note 3a'!$F$9:$F$31)</f>
        <v>0</v>
      </c>
      <c r="H232" s="359">
        <f>SUMIF('Note 3b &amp; 3c'!$I$10:$I$50,B232,'Note 3b &amp; 3c'!$F$10:$F$50)</f>
        <v>0</v>
      </c>
      <c r="I232" s="11"/>
      <c r="J232" s="2"/>
      <c r="K232" s="2"/>
      <c r="L232" s="2"/>
    </row>
    <row r="233" spans="1:16" x14ac:dyDescent="0.25">
      <c r="A233" s="3">
        <f>MAX($A$4:A232)+1</f>
        <v>229</v>
      </c>
      <c r="B233" s="51" t="s">
        <v>1005</v>
      </c>
      <c r="C233" s="801"/>
      <c r="D233" s="359" t="e">
        <f>SUMIF(SCNE!$B$21:$B$47,B233,SCNE!$F$21:$F$47)</f>
        <v>#VALUE!</v>
      </c>
      <c r="E233" s="360" t="e">
        <f t="shared" si="1"/>
        <v>#VALUE!</v>
      </c>
      <c r="F233" s="816">
        <f t="shared" si="2"/>
        <v>0</v>
      </c>
      <c r="G233" s="51">
        <f>SUMIF('Note 3a'!$H$9:$H$31,B233,'Note 3a'!$F$9:$F$31)</f>
        <v>0</v>
      </c>
      <c r="H233" s="359">
        <f>SUM('Note 3b &amp; 3c'!F35:F40)</f>
        <v>0</v>
      </c>
      <c r="I233" s="11"/>
      <c r="J233" s="2"/>
      <c r="K233" s="2"/>
      <c r="L233" s="2"/>
    </row>
    <row r="234" spans="1:16" x14ac:dyDescent="0.25">
      <c r="A234" s="3">
        <f>MAX($A$4:A233)+1</f>
        <v>230</v>
      </c>
      <c r="B234" s="51" t="s">
        <v>464</v>
      </c>
      <c r="C234" s="801"/>
      <c r="D234" s="359" t="e">
        <f>SUMIF(SCNE!$B$21:$B$47,B234,SCNE!$F$21:$F$47)</f>
        <v>#VALUE!</v>
      </c>
      <c r="E234" s="360" t="e">
        <f>D234+D235-F234</f>
        <v>#VALUE!</v>
      </c>
      <c r="F234" s="816">
        <f t="shared" si="2"/>
        <v>0</v>
      </c>
      <c r="G234" s="51">
        <f>SUMIF('Note 3a'!$H$9:$H$31,B234,'Note 3a'!$F$9:$F$31)</f>
        <v>0</v>
      </c>
      <c r="H234" s="359">
        <f>SUMIF('Note 3b &amp; 3c'!$I$10:$I$50,B234,'Note 3b &amp; 3c'!$F$10:$F$50)</f>
        <v>0</v>
      </c>
      <c r="I234" s="1677"/>
      <c r="J234" s="2"/>
      <c r="K234" s="2"/>
      <c r="L234" s="2"/>
    </row>
    <row r="235" spans="1:16" x14ac:dyDescent="0.25">
      <c r="A235" s="3">
        <f>MAX($A$4:A234)+1</f>
        <v>231</v>
      </c>
      <c r="B235" s="2" t="s">
        <v>2330</v>
      </c>
      <c r="C235" s="801"/>
      <c r="D235" s="359" t="e">
        <f>SUMIF(SCNE!$B$21:$B$47,B235,SCNE!$F$21:$F$47)</f>
        <v>#VALUE!</v>
      </c>
      <c r="E235" s="360"/>
      <c r="F235" s="816"/>
      <c r="G235" s="51"/>
      <c r="H235" s="359"/>
      <c r="I235" s="1677"/>
      <c r="J235" s="2"/>
      <c r="K235" s="2"/>
      <c r="L235" s="2"/>
    </row>
    <row r="236" spans="1:16" x14ac:dyDescent="0.25">
      <c r="A236" s="3">
        <f>MAX($A$4:A235)+1</f>
        <v>232</v>
      </c>
      <c r="B236" s="51" t="s">
        <v>309</v>
      </c>
      <c r="C236" s="890"/>
      <c r="D236" s="359" t="e">
        <f>SUMIF(SCNE!$B$21:$B$47,B236,SCNE!$F$21:$F$47)</f>
        <v>#VALUE!</v>
      </c>
      <c r="E236" s="360" t="e">
        <f t="shared" si="1"/>
        <v>#VALUE!</v>
      </c>
      <c r="F236" s="816">
        <f t="shared" si="2"/>
        <v>0</v>
      </c>
      <c r="G236" s="51">
        <f>SUMIF('Note 3a'!$H$9:$H$31,B236,'Note 3a'!$F$9:$F$31)</f>
        <v>0</v>
      </c>
      <c r="H236" s="359">
        <f>SUMIF('Note 3b &amp; 3c'!$I$10:$I$50,B236,'Note 3b &amp; 3c'!$F$10:$F$50)</f>
        <v>0</v>
      </c>
      <c r="I236" s="1066"/>
      <c r="J236" s="2"/>
      <c r="K236" s="2"/>
      <c r="L236" s="2"/>
    </row>
    <row r="237" spans="1:16" x14ac:dyDescent="0.25">
      <c r="A237" s="3">
        <f>MAX($A$4:A236)+1</f>
        <v>233</v>
      </c>
      <c r="B237" s="2"/>
      <c r="C237" s="890"/>
      <c r="D237" s="2"/>
      <c r="E237" s="2"/>
      <c r="F237" s="2"/>
      <c r="G237" s="2"/>
      <c r="H237" s="2"/>
      <c r="I237" s="2"/>
      <c r="J237" s="2"/>
      <c r="K237" s="2"/>
      <c r="L237" s="2"/>
      <c r="M237" s="2" t="s">
        <v>1038</v>
      </c>
      <c r="N237" s="2" t="s">
        <v>1038</v>
      </c>
    </row>
    <row r="238" spans="1:16" ht="45" x14ac:dyDescent="0.25">
      <c r="A238" s="3">
        <f>MAX($A$4:A237)+1</f>
        <v>234</v>
      </c>
      <c r="B238" s="13" t="s">
        <v>2644</v>
      </c>
      <c r="C238" s="890"/>
      <c r="D238" s="30" t="s">
        <v>40</v>
      </c>
      <c r="E238" s="30" t="s">
        <v>63</v>
      </c>
      <c r="F238" s="191" t="s">
        <v>2645</v>
      </c>
      <c r="G238" s="30" t="s">
        <v>2533</v>
      </c>
      <c r="H238" s="30" t="s">
        <v>2534</v>
      </c>
      <c r="I238" s="30" t="s">
        <v>63</v>
      </c>
      <c r="J238" s="2"/>
      <c r="K238" s="2"/>
      <c r="L238" s="2"/>
      <c r="M238" s="30" t="s">
        <v>682</v>
      </c>
      <c r="N238" s="30" t="s">
        <v>682</v>
      </c>
      <c r="O238" s="30" t="s">
        <v>2647</v>
      </c>
      <c r="P238" s="30" t="s">
        <v>2296</v>
      </c>
    </row>
    <row r="239" spans="1:16" x14ac:dyDescent="0.25">
      <c r="A239" s="3">
        <f>MAX($A$4:A238)+1</f>
        <v>235</v>
      </c>
      <c r="B239" s="51" t="s">
        <v>160</v>
      </c>
      <c r="C239" s="891"/>
      <c r="F239" s="817">
        <f>SUM(G239:H239)</f>
        <v>0</v>
      </c>
      <c r="G239" s="51">
        <f>SUMIF('Note 3a'!$B$9:$B$31,B239,'Note 3a'!$F$9:$F$31)</f>
        <v>0</v>
      </c>
      <c r="H239" s="359">
        <f>SUMIF('Note 3b &amp; 3c'!$B$10:$B$50,B239,'Note 3b &amp; 3c'!$F$10:$F$50)</f>
        <v>0</v>
      </c>
      <c r="I239" s="360">
        <f>J249-F239</f>
        <v>0</v>
      </c>
      <c r="J239" s="11"/>
      <c r="K239" s="2"/>
      <c r="L239" s="2"/>
    </row>
    <row r="240" spans="1:16" x14ac:dyDescent="0.25">
      <c r="A240" s="3">
        <f>MAX($A$4:A239)+1</f>
        <v>236</v>
      </c>
      <c r="B240" s="51" t="s">
        <v>161</v>
      </c>
      <c r="C240" s="891"/>
      <c r="F240" s="817">
        <f>SUM(G240:H240)</f>
        <v>0</v>
      </c>
      <c r="G240" s="51">
        <f>SUMIF('Note 3a'!$B$9:$B$31,B240,'Note 3a'!$F$9:$F$31)</f>
        <v>0</v>
      </c>
      <c r="H240" s="359">
        <f>SUMIF('Note 3b &amp; 3c'!$B$10:$B$50,B240,'Note 3b &amp; 3c'!$F$10:$F$50)</f>
        <v>0</v>
      </c>
      <c r="I240" s="360">
        <f>J250-F240</f>
        <v>0</v>
      </c>
      <c r="J240" s="2"/>
      <c r="K240" s="2"/>
      <c r="L240" s="2"/>
      <c r="M240" s="815">
        <f>SUMIF('Note 6'!$B$24:$B$38,"Charged in year ",'Note 6'!$K$24:$K$38)</f>
        <v>0</v>
      </c>
      <c r="N240" s="815"/>
    </row>
    <row r="241" spans="1:21" ht="15" customHeight="1" x14ac:dyDescent="0.25">
      <c r="A241" s="3">
        <f>MAX($A$4:A240)+1</f>
        <v>237</v>
      </c>
      <c r="B241" s="51" t="s">
        <v>162</v>
      </c>
      <c r="C241" s="891"/>
      <c r="F241" s="817">
        <f>SUM(G241:H241)</f>
        <v>0</v>
      </c>
      <c r="G241" s="51">
        <f>SUMIF('Note 3a'!$B$9:$B$31,B241,'Note 3a'!$F$9:$F$31)</f>
        <v>0</v>
      </c>
      <c r="H241" s="815">
        <f>SUMIF('Note 3b &amp; 3c'!$B$10:$B$50,B241,'Note 3b &amp; 3c'!$F$10:$F$50)</f>
        <v>0</v>
      </c>
      <c r="I241" s="360">
        <f>J251-F241</f>
        <v>0</v>
      </c>
      <c r="J241" s="1938"/>
      <c r="K241" s="1938"/>
      <c r="L241" s="1938"/>
      <c r="M241" s="815">
        <f>SUMIF('Note 6'!$B$27:$B$39,"Impairments transferred to Consolidated Statement of Comprehensive Net Expenditure ",'Note 6'!$K$27:$K$39)</f>
        <v>0</v>
      </c>
      <c r="N241" s="815">
        <f>SUMIF('Note 6'!$B$14:$B$23,"Impairments transferred to Consolidated Statement of Comprehensive Net Expenditure",'Note 6'!$K$14:$K$23)</f>
        <v>0</v>
      </c>
      <c r="O241" s="815">
        <f>--'Note 5.4'!L18</f>
        <v>0</v>
      </c>
      <c r="P241">
        <f>+'Notes 8 &amp; 9'!J32</f>
        <v>0</v>
      </c>
    </row>
    <row r="242" spans="1:21" x14ac:dyDescent="0.25">
      <c r="A242" s="3">
        <f>MAX($A$4:A241)+1</f>
        <v>238</v>
      </c>
      <c r="B242" s="51" t="s">
        <v>283</v>
      </c>
      <c r="C242" s="890"/>
      <c r="D242" s="827" t="e">
        <f>SUMIF(SCNE!$B$21:$B$40,B242,SCNE!$F$21:$F$40)</f>
        <v>#VALUE!</v>
      </c>
      <c r="E242" s="360" t="e">
        <f>D242-F242</f>
        <v>#VALUE!</v>
      </c>
      <c r="F242" s="827">
        <f>SUM(F239:F241)</f>
        <v>0</v>
      </c>
      <c r="G242" s="815"/>
      <c r="H242" s="815"/>
      <c r="I242" s="828">
        <f>J252-F242</f>
        <v>0</v>
      </c>
      <c r="J242" s="1938"/>
      <c r="K242" s="1938"/>
      <c r="L242" s="1938"/>
      <c r="M242" s="827">
        <f t="shared" ref="J242:P252" si="3">SUM(M239:M241)</f>
        <v>0</v>
      </c>
      <c r="N242" s="827">
        <f t="shared" si="3"/>
        <v>0</v>
      </c>
      <c r="O242" s="827">
        <f t="shared" si="3"/>
        <v>0</v>
      </c>
      <c r="P242" s="827">
        <f t="shared" si="3"/>
        <v>0</v>
      </c>
      <c r="Q242" s="1370"/>
      <c r="R242" s="1681"/>
      <c r="S242" s="1208"/>
      <c r="T242" s="1372"/>
      <c r="U242" s="1208"/>
    </row>
    <row r="243" spans="1:21" x14ac:dyDescent="0.25">
      <c r="A243" s="3">
        <f>MAX($A$4:A242)+1</f>
        <v>239</v>
      </c>
      <c r="B243" s="51"/>
      <c r="C243" s="890"/>
      <c r="D243" s="815"/>
      <c r="E243" s="815"/>
      <c r="F243" s="815"/>
      <c r="G243" s="815"/>
      <c r="H243" s="815"/>
      <c r="I243" s="896"/>
      <c r="J243" s="2"/>
      <c r="K243" s="2"/>
      <c r="L243" s="2"/>
      <c r="O243" s="1211"/>
      <c r="P243" s="1211"/>
      <c r="R243" s="1208"/>
      <c r="S243" s="1208"/>
      <c r="T243" s="1372"/>
      <c r="U243" s="1208"/>
    </row>
    <row r="244" spans="1:21" x14ac:dyDescent="0.25">
      <c r="A244" s="3">
        <f>MAX($A$4:A243)+1</f>
        <v>240</v>
      </c>
      <c r="B244" s="51"/>
      <c r="C244" s="890"/>
      <c r="D244" s="815"/>
      <c r="E244" s="815"/>
      <c r="F244" s="815"/>
      <c r="G244" s="815"/>
      <c r="H244" s="815"/>
      <c r="I244" s="896"/>
      <c r="J244" s="2"/>
      <c r="K244" s="2"/>
      <c r="L244" s="2"/>
      <c r="R244" s="1208"/>
      <c r="S244" s="1208"/>
      <c r="T244" s="1372"/>
      <c r="U244" s="1208"/>
    </row>
    <row r="245" spans="1:21" x14ac:dyDescent="0.25">
      <c r="A245" s="3">
        <f>MAX($A$4:A244)+1</f>
        <v>241</v>
      </c>
      <c r="B245" s="51"/>
      <c r="C245" s="890"/>
      <c r="D245" s="815"/>
      <c r="E245" s="815"/>
      <c r="F245" s="815"/>
      <c r="G245" s="815"/>
      <c r="H245" s="815"/>
      <c r="I245" s="815"/>
      <c r="J245" s="2"/>
      <c r="K245" s="2"/>
      <c r="L245" s="2"/>
      <c r="R245" s="1208"/>
      <c r="S245" s="1208"/>
      <c r="T245" s="1372"/>
      <c r="U245" s="1208"/>
    </row>
    <row r="246" spans="1:21" x14ac:dyDescent="0.25">
      <c r="A246" s="3">
        <f>MAX($A$4:A245)+1</f>
        <v>242</v>
      </c>
      <c r="B246" s="819" t="s">
        <v>1406</v>
      </c>
      <c r="C246" s="890"/>
      <c r="D246" s="815"/>
      <c r="E246" s="815"/>
      <c r="F246" s="815"/>
      <c r="G246" s="30" t="s">
        <v>2533</v>
      </c>
      <c r="H246" s="30" t="s">
        <v>2534</v>
      </c>
      <c r="I246" s="815"/>
      <c r="J246" s="2"/>
      <c r="K246" s="2"/>
      <c r="L246" s="2"/>
      <c r="R246" s="1208"/>
      <c r="S246" s="1208"/>
      <c r="T246" s="1372"/>
      <c r="U246" s="1208"/>
    </row>
    <row r="247" spans="1:21" x14ac:dyDescent="0.25">
      <c r="A247" s="3">
        <f>MAX($A$4:A246)+1</f>
        <v>243</v>
      </c>
      <c r="B247" t="s">
        <v>1409</v>
      </c>
      <c r="C247" s="890"/>
      <c r="D247" s="815"/>
      <c r="E247" s="815"/>
      <c r="F247" s="815"/>
      <c r="G247" s="815"/>
      <c r="H247" s="815"/>
      <c r="I247" s="815"/>
      <c r="J247" s="2"/>
      <c r="K247" s="2" t="s">
        <v>1038</v>
      </c>
      <c r="L247" s="2" t="s">
        <v>1038</v>
      </c>
      <c r="R247" s="1208"/>
      <c r="S247" s="1208"/>
      <c r="T247" s="1372"/>
      <c r="U247" s="1208"/>
    </row>
    <row r="248" spans="1:21" ht="30" x14ac:dyDescent="0.25">
      <c r="A248" s="3">
        <f>MAX($A$4:A247)+1</f>
        <v>244</v>
      </c>
      <c r="B248" t="s">
        <v>457</v>
      </c>
      <c r="C248" s="890"/>
      <c r="D248" s="815"/>
      <c r="E248" s="815"/>
      <c r="F248" s="815"/>
      <c r="G248" s="815"/>
      <c r="H248" s="815"/>
      <c r="I248" s="815"/>
      <c r="J248" s="191" t="s">
        <v>2646</v>
      </c>
      <c r="K248" s="30" t="s">
        <v>1427</v>
      </c>
      <c r="L248" s="30" t="s">
        <v>1427</v>
      </c>
      <c r="R248" s="1208"/>
      <c r="S248" s="1208"/>
      <c r="T248" s="1372"/>
      <c r="U248" s="1208"/>
    </row>
    <row r="249" spans="1:21" x14ac:dyDescent="0.25">
      <c r="A249" s="3">
        <f>MAX($A$4:A248)+1</f>
        <v>245</v>
      </c>
      <c r="B249" t="s">
        <v>867</v>
      </c>
      <c r="C249" s="890"/>
      <c r="D249" s="815"/>
      <c r="E249" s="815"/>
      <c r="F249" s="815"/>
      <c r="G249" s="815"/>
      <c r="H249" s="815"/>
      <c r="I249" s="815"/>
      <c r="J249" s="818">
        <f>K249-L249+M239-N239</f>
        <v>0</v>
      </c>
      <c r="K249" s="815">
        <f>SUMIF('Note 5'!$B$25:$B$38,"Charged in year ",'Note 5'!$K$25:$K$38)</f>
        <v>0</v>
      </c>
      <c r="L249" s="815">
        <f>SUMIF('Note 5'!$B$10:$B$23,"Charged in year ",'Note 5'!$K$10:$K$23)</f>
        <v>0</v>
      </c>
      <c r="R249" s="1208"/>
      <c r="S249" s="1208"/>
      <c r="T249" s="1676"/>
      <c r="U249" s="1208"/>
    </row>
    <row r="250" spans="1:21" x14ac:dyDescent="0.25">
      <c r="A250" s="3">
        <f>MAX($A$4:A249)+1</f>
        <v>246</v>
      </c>
      <c r="B250" t="s">
        <v>863</v>
      </c>
      <c r="C250" s="890"/>
      <c r="D250" s="815"/>
      <c r="E250" s="815"/>
      <c r="F250" s="815"/>
      <c r="G250" s="815"/>
      <c r="H250" s="815"/>
      <c r="I250" s="815"/>
      <c r="J250" s="818">
        <f>K250-L250+M240-N240</f>
        <v>0</v>
      </c>
      <c r="R250" s="1369"/>
      <c r="S250" s="1208"/>
      <c r="T250" s="1208"/>
      <c r="U250" s="1208"/>
    </row>
    <row r="251" spans="1:21" x14ac:dyDescent="0.25">
      <c r="A251" s="3">
        <f>MAX($A$4:A250)+1</f>
        <v>247</v>
      </c>
      <c r="B251" t="s">
        <v>868</v>
      </c>
      <c r="C251" s="890"/>
      <c r="D251" s="815"/>
      <c r="E251" s="815"/>
      <c r="F251" s="815"/>
      <c r="G251" s="815"/>
      <c r="H251" s="815"/>
      <c r="I251" s="815"/>
      <c r="J251" s="818">
        <f>K251-L251+M241-N241</f>
        <v>0</v>
      </c>
      <c r="K251" s="815">
        <f>SUMIF('Note 5'!$B$25:$B$38,"Impairments transferred to Consolidated Statement of Comprehensive Net Expenditure ",'Note 5'!$K$25:$K$38)+SUMIF('Note 5'!$B$25:$B$38,"Reversal of impairments (indexation)",'Note 5'!$K$25:$K$38)</f>
        <v>0</v>
      </c>
      <c r="L251" s="815">
        <f>SUMIF('Note 5'!$B$10:$B$23,"Impairments transferred to Consolidated Statement of Comprehensive Net Expenditure",'Note 5'!$K$10:$K$23)+SUMIF('Note 5'!$B$10:$B$23,"Reversal of impairments (indexation)",'Note 5'!$K$10:$K$23)</f>
        <v>0</v>
      </c>
    </row>
    <row r="252" spans="1:21" x14ac:dyDescent="0.25">
      <c r="A252" s="3">
        <f>MAX($A$4:A251)+1</f>
        <v>248</v>
      </c>
      <c r="B252" t="s">
        <v>875</v>
      </c>
      <c r="C252" s="890"/>
      <c r="D252" s="815"/>
      <c r="E252" s="815"/>
      <c r="F252" s="815"/>
      <c r="G252" s="815"/>
      <c r="H252" s="815"/>
      <c r="I252" s="815"/>
      <c r="J252" s="827">
        <f t="shared" si="3"/>
        <v>0</v>
      </c>
      <c r="K252" s="827">
        <f t="shared" si="3"/>
        <v>0</v>
      </c>
      <c r="L252" s="827">
        <f t="shared" si="3"/>
        <v>0</v>
      </c>
    </row>
    <row r="253" spans="1:21" x14ac:dyDescent="0.25">
      <c r="A253" s="3">
        <f>MAX($A$4:A252)+1</f>
        <v>249</v>
      </c>
      <c r="B253" t="s">
        <v>1415</v>
      </c>
      <c r="C253" s="890"/>
      <c r="D253" s="815"/>
      <c r="E253" s="815"/>
      <c r="F253" s="815"/>
      <c r="G253" s="815"/>
      <c r="H253" s="815"/>
      <c r="I253" s="815"/>
      <c r="J253" s="815"/>
      <c r="K253" s="815"/>
      <c r="L253" s="815"/>
    </row>
    <row r="254" spans="1:21" x14ac:dyDescent="0.25">
      <c r="A254" s="3">
        <f>MAX($A$4:A253)+1</f>
        <v>250</v>
      </c>
      <c r="B254" t="s">
        <v>1410</v>
      </c>
      <c r="C254" s="891"/>
      <c r="D254" s="815"/>
      <c r="E254" s="815"/>
      <c r="F254" s="815"/>
      <c r="G254" s="815"/>
      <c r="H254" s="815"/>
      <c r="I254" s="815"/>
      <c r="J254" s="815"/>
      <c r="K254" s="815"/>
      <c r="L254" s="815"/>
    </row>
    <row r="255" spans="1:21" x14ac:dyDescent="0.25">
      <c r="A255" s="3">
        <f>MAX($A$4:A254)+1</f>
        <v>251</v>
      </c>
      <c r="B255" t="s">
        <v>1416</v>
      </c>
      <c r="C255" s="891"/>
      <c r="D255" s="815"/>
      <c r="E255" s="815"/>
      <c r="F255" s="815"/>
      <c r="G255" s="815"/>
      <c r="H255" s="815"/>
      <c r="I255" s="815"/>
      <c r="J255" s="815"/>
      <c r="K255" s="815"/>
      <c r="L255" s="815"/>
    </row>
    <row r="256" spans="1:21" ht="30" x14ac:dyDescent="0.25">
      <c r="A256" s="3">
        <f>MAX($A$4:A255)+1</f>
        <v>252</v>
      </c>
      <c r="C256" s="891"/>
      <c r="D256" s="815"/>
      <c r="E256" s="815"/>
      <c r="F256" s="815"/>
      <c r="G256" s="815"/>
      <c r="H256" s="815"/>
      <c r="I256" s="815"/>
      <c r="J256" s="191" t="s">
        <v>2648</v>
      </c>
      <c r="K256" s="30" t="s">
        <v>1427</v>
      </c>
      <c r="L256" s="30" t="s">
        <v>682</v>
      </c>
    </row>
    <row r="257" spans="1:12" x14ac:dyDescent="0.25">
      <c r="A257" s="3">
        <f>MAX($A$4:A256)+1</f>
        <v>253</v>
      </c>
      <c r="B257" s="1" t="s">
        <v>1875</v>
      </c>
      <c r="C257" s="891"/>
      <c r="F257" s="1082" t="e">
        <f>'Staff Data'!G15</f>
        <v>#VALUE!</v>
      </c>
      <c r="J257" s="818">
        <f>K257+L257</f>
        <v>0</v>
      </c>
      <c r="K257" s="815">
        <f>SUMIF('Note 5'!$B$25:$B$38,$B247,'Note 5'!$K$25:$K$38)</f>
        <v>0</v>
      </c>
      <c r="L257" s="815">
        <f>SUMIF('Note 6'!$B$24:$B$38,$B247,'Note 6'!$K$24:$K$38)</f>
        <v>0</v>
      </c>
    </row>
    <row r="258" spans="1:12" x14ac:dyDescent="0.25">
      <c r="A258" s="3">
        <f>MAX($A$4:A257)+1</f>
        <v>254</v>
      </c>
      <c r="B258" s="1" t="s">
        <v>1875</v>
      </c>
      <c r="C258" s="891"/>
      <c r="F258" s="1082">
        <f>'Staff Data'!F38</f>
        <v>0</v>
      </c>
      <c r="J258" s="818">
        <f t="shared" ref="J258:J265" si="4">K258+L258</f>
        <v>0</v>
      </c>
      <c r="K258" s="815">
        <f>SUMIF('Note 5'!$B$25:$B$38,$B248,'Note 5'!$K$25:$K$38)</f>
        <v>0</v>
      </c>
      <c r="L258" s="815">
        <f>SUMIF('Note 6'!$B$24:$B$38,$B248,'Note 6'!$K$24:$K$38)</f>
        <v>0</v>
      </c>
    </row>
    <row r="259" spans="1:12" x14ac:dyDescent="0.25">
      <c r="A259" s="3">
        <f>MAX($A$4:A258)+1</f>
        <v>255</v>
      </c>
      <c r="C259" s="891"/>
      <c r="J259" s="818">
        <f t="shared" si="4"/>
        <v>0</v>
      </c>
      <c r="K259" s="815">
        <f>SUMIF('Note 5'!$B$25:$B$38,$B249,'Note 5'!$K$25:$K$38)</f>
        <v>0</v>
      </c>
      <c r="L259" s="815">
        <f>SUMIF('Note 6'!$B$24:$B$38,$B249,'Note 6'!$K$24:$K$38)</f>
        <v>0</v>
      </c>
    </row>
    <row r="260" spans="1:12" x14ac:dyDescent="0.25">
      <c r="A260" s="3">
        <f>MAX($A$4:A259)+1</f>
        <v>256</v>
      </c>
      <c r="C260" s="891"/>
      <c r="J260" s="818">
        <f t="shared" si="4"/>
        <v>0</v>
      </c>
      <c r="K260" s="815">
        <f>SUMIF('Note 5'!$B$25:$B$38,$B250,'Note 5'!$K$25:$K$38)</f>
        <v>0</v>
      </c>
      <c r="L260" s="815">
        <f>SUMIF('Note 6'!$B$24:$B$38,$B250,'Note 6'!$K$24:$K$38)</f>
        <v>0</v>
      </c>
    </row>
    <row r="261" spans="1:12" x14ac:dyDescent="0.25">
      <c r="A261" s="3">
        <f>MAX($A$4:A260)+1</f>
        <v>257</v>
      </c>
      <c r="B261" t="s">
        <v>1894</v>
      </c>
      <c r="C261" s="891"/>
      <c r="D261" s="1082">
        <f>'Note 19'!D18</f>
        <v>0</v>
      </c>
      <c r="F261" s="1082">
        <f>'Note 19'!E18</f>
        <v>0</v>
      </c>
      <c r="J261" s="818">
        <f t="shared" si="4"/>
        <v>0</v>
      </c>
      <c r="K261" s="815">
        <f>SUMIF('Note 5'!$B$25:$B$38,$B251,'Note 5'!$K$25:$K$38)</f>
        <v>0</v>
      </c>
      <c r="L261" s="815">
        <f>SUMIF('Note 6'!$B$24:$B$38,$B251,'Note 6'!$K$24:$K$38)</f>
        <v>0</v>
      </c>
    </row>
    <row r="262" spans="1:12" x14ac:dyDescent="0.25">
      <c r="A262" s="3">
        <f>MAX($A$4:A261)+1</f>
        <v>258</v>
      </c>
      <c r="B262" t="s">
        <v>1895</v>
      </c>
      <c r="C262" s="891"/>
      <c r="D262" s="1082">
        <f>'Note 19'!D35</f>
        <v>0</v>
      </c>
      <c r="F262" s="1082">
        <f>'Note 19'!E35</f>
        <v>0</v>
      </c>
      <c r="J262" s="818">
        <f t="shared" si="4"/>
        <v>0</v>
      </c>
      <c r="K262" s="815">
        <f>SUMIF('Note 5'!$B$25:$B$38,$B252,'Note 5'!$K$25:$K$38)</f>
        <v>0</v>
      </c>
      <c r="L262" s="815">
        <f>SUMIF('Note 6'!$B$24:$B$38,$B252,'Note 6'!$K$24:$K$38)</f>
        <v>0</v>
      </c>
    </row>
    <row r="263" spans="1:12" x14ac:dyDescent="0.25">
      <c r="A263" s="3">
        <f>MAX($A$4:A262)+1</f>
        <v>259</v>
      </c>
      <c r="B263" t="s">
        <v>1896</v>
      </c>
      <c r="C263" s="891"/>
      <c r="D263" s="1082">
        <f>'Note 21'!C17</f>
        <v>0</v>
      </c>
      <c r="F263" s="1082">
        <f>'Note 21'!D17</f>
        <v>0</v>
      </c>
      <c r="J263" s="818">
        <f t="shared" si="4"/>
        <v>0</v>
      </c>
      <c r="K263" s="815">
        <f>SUMIF('Note 5'!$B$25:$B$38,$B253,'Note 5'!$K$25:$K$38)</f>
        <v>0</v>
      </c>
      <c r="L263" s="815">
        <f>SUMIF('Note 6'!$B$24:$B$38,$B253,'Note 6'!$K$24:$K$38)</f>
        <v>0</v>
      </c>
    </row>
    <row r="264" spans="1:12" x14ac:dyDescent="0.25">
      <c r="A264" s="3">
        <f>MAX($A$4:A263)+1</f>
        <v>260</v>
      </c>
      <c r="C264" s="891"/>
      <c r="J264" s="818">
        <f t="shared" si="4"/>
        <v>0</v>
      </c>
      <c r="K264" s="815">
        <f>SUMIF('Note 5'!$B$25:$B$38,$B254,'Note 5'!$K$25:$K$38)</f>
        <v>0</v>
      </c>
      <c r="L264" s="815">
        <f>SUMIF('Note 6'!$B$24:$B$38,$B254,'Note 6'!$K$24:$K$38)</f>
        <v>0</v>
      </c>
    </row>
    <row r="265" spans="1:12" x14ac:dyDescent="0.25">
      <c r="A265" s="3">
        <f>MAX($A$4:A264)+1</f>
        <v>261</v>
      </c>
      <c r="B265" t="s">
        <v>1875</v>
      </c>
      <c r="C265" s="891"/>
      <c r="D265" s="1082" t="e">
        <f>'Staff Data'!G15</f>
        <v>#VALUE!</v>
      </c>
      <c r="J265" s="818">
        <f t="shared" si="4"/>
        <v>0</v>
      </c>
      <c r="K265" s="815">
        <f>SUMIF('Note 5'!$B$25:$B$38,$B255,'Note 5'!$K$25:$K$38)</f>
        <v>0</v>
      </c>
      <c r="L265" s="815">
        <f>SUMIF('Note 6'!$B$24:$B$38,$B255,'Note 6'!$K$24:$K$38)</f>
        <v>0</v>
      </c>
    </row>
    <row r="266" spans="1:12" x14ac:dyDescent="0.25">
      <c r="A266" s="3">
        <f>MAX($A$4:A265)+1</f>
        <v>262</v>
      </c>
      <c r="B266" t="s">
        <v>1875</v>
      </c>
      <c r="C266" s="891"/>
      <c r="D266" s="1082">
        <f>'Staff Data'!F38</f>
        <v>0</v>
      </c>
      <c r="J266" s="815"/>
      <c r="K266" s="815"/>
      <c r="L266" s="815"/>
    </row>
    <row r="267" spans="1:12" x14ac:dyDescent="0.25">
      <c r="A267" s="3">
        <f>MAX($A$4:A266)+1</f>
        <v>263</v>
      </c>
      <c r="B267" t="s">
        <v>1875</v>
      </c>
      <c r="C267" s="891"/>
      <c r="D267" s="1082">
        <f>'Staff Data'!F80</f>
        <v>0</v>
      </c>
    </row>
    <row r="268" spans="1:12" x14ac:dyDescent="0.25">
      <c r="A268" s="3">
        <f>MAX($A$4:A267)+1</f>
        <v>264</v>
      </c>
      <c r="B268" t="s">
        <v>1875</v>
      </c>
      <c r="C268" s="891"/>
      <c r="D268" s="1082">
        <f>'Staff Data'!I80</f>
        <v>0</v>
      </c>
    </row>
    <row r="269" spans="1:12" x14ac:dyDescent="0.25">
      <c r="A269" s="3">
        <f>MAX($A$4:A268)+1</f>
        <v>265</v>
      </c>
      <c r="C269" s="891"/>
    </row>
    <row r="270" spans="1:12" x14ac:dyDescent="0.25">
      <c r="A270" s="3">
        <f>MAX($A$4:A269)+1</f>
        <v>266</v>
      </c>
      <c r="C270" s="891"/>
    </row>
    <row r="271" spans="1:12" x14ac:dyDescent="0.25">
      <c r="A271" s="3">
        <f>MAX($A$4:A270)+1</f>
        <v>267</v>
      </c>
      <c r="C271" s="891"/>
    </row>
    <row r="272" spans="1:12" x14ac:dyDescent="0.25">
      <c r="A272" s="3">
        <f>MAX($A$4:A271)+1</f>
        <v>268</v>
      </c>
      <c r="C272" s="891"/>
    </row>
    <row r="273" spans="1:6" x14ac:dyDescent="0.25">
      <c r="A273" s="3">
        <f>MAX($A$4:A272)+1</f>
        <v>269</v>
      </c>
      <c r="C273" s="891"/>
      <c r="E273" s="62" t="s">
        <v>494</v>
      </c>
      <c r="F273" s="63" t="s">
        <v>2686</v>
      </c>
    </row>
    <row r="274" spans="1:6" x14ac:dyDescent="0.25">
      <c r="A274" s="3">
        <f>MAX($A$4:A273)+1</f>
        <v>270</v>
      </c>
      <c r="B274" t="s">
        <v>720</v>
      </c>
      <c r="E274" t="str">
        <f>+SOAS!I39</f>
        <v>OK</v>
      </c>
      <c r="F274" t="str">
        <f>+SOAS!F39</f>
        <v>OK</v>
      </c>
    </row>
    <row r="275" spans="1:6" x14ac:dyDescent="0.25">
      <c r="A275" s="3">
        <f>MAX($A$4:A274)+1</f>
        <v>271</v>
      </c>
      <c r="B275" t="s">
        <v>2104</v>
      </c>
      <c r="C275" t="s">
        <v>503</v>
      </c>
      <c r="F275">
        <f>+'SOAS 1.1'!C79</f>
        <v>0</v>
      </c>
    </row>
    <row r="276" spans="1:6" x14ac:dyDescent="0.25">
      <c r="A276" s="3">
        <f>MAX($A$4:A275)+1</f>
        <v>272</v>
      </c>
      <c r="B276" t="s">
        <v>2104</v>
      </c>
      <c r="C276" t="s">
        <v>721</v>
      </c>
      <c r="F276">
        <f>+'SOAS 1.1'!C80</f>
        <v>0</v>
      </c>
    </row>
    <row r="277" spans="1:6" x14ac:dyDescent="0.25">
      <c r="A277" s="3">
        <f>MAX($A$4:A276)+1</f>
        <v>273</v>
      </c>
      <c r="B277" t="s">
        <v>2104</v>
      </c>
      <c r="C277" t="s">
        <v>2669</v>
      </c>
      <c r="F277" t="str">
        <f>+'SOAS 1.1'!F80</f>
        <v>OK</v>
      </c>
    </row>
    <row r="278" spans="1:6" x14ac:dyDescent="0.25">
      <c r="A278" s="3">
        <f>MAX($A$4:A277)+1</f>
        <v>274</v>
      </c>
      <c r="B278" t="s">
        <v>2104</v>
      </c>
      <c r="C278" t="s">
        <v>2670</v>
      </c>
      <c r="F278" t="str">
        <f>+'SOAS 1.1'!G80</f>
        <v>OK</v>
      </c>
    </row>
    <row r="279" spans="1:6" x14ac:dyDescent="0.25">
      <c r="A279" s="3">
        <f>MAX($A$4:A278)+1</f>
        <v>275</v>
      </c>
      <c r="B279" t="s">
        <v>2104</v>
      </c>
      <c r="C279" t="s">
        <v>2671</v>
      </c>
      <c r="F279" t="str">
        <f>+'SOAS 1.1'!H80</f>
        <v>OK</v>
      </c>
    </row>
    <row r="280" spans="1:6" x14ac:dyDescent="0.25">
      <c r="A280" s="3">
        <f>MAX($A$4:A279)+1</f>
        <v>276</v>
      </c>
      <c r="B280" t="s">
        <v>2104</v>
      </c>
      <c r="C280" t="s">
        <v>2672</v>
      </c>
      <c r="F280" t="str">
        <f>+'SOAS 1.1'!F81</f>
        <v>OK</v>
      </c>
    </row>
    <row r="281" spans="1:6" x14ac:dyDescent="0.25">
      <c r="A281" s="3">
        <f>MAX($A$4:A280)+1</f>
        <v>277</v>
      </c>
      <c r="B281" t="s">
        <v>2104</v>
      </c>
      <c r="C281" t="s">
        <v>2673</v>
      </c>
      <c r="F281" t="str">
        <f>+'SOAS 1.1'!G81</f>
        <v>OK</v>
      </c>
    </row>
    <row r="282" spans="1:6" x14ac:dyDescent="0.25">
      <c r="A282" s="3">
        <f>MAX($A$4:A281)+1</f>
        <v>278</v>
      </c>
      <c r="B282" t="s">
        <v>2104</v>
      </c>
      <c r="C282" t="s">
        <v>2674</v>
      </c>
      <c r="F282" t="str">
        <f>+'SOAS 1.1'!H81</f>
        <v>OK</v>
      </c>
    </row>
    <row r="283" spans="1:6" x14ac:dyDescent="0.25">
      <c r="A283" s="3">
        <f>MAX($A$4:A282)+1</f>
        <v>279</v>
      </c>
      <c r="B283" t="s">
        <v>2105</v>
      </c>
      <c r="C283" t="s">
        <v>2675</v>
      </c>
      <c r="F283" t="str">
        <f>+'SOAS 1.2'!C78</f>
        <v>OK</v>
      </c>
    </row>
    <row r="284" spans="1:6" x14ac:dyDescent="0.25">
      <c r="A284" s="3">
        <f>MAX($A$4:A283)+1</f>
        <v>280</v>
      </c>
      <c r="B284" t="s">
        <v>2105</v>
      </c>
      <c r="C284" t="s">
        <v>2676</v>
      </c>
      <c r="F284" t="str">
        <f>+'SOAS 1.2'!D78</f>
        <v>OK</v>
      </c>
    </row>
    <row r="285" spans="1:6" x14ac:dyDescent="0.25">
      <c r="A285" s="3">
        <f>MAX($A$4:A284)+1</f>
        <v>281</v>
      </c>
      <c r="B285" t="s">
        <v>2105</v>
      </c>
      <c r="C285" t="s">
        <v>2677</v>
      </c>
      <c r="F285" t="str">
        <f>+'SOAS 1.2'!E78</f>
        <v>OK</v>
      </c>
    </row>
    <row r="286" spans="1:6" x14ac:dyDescent="0.25">
      <c r="A286" s="3">
        <f>MAX($A$4:A285)+1</f>
        <v>282</v>
      </c>
      <c r="B286" t="s">
        <v>2105</v>
      </c>
      <c r="C286" t="s">
        <v>2678</v>
      </c>
      <c r="F286" t="str">
        <f>+'SOAS 1.2'!C79</f>
        <v>OK</v>
      </c>
    </row>
    <row r="287" spans="1:6" x14ac:dyDescent="0.25">
      <c r="A287" s="3">
        <f>MAX($A$4:A286)+1</f>
        <v>283</v>
      </c>
      <c r="B287" t="s">
        <v>2105</v>
      </c>
      <c r="C287" t="s">
        <v>2679</v>
      </c>
      <c r="F287" t="str">
        <f>+'SOAS 1.2'!D79</f>
        <v>OK</v>
      </c>
    </row>
    <row r="288" spans="1:6" x14ac:dyDescent="0.25">
      <c r="A288" s="3">
        <f>MAX($A$4:A287)+1</f>
        <v>284</v>
      </c>
      <c r="B288" t="s">
        <v>2105</v>
      </c>
      <c r="C288" t="s">
        <v>2680</v>
      </c>
      <c r="F288" t="str">
        <f>+'SOAS 1.2'!E79</f>
        <v>OK</v>
      </c>
    </row>
    <row r="289" spans="1:6" x14ac:dyDescent="0.25">
      <c r="A289" s="3">
        <f>MAX($A$4:A288)+1</f>
        <v>285</v>
      </c>
      <c r="B289" t="s">
        <v>498</v>
      </c>
      <c r="C289" t="s">
        <v>40</v>
      </c>
      <c r="F289" t="e">
        <f>+'SoAS 2'!D22</f>
        <v>#VALUE!</v>
      </c>
    </row>
    <row r="290" spans="1:6" x14ac:dyDescent="0.25">
      <c r="A290" s="3">
        <f>MAX($A$4:A289)+1</f>
        <v>286</v>
      </c>
      <c r="B290" t="s">
        <v>2681</v>
      </c>
      <c r="C290" t="s">
        <v>2200</v>
      </c>
      <c r="F290" t="e">
        <f>'SoAS 3-Core and agencies only'!D45</f>
        <v>#VALUE!</v>
      </c>
    </row>
    <row r="291" spans="1:6" x14ac:dyDescent="0.25">
      <c r="A291" s="3">
        <f>MAX($A$4:A290)+1</f>
        <v>287</v>
      </c>
      <c r="B291" t="s">
        <v>2681</v>
      </c>
      <c r="C291" t="s">
        <v>2682</v>
      </c>
      <c r="F291" t="str">
        <f>'SoAS 3-Core and agencies only'!E45</f>
        <v>OK</v>
      </c>
    </row>
    <row r="292" spans="1:6" x14ac:dyDescent="0.25">
      <c r="A292" s="3">
        <f>MAX($A$4:A291)+1</f>
        <v>288</v>
      </c>
      <c r="B292" t="s">
        <v>2681</v>
      </c>
      <c r="C292" t="s">
        <v>2683</v>
      </c>
      <c r="F292" t="str">
        <f>'SoAS 3-Core and agencies only'!H16</f>
        <v>OK</v>
      </c>
    </row>
    <row r="293" spans="1:6" x14ac:dyDescent="0.25">
      <c r="A293" s="3">
        <f>MAX($A$4:A292)+1</f>
        <v>289</v>
      </c>
      <c r="B293" t="s">
        <v>501</v>
      </c>
      <c r="C293" t="s">
        <v>2200</v>
      </c>
      <c r="F293" t="e">
        <f>+'SoAS 3'!D38</f>
        <v>#VALUE!</v>
      </c>
    </row>
    <row r="294" spans="1:6" x14ac:dyDescent="0.25">
      <c r="A294" s="3">
        <f>MAX($A$4:A293)+1</f>
        <v>290</v>
      </c>
      <c r="B294" t="s">
        <v>501</v>
      </c>
      <c r="C294" t="s">
        <v>2682</v>
      </c>
      <c r="F294" t="str">
        <f>+'SoAS 3'!E38</f>
        <v>OK</v>
      </c>
    </row>
    <row r="295" spans="1:6" x14ac:dyDescent="0.25">
      <c r="A295" s="3">
        <f>MAX($A$4:A294)+1</f>
        <v>291</v>
      </c>
      <c r="B295" t="s">
        <v>501</v>
      </c>
      <c r="C295" t="s">
        <v>2683</v>
      </c>
      <c r="F295" t="e">
        <f>+'SoAS 3'!F38</f>
        <v>#VALUE!</v>
      </c>
    </row>
    <row r="296" spans="1:6" x14ac:dyDescent="0.25">
      <c r="A296" s="3">
        <f>MAX($A$4:A295)+1</f>
        <v>292</v>
      </c>
      <c r="B296" t="s">
        <v>502</v>
      </c>
      <c r="C296" t="s">
        <v>2684</v>
      </c>
      <c r="F296" t="str">
        <f>+'SoAS 4'!E24</f>
        <v>OK</v>
      </c>
    </row>
    <row r="297" spans="1:6" x14ac:dyDescent="0.25">
      <c r="A297" s="3">
        <f>MAX($A$4:A296)+1</f>
        <v>293</v>
      </c>
      <c r="B297" t="s">
        <v>502</v>
      </c>
      <c r="C297" t="s">
        <v>2685</v>
      </c>
      <c r="F297" t="str">
        <f>+'SoAS 4'!E25</f>
        <v>ERROR</v>
      </c>
    </row>
  </sheetData>
  <mergeCells count="7">
    <mergeCell ref="J241:L242"/>
    <mergeCell ref="L51:S51"/>
    <mergeCell ref="L50:S50"/>
    <mergeCell ref="L49:S49"/>
    <mergeCell ref="L54:S54"/>
    <mergeCell ref="L52:S52"/>
    <mergeCell ref="L53:S53"/>
  </mergeCells>
  <phoneticPr fontId="83" type="noConversion"/>
  <printOptions horizontalCentered="1"/>
  <pageMargins left="0.51181102362204722" right="0.31496062992125984" top="0.55118110236220474" bottom="0.35433070866141736" header="0.11811023622047245" footer="0.11811023622047245"/>
  <pageSetup paperSize="9" scale="38" fitToHeight="0" orientation="portrait" r:id="rId1"/>
  <headerFooter>
    <oddFooter>&amp;L&amp;D &amp;T&amp;CPage &amp;P of &amp;N&amp;R&amp;F &amp;A</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1">
    <tabColor theme="9" tint="0.59999389629810485"/>
    <pageSetUpPr fitToPage="1"/>
  </sheetPr>
  <dimension ref="A1:CF165"/>
  <sheetViews>
    <sheetView zoomScale="83" zoomScaleNormal="83" workbookViewId="0">
      <pane xSplit="4" ySplit="4" topLeftCell="E5" activePane="bottomRight" state="frozen"/>
      <selection activeCell="G5" sqref="G4:G5"/>
      <selection pane="topRight" activeCell="G5" sqref="G4:G5"/>
      <selection pane="bottomLeft" activeCell="G5" sqref="G4:G5"/>
      <selection pane="bottomRight" activeCell="G5" sqref="G4:G5"/>
    </sheetView>
  </sheetViews>
  <sheetFormatPr defaultRowHeight="15" outlineLevelRow="1" outlineLevelCol="1" x14ac:dyDescent="0.25"/>
  <cols>
    <col min="1" max="1" width="2.85546875" customWidth="1"/>
    <col min="3" max="3" width="14.85546875" customWidth="1"/>
    <col min="4" max="4" width="61.140625" customWidth="1"/>
    <col min="5" max="5" width="18" customWidth="1"/>
    <col min="6" max="6" width="14.28515625" bestFit="1" customWidth="1"/>
    <col min="7" max="7" width="9.140625" customWidth="1" outlineLevel="1"/>
    <col min="8" max="8" width="10.85546875" customWidth="1" outlineLevel="1"/>
    <col min="9" max="10" width="9.140625" customWidth="1" outlineLevel="1"/>
    <col min="11" max="11" width="11.42578125" customWidth="1" outlineLevel="1"/>
    <col min="12" max="12" width="13.85546875" customWidth="1"/>
    <col min="13" max="13" width="13.85546875" customWidth="1" outlineLevel="1"/>
    <col min="14" max="14" width="11.85546875" customWidth="1" outlineLevel="1"/>
    <col min="15" max="15" width="12.140625" customWidth="1"/>
    <col min="16" max="16" width="14" customWidth="1"/>
    <col min="18" max="18" width="11.5703125" bestFit="1" customWidth="1"/>
    <col min="19" max="19" width="10" bestFit="1" customWidth="1"/>
    <col min="20" max="20" width="13.85546875" customWidth="1"/>
    <col min="22" max="22" width="13.140625" customWidth="1"/>
    <col min="23" max="23" width="10.28515625" customWidth="1"/>
    <col min="24" max="24" width="11.140625" customWidth="1"/>
    <col min="25" max="25" width="10" bestFit="1" customWidth="1"/>
    <col min="26" max="26" width="11.42578125" customWidth="1"/>
    <col min="27" max="27" width="10.5703125" customWidth="1"/>
    <col min="28" max="28" width="11.42578125" customWidth="1"/>
    <col min="31" max="31" width="14.5703125" customWidth="1"/>
    <col min="32" max="32" width="10.5703125" customWidth="1"/>
    <col min="33" max="33" width="11.140625" customWidth="1"/>
  </cols>
  <sheetData>
    <row r="1" spans="1:39" x14ac:dyDescent="0.25">
      <c r="A1" s="2"/>
      <c r="B1" s="35" t="str">
        <f>Update!$B$6</f>
        <v>Department of Health</v>
      </c>
      <c r="C1" s="16"/>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9" x14ac:dyDescent="0.25">
      <c r="A2" s="2"/>
      <c r="B2" s="35" t="str">
        <f>Update!$A$3</f>
        <v>2025-26</v>
      </c>
      <c r="C2" s="2"/>
      <c r="D2" s="2"/>
      <c r="E2" s="2"/>
      <c r="F2" s="24"/>
      <c r="G2" s="24"/>
      <c r="H2" s="24"/>
      <c r="I2" s="24"/>
      <c r="J2" s="24"/>
      <c r="K2" s="24"/>
      <c r="L2" s="24"/>
      <c r="M2" s="24"/>
      <c r="N2" s="24"/>
      <c r="O2" s="24">
        <v>1</v>
      </c>
      <c r="P2" s="24">
        <v>2</v>
      </c>
      <c r="Q2" s="24">
        <v>3</v>
      </c>
      <c r="R2" s="24">
        <v>4</v>
      </c>
      <c r="S2" s="24">
        <v>5</v>
      </c>
      <c r="T2" s="24">
        <v>6</v>
      </c>
      <c r="U2" s="24">
        <v>7</v>
      </c>
      <c r="V2" s="24">
        <v>8</v>
      </c>
      <c r="W2" s="24">
        <v>8.1</v>
      </c>
      <c r="X2" s="24">
        <v>9</v>
      </c>
      <c r="Y2" s="24">
        <v>10</v>
      </c>
      <c r="Z2" s="24">
        <v>11</v>
      </c>
      <c r="AA2" s="24">
        <v>12</v>
      </c>
      <c r="AB2" s="24">
        <v>13</v>
      </c>
      <c r="AC2" s="24">
        <v>14</v>
      </c>
      <c r="AD2" s="24">
        <v>15</v>
      </c>
      <c r="AE2" s="24">
        <v>16</v>
      </c>
      <c r="AF2" s="24">
        <v>17</v>
      </c>
      <c r="AG2" s="24">
        <v>18</v>
      </c>
      <c r="AH2" s="24">
        <v>19</v>
      </c>
      <c r="AI2" s="24">
        <v>20</v>
      </c>
      <c r="AJ2" s="24"/>
      <c r="AK2" s="24"/>
      <c r="AL2" s="24"/>
      <c r="AM2" s="24"/>
    </row>
    <row r="3" spans="1:39" ht="76.5" x14ac:dyDescent="0.25">
      <c r="A3" s="2"/>
      <c r="B3" s="192" t="s">
        <v>1359</v>
      </c>
      <c r="C3" s="192"/>
      <c r="D3" s="2"/>
      <c r="E3" s="30" t="s">
        <v>44</v>
      </c>
      <c r="F3" s="689" t="s">
        <v>347</v>
      </c>
      <c r="G3" s="688" t="s">
        <v>65</v>
      </c>
      <c r="H3" s="687" t="s">
        <v>364</v>
      </c>
      <c r="I3" s="687" t="s">
        <v>66</v>
      </c>
      <c r="J3" s="687" t="s">
        <v>362</v>
      </c>
      <c r="K3" s="688" t="s">
        <v>64</v>
      </c>
      <c r="L3" s="693" t="s">
        <v>346</v>
      </c>
      <c r="M3" s="685" t="s">
        <v>1337</v>
      </c>
      <c r="N3" s="688" t="s">
        <v>65</v>
      </c>
      <c r="O3" s="687" t="s">
        <v>1324</v>
      </c>
      <c r="P3" s="715" t="s">
        <v>2457</v>
      </c>
      <c r="Q3" s="715" t="s">
        <v>5</v>
      </c>
      <c r="R3" s="715" t="s">
        <v>11</v>
      </c>
      <c r="S3" s="715" t="s">
        <v>25</v>
      </c>
      <c r="T3" s="715" t="s">
        <v>1011</v>
      </c>
      <c r="U3" s="715" t="s">
        <v>19</v>
      </c>
      <c r="V3" s="715" t="s">
        <v>35</v>
      </c>
      <c r="W3" s="715" t="s">
        <v>902</v>
      </c>
      <c r="X3" s="715" t="s">
        <v>2446</v>
      </c>
      <c r="Y3" s="715" t="s">
        <v>23</v>
      </c>
      <c r="Z3" s="705" t="s">
        <v>33</v>
      </c>
      <c r="AA3" s="715" t="s">
        <v>31</v>
      </c>
      <c r="AB3" s="715" t="s">
        <v>7</v>
      </c>
      <c r="AC3" s="715" t="s">
        <v>27</v>
      </c>
      <c r="AD3" s="715" t="s">
        <v>29</v>
      </c>
      <c r="AE3" s="715" t="s">
        <v>13</v>
      </c>
      <c r="AF3" s="715" t="s">
        <v>9</v>
      </c>
      <c r="AG3" s="715" t="s">
        <v>15</v>
      </c>
      <c r="AH3" s="715" t="s">
        <v>37</v>
      </c>
      <c r="AI3" s="715" t="s">
        <v>39</v>
      </c>
      <c r="AJ3" s="715" t="s">
        <v>1878</v>
      </c>
      <c r="AK3" s="715" t="s">
        <v>1878</v>
      </c>
      <c r="AL3" s="715" t="s">
        <v>1878</v>
      </c>
      <c r="AM3" s="715" t="s">
        <v>1878</v>
      </c>
    </row>
    <row r="4" spans="1:39" x14ac:dyDescent="0.25">
      <c r="A4" s="2"/>
      <c r="B4" s="3"/>
      <c r="C4" s="3"/>
      <c r="D4" s="7"/>
      <c r="E4" s="902"/>
      <c r="F4" s="856" t="s">
        <v>462</v>
      </c>
      <c r="G4" s="856" t="s">
        <v>462</v>
      </c>
      <c r="H4" s="856" t="s">
        <v>462</v>
      </c>
      <c r="I4" s="856" t="s">
        <v>462</v>
      </c>
      <c r="J4" s="856" t="s">
        <v>462</v>
      </c>
      <c r="K4" s="856" t="s">
        <v>462</v>
      </c>
      <c r="L4" s="856" t="s">
        <v>462</v>
      </c>
      <c r="M4" s="856" t="s">
        <v>462</v>
      </c>
      <c r="N4" s="856" t="s">
        <v>462</v>
      </c>
      <c r="O4" s="856" t="s">
        <v>462</v>
      </c>
      <c r="P4" s="856" t="s">
        <v>462</v>
      </c>
      <c r="Q4" s="856" t="s">
        <v>462</v>
      </c>
      <c r="R4" s="856" t="s">
        <v>462</v>
      </c>
      <c r="S4" s="856" t="s">
        <v>462</v>
      </c>
      <c r="T4" s="856" t="s">
        <v>462</v>
      </c>
      <c r="U4" s="856" t="s">
        <v>462</v>
      </c>
      <c r="V4" s="856" t="s">
        <v>462</v>
      </c>
      <c r="W4" s="856" t="s">
        <v>462</v>
      </c>
      <c r="X4" s="856" t="s">
        <v>462</v>
      </c>
      <c r="Y4" s="856" t="s">
        <v>462</v>
      </c>
      <c r="Z4" s="856" t="s">
        <v>462</v>
      </c>
      <c r="AA4" s="856" t="s">
        <v>462</v>
      </c>
      <c r="AB4" s="856" t="s">
        <v>462</v>
      </c>
      <c r="AC4" s="856" t="s">
        <v>462</v>
      </c>
      <c r="AD4" s="856" t="s">
        <v>462</v>
      </c>
      <c r="AE4" s="856" t="s">
        <v>462</v>
      </c>
      <c r="AF4" s="856" t="s">
        <v>462</v>
      </c>
      <c r="AG4" s="856" t="s">
        <v>462</v>
      </c>
      <c r="AH4" s="856" t="s">
        <v>462</v>
      </c>
      <c r="AI4" s="856" t="s">
        <v>462</v>
      </c>
      <c r="AJ4" s="856" t="s">
        <v>462</v>
      </c>
      <c r="AK4" s="856" t="s">
        <v>462</v>
      </c>
      <c r="AL4" s="856" t="s">
        <v>462</v>
      </c>
      <c r="AM4" s="856" t="s">
        <v>462</v>
      </c>
    </row>
    <row r="5" spans="1:39" x14ac:dyDescent="0.25">
      <c r="A5" s="2"/>
      <c r="B5" s="3">
        <v>1</v>
      </c>
      <c r="C5" s="3"/>
      <c r="D5" s="7" t="s">
        <v>799</v>
      </c>
      <c r="E5" s="90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row>
    <row r="6" spans="1:39" x14ac:dyDescent="0.25">
      <c r="A6" s="2"/>
      <c r="B6" s="3">
        <f>MAX($B$4:B5)+1</f>
        <v>2</v>
      </c>
      <c r="C6" s="3" t="s">
        <v>40</v>
      </c>
      <c r="D6" s="7" t="s">
        <v>1059</v>
      </c>
      <c r="E6" s="902"/>
      <c r="F6" s="821" t="e">
        <f>MAP!N11+MAP!N21-MAP!N479</f>
        <v>#VALUE!</v>
      </c>
      <c r="G6" s="821">
        <f>MAP!O11+MAP!O21-MAP!O479</f>
        <v>0</v>
      </c>
      <c r="H6" s="821">
        <f>MAP!P11+MAP!P21-MAP!P479</f>
        <v>0</v>
      </c>
      <c r="I6" s="821">
        <f>MAP!Q11+MAP!Q21-MAP!Q479</f>
        <v>0</v>
      </c>
      <c r="J6" s="821">
        <f>MAP!R11+MAP!R21-MAP!R479</f>
        <v>0</v>
      </c>
      <c r="K6" s="821">
        <f>MAP!S11+MAP!S21-MAP!S479</f>
        <v>0</v>
      </c>
      <c r="L6" s="821" t="e">
        <f>MAP!T11+MAP!T21-MAP!T479</f>
        <v>#VALUE!</v>
      </c>
      <c r="M6" s="821">
        <f>MAP!U11+MAP!U21-MAP!U479</f>
        <v>0</v>
      </c>
      <c r="N6" s="821">
        <f>MAP!V11+MAP!V21-MAP!V479</f>
        <v>0</v>
      </c>
      <c r="O6" s="824" t="e">
        <f>MAP!W11+MAP!W21-(MAP!W479)</f>
        <v>#VALUE!</v>
      </c>
      <c r="P6" s="821">
        <f>MAP!X11+MAP!X21-MAP!X479</f>
        <v>0</v>
      </c>
      <c r="Q6" s="821">
        <f>MAP!Y11+MAP!Y21-MAP!Y479</f>
        <v>0</v>
      </c>
      <c r="R6" s="821">
        <f>MAP!Z11+MAP!Z21-MAP!Z479</f>
        <v>0</v>
      </c>
      <c r="S6" s="821">
        <f>MAP!AA11+MAP!AA21-MAP!AA479</f>
        <v>0</v>
      </c>
      <c r="T6" s="821">
        <f>MAP!AB11+MAP!AB21-MAP!AB479</f>
        <v>0</v>
      </c>
      <c r="U6" s="821">
        <f>MAP!AC11+MAP!AC21-MAP!AC479</f>
        <v>0</v>
      </c>
      <c r="V6" s="821">
        <f>MAP!AD11+MAP!AD21-MAP!AD479</f>
        <v>0</v>
      </c>
      <c r="W6" s="821">
        <f>MAP!AE11+MAP!AE21-MAP!AE479</f>
        <v>0</v>
      </c>
      <c r="X6" s="821">
        <f>MAP!AF11+MAP!AF21-MAP!AF479</f>
        <v>0</v>
      </c>
      <c r="Y6" s="821">
        <f>MAP!AG11+MAP!AG21-MAP!AG479</f>
        <v>0</v>
      </c>
      <c r="Z6" s="821">
        <f>MAP!AH11+MAP!AH21-MAP!AH479</f>
        <v>0</v>
      </c>
      <c r="AA6" s="821">
        <f>MAP!AI11+MAP!AI21-MAP!AI479</f>
        <v>0</v>
      </c>
      <c r="AB6" s="821">
        <f>MAP!AJ11+MAP!AJ21-MAP!AJ479</f>
        <v>0</v>
      </c>
      <c r="AC6" s="821">
        <f>MAP!AK11+MAP!AK21-MAP!AK479</f>
        <v>0</v>
      </c>
      <c r="AD6" s="821">
        <f>MAP!AL11+MAP!AL21-MAP!AL479</f>
        <v>0</v>
      </c>
      <c r="AE6" s="821">
        <f>MAP!AM11+MAP!AM21-MAP!AM479</f>
        <v>0</v>
      </c>
      <c r="AF6" s="821">
        <f>MAP!AN11+MAP!AN21-MAP!AN479</f>
        <v>0</v>
      </c>
      <c r="AG6" s="821">
        <f>MAP!AO11+MAP!AO21-MAP!AO479</f>
        <v>0</v>
      </c>
      <c r="AH6" s="821">
        <f>MAP!AP11+MAP!AP21-MAP!AP479</f>
        <v>0</v>
      </c>
      <c r="AI6" s="821">
        <f>MAP!AQ11+MAP!AQ21-MAP!AQ479</f>
        <v>0</v>
      </c>
      <c r="AJ6" s="821">
        <f>MAP!AR11+MAP!AR21-MAP!AR479</f>
        <v>0</v>
      </c>
      <c r="AK6" s="821">
        <f>MAP!AS11+MAP!AS21-MAP!AS479</f>
        <v>0</v>
      </c>
      <c r="AL6" s="821">
        <f>MAP!AT11+MAP!AT21-MAP!AT479</f>
        <v>0</v>
      </c>
      <c r="AM6" s="821">
        <f>MAP!AU11+MAP!AU21-MAP!AU479</f>
        <v>0</v>
      </c>
    </row>
    <row r="7" spans="1:39" x14ac:dyDescent="0.25">
      <c r="A7" s="2"/>
      <c r="B7" s="3">
        <f>MAX($B$4:B6)+1</f>
        <v>3</v>
      </c>
      <c r="C7" s="3" t="s">
        <v>40</v>
      </c>
      <c r="D7" s="7" t="s">
        <v>1058</v>
      </c>
      <c r="E7" s="902"/>
      <c r="F7" s="821" t="e">
        <f>MAP!N13+(MAP!N360+MAP!N361+MAP!N362+MAP!N392+MAP!N393+MAP!N394)</f>
        <v>#VALUE!</v>
      </c>
      <c r="G7" s="821">
        <f>MAP!O13+(MAP!O360+MAP!O361+MAP!O362+MAP!O392+MAP!O393+MAP!O394)</f>
        <v>0</v>
      </c>
      <c r="H7" s="821">
        <f>MAP!P13+(MAP!P360+MAP!P361+MAP!P362+MAP!P392+MAP!P393+MAP!P394)</f>
        <v>0</v>
      </c>
      <c r="I7" s="821">
        <f>MAP!Q13+(MAP!Q360+MAP!Q361+MAP!Q362+MAP!Q392+MAP!Q393+MAP!Q394)</f>
        <v>0</v>
      </c>
      <c r="J7" s="821">
        <f>MAP!R13+(MAP!R360+MAP!R361+MAP!R362+MAP!R392+MAP!R393+MAP!R394)</f>
        <v>0</v>
      </c>
      <c r="K7" s="821">
        <f>MAP!S13+(MAP!S360+MAP!S361+MAP!S362+MAP!S392+MAP!S393+MAP!S394)</f>
        <v>0</v>
      </c>
      <c r="L7" s="821" t="e">
        <f>MAP!T13+(MAP!T360+MAP!T361+MAP!T362+MAP!T392+MAP!T393+MAP!T394)</f>
        <v>#VALUE!</v>
      </c>
      <c r="M7" s="821">
        <f>MAP!U13+(MAP!U360+MAP!U361+MAP!U362+MAP!U392+MAP!U393+MAP!U394)</f>
        <v>0</v>
      </c>
      <c r="N7" s="821">
        <f>+(MAP!V360+MAP!V361+MAP!V362+MAP!V392+MAP!V393+MAP!V394)</f>
        <v>0</v>
      </c>
      <c r="O7" s="824" t="e">
        <f>MAP!W13+(MAP!W360+MAP!W361+MAP!W362+MAP!W392+MAP!W393+MAP!W394)</f>
        <v>#VALUE!</v>
      </c>
      <c r="P7" s="821">
        <f>MAP!X13+(MAP!X360+MAP!X361+MAP!X362+MAP!X392+MAP!X393+MAP!X394)</f>
        <v>0</v>
      </c>
      <c r="Q7" s="821">
        <f>MAP!Y13+(MAP!Y360+MAP!Y361+MAP!Y362+MAP!Y392+MAP!Y393+MAP!Y394)</f>
        <v>0</v>
      </c>
      <c r="R7" s="821">
        <f>MAP!Z13+(MAP!Z360+MAP!Z361+MAP!Z362+MAP!Z392+MAP!Z393+MAP!Z394)</f>
        <v>0</v>
      </c>
      <c r="S7" s="821">
        <f>MAP!AA13+(MAP!AA360+MAP!AA361+MAP!AA362+MAP!AA392+MAP!AA393+MAP!AA394)</f>
        <v>0</v>
      </c>
      <c r="T7" s="821">
        <f>MAP!AB13+(MAP!AB360+MAP!AB361+MAP!AB362+MAP!AB392+MAP!AB393+MAP!AB394)</f>
        <v>0</v>
      </c>
      <c r="U7" s="821">
        <f>MAP!AC13+(MAP!AC360+MAP!AC361+MAP!AC362+MAP!AC392+MAP!AC393+MAP!AC394)</f>
        <v>0</v>
      </c>
      <c r="V7" s="821">
        <f>MAP!AD13+(MAP!AD360+MAP!AD361+MAP!AD362+MAP!AD392+MAP!AD393+MAP!AD394)</f>
        <v>0</v>
      </c>
      <c r="W7" s="821">
        <f>MAP!AE13+(MAP!AE360+MAP!AE361+MAP!AE362+MAP!AE392+MAP!AE393+MAP!AE394)</f>
        <v>0</v>
      </c>
      <c r="X7" s="821">
        <f>MAP!AF13+(MAP!AF360+MAP!AF361+MAP!AF362+MAP!AF392+MAP!AF393+MAP!AF394)</f>
        <v>0</v>
      </c>
      <c r="Y7" s="821">
        <f>MAP!AG13+(MAP!AG360+MAP!AG361+MAP!AG362+MAP!AG392+MAP!AG393+MAP!AG394)</f>
        <v>0</v>
      </c>
      <c r="Z7" s="821">
        <f>MAP!AH13+(MAP!AH360+MAP!AH361+MAP!AH362+MAP!AH392+MAP!AH393+MAP!AH394)</f>
        <v>0</v>
      </c>
      <c r="AA7" s="821">
        <f>MAP!AI13+(MAP!AI360+MAP!AI361+MAP!AI362+MAP!AI392+MAP!AI393+MAP!AI394)</f>
        <v>0</v>
      </c>
      <c r="AB7" s="821">
        <f>MAP!AJ13+(MAP!AJ360+MAP!AJ361+MAP!AJ362+MAP!AJ392+MAP!AJ393+MAP!AJ394)</f>
        <v>0</v>
      </c>
      <c r="AC7" s="821">
        <f>MAP!AK13+(MAP!AK360+MAP!AK361+MAP!AK362+MAP!AK392+MAP!AK393+MAP!AK394)</f>
        <v>0</v>
      </c>
      <c r="AD7" s="821">
        <f>MAP!AL13+(MAP!AL360+MAP!AL361+MAP!AL362+MAP!AL392+MAP!AL393+MAP!AL394)</f>
        <v>0</v>
      </c>
      <c r="AE7" s="821">
        <f>MAP!AM13+(MAP!AM360+MAP!AM361+MAP!AM362+MAP!AM392+MAP!AM393+MAP!AM394)</f>
        <v>0</v>
      </c>
      <c r="AF7" s="821">
        <f>MAP!AN13+(MAP!AN360+MAP!AN361+MAP!AN362+MAP!AN392+MAP!AN393+MAP!AN394)</f>
        <v>0</v>
      </c>
      <c r="AG7" s="821">
        <f>MAP!AO13+(MAP!AO360+MAP!AO361+MAP!AO362+MAP!AO392+MAP!AO393+MAP!AO394)</f>
        <v>0</v>
      </c>
      <c r="AH7" s="821">
        <f>MAP!AP13+(MAP!AP360+MAP!AP361+MAP!AP362+MAP!AP392+MAP!AP393+MAP!AP394)</f>
        <v>0</v>
      </c>
      <c r="AI7" s="821">
        <f>MAP!AQ13+(MAP!AQ360+MAP!AQ361+MAP!AQ362+MAP!AQ392+MAP!AQ393+MAP!AQ394)</f>
        <v>0</v>
      </c>
      <c r="AJ7" s="821">
        <f>MAP!AR13+(MAP!AR360+MAP!AR361+MAP!AR362+MAP!AR392+MAP!AR393+MAP!AR394)</f>
        <v>0</v>
      </c>
      <c r="AK7" s="821">
        <f>MAP!AS13+(MAP!AS360+MAP!AS361+MAP!AS362+MAP!AS392+MAP!AS393+MAP!AS394)</f>
        <v>0</v>
      </c>
      <c r="AL7" s="821">
        <f>MAP!AT13+(MAP!AT360+MAP!AT361+MAP!AT362+MAP!AT392+MAP!AT393+MAP!AT394)</f>
        <v>0</v>
      </c>
      <c r="AM7" s="821">
        <f>MAP!AU13+(MAP!AU360+MAP!AU361+MAP!AU362+MAP!AU392+MAP!AU393+MAP!AU394)</f>
        <v>0</v>
      </c>
    </row>
    <row r="8" spans="1:39" x14ac:dyDescent="0.25">
      <c r="A8" s="2"/>
      <c r="B8" s="3">
        <f>MAX($B$4:B7)+1</f>
        <v>4</v>
      </c>
      <c r="C8" s="3" t="s">
        <v>40</v>
      </c>
      <c r="D8" s="7" t="s">
        <v>1060</v>
      </c>
      <c r="E8" s="1837"/>
      <c r="F8" s="821" t="e">
        <f>MAP!N22+MAP!N20+MAP!N27+(+MAP!N388+MAP!N431)</f>
        <v>#VALUE!</v>
      </c>
      <c r="G8" s="821">
        <f>MAP!O22+MAP!O20+MAP!O27+(+MAP!O388+MAP!O431)</f>
        <v>0</v>
      </c>
      <c r="H8" s="821">
        <f>MAP!P22+MAP!P20+MAP!P27+(+MAP!P388+MAP!P431)</f>
        <v>0</v>
      </c>
      <c r="I8" s="821">
        <f>MAP!Q22+MAP!Q20+MAP!Q27+(+MAP!Q388+MAP!Q431)</f>
        <v>0</v>
      </c>
      <c r="J8" s="821">
        <f>MAP!R22+MAP!R20+MAP!R27+(+MAP!R388+MAP!R431)</f>
        <v>0</v>
      </c>
      <c r="K8" s="821">
        <f>MAP!S22+MAP!S20+MAP!S27+(+MAP!S388+MAP!S431)</f>
        <v>0</v>
      </c>
      <c r="L8" s="821" t="e">
        <f>MAP!T22+MAP!T20+MAP!T27+(+MAP!T388+MAP!T431)</f>
        <v>#VALUE!</v>
      </c>
      <c r="M8" s="821">
        <f>MAP!U22+MAP!U20+MAP!U27+(+MAP!U388+MAP!U431)</f>
        <v>0</v>
      </c>
      <c r="N8" s="821">
        <f>MAP!V22+MAP!V20+MAP!V27+(+MAP!V388+MAP!V431)</f>
        <v>0</v>
      </c>
      <c r="O8" s="824" t="e">
        <f>MAP!W22+MAP!W20+MAP!W27+(+MAP!W388+MAP!W431)</f>
        <v>#VALUE!</v>
      </c>
      <c r="P8" s="821">
        <f>MAP!X22+MAP!X20+MAP!X27+(+MAP!X388+MAP!X431)</f>
        <v>0</v>
      </c>
      <c r="Q8" s="821">
        <f>MAP!Y22+MAP!Y20+MAP!Y27+(+MAP!Y388+MAP!Y431)</f>
        <v>0</v>
      </c>
      <c r="R8" s="821">
        <f>MAP!Z22+MAP!Z20+MAP!Z27+(+MAP!Z388+MAP!Z431)</f>
        <v>0</v>
      </c>
      <c r="S8" s="821">
        <f>MAP!AA22+MAP!AA20+MAP!AA27+(+MAP!AA388+MAP!AA431)</f>
        <v>0</v>
      </c>
      <c r="T8" s="821">
        <f>MAP!AB22+MAP!AB20+MAP!AB27+(+MAP!AB388+MAP!AB431)</f>
        <v>0</v>
      </c>
      <c r="U8" s="821">
        <f>MAP!AC22+MAP!AC20+MAP!AC27+(+MAP!AC388+MAP!AC431)</f>
        <v>0</v>
      </c>
      <c r="V8" s="821">
        <f>MAP!AD22+MAP!AD20+MAP!AD27+(+MAP!AD388+MAP!AD431)</f>
        <v>0</v>
      </c>
      <c r="W8" s="821">
        <f>MAP!AE22+MAP!AE20+MAP!AE27+(+MAP!AE388+MAP!AE431)</f>
        <v>0</v>
      </c>
      <c r="X8" s="821">
        <f>MAP!AF22+MAP!AF20+MAP!AF27+(+MAP!AF388+MAP!AF431)</f>
        <v>0</v>
      </c>
      <c r="Y8" s="821">
        <f>MAP!AG22+MAP!AG20+MAP!AG27+(+MAP!AG388+MAP!AG431)</f>
        <v>0</v>
      </c>
      <c r="Z8" s="821">
        <f>MAP!AH22+MAP!AH20+MAP!AH27+(+MAP!AH388+MAP!AH431)</f>
        <v>0</v>
      </c>
      <c r="AA8" s="821">
        <f>MAP!AI22+MAP!AI20+MAP!AI27+(+MAP!AI388+MAP!AI431)</f>
        <v>0</v>
      </c>
      <c r="AB8" s="821">
        <f>MAP!AJ22+MAP!AJ20+MAP!AJ27+(+MAP!AJ388+MAP!AJ431)</f>
        <v>0</v>
      </c>
      <c r="AC8" s="821">
        <f>MAP!AK22+MAP!AK20+MAP!AK27+(+MAP!AK388+MAP!AK431)</f>
        <v>0</v>
      </c>
      <c r="AD8" s="821">
        <f>MAP!AL22+MAP!AL20+MAP!AL27+(+MAP!AL388+MAP!AL431)</f>
        <v>0</v>
      </c>
      <c r="AE8" s="821">
        <f>MAP!AM22+MAP!AM20+MAP!AM27+(+MAP!AM388+MAP!AM431)</f>
        <v>0</v>
      </c>
      <c r="AF8" s="821">
        <f>MAP!AN22+MAP!AN20+MAP!AN27+(+MAP!AN388+MAP!AN431)</f>
        <v>0</v>
      </c>
      <c r="AG8" s="821">
        <f>MAP!AO22+MAP!AO20+MAP!AO27+(+MAP!AO388+MAP!AO431)</f>
        <v>0</v>
      </c>
      <c r="AH8" s="821">
        <f>MAP!AP22+MAP!AP20+MAP!AP27+(+MAP!AP388+MAP!AP431)</f>
        <v>0</v>
      </c>
      <c r="AI8" s="821">
        <f>MAP!AQ22+MAP!AQ20+MAP!AQ27+(+MAP!AQ388+MAP!AQ431)</f>
        <v>0</v>
      </c>
      <c r="AJ8" s="821">
        <f>MAP!AR22+MAP!AR20+MAP!AR27+(+MAP!AR388+MAP!AR431)</f>
        <v>0</v>
      </c>
      <c r="AK8" s="821">
        <f>MAP!AS22+MAP!AS20+MAP!AS27+(+MAP!AS388+MAP!AS431)</f>
        <v>0</v>
      </c>
      <c r="AL8" s="821">
        <f>MAP!AT22+MAP!AT20+MAP!AT27+(+MAP!AT388+MAP!AT431)</f>
        <v>0</v>
      </c>
      <c r="AM8" s="821">
        <f>MAP!AU22+MAP!AU20+MAP!AU27+(+MAP!AU388+MAP!AU431)</f>
        <v>0</v>
      </c>
    </row>
    <row r="9" spans="1:39" x14ac:dyDescent="0.25">
      <c r="A9" s="2"/>
      <c r="B9" s="3">
        <f>MAX($B$4:B8)+1</f>
        <v>5</v>
      </c>
      <c r="C9" s="3"/>
      <c r="D9" s="7"/>
      <c r="E9" s="902"/>
      <c r="F9" s="822"/>
      <c r="G9" s="822"/>
      <c r="H9" s="822"/>
      <c r="I9" s="822"/>
      <c r="J9" s="822"/>
      <c r="K9" s="822"/>
      <c r="L9" s="822"/>
      <c r="M9" s="822"/>
      <c r="N9" s="822"/>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row>
    <row r="10" spans="1:39" ht="30" x14ac:dyDescent="0.25">
      <c r="A10" s="2"/>
      <c r="B10" s="3">
        <f>MAX($B$4:B9)+1</f>
        <v>6</v>
      </c>
      <c r="C10" s="3" t="s">
        <v>40</v>
      </c>
      <c r="D10" s="7" t="s">
        <v>1067</v>
      </c>
      <c r="E10" s="1836"/>
      <c r="F10" s="821" t="e">
        <f>MAP!N32-MAP!N506+MAP!N520-MAP!N543+MAP!N557-MAP!N581+MAP!N595-MAP!N619+MAP!N633-MAP!N657+MAP!N671-MAP!N695+MAP!N709-MAP!N733+MAP!N747-MAP!N771+MAP!N785-MAP!N507+MAP!N521-MAP!N544+MAP!N558-MAP!N582+MAP!N596-MAP!N620+MAP!N634-MAP!N658+MAP!N672-MAP!N696+MAP!N710-MAP!N734+MAP!N748-MAP!N772+MAP!N786+MAP!N1149</f>
        <v>#VALUE!</v>
      </c>
      <c r="G10" s="821">
        <f>MAP!O32-MAP!O506+MAP!O520-MAP!O543+MAP!O557-MAP!O581+MAP!O595-MAP!O619+MAP!O633-MAP!O657+MAP!O671-MAP!O695+MAP!O709-MAP!O733+MAP!O747-MAP!O771+MAP!O785-MAP!O507+MAP!O521-MAP!O544+MAP!O558-MAP!O582+MAP!O596-MAP!O620+MAP!O634-MAP!O658+MAP!O672-MAP!O696+MAP!O710-MAP!O734+MAP!O748-MAP!O772+MAP!O786+MAP!O1149</f>
        <v>0</v>
      </c>
      <c r="H10" s="821">
        <f>MAP!P32-MAP!P506+MAP!P520-MAP!P543+MAP!P557-MAP!P581+MAP!P595-MAP!P619+MAP!P633-MAP!P657+MAP!P671-MAP!P695+MAP!P709-MAP!P733+MAP!P747-MAP!P771+MAP!P785-MAP!P507+MAP!P521-MAP!P544+MAP!P558-MAP!P582+MAP!P596-MAP!P620+MAP!P634-MAP!P658+MAP!P672-MAP!P696+MAP!P710-MAP!P734+MAP!P748-MAP!P772+MAP!P786+MAP!P1149</f>
        <v>0</v>
      </c>
      <c r="I10" s="821">
        <f>MAP!Q32-MAP!Q506+MAP!Q520-MAP!Q543+MAP!Q557-MAP!Q581+MAP!Q595-MAP!Q619+MAP!Q633-MAP!Q657+MAP!Q671-MAP!Q695+MAP!Q709-MAP!Q733+MAP!Q747-MAP!Q771+MAP!Q785-MAP!Q507+MAP!Q521-MAP!Q544+MAP!Q558-MAP!Q582+MAP!Q596-MAP!Q620+MAP!Q634-MAP!Q658+MAP!Q672-MAP!Q696+MAP!Q710-MAP!Q734+MAP!Q748-MAP!Q772+MAP!Q786+MAP!Q1149</f>
        <v>0</v>
      </c>
      <c r="J10" s="821">
        <f>MAP!R32-MAP!R506+MAP!R520-MAP!R543+MAP!R557-MAP!R581+MAP!R595-MAP!R619+MAP!R633-MAP!R657+MAP!R671-MAP!R695+MAP!R709-MAP!R733+MAP!R747-MAP!R771+MAP!R785-MAP!R507+MAP!R521-MAP!R544+MAP!R558-MAP!R582+MAP!R596-MAP!R620+MAP!R634-MAP!R658+MAP!R672-MAP!R696+MAP!R710-MAP!R734+MAP!R748-MAP!R772+MAP!R786+MAP!R1149</f>
        <v>0</v>
      </c>
      <c r="K10" s="821">
        <f>MAP!S32-MAP!S506+MAP!S520-MAP!S543+MAP!S557-MAP!S581+MAP!S595-MAP!S619+MAP!S633-MAP!S657+MAP!S671-MAP!S695+MAP!S709-MAP!S733+MAP!S747-MAP!S771+MAP!S785-MAP!S507+MAP!S521-MAP!S544+MAP!S558-MAP!S582+MAP!S596-MAP!S620+MAP!S634-MAP!S658+MAP!S672-MAP!S696+MAP!S710-MAP!S734+MAP!S748-MAP!S772+MAP!S786+MAP!S1149</f>
        <v>0</v>
      </c>
      <c r="L10" s="821" t="e">
        <f>MAP!T32-MAP!T506+MAP!T520-MAP!T543+MAP!T557-MAP!T581+MAP!T595-MAP!T619+MAP!T633-MAP!T657+MAP!T671-MAP!T695+MAP!T709-MAP!T733+MAP!T747-MAP!T771+MAP!T785-MAP!T507+MAP!T521-MAP!T544+MAP!T558-MAP!T582+MAP!T596-MAP!T620+MAP!T634-MAP!T658+MAP!T672-MAP!T696+MAP!T710-MAP!T734+MAP!T748-MAP!T772+MAP!T786+MAP!T1149</f>
        <v>#VALUE!</v>
      </c>
      <c r="M10" s="821">
        <f>MAP!U32-MAP!U506+MAP!U520-MAP!U543+MAP!U557-MAP!U581+MAP!U595-MAP!U619+MAP!U633-MAP!U657+MAP!U671-MAP!U695+MAP!U709-MAP!U733+MAP!U747-MAP!U771+MAP!U785-MAP!U507+MAP!U521-MAP!U544+MAP!U558-MAP!U582+MAP!U596-MAP!U620+MAP!U634-MAP!U658+MAP!U672-MAP!U696+MAP!U710-MAP!U734+MAP!U748-MAP!U772+MAP!U786+MAP!U1149</f>
        <v>0</v>
      </c>
      <c r="N10" s="821">
        <f>MAP!V32-MAP!V506+MAP!V520-MAP!V543+MAP!V557-MAP!V581+MAP!V595-MAP!V619+MAP!V633-MAP!V657+MAP!V671-MAP!V695+MAP!V709-MAP!V733+MAP!V747-MAP!V771+MAP!V785-MAP!V507+MAP!V521-MAP!V544+MAP!V558-MAP!V582+MAP!V596-MAP!V620+MAP!V634-MAP!V658+MAP!V672-MAP!V696+MAP!V710-MAP!V734+MAP!V748-MAP!V772+MAP!V786+MAP!V1149</f>
        <v>0</v>
      </c>
      <c r="O10" s="821" t="e">
        <f>MAP!W32-MAP!W506+MAP!W520-MAP!W543+MAP!W557-MAP!W581+MAP!W595-MAP!W619+MAP!W633-MAP!W657+MAP!W671-MAP!W695+MAP!W709-MAP!W733+MAP!W747-MAP!W771+MAP!W785-MAP!W507+MAP!W521-MAP!W544+MAP!W558-MAP!W582+MAP!W596-MAP!W620+MAP!W634-MAP!W658+MAP!W672-MAP!W696+MAP!W710-MAP!W734+MAP!W748-MAP!W772+MAP!W786+MAP!W1149</f>
        <v>#VALUE!</v>
      </c>
      <c r="P10" s="821">
        <f>MAP!X32-MAP!X506+MAP!X520-MAP!X543+MAP!X557-MAP!X581+MAP!X595-MAP!X619+MAP!X633-MAP!X657+MAP!X671-MAP!X695+MAP!X709-MAP!X733+MAP!X747-MAP!X771+MAP!X785-MAP!X507+MAP!X521-MAP!X544+MAP!X558-MAP!X582+MAP!X596-MAP!X620+MAP!X634-MAP!X658+MAP!X672-MAP!X696+MAP!X710-MAP!X734+MAP!X748-MAP!X772+MAP!X786+MAP!X1149</f>
        <v>0</v>
      </c>
      <c r="Q10" s="821">
        <f>MAP!Y32-MAP!Y506+MAP!Y520-MAP!Y543+MAP!Y557-MAP!Y581+MAP!Y595-MAP!Y619+MAP!Y633-MAP!Y657+MAP!Y671-MAP!Y695+MAP!Y709-MAP!Y733+MAP!Y747-MAP!Y771+MAP!Y785-MAP!Y507+MAP!Y521-MAP!Y544+MAP!Y558-MAP!Y582+MAP!Y596-MAP!Y620+MAP!Y634-MAP!Y658+MAP!Y672-MAP!Y696+MAP!Y710-MAP!Y734+MAP!Y748-MAP!Y772+MAP!Y786+MAP!Y1149</f>
        <v>0</v>
      </c>
      <c r="R10" s="821">
        <f>MAP!Z32-MAP!Z506+MAP!Z520-MAP!Z543+MAP!Z557-MAP!Z581+MAP!Z595-MAP!Z619+MAP!Z633-MAP!Z657+MAP!Z671-MAP!Z695+MAP!Z709-MAP!Z733+MAP!Z747-MAP!Z771+MAP!Z785-MAP!Z507+MAP!Z521-MAP!Z544+MAP!Z558-MAP!Z582+MAP!Z596-MAP!Z620+MAP!Z634-MAP!Z658+MAP!Z672-MAP!Z696+MAP!Z710-MAP!Z734+MAP!Z748-MAP!Z772+MAP!Z786+MAP!Z1149</f>
        <v>0</v>
      </c>
      <c r="S10" s="821">
        <f>MAP!AA32-MAP!AA506+MAP!AA520-MAP!AA543+MAP!AA557-MAP!AA581+MAP!AA595-MAP!AA619+MAP!AA633-MAP!AA657+MAP!AA671-MAP!AA695+MAP!AA709-MAP!AA733+MAP!AA747-MAP!AA771+MAP!AA785-MAP!AA507+MAP!AA521-MAP!AA544+MAP!AA558-MAP!AA582+MAP!AA596-MAP!AA620+MAP!AA634-MAP!AA658+MAP!AA672-MAP!AA696+MAP!AA710-MAP!AA734+MAP!AA748-MAP!AA772+MAP!AA786+MAP!AA1149</f>
        <v>0</v>
      </c>
      <c r="T10" s="821">
        <f>MAP!AB32-MAP!AB506+MAP!AB520-MAP!AB543+MAP!AB557-MAP!AB581+MAP!AB595-MAP!AB619+MAP!AB633-MAP!AB657+MAP!AB671-MAP!AB695+MAP!AB709-MAP!AB733+MAP!AB747-MAP!AB771+MAP!AB785-MAP!AB507+MAP!AB521-MAP!AB544+MAP!AB558-MAP!AB582+MAP!AB596-MAP!AB620+MAP!AB634-MAP!AB658+MAP!AB672-MAP!AB696+MAP!AB710-MAP!AB734+MAP!AB748-MAP!AB772+MAP!AB786+MAP!AB1149</f>
        <v>0</v>
      </c>
      <c r="U10" s="821">
        <f>MAP!AC32-MAP!AC506+MAP!AC520-MAP!AC543+MAP!AC557-MAP!AC581+MAP!AC595-MAP!AC619+MAP!AC633-MAP!AC657+MAP!AC671-MAP!AC695+MAP!AC709-MAP!AC733+MAP!AC747-MAP!AC771+MAP!AC785-MAP!AC507+MAP!AC521-MAP!AC544+MAP!AC558-MAP!AC582+MAP!AC596-MAP!AC620+MAP!AC634-MAP!AC658+MAP!AC672-MAP!AC696+MAP!AC710-MAP!AC734+MAP!AC748-MAP!AC772+MAP!AC786+MAP!AC1149</f>
        <v>0</v>
      </c>
      <c r="V10" s="821">
        <f>MAP!AD32-MAP!AD506+MAP!AD520-MAP!AD543+MAP!AD557-MAP!AD581+MAP!AD595-MAP!AD619+MAP!AD633-MAP!AD657+MAP!AD671-MAP!AD695+MAP!AD709-MAP!AD733+MAP!AD747-MAP!AD771+MAP!AD785-MAP!AD507+MAP!AD521-MAP!AD544+MAP!AD558-MAP!AD582+MAP!AD596-MAP!AD620+MAP!AD634-MAP!AD658+MAP!AD672-MAP!AD696+MAP!AD710-MAP!AD734+MAP!AD748-MAP!AD772+MAP!AD786+MAP!AD1149</f>
        <v>0</v>
      </c>
      <c r="W10" s="821">
        <f>MAP!AE32-MAP!AE506+MAP!AE520-MAP!AE543+MAP!AE557-MAP!AE581+MAP!AE595-MAP!AE619+MAP!AE633-MAP!AE657+MAP!AE671-MAP!AE695+MAP!AE709-MAP!AE733+MAP!AE747-MAP!AE771+MAP!AE785-MAP!AE507+MAP!AE521-MAP!AE544+MAP!AE558-MAP!AE582+MAP!AE596-MAP!AE620+MAP!AE634-MAP!AE658+MAP!AE672-MAP!AE696+MAP!AE710-MAP!AE734+MAP!AE748-MAP!AE772+MAP!AE786+MAP!AE1149</f>
        <v>0</v>
      </c>
      <c r="X10" s="821">
        <f>MAP!AF32-MAP!AF506+MAP!AF520-MAP!AF543+MAP!AF557-MAP!AF581+MAP!AF595-MAP!AF619+MAP!AF633-MAP!AF657+MAP!AF671-MAP!AF695+MAP!AF709-MAP!AF733+MAP!AF747-MAP!AF771+MAP!AF785-MAP!AF507+MAP!AF521-MAP!AF544+MAP!AF558-MAP!AF582+MAP!AF596-MAP!AF620+MAP!AF634-MAP!AF658+MAP!AF672-MAP!AF696+MAP!AF710-MAP!AF734+MAP!AF748-MAP!AF772+MAP!AF786+MAP!AF1149</f>
        <v>0</v>
      </c>
      <c r="Y10" s="821">
        <f>MAP!AG32-MAP!AG506+MAP!AG520-MAP!AG543+MAP!AG557-MAP!AG581+MAP!AG595-MAP!AG619+MAP!AG633-MAP!AG657+MAP!AG671-MAP!AG695+MAP!AG709-MAP!AG733+MAP!AG747-MAP!AG771+MAP!AG785-MAP!AG507+MAP!AG521-MAP!AG544+MAP!AG558-MAP!AG582+MAP!AG596-MAP!AG620+MAP!AG634-MAP!AG658+MAP!AG672-MAP!AG696+MAP!AG710-MAP!AG734+MAP!AG748-MAP!AG772+MAP!AG786+MAP!AG1149</f>
        <v>0</v>
      </c>
      <c r="Z10" s="821">
        <f>MAP!AH32-MAP!AH506+MAP!AH520-MAP!AH543+MAP!AH557-MAP!AH581+MAP!AH595-MAP!AH619+MAP!AH633-MAP!AH657+MAP!AH671-MAP!AH695+MAP!AH709-MAP!AH733+MAP!AH747-MAP!AH771+MAP!AH785-MAP!AH507+MAP!AH521-MAP!AH544+MAP!AH558-MAP!AH582+MAP!AH596-MAP!AH620+MAP!AH634-MAP!AH658+MAP!AH672-MAP!AH696+MAP!AH710-MAP!AH734+MAP!AH748-MAP!AH772+MAP!AH786+MAP!AH1149</f>
        <v>0</v>
      </c>
      <c r="AA10" s="821">
        <f>MAP!AI32-MAP!AI506+MAP!AI520-MAP!AI543+MAP!AI557-MAP!AI581+MAP!AI595-MAP!AI619+MAP!AI633-MAP!AI657+MAP!AI671-MAP!AI695+MAP!AI709-MAP!AI733+MAP!AI747-MAP!AI771+MAP!AI785-MAP!AI507+MAP!AI521-MAP!AI544+MAP!AI558-MAP!AI582+MAP!AI596-MAP!AI620+MAP!AI634-MAP!AI658+MAP!AI672-MAP!AI696+MAP!AI710-MAP!AI734+MAP!AI748-MAP!AI772+MAP!AI786+MAP!AI1149</f>
        <v>0</v>
      </c>
      <c r="AB10" s="821">
        <f>MAP!AJ32-MAP!AJ506+MAP!AJ520-MAP!AJ543+MAP!AJ557-MAP!AJ581+MAP!AJ595-MAP!AJ619+MAP!AJ633-MAP!AJ657+MAP!AJ671-MAP!AJ695+MAP!AJ709-MAP!AJ733+MAP!AJ747-MAP!AJ771+MAP!AJ785-MAP!AJ507+MAP!AJ521-MAP!AJ544+MAP!AJ558-MAP!AJ582+MAP!AJ596-MAP!AJ620+MAP!AJ634-MAP!AJ658+MAP!AJ672-MAP!AJ696+MAP!AJ710-MAP!AJ734+MAP!AJ748-MAP!AJ772+MAP!AJ786+MAP!AJ1149</f>
        <v>0</v>
      </c>
      <c r="AC10" s="821">
        <f>MAP!AK32-MAP!AK506+MAP!AK520-MAP!AK543+MAP!AK557-MAP!AK581+MAP!AK595-MAP!AK619+MAP!AK633-MAP!AK657+MAP!AK671-MAP!AK695+MAP!AK709-MAP!AK733+MAP!AK747-MAP!AK771+MAP!AK785-MAP!AK507+MAP!AK521-MAP!AK544+MAP!AK558-MAP!AK582+MAP!AK596-MAP!AK620+MAP!AK634-MAP!AK658+MAP!AK672-MAP!AK696+MAP!AK710-MAP!AK734+MAP!AK748-MAP!AK772+MAP!AK786+MAP!AK1149</f>
        <v>0</v>
      </c>
      <c r="AD10" s="821">
        <f>MAP!AL32-MAP!AL506+MAP!AL520-MAP!AL543+MAP!AL557-MAP!AL581+MAP!AL595-MAP!AL619+MAP!AL633-MAP!AL657+MAP!AL671-MAP!AL695+MAP!AL709-MAP!AL733+MAP!AL747-MAP!AL771+MAP!AL785-MAP!AL507+MAP!AL521-MAP!AL544+MAP!AL558-MAP!AL582+MAP!AL596-MAP!AL620+MAP!AL634-MAP!AL658+MAP!AL672-MAP!AL696+MAP!AL710-MAP!AL734+MAP!AL748-MAP!AL772+MAP!AL786+MAP!AL1149</f>
        <v>0</v>
      </c>
      <c r="AE10" s="821">
        <f>MAP!AM32-MAP!AM506+MAP!AM520-MAP!AM543+MAP!AM557-MAP!AM581+MAP!AM595-MAP!AM619+MAP!AM633-MAP!AM657+MAP!AM671-MAP!AM695+MAP!AM709-MAP!AM733+MAP!AM747-MAP!AM771+MAP!AM785-MAP!AM507+MAP!AM521-MAP!AM544+MAP!AM558-MAP!AM582+MAP!AM596-MAP!AM620+MAP!AM634-MAP!AM658+MAP!AM672-MAP!AM696+MAP!AM710-MAP!AM734+MAP!AM748-MAP!AM772+MAP!AM786+MAP!AM1149</f>
        <v>0</v>
      </c>
      <c r="AF10" s="821">
        <f>MAP!AN32-MAP!AN506+MAP!AN520-MAP!AN543+MAP!AN557-MAP!AN581+MAP!AN595-MAP!AN619+MAP!AN633-MAP!AN657+MAP!AN671-MAP!AN695+MAP!AN709-MAP!AN733+MAP!AN747-MAP!AN771+MAP!AN785-MAP!AN507+MAP!AN521-MAP!AN544+MAP!AN558-MAP!AN582+MAP!AN596-MAP!AN620+MAP!AN634-MAP!AN658+MAP!AN672-MAP!AN696+MAP!AN710-MAP!AN734+MAP!AN748-MAP!AN772+MAP!AN786+MAP!AN1149</f>
        <v>0</v>
      </c>
      <c r="AG10" s="821">
        <f>MAP!AO32-MAP!AO506+MAP!AO520-MAP!AO543+MAP!AO557-MAP!AO581+MAP!AO595-MAP!AO619+MAP!AO633-MAP!AO657+MAP!AO671-MAP!AO695+MAP!AO709-MAP!AO733+MAP!AO747-MAP!AO771+MAP!AO785-MAP!AO507+MAP!AO521-MAP!AO544+MAP!AO558-MAP!AO582+MAP!AO596-MAP!AO620+MAP!AO634-MAP!AO658+MAP!AO672-MAP!AO696+MAP!AO710-MAP!AO734+MAP!AO748-MAP!AO772+MAP!AO786+MAP!AO1149</f>
        <v>0</v>
      </c>
      <c r="AH10" s="821">
        <f>MAP!AP32-MAP!AP506+MAP!AP520-MAP!AP543+MAP!AP557-MAP!AP581+MAP!AP595-MAP!AP619+MAP!AP633-MAP!AP657+MAP!AP671-MAP!AP695+MAP!AP709-MAP!AP733+MAP!AP747-MAP!AP771+MAP!AP785-MAP!AP507+MAP!AP521-MAP!AP544+MAP!AP558-MAP!AP582+MAP!AP596-MAP!AP620+MAP!AP634-MAP!AP658+MAP!AP672-MAP!AP696+MAP!AP710-MAP!AP734+MAP!AP748-MAP!AP772+MAP!AP786+MAP!AP1149</f>
        <v>0</v>
      </c>
      <c r="AI10" s="821">
        <f>MAP!AQ32-MAP!AQ506+MAP!AQ520-MAP!AQ543+MAP!AQ557-MAP!AQ581+MAP!AQ595-MAP!AQ619+MAP!AQ633-MAP!AQ657+MAP!AQ671-MAP!AQ695+MAP!AQ709-MAP!AQ733+MAP!AQ747-MAP!AQ771+MAP!AQ785-MAP!AQ507+MAP!AQ521-MAP!AQ544+MAP!AQ558-MAP!AQ582+MAP!AQ596-MAP!AQ620+MAP!AQ634-MAP!AQ658+MAP!AQ672-MAP!AQ696+MAP!AQ710-MAP!AQ734+MAP!AQ748-MAP!AQ772+MAP!AQ786+MAP!AQ1149</f>
        <v>0</v>
      </c>
      <c r="AJ10" s="821">
        <f>MAP!AR32-MAP!AR506+MAP!AR520-MAP!AR543+MAP!AR557-MAP!AR581+MAP!AR595-MAP!AR619+MAP!AR633-MAP!AR657+MAP!AR671-MAP!AR695+MAP!AR709-MAP!AR733+MAP!AR747-MAP!AR771+MAP!AR785-MAP!AR507+MAP!AR521-MAP!AR544+MAP!AR558-MAP!AR582+MAP!AR596-MAP!AR620+MAP!AR634-MAP!AR658+MAP!AR672-MAP!AR696+MAP!AR710-MAP!AR734+MAP!AR748-MAP!AR772+MAP!AR786+MAP!AR1149</f>
        <v>0</v>
      </c>
      <c r="AK10" s="821">
        <f>MAP!AS32-MAP!AS506+MAP!AS520-MAP!AS543+MAP!AS557-MAP!AS581+MAP!AS595-MAP!AS619+MAP!AS633-MAP!AS657+MAP!AS671-MAP!AS695+MAP!AS709-MAP!AS733+MAP!AS747-MAP!AS771+MAP!AS785-MAP!AS507+MAP!AS521-MAP!AS544+MAP!AS558-MAP!AS582+MAP!AS596-MAP!AS620+MAP!AS634-MAP!AS658+MAP!AS672-MAP!AS696+MAP!AS710-MAP!AS734+MAP!AS748-MAP!AS772+MAP!AS786+MAP!AS1149</f>
        <v>0</v>
      </c>
      <c r="AL10" s="821">
        <f>MAP!AT32-MAP!AT506+MAP!AT520-MAP!AT543+MAP!AT557-MAP!AT581+MAP!AT595-MAP!AT619+MAP!AT633-MAP!AT657+MAP!AT671-MAP!AT695+MAP!AT709-MAP!AT733+MAP!AT747-MAP!AT771+MAP!AT785-MAP!AT507+MAP!AT521-MAP!AT544+MAP!AT558-MAP!AT582+MAP!AT596-MAP!AT620+MAP!AT634-MAP!AT658+MAP!AT672-MAP!AT696+MAP!AT710-MAP!AT734+MAP!AT748-MAP!AT772+MAP!AT786+MAP!AT1149</f>
        <v>0</v>
      </c>
      <c r="AM10" s="821">
        <f>MAP!AU32-MAP!AU506+MAP!AU520-MAP!AU543+MAP!AU557-MAP!AU581+MAP!AU595-MAP!AU619+MAP!AU633-MAP!AU657+MAP!AU671-MAP!AU695+MAP!AU709-MAP!AU733+MAP!AU747-MAP!AU771+MAP!AU785-MAP!AU507+MAP!AU521-MAP!AU544+MAP!AU558-MAP!AU582+MAP!AU596-MAP!AU620+MAP!AU634-MAP!AU658+MAP!AU672-MAP!AU696+MAP!AU710-MAP!AU734+MAP!AU748-MAP!AU772+MAP!AU786+MAP!AU1149</f>
        <v>0</v>
      </c>
    </row>
    <row r="11" spans="1:39" x14ac:dyDescent="0.25">
      <c r="A11" s="2"/>
      <c r="B11" s="3">
        <f>MAX($B$4:B10)+1</f>
        <v>7</v>
      </c>
      <c r="C11" s="3" t="s">
        <v>40</v>
      </c>
      <c r="D11" s="7" t="s">
        <v>1068</v>
      </c>
      <c r="E11" s="902"/>
      <c r="F11" s="821" t="e">
        <f>MAP!N33-MAP!N857-MAP!N893-MAP!N929-MAP!N965-MAP!N1001-MAP!N1037-MAP!N1073-MAP!N1109+MAP!N873+MAP!N909+MAP!N945+MAP!N981+MAP!N1017+MAP!N1053+MAP!N1089+MAP!N1125+MAP!N1152+-MAP!N860-MAP!N896-MAP!N932-MAP!N968-MAP!N1004-MAP!N1040-MAP!N1079-MAP!N1112+MAP!N874+MAP!N910+MAP!N946+MAP!N982+MAP!N1018+MAP!N1054+MAP!N1090+MAP!N1126</f>
        <v>#VALUE!</v>
      </c>
      <c r="G11" s="821">
        <f>MAP!O33-MAP!O857-MAP!O893-MAP!O929-MAP!O965-MAP!O1001-MAP!O1037-MAP!O1073-MAP!O1109+MAP!O873+MAP!O909+MAP!O945+MAP!O981+MAP!O1017+MAP!O1053+MAP!O1089+MAP!O1125+MAP!O1152+-MAP!O860-MAP!O896-MAP!O932-MAP!O968-MAP!O1004-MAP!O1040-MAP!O1079-MAP!O1112+MAP!O874+MAP!O910+MAP!O946+MAP!O982+MAP!O1018+MAP!O1054+MAP!O1090+MAP!O1126</f>
        <v>0</v>
      </c>
      <c r="H11" s="821">
        <f>MAP!P33-MAP!P857-MAP!P893-MAP!P929-MAP!P965-MAP!P1001-MAP!P1037-MAP!P1073-MAP!P1109+MAP!P873+MAP!P909+MAP!P945+MAP!P981+MAP!P1017+MAP!P1053+MAP!P1089+MAP!P1125+MAP!P1152+-MAP!P860-MAP!P896-MAP!P932-MAP!P968-MAP!P1004-MAP!P1040-MAP!P1079-MAP!P1112+MAP!P874+MAP!P910+MAP!P946+MAP!P982+MAP!P1018+MAP!P1054+MAP!P1090+MAP!P1126</f>
        <v>0</v>
      </c>
      <c r="I11" s="821">
        <f>MAP!Q33-MAP!Q857-MAP!Q893-MAP!Q929-MAP!Q965-MAP!Q1001-MAP!Q1037-MAP!Q1073-MAP!Q1109+MAP!Q873+MAP!Q909+MAP!Q945+MAP!Q981+MAP!Q1017+MAP!Q1053+MAP!Q1089+MAP!Q1125+MAP!Q1152+-MAP!Q860-MAP!Q896-MAP!Q932-MAP!Q968-MAP!Q1004-MAP!Q1040-MAP!Q1079-MAP!Q1112+MAP!Q874+MAP!Q910+MAP!Q946+MAP!Q982+MAP!Q1018+MAP!Q1054+MAP!Q1090+MAP!Q1126</f>
        <v>0</v>
      </c>
      <c r="J11" s="821">
        <f>MAP!R33-MAP!R857-MAP!R893-MAP!R929-MAP!R965-MAP!R1001-MAP!R1037-MAP!R1073-MAP!R1109+MAP!R873+MAP!R909+MAP!R945+MAP!R981+MAP!R1017+MAP!R1053+MAP!R1089+MAP!R1125+MAP!R1152+-MAP!R860-MAP!R896-MAP!R932-MAP!R968-MAP!R1004-MAP!R1040-MAP!R1079-MAP!R1112+MAP!R874+MAP!R910+MAP!R946+MAP!R982+MAP!R1018+MAP!R1054+MAP!R1090+MAP!R1126</f>
        <v>0</v>
      </c>
      <c r="K11" s="821">
        <f>MAP!S33-MAP!S857-MAP!S893-MAP!S929-MAP!S965-MAP!S1001-MAP!S1037-MAP!S1073-MAP!S1109+MAP!S873+MAP!S909+MAP!S945+MAP!S981+MAP!S1017+MAP!S1053+MAP!S1089+MAP!S1125+MAP!S1152+-MAP!S860-MAP!S896-MAP!S932-MAP!S968-MAP!S1004-MAP!S1040-MAP!S1079-MAP!S1112+MAP!S874+MAP!S910+MAP!S946+MAP!S982+MAP!S1018+MAP!S1054+MAP!S1090+MAP!S1126</f>
        <v>0</v>
      </c>
      <c r="L11" s="821" t="e">
        <f>MAP!T33-MAP!T857-MAP!T893-MAP!T929-MAP!T965-MAP!T1001-MAP!T1037-MAP!T1073-MAP!T1109+MAP!T873+MAP!T909+MAP!T945+MAP!T981+MAP!T1017+MAP!T1053+MAP!T1089+MAP!T1125+MAP!T1152+-MAP!T860-MAP!T896-MAP!T932-MAP!T968-MAP!T1004-MAP!T1040-MAP!T1079-MAP!T1112+MAP!T874+MAP!T910+MAP!T946+MAP!T982+MAP!T1018+MAP!T1054+MAP!T1090+MAP!T1126</f>
        <v>#VALUE!</v>
      </c>
      <c r="M11" s="821">
        <f>MAP!U33-MAP!U857-MAP!U893-MAP!U929-MAP!U965-MAP!U1001-MAP!U1037-MAP!U1073-MAP!U1109+MAP!U873+MAP!U909+MAP!U945+MAP!U981+MAP!U1017+MAP!U1053+MAP!U1089+MAP!U1125+MAP!U1152+-MAP!U860-MAP!U896-MAP!U932-MAP!U968-MAP!U1004-MAP!U1040-MAP!U1079-MAP!U1112+MAP!U874+MAP!U910+MAP!U946+MAP!U982+MAP!U1018+MAP!U1054+MAP!U1090+MAP!U1126</f>
        <v>0</v>
      </c>
      <c r="N11" s="821">
        <f>MAP!V33-MAP!V857-MAP!V893-MAP!V929-MAP!V965-MAP!V1001-MAP!V1037-MAP!V1073-MAP!V1109+MAP!V873+MAP!V909+MAP!V945+MAP!V981+MAP!V1017+MAP!V1053+MAP!V1089+MAP!V1125+MAP!V1152+-MAP!V860-MAP!V896-MAP!V932-MAP!V968-MAP!V1004-MAP!V1040-MAP!V1079-MAP!V1112+MAP!V874+MAP!V910+MAP!V946+MAP!V982+MAP!V1018+MAP!V1054+MAP!V1090+MAP!V1126</f>
        <v>0</v>
      </c>
      <c r="O11" s="821" t="e">
        <f>MAP!W33-MAP!W857-MAP!W893-MAP!W929-MAP!W965-MAP!W1001-MAP!W1037-MAP!W1073-MAP!W1109+MAP!W873+MAP!W909+MAP!W945+MAP!W981+MAP!W1017+MAP!W1053+MAP!W1089+MAP!W1125+MAP!W1152+-MAP!W860-MAP!W896-MAP!W932-MAP!W968-MAP!W1004-MAP!W1040-MAP!W1079-MAP!W1112+MAP!W874+MAP!W910+MAP!W946+MAP!W982+MAP!W1018+MAP!W1054+MAP!W1090+MAP!W1126</f>
        <v>#VALUE!</v>
      </c>
      <c r="P11" s="821">
        <f>MAP!X33-MAP!X857-MAP!X893-MAP!X929-MAP!X965-MAP!X1001-MAP!X1037-MAP!X1073-MAP!X1109+MAP!X873+MAP!X909+MAP!X945+MAP!X981+MAP!X1017+MAP!X1053+MAP!X1089+MAP!X1125+MAP!X1152+-MAP!X860-MAP!X896-MAP!X932-MAP!X968-MAP!X1004-MAP!X1040-MAP!X1079-MAP!X1112+MAP!X874+MAP!X910+MAP!X946+MAP!X982+MAP!X1018+MAP!X1054+MAP!X1090+MAP!X1126</f>
        <v>0</v>
      </c>
      <c r="Q11" s="821">
        <f>MAP!Y33-MAP!Y857-MAP!Y893-MAP!Y929-MAP!Y965-MAP!Y1001-MAP!Y1037-MAP!Y1073-MAP!Y1109+MAP!Y873+MAP!Y909+MAP!Y945+MAP!Y981+MAP!Y1017+MAP!Y1053+MAP!Y1089+MAP!Y1125+MAP!Y1152+-MAP!Y860-MAP!Y896-MAP!Y932-MAP!Y968-MAP!Y1004-MAP!Y1040-MAP!Y1079-MAP!Y1112+MAP!Y874+MAP!Y910+MAP!Y946+MAP!Y982+MAP!Y1018+MAP!Y1054+MAP!Y1090+MAP!Y1126</f>
        <v>0</v>
      </c>
      <c r="R11" s="821">
        <f>MAP!Z33-MAP!Z857-MAP!Z893-MAP!Z929-MAP!Z965-MAP!Z1001-MAP!Z1037-MAP!Z1073-MAP!Z1109+MAP!Z873+MAP!Z909+MAP!Z945+MAP!Z981+MAP!Z1017+MAP!Z1053+MAP!Z1089+MAP!Z1125+MAP!Z1152+-MAP!Z860-MAP!Z896-MAP!Z932-MAP!Z968-MAP!Z1004-MAP!Z1040-MAP!Z1079-MAP!Z1112+MAP!Z874+MAP!Z910+MAP!Z946+MAP!Z982+MAP!Z1018+MAP!Z1054+MAP!Z1090+MAP!Z1126</f>
        <v>0</v>
      </c>
      <c r="S11" s="821">
        <f>MAP!AA33-MAP!AA857-MAP!AA893-MAP!AA929-MAP!AA965-MAP!AA1001-MAP!AA1037-MAP!AA1073-MAP!AA1109+MAP!AA873+MAP!AA909+MAP!AA945+MAP!AA981+MAP!AA1017+MAP!AA1053+MAP!AA1089+MAP!AA1125+MAP!AA1152+-MAP!AA860-MAP!AA896-MAP!AA932-MAP!AA968-MAP!AA1004-MAP!AA1040-MAP!AA1079-MAP!AA1112+MAP!AA874+MAP!AA910+MAP!AA946+MAP!AA982+MAP!AA1018+MAP!AA1054+MAP!AA1090+MAP!AA1126</f>
        <v>0</v>
      </c>
      <c r="T11" s="821">
        <f>MAP!AB33-MAP!AB857-MAP!AB893-MAP!AB929-MAP!AB965-MAP!AB1001-MAP!AB1037-MAP!AB1073-MAP!AB1109+MAP!AB873+MAP!AB909+MAP!AB945+MAP!AB981+MAP!AB1017+MAP!AB1053+MAP!AB1089+MAP!AB1125+MAP!AB1152+-MAP!AB860-MAP!AB896-MAP!AB932-MAP!AB968-MAP!AB1004-MAP!AB1040-MAP!AB1079-MAP!AB1112+MAP!AB874+MAP!AB910+MAP!AB946+MAP!AB982+MAP!AB1018+MAP!AB1054+MAP!AB1090+MAP!AB1126</f>
        <v>0</v>
      </c>
      <c r="U11" s="821">
        <f>MAP!AC33-MAP!AC857-MAP!AC893-MAP!AC929-MAP!AC965-MAP!AC1001-MAP!AC1037-MAP!AC1073-MAP!AC1109+MAP!AC873+MAP!AC909+MAP!AC945+MAP!AC981+MAP!AC1017+MAP!AC1053+MAP!AC1089+MAP!AC1125+MAP!AC1152+-MAP!AC860-MAP!AC896-MAP!AC932-MAP!AC968-MAP!AC1004-MAP!AC1040-MAP!AC1079-MAP!AC1112+MAP!AC874+MAP!AC910+MAP!AC946+MAP!AC982+MAP!AC1018+MAP!AC1054+MAP!AC1090+MAP!AC1126</f>
        <v>0</v>
      </c>
      <c r="V11" s="821">
        <f>MAP!AD33-MAP!AD857-MAP!AD893-MAP!AD929-MAP!AD965-MAP!AD1001-MAP!AD1037-MAP!AD1073-MAP!AD1109+MAP!AD873+MAP!AD909+MAP!AD945+MAP!AD981+MAP!AD1017+MAP!AD1053+MAP!AD1089+MAP!AD1125+MAP!AD1152+-MAP!AD860-MAP!AD896-MAP!AD932-MAP!AD968-MAP!AD1004-MAP!AD1040-MAP!AD1079-MAP!AD1112+MAP!AD874+MAP!AD910+MAP!AD946+MAP!AD982+MAP!AD1018+MAP!AD1054+MAP!AD1090+MAP!AD1126</f>
        <v>0</v>
      </c>
      <c r="W11" s="821">
        <f>MAP!AE33-MAP!AE857-MAP!AE893-MAP!AE929-MAP!AE965-MAP!AE1001-MAP!AE1037-MAP!AE1073-MAP!AE1109+MAP!AE873+MAP!AE909+MAP!AE945+MAP!AE981+MAP!AE1017+MAP!AE1053+MAP!AE1089+MAP!AE1125+MAP!AE1152+-MAP!AE860-MAP!AE896-MAP!AE932-MAP!AE968-MAP!AE1004-MAP!AE1040-MAP!AE1079-MAP!AE1112+MAP!AE874+MAP!AE910+MAP!AE946+MAP!AE982+MAP!AE1018+MAP!AE1054+MAP!AE1090+MAP!AE1126</f>
        <v>0</v>
      </c>
      <c r="X11" s="821">
        <f>MAP!AF33-MAP!AF857-MAP!AF893-MAP!AF929-MAP!AF965-MAP!AF1001-MAP!AF1037-MAP!AF1073-MAP!AF1109+MAP!AF873+MAP!AF909+MAP!AF945+MAP!AF981+MAP!AF1017+MAP!AF1053+MAP!AF1089+MAP!AF1125+MAP!AF1152+-MAP!AF860-MAP!AF896-MAP!AF932-MAP!AF968-MAP!AF1004-MAP!AF1040-MAP!AF1079-MAP!AF1112+MAP!AF874+MAP!AF910+MAP!AF946+MAP!AF982+MAP!AF1018+MAP!AF1054+MAP!AF1090+MAP!AF1126</f>
        <v>0</v>
      </c>
      <c r="Y11" s="821">
        <f>MAP!AG33-MAP!AG857-MAP!AG893-MAP!AG929-MAP!AG965-MAP!AG1001-MAP!AG1037-MAP!AG1073-MAP!AG1109+MAP!AG873+MAP!AG909+MAP!AG945+MAP!AG981+MAP!AG1017+MAP!AG1053+MAP!AG1089+MAP!AG1125+MAP!AG1152+-MAP!AG860-MAP!AG896-MAP!AG932-MAP!AG968-MAP!AG1004-MAP!AG1040-MAP!AG1079-MAP!AG1112+MAP!AG874+MAP!AG910+MAP!AG946+MAP!AG982+MAP!AG1018+MAP!AG1054+MAP!AG1090+MAP!AG1126</f>
        <v>0</v>
      </c>
      <c r="Z11" s="821">
        <f>MAP!AH33-MAP!AH857-MAP!AH893-MAP!AH929-MAP!AH965-MAP!AH1001-MAP!AH1037-MAP!AH1073-MAP!AH1109+MAP!AH873+MAP!AH909+MAP!AH945+MAP!AH981+MAP!AH1017+MAP!AH1053+MAP!AH1089+MAP!AH1125+MAP!AH1152+-MAP!AH860-MAP!AH896-MAP!AH932-MAP!AH968-MAP!AH1004-MAP!AH1040-MAP!AH1079-MAP!AH1112+MAP!AH874+MAP!AH910+MAP!AH946+MAP!AH982+MAP!AH1018+MAP!AH1054+MAP!AH1090+MAP!AH1126</f>
        <v>0</v>
      </c>
      <c r="AA11" s="821">
        <f>MAP!AI33-MAP!AI857-MAP!AI893-MAP!AI929-MAP!AI965-MAP!AI1001-MAP!AI1037-MAP!AI1073-MAP!AI1109+MAP!AI873+MAP!AI909+MAP!AI945+MAP!AI981+MAP!AI1017+MAP!AI1053+MAP!AI1089+MAP!AI1125+MAP!AI1152+-MAP!AI860-MAP!AI896-MAP!AI932-MAP!AI968-MAP!AI1004-MAP!AI1040-MAP!AI1079-MAP!AI1112+MAP!AI874+MAP!AI910+MAP!AI946+MAP!AI982+MAP!AI1018+MAP!AI1054+MAP!AI1090+MAP!AI1126</f>
        <v>0</v>
      </c>
      <c r="AB11" s="821">
        <f>MAP!AJ33-MAP!AJ857-MAP!AJ893-MAP!AJ929-MAP!AJ965-MAP!AJ1001-MAP!AJ1037-MAP!AJ1073-MAP!AJ1109+MAP!AJ873+MAP!AJ909+MAP!AJ945+MAP!AJ981+MAP!AJ1017+MAP!AJ1053+MAP!AJ1089+MAP!AJ1125+MAP!AJ1152+-MAP!AJ860-MAP!AJ896-MAP!AJ932-MAP!AJ968-MAP!AJ1004-MAP!AJ1040-MAP!AJ1079-MAP!AJ1112+MAP!AJ874+MAP!AJ910+MAP!AJ946+MAP!AJ982+MAP!AJ1018+MAP!AJ1054+MAP!AJ1090+MAP!AJ1126</f>
        <v>0</v>
      </c>
      <c r="AC11" s="821">
        <f>MAP!AK33-MAP!AK857-MAP!AK893-MAP!AK929-MAP!AK965-MAP!AK1001-MAP!AK1037-MAP!AK1073-MAP!AK1109+MAP!AK873+MAP!AK909+MAP!AK945+MAP!AK981+MAP!AK1017+MAP!AK1053+MAP!AK1089+MAP!AK1125+MAP!AK1152+-MAP!AK860-MAP!AK896-MAP!AK932-MAP!AK968-MAP!AK1004-MAP!AK1040-MAP!AK1079-MAP!AK1112+MAP!AK874+MAP!AK910+MAP!AK946+MAP!AK982+MAP!AK1018+MAP!AK1054+MAP!AK1090+MAP!AK1126</f>
        <v>0</v>
      </c>
      <c r="AD11" s="821">
        <f>MAP!AL33-MAP!AL857-MAP!AL893-MAP!AL929-MAP!AL965-MAP!AL1001-MAP!AL1037-MAP!AL1073-MAP!AL1109+MAP!AL873+MAP!AL909+MAP!AL945+MAP!AL981+MAP!AL1017+MAP!AL1053+MAP!AL1089+MAP!AL1125+MAP!AL1152+-MAP!AL860-MAP!AL896-MAP!AL932-MAP!AL968-MAP!AL1004-MAP!AL1040-MAP!AL1079-MAP!AL1112+MAP!AL874+MAP!AL910+MAP!AL946+MAP!AL982+MAP!AL1018+MAP!AL1054+MAP!AL1090+MAP!AL1126</f>
        <v>0</v>
      </c>
      <c r="AE11" s="821">
        <f>MAP!AM33-MAP!AM857-MAP!AM893-MAP!AM929-MAP!AM965-MAP!AM1001-MAP!AM1037-MAP!AM1073-MAP!AM1109+MAP!AM873+MAP!AM909+MAP!AM945+MAP!AM981+MAP!AM1017+MAP!AM1053+MAP!AM1089+MAP!AM1125+MAP!AM1152+-MAP!AM860-MAP!AM896-MAP!AM932-MAP!AM968-MAP!AM1004-MAP!AM1040-MAP!AM1079-MAP!AM1112+MAP!AM874+MAP!AM910+MAP!AM946+MAP!AM982+MAP!AM1018+MAP!AM1054+MAP!AM1090+MAP!AM1126</f>
        <v>0</v>
      </c>
      <c r="AF11" s="821">
        <f>MAP!AN33-MAP!AN857-MAP!AN893-MAP!AN929-MAP!AN965-MAP!AN1001-MAP!AN1037-MAP!AN1073-MAP!AN1109+MAP!AN873+MAP!AN909+MAP!AN945+MAP!AN981+MAP!AN1017+MAP!AN1053+MAP!AN1089+MAP!AN1125+MAP!AN1152+-MAP!AN860-MAP!AN896-MAP!AN932-MAP!AN968-MAP!AN1004-MAP!AN1040-MAP!AN1079-MAP!AN1112+MAP!AN874+MAP!AN910+MAP!AN946+MAP!AN982+MAP!AN1018+MAP!AN1054+MAP!AN1090+MAP!AN1126</f>
        <v>0</v>
      </c>
      <c r="AG11" s="821">
        <f>MAP!AO33-MAP!AO857-MAP!AO893-MAP!AO929-MAP!AO965-MAP!AO1001-MAP!AO1037-MAP!AO1073-MAP!AO1109+MAP!AO873+MAP!AO909+MAP!AO945+MAP!AO981+MAP!AO1017+MAP!AO1053+MAP!AO1089+MAP!AO1125+MAP!AO1152+-MAP!AO860-MAP!AO896-MAP!AO932-MAP!AO968-MAP!AO1004-MAP!AO1040-MAP!AO1079-MAP!AO1112+MAP!AO874+MAP!AO910+MAP!AO946+MAP!AO982+MAP!AO1018+MAP!AO1054+MAP!AO1090+MAP!AO1126</f>
        <v>0</v>
      </c>
      <c r="AH11" s="821">
        <f>MAP!AP33-MAP!AP857-MAP!AP893-MAP!AP929-MAP!AP965-MAP!AP1001-MAP!AP1037-MAP!AP1073-MAP!AP1109+MAP!AP873+MAP!AP909+MAP!AP945+MAP!AP981+MAP!AP1017+MAP!AP1053+MAP!AP1089+MAP!AP1125+MAP!AP1152+-MAP!AP860-MAP!AP896-MAP!AP932-MAP!AP968-MAP!AP1004-MAP!AP1040-MAP!AP1079-MAP!AP1112+MAP!AP874+MAP!AP910+MAP!AP946+MAP!AP982+MAP!AP1018+MAP!AP1054+MAP!AP1090+MAP!AP1126</f>
        <v>0</v>
      </c>
      <c r="AI11" s="821">
        <f>MAP!AQ33-MAP!AQ857-MAP!AQ893-MAP!AQ929-MAP!AQ965-MAP!AQ1001-MAP!AQ1037-MAP!AQ1073-MAP!AQ1109+MAP!AQ873+MAP!AQ909+MAP!AQ945+MAP!AQ981+MAP!AQ1017+MAP!AQ1053+MAP!AQ1089+MAP!AQ1125+MAP!AQ1152+-MAP!AQ860-MAP!AQ896-MAP!AQ932-MAP!AQ968-MAP!AQ1004-MAP!AQ1040-MAP!AQ1079-MAP!AQ1112+MAP!AQ874+MAP!AQ910+MAP!AQ946+MAP!AQ982+MAP!AQ1018+MAP!AQ1054+MAP!AQ1090+MAP!AQ1126</f>
        <v>0</v>
      </c>
      <c r="AJ11" s="821">
        <f>MAP!AR33-MAP!AR857-MAP!AR893-MAP!AR929-MAP!AR965-MAP!AR1001-MAP!AR1037-MAP!AR1073-MAP!AR1109+MAP!AR873+MAP!AR909+MAP!AR945+MAP!AR981+MAP!AR1017+MAP!AR1053+MAP!AR1089+MAP!AR1125+MAP!AR1152+-MAP!AR860-MAP!AR896-MAP!AR932-MAP!AR968-MAP!AR1004-MAP!AR1040-MAP!AR1079-MAP!AR1112+MAP!AR874+MAP!AR910+MAP!AR946+MAP!AR982+MAP!AR1018+MAP!AR1054+MAP!AR1090+MAP!AR1126</f>
        <v>0</v>
      </c>
      <c r="AK11" s="821">
        <f>MAP!AS33-MAP!AS857-MAP!AS893-MAP!AS929-MAP!AS965-MAP!AS1001-MAP!AS1037-MAP!AS1073-MAP!AS1109+MAP!AS873+MAP!AS909+MAP!AS945+MAP!AS981+MAP!AS1017+MAP!AS1053+MAP!AS1089+MAP!AS1125+MAP!AS1152+-MAP!AS860-MAP!AS896-MAP!AS932-MAP!AS968-MAP!AS1004-MAP!AS1040-MAP!AS1079-MAP!AS1112+MAP!AS874+MAP!AS910+MAP!AS946+MAP!AS982+MAP!AS1018+MAP!AS1054+MAP!AS1090+MAP!AS1126</f>
        <v>0</v>
      </c>
      <c r="AL11" s="821">
        <f>MAP!AT33-MAP!AT857-MAP!AT893-MAP!AT929-MAP!AT965-MAP!AT1001-MAP!AT1037-MAP!AT1073-MAP!AT1109+MAP!AT873+MAP!AT909+MAP!AT945+MAP!AT981+MAP!AT1017+MAP!AT1053+MAP!AT1089+MAP!AT1125+MAP!AT1152+-MAP!AT860-MAP!AT896-MAP!AT932-MAP!AT968-MAP!AT1004-MAP!AT1040-MAP!AT1079-MAP!AT1112+MAP!AT874+MAP!AT910+MAP!AT946+MAP!AT982+MAP!AT1018+MAP!AT1054+MAP!AT1090+MAP!AT1126</f>
        <v>0</v>
      </c>
      <c r="AM11" s="821">
        <f>MAP!AU33-MAP!AU857-MAP!AU893-MAP!AU929-MAP!AU965-MAP!AU1001-MAP!AU1037-MAP!AU1073-MAP!AU1109+MAP!AU873+MAP!AU909+MAP!AU945+MAP!AU981+MAP!AU1017+MAP!AU1053+MAP!AU1089+MAP!AU1125+MAP!AU1152+-MAP!AU860-MAP!AU896-MAP!AU932-MAP!AU968-MAP!AU1004-MAP!AU1040-MAP!AU1079-MAP!AU1112+MAP!AU874+MAP!AU910+MAP!AU946+MAP!AU982+MAP!AU1018+MAP!AU1054+MAP!AU1090+MAP!AU1126</f>
        <v>0</v>
      </c>
    </row>
    <row r="12" spans="1:39" x14ac:dyDescent="0.25">
      <c r="A12" s="2"/>
      <c r="B12" s="3">
        <f>MAX($B$4:B11)+1</f>
        <v>8</v>
      </c>
      <c r="C12" s="3"/>
      <c r="D12" s="7"/>
      <c r="E12" s="902"/>
      <c r="F12" s="822"/>
      <c r="G12" s="822"/>
      <c r="H12" s="822"/>
      <c r="I12" s="822"/>
      <c r="J12" s="822"/>
      <c r="K12" s="822"/>
      <c r="L12" s="822"/>
      <c r="M12" s="822"/>
      <c r="N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row>
    <row r="13" spans="1:39" x14ac:dyDescent="0.25">
      <c r="A13" s="2"/>
      <c r="B13" s="3">
        <f>MAX($B$4:B12)+1</f>
        <v>9</v>
      </c>
      <c r="C13" s="3"/>
      <c r="D13" s="7"/>
      <c r="E13" s="902"/>
      <c r="F13" s="822"/>
      <c r="G13" s="822"/>
      <c r="H13" s="822"/>
      <c r="I13" s="822"/>
      <c r="J13" s="822"/>
      <c r="K13" s="822"/>
      <c r="L13" s="822"/>
      <c r="M13" s="822"/>
      <c r="N13" s="82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row>
    <row r="14" spans="1:39" ht="30" x14ac:dyDescent="0.25">
      <c r="A14" s="2"/>
      <c r="B14" s="3">
        <f>MAX($B$4:B13)+1</f>
        <v>10</v>
      </c>
      <c r="C14" s="3" t="s">
        <v>40</v>
      </c>
      <c r="D14" s="7" t="s">
        <v>1408</v>
      </c>
      <c r="E14" s="1837"/>
      <c r="F14" s="821" t="e">
        <f>-MAP!N19-MAP!N27-SUMIFS(MAP!N:N,MAP!$C:$C,"Programme expenditure",MAP!$D:$D,"Other operating expenditure")-SUMIFS(MAP!N:N,MAP!$C:$C,"Other administration expenditure",MAP!$D:$D,"Other operating expenditure")</f>
        <v>#VALUE!</v>
      </c>
      <c r="G14" s="821">
        <f>-MAP!O19-MAP!O27-SUMIFS(MAP!O:O,MAP!$C:$C,"Programme expenditure",MAP!$D:$D,"Other operating expenditure")-SUMIFS(MAP!O:O,MAP!$C:$C,"Other administration expenditure",MAP!$D:$D,"Other operating expenditure")</f>
        <v>0</v>
      </c>
      <c r="H14" s="821">
        <f>-MAP!P19-MAP!P27-SUMIFS(MAP!P:P,MAP!$C:$C,"Programme expenditure",MAP!$D:$D,"Other operating expenditure")-SUMIFS(MAP!P:P,MAP!$C:$C,"Other administration expenditure",MAP!$D:$D,"Other operating expenditure")</f>
        <v>0</v>
      </c>
      <c r="I14" s="821">
        <f>-MAP!Q19-MAP!Q27-SUMIFS(MAP!Q:Q,MAP!$C:$C,"Programme expenditure",MAP!$D:$D,"Other operating expenditure")-SUMIFS(MAP!Q:Q,MAP!$C:$C,"Other administration expenditure",MAP!$D:$D,"Other operating expenditure")</f>
        <v>0</v>
      </c>
      <c r="J14" s="821">
        <f>-MAP!R19-MAP!R27-SUMIFS(MAP!R:R,MAP!$C:$C,"Programme expenditure",MAP!$D:$D,"Other operating expenditure")-SUMIFS(MAP!R:R,MAP!$C:$C,"Other administration expenditure",MAP!$D:$D,"Other operating expenditure")</f>
        <v>0</v>
      </c>
      <c r="K14" s="821">
        <f>-MAP!S19-MAP!S27-SUMIFS(MAP!S:S,MAP!$C:$C,"Programme expenditure",MAP!$D:$D,"Other operating expenditure")-SUMIFS(MAP!S:S,MAP!$C:$C,"Other administration expenditure",MAP!$D:$D,"Other operating expenditure")</f>
        <v>0</v>
      </c>
      <c r="L14" s="821" t="e">
        <f>-MAP!T19-MAP!T27-SUMIFS(MAP!T:T,MAP!$C:$C,"Programme expenditure",MAP!$D:$D,"Other operating expenditure")-SUMIFS(MAP!T:T,MAP!$C:$C,"Other administration expenditure",MAP!$D:$D,"Other operating expenditure")</f>
        <v>#VALUE!</v>
      </c>
      <c r="M14" s="821">
        <f>-MAP!U19-MAP!U27-SUMIFS(MAP!U:U,MAP!$C:$C,"Programme expenditure",MAP!$D:$D,"Other operating expenditure")-SUMIFS(MAP!U:U,MAP!$C:$C,"Other administration expenditure",MAP!$D:$D,"Other operating expenditure")</f>
        <v>0</v>
      </c>
      <c r="N14" s="821">
        <f>-MAP!V19-MAP!V27-SUMIFS(MAP!V:V,MAP!$C:$C,"Programme expenditure",MAP!$D:$D,"Other operating expenditure")-SUMIFS(MAP!V:V,MAP!$C:$C,"Other administration expenditure",MAP!$D:$D,"Other operating expenditure")</f>
        <v>0</v>
      </c>
      <c r="O14" s="825" t="e">
        <f>-MAP!W19-MAP!W27-SUMIFS(MAP!W:W,MAP!$C:$C,"Programme expenditure",MAP!$D:$D,"Other operating expenditure")-SUMIFS(MAP!W:W,MAP!$C:$C,"Other administration expenditure",MAP!$D:$D,"Other operating expenditure")</f>
        <v>#VALUE!</v>
      </c>
      <c r="P14" s="821">
        <f>-MAP!X19-MAP!X27-SUMIFS(MAP!X:X,MAP!$C:$C,"Programme expenditure",MAP!$D:$D,"Other operating expenditure")-SUMIFS(MAP!X:X,MAP!$C:$C,"Other administration expenditure",MAP!$D:$D,"Other operating expenditure")</f>
        <v>0</v>
      </c>
      <c r="Q14" s="821">
        <f>-MAP!Y19-MAP!Y27-SUMIFS(MAP!Y:Y,MAP!$C:$C,"Programme expenditure",MAP!$D:$D,"Other operating expenditure")-SUMIFS(MAP!Y:Y,MAP!$C:$C,"Other administration expenditure",MAP!$D:$D,"Other operating expenditure")</f>
        <v>0</v>
      </c>
      <c r="R14" s="821">
        <f>-MAP!Z19-MAP!Z27-SUMIFS(MAP!Z:Z,MAP!$C:$C,"Programme expenditure",MAP!$D:$D,"Other operating expenditure")-SUMIFS(MAP!Z:Z,MAP!$C:$C,"Other administration expenditure",MAP!$D:$D,"Other operating expenditure")</f>
        <v>0</v>
      </c>
      <c r="S14" s="821">
        <f>-MAP!AA19-MAP!AA27-SUMIFS(MAP!AA:AA,MAP!$C:$C,"Programme expenditure",MAP!$D:$D,"Other operating expenditure")-SUMIFS(MAP!AA:AA,MAP!$C:$C,"Other administration expenditure",MAP!$D:$D,"Other operating expenditure")</f>
        <v>0</v>
      </c>
      <c r="T14" s="821">
        <f>-MAP!AB19-MAP!AB27-SUMIFS(MAP!AB:AB,MAP!$C:$C,"Programme expenditure",MAP!$D:$D,"Other operating expenditure")-SUMIFS(MAP!AB:AB,MAP!$C:$C,"Other administration expenditure",MAP!$D:$D,"Other operating expenditure")</f>
        <v>0</v>
      </c>
      <c r="U14" s="821">
        <f>-MAP!AC19-MAP!AC27-SUMIFS(MAP!AC:AC,MAP!$C:$C,"Programme expenditure",MAP!$D:$D,"Other operating expenditure")-SUMIFS(MAP!AC:AC,MAP!$C:$C,"Other administration expenditure",MAP!$D:$D,"Other operating expenditure")</f>
        <v>0</v>
      </c>
      <c r="V14" s="821">
        <f>-MAP!AD19-MAP!AD27-SUMIFS(MAP!AD:AD,MAP!$C:$C,"Programme expenditure",MAP!$D:$D,"Other operating expenditure")-SUMIFS(MAP!AD:AD,MAP!$C:$C,"Other administration expenditure",MAP!$D:$D,"Other operating expenditure")</f>
        <v>0</v>
      </c>
      <c r="W14" s="821">
        <f>-MAP!AE19-MAP!AE27-SUMIFS(MAP!AE:AE,MAP!$C:$C,"Programme expenditure",MAP!$D:$D,"Other operating expenditure")-SUMIFS(MAP!AE:AE,MAP!$C:$C,"Other administration expenditure",MAP!$D:$D,"Other operating expenditure")</f>
        <v>0</v>
      </c>
      <c r="X14" s="821">
        <f>-MAP!AF19-MAP!AF27-SUMIFS(MAP!AF:AF,MAP!$C:$C,"Programme expenditure",MAP!$D:$D,"Other operating expenditure")-SUMIFS(MAP!AF:AF,MAP!$C:$C,"Other administration expenditure",MAP!$D:$D,"Other operating expenditure")</f>
        <v>0</v>
      </c>
      <c r="Y14" s="821">
        <f>-MAP!AG19-MAP!AG27-SUMIFS(MAP!AG:AG,MAP!$C:$C,"Programme expenditure",MAP!$D:$D,"Other operating expenditure")-SUMIFS(MAP!AG:AG,MAP!$C:$C,"Other administration expenditure",MAP!$D:$D,"Other operating expenditure")</f>
        <v>0</v>
      </c>
      <c r="Z14" s="821">
        <f>-MAP!AH19-MAP!AH27-SUMIFS(MAP!AH:AH,MAP!$C:$C,"Programme expenditure",MAP!$D:$D,"Other operating expenditure")-SUMIFS(MAP!AH:AH,MAP!$C:$C,"Other administration expenditure",MAP!$D:$D,"Other operating expenditure")</f>
        <v>0</v>
      </c>
      <c r="AA14" s="821">
        <f>-MAP!AI19-MAP!AI27-SUMIFS(MAP!AI:AI,MAP!$C:$C,"Programme expenditure",MAP!$D:$D,"Other operating expenditure")-SUMIFS(MAP!AI:AI,MAP!$C:$C,"Other administration expenditure",MAP!$D:$D,"Other operating expenditure")</f>
        <v>0</v>
      </c>
      <c r="AB14" s="821">
        <f>-MAP!AJ19-MAP!AJ27-SUMIFS(MAP!AJ:AJ,MAP!$C:$C,"Programme expenditure",MAP!$D:$D,"Other operating expenditure")-SUMIFS(MAP!AJ:AJ,MAP!$C:$C,"Other administration expenditure",MAP!$D:$D,"Other operating expenditure")</f>
        <v>0</v>
      </c>
      <c r="AC14" s="821">
        <f>-MAP!AK19-MAP!AK27-SUMIFS(MAP!AK:AK,MAP!$C:$C,"Programme expenditure",MAP!$D:$D,"Other operating expenditure")-SUMIFS(MAP!AK:AK,MAP!$C:$C,"Other administration expenditure",MAP!$D:$D,"Other operating expenditure")</f>
        <v>0</v>
      </c>
      <c r="AD14" s="821">
        <f>-MAP!AL19-MAP!AL27-SUMIFS(MAP!AL:AL,MAP!$C:$C,"Programme expenditure",MAP!$D:$D,"Other operating expenditure")-SUMIFS(MAP!AL:AL,MAP!$C:$C,"Other administration expenditure",MAP!$D:$D,"Other operating expenditure")</f>
        <v>0</v>
      </c>
      <c r="AE14" s="821">
        <f>-MAP!AM19-MAP!AM27-SUMIFS(MAP!AM:AM,MAP!$C:$C,"Programme expenditure",MAP!$D:$D,"Other operating expenditure")-SUMIFS(MAP!AM:AM,MAP!$C:$C,"Other administration expenditure",MAP!$D:$D,"Other operating expenditure")</f>
        <v>0</v>
      </c>
      <c r="AF14" s="821">
        <f>-MAP!AN19-MAP!AN27-SUMIFS(MAP!AN:AN,MAP!$C:$C,"Programme expenditure",MAP!$D:$D,"Other operating expenditure")-SUMIFS(MAP!AN:AN,MAP!$C:$C,"Other administration expenditure",MAP!$D:$D,"Other operating expenditure")</f>
        <v>0</v>
      </c>
      <c r="AG14" s="821">
        <f>-MAP!AO19-MAP!AO27-SUMIFS(MAP!AO:AO,MAP!$C:$C,"Programme expenditure",MAP!$D:$D,"Other operating expenditure")-SUMIFS(MAP!AO:AO,MAP!$C:$C,"Other administration expenditure",MAP!$D:$D,"Other operating expenditure")</f>
        <v>0</v>
      </c>
      <c r="AH14" s="821">
        <f>-MAP!AP19-MAP!AP27-SUMIFS(MAP!AP:AP,MAP!$C:$C,"Programme expenditure",MAP!$D:$D,"Other operating expenditure")-SUMIFS(MAP!AP:AP,MAP!$C:$C,"Other administration expenditure",MAP!$D:$D,"Other operating expenditure")</f>
        <v>0</v>
      </c>
      <c r="AI14" s="821">
        <f>-MAP!AQ19-MAP!AQ27-SUMIFS(MAP!AQ:AQ,MAP!$C:$C,"Programme expenditure",MAP!$D:$D,"Other operating expenditure")-SUMIFS(MAP!AQ:AQ,MAP!$C:$C,"Other administration expenditure",MAP!$D:$D,"Other operating expenditure")</f>
        <v>0</v>
      </c>
      <c r="AJ14" s="821">
        <f>-MAP!AR19-MAP!AR27-SUMIFS(MAP!AR:AR,MAP!$C:$C,"Programme expenditure",MAP!$D:$D,"Other operating expenditure")-SUMIFS(MAP!AR:AR,MAP!$C:$C,"Other administration expenditure",MAP!$D:$D,"Other operating expenditure")</f>
        <v>0</v>
      </c>
      <c r="AK14" s="821">
        <f>-MAP!AS19-MAP!AS27-SUMIFS(MAP!AS:AS,MAP!$C:$C,"Programme expenditure",MAP!$D:$D,"Other operating expenditure")-SUMIFS(MAP!AS:AS,MAP!$C:$C,"Other administration expenditure",MAP!$D:$D,"Other operating expenditure")</f>
        <v>0</v>
      </c>
      <c r="AL14" s="821">
        <f>-MAP!AT19-MAP!AT27-SUMIFS(MAP!AT:AT,MAP!$C:$C,"Programme expenditure",MAP!$D:$D,"Other operating expenditure")-SUMIFS(MAP!AT:AT,MAP!$C:$C,"Other administration expenditure",MAP!$D:$D,"Other operating expenditure")</f>
        <v>0</v>
      </c>
      <c r="AM14" s="821">
        <f>-MAP!AU19-MAP!AU27-SUMIFS(MAP!AU:AU,MAP!$C:$C,"Programme expenditure",MAP!$D:$D,"Other operating expenditure")-SUMIFS(MAP!AU:AU,MAP!$C:$C,"Other administration expenditure",MAP!$D:$D,"Other operating expenditure")</f>
        <v>0</v>
      </c>
    </row>
    <row r="15" spans="1:39" x14ac:dyDescent="0.25">
      <c r="A15" s="2"/>
      <c r="B15" s="3">
        <f>MAX($B$4:B14)+1</f>
        <v>11</v>
      </c>
      <c r="C15" s="3"/>
      <c r="D15" s="7"/>
      <c r="E15" s="902"/>
      <c r="F15" s="822"/>
      <c r="G15" s="822"/>
      <c r="H15" s="822"/>
      <c r="I15" s="822"/>
      <c r="J15" s="822"/>
      <c r="K15" s="822"/>
      <c r="L15" s="822"/>
      <c r="M15" s="822"/>
      <c r="N15" s="822"/>
      <c r="O15" s="822"/>
      <c r="P15" s="822"/>
      <c r="Q15" s="822"/>
      <c r="R15" s="1087"/>
      <c r="S15" s="822"/>
      <c r="T15" s="822"/>
      <c r="U15" s="822"/>
      <c r="V15" s="822"/>
      <c r="W15" s="822"/>
      <c r="X15" s="822"/>
      <c r="Y15" s="822"/>
      <c r="Z15" s="822"/>
      <c r="AA15" s="822"/>
      <c r="AB15" s="822"/>
      <c r="AC15" s="822"/>
      <c r="AD15" s="822"/>
      <c r="AE15" s="822"/>
      <c r="AF15" s="822"/>
      <c r="AG15" s="822"/>
      <c r="AH15" s="822"/>
      <c r="AI15" s="822"/>
      <c r="AJ15" s="822"/>
      <c r="AK15" s="822"/>
      <c r="AL15" s="822"/>
      <c r="AM15" s="822"/>
    </row>
    <row r="16" spans="1:39" x14ac:dyDescent="0.25">
      <c r="A16" s="2"/>
      <c r="B16" s="3">
        <f>MAX($B$4:B15)+1</f>
        <v>12</v>
      </c>
      <c r="C16" s="3" t="s">
        <v>40</v>
      </c>
      <c r="D16" s="7" t="s">
        <v>1376</v>
      </c>
      <c r="E16" s="902"/>
      <c r="F16" s="821" t="e">
        <f>MAP!N29-MAP!N188+F17+MAP!N37</f>
        <v>#VALUE!</v>
      </c>
      <c r="G16" s="821">
        <f>MAP!O29-MAP!O188+G17+MAP!O37</f>
        <v>0</v>
      </c>
      <c r="H16" s="821">
        <f>MAP!P29-MAP!P188+H17+MAP!P37</f>
        <v>0</v>
      </c>
      <c r="I16" s="821">
        <f>MAP!Q29-MAP!Q188+I17+MAP!Q37</f>
        <v>0</v>
      </c>
      <c r="J16" s="821">
        <f>MAP!R29-MAP!R188+J17+MAP!R37</f>
        <v>0</v>
      </c>
      <c r="K16" s="821">
        <f>MAP!S29-MAP!S188+K17+MAP!S37</f>
        <v>0</v>
      </c>
      <c r="L16" s="821" t="e">
        <f>MAP!T29-MAP!T188+L17+MAP!T37</f>
        <v>#VALUE!</v>
      </c>
      <c r="M16" s="821">
        <f>MAP!U29-MAP!U188+M17+MAP!U37</f>
        <v>0</v>
      </c>
      <c r="N16" s="821">
        <f>MAP!V29-MAP!V188+N17+MAP!V37</f>
        <v>0</v>
      </c>
      <c r="O16" s="825" t="e">
        <f>MAP!W29-MAP!W188+O17+MAP!W37</f>
        <v>#VALUE!</v>
      </c>
      <c r="P16" s="821">
        <f>MAP!X29-MAP!X188+P17+MAP!X37</f>
        <v>0</v>
      </c>
      <c r="Q16" s="821">
        <f>MAP!Y29-MAP!Y188+Q17+MAP!Y37</f>
        <v>0</v>
      </c>
      <c r="R16" s="821">
        <f>MAP!Z29-MAP!Z188+R17+MAP!Z37</f>
        <v>0</v>
      </c>
      <c r="S16" s="821">
        <f>MAP!AA29-MAP!AA188+S17+MAP!AA37</f>
        <v>0</v>
      </c>
      <c r="T16" s="821">
        <f>MAP!AB29-MAP!AB188+T17+MAP!AB37</f>
        <v>0</v>
      </c>
      <c r="U16" s="821">
        <f>MAP!AC29-MAP!AC188+U17+MAP!AC37</f>
        <v>0</v>
      </c>
      <c r="V16" s="821">
        <f>MAP!AD29-MAP!AD188+V17+MAP!AD37</f>
        <v>0</v>
      </c>
      <c r="W16" s="821">
        <f>MAP!AE29-MAP!AE188+W17+MAP!AE37</f>
        <v>0</v>
      </c>
      <c r="X16" s="821">
        <f>MAP!AF29-MAP!AF188+X17+MAP!AF37</f>
        <v>0</v>
      </c>
      <c r="Y16" s="821">
        <f>MAP!AG29-MAP!AG188+Y17+MAP!AG37</f>
        <v>0</v>
      </c>
      <c r="Z16" s="821">
        <f>MAP!AH29-MAP!AH188+Z17+MAP!AH37</f>
        <v>0</v>
      </c>
      <c r="AA16" s="821">
        <f>MAP!AI29-MAP!AI188+AA17+MAP!AI37</f>
        <v>0</v>
      </c>
      <c r="AB16" s="821">
        <f>MAP!AJ29-MAP!AJ188+AB17+MAP!AJ37</f>
        <v>0</v>
      </c>
      <c r="AC16" s="821">
        <f>MAP!AK29-MAP!AK188+AC17+MAP!AK37</f>
        <v>0</v>
      </c>
      <c r="AD16" s="821">
        <f>MAP!AL29-MAP!AL188+AD17+MAP!AL37</f>
        <v>0</v>
      </c>
      <c r="AE16" s="821">
        <f>MAP!AM29-MAP!AM188+AE17+MAP!AM37</f>
        <v>0</v>
      </c>
      <c r="AF16" s="821">
        <f>MAP!AN29-MAP!AN188+AF17+MAP!AN37</f>
        <v>0</v>
      </c>
      <c r="AG16" s="821">
        <f>MAP!AO29-MAP!AO188+AG17+MAP!AO37</f>
        <v>0</v>
      </c>
      <c r="AH16" s="821">
        <f>MAP!AP29-MAP!AP188+AH17+MAP!AP37</f>
        <v>0</v>
      </c>
      <c r="AI16" s="821">
        <f>MAP!AQ29-MAP!AQ188+AI17+MAP!AQ37</f>
        <v>0</v>
      </c>
      <c r="AJ16" s="821">
        <f>MAP!AR29-MAP!AR188+AJ17+MAP!AR37</f>
        <v>0</v>
      </c>
      <c r="AK16" s="821">
        <f>MAP!AS29-MAP!AS188+AK17+MAP!AS37</f>
        <v>0</v>
      </c>
      <c r="AL16" s="821">
        <f>MAP!AT29-MAP!AT188+AL17+MAP!AT37</f>
        <v>0</v>
      </c>
      <c r="AM16" s="821">
        <f>MAP!AU29-MAP!AU188+AM17+MAP!AU37</f>
        <v>0</v>
      </c>
    </row>
    <row r="17" spans="1:39" ht="30" x14ac:dyDescent="0.25">
      <c r="A17" s="2"/>
      <c r="B17" s="3">
        <f>MAX($B$4:B16)+1</f>
        <v>13</v>
      </c>
      <c r="C17" s="3" t="s">
        <v>40</v>
      </c>
      <c r="D17" s="787" t="s">
        <v>1400</v>
      </c>
      <c r="E17" s="903"/>
      <c r="F17" s="826">
        <f>MAP!N40</f>
        <v>0</v>
      </c>
      <c r="G17" s="826">
        <f>MAP!O40</f>
        <v>0</v>
      </c>
      <c r="H17" s="826">
        <f>MAP!P40</f>
        <v>0</v>
      </c>
      <c r="I17" s="826">
        <f>MAP!Q40</f>
        <v>0</v>
      </c>
      <c r="J17" s="826">
        <f>MAP!R40</f>
        <v>0</v>
      </c>
      <c r="K17" s="826">
        <f>MAP!S40</f>
        <v>0</v>
      </c>
      <c r="L17" s="826">
        <f>MAP!T40</f>
        <v>0</v>
      </c>
      <c r="M17" s="826">
        <f>MAP!U40</f>
        <v>0</v>
      </c>
      <c r="N17" s="826">
        <f>MAP!V40</f>
        <v>0</v>
      </c>
      <c r="O17" s="826">
        <f>MAP!W40</f>
        <v>0</v>
      </c>
      <c r="P17" s="826">
        <f>MAP!X40</f>
        <v>0</v>
      </c>
      <c r="Q17" s="826">
        <f>MAP!Y40</f>
        <v>0</v>
      </c>
      <c r="R17" s="826">
        <f>MAP!Z40</f>
        <v>0</v>
      </c>
      <c r="S17" s="826">
        <f>MAP!AA40</f>
        <v>0</v>
      </c>
      <c r="T17" s="826">
        <f>MAP!AB40</f>
        <v>0</v>
      </c>
      <c r="U17" s="826">
        <f>MAP!AC40</f>
        <v>0</v>
      </c>
      <c r="V17" s="826">
        <f>MAP!AD40</f>
        <v>0</v>
      </c>
      <c r="W17" s="826">
        <f>MAP!AE40</f>
        <v>0</v>
      </c>
      <c r="X17" s="826">
        <f>MAP!AF40</f>
        <v>0</v>
      </c>
      <c r="Y17" s="826">
        <f>MAP!AG40</f>
        <v>0</v>
      </c>
      <c r="Z17" s="826">
        <f>MAP!AH40</f>
        <v>0</v>
      </c>
      <c r="AA17" s="826">
        <f>MAP!AI40</f>
        <v>0</v>
      </c>
      <c r="AB17" s="826">
        <f>MAP!AJ40</f>
        <v>0</v>
      </c>
      <c r="AC17" s="826">
        <f>MAP!AK40</f>
        <v>0</v>
      </c>
      <c r="AD17" s="826">
        <f>MAP!AL40</f>
        <v>0</v>
      </c>
      <c r="AE17" s="826">
        <f>MAP!AM40</f>
        <v>0</v>
      </c>
      <c r="AF17" s="826">
        <f>MAP!AN40</f>
        <v>0</v>
      </c>
      <c r="AG17" s="826">
        <f>MAP!AO40</f>
        <v>0</v>
      </c>
      <c r="AH17" s="826">
        <f>MAP!AP40</f>
        <v>0</v>
      </c>
      <c r="AI17" s="826">
        <f>MAP!AQ40</f>
        <v>0</v>
      </c>
      <c r="AJ17" s="826">
        <f>MAP!AR40</f>
        <v>0</v>
      </c>
      <c r="AK17" s="826">
        <f>MAP!AS40</f>
        <v>0</v>
      </c>
      <c r="AL17" s="826">
        <f>MAP!AT40</f>
        <v>0</v>
      </c>
      <c r="AM17" s="826">
        <f>MAP!AU40</f>
        <v>0</v>
      </c>
    </row>
    <row r="18" spans="1:39" x14ac:dyDescent="0.25">
      <c r="A18" s="2"/>
      <c r="B18" s="3">
        <f>MAX($B$4:B17)+1</f>
        <v>14</v>
      </c>
      <c r="C18" s="3" t="s">
        <v>40</v>
      </c>
      <c r="D18" s="7" t="s">
        <v>1373</v>
      </c>
      <c r="E18" s="902"/>
      <c r="F18" s="821" t="e">
        <f ca="1">SUMIF(MAP!$D$32:$D$39,"Reval Reserve",MAP!N32:N38)-MAP!N238</f>
        <v>#VALUE!</v>
      </c>
      <c r="G18" s="821">
        <f ca="1">SUMIF(MAP!$D$32:$D$39,"Reval Reserve",MAP!O32:O38)-MAP!O238</f>
        <v>0</v>
      </c>
      <c r="H18" s="821">
        <f ca="1">SUMIF(MAP!$D$32:$D$39,"Reval Reserve",MAP!P32:P38)-MAP!P238</f>
        <v>0</v>
      </c>
      <c r="I18" s="821">
        <f ca="1">SUMIF(MAP!$D$32:$D$39,"Reval Reserve",MAP!Q32:Q38)-MAP!Q238</f>
        <v>0</v>
      </c>
      <c r="J18" s="821">
        <f ca="1">SUMIF(MAP!$D$32:$D$39,"Reval Reserve",MAP!R32:R38)-MAP!R238</f>
        <v>0</v>
      </c>
      <c r="K18" s="821">
        <f ca="1">SUMIF(MAP!$D$32:$D$39,"Reval Reserve",MAP!S32:S38)-MAP!S238</f>
        <v>0</v>
      </c>
      <c r="L18" s="821" t="e">
        <f ca="1">SUMIF(MAP!$D$32:$D$39,"Reval Reserve",MAP!T32:T38)-MAP!T238</f>
        <v>#VALUE!</v>
      </c>
      <c r="M18" s="821">
        <f ca="1">SUMIF(MAP!$D$32:$D$39,"Reval Reserve",MAP!U32:U38)-MAP!U238</f>
        <v>0</v>
      </c>
      <c r="N18" s="821">
        <f ca="1">SUMIF(MAP!$D$32:$D$39,"Reval Reserve",MAP!V32:V38)-MAP!V238</f>
        <v>0</v>
      </c>
      <c r="O18" s="825" t="e">
        <f ca="1">-SUMIF(MAP!$D$32:$D$39,"Reval Reserve",MAP!W32:W38)+MAP!W238</f>
        <v>#VALUE!</v>
      </c>
      <c r="P18" s="821">
        <f ca="1">SUMIF(MAP!$D$32:$D$39,"Reval Reserve",MAP!X32:X38)-MAP!X238</f>
        <v>0</v>
      </c>
      <c r="Q18" s="821">
        <f ca="1">SUMIF(MAP!$D$32:$D$39,"Reval Reserve",MAP!Y32:Y38)-MAP!Y238</f>
        <v>0</v>
      </c>
      <c r="R18" s="821">
        <f ca="1">SUMIF(MAP!$D$32:$D$39,"Reval Reserve",MAP!Z32:Z38)-MAP!Z238</f>
        <v>0</v>
      </c>
      <c r="S18" s="821">
        <f ca="1">SUMIF(MAP!$D$32:$D$39,"Reval Reserve",MAP!AA32:AA38)-MAP!AA238</f>
        <v>0</v>
      </c>
      <c r="T18" s="821">
        <f ca="1">SUMIF(MAP!$D$32:$D$39,"Reval Reserve",MAP!AB32:AB38)-MAP!AB238</f>
        <v>0</v>
      </c>
      <c r="U18" s="821">
        <f ca="1">SUMIF(MAP!$D$32:$D$39,"Reval Reserve",MAP!AC32:AC38)-MAP!AC238</f>
        <v>0</v>
      </c>
      <c r="V18" s="821">
        <f ca="1">SUMIF(MAP!$D$32:$D$39,"Reval Reserve",MAP!AD32:AD38)-MAP!AD238</f>
        <v>0</v>
      </c>
      <c r="W18" s="821">
        <f ca="1">SUMIF(MAP!$D$32:$D$39,"Reval Reserve",MAP!AE32:AE38)-MAP!AE238</f>
        <v>0</v>
      </c>
      <c r="X18" s="821">
        <f ca="1">SUMIF(MAP!$D$32:$D$39,"Reval Reserve",MAP!AF32:AF38)-MAP!AF238</f>
        <v>0</v>
      </c>
      <c r="Y18" s="821">
        <f ca="1">SUMIF(MAP!$D$32:$D$39,"Reval Reserve",MAP!AG32:AG38)-MAP!AG238</f>
        <v>0</v>
      </c>
      <c r="Z18" s="821">
        <f ca="1">SUMIF(MAP!$D$32:$D$39,"Reval Reserve",MAP!AH32:AH38)-MAP!AH238</f>
        <v>0</v>
      </c>
      <c r="AA18" s="821">
        <f ca="1">SUMIF(MAP!$D$32:$D$39,"Reval Reserve",MAP!AI32:AI38)-MAP!AI238</f>
        <v>0</v>
      </c>
      <c r="AB18" s="821">
        <f ca="1">SUMIF(MAP!$D$32:$D$39,"Reval Reserve",MAP!AJ32:AJ38)-MAP!AJ238</f>
        <v>0</v>
      </c>
      <c r="AC18" s="821">
        <f ca="1">SUMIF(MAP!$D$32:$D$39,"Reval Reserve",MAP!AK32:AK38)-MAP!AK238</f>
        <v>0</v>
      </c>
      <c r="AD18" s="821">
        <f ca="1">SUMIF(MAP!$D$32:$D$39,"Reval Reserve",MAP!AL32:AL38)-MAP!AL238</f>
        <v>0</v>
      </c>
      <c r="AE18" s="821">
        <f ca="1">SUMIF(MAP!$D$32:$D$39,"Reval Reserve",MAP!AM32:AM38)-MAP!AM238</f>
        <v>0</v>
      </c>
      <c r="AF18" s="821">
        <f ca="1">SUMIF(MAP!$D$32:$D$39,"Reval Reserve",MAP!AN32:AN38)-MAP!AN238</f>
        <v>0</v>
      </c>
      <c r="AG18" s="821">
        <f ca="1">SUMIF(MAP!$D$32:$D$39,"Reval Reserve",MAP!AO32:AO38)-MAP!AO238</f>
        <v>0</v>
      </c>
      <c r="AH18" s="821">
        <f ca="1">SUMIF(MAP!$D$32:$D$39,"Reval Reserve",MAP!AP32:AP38)-MAP!AP238</f>
        <v>0</v>
      </c>
      <c r="AI18" s="821">
        <f ca="1">SUMIF(MAP!$D$32:$D$39,"Reval Reserve",MAP!AQ32:AQ38)-MAP!AQ238</f>
        <v>0</v>
      </c>
      <c r="AJ18" s="821">
        <f ca="1">SUMIF(MAP!$D$32:$D$39,"Reval Reserve",MAP!AR32:AR38)-MAP!AR238</f>
        <v>0</v>
      </c>
      <c r="AK18" s="821">
        <f ca="1">SUMIF(MAP!$D$32:$D$39,"Reval Reserve",MAP!AS32:AS38)-MAP!AS238</f>
        <v>0</v>
      </c>
      <c r="AL18" s="821">
        <f ca="1">SUMIF(MAP!$D$32:$D$39,"Reval Reserve",MAP!AT32:AT38)-MAP!AT238</f>
        <v>0</v>
      </c>
      <c r="AM18" s="821">
        <f ca="1">SUMIF(MAP!$D$32:$D$39,"Reval Reserve",MAP!AU32:AU38)-MAP!AU238</f>
        <v>0</v>
      </c>
    </row>
    <row r="19" spans="1:39" x14ac:dyDescent="0.25">
      <c r="A19" s="2"/>
      <c r="B19" s="3">
        <f>MAX($B$4:B18)+1</f>
        <v>15</v>
      </c>
      <c r="C19" s="3" t="s">
        <v>40</v>
      </c>
      <c r="D19" s="7" t="s">
        <v>1375</v>
      </c>
      <c r="E19" s="902"/>
      <c r="F19" s="821" t="e">
        <f>SUMIF(MAP!$D$32:$D$39,"CTF",MAP!N32:N39)-MAP!N40-MAP!N278</f>
        <v>#VALUE!</v>
      </c>
      <c r="G19" s="821">
        <f>SUMIF(MAP!$D$32:$D$39,"CTF",MAP!O32:O39)-MAP!O40-MAP!O278</f>
        <v>0</v>
      </c>
      <c r="H19" s="821">
        <f>SUMIF(MAP!$D$32:$D$39,"CTF",MAP!P32:P39)-MAP!P40-MAP!P278</f>
        <v>0</v>
      </c>
      <c r="I19" s="821">
        <f>SUMIF(MAP!$D$32:$D$39,"CTF",MAP!Q32:Q39)-MAP!Q40-MAP!Q278</f>
        <v>0</v>
      </c>
      <c r="J19" s="821">
        <f>SUMIF(MAP!$D$32:$D$39,"CTF",MAP!R32:R39)-MAP!R40-MAP!R278</f>
        <v>0</v>
      </c>
      <c r="K19" s="821">
        <f>SUMIF(MAP!$D$32:$D$39,"CTF",MAP!S32:S39)-MAP!S40-MAP!S278</f>
        <v>0</v>
      </c>
      <c r="L19" s="821" t="e">
        <f>SUMIF(MAP!$D$32:$D$39,"CTF",MAP!T32:T39)-MAP!T40-MAP!T278</f>
        <v>#VALUE!</v>
      </c>
      <c r="M19" s="821">
        <f>SUMIF(MAP!$D$32:$D$39,"CTF",MAP!U32:U39)-MAP!U40-MAP!U278</f>
        <v>0</v>
      </c>
      <c r="N19" s="821">
        <f>SUMIF(MAP!$D$32:$D$39,"CTF",MAP!V32:V39)-MAP!V40-MAP!V278</f>
        <v>0</v>
      </c>
      <c r="O19" s="821" t="e">
        <f>SUMIF(MAP!$D$32:$D$39,"CTF",MAP!W32:W39)-MAP!W40-MAP!W278</f>
        <v>#VALUE!</v>
      </c>
      <c r="P19" s="821">
        <f>SUMIF(MAP!$D$32:$D$39,"CTF",MAP!X32:X39)-MAP!X40-MAP!X278</f>
        <v>0</v>
      </c>
      <c r="Q19" s="821">
        <f>SUMIF(MAP!$D$32:$D$39,"CTF",MAP!Y32:Y39)-MAP!Y40-MAP!Y278</f>
        <v>0</v>
      </c>
      <c r="R19" s="821">
        <f>SUMIF(MAP!$D$32:$D$39,"CTF",MAP!Z32:Z39)-MAP!Z40-MAP!Z278</f>
        <v>0</v>
      </c>
      <c r="S19" s="821">
        <f>SUMIF(MAP!$D$32:$D$39,"CTF",MAP!AA32:AA39)-MAP!AA40-MAP!AA278</f>
        <v>0</v>
      </c>
      <c r="T19" s="821">
        <f>SUMIF(MAP!$D$32:$D$39,"CTF",MAP!AB32:AB39)-MAP!AB40-MAP!AB278</f>
        <v>0</v>
      </c>
      <c r="U19" s="821">
        <f>SUMIF(MAP!$D$32:$D$39,"CTF",MAP!AC32:AC39)-MAP!AC40-MAP!AC278</f>
        <v>0</v>
      </c>
      <c r="V19" s="821">
        <f>SUMIF(MAP!$D$32:$D$39,"CTF",MAP!AD32:AD39)-MAP!AD40-MAP!AD278</f>
        <v>0</v>
      </c>
      <c r="W19" s="821">
        <f>SUMIF(MAP!$D$32:$D$39,"CTF",MAP!AE32:AE39)-MAP!AE40-MAP!AE278</f>
        <v>0</v>
      </c>
      <c r="X19" s="821">
        <f>SUMIF(MAP!$D$32:$D$39,"CTF",MAP!AF32:AF39)-MAP!AF40-MAP!AF278</f>
        <v>0</v>
      </c>
      <c r="Y19" s="821">
        <f>SUMIF(MAP!$D$32:$D$39,"CTF",MAP!AG32:AG39)-MAP!AG40-MAP!AG278</f>
        <v>0</v>
      </c>
      <c r="Z19" s="821">
        <f>SUMIF(MAP!$D$32:$D$39,"CTF",MAP!AH32:AH39)-MAP!AH40-MAP!AH278</f>
        <v>0</v>
      </c>
      <c r="AA19" s="821">
        <f>SUMIF(MAP!$D$32:$D$39,"CTF",MAP!AI32:AI39)-MAP!AI40-MAP!AI278</f>
        <v>0</v>
      </c>
      <c r="AB19" s="821">
        <f>SUMIF(MAP!$D$32:$D$39,"CTF",MAP!AJ32:AJ39)-MAP!AJ40-MAP!AJ278</f>
        <v>0</v>
      </c>
      <c r="AC19" s="821">
        <f>SUMIF(MAP!$D$32:$D$39,"CTF",MAP!AK32:AK39)-MAP!AK40-MAP!AK278</f>
        <v>0</v>
      </c>
      <c r="AD19" s="821">
        <f>SUMIF(MAP!$D$32:$D$39,"CTF",MAP!AL32:AL39)-MAP!AL40-MAP!AL278</f>
        <v>0</v>
      </c>
      <c r="AE19" s="821">
        <f>SUMIF(MAP!$D$32:$D$39,"CTF",MAP!AM32:AM39)-MAP!AM40-MAP!AM278</f>
        <v>0</v>
      </c>
      <c r="AF19" s="821">
        <f>SUMIF(MAP!$D$32:$D$39,"CTF",MAP!AN32:AN39)-MAP!AN40-MAP!AN278</f>
        <v>0</v>
      </c>
      <c r="AG19" s="821">
        <f>SUMIF(MAP!$D$32:$D$39,"CTF",MAP!AO32:AO39)-MAP!AO40-MAP!AO278</f>
        <v>0</v>
      </c>
      <c r="AH19" s="821">
        <f>SUMIF(MAP!$D$32:$D$39,"CTF",MAP!AP32:AP39)-MAP!AP40-MAP!AP278</f>
        <v>0</v>
      </c>
      <c r="AI19" s="821">
        <f>SUMIF(MAP!$D$32:$D$39,"CTF",MAP!AQ32:AQ39)-MAP!AQ40-MAP!AQ278</f>
        <v>0</v>
      </c>
      <c r="AJ19" s="821">
        <f>SUMIF(MAP!$D$32:$D$39,"CTF",MAP!AR32:AR39)-MAP!AR40-MAP!AR278</f>
        <v>0</v>
      </c>
      <c r="AK19" s="821">
        <f>SUMIF(MAP!$D$32:$D$39,"CTF",MAP!AS32:AS39)-MAP!AS40-MAP!AS278</f>
        <v>0</v>
      </c>
      <c r="AL19" s="821">
        <f>SUMIF(MAP!$D$32:$D$39,"CTF",MAP!AT32:AT39)-MAP!AT40-MAP!AT278</f>
        <v>0</v>
      </c>
      <c r="AM19" s="821">
        <f>SUMIF(MAP!$D$32:$D$39,"CTF",MAP!AU32:AU39)-MAP!AU40-MAP!AU278</f>
        <v>0</v>
      </c>
    </row>
    <row r="20" spans="1:39" x14ac:dyDescent="0.25">
      <c r="A20" s="2"/>
      <c r="B20" s="3">
        <f>MAX($B$4:B19)+1</f>
        <v>16</v>
      </c>
      <c r="C20" s="3"/>
      <c r="D20" s="7"/>
      <c r="E20" s="90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row>
    <row r="21" spans="1:39" x14ac:dyDescent="0.25">
      <c r="A21" s="2"/>
      <c r="B21" s="3">
        <f>MAX($B$4:B20)+1</f>
        <v>17</v>
      </c>
      <c r="C21" s="357" t="s">
        <v>40</v>
      </c>
      <c r="D21" s="7" t="s">
        <v>1330</v>
      </c>
      <c r="E21" s="902"/>
      <c r="F21" s="821" t="e">
        <f>MAP!N11+MAP!N21-MAP!N479-MAP!N485</f>
        <v>#VALUE!</v>
      </c>
      <c r="G21" s="821">
        <f>MAP!O11+MAP!O21-MAP!O479-MAP!O485</f>
        <v>0</v>
      </c>
      <c r="H21" s="821">
        <f>MAP!P11+MAP!P21-MAP!P479-MAP!P485</f>
        <v>0</v>
      </c>
      <c r="I21" s="821">
        <f>MAP!Q11+MAP!Q21-MAP!Q479-MAP!Q485</f>
        <v>0</v>
      </c>
      <c r="J21" s="821">
        <f>MAP!R11+MAP!R21-MAP!R479-MAP!R485</f>
        <v>0</v>
      </c>
      <c r="K21" s="821">
        <f>MAP!S11+MAP!S21-MAP!S479-MAP!S485</f>
        <v>0</v>
      </c>
      <c r="L21" s="821" t="e">
        <f>MAP!T11+MAP!T21-MAP!T479-MAP!T485</f>
        <v>#VALUE!</v>
      </c>
      <c r="M21" s="821">
        <f>MAP!U11+MAP!U21-MAP!U479-MAP!U485</f>
        <v>0</v>
      </c>
      <c r="N21" s="821">
        <f>MAP!V11+MAP!V21-MAP!V479-MAP!V485</f>
        <v>0</v>
      </c>
      <c r="O21" s="824" t="e">
        <f>MAP!W11+MAP!W21-(MAP!W479)*1</f>
        <v>#VALUE!</v>
      </c>
      <c r="P21" s="821">
        <f>MAP!X11+MAP!X21-MAP!X479-MAP!X485</f>
        <v>0</v>
      </c>
      <c r="Q21" s="821">
        <f>MAP!Y11+MAP!Y21-MAP!Y479-MAP!Y485</f>
        <v>0</v>
      </c>
      <c r="R21" s="821">
        <f>MAP!Z11+MAP!Z21-MAP!Z479-MAP!Z485</f>
        <v>0</v>
      </c>
      <c r="S21" s="821">
        <f>MAP!AA11+MAP!AA21-MAP!AA479-MAP!AA485</f>
        <v>0</v>
      </c>
      <c r="T21" s="821">
        <f>MAP!AB11+MAP!AB21-MAP!AB479-MAP!AB485</f>
        <v>0</v>
      </c>
      <c r="U21" s="821">
        <f>MAP!AC11+MAP!AC21-MAP!AC479-MAP!AC485</f>
        <v>0</v>
      </c>
      <c r="V21" s="821">
        <f>MAP!AD11+MAP!AD21-MAP!AD479-MAP!AD485</f>
        <v>0</v>
      </c>
      <c r="W21" s="821">
        <f>MAP!AE11+MAP!AE21-MAP!AE479-MAP!AE485</f>
        <v>0</v>
      </c>
      <c r="X21" s="821">
        <f>MAP!AF11+MAP!AF21-MAP!AF479-MAP!AF485</f>
        <v>0</v>
      </c>
      <c r="Y21" s="821">
        <f>MAP!AG11+MAP!AG21-MAP!AG479-MAP!AG485</f>
        <v>0</v>
      </c>
      <c r="Z21" s="821">
        <f>MAP!AH11+MAP!AH21-MAP!AH479-MAP!AH485</f>
        <v>0</v>
      </c>
      <c r="AA21" s="821">
        <f>MAP!AI11+MAP!AI21-MAP!AI479-MAP!AI485</f>
        <v>0</v>
      </c>
      <c r="AB21" s="821">
        <f>MAP!AJ11+MAP!AJ21-MAP!AJ479-MAP!AJ485</f>
        <v>0</v>
      </c>
      <c r="AC21" s="821">
        <f>MAP!AK11+MAP!AK21-MAP!AK479-MAP!AK485</f>
        <v>0</v>
      </c>
      <c r="AD21" s="821">
        <f>MAP!AL11+MAP!AL21-MAP!AL479-MAP!AL485</f>
        <v>0</v>
      </c>
      <c r="AE21" s="821">
        <f>MAP!AM11+MAP!AM21-MAP!AM479-MAP!AM485</f>
        <v>0</v>
      </c>
      <c r="AF21" s="821">
        <f>MAP!AN11+MAP!AN21-MAP!AN479-MAP!AN485</f>
        <v>0</v>
      </c>
      <c r="AG21" s="821">
        <f>MAP!AO11+MAP!AO21-MAP!AO479-MAP!AO485</f>
        <v>0</v>
      </c>
      <c r="AH21" s="821">
        <f>MAP!AP11+MAP!AP21-MAP!AP479-MAP!AP485</f>
        <v>0</v>
      </c>
      <c r="AI21" s="821">
        <f>MAP!AQ11+MAP!AQ21-MAP!AQ479-MAP!AQ485</f>
        <v>0</v>
      </c>
      <c r="AJ21" s="821">
        <f>MAP!AR11+MAP!AR21-MAP!AR479-MAP!AR485</f>
        <v>0</v>
      </c>
      <c r="AK21" s="821">
        <f>MAP!AS11+MAP!AS21-MAP!AS479-MAP!AS485</f>
        <v>0</v>
      </c>
      <c r="AL21" s="821">
        <f>MAP!AT11+MAP!AT21-MAP!AT479-MAP!AT485</f>
        <v>0</v>
      </c>
      <c r="AM21" s="821">
        <f>MAP!AU11+MAP!AU21-MAP!AU479-MAP!AU485</f>
        <v>0</v>
      </c>
    </row>
    <row r="22" spans="1:39" x14ac:dyDescent="0.25">
      <c r="A22" s="2"/>
      <c r="B22" s="3">
        <f>MAX($B$4:B21)+1</f>
        <v>18</v>
      </c>
      <c r="C22" s="3"/>
      <c r="D22" s="7"/>
      <c r="E22" s="902"/>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row>
    <row r="23" spans="1:39" x14ac:dyDescent="0.25">
      <c r="A23" s="2"/>
      <c r="B23" s="3">
        <f>MAX($B$4:B22)+1</f>
        <v>19</v>
      </c>
      <c r="C23" s="3"/>
      <c r="D23" s="7"/>
      <c r="E23" s="902"/>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row>
    <row r="24" spans="1:39" x14ac:dyDescent="0.25">
      <c r="A24" s="2"/>
      <c r="B24" s="3">
        <f>MAX($B$4:B23)+1</f>
        <v>20</v>
      </c>
      <c r="C24" s="3"/>
      <c r="D24" s="7"/>
      <c r="E24" s="90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row>
    <row r="25" spans="1:39" x14ac:dyDescent="0.25">
      <c r="A25" s="2"/>
      <c r="B25" s="3">
        <f>MAX($B$4:B24)+1</f>
        <v>21</v>
      </c>
      <c r="C25" s="3" t="s">
        <v>41</v>
      </c>
      <c r="D25" s="7" t="s">
        <v>1372</v>
      </c>
      <c r="E25" s="1836"/>
      <c r="F25" s="821">
        <f>MAP!N89-MAP!N201</f>
        <v>1976136</v>
      </c>
      <c r="G25" s="821">
        <f>MAP!O89-MAP!O201</f>
        <v>0</v>
      </c>
      <c r="H25" s="821">
        <f>MAP!P89-MAP!P201</f>
        <v>0</v>
      </c>
      <c r="I25" s="821">
        <f>MAP!Q89-MAP!Q201</f>
        <v>0</v>
      </c>
      <c r="J25" s="821">
        <f>MAP!R89-MAP!R201</f>
        <v>0</v>
      </c>
      <c r="K25" s="821">
        <f>MAP!S89-MAP!S201</f>
        <v>0</v>
      </c>
      <c r="L25" s="821">
        <f>MAP!T89-MAP!T201</f>
        <v>1976136</v>
      </c>
      <c r="M25" s="821">
        <f>MAP!U89-MAP!U201</f>
        <v>0</v>
      </c>
      <c r="N25" s="821">
        <f>MAP!V89-MAP!V201</f>
        <v>0</v>
      </c>
      <c r="O25" s="821">
        <f>MAP!W89-MAP!W201</f>
        <v>1976136.4500000002</v>
      </c>
      <c r="P25" s="821">
        <f>MAP!X89-MAP!X201</f>
        <v>0</v>
      </c>
      <c r="Q25" s="821">
        <f>MAP!Y89-MAP!Y201</f>
        <v>0</v>
      </c>
      <c r="R25" s="821">
        <f>MAP!Z89-MAP!Z201</f>
        <v>0</v>
      </c>
      <c r="S25" s="821">
        <f>MAP!AA89-MAP!AA201</f>
        <v>0</v>
      </c>
      <c r="T25" s="821">
        <f>MAP!AB89-MAP!AB201</f>
        <v>0</v>
      </c>
      <c r="U25" s="821">
        <f>MAP!AC89-MAP!AC201</f>
        <v>0</v>
      </c>
      <c r="V25" s="821">
        <f>MAP!AD89-MAP!AD201</f>
        <v>0</v>
      </c>
      <c r="W25" s="821">
        <f>MAP!AE89-MAP!AE201</f>
        <v>0</v>
      </c>
      <c r="X25" s="821">
        <f>MAP!AF89-MAP!AF201</f>
        <v>0</v>
      </c>
      <c r="Y25" s="821">
        <f>MAP!AG89-MAP!AG201</f>
        <v>0</v>
      </c>
      <c r="Z25" s="821">
        <f>MAP!AH89-MAP!AH201</f>
        <v>0</v>
      </c>
      <c r="AA25" s="821">
        <f>MAP!AI89-MAP!AI201</f>
        <v>0</v>
      </c>
      <c r="AB25" s="821">
        <f>MAP!AJ89-MAP!AJ201</f>
        <v>0</v>
      </c>
      <c r="AC25" s="821">
        <f>MAP!AK89-MAP!AK201</f>
        <v>0</v>
      </c>
      <c r="AD25" s="821">
        <f>MAP!AL89-MAP!AL201</f>
        <v>0</v>
      </c>
      <c r="AE25" s="821">
        <f>MAP!AM89-MAP!AM201</f>
        <v>0</v>
      </c>
      <c r="AF25" s="821">
        <f>MAP!AN89-MAP!AN201</f>
        <v>0</v>
      </c>
      <c r="AG25" s="821">
        <f>MAP!AO89-MAP!AO201</f>
        <v>0</v>
      </c>
      <c r="AH25" s="821">
        <f>MAP!AP89-MAP!AP201</f>
        <v>0</v>
      </c>
      <c r="AI25" s="821">
        <f>MAP!AQ89-MAP!AQ201</f>
        <v>0</v>
      </c>
      <c r="AJ25" s="821">
        <f>MAP!AR89-MAP!AR201</f>
        <v>0</v>
      </c>
      <c r="AK25" s="821">
        <f>MAP!AS89-MAP!AS201</f>
        <v>0</v>
      </c>
      <c r="AL25" s="821">
        <f>MAP!AT89-MAP!AT201</f>
        <v>0</v>
      </c>
      <c r="AM25" s="821">
        <f>MAP!AU89-MAP!AU201</f>
        <v>0</v>
      </c>
    </row>
    <row r="26" spans="1:39" x14ac:dyDescent="0.25">
      <c r="A26" s="2"/>
      <c r="B26" s="3">
        <f>MAX($B$4:B25)+1</f>
        <v>22</v>
      </c>
      <c r="C26" s="3" t="s">
        <v>41</v>
      </c>
      <c r="D26" s="7" t="s">
        <v>798</v>
      </c>
      <c r="E26" s="1820"/>
      <c r="F26" s="821">
        <f>MAP!N92-MAP!N85</f>
        <v>-60169</v>
      </c>
      <c r="G26" s="821">
        <f>MAP!O92-MAP!O85</f>
        <v>0</v>
      </c>
      <c r="H26" s="821">
        <f>MAP!P92-MAP!P85</f>
        <v>0</v>
      </c>
      <c r="I26" s="821">
        <f>MAP!Q92-MAP!Q85</f>
        <v>0</v>
      </c>
      <c r="J26" s="821">
        <f>MAP!R92-MAP!R85</f>
        <v>0</v>
      </c>
      <c r="K26" s="821">
        <f>MAP!S92-MAP!S85</f>
        <v>0</v>
      </c>
      <c r="L26" s="821">
        <f>MAP!T92-MAP!T85</f>
        <v>-60169</v>
      </c>
      <c r="M26" s="821">
        <f>MAP!U92-MAP!U85</f>
        <v>0</v>
      </c>
      <c r="N26" s="821">
        <f>MAP!V92-MAP!V85</f>
        <v>0</v>
      </c>
      <c r="O26" s="821">
        <f>MAP!W92-MAP!W85</f>
        <v>-60168.549999999814</v>
      </c>
      <c r="P26" s="821">
        <f>MAP!X92-MAP!X85</f>
        <v>0</v>
      </c>
      <c r="Q26" s="821">
        <f>MAP!Y92-MAP!Y85</f>
        <v>0</v>
      </c>
      <c r="R26" s="821">
        <f>MAP!Z92-MAP!Z85</f>
        <v>0</v>
      </c>
      <c r="S26" s="821">
        <f>MAP!AA92-MAP!AA85</f>
        <v>0</v>
      </c>
      <c r="T26" s="821">
        <f>MAP!AB92-MAP!AB85</f>
        <v>0</v>
      </c>
      <c r="U26" s="821">
        <f>MAP!AC92-MAP!AC85</f>
        <v>0</v>
      </c>
      <c r="V26" s="821">
        <f>MAP!AD92-MAP!AD85</f>
        <v>0</v>
      </c>
      <c r="W26" s="821">
        <f>MAP!AE92-MAP!AE85</f>
        <v>0</v>
      </c>
      <c r="X26" s="821">
        <f>MAP!AF92-MAP!AF85</f>
        <v>0</v>
      </c>
      <c r="Y26" s="821">
        <f>MAP!AG92-MAP!AG85</f>
        <v>0</v>
      </c>
      <c r="Z26" s="821">
        <f>MAP!AH92-MAP!AH85</f>
        <v>0</v>
      </c>
      <c r="AA26" s="821">
        <f>MAP!AI92-MAP!AI85</f>
        <v>0</v>
      </c>
      <c r="AB26" s="821">
        <f>MAP!AJ92-MAP!AJ85</f>
        <v>0</v>
      </c>
      <c r="AC26" s="821">
        <f>MAP!AK92-MAP!AK85</f>
        <v>0</v>
      </c>
      <c r="AD26" s="821">
        <f>MAP!AL92-MAP!AL85</f>
        <v>0</v>
      </c>
      <c r="AE26" s="821">
        <f>MAP!AM92-MAP!AM85</f>
        <v>0</v>
      </c>
      <c r="AF26" s="821">
        <f>MAP!AN92-MAP!AN85</f>
        <v>0</v>
      </c>
      <c r="AG26" s="821">
        <f>MAP!AO92-MAP!AO85</f>
        <v>0</v>
      </c>
      <c r="AH26" s="821">
        <f>MAP!AP92-MAP!AP85</f>
        <v>0</v>
      </c>
      <c r="AI26" s="821">
        <f>MAP!AQ92-MAP!AQ85</f>
        <v>0</v>
      </c>
      <c r="AJ26" s="821">
        <f>MAP!AR92-MAP!AR85</f>
        <v>0</v>
      </c>
      <c r="AK26" s="821">
        <f>MAP!AS92-MAP!AS85</f>
        <v>0</v>
      </c>
      <c r="AL26" s="821">
        <f>MAP!AT92-MAP!AT85</f>
        <v>0</v>
      </c>
      <c r="AM26" s="821">
        <f>MAP!AU92-MAP!AU85</f>
        <v>0</v>
      </c>
    </row>
    <row r="27" spans="1:39" x14ac:dyDescent="0.25">
      <c r="A27" s="2"/>
      <c r="B27" s="3">
        <f>MAX($B$4:B26)+1</f>
        <v>23</v>
      </c>
      <c r="C27" s="3"/>
      <c r="D27" s="7"/>
      <c r="E27" s="902"/>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row>
    <row r="28" spans="1:39" x14ac:dyDescent="0.25">
      <c r="A28" s="2"/>
      <c r="B28" s="3">
        <f>MAX($B$4:B27)+1</f>
        <v>24</v>
      </c>
      <c r="C28" s="3"/>
      <c r="D28" s="7"/>
      <c r="E28" s="902"/>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row>
    <row r="29" spans="1:39" x14ac:dyDescent="0.25">
      <c r="A29" s="2"/>
      <c r="B29" s="3">
        <f>MAX($B$4:B28)+1</f>
        <v>25</v>
      </c>
      <c r="C29" s="3" t="s">
        <v>42</v>
      </c>
      <c r="D29" s="7" t="s">
        <v>1447</v>
      </c>
      <c r="E29" s="902"/>
      <c r="F29" s="821">
        <f>SCF!U69</f>
        <v>-29841</v>
      </c>
      <c r="G29" s="821">
        <f>SCF!V69</f>
        <v>0</v>
      </c>
      <c r="H29" s="821">
        <f>SCF!W69</f>
        <v>0</v>
      </c>
      <c r="I29" s="821">
        <f>SCF!X69</f>
        <v>0</v>
      </c>
      <c r="J29" s="821">
        <f>SCF!Y69</f>
        <v>0</v>
      </c>
      <c r="K29" s="821">
        <f>SCF!Z69</f>
        <v>0</v>
      </c>
      <c r="L29" s="821">
        <f>SCF!AA69</f>
        <v>-29841</v>
      </c>
      <c r="M29" s="821">
        <f>SCF!AB69</f>
        <v>0</v>
      </c>
      <c r="N29" s="821">
        <f>SCF!AC69</f>
        <v>0</v>
      </c>
      <c r="O29" s="821">
        <f>SCF!AD69</f>
        <v>-29841</v>
      </c>
      <c r="P29" s="821">
        <f>SCF!AE69</f>
        <v>0</v>
      </c>
      <c r="Q29" s="821">
        <f>SCF!AF69</f>
        <v>0</v>
      </c>
      <c r="R29" s="821">
        <f>SCF!AG69</f>
        <v>0</v>
      </c>
      <c r="S29" s="821">
        <f>SCF!AH69</f>
        <v>0</v>
      </c>
      <c r="T29" s="821">
        <f>SCF!AI69</f>
        <v>0</v>
      </c>
      <c r="U29" s="821">
        <f>SCF!AJ69</f>
        <v>0</v>
      </c>
      <c r="V29" s="821">
        <f>SCF!AK69</f>
        <v>0</v>
      </c>
      <c r="W29" s="821">
        <f>SCF!AL69</f>
        <v>0</v>
      </c>
      <c r="X29" s="821">
        <f>SCF!AM69</f>
        <v>0</v>
      </c>
      <c r="Y29" s="821">
        <f>SCF!AN69</f>
        <v>0</v>
      </c>
      <c r="Z29" s="821">
        <f>SCF!AO69</f>
        <v>0</v>
      </c>
      <c r="AA29" s="821">
        <f>SCF!AP69</f>
        <v>0</v>
      </c>
      <c r="AB29" s="821">
        <f>SCF!AQ69</f>
        <v>0</v>
      </c>
      <c r="AC29" s="821">
        <f>SCF!AR69</f>
        <v>0</v>
      </c>
      <c r="AD29" s="821">
        <f>SCF!AS69</f>
        <v>0</v>
      </c>
      <c r="AE29" s="821">
        <f>SCF!AT69</f>
        <v>0</v>
      </c>
      <c r="AF29" s="821">
        <f>SCF!AU69</f>
        <v>0</v>
      </c>
      <c r="AG29" s="821">
        <f>SCF!AV69</f>
        <v>0</v>
      </c>
      <c r="AH29" s="821">
        <f>SCF!AW69</f>
        <v>0</v>
      </c>
      <c r="AI29" s="821">
        <f>SCF!AX69</f>
        <v>0</v>
      </c>
      <c r="AJ29" s="821">
        <f>SCF!AY69</f>
        <v>0</v>
      </c>
      <c r="AK29" s="821">
        <f>SCF!AZ69</f>
        <v>0</v>
      </c>
      <c r="AL29" s="821">
        <f>SCF!BA69</f>
        <v>0</v>
      </c>
      <c r="AM29" s="821">
        <f>SCF!BB69</f>
        <v>0</v>
      </c>
    </row>
    <row r="30" spans="1:39" x14ac:dyDescent="0.25">
      <c r="A30" s="2"/>
      <c r="B30" s="3">
        <f>MAX($B$4:B29)+1</f>
        <v>26</v>
      </c>
      <c r="C30" s="3" t="s">
        <v>42</v>
      </c>
      <c r="D30" s="7" t="s">
        <v>1448</v>
      </c>
      <c r="E30" s="902"/>
      <c r="F30" s="821">
        <f>SCF!U70</f>
        <v>0</v>
      </c>
      <c r="G30" s="821">
        <f>SCF!V70</f>
        <v>0</v>
      </c>
      <c r="H30" s="821">
        <f>SCF!W70</f>
        <v>0</v>
      </c>
      <c r="I30" s="821">
        <f>SCF!X70</f>
        <v>0</v>
      </c>
      <c r="J30" s="821">
        <f>SCF!Y70</f>
        <v>0</v>
      </c>
      <c r="K30" s="821">
        <f>SCF!Z70</f>
        <v>0</v>
      </c>
      <c r="L30" s="821">
        <f>SCF!AA70</f>
        <v>0</v>
      </c>
      <c r="M30" s="821">
        <f>SCF!AB70</f>
        <v>0</v>
      </c>
      <c r="N30" s="821">
        <f>SCF!AC70</f>
        <v>0</v>
      </c>
      <c r="O30" s="821">
        <f>SCF!AD70</f>
        <v>0</v>
      </c>
      <c r="P30" s="821">
        <f>SCF!AE70</f>
        <v>0</v>
      </c>
      <c r="Q30" s="821">
        <f>SCF!AF70</f>
        <v>0</v>
      </c>
      <c r="R30" s="821">
        <f>SCF!AG70</f>
        <v>0</v>
      </c>
      <c r="S30" s="821">
        <f>SCF!AH70</f>
        <v>0</v>
      </c>
      <c r="T30" s="821">
        <f>SCF!AI70</f>
        <v>0</v>
      </c>
      <c r="U30" s="821">
        <f>SCF!AJ70</f>
        <v>0</v>
      </c>
      <c r="V30" s="821">
        <f>SCF!AK70</f>
        <v>0</v>
      </c>
      <c r="W30" s="821">
        <f>SCF!AL70</f>
        <v>0</v>
      </c>
      <c r="X30" s="821">
        <f>SCF!AM70</f>
        <v>0</v>
      </c>
      <c r="Y30" s="821">
        <f>SCF!AN70</f>
        <v>0</v>
      </c>
      <c r="Z30" s="821">
        <f>SCF!AO70</f>
        <v>0</v>
      </c>
      <c r="AA30" s="821">
        <f>SCF!AP70</f>
        <v>0</v>
      </c>
      <c r="AB30" s="821">
        <f>SCF!AQ70</f>
        <v>0</v>
      </c>
      <c r="AC30" s="821">
        <f>SCF!AR70</f>
        <v>0</v>
      </c>
      <c r="AD30" s="821">
        <f>SCF!AS70</f>
        <v>0</v>
      </c>
      <c r="AE30" s="821">
        <f>SCF!AT70</f>
        <v>0</v>
      </c>
      <c r="AF30" s="821">
        <f>SCF!AU70</f>
        <v>0</v>
      </c>
      <c r="AG30" s="821">
        <f>SCF!AV70</f>
        <v>0</v>
      </c>
      <c r="AH30" s="821">
        <f>SCF!AW70</f>
        <v>0</v>
      </c>
      <c r="AI30" s="821">
        <f>SCF!AX70</f>
        <v>0</v>
      </c>
      <c r="AJ30" s="821">
        <f>SCF!AY70</f>
        <v>0</v>
      </c>
      <c r="AK30" s="821">
        <f>SCF!AZ70</f>
        <v>0</v>
      </c>
      <c r="AL30" s="821">
        <f>SCF!BA70</f>
        <v>0</v>
      </c>
      <c r="AM30" s="821">
        <f>SCF!BB70</f>
        <v>0</v>
      </c>
    </row>
    <row r="31" spans="1:39" x14ac:dyDescent="0.25">
      <c r="A31" s="2"/>
      <c r="B31" s="3">
        <f>MAX($B$4:B30)+1</f>
        <v>27</v>
      </c>
      <c r="C31" s="3"/>
      <c r="D31" s="7"/>
      <c r="E31" s="902"/>
      <c r="F31" s="822"/>
      <c r="G31" s="822"/>
      <c r="H31" s="822"/>
      <c r="I31" s="822"/>
      <c r="J31" s="822"/>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row>
    <row r="32" spans="1:39" outlineLevel="1" x14ac:dyDescent="0.25">
      <c r="A32" s="2"/>
      <c r="B32" s="3">
        <f>MAX($B$4:B31)+1</f>
        <v>28</v>
      </c>
      <c r="C32" s="3" t="s">
        <v>42</v>
      </c>
      <c r="D32" s="7" t="s">
        <v>318</v>
      </c>
      <c r="E32" s="906" t="s">
        <v>1399</v>
      </c>
      <c r="F32" s="820">
        <f>SUMIF(MAP!$E:$E,$D32,MAP!N:N)</f>
        <v>0</v>
      </c>
      <c r="G32" s="820">
        <f>SUMIF(MAP!$E:$E,$D32,MAP!O:O)</f>
        <v>0</v>
      </c>
      <c r="H32" s="820">
        <f>SUMIF(MAP!$E:$E,$D32,MAP!P:P)</f>
        <v>0</v>
      </c>
      <c r="I32" s="820">
        <f>SUMIF(MAP!$E:$E,$D32,MAP!Q:Q)</f>
        <v>0</v>
      </c>
      <c r="J32" s="820">
        <f>SUMIF(MAP!$E:$E,$D32,MAP!R:R)</f>
        <v>0</v>
      </c>
      <c r="K32" s="820">
        <f>SUMIF(MAP!$E:$E,$D32,MAP!S:S)</f>
        <v>0</v>
      </c>
      <c r="L32" s="820">
        <f>SUMIF(MAP!$E:$E,$D32,MAP!T:T)</f>
        <v>0</v>
      </c>
      <c r="M32" s="820">
        <f>SUMIF(MAP!$E:$E,$D32,MAP!U:U)</f>
        <v>0</v>
      </c>
      <c r="N32" s="820">
        <f>SUMIF(MAP!$E:$E,$D32,MAP!V:V)</f>
        <v>0</v>
      </c>
      <c r="O32" s="820">
        <f>SUMIF(MAP!$E:$E,$D32,MAP!W:W)</f>
        <v>0</v>
      </c>
      <c r="P32" s="820">
        <f>SUMIF(MAP!$E:$E,$D32,MAP!X:X)</f>
        <v>0</v>
      </c>
      <c r="Q32" s="820">
        <f>SUMIF(MAP!$E:$E,$D32,MAP!Y:Y)</f>
        <v>0</v>
      </c>
      <c r="R32" s="820">
        <f>SUMIF(MAP!$E:$E,$D32,MAP!Z:Z)</f>
        <v>0</v>
      </c>
      <c r="S32" s="820">
        <f>SUMIF(MAP!$E:$E,$D32,MAP!AA:AA)</f>
        <v>0</v>
      </c>
      <c r="T32" s="820">
        <f>SUMIF(MAP!$E:$E,$D32,MAP!AB:AB)</f>
        <v>0</v>
      </c>
      <c r="U32" s="820">
        <f>SUMIF(MAP!$E:$E,$D32,MAP!AC:AC)</f>
        <v>0</v>
      </c>
      <c r="V32" s="820">
        <f>SUMIF(MAP!$E:$E,$D32,MAP!AD:AD)</f>
        <v>0</v>
      </c>
      <c r="W32" s="820">
        <f>SUMIF(MAP!$E:$E,$D32,MAP!AE:AE)</f>
        <v>0</v>
      </c>
      <c r="X32" s="820">
        <f>SUMIF(MAP!$E:$E,$D32,MAP!AF:AF)</f>
        <v>0</v>
      </c>
      <c r="Y32" s="820">
        <f>SUMIF(MAP!$E:$E,$D32,MAP!AG:AG)</f>
        <v>0</v>
      </c>
      <c r="Z32" s="820">
        <f>SUMIF(MAP!$E:$E,$D32,MAP!AH:AH)</f>
        <v>0</v>
      </c>
      <c r="AA32" s="820">
        <f>SUMIF(MAP!$E:$E,$D32,MAP!AI:AI)</f>
        <v>0</v>
      </c>
      <c r="AB32" s="820">
        <f>SUMIF(MAP!$E:$E,$D32,MAP!AJ:AJ)</f>
        <v>0</v>
      </c>
      <c r="AC32" s="820">
        <f>SUMIF(MAP!$E:$E,$D32,MAP!AK:AK)</f>
        <v>0</v>
      </c>
      <c r="AD32" s="820">
        <f>SUMIF(MAP!$E:$E,$D32,MAP!AL:AL)</f>
        <v>0</v>
      </c>
      <c r="AE32" s="820">
        <f>SUMIF(MAP!$E:$E,$D32,MAP!AM:AM)</f>
        <v>0</v>
      </c>
      <c r="AF32" s="820">
        <f>SUMIF(MAP!$E:$E,$D32,MAP!AN:AN)</f>
        <v>0</v>
      </c>
      <c r="AG32" s="820">
        <f>SUMIF(MAP!$E:$E,$D32,MAP!AO:AO)</f>
        <v>0</v>
      </c>
      <c r="AH32" s="820">
        <f>SUMIF(MAP!$E:$E,$D32,MAP!AP:AP)</f>
        <v>0</v>
      </c>
      <c r="AI32" s="820">
        <f>SUMIF(MAP!$E:$E,$D32,MAP!AQ:AQ)</f>
        <v>0</v>
      </c>
      <c r="AJ32" s="820">
        <f>SUMIF(MAP!$E:$E,$D32,MAP!AR:AR)</f>
        <v>0</v>
      </c>
      <c r="AK32" s="820">
        <f>SUMIF(MAP!$E:$E,$D32,MAP!AS:AS)</f>
        <v>0</v>
      </c>
      <c r="AL32" s="820">
        <f>SUMIF(MAP!$E:$E,$D32,MAP!AT:AT)</f>
        <v>0</v>
      </c>
      <c r="AM32" s="820">
        <f>SUMIF(MAP!$E:$E,$D32,MAP!AU:AU)</f>
        <v>0</v>
      </c>
    </row>
    <row r="33" spans="1:39" outlineLevel="1" x14ac:dyDescent="0.25">
      <c r="A33" s="2"/>
      <c r="B33" s="3">
        <f>MAX($B$4:B32)+1</f>
        <v>29</v>
      </c>
      <c r="C33" s="3" t="s">
        <v>1395</v>
      </c>
      <c r="D33" s="7" t="s">
        <v>1396</v>
      </c>
      <c r="E33" s="906" t="s">
        <v>1399</v>
      </c>
      <c r="F33" s="820">
        <f>SUMIF(MAP!$F$358:$F$485,"NC",MAP!N358:N485)</f>
        <v>0</v>
      </c>
      <c r="G33" s="820">
        <f>SUMIF(MAP!$F$358:$F$485,"NC",MAP!O358:O485)</f>
        <v>0</v>
      </c>
      <c r="H33" s="820">
        <f>SUMIF(MAP!$F$358:$F$485,"NC",MAP!P358:P485)</f>
        <v>0</v>
      </c>
      <c r="I33" s="820">
        <f>SUMIF(MAP!$F$358:$F$485,"NC",MAP!Q358:Q485)</f>
        <v>0</v>
      </c>
      <c r="J33" s="820">
        <f>SUMIF(MAP!$F$358:$F$485,"NC",MAP!R358:R485)</f>
        <v>0</v>
      </c>
      <c r="K33" s="820">
        <f>SUMIF(MAP!$F$358:$F$485,"NC",MAP!S358:S485)</f>
        <v>0</v>
      </c>
      <c r="L33" s="820">
        <f>SUMIF(MAP!$F$358:$F$485,"NC",MAP!T358:T485)</f>
        <v>0</v>
      </c>
      <c r="M33" s="820">
        <f>SUMIF(MAP!$F$358:$F$485,"NC",MAP!U358:U485)</f>
        <v>0</v>
      </c>
      <c r="N33" s="820">
        <f>SUMIF(MAP!$F$358:$F$485,"NC",MAP!V358:V485)</f>
        <v>0</v>
      </c>
      <c r="O33" s="820">
        <f>SUMIF(MAP!$F$358:$F$485,"NC",MAP!W358:W485)</f>
        <v>0</v>
      </c>
      <c r="P33" s="820">
        <f>SUMIF(MAP!$F$358:$F$485,"NC",MAP!X358:X485)</f>
        <v>0</v>
      </c>
      <c r="Q33" s="820">
        <f>SUMIF(MAP!$F$358:$F$485,"NC",MAP!Y358:Y485)</f>
        <v>0</v>
      </c>
      <c r="R33" s="820">
        <f>SUMIF(MAP!$F$358:$F$485,"NC",MAP!Z358:Z485)</f>
        <v>0</v>
      </c>
      <c r="S33" s="820">
        <f>SUMIF(MAP!$F$358:$F$485,"NC",MAP!AA358:AA485)</f>
        <v>0</v>
      </c>
      <c r="T33" s="820">
        <f>SUMIF(MAP!$F$358:$F$485,"NC",MAP!AB358:AB485)</f>
        <v>0</v>
      </c>
      <c r="U33" s="820">
        <f>SUMIF(MAP!$F$358:$F$485,"NC",MAP!AC358:AC485)</f>
        <v>0</v>
      </c>
      <c r="V33" s="820">
        <f>SUMIF(MAP!$F$358:$F$485,"NC",MAP!AD358:AD485)</f>
        <v>0</v>
      </c>
      <c r="W33" s="820">
        <f>SUMIF(MAP!$F$358:$F$485,"NC",MAP!AE358:AE485)</f>
        <v>0</v>
      </c>
      <c r="X33" s="820">
        <f>SUMIF(MAP!$F$358:$F$485,"NC",MAP!AF358:AF485)</f>
        <v>0</v>
      </c>
      <c r="Y33" s="820">
        <f>SUMIF(MAP!$F$358:$F$485,"NC",MAP!AG358:AG485)</f>
        <v>0</v>
      </c>
      <c r="Z33" s="820">
        <f>SUMIF(MAP!$F$358:$F$485,"NC",MAP!AH358:AH485)</f>
        <v>0</v>
      </c>
      <c r="AA33" s="820">
        <f>SUMIF(MAP!$F$358:$F$485,"NC",MAP!AI358:AI485)</f>
        <v>0</v>
      </c>
      <c r="AB33" s="820">
        <f>SUMIF(MAP!$F$358:$F$485,"NC",MAP!AJ358:AJ485)</f>
        <v>0</v>
      </c>
      <c r="AC33" s="820">
        <f>SUMIF(MAP!$F$358:$F$485,"NC",MAP!AK358:AK485)</f>
        <v>0</v>
      </c>
      <c r="AD33" s="820">
        <f>SUMIF(MAP!$F$358:$F$485,"NC",MAP!AL358:AL485)</f>
        <v>0</v>
      </c>
      <c r="AE33" s="820">
        <f>SUMIF(MAP!$F$358:$F$485,"NC",MAP!AM358:AM485)</f>
        <v>0</v>
      </c>
      <c r="AF33" s="820">
        <f>SUMIF(MAP!$F$358:$F$485,"NC",MAP!AN358:AN485)</f>
        <v>0</v>
      </c>
      <c r="AG33" s="820">
        <f>SUMIF(MAP!$F$358:$F$485,"NC",MAP!AO358:AO485)</f>
        <v>0</v>
      </c>
      <c r="AH33" s="820">
        <f>SUMIF(MAP!$F$358:$F$485,"NC",MAP!AP358:AP485)</f>
        <v>0</v>
      </c>
      <c r="AI33" s="820">
        <f>SUMIF(MAP!$F$358:$F$485,"NC",MAP!AQ358:AQ485)</f>
        <v>0</v>
      </c>
      <c r="AJ33" s="820">
        <f>SUMIF(MAP!$F$358:$F$485,"NC",MAP!AR358:AR485)</f>
        <v>0</v>
      </c>
      <c r="AK33" s="820">
        <f>SUMIF(MAP!$F$358:$F$485,"NC",MAP!AS358:AS485)</f>
        <v>0</v>
      </c>
      <c r="AL33" s="820">
        <f>SUMIF(MAP!$F$358:$F$485,"NC",MAP!AT358:AT485)</f>
        <v>0</v>
      </c>
      <c r="AM33" s="820">
        <f>SUMIF(MAP!$F$358:$F$485,"NC",MAP!AU358:AU485)</f>
        <v>0</v>
      </c>
    </row>
    <row r="34" spans="1:39" ht="30" outlineLevel="1" x14ac:dyDescent="0.25">
      <c r="A34" s="2"/>
      <c r="B34" s="3">
        <f>MAX($B$4:B33)+1</f>
        <v>30</v>
      </c>
      <c r="C34" s="357" t="s">
        <v>1397</v>
      </c>
      <c r="D34" s="7" t="s">
        <v>1398</v>
      </c>
      <c r="E34" s="1836"/>
      <c r="F34" s="821">
        <f t="shared" ref="F34:AM34" si="0">F32-F33</f>
        <v>0</v>
      </c>
      <c r="G34" s="821">
        <f t="shared" si="0"/>
        <v>0</v>
      </c>
      <c r="H34" s="821">
        <f t="shared" si="0"/>
        <v>0</v>
      </c>
      <c r="I34" s="821">
        <f t="shared" si="0"/>
        <v>0</v>
      </c>
      <c r="J34" s="821">
        <f t="shared" si="0"/>
        <v>0</v>
      </c>
      <c r="K34" s="821">
        <f t="shared" si="0"/>
        <v>0</v>
      </c>
      <c r="L34" s="821">
        <f t="shared" si="0"/>
        <v>0</v>
      </c>
      <c r="M34" s="821">
        <f t="shared" si="0"/>
        <v>0</v>
      </c>
      <c r="N34" s="821">
        <f t="shared" si="0"/>
        <v>0</v>
      </c>
      <c r="O34" s="821">
        <f t="shared" si="0"/>
        <v>0</v>
      </c>
      <c r="P34" s="821">
        <f t="shared" si="0"/>
        <v>0</v>
      </c>
      <c r="Q34" s="821">
        <f t="shared" si="0"/>
        <v>0</v>
      </c>
      <c r="R34" s="821">
        <f t="shared" si="0"/>
        <v>0</v>
      </c>
      <c r="S34" s="821">
        <f t="shared" si="0"/>
        <v>0</v>
      </c>
      <c r="T34" s="821">
        <f t="shared" si="0"/>
        <v>0</v>
      </c>
      <c r="U34" s="821">
        <f t="shared" si="0"/>
        <v>0</v>
      </c>
      <c r="V34" s="821">
        <f t="shared" si="0"/>
        <v>0</v>
      </c>
      <c r="W34" s="821">
        <f t="shared" si="0"/>
        <v>0</v>
      </c>
      <c r="X34" s="821">
        <f t="shared" si="0"/>
        <v>0</v>
      </c>
      <c r="Y34" s="821">
        <f t="shared" si="0"/>
        <v>0</v>
      </c>
      <c r="Z34" s="821">
        <f t="shared" si="0"/>
        <v>0</v>
      </c>
      <c r="AA34" s="821">
        <f t="shared" si="0"/>
        <v>0</v>
      </c>
      <c r="AB34" s="821">
        <f t="shared" si="0"/>
        <v>0</v>
      </c>
      <c r="AC34" s="821">
        <f t="shared" si="0"/>
        <v>0</v>
      </c>
      <c r="AD34" s="821">
        <f t="shared" si="0"/>
        <v>0</v>
      </c>
      <c r="AE34" s="821">
        <f t="shared" si="0"/>
        <v>0</v>
      </c>
      <c r="AF34" s="821">
        <f t="shared" si="0"/>
        <v>0</v>
      </c>
      <c r="AG34" s="821">
        <f t="shared" si="0"/>
        <v>0</v>
      </c>
      <c r="AH34" s="821">
        <f t="shared" si="0"/>
        <v>0</v>
      </c>
      <c r="AI34" s="821">
        <f t="shared" si="0"/>
        <v>0</v>
      </c>
      <c r="AJ34" s="821">
        <f t="shared" si="0"/>
        <v>0</v>
      </c>
      <c r="AK34" s="821">
        <f t="shared" si="0"/>
        <v>0</v>
      </c>
      <c r="AL34" s="821">
        <f t="shared" si="0"/>
        <v>0</v>
      </c>
      <c r="AM34" s="821">
        <f t="shared" si="0"/>
        <v>0</v>
      </c>
    </row>
    <row r="35" spans="1:39" x14ac:dyDescent="0.25">
      <c r="A35" s="2"/>
      <c r="B35" s="3">
        <f>MAX($B$4:B34)+1</f>
        <v>31</v>
      </c>
      <c r="C35" s="3"/>
      <c r="D35" s="7"/>
      <c r="E35" s="902"/>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row>
    <row r="36" spans="1:39" x14ac:dyDescent="0.25">
      <c r="A36" s="2"/>
      <c r="B36" s="3">
        <f>MAX($B$4:B35)+1</f>
        <v>32</v>
      </c>
      <c r="C36" s="3"/>
      <c r="D36" s="7"/>
      <c r="E36" s="90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row>
    <row r="37" spans="1:39" x14ac:dyDescent="0.25">
      <c r="A37" s="2"/>
      <c r="B37" s="3">
        <f>MAX($B$4:B36)+1</f>
        <v>33</v>
      </c>
      <c r="C37" s="3"/>
      <c r="D37" s="7"/>
      <c r="E37" s="90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row>
    <row r="38" spans="1:39" x14ac:dyDescent="0.25">
      <c r="A38" s="2"/>
      <c r="B38" s="3">
        <f>MAX($B$4:B37)+1</f>
        <v>34</v>
      </c>
      <c r="C38" s="3" t="s">
        <v>42</v>
      </c>
      <c r="D38" s="7" t="s">
        <v>1391</v>
      </c>
      <c r="E38" s="906" t="s">
        <v>1399</v>
      </c>
      <c r="F38" s="820">
        <f>SUMIF(MAP!$E:$E,$D38,MAP!N:N)</f>
        <v>0</v>
      </c>
      <c r="G38" s="820">
        <f>SUMIF(MAP!$E:$E,$D38,MAP!O:O)</f>
        <v>0</v>
      </c>
      <c r="H38" s="820">
        <f>SUMIF(MAP!$E:$E,$D38,MAP!P:P)</f>
        <v>0</v>
      </c>
      <c r="I38" s="820">
        <f>SUMIF(MAP!$E:$E,$D38,MAP!Q:Q)</f>
        <v>0</v>
      </c>
      <c r="J38" s="820">
        <f>SUMIF(MAP!$E:$E,$D38,MAP!R:R)</f>
        <v>0</v>
      </c>
      <c r="K38" s="820">
        <f>SUMIF(MAP!$E:$E,$D38,MAP!S:S)</f>
        <v>0</v>
      </c>
      <c r="L38" s="820">
        <f>SUMIF(MAP!$E:$E,$D38,MAP!T:T)</f>
        <v>0</v>
      </c>
      <c r="M38" s="820">
        <f>SUMIF(MAP!$E:$E,$D38,MAP!U:U)</f>
        <v>0</v>
      </c>
      <c r="N38" s="820">
        <f>SUMIF(MAP!$E:$E,$D38,MAP!V:V)</f>
        <v>0</v>
      </c>
      <c r="O38" s="820">
        <f>SUMIF(MAP!$E:$E,$D38,MAP!W:W)</f>
        <v>0</v>
      </c>
      <c r="P38" s="820">
        <f>SUMIF(MAP!$E:$E,$D38,MAP!X:X)</f>
        <v>0</v>
      </c>
      <c r="Q38" s="820">
        <f>SUMIF(MAP!$E:$E,$D38,MAP!Y:Y)</f>
        <v>0</v>
      </c>
      <c r="R38" s="820">
        <f>SUMIF(MAP!$E:$E,$D38,MAP!Z:Z)</f>
        <v>0</v>
      </c>
      <c r="S38" s="820">
        <f>SUMIF(MAP!$E:$E,$D38,MAP!AA:AA)</f>
        <v>0</v>
      </c>
      <c r="T38" s="820">
        <f>SUMIF(MAP!$E:$E,$D38,MAP!AB:AB)</f>
        <v>0</v>
      </c>
      <c r="U38" s="820">
        <f>SUMIF(MAP!$E:$E,$D38,MAP!AC:AC)</f>
        <v>0</v>
      </c>
      <c r="V38" s="820">
        <f>SUMIF(MAP!$E:$E,$D38,MAP!AD:AD)</f>
        <v>0</v>
      </c>
      <c r="W38" s="820">
        <f>SUMIF(MAP!$E:$E,$D38,MAP!AE:AE)</f>
        <v>0</v>
      </c>
      <c r="X38" s="820">
        <f>SUMIF(MAP!$E:$E,$D38,MAP!AF:AF)</f>
        <v>0</v>
      </c>
      <c r="Y38" s="820">
        <f>SUMIF(MAP!$E:$E,$D38,MAP!AG:AG)</f>
        <v>0</v>
      </c>
      <c r="Z38" s="820">
        <f>SUMIF(MAP!$E:$E,$D38,MAP!AH:AH)</f>
        <v>0</v>
      </c>
      <c r="AA38" s="820">
        <f>SUMIF(MAP!$E:$E,$D38,MAP!AI:AI)</f>
        <v>0</v>
      </c>
      <c r="AB38" s="820">
        <f>SUMIF(MAP!$E:$E,$D38,MAP!AJ:AJ)</f>
        <v>0</v>
      </c>
      <c r="AC38" s="820">
        <f>SUMIF(MAP!$E:$E,$D38,MAP!AK:AK)</f>
        <v>0</v>
      </c>
      <c r="AD38" s="820">
        <f>SUMIF(MAP!$E:$E,$D38,MAP!AL:AL)</f>
        <v>0</v>
      </c>
      <c r="AE38" s="820">
        <f>SUMIF(MAP!$E:$E,$D38,MAP!AM:AM)</f>
        <v>0</v>
      </c>
      <c r="AF38" s="820">
        <f>SUMIF(MAP!$E:$E,$D38,MAP!AN:AN)</f>
        <v>0</v>
      </c>
      <c r="AG38" s="820">
        <f>SUMIF(MAP!$E:$E,$D38,MAP!AO:AO)</f>
        <v>0</v>
      </c>
      <c r="AH38" s="820">
        <f>SUMIF(MAP!$E:$E,$D38,MAP!AP:AP)</f>
        <v>0</v>
      </c>
      <c r="AI38" s="820">
        <f>SUMIF(MAP!$E:$E,$D38,MAP!AQ:AQ)</f>
        <v>0</v>
      </c>
      <c r="AJ38" s="820">
        <f>SUMIF(MAP!$E:$E,$D38,MAP!AR:AR)</f>
        <v>0</v>
      </c>
      <c r="AK38" s="820">
        <f>SUMIF(MAP!$E:$E,$D38,MAP!AS:AS)</f>
        <v>0</v>
      </c>
      <c r="AL38" s="820">
        <f>SUMIF(MAP!$E:$E,$D38,MAP!AT:AT)</f>
        <v>0</v>
      </c>
      <c r="AM38" s="820">
        <f>SUMIF(MAP!$E:$E,$D38,MAP!AU:AU)</f>
        <v>0</v>
      </c>
    </row>
    <row r="39" spans="1:39" x14ac:dyDescent="0.25">
      <c r="A39" s="2"/>
      <c r="B39" s="3">
        <f>MAX($B$4:B38)+1</f>
        <v>35</v>
      </c>
      <c r="C39" s="3"/>
      <c r="D39" s="7"/>
      <c r="E39" s="90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row>
    <row r="40" spans="1:39" x14ac:dyDescent="0.25">
      <c r="A40" s="2"/>
      <c r="B40" s="3">
        <f>MAX($B$4:B39)+1</f>
        <v>36</v>
      </c>
      <c r="C40" s="3"/>
      <c r="D40" s="7"/>
      <c r="E40" s="902"/>
      <c r="F40" s="822"/>
      <c r="G40" s="822"/>
      <c r="H40" s="822"/>
      <c r="I40" s="822"/>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row>
    <row r="41" spans="1:39" x14ac:dyDescent="0.25">
      <c r="A41" s="2"/>
      <c r="B41" s="3">
        <f>MAX($B$4:B40)+1</f>
        <v>37</v>
      </c>
      <c r="C41" s="3" t="s">
        <v>43</v>
      </c>
      <c r="D41" s="7" t="s">
        <v>1018</v>
      </c>
      <c r="E41" s="906" t="s">
        <v>1399</v>
      </c>
      <c r="F41" s="820">
        <f>SUMIF(MAP!$E:$E,$D41,MAP!N:N)</f>
        <v>0</v>
      </c>
      <c r="G41" s="820">
        <f>SUMIF(MAP!$E:$E,$D41,MAP!O:O)</f>
        <v>0</v>
      </c>
      <c r="H41" s="820">
        <f>SUMIF(MAP!$E:$E,$D41,MAP!P:P)</f>
        <v>0</v>
      </c>
      <c r="I41" s="820">
        <f>SUMIF(MAP!$E:$E,$D41,MAP!Q:Q)</f>
        <v>0</v>
      </c>
      <c r="J41" s="820">
        <f>SUMIF(MAP!$E:$E,$D41,MAP!R:R)</f>
        <v>0</v>
      </c>
      <c r="K41" s="820">
        <f>SUMIF(MAP!$E:$E,$D41,MAP!S:S)</f>
        <v>0</v>
      </c>
      <c r="L41" s="820">
        <f>SUMIF(MAP!$E:$E,$D41,MAP!T:T)</f>
        <v>0</v>
      </c>
      <c r="M41" s="820">
        <f>SUMIF(MAP!$E:$E,$D41,MAP!U:U)</f>
        <v>0</v>
      </c>
      <c r="N41" s="820">
        <f>SUMIF(MAP!$E:$E,$D41,MAP!V:V)</f>
        <v>0</v>
      </c>
      <c r="O41" s="820">
        <f>SUMIF(MAP!$E:$E,$D41,MAP!W:W)</f>
        <v>0</v>
      </c>
      <c r="P41" s="820">
        <f>SUMIF(MAP!$E:$E,$D41,MAP!X:X)</f>
        <v>0</v>
      </c>
      <c r="Q41" s="820">
        <f>SUMIF(MAP!$E:$E,$D41,MAP!Y:Y)</f>
        <v>0</v>
      </c>
      <c r="R41" s="820">
        <f>SUMIF(MAP!$E:$E,$D41,MAP!Z:Z)</f>
        <v>0</v>
      </c>
      <c r="S41" s="820">
        <f>SUMIF(MAP!$E:$E,$D41,MAP!AA:AA)</f>
        <v>0</v>
      </c>
      <c r="T41" s="820">
        <f>SUMIF(MAP!$E:$E,$D41,MAP!AB:AB)</f>
        <v>0</v>
      </c>
      <c r="U41" s="820">
        <f>SUMIF(MAP!$E:$E,$D41,MAP!AC:AC)</f>
        <v>0</v>
      </c>
      <c r="V41" s="820">
        <f>SUMIF(MAP!$E:$E,$D41,MAP!AD:AD)</f>
        <v>0</v>
      </c>
      <c r="W41" s="820">
        <f>SUMIF(MAP!$E:$E,$D41,MAP!AE:AE)</f>
        <v>0</v>
      </c>
      <c r="X41" s="820">
        <f>SUMIF(MAP!$E:$E,$D41,MAP!AF:AF)</f>
        <v>0</v>
      </c>
      <c r="Y41" s="820">
        <f>SUMIF(MAP!$E:$E,$D41,MAP!AG:AG)</f>
        <v>0</v>
      </c>
      <c r="Z41" s="820">
        <f>SUMIF(MAP!$E:$E,$D41,MAP!AH:AH)</f>
        <v>0</v>
      </c>
      <c r="AA41" s="820">
        <f>SUMIF(MAP!$E:$E,$D41,MAP!AI:AI)</f>
        <v>0</v>
      </c>
      <c r="AB41" s="820">
        <f>SUMIF(MAP!$E:$E,$D41,MAP!AJ:AJ)</f>
        <v>0</v>
      </c>
      <c r="AC41" s="820">
        <f>SUMIF(MAP!$E:$E,$D41,MAP!AK:AK)</f>
        <v>0</v>
      </c>
      <c r="AD41" s="820">
        <f>SUMIF(MAP!$E:$E,$D41,MAP!AL:AL)</f>
        <v>0</v>
      </c>
      <c r="AE41" s="820">
        <f>SUMIF(MAP!$E:$E,$D41,MAP!AM:AM)</f>
        <v>0</v>
      </c>
      <c r="AF41" s="820">
        <f>SUMIF(MAP!$E:$E,$D41,MAP!AN:AN)</f>
        <v>0</v>
      </c>
      <c r="AG41" s="820">
        <f>SUMIF(MAP!$E:$E,$D41,MAP!AO:AO)</f>
        <v>0</v>
      </c>
      <c r="AH41" s="820">
        <f>SUMIF(MAP!$E:$E,$D41,MAP!AP:AP)</f>
        <v>0</v>
      </c>
      <c r="AI41" s="820">
        <f>SUMIF(MAP!$E:$E,$D41,MAP!AQ:AQ)</f>
        <v>0</v>
      </c>
      <c r="AJ41" s="820">
        <f>SUMIF(MAP!$E:$E,$D41,MAP!AR:AR)</f>
        <v>0</v>
      </c>
      <c r="AK41" s="820">
        <f>SUMIF(MAP!$E:$E,$D41,MAP!AS:AS)</f>
        <v>0</v>
      </c>
      <c r="AL41" s="820">
        <f>SUMIF(MAP!$E:$E,$D41,MAP!AT:AT)</f>
        <v>0</v>
      </c>
      <c r="AM41" s="820">
        <f>SUMIF(MAP!$E:$E,$D41,MAP!AU:AU)</f>
        <v>0</v>
      </c>
    </row>
    <row r="42" spans="1:39" x14ac:dyDescent="0.25">
      <c r="A42" s="2"/>
      <c r="B42" s="3">
        <f>MAX($B$4:B41)+1</f>
        <v>38</v>
      </c>
      <c r="C42" s="3" t="s">
        <v>2181</v>
      </c>
      <c r="D42" s="7" t="s">
        <v>169</v>
      </c>
      <c r="E42" s="906" t="s">
        <v>1399</v>
      </c>
      <c r="F42" s="820">
        <f>SUMIF(MAP!$E:$E,$D42,MAP!N:N)</f>
        <v>0</v>
      </c>
      <c r="G42" s="820">
        <f>SUMIF(MAP!$E:$E,$D42,MAP!O:O)</f>
        <v>0</v>
      </c>
      <c r="H42" s="820">
        <f>SUMIF(MAP!$E:$E,$D42,MAP!P:P)</f>
        <v>0</v>
      </c>
      <c r="I42" s="820">
        <f>SUMIF(MAP!$E:$E,$D42,MAP!Q:Q)</f>
        <v>0</v>
      </c>
      <c r="J42" s="820">
        <f>SUMIF(MAP!$E:$E,$D42,MAP!R:R)</f>
        <v>0</v>
      </c>
      <c r="K42" s="820">
        <f>SUMIF(MAP!$E:$E,$D42,MAP!S:S)</f>
        <v>0</v>
      </c>
      <c r="L42" s="820">
        <f>SUMIF(MAP!$E:$E,$D42,MAP!T:T)</f>
        <v>0</v>
      </c>
      <c r="M42" s="820">
        <f>SUMIF(MAP!$E:$E,$D42,MAP!U:U)</f>
        <v>0</v>
      </c>
      <c r="N42" s="820">
        <f>SUMIF(MAP!$E:$E,$D42,MAP!V:V)</f>
        <v>0</v>
      </c>
      <c r="O42" s="820">
        <f>SUMIF(MAP!$E:$E,$D42,MAP!W:W)</f>
        <v>0</v>
      </c>
      <c r="P42" s="820">
        <f>SUMIF(MAP!$E:$E,$D42,MAP!X:X)</f>
        <v>0</v>
      </c>
      <c r="Q42" s="820">
        <f>SUMIF(MAP!$E:$E,$D42,MAP!Y:Y)</f>
        <v>0</v>
      </c>
      <c r="R42" s="820">
        <f>SUMIF(MAP!$E:$E,$D42,MAP!Z:Z)</f>
        <v>0</v>
      </c>
      <c r="S42" s="820">
        <f>SUMIF(MAP!$E:$E,$D42,MAP!AA:AA)</f>
        <v>0</v>
      </c>
      <c r="T42" s="820">
        <f>SUMIF(MAP!$E:$E,$D42,MAP!AB:AB)</f>
        <v>0</v>
      </c>
      <c r="U42" s="820">
        <f>SUMIF(MAP!$E:$E,$D42,MAP!AC:AC)</f>
        <v>0</v>
      </c>
      <c r="V42" s="820">
        <f>SUMIF(MAP!$E:$E,$D42,MAP!AD:AD)</f>
        <v>0</v>
      </c>
      <c r="W42" s="820">
        <f>SUMIF(MAP!$E:$E,$D42,MAP!AE:AE)</f>
        <v>0</v>
      </c>
      <c r="X42" s="820">
        <f>SUMIF(MAP!$E:$E,$D42,MAP!AF:AF)</f>
        <v>0</v>
      </c>
      <c r="Y42" s="820">
        <f>SUMIF(MAP!$E:$E,$D42,MAP!AG:AG)</f>
        <v>0</v>
      </c>
      <c r="Z42" s="820">
        <f>SUMIF(MAP!$E:$E,$D42,MAP!AH:AH)</f>
        <v>0</v>
      </c>
      <c r="AA42" s="820">
        <f>SUMIF(MAP!$E:$E,$D42,MAP!AI:AI)</f>
        <v>0</v>
      </c>
      <c r="AB42" s="820">
        <f>SUMIF(MAP!$E:$E,$D42,MAP!AJ:AJ)</f>
        <v>0</v>
      </c>
      <c r="AC42" s="820">
        <f>SUMIF(MAP!$E:$E,$D42,MAP!AK:AK)</f>
        <v>0</v>
      </c>
      <c r="AD42" s="820">
        <f>SUMIF(MAP!$E:$E,$D42,MAP!AL:AL)</f>
        <v>0</v>
      </c>
      <c r="AE42" s="820">
        <f>SUMIF(MAP!$E:$E,$D42,MAP!AM:AM)</f>
        <v>0</v>
      </c>
      <c r="AF42" s="820">
        <f>SUMIF(MAP!$E:$E,$D42,MAP!AN:AN)</f>
        <v>0</v>
      </c>
      <c r="AG42" s="820">
        <f>SUMIF(MAP!$E:$E,$D42,MAP!AO:AO)</f>
        <v>0</v>
      </c>
      <c r="AH42" s="820">
        <f>SUMIF(MAP!$E:$E,$D42,MAP!AP:AP)</f>
        <v>0</v>
      </c>
      <c r="AI42" s="820">
        <f>SUMIF(MAP!$E:$E,$D42,MAP!AQ:AQ)</f>
        <v>0</v>
      </c>
      <c r="AJ42" s="820">
        <f>SUMIF(MAP!$E:$E,$D42,MAP!AR:AR)</f>
        <v>0</v>
      </c>
      <c r="AK42" s="820">
        <f>SUMIF(MAP!$E:$E,$D42,MAP!AS:AS)</f>
        <v>0</v>
      </c>
      <c r="AL42" s="820">
        <f>SUMIF(MAP!$E:$E,$D42,MAP!AT:AT)</f>
        <v>0</v>
      </c>
      <c r="AM42" s="820">
        <f>SUMIF(MAP!$E:$E,$D42,MAP!AU:AU)</f>
        <v>0</v>
      </c>
    </row>
    <row r="43" spans="1:39" x14ac:dyDescent="0.25">
      <c r="A43" s="2"/>
      <c r="B43" s="3">
        <f>MAX($B$4:B42)+1</f>
        <v>39</v>
      </c>
      <c r="C43" s="3" t="s">
        <v>2182</v>
      </c>
      <c r="D43" s="7" t="s">
        <v>356</v>
      </c>
      <c r="E43" s="906" t="s">
        <v>1399</v>
      </c>
      <c r="F43" s="820">
        <f>SUMIF(MAP!$E:$E,$D43,MAP!N:N)</f>
        <v>0</v>
      </c>
      <c r="G43" s="820">
        <f>SUMIF(MAP!$E:$E,$D43,MAP!O:O)</f>
        <v>0</v>
      </c>
      <c r="H43" s="820">
        <f>SUMIF(MAP!$E:$E,$D43,MAP!P:P)</f>
        <v>0</v>
      </c>
      <c r="I43" s="820">
        <f>SUMIF(MAP!$E:$E,$D43,MAP!Q:Q)</f>
        <v>0</v>
      </c>
      <c r="J43" s="820">
        <f>SUMIF(MAP!$E:$E,$D43,MAP!R:R)</f>
        <v>0</v>
      </c>
      <c r="K43" s="820">
        <f>SUMIF(MAP!$E:$E,$D43,MAP!S:S)</f>
        <v>0</v>
      </c>
      <c r="L43" s="820">
        <f>SUMIF(MAP!$E:$E,$D43,MAP!T:T)</f>
        <v>0</v>
      </c>
      <c r="M43" s="820">
        <f>SUMIF(MAP!$E:$E,$D43,MAP!U:U)</f>
        <v>0</v>
      </c>
      <c r="N43" s="820">
        <f>SUMIF(MAP!$E:$E,$D43,MAP!V:V)</f>
        <v>0</v>
      </c>
      <c r="O43" s="820">
        <f>SUMIF(MAP!$E:$E,$D43,MAP!W:W)</f>
        <v>0</v>
      </c>
      <c r="P43" s="820">
        <f>SUMIF(MAP!$E:$E,$D43,MAP!X:X)</f>
        <v>0</v>
      </c>
      <c r="Q43" s="820">
        <f>SUMIF(MAP!$E:$E,$D43,MAP!Y:Y)</f>
        <v>0</v>
      </c>
      <c r="R43" s="820">
        <f>SUMIF(MAP!$E:$E,$D43,MAP!Z:Z)</f>
        <v>0</v>
      </c>
      <c r="S43" s="820">
        <f>SUMIF(MAP!$E:$E,$D43,MAP!AA:AA)</f>
        <v>0</v>
      </c>
      <c r="T43" s="820">
        <f>SUMIF(MAP!$E:$E,$D43,MAP!AB:AB)</f>
        <v>0</v>
      </c>
      <c r="U43" s="820">
        <f>SUMIF(MAP!$E:$E,$D43,MAP!AC:AC)</f>
        <v>0</v>
      </c>
      <c r="V43" s="820">
        <f>SUMIF(MAP!$E:$E,$D43,MAP!AD:AD)</f>
        <v>0</v>
      </c>
      <c r="W43" s="820">
        <f>SUMIF(MAP!$E:$E,$D43,MAP!AE:AE)</f>
        <v>0</v>
      </c>
      <c r="X43" s="820">
        <f>SUMIF(MAP!$E:$E,$D43,MAP!AF:AF)</f>
        <v>0</v>
      </c>
      <c r="Y43" s="820">
        <f>SUMIF(MAP!$E:$E,$D43,MAP!AG:AG)</f>
        <v>0</v>
      </c>
      <c r="Z43" s="820">
        <f>SUMIF(MAP!$E:$E,$D43,MAP!AH:AH)</f>
        <v>0</v>
      </c>
      <c r="AA43" s="820">
        <f>SUMIF(MAP!$E:$E,$D43,MAP!AI:AI)</f>
        <v>0</v>
      </c>
      <c r="AB43" s="820">
        <f>SUMIF(MAP!$E:$E,$D43,MAP!AJ:AJ)</f>
        <v>0</v>
      </c>
      <c r="AC43" s="820">
        <f>SUMIF(MAP!$E:$E,$D43,MAP!AK:AK)</f>
        <v>0</v>
      </c>
      <c r="AD43" s="820">
        <f>SUMIF(MAP!$E:$E,$D43,MAP!AL:AL)</f>
        <v>0</v>
      </c>
      <c r="AE43" s="820">
        <f>SUMIF(MAP!$E:$E,$D43,MAP!AM:AM)</f>
        <v>0</v>
      </c>
      <c r="AF43" s="820">
        <f>SUMIF(MAP!$E:$E,$D43,MAP!AN:AN)</f>
        <v>0</v>
      </c>
      <c r="AG43" s="820">
        <f>SUMIF(MAP!$E:$E,$D43,MAP!AO:AO)</f>
        <v>0</v>
      </c>
      <c r="AH43" s="820">
        <f>SUMIF(MAP!$E:$E,$D43,MAP!AP:AP)</f>
        <v>0</v>
      </c>
      <c r="AI43" s="820">
        <f>SUMIF(MAP!$E:$E,$D43,MAP!AQ:AQ)</f>
        <v>0</v>
      </c>
      <c r="AJ43" s="820">
        <f>SUMIF(MAP!$E:$E,$D43,MAP!AR:AR)</f>
        <v>0</v>
      </c>
      <c r="AK43" s="820">
        <f>SUMIF(MAP!$E:$E,$D43,MAP!AS:AS)</f>
        <v>0</v>
      </c>
      <c r="AL43" s="820">
        <f>SUMIF(MAP!$E:$E,$D43,MAP!AT:AT)</f>
        <v>0</v>
      </c>
      <c r="AM43" s="820">
        <f>SUMIF(MAP!$E:$E,$D43,MAP!AU:AU)</f>
        <v>0</v>
      </c>
    </row>
    <row r="44" spans="1:39" ht="48" customHeight="1" x14ac:dyDescent="0.25">
      <c r="A44" s="2"/>
      <c r="B44" s="3">
        <f>MAX($B$4:B42)+1</f>
        <v>39</v>
      </c>
      <c r="C44" s="357" t="s">
        <v>1386</v>
      </c>
      <c r="D44" s="7" t="s">
        <v>765</v>
      </c>
      <c r="E44" s="1819" t="s">
        <v>2183</v>
      </c>
      <c r="F44" s="821">
        <f t="shared" ref="F44:O44" si="1">F41-F42-F43</f>
        <v>0</v>
      </c>
      <c r="G44" s="821">
        <f t="shared" si="1"/>
        <v>0</v>
      </c>
      <c r="H44" s="821">
        <f t="shared" si="1"/>
        <v>0</v>
      </c>
      <c r="I44" s="821">
        <f t="shared" si="1"/>
        <v>0</v>
      </c>
      <c r="J44" s="821">
        <f t="shared" si="1"/>
        <v>0</v>
      </c>
      <c r="K44" s="821">
        <f t="shared" si="1"/>
        <v>0</v>
      </c>
      <c r="L44" s="821">
        <f t="shared" si="1"/>
        <v>0</v>
      </c>
      <c r="M44" s="821">
        <f t="shared" si="1"/>
        <v>0</v>
      </c>
      <c r="N44" s="821">
        <f t="shared" si="1"/>
        <v>0</v>
      </c>
      <c r="O44" s="821">
        <f t="shared" si="1"/>
        <v>0</v>
      </c>
      <c r="P44" s="821">
        <f>P41-P42-P43</f>
        <v>0</v>
      </c>
      <c r="Q44" s="821">
        <f t="shared" ref="Q44:AM44" si="2">Q41-Q42-Q43</f>
        <v>0</v>
      </c>
      <c r="R44" s="821">
        <f t="shared" si="2"/>
        <v>0</v>
      </c>
      <c r="S44" s="821">
        <f t="shared" si="2"/>
        <v>0</v>
      </c>
      <c r="T44" s="821">
        <f t="shared" si="2"/>
        <v>0</v>
      </c>
      <c r="U44" s="821">
        <f t="shared" si="2"/>
        <v>0</v>
      </c>
      <c r="V44" s="821">
        <f t="shared" si="2"/>
        <v>0</v>
      </c>
      <c r="W44" s="821">
        <f t="shared" si="2"/>
        <v>0</v>
      </c>
      <c r="X44" s="821">
        <f t="shared" si="2"/>
        <v>0</v>
      </c>
      <c r="Y44" s="821">
        <f t="shared" si="2"/>
        <v>0</v>
      </c>
      <c r="Z44" s="821">
        <f t="shared" si="2"/>
        <v>0</v>
      </c>
      <c r="AA44" s="821">
        <f t="shared" si="2"/>
        <v>0</v>
      </c>
      <c r="AB44" s="821">
        <f t="shared" si="2"/>
        <v>0</v>
      </c>
      <c r="AC44" s="821">
        <f t="shared" si="2"/>
        <v>0</v>
      </c>
      <c r="AD44" s="821">
        <f t="shared" si="2"/>
        <v>0</v>
      </c>
      <c r="AE44" s="821">
        <f t="shared" si="2"/>
        <v>0</v>
      </c>
      <c r="AF44" s="821">
        <f t="shared" si="2"/>
        <v>0</v>
      </c>
      <c r="AG44" s="821">
        <f t="shared" si="2"/>
        <v>0</v>
      </c>
      <c r="AH44" s="821">
        <f t="shared" si="2"/>
        <v>0</v>
      </c>
      <c r="AI44" s="821">
        <f t="shared" si="2"/>
        <v>0</v>
      </c>
      <c r="AJ44" s="821">
        <f t="shared" si="2"/>
        <v>0</v>
      </c>
      <c r="AK44" s="821">
        <f t="shared" si="2"/>
        <v>0</v>
      </c>
      <c r="AL44" s="821">
        <f t="shared" si="2"/>
        <v>0</v>
      </c>
      <c r="AM44" s="821">
        <f t="shared" si="2"/>
        <v>0</v>
      </c>
    </row>
    <row r="45" spans="1:39" x14ac:dyDescent="0.25">
      <c r="A45" s="2"/>
      <c r="B45" s="3">
        <f>MAX($B$4:B44)+1</f>
        <v>40</v>
      </c>
      <c r="C45" s="3"/>
      <c r="D45" s="7"/>
      <c r="E45" s="902"/>
      <c r="G45" s="822"/>
      <c r="H45" s="822"/>
      <c r="I45" s="822"/>
      <c r="J45" s="822"/>
      <c r="K45" s="822"/>
      <c r="L45" s="822"/>
      <c r="M45" s="822"/>
      <c r="N45" s="822"/>
      <c r="O45" s="822"/>
      <c r="P45" s="822"/>
      <c r="Q45" s="822"/>
      <c r="R45" s="822"/>
      <c r="S45" s="822"/>
      <c r="T45" s="822"/>
      <c r="U45" s="822"/>
      <c r="V45" s="1373"/>
      <c r="W45" s="822"/>
      <c r="X45" s="822"/>
      <c r="Y45" s="822"/>
      <c r="Z45" s="822"/>
      <c r="AA45" s="822"/>
      <c r="AB45" s="822"/>
      <c r="AC45" s="822"/>
      <c r="AD45" s="822"/>
      <c r="AE45" s="822"/>
      <c r="AF45" s="822"/>
      <c r="AG45" s="822"/>
      <c r="AH45" s="822"/>
      <c r="AI45" s="822"/>
      <c r="AJ45" s="822"/>
      <c r="AK45" s="822"/>
      <c r="AL45" s="822"/>
      <c r="AM45" s="822"/>
    </row>
    <row r="46" spans="1:39" x14ac:dyDescent="0.25">
      <c r="A46" s="2"/>
      <c r="B46" s="3">
        <f>MAX($B$4:B45)+1</f>
        <v>41</v>
      </c>
      <c r="C46" s="3"/>
      <c r="D46" s="7"/>
      <c r="E46" s="902"/>
      <c r="F46" s="822"/>
      <c r="G46" s="822"/>
      <c r="H46" s="822"/>
      <c r="I46" s="822"/>
      <c r="J46" s="822"/>
      <c r="K46" s="822"/>
      <c r="L46" s="822"/>
      <c r="M46" s="822"/>
      <c r="N46" s="822"/>
      <c r="O46" s="822"/>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row>
    <row r="47" spans="1:39" x14ac:dyDescent="0.25">
      <c r="A47" s="2"/>
      <c r="B47" s="3">
        <f>MAX($B$4:B46)+1</f>
        <v>42</v>
      </c>
      <c r="C47" s="3" t="s">
        <v>1387</v>
      </c>
      <c r="D47" s="7" t="s">
        <v>858</v>
      </c>
      <c r="E47" s="906" t="s">
        <v>1399</v>
      </c>
      <c r="F47" s="820">
        <f>SUMIFS(MAP!N:N,MAP!$D:$D,"General fund",MAP!$E:$E,"Other reserves movements including transfers ")</f>
        <v>0</v>
      </c>
      <c r="G47" s="820">
        <f>SUMIFS(MAP!O:O,MAP!$D:$D,"General fund",MAP!$E:$E,"Other reserves movements including transfers ")</f>
        <v>0</v>
      </c>
      <c r="H47" s="820">
        <f>SUMIFS(MAP!P:P,MAP!$D:$D,"General fund",MAP!$E:$E,"Other reserves movements including transfers ")</f>
        <v>0</v>
      </c>
      <c r="I47" s="820">
        <f>SUMIFS(MAP!Q:Q,MAP!$D:$D,"General fund",MAP!$E:$E,"Other reserves movements including transfers ")</f>
        <v>0</v>
      </c>
      <c r="J47" s="820">
        <f>SUMIFS(MAP!R:R,MAP!$D:$D,"General fund",MAP!$E:$E,"Other reserves movements including transfers ")</f>
        <v>0</v>
      </c>
      <c r="K47" s="820">
        <f>SUMIFS(MAP!S:S,MAP!$D:$D,"General fund",MAP!$E:$E,"Other reserves movements including transfers ")</f>
        <v>0</v>
      </c>
      <c r="L47" s="820">
        <f>SUMIFS(MAP!T:T,MAP!$D:$D,"General fund",MAP!$E:$E,"Other reserves movements including transfers ")</f>
        <v>0</v>
      </c>
      <c r="M47" s="820">
        <f>SUMIFS(MAP!U:U,MAP!$D:$D,"General fund",MAP!$E:$E,"Other reserves movements including transfers ")</f>
        <v>0</v>
      </c>
      <c r="N47" s="820">
        <f>SUMIFS(MAP!V:V,MAP!$D:$D,"General fund",MAP!$E:$E,"Other reserves movements including transfers ")</f>
        <v>0</v>
      </c>
      <c r="O47" s="820">
        <f>SUMIFS(MAP!W:W,MAP!$D:$D,"General fund",MAP!$E:$E,"Other reserves movements including transfers ")</f>
        <v>0</v>
      </c>
      <c r="P47" s="820">
        <f>SUMIFS(MAP!X:X,MAP!$D:$D,"General fund",MAP!$E:$E,"Other reserves movements including transfers ")</f>
        <v>0</v>
      </c>
      <c r="Q47" s="820">
        <f>SUMIFS(MAP!Y:Y,MAP!$D:$D,"General fund",MAP!$E:$E,"Other reserves movements including transfers ")</f>
        <v>0</v>
      </c>
      <c r="R47" s="820">
        <f>SUMIFS(MAP!Z:Z,MAP!$D:$D,"General fund",MAP!$E:$E,"Other reserves movements including transfers ")</f>
        <v>0</v>
      </c>
      <c r="S47" s="820">
        <f>SUMIFS(MAP!AA:AA,MAP!$D:$D,"General fund",MAP!$E:$E,"Other reserves movements including transfers ")</f>
        <v>0</v>
      </c>
      <c r="T47" s="820">
        <f>SUMIFS(MAP!AB:AB,MAP!$D:$D,"General fund",MAP!$E:$E,"Other reserves movements including transfers ")</f>
        <v>0</v>
      </c>
      <c r="U47" s="820">
        <f>SUMIFS(MAP!AC:AC,MAP!$D:$D,"General fund",MAP!$E:$E,"Other reserves movements including transfers ")</f>
        <v>0</v>
      </c>
      <c r="V47" s="820">
        <f>SUMIFS(MAP!AD:AD,MAP!$D:$D,"General fund",MAP!$E:$E,"Other reserves movements including transfers ")</f>
        <v>0</v>
      </c>
      <c r="W47" s="820">
        <f>SUMIFS(MAP!AE:AE,MAP!$D:$D,"General fund",MAP!$E:$E,"Other reserves movements including transfers ")</f>
        <v>0</v>
      </c>
      <c r="X47" s="820">
        <f>SUMIFS(MAP!AF:AF,MAP!$D:$D,"General fund",MAP!$E:$E,"Other reserves movements including transfers ")</f>
        <v>0</v>
      </c>
      <c r="Y47" s="820">
        <f>SUMIFS(MAP!AG:AG,MAP!$D:$D,"General fund",MAP!$E:$E,"Other reserves movements including transfers ")</f>
        <v>0</v>
      </c>
      <c r="Z47" s="820">
        <f>SUMIFS(MAP!AH:AH,MAP!$D:$D,"General fund",MAP!$E:$E,"Other reserves movements including transfers ")</f>
        <v>0</v>
      </c>
      <c r="AA47" s="820">
        <f>SUMIFS(MAP!AI:AI,MAP!$D:$D,"General fund",MAP!$E:$E,"Other reserves movements including transfers ")</f>
        <v>0</v>
      </c>
      <c r="AB47" s="820">
        <f>SUMIFS(MAP!AJ:AJ,MAP!$D:$D,"General fund",MAP!$E:$E,"Other reserves movements including transfers ")</f>
        <v>0</v>
      </c>
      <c r="AC47" s="820">
        <f>SUMIFS(MAP!AK:AK,MAP!$D:$D,"General fund",MAP!$E:$E,"Other reserves movements including transfers ")</f>
        <v>0</v>
      </c>
      <c r="AD47" s="820">
        <f>SUMIFS(MAP!AL:AL,MAP!$D:$D,"General fund",MAP!$E:$E,"Other reserves movements including transfers ")</f>
        <v>0</v>
      </c>
      <c r="AE47" s="820">
        <f>SUMIFS(MAP!AM:AM,MAP!$D:$D,"General fund",MAP!$E:$E,"Other reserves movements including transfers ")</f>
        <v>0</v>
      </c>
      <c r="AF47" s="820">
        <f>SUMIFS(MAP!AN:AN,MAP!$D:$D,"General fund",MAP!$E:$E,"Other reserves movements including transfers ")</f>
        <v>0</v>
      </c>
      <c r="AG47" s="820">
        <f>SUMIFS(MAP!AO:AO,MAP!$D:$D,"General fund",MAP!$E:$E,"Other reserves movements including transfers ")</f>
        <v>0</v>
      </c>
      <c r="AH47" s="820">
        <f>SUMIFS(MAP!AP:AP,MAP!$D:$D,"General fund",MAP!$E:$E,"Other reserves movements including transfers ")</f>
        <v>0</v>
      </c>
      <c r="AI47" s="820">
        <f>SUMIFS(MAP!AQ:AQ,MAP!$D:$D,"General fund",MAP!$E:$E,"Other reserves movements including transfers ")</f>
        <v>0</v>
      </c>
      <c r="AJ47" s="820">
        <f>SUMIFS(MAP!AR:AR,MAP!$D:$D,"General fund",MAP!$E:$E,"Other reserves movements including transfers ")</f>
        <v>0</v>
      </c>
      <c r="AK47" s="820">
        <f>SUMIFS(MAP!AS:AS,MAP!$D:$D,"General fund",MAP!$E:$E,"Other reserves movements including transfers ")</f>
        <v>0</v>
      </c>
      <c r="AL47" s="820">
        <f>SUMIFS(MAP!AT:AT,MAP!$D:$D,"General fund",MAP!$E:$E,"Other reserves movements including transfers ")</f>
        <v>0</v>
      </c>
      <c r="AM47" s="820">
        <f>SUMIFS(MAP!AU:AU,MAP!$D:$D,"General fund",MAP!$E:$E,"Other reserves movements including transfers ")</f>
        <v>0</v>
      </c>
    </row>
    <row r="48" spans="1:39" x14ac:dyDescent="0.25">
      <c r="A48" s="2"/>
      <c r="B48" s="3">
        <f>MAX($B$4:B47)+1</f>
        <v>43</v>
      </c>
      <c r="C48" s="3" t="s">
        <v>1388</v>
      </c>
      <c r="D48" s="7" t="s">
        <v>858</v>
      </c>
      <c r="E48" s="906" t="s">
        <v>1399</v>
      </c>
      <c r="F48" s="820">
        <f>SUMIFS(MAP!N:N,MAP!$D:$D,"Revaluation Reserve",MAP!$E:$E,"Other reserves movements including transfers ")</f>
        <v>0</v>
      </c>
      <c r="G48" s="820">
        <f>SUMIFS(MAP!O:O,MAP!$D:$D,"Revaluation Reserve",MAP!$E:$E,"Other reserves movements including transfers ")</f>
        <v>0</v>
      </c>
      <c r="H48" s="820">
        <f>SUMIFS(MAP!P:P,MAP!$D:$D,"Revaluation Reserve",MAP!$E:$E,"Other reserves movements including transfers ")</f>
        <v>0</v>
      </c>
      <c r="I48" s="820">
        <f>SUMIFS(MAP!Q:Q,MAP!$D:$D,"Revaluation Reserve",MAP!$E:$E,"Other reserves movements including transfers ")</f>
        <v>0</v>
      </c>
      <c r="J48" s="820">
        <f>SUMIFS(MAP!R:R,MAP!$D:$D,"Revaluation Reserve",MAP!$E:$E,"Other reserves movements including transfers ")</f>
        <v>0</v>
      </c>
      <c r="K48" s="820">
        <f>SUMIFS(MAP!S:S,MAP!$D:$D,"Revaluation Reserve",MAP!$E:$E,"Other reserves movements including transfers ")</f>
        <v>0</v>
      </c>
      <c r="L48" s="820">
        <f>SUMIFS(MAP!T:T,MAP!$D:$D,"Revaluation Reserve",MAP!$E:$E,"Other reserves movements including transfers ")</f>
        <v>0</v>
      </c>
      <c r="M48" s="820">
        <f>SUMIFS(MAP!U:U,MAP!$D:$D,"Revaluation Reserve",MAP!$E:$E,"Other reserves movements including transfers ")</f>
        <v>0</v>
      </c>
      <c r="N48" s="820">
        <f>SUMIFS(MAP!V:V,MAP!$D:$D,"Revaluation Reserve",MAP!$E:$E,"Other reserves movements including transfers ")</f>
        <v>0</v>
      </c>
      <c r="O48" s="820">
        <f>SUMIFS(MAP!W:W,MAP!$D:$D,"Revaluation Reserve",MAP!$E:$E,"Other reserves movements including transfers ")</f>
        <v>0</v>
      </c>
      <c r="P48" s="820">
        <f>SUMIFS(MAP!X:X,MAP!$D:$D,"Revaluation Reserve",MAP!$E:$E,"Other reserves movements including transfers ")</f>
        <v>0</v>
      </c>
      <c r="Q48" s="820">
        <f>SUMIFS(MAP!Y:Y,MAP!$D:$D,"Revaluation Reserve",MAP!$E:$E,"Other reserves movements including transfers ")</f>
        <v>0</v>
      </c>
      <c r="R48" s="820">
        <f>SUMIFS(MAP!Z:Z,MAP!$D:$D,"Revaluation Reserve",MAP!$E:$E,"Other reserves movements including transfers ")</f>
        <v>0</v>
      </c>
      <c r="S48" s="820">
        <f>SUMIFS(MAP!AA:AA,MAP!$D:$D,"Revaluation Reserve",MAP!$E:$E,"Other reserves movements including transfers ")</f>
        <v>0</v>
      </c>
      <c r="T48" s="820">
        <f>SUMIFS(MAP!AB:AB,MAP!$D:$D,"Revaluation Reserve",MAP!$E:$E,"Other reserves movements including transfers ")</f>
        <v>0</v>
      </c>
      <c r="U48" s="820">
        <f>SUMIFS(MAP!AC:AC,MAP!$D:$D,"Revaluation Reserve",MAP!$E:$E,"Other reserves movements including transfers ")</f>
        <v>0</v>
      </c>
      <c r="V48" s="820">
        <f>SUMIFS(MAP!AD:AD,MAP!$D:$D,"Revaluation Reserve",MAP!$E:$E,"Other reserves movements including transfers ")</f>
        <v>0</v>
      </c>
      <c r="W48" s="820">
        <f>SUMIFS(MAP!AE:AE,MAP!$D:$D,"Revaluation Reserve",MAP!$E:$E,"Other reserves movements including transfers ")</f>
        <v>0</v>
      </c>
      <c r="X48" s="820">
        <f>SUMIFS(MAP!AF:AF,MAP!$D:$D,"Revaluation Reserve",MAP!$E:$E,"Other reserves movements including transfers ")</f>
        <v>0</v>
      </c>
      <c r="Y48" s="820">
        <f>SUMIFS(MAP!AG:AG,MAP!$D:$D,"Revaluation Reserve",MAP!$E:$E,"Other reserves movements including transfers ")</f>
        <v>0</v>
      </c>
      <c r="Z48" s="820">
        <f>SUMIFS(MAP!AH:AH,MAP!$D:$D,"Revaluation Reserve",MAP!$E:$E,"Other reserves movements including transfers ")</f>
        <v>0</v>
      </c>
      <c r="AA48" s="820">
        <f>SUMIFS(MAP!AI:AI,MAP!$D:$D,"Revaluation Reserve",MAP!$E:$E,"Other reserves movements including transfers ")</f>
        <v>0</v>
      </c>
      <c r="AB48" s="820">
        <f>SUMIFS(MAP!AJ:AJ,MAP!$D:$D,"Revaluation Reserve",MAP!$E:$E,"Other reserves movements including transfers ")</f>
        <v>0</v>
      </c>
      <c r="AC48" s="820">
        <f>SUMIFS(MAP!AK:AK,MAP!$D:$D,"Revaluation Reserve",MAP!$E:$E,"Other reserves movements including transfers ")</f>
        <v>0</v>
      </c>
      <c r="AD48" s="820">
        <f>SUMIFS(MAP!AL:AL,MAP!$D:$D,"Revaluation Reserve",MAP!$E:$E,"Other reserves movements including transfers ")</f>
        <v>0</v>
      </c>
      <c r="AE48" s="820">
        <f>SUMIFS(MAP!AM:AM,MAP!$D:$D,"Revaluation Reserve",MAP!$E:$E,"Other reserves movements including transfers ")</f>
        <v>0</v>
      </c>
      <c r="AF48" s="820">
        <f>SUMIFS(MAP!AN:AN,MAP!$D:$D,"Revaluation Reserve",MAP!$E:$E,"Other reserves movements including transfers ")</f>
        <v>0</v>
      </c>
      <c r="AG48" s="820">
        <f>SUMIFS(MAP!AO:AO,MAP!$D:$D,"Revaluation Reserve",MAP!$E:$E,"Other reserves movements including transfers ")</f>
        <v>0</v>
      </c>
      <c r="AH48" s="820">
        <f>SUMIFS(MAP!AP:AP,MAP!$D:$D,"Revaluation Reserve",MAP!$E:$E,"Other reserves movements including transfers ")</f>
        <v>0</v>
      </c>
      <c r="AI48" s="820">
        <f>SUMIFS(MAP!AQ:AQ,MAP!$D:$D,"Revaluation Reserve",MAP!$E:$E,"Other reserves movements including transfers ")</f>
        <v>0</v>
      </c>
      <c r="AJ48" s="820">
        <f>SUMIFS(MAP!AR:AR,MAP!$D:$D,"Revaluation Reserve",MAP!$E:$E,"Other reserves movements including transfers ")</f>
        <v>0</v>
      </c>
      <c r="AK48" s="820">
        <f>SUMIFS(MAP!AS:AS,MAP!$D:$D,"Revaluation Reserve",MAP!$E:$E,"Other reserves movements including transfers ")</f>
        <v>0</v>
      </c>
      <c r="AL48" s="820">
        <f>SUMIFS(MAP!AT:AT,MAP!$D:$D,"Revaluation Reserve",MAP!$E:$E,"Other reserves movements including transfers ")</f>
        <v>0</v>
      </c>
      <c r="AM48" s="820">
        <f>SUMIFS(MAP!AU:AU,MAP!$D:$D,"Revaluation Reserve",MAP!$E:$E,"Other reserves movements including transfers ")</f>
        <v>0</v>
      </c>
    </row>
    <row r="49" spans="1:39" x14ac:dyDescent="0.25">
      <c r="A49" s="2"/>
      <c r="B49" s="3"/>
      <c r="C49" s="3" t="s">
        <v>1387</v>
      </c>
      <c r="D49" s="7" t="s">
        <v>857</v>
      </c>
      <c r="E49" s="906"/>
      <c r="F49" s="820">
        <f>SUMIFS(MAP!N:N,MAP!$D:$D,"General fund",MAP!$E:$E,"Transfer of asset ownership ")</f>
        <v>0</v>
      </c>
      <c r="G49" s="820"/>
      <c r="H49" s="820"/>
      <c r="I49" s="820"/>
      <c r="J49" s="820"/>
      <c r="K49" s="820"/>
      <c r="L49" s="820">
        <f>SUMIFS(MAP!T:T,MAP!$D:$D,"General fund",MAP!$E:$E,"Transfer of asset ownership ")</f>
        <v>0</v>
      </c>
      <c r="M49" s="820">
        <f>SUMIFS(MAP!U:U,MAP!$D:$D,"General fund",MAP!$E:$E,"Transfer of asset ownership ")</f>
        <v>0</v>
      </c>
      <c r="N49" s="820">
        <f>SUMIFS(MAP!V:V,MAP!$D:$D,"General fund",MAP!$E:$E,"Transfer of asset ownership ")</f>
        <v>0</v>
      </c>
      <c r="O49" s="820">
        <f>SUMIFS(MAP!W:W,MAP!$D:$D,"General fund",MAP!$E:$E,"Transfer of asset ownership ")</f>
        <v>0</v>
      </c>
      <c r="P49" s="820">
        <f>SUMIFS(MAP!X:X,MAP!$D:$D,"General fund",MAP!$E:$E,"Transfer of asset ownership ")</f>
        <v>0</v>
      </c>
      <c r="Q49" s="820">
        <f>SUMIFS(MAP!Y:Y,MAP!$D:$D,"General fund",MAP!$E:$E,"Transfer of asset ownership ")</f>
        <v>0</v>
      </c>
      <c r="R49" s="820">
        <f>SUMIFS(MAP!Z:Z,MAP!$D:$D,"General fund",MAP!$E:$E,"Transfer of asset ownership ")</f>
        <v>0</v>
      </c>
      <c r="S49" s="820">
        <f>SUMIFS(MAP!AA:AA,MAP!$D:$D,"General fund",MAP!$E:$E,"Transfer of asset ownership ")</f>
        <v>0</v>
      </c>
      <c r="T49" s="820">
        <f>SUMIFS(MAP!AB:AB,MAP!$D:$D,"General fund",MAP!$E:$E,"Transfer of asset ownership ")</f>
        <v>0</v>
      </c>
      <c r="U49" s="820">
        <f>SUMIFS(MAP!AC:AC,MAP!$D:$D,"General fund",MAP!$E:$E,"Transfer of asset ownership ")</f>
        <v>0</v>
      </c>
      <c r="V49" s="820">
        <f>SUMIFS(MAP!AD:AD,MAP!$D:$D,"General fund",MAP!$E:$E,"Transfer of asset ownership ")</f>
        <v>0</v>
      </c>
      <c r="W49" s="820">
        <f>SUMIFS(MAP!AE:AE,MAP!$D:$D,"General fund",MAP!$E:$E,"Transfer of asset ownership ")</f>
        <v>0</v>
      </c>
      <c r="X49" s="820">
        <f>SUMIFS(MAP!AF:AF,MAP!$D:$D,"General fund",MAP!$E:$E,"Transfer of asset ownership ")</f>
        <v>0</v>
      </c>
      <c r="Y49" s="820">
        <f>SUMIFS(MAP!AG:AG,MAP!$D:$D,"General fund",MAP!$E:$E,"Transfer of asset ownership ")</f>
        <v>0</v>
      </c>
      <c r="Z49" s="820">
        <f>SUMIFS(MAP!AH:AH,MAP!$D:$D,"General fund",MAP!$E:$E,"Transfer of asset ownership ")</f>
        <v>0</v>
      </c>
      <c r="AA49" s="820">
        <f>SUMIFS(MAP!AI:AI,MAP!$D:$D,"General fund",MAP!$E:$E,"Transfer of asset ownership ")</f>
        <v>0</v>
      </c>
      <c r="AB49" s="820">
        <f>SUMIFS(MAP!AJ:AJ,MAP!$D:$D,"General fund",MAP!$E:$E,"Transfer of asset ownership ")</f>
        <v>0</v>
      </c>
      <c r="AC49" s="820">
        <f>SUMIFS(MAP!AK:AK,MAP!$D:$D,"General fund",MAP!$E:$E,"Transfer of asset ownership ")</f>
        <v>0</v>
      </c>
      <c r="AD49" s="820">
        <f>SUMIFS(MAP!AL:AL,MAP!$D:$D,"General fund",MAP!$E:$E,"Transfer of asset ownership ")</f>
        <v>0</v>
      </c>
      <c r="AE49" s="820">
        <f>SUMIFS(MAP!AM:AM,MAP!$D:$D,"General fund",MAP!$E:$E,"Transfer of asset ownership ")</f>
        <v>0</v>
      </c>
      <c r="AF49" s="820">
        <f>SUMIFS(MAP!AN:AN,MAP!$D:$D,"General fund",MAP!$E:$E,"Transfer of asset ownership ")</f>
        <v>0</v>
      </c>
      <c r="AG49" s="820">
        <f>SUMIFS(MAP!AO:AO,MAP!$D:$D,"General fund",MAP!$E:$E,"Transfer of asset ownership ")</f>
        <v>0</v>
      </c>
      <c r="AH49" s="820">
        <f>SUMIFS(MAP!AP:AP,MAP!$D:$D,"General fund",MAP!$E:$E,"Transfer of asset ownership ")</f>
        <v>0</v>
      </c>
      <c r="AI49" s="820">
        <f>SUMIFS(MAP!AQ:AQ,MAP!$D:$D,"General fund",MAP!$E:$E,"Transfer of asset ownership ")</f>
        <v>0</v>
      </c>
      <c r="AJ49" s="820">
        <f>SUMIFS(MAP!AR:AR,MAP!$D:$D,"General fund",MAP!$E:$E,"Transfer of asset ownership ")</f>
        <v>0</v>
      </c>
      <c r="AK49" s="820">
        <f>SUMIFS(MAP!AS:AS,MAP!$D:$D,"General fund",MAP!$E:$E,"Transfer of asset ownership ")</f>
        <v>0</v>
      </c>
      <c r="AL49" s="820">
        <f>SUMIFS(MAP!AT:AT,MAP!$D:$D,"General fund",MAP!$E:$E,"Transfer of asset ownership ")</f>
        <v>0</v>
      </c>
      <c r="AM49" s="820">
        <f>SUMIFS(MAP!AU:AU,MAP!$D:$D,"General fund",MAP!$E:$E,"Transfer of asset ownership ")</f>
        <v>0</v>
      </c>
    </row>
    <row r="50" spans="1:39" x14ac:dyDescent="0.25">
      <c r="A50" s="2"/>
      <c r="B50" s="3"/>
      <c r="C50" s="3" t="s">
        <v>1388</v>
      </c>
      <c r="D50" s="7" t="s">
        <v>857</v>
      </c>
      <c r="E50" s="1836"/>
      <c r="F50" s="820">
        <f>SUMIFS(MAP!N:N,MAP!$D:$D,"Revaluation Reserve",MAP!$E:$E,"Transfer of asset ownership ")</f>
        <v>0</v>
      </c>
      <c r="G50" s="820"/>
      <c r="H50" s="820"/>
      <c r="I50" s="820"/>
      <c r="J50" s="820"/>
      <c r="K50" s="820"/>
      <c r="L50" s="820">
        <f>SUMIFS(MAP!T:T,MAP!$D:$D,"Revaluation Reserve",MAP!$E:$E,"Transfer of asset ownership ")</f>
        <v>0</v>
      </c>
      <c r="M50" s="820">
        <f>SUMIFS(MAP!U:U,MAP!$D:$D,"Revaluation Reserve",MAP!$E:$E,"Transfer of asset ownership ")</f>
        <v>0</v>
      </c>
      <c r="N50" s="820">
        <f>SUMIFS(MAP!V:V,MAP!$D:$D,"Revaluation Reserve",MAP!$E:$E,"Transfer of asset ownership ")</f>
        <v>0</v>
      </c>
      <c r="O50" s="820">
        <f>SUMIFS(MAP!W:W,MAP!$D:$D,"Revaluation Reserve",MAP!$E:$E,"Transfer of asset ownership ")</f>
        <v>0</v>
      </c>
      <c r="P50" s="820">
        <f>SUMIFS(MAP!X:X,MAP!$D:$D,"Revaluation Reserve",MAP!$E:$E,"Transfer of asset ownership ")</f>
        <v>0</v>
      </c>
      <c r="Q50" s="820">
        <f>SUMIFS(MAP!Y:Y,MAP!$D:$D,"Revaluation Reserve",MAP!$E:$E,"Transfer of asset ownership ")</f>
        <v>0</v>
      </c>
      <c r="R50" s="820">
        <f>SUMIFS(MAP!Z:Z,MAP!$D:$D,"Revaluation Reserve",MAP!$E:$E,"Transfer of asset ownership ")</f>
        <v>0</v>
      </c>
      <c r="S50" s="820">
        <f>SUMIFS(MAP!AA:AA,MAP!$D:$D,"Revaluation Reserve",MAP!$E:$E,"Transfer of asset ownership ")</f>
        <v>0</v>
      </c>
      <c r="T50" s="820">
        <f>SUMIFS(MAP!AB:AB,MAP!$D:$D,"Revaluation Reserve",MAP!$E:$E,"Transfer of asset ownership ")</f>
        <v>0</v>
      </c>
      <c r="U50" s="820">
        <f>SUMIFS(MAP!AC:AC,MAP!$D:$D,"Revaluation Reserve",MAP!$E:$E,"Transfer of asset ownership ")</f>
        <v>0</v>
      </c>
      <c r="V50" s="820">
        <f>SUMIFS(MAP!AD:AD,MAP!$D:$D,"Revaluation Reserve",MAP!$E:$E,"Transfer of asset ownership ")</f>
        <v>0</v>
      </c>
      <c r="W50" s="820">
        <f>SUMIFS(MAP!AE:AE,MAP!$D:$D,"Revaluation Reserve",MAP!$E:$E,"Transfer of asset ownership ")</f>
        <v>0</v>
      </c>
      <c r="X50" s="820">
        <f>SUMIFS(MAP!AF:AF,MAP!$D:$D,"Revaluation Reserve",MAP!$E:$E,"Transfer of asset ownership ")</f>
        <v>0</v>
      </c>
      <c r="Y50" s="820">
        <f>SUMIFS(MAP!AG:AG,MAP!$D:$D,"Revaluation Reserve",MAP!$E:$E,"Transfer of asset ownership ")</f>
        <v>0</v>
      </c>
      <c r="Z50" s="820">
        <f>SUMIFS(MAP!AH:AH,MAP!$D:$D,"Revaluation Reserve",MAP!$E:$E,"Transfer of asset ownership ")</f>
        <v>0</v>
      </c>
      <c r="AA50" s="820">
        <f>SUMIFS(MAP!AI:AI,MAP!$D:$D,"Revaluation Reserve",MAP!$E:$E,"Transfer of asset ownership ")</f>
        <v>0</v>
      </c>
      <c r="AB50" s="820">
        <f>SUMIFS(MAP!AJ:AJ,MAP!$D:$D,"Revaluation Reserve",MAP!$E:$E,"Transfer of asset ownership ")</f>
        <v>0</v>
      </c>
      <c r="AC50" s="820">
        <f>SUMIFS(MAP!AK:AK,MAP!$D:$D,"Revaluation Reserve",MAP!$E:$E,"Transfer of asset ownership ")</f>
        <v>0</v>
      </c>
      <c r="AD50" s="820">
        <f>SUMIFS(MAP!AL:AL,MAP!$D:$D,"Revaluation Reserve",MAP!$E:$E,"Transfer of asset ownership ")</f>
        <v>0</v>
      </c>
      <c r="AE50" s="820">
        <f>SUMIFS(MAP!AM:AM,MAP!$D:$D,"Revaluation Reserve",MAP!$E:$E,"Transfer of asset ownership ")</f>
        <v>0</v>
      </c>
      <c r="AF50" s="820">
        <f>SUMIFS(MAP!AN:AN,MAP!$D:$D,"Revaluation Reserve",MAP!$E:$E,"Transfer of asset ownership ")</f>
        <v>0</v>
      </c>
      <c r="AG50" s="820">
        <f>SUMIFS(MAP!AO:AO,MAP!$D:$D,"Revaluation Reserve",MAP!$E:$E,"Transfer of asset ownership ")</f>
        <v>0</v>
      </c>
      <c r="AH50" s="820">
        <f>SUMIFS(MAP!AP:AP,MAP!$D:$D,"Revaluation Reserve",MAP!$E:$E,"Transfer of asset ownership ")</f>
        <v>0</v>
      </c>
      <c r="AI50" s="820">
        <f>SUMIFS(MAP!AQ:AQ,MAP!$D:$D,"Revaluation Reserve",MAP!$E:$E,"Transfer of asset ownership ")</f>
        <v>0</v>
      </c>
      <c r="AJ50" s="820">
        <f>SUMIFS(MAP!AR:AR,MAP!$D:$D,"Revaluation Reserve",MAP!$E:$E,"Transfer of asset ownership ")</f>
        <v>0</v>
      </c>
      <c r="AK50" s="820">
        <f>SUMIFS(MAP!AS:AS,MAP!$D:$D,"Revaluation Reserve",MAP!$E:$E,"Transfer of asset ownership ")</f>
        <v>0</v>
      </c>
      <c r="AL50" s="820">
        <f>SUMIFS(MAP!AT:AT,MAP!$D:$D,"Revaluation Reserve",MAP!$E:$E,"Transfer of asset ownership ")</f>
        <v>0</v>
      </c>
      <c r="AM50" s="820">
        <f>SUMIFS(MAP!AU:AU,MAP!$D:$D,"Revaluation Reserve",MAP!$E:$E,"Transfer of asset ownership ")</f>
        <v>0</v>
      </c>
    </row>
    <row r="51" spans="1:39" x14ac:dyDescent="0.25">
      <c r="A51" s="2"/>
      <c r="B51" s="3">
        <f>MAX($B$4:B48)+1</f>
        <v>44</v>
      </c>
      <c r="C51" s="3"/>
      <c r="D51" s="194" t="s">
        <v>1445</v>
      </c>
      <c r="E51" s="906"/>
      <c r="F51" s="820">
        <f>SUM(G51:K51)+SUM(O51:AM51)</f>
        <v>0</v>
      </c>
      <c r="G51" s="820"/>
      <c r="H51" s="820"/>
      <c r="I51" s="820"/>
      <c r="J51" s="820"/>
      <c r="K51" s="820"/>
      <c r="L51" s="820"/>
      <c r="M51" s="820"/>
      <c r="N51" s="820"/>
      <c r="O51" s="820"/>
      <c r="P51" s="820"/>
      <c r="Q51" s="820"/>
      <c r="R51" s="820"/>
      <c r="S51" s="820"/>
      <c r="T51" s="820"/>
      <c r="U51" s="820"/>
      <c r="V51" s="820"/>
      <c r="W51" s="820"/>
      <c r="X51" s="820"/>
      <c r="Y51" s="820"/>
      <c r="Z51" s="820"/>
      <c r="AA51" s="820"/>
      <c r="AB51" s="820"/>
      <c r="AC51" s="855"/>
      <c r="AD51" s="820"/>
      <c r="AE51" s="820"/>
      <c r="AF51" s="820"/>
      <c r="AG51" s="855"/>
      <c r="AH51" s="820"/>
      <c r="AI51" s="820"/>
      <c r="AJ51" s="820"/>
      <c r="AK51" s="820"/>
      <c r="AL51" s="820"/>
      <c r="AM51" s="820"/>
    </row>
    <row r="52" spans="1:39" x14ac:dyDescent="0.25">
      <c r="A52" s="2"/>
      <c r="B52" s="3">
        <f>MAX($B$4:B51)+1</f>
        <v>45</v>
      </c>
      <c r="C52" s="3"/>
      <c r="D52" s="7"/>
      <c r="E52" s="902"/>
      <c r="F52" s="821">
        <f>SUM(F47:F51)-MAP!N194-MAP!N243</f>
        <v>0</v>
      </c>
      <c r="G52" s="821">
        <f>SUM(G47:G51)-MAP!O194-MAP!O243</f>
        <v>0</v>
      </c>
      <c r="H52" s="821">
        <f>SUM(H47:H51)-MAP!P194-MAP!P243</f>
        <v>0</v>
      </c>
      <c r="I52" s="821">
        <f>SUM(I47:I51)-MAP!Q194-MAP!Q243</f>
        <v>0</v>
      </c>
      <c r="J52" s="821">
        <f>SUM(J47:J51)-MAP!R194-MAP!R243</f>
        <v>0</v>
      </c>
      <c r="K52" s="821">
        <f>SUM(K47:K51)-MAP!S194-MAP!S243</f>
        <v>0</v>
      </c>
      <c r="L52" s="821">
        <f>SUM(L47:L51)-MAP!T194-MAP!T243</f>
        <v>0</v>
      </c>
      <c r="M52" s="821">
        <f>SUM(M47:M51)-MAP!U194-MAP!U243</f>
        <v>0</v>
      </c>
      <c r="N52" s="821">
        <f>SUM(N47:N51)-MAP!V194-MAP!V243</f>
        <v>0</v>
      </c>
      <c r="O52" s="821">
        <f>SUM(O47:O51)-MAP!W194-MAP!W243</f>
        <v>0</v>
      </c>
      <c r="P52" s="821">
        <f>SUM(P47:P51)-MAP!X194-MAP!X243</f>
        <v>0</v>
      </c>
      <c r="Q52" s="821">
        <f>SUM(Q47:Q51)-MAP!Y194-MAP!Y243</f>
        <v>0</v>
      </c>
      <c r="R52" s="821">
        <f>SUM(R47:R51)-MAP!Z194-MAP!Z243</f>
        <v>0</v>
      </c>
      <c r="S52" s="821">
        <f>SUM(S47:S51)-MAP!AA194-MAP!AA243</f>
        <v>0</v>
      </c>
      <c r="T52" s="821">
        <f>SUM(T47:T51)-MAP!AB194-MAP!AB243</f>
        <v>0</v>
      </c>
      <c r="U52" s="821">
        <f>SUM(U47:U51)-MAP!AC194-MAP!AC243</f>
        <v>0</v>
      </c>
      <c r="V52" s="821">
        <f>SUM(V47:V51)-MAP!AD194-MAP!AD243</f>
        <v>0</v>
      </c>
      <c r="W52" s="821">
        <f>SUM(W47:W51)-MAP!AE194-MAP!AE243</f>
        <v>0</v>
      </c>
      <c r="X52" s="821">
        <f>SUM(X47:X51)-MAP!AF194-MAP!AF243</f>
        <v>0</v>
      </c>
      <c r="Y52" s="821">
        <f>SUM(Y47:Y51)-MAP!AG194-MAP!AG243</f>
        <v>0</v>
      </c>
      <c r="Z52" s="821">
        <f>SUM(Z47:Z51)-MAP!AH194-MAP!AH243</f>
        <v>0</v>
      </c>
      <c r="AA52" s="821">
        <f>SUM(AA47:AA51)-MAP!AI194-MAP!AI243</f>
        <v>0</v>
      </c>
      <c r="AB52" s="821">
        <f>SUM(AB47:AB51)-MAP!AJ194-MAP!AJ243</f>
        <v>0</v>
      </c>
      <c r="AC52" s="821">
        <f>SUM(AC47:AC51)-MAP!AK194-MAP!AK243</f>
        <v>0</v>
      </c>
      <c r="AD52" s="821">
        <f>SUM(AD47:AD51)-MAP!AL194-MAP!AL243</f>
        <v>0</v>
      </c>
      <c r="AE52" s="821">
        <f>SUM(AE47:AE51)-MAP!AM194-MAP!AM243</f>
        <v>0</v>
      </c>
      <c r="AF52" s="821">
        <f>SUM(AF47:AF51)-MAP!AN194-MAP!AN243</f>
        <v>0</v>
      </c>
      <c r="AG52" s="821">
        <f>SUM(AG47:AG51)-MAP!AO194-MAP!AO243</f>
        <v>0</v>
      </c>
      <c r="AH52" s="821">
        <f>SUM(AH47:AH51)-MAP!AP194-MAP!AP243</f>
        <v>0</v>
      </c>
      <c r="AI52" s="821">
        <f>SUM(AI47:AI51)-MAP!AQ194-MAP!AQ243</f>
        <v>0</v>
      </c>
      <c r="AJ52" s="821">
        <f>SUM(AJ47:AJ51)-MAP!AR194-MAP!AR243</f>
        <v>0</v>
      </c>
      <c r="AK52" s="821">
        <f>SUM(AK47:AK51)-MAP!AS194-MAP!AS243</f>
        <v>0</v>
      </c>
      <c r="AL52" s="821">
        <f>SUM(AL47:AL51)-MAP!AT194-MAP!AT243</f>
        <v>0</v>
      </c>
      <c r="AM52" s="821">
        <f>SUM(AM47:AM51)-MAP!AU194-MAP!AU243</f>
        <v>0</v>
      </c>
    </row>
    <row r="53" spans="1:39" x14ac:dyDescent="0.25">
      <c r="A53" s="2"/>
      <c r="B53" s="3">
        <f>MAX($B$4:B52)+1</f>
        <v>46</v>
      </c>
      <c r="C53" s="3"/>
      <c r="D53" s="7"/>
      <c r="E53" s="902"/>
      <c r="F53" s="822"/>
      <c r="G53" s="822"/>
      <c r="H53" s="822"/>
      <c r="I53" s="822"/>
      <c r="J53" s="822"/>
      <c r="K53" s="822"/>
      <c r="L53" s="822"/>
      <c r="M53" s="822"/>
      <c r="N53" s="822"/>
      <c r="O53" s="822"/>
      <c r="P53" s="822"/>
      <c r="Q53" s="822"/>
      <c r="R53" s="822"/>
      <c r="S53" s="822"/>
      <c r="T53" s="1086"/>
      <c r="U53" s="822"/>
      <c r="V53" s="822"/>
      <c r="W53" s="822"/>
      <c r="X53" s="822"/>
      <c r="Y53" s="822"/>
      <c r="Z53" s="822"/>
      <c r="AA53" s="822"/>
      <c r="AB53" s="822"/>
      <c r="AC53" s="822"/>
      <c r="AD53" s="822"/>
      <c r="AE53" s="822"/>
      <c r="AF53" s="822"/>
      <c r="AG53" s="822"/>
      <c r="AH53" s="822"/>
      <c r="AI53" s="822"/>
      <c r="AJ53" s="822"/>
      <c r="AK53" s="822"/>
      <c r="AL53" s="822"/>
      <c r="AM53" s="822"/>
    </row>
    <row r="54" spans="1:39" x14ac:dyDescent="0.25">
      <c r="A54" s="2"/>
      <c r="B54" s="3">
        <f>MAX($B$4:B53)+1</f>
        <v>47</v>
      </c>
      <c r="C54" s="3"/>
      <c r="D54" s="7"/>
      <c r="E54" s="902"/>
      <c r="F54" s="822"/>
      <c r="G54" s="822"/>
      <c r="H54" s="822"/>
      <c r="I54" s="822"/>
      <c r="J54" s="822"/>
      <c r="K54" s="822"/>
      <c r="L54" s="822"/>
      <c r="M54" s="822"/>
      <c r="N54" s="822"/>
      <c r="O54" s="822"/>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row>
    <row r="55" spans="1:39" x14ac:dyDescent="0.25">
      <c r="A55" s="2"/>
      <c r="B55" s="3">
        <f>MAX($B$4:B54)+1</f>
        <v>48</v>
      </c>
      <c r="C55" s="195" t="s">
        <v>1411</v>
      </c>
      <c r="D55" s="7"/>
      <c r="E55" s="902"/>
      <c r="F55" s="822"/>
      <c r="G55" s="822"/>
      <c r="H55" s="822"/>
      <c r="I55" s="822"/>
      <c r="J55" s="822"/>
      <c r="K55" s="822"/>
      <c r="L55" s="822"/>
      <c r="M55" s="822"/>
      <c r="N55" s="822"/>
      <c r="O55" s="822"/>
      <c r="P55" s="822"/>
      <c r="Q55" s="822"/>
      <c r="R55" s="822"/>
      <c r="S55" s="822"/>
      <c r="T55" s="822"/>
      <c r="U55" s="822"/>
      <c r="V55" s="822"/>
      <c r="W55" s="822"/>
      <c r="X55" s="822"/>
      <c r="Y55" s="822"/>
      <c r="Z55" s="822"/>
      <c r="AA55" s="822"/>
      <c r="AB55" s="822"/>
      <c r="AC55" s="822"/>
      <c r="AD55" s="822"/>
      <c r="AE55" s="822"/>
      <c r="AF55" s="822"/>
      <c r="AG55" s="822"/>
      <c r="AH55" s="822"/>
      <c r="AI55" s="822"/>
      <c r="AJ55" s="822"/>
      <c r="AK55" s="822"/>
      <c r="AL55" s="822"/>
      <c r="AM55" s="822"/>
    </row>
    <row r="56" spans="1:39" x14ac:dyDescent="0.25">
      <c r="A56" s="2"/>
      <c r="B56" s="3">
        <f>MAX($B$4:B55)+1</f>
        <v>49</v>
      </c>
      <c r="C56" s="3" t="s">
        <v>1385</v>
      </c>
      <c r="D56" s="7" t="s">
        <v>1413</v>
      </c>
      <c r="E56" s="906" t="s">
        <v>1399</v>
      </c>
      <c r="F56" s="820">
        <f>SUMIF(MAP!$D:$D,"Depreciation, amortisation and impairment charges",MAP!N:N)</f>
        <v>0</v>
      </c>
      <c r="G56" s="820">
        <f>SUMIF(MAP!$D:$D,"Depreciation, amortisation and impairment charges",MAP!O:O)</f>
        <v>0</v>
      </c>
      <c r="H56" s="820">
        <f>SUMIF(MAP!$D:$D,"Depreciation, amortisation and impairment charges",MAP!P:P)</f>
        <v>0</v>
      </c>
      <c r="I56" s="820">
        <f>SUMIF(MAP!$D:$D,"Depreciation, amortisation and impairment charges",MAP!Q:Q)</f>
        <v>0</v>
      </c>
      <c r="J56" s="820">
        <f>SUMIF(MAP!$D:$D,"Depreciation, amortisation and impairment charges",MAP!R:R)</f>
        <v>0</v>
      </c>
      <c r="K56" s="820">
        <f>SUMIF(MAP!$D:$D,"Depreciation, amortisation and impairment charges",MAP!S:S)</f>
        <v>0</v>
      </c>
      <c r="L56" s="820">
        <f>SUMIF(MAP!$D:$D,"Depreciation, amortisation and impairment charges",MAP!T:T)</f>
        <v>0</v>
      </c>
      <c r="M56" s="820">
        <f>SUMIF(MAP!$D:$D,"Depreciation, amortisation and impairment charges",MAP!U:U)</f>
        <v>0</v>
      </c>
      <c r="N56" s="820">
        <f>SUMIF(MAP!$D:$D,"Depreciation, amortisation and impairment charges",MAP!V:V)</f>
        <v>0</v>
      </c>
      <c r="O56" s="820">
        <f>SUMIF(MAP!$D:$D,"Depreciation, amortisation and impairment charges",MAP!W:W)</f>
        <v>0</v>
      </c>
      <c r="P56" s="820">
        <f>SUMIF(MAP!$D:$D,"Depreciation, amortisation and impairment charges",MAP!X:X)</f>
        <v>0</v>
      </c>
      <c r="Q56" s="820">
        <f>SUMIF(MAP!$D:$D,"Depreciation, amortisation and impairment charges",MAP!Y:Y)</f>
        <v>0</v>
      </c>
      <c r="R56" s="820">
        <f>SUMIF(MAP!$D:$D,"Depreciation, amortisation and impairment charges",MAP!Z:Z)</f>
        <v>0</v>
      </c>
      <c r="S56" s="820">
        <f>SUMIF(MAP!$D:$D,"Depreciation, amortisation and impairment charges",MAP!AA:AA)</f>
        <v>0</v>
      </c>
      <c r="T56" s="820">
        <f>SUMIF(MAP!$D:$D,"Depreciation, amortisation and impairment charges",MAP!AB:AB)</f>
        <v>0</v>
      </c>
      <c r="U56" s="820">
        <f>SUMIF(MAP!$D:$D,"Depreciation, amortisation and impairment charges",MAP!AC:AC)</f>
        <v>0</v>
      </c>
      <c r="V56" s="820">
        <f>SUMIF(MAP!$D:$D,"Depreciation, amortisation and impairment charges",MAP!AD:AD)</f>
        <v>0</v>
      </c>
      <c r="W56" s="820">
        <f>SUMIF(MAP!$D:$D,"Depreciation, amortisation and impairment charges",MAP!AE:AE)</f>
        <v>0</v>
      </c>
      <c r="X56" s="820">
        <f>SUMIF(MAP!$D:$D,"Depreciation, amortisation and impairment charges",MAP!AF:AF)</f>
        <v>0</v>
      </c>
      <c r="Y56" s="820">
        <f>SUMIF(MAP!$D:$D,"Depreciation, amortisation and impairment charges",MAP!AG:AG)</f>
        <v>0</v>
      </c>
      <c r="Z56" s="820">
        <f>SUMIF(MAP!$D:$D,"Depreciation, amortisation and impairment charges",MAP!AH:AH)</f>
        <v>0</v>
      </c>
      <c r="AA56" s="820">
        <f>SUMIF(MAP!$D:$D,"Depreciation, amortisation and impairment charges",MAP!AI:AI)</f>
        <v>0</v>
      </c>
      <c r="AB56" s="820">
        <f>SUMIF(MAP!$D:$D,"Depreciation, amortisation and impairment charges",MAP!AJ:AJ)</f>
        <v>0</v>
      </c>
      <c r="AC56" s="820">
        <f>SUMIF(MAP!$D:$D,"Depreciation, amortisation and impairment charges",MAP!AK:AK)</f>
        <v>0</v>
      </c>
      <c r="AD56" s="820">
        <f>SUMIF(MAP!$D:$D,"Depreciation, amortisation and impairment charges",MAP!AL:AL)</f>
        <v>0</v>
      </c>
      <c r="AE56" s="820">
        <f>SUMIF(MAP!$D:$D,"Depreciation, amortisation and impairment charges",MAP!AM:AM)</f>
        <v>0</v>
      </c>
      <c r="AF56" s="820">
        <f>SUMIF(MAP!$D:$D,"Depreciation, amortisation and impairment charges",MAP!AN:AN)</f>
        <v>0</v>
      </c>
      <c r="AG56" s="820">
        <f>SUMIF(MAP!$D:$D,"Depreciation, amortisation and impairment charges",MAP!AO:AO)</f>
        <v>0</v>
      </c>
      <c r="AH56" s="820">
        <f>SUMIF(MAP!$D:$D,"Depreciation, amortisation and impairment charges",MAP!AP:AP)</f>
        <v>0</v>
      </c>
      <c r="AI56" s="820">
        <f>SUMIF(MAP!$D:$D,"Depreciation, amortisation and impairment charges",MAP!AQ:AQ)</f>
        <v>0</v>
      </c>
      <c r="AJ56" s="820">
        <f>SUMIF(MAP!$D:$D,"Depreciation, amortisation and impairment charges",MAP!AR:AR)</f>
        <v>0</v>
      </c>
      <c r="AK56" s="820">
        <f>SUMIF(MAP!$D:$D,"Depreciation, amortisation and impairment charges",MAP!AS:AS)</f>
        <v>0</v>
      </c>
      <c r="AL56" s="820">
        <f>SUMIF(MAP!$D:$D,"Depreciation, amortisation and impairment charges",MAP!AT:AT)</f>
        <v>0</v>
      </c>
      <c r="AM56" s="820">
        <f>SUMIF(MAP!$D:$D,"Depreciation, amortisation and impairment charges",MAP!AU:AU)</f>
        <v>0</v>
      </c>
    </row>
    <row r="57" spans="1:39" x14ac:dyDescent="0.25">
      <c r="A57" s="2"/>
      <c r="B57" s="3">
        <f>MAX($B$4:B56)+1</f>
        <v>50</v>
      </c>
      <c r="C57" s="3" t="s">
        <v>1385</v>
      </c>
      <c r="D57" s="7" t="s">
        <v>162</v>
      </c>
      <c r="E57" s="906" t="s">
        <v>1399</v>
      </c>
      <c r="F57" s="829">
        <f>SUMIF(MAP!$E:$E,$D57,MAP!N:N)</f>
        <v>0</v>
      </c>
      <c r="G57" s="829">
        <f>SUMIF(MAP!$E:$E,$D57,MAP!O:O)</f>
        <v>0</v>
      </c>
      <c r="H57" s="829">
        <f>SUMIF(MAP!$E:$E,$D57,MAP!P:P)</f>
        <v>0</v>
      </c>
      <c r="I57" s="829">
        <f>SUMIF(MAP!$E:$E,$D57,MAP!Q:Q)</f>
        <v>0</v>
      </c>
      <c r="J57" s="829">
        <f>SUMIF(MAP!$E:$E,$D57,MAP!R:R)</f>
        <v>0</v>
      </c>
      <c r="K57" s="829">
        <f>SUMIF(MAP!$E:$E,$D57,MAP!S:S)</f>
        <v>0</v>
      </c>
      <c r="L57" s="829">
        <f>SUMIF(MAP!$E:$E,$D57,MAP!T:T)</f>
        <v>0</v>
      </c>
      <c r="M57" s="829">
        <f>SUMIF(MAP!$E:$E,$D57,MAP!U:U)</f>
        <v>0</v>
      </c>
      <c r="N57" s="829">
        <f>SUMIF(MAP!$E:$E,$D57,MAP!V:V)</f>
        <v>0</v>
      </c>
      <c r="O57" s="829">
        <f>SUMIF(MAP!$E:$E,$D57,MAP!W:W)</f>
        <v>0</v>
      </c>
      <c r="P57" s="829">
        <f>SUMIF(MAP!$E:$E,$D57,MAP!X:X)</f>
        <v>0</v>
      </c>
      <c r="Q57" s="829">
        <f>SUMIF(MAP!$E:$E,$D57,MAP!Y:Y)</f>
        <v>0</v>
      </c>
      <c r="R57" s="829">
        <f>SUMIF(MAP!$E:$E,$D57,MAP!Z:Z)</f>
        <v>0</v>
      </c>
      <c r="S57" s="829">
        <f>SUMIF(MAP!$E:$E,$D57,MAP!AA:AA)</f>
        <v>0</v>
      </c>
      <c r="T57" s="829">
        <f>SUMIF(MAP!$E:$E,$D57,MAP!AB:AB)</f>
        <v>0</v>
      </c>
      <c r="U57" s="829">
        <f>SUMIF(MAP!$E:$E,$D57,MAP!AC:AC)</f>
        <v>0</v>
      </c>
      <c r="V57" s="829">
        <f>SUMIF(MAP!$E:$E,$D57,MAP!AD:AD)</f>
        <v>0</v>
      </c>
      <c r="W57" s="829">
        <f>SUMIF(MAP!$E:$E,$D57,MAP!AE:AE)</f>
        <v>0</v>
      </c>
      <c r="X57" s="829">
        <f>SUMIF(MAP!$E:$E,$D57,MAP!AF:AF)</f>
        <v>0</v>
      </c>
      <c r="Y57" s="829">
        <f>SUMIF(MAP!$E:$E,$D57,MAP!AG:AG)</f>
        <v>0</v>
      </c>
      <c r="Z57" s="829">
        <f>SUMIF(MAP!$E:$E,$D57,MAP!AH:AH)</f>
        <v>0</v>
      </c>
      <c r="AA57" s="829">
        <f>SUMIF(MAP!$E:$E,$D57,MAP!AI:AI)</f>
        <v>0</v>
      </c>
      <c r="AB57" s="829">
        <f>SUMIF(MAP!$E:$E,$D57,MAP!AJ:AJ)</f>
        <v>0</v>
      </c>
      <c r="AC57" s="829">
        <f>SUMIF(MAP!$E:$E,$D57,MAP!AK:AK)</f>
        <v>0</v>
      </c>
      <c r="AD57" s="829">
        <f>SUMIF(MAP!$E:$E,$D57,MAP!AL:AL)</f>
        <v>0</v>
      </c>
      <c r="AE57" s="829">
        <f>SUMIF(MAP!$E:$E,$D57,MAP!AM:AM)</f>
        <v>0</v>
      </c>
      <c r="AF57" s="829">
        <f>SUMIF(MAP!$E:$E,$D57,MAP!AN:AN)</f>
        <v>0</v>
      </c>
      <c r="AG57" s="829">
        <f>SUMIF(MAP!$E:$E,$D57,MAP!AO:AO)</f>
        <v>0</v>
      </c>
      <c r="AH57" s="829">
        <f>SUMIF(MAP!$E:$E,$D57,MAP!AP:AP)</f>
        <v>0</v>
      </c>
      <c r="AI57" s="829">
        <f>SUMIF(MAP!$E:$E,$D57,MAP!AQ:AQ)</f>
        <v>0</v>
      </c>
      <c r="AJ57" s="829">
        <f>SUMIF(MAP!$E:$E,$D57,MAP!AR:AR)</f>
        <v>0</v>
      </c>
      <c r="AK57" s="829">
        <f>SUMIF(MAP!$E:$E,$D57,MAP!AS:AS)</f>
        <v>0</v>
      </c>
      <c r="AL57" s="829">
        <f>SUMIF(MAP!$E:$E,$D57,MAP!AT:AT)</f>
        <v>0</v>
      </c>
      <c r="AM57" s="829">
        <f>SUMIF(MAP!$E:$E,$D57,MAP!AU:AU)</f>
        <v>0</v>
      </c>
    </row>
    <row r="58" spans="1:39" x14ac:dyDescent="0.25">
      <c r="A58" s="2"/>
      <c r="B58" s="3">
        <f>MAX($B$4:B57)+1</f>
        <v>51</v>
      </c>
      <c r="C58" s="3" t="s">
        <v>1412</v>
      </c>
      <c r="D58" s="7" t="s">
        <v>1409</v>
      </c>
      <c r="E58" s="906" t="s">
        <v>1399</v>
      </c>
      <c r="F58" s="820">
        <f>SUMIF(MAP!$E:$E,$D58,MAP!N:N)</f>
        <v>0</v>
      </c>
      <c r="G58" s="820">
        <f>SUMIF(MAP!$E:$E,$D58,MAP!O:O)</f>
        <v>0</v>
      </c>
      <c r="H58" s="820">
        <f>SUMIF(MAP!$E:$E,$D58,MAP!P:P)</f>
        <v>0</v>
      </c>
      <c r="I58" s="820">
        <f>SUMIF(MAP!$E:$E,$D58,MAP!Q:Q)</f>
        <v>0</v>
      </c>
      <c r="J58" s="820">
        <f>SUMIF(MAP!$E:$E,$D58,MAP!R:R)</f>
        <v>0</v>
      </c>
      <c r="K58" s="820">
        <f>SUMIF(MAP!$E:$E,$D58,MAP!S:S)</f>
        <v>0</v>
      </c>
      <c r="L58" s="820">
        <f>SUMIF(MAP!$E:$E,$D58,MAP!T:T)</f>
        <v>0</v>
      </c>
      <c r="M58" s="820">
        <f>SUMIF(MAP!$E:$E,$D58,MAP!U:U)</f>
        <v>0</v>
      </c>
      <c r="N58" s="820">
        <f>SUMIF(MAP!$E:$E,$D58,MAP!V:V)</f>
        <v>0</v>
      </c>
      <c r="O58" s="820">
        <f>SUMIF(MAP!$E:$E,$D58,MAP!W:W)</f>
        <v>0</v>
      </c>
      <c r="P58" s="820">
        <f>SUMIF(MAP!$E:$E,$D58,MAP!X:X)</f>
        <v>0</v>
      </c>
      <c r="Q58" s="820">
        <f>SUMIF(MAP!$E:$E,$D58,MAP!Y:Y)</f>
        <v>0</v>
      </c>
      <c r="R58" s="820">
        <f>SUMIF(MAP!$E:$E,$D58,MAP!Z:Z)</f>
        <v>0</v>
      </c>
      <c r="S58" s="820">
        <f>SUMIF(MAP!$E:$E,$D58,MAP!AA:AA)</f>
        <v>0</v>
      </c>
      <c r="T58" s="820">
        <f>SUMIF(MAP!$E:$E,$D58,MAP!AB:AB)</f>
        <v>0</v>
      </c>
      <c r="U58" s="820">
        <f>SUMIF(MAP!$E:$E,$D58,MAP!AC:AC)</f>
        <v>0</v>
      </c>
      <c r="V58" s="820">
        <f>SUMIF(MAP!$E:$E,$D58,MAP!AD:AD)</f>
        <v>0</v>
      </c>
      <c r="W58" s="820">
        <f>SUMIF(MAP!$E:$E,$D58,MAP!AE:AE)</f>
        <v>0</v>
      </c>
      <c r="X58" s="820">
        <f>SUMIF(MAP!$E:$E,$D58,MAP!AF:AF)</f>
        <v>0</v>
      </c>
      <c r="Y58" s="820">
        <f>SUMIF(MAP!$E:$E,$D58,MAP!AG:AG)</f>
        <v>0</v>
      </c>
      <c r="Z58" s="820">
        <f>SUMIF(MAP!$E:$E,$D58,MAP!AH:AH)</f>
        <v>0</v>
      </c>
      <c r="AA58" s="820">
        <f>SUMIF(MAP!$E:$E,$D58,MAP!AI:AI)</f>
        <v>0</v>
      </c>
      <c r="AB58" s="820">
        <f>SUMIF(MAP!$E:$E,$D58,MAP!AJ:AJ)</f>
        <v>0</v>
      </c>
      <c r="AC58" s="820">
        <f>SUMIF(MAP!$E:$E,$D58,MAP!AK:AK)</f>
        <v>0</v>
      </c>
      <c r="AD58" s="820">
        <f>SUMIF(MAP!$E:$E,$D58,MAP!AL:AL)</f>
        <v>0</v>
      </c>
      <c r="AE58" s="820">
        <f>SUMIF(MAP!$E:$E,$D58,MAP!AM:AM)</f>
        <v>0</v>
      </c>
      <c r="AF58" s="820">
        <f>SUMIF(MAP!$E:$E,$D58,MAP!AN:AN)</f>
        <v>0</v>
      </c>
      <c r="AG58" s="820">
        <f>SUMIF(MAP!$E:$E,$D58,MAP!AO:AO)</f>
        <v>0</v>
      </c>
      <c r="AH58" s="820">
        <f>SUMIF(MAP!$E:$E,$D58,MAP!AP:AP)</f>
        <v>0</v>
      </c>
      <c r="AI58" s="820">
        <f>SUMIF(MAP!$E:$E,$D58,MAP!AQ:AQ)</f>
        <v>0</v>
      </c>
      <c r="AJ58" s="820">
        <f>SUMIF(MAP!$E:$E,$D58,MAP!AR:AR)</f>
        <v>0</v>
      </c>
      <c r="AK58" s="820">
        <f>SUMIF(MAP!$E:$E,$D58,MAP!AS:AS)</f>
        <v>0</v>
      </c>
      <c r="AL58" s="820">
        <f>SUMIF(MAP!$E:$E,$D58,MAP!AT:AT)</f>
        <v>0</v>
      </c>
      <c r="AM58" s="820">
        <f>SUMIF(MAP!$E:$E,$D58,MAP!AU:AU)</f>
        <v>0</v>
      </c>
    </row>
    <row r="59" spans="1:39" x14ac:dyDescent="0.25">
      <c r="A59" s="2"/>
      <c r="B59" s="3">
        <f>MAX($B$4:B58)+1</f>
        <v>52</v>
      </c>
      <c r="C59" s="3"/>
      <c r="D59" s="7"/>
      <c r="E59" s="1836"/>
      <c r="F59" s="821">
        <f>F56-SUM(F57:F58)</f>
        <v>0</v>
      </c>
      <c r="G59" s="821">
        <f t="shared" ref="G59:AI59" si="3">G56-SUM(G57:G58)</f>
        <v>0</v>
      </c>
      <c r="H59" s="821">
        <f t="shared" si="3"/>
        <v>0</v>
      </c>
      <c r="I59" s="821">
        <f t="shared" si="3"/>
        <v>0</v>
      </c>
      <c r="J59" s="821">
        <f t="shared" si="3"/>
        <v>0</v>
      </c>
      <c r="K59" s="821">
        <f t="shared" si="3"/>
        <v>0</v>
      </c>
      <c r="L59" s="821">
        <f t="shared" si="3"/>
        <v>0</v>
      </c>
      <c r="M59" s="821">
        <f t="shared" si="3"/>
        <v>0</v>
      </c>
      <c r="N59" s="821">
        <f t="shared" si="3"/>
        <v>0</v>
      </c>
      <c r="O59" s="821">
        <f t="shared" si="3"/>
        <v>0</v>
      </c>
      <c r="P59" s="821">
        <f t="shared" si="3"/>
        <v>0</v>
      </c>
      <c r="Q59" s="821">
        <f t="shared" si="3"/>
        <v>0</v>
      </c>
      <c r="R59" s="821">
        <f t="shared" si="3"/>
        <v>0</v>
      </c>
      <c r="S59" s="821">
        <f t="shared" si="3"/>
        <v>0</v>
      </c>
      <c r="T59" s="821">
        <f t="shared" si="3"/>
        <v>0</v>
      </c>
      <c r="U59" s="821">
        <f t="shared" si="3"/>
        <v>0</v>
      </c>
      <c r="V59" s="821">
        <f t="shared" si="3"/>
        <v>0</v>
      </c>
      <c r="W59" s="821">
        <f t="shared" si="3"/>
        <v>0</v>
      </c>
      <c r="X59" s="821">
        <f t="shared" si="3"/>
        <v>0</v>
      </c>
      <c r="Y59" s="821">
        <f t="shared" si="3"/>
        <v>0</v>
      </c>
      <c r="Z59" s="821">
        <f t="shared" si="3"/>
        <v>0</v>
      </c>
      <c r="AA59" s="821">
        <f t="shared" si="3"/>
        <v>0</v>
      </c>
      <c r="AB59" s="821">
        <f t="shared" si="3"/>
        <v>0</v>
      </c>
      <c r="AC59" s="821">
        <f t="shared" si="3"/>
        <v>0</v>
      </c>
      <c r="AD59" s="821">
        <f t="shared" si="3"/>
        <v>0</v>
      </c>
      <c r="AE59" s="821">
        <f t="shared" si="3"/>
        <v>0</v>
      </c>
      <c r="AF59" s="821">
        <f t="shared" si="3"/>
        <v>0</v>
      </c>
      <c r="AG59" s="821">
        <f t="shared" si="3"/>
        <v>0</v>
      </c>
      <c r="AH59" s="821">
        <f t="shared" si="3"/>
        <v>0</v>
      </c>
      <c r="AI59" s="821">
        <f t="shared" si="3"/>
        <v>0</v>
      </c>
      <c r="AJ59" s="821">
        <f>AJ56-SUM(AJ57:AJ58)</f>
        <v>0</v>
      </c>
      <c r="AK59" s="821">
        <f>AK56-SUM(AK57:AK58)</f>
        <v>0</v>
      </c>
      <c r="AL59" s="821">
        <f>AL56-SUM(AL57:AL58)</f>
        <v>0</v>
      </c>
      <c r="AM59" s="821">
        <f>AM56-SUM(AM57:AM58)</f>
        <v>0</v>
      </c>
    </row>
    <row r="60" spans="1:39" x14ac:dyDescent="0.25">
      <c r="A60" s="2"/>
      <c r="B60" s="3">
        <f>MAX($B$4:B59)+1</f>
        <v>53</v>
      </c>
      <c r="C60" s="3"/>
      <c r="D60" s="7"/>
      <c r="E60" s="902"/>
      <c r="F60" s="822"/>
      <c r="G60" s="822"/>
      <c r="H60" s="822"/>
      <c r="I60" s="822"/>
      <c r="J60" s="822"/>
      <c r="K60" s="822"/>
      <c r="L60" s="822"/>
      <c r="M60" s="822"/>
      <c r="N60" s="822"/>
      <c r="O60" s="822"/>
      <c r="P60" s="822"/>
      <c r="Q60" s="822"/>
      <c r="R60" s="822"/>
      <c r="S60" s="822"/>
      <c r="T60" s="822"/>
      <c r="U60" s="822"/>
      <c r="V60" s="822"/>
      <c r="W60" s="822"/>
      <c r="X60" s="822"/>
      <c r="Y60" s="822"/>
      <c r="Z60" s="822"/>
      <c r="AA60" s="822"/>
      <c r="AB60" s="822"/>
      <c r="AC60" s="822"/>
      <c r="AD60" s="822"/>
      <c r="AE60" s="822"/>
      <c r="AF60" s="822"/>
      <c r="AG60" s="822"/>
      <c r="AH60" s="822"/>
      <c r="AI60" s="822"/>
      <c r="AJ60" s="822"/>
      <c r="AK60" s="822"/>
      <c r="AL60" s="822"/>
      <c r="AM60" s="822"/>
    </row>
    <row r="61" spans="1:39" x14ac:dyDescent="0.25">
      <c r="A61" s="2"/>
      <c r="B61" s="3">
        <f>MAX($B$4:B60)+1</f>
        <v>54</v>
      </c>
      <c r="C61" s="819" t="s">
        <v>1446</v>
      </c>
      <c r="D61" s="7"/>
      <c r="E61" s="902"/>
      <c r="F61" s="822"/>
      <c r="G61" s="822"/>
      <c r="H61" s="822"/>
      <c r="I61" s="822"/>
      <c r="J61" s="822"/>
      <c r="K61" s="822"/>
      <c r="L61" s="822"/>
      <c r="M61" s="822"/>
      <c r="N61" s="822"/>
      <c r="O61" s="822"/>
      <c r="P61" s="822"/>
      <c r="Q61" s="822"/>
      <c r="R61" s="822"/>
      <c r="S61" s="822"/>
      <c r="T61" s="822"/>
      <c r="U61" s="822"/>
      <c r="V61" s="822"/>
      <c r="W61" s="822"/>
      <c r="X61" s="822"/>
      <c r="Y61" s="822"/>
      <c r="Z61" s="822"/>
      <c r="AA61" s="822"/>
      <c r="AB61" s="822"/>
      <c r="AC61" s="822"/>
      <c r="AD61" s="822"/>
      <c r="AE61" s="822"/>
      <c r="AF61" s="822"/>
      <c r="AG61" s="822"/>
      <c r="AH61" s="822"/>
      <c r="AI61" s="822"/>
      <c r="AJ61" s="822"/>
      <c r="AK61" s="822"/>
      <c r="AL61" s="822"/>
      <c r="AM61" s="822"/>
    </row>
    <row r="62" spans="1:39" hidden="1" outlineLevel="1" x14ac:dyDescent="0.25">
      <c r="A62" s="2"/>
      <c r="B62" s="3">
        <f>MAX($B$4:B61)+1</f>
        <v>55</v>
      </c>
      <c r="C62" s="830" t="s">
        <v>1419</v>
      </c>
      <c r="D62" s="7"/>
      <c r="E62" s="90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row>
    <row r="63" spans="1:39" hidden="1" outlineLevel="1" x14ac:dyDescent="0.25">
      <c r="A63" s="2"/>
      <c r="B63" s="3">
        <f>MAX($B$4:B62)+1</f>
        <v>56</v>
      </c>
      <c r="C63" s="3" t="s">
        <v>1385</v>
      </c>
      <c r="D63" s="7" t="s">
        <v>162</v>
      </c>
      <c r="E63" s="904" t="s">
        <v>1399</v>
      </c>
      <c r="F63" s="829">
        <f>SUMIF(MAP!$E:$E,$D63,MAP!N:N)</f>
        <v>0</v>
      </c>
      <c r="G63" s="829">
        <f>SUMIF(MAP!$E:$E,$D63,MAP!O:O)</f>
        <v>0</v>
      </c>
      <c r="H63" s="829">
        <f>SUMIF(MAP!$E:$E,$D63,MAP!P:P)</f>
        <v>0</v>
      </c>
      <c r="I63" s="829">
        <f>SUMIF(MAP!$E:$E,$D63,MAP!Q:Q)</f>
        <v>0</v>
      </c>
      <c r="J63" s="829">
        <f>SUMIF(MAP!$E:$E,$D63,MAP!R:R)</f>
        <v>0</v>
      </c>
      <c r="K63" s="829">
        <f>SUMIF(MAP!$E:$E,$D63,MAP!S:S)</f>
        <v>0</v>
      </c>
      <c r="L63" s="829">
        <f>SUMIF(MAP!$E:$E,$D63,MAP!T:T)</f>
        <v>0</v>
      </c>
      <c r="M63" s="829">
        <f>SUMIF(MAP!$E:$E,$D63,MAP!U:U)</f>
        <v>0</v>
      </c>
      <c r="N63" s="829">
        <f>SUMIF(MAP!$E:$E,$D63,MAP!V:V)</f>
        <v>0</v>
      </c>
      <c r="O63" s="829">
        <f>SUMIF(MAP!$E:$E,$D63,MAP!W:W)</f>
        <v>0</v>
      </c>
      <c r="P63" s="829">
        <f>SUMIF(MAP!$E:$E,$D63,MAP!X:X)</f>
        <v>0</v>
      </c>
      <c r="Q63" s="829">
        <f>SUMIF(MAP!$E:$E,$D63,MAP!Y:Y)</f>
        <v>0</v>
      </c>
      <c r="R63" s="829">
        <f>SUMIF(MAP!$E:$E,$D63,MAP!Z:Z)</f>
        <v>0</v>
      </c>
      <c r="S63" s="829">
        <f>SUMIF(MAP!$E:$E,$D63,MAP!AA:AA)</f>
        <v>0</v>
      </c>
      <c r="T63" s="829">
        <f>SUMIF(MAP!$E:$E,$D63,MAP!AB:AB)</f>
        <v>0</v>
      </c>
      <c r="U63" s="829">
        <f>SUMIF(MAP!$E:$E,$D63,MAP!AC:AC)</f>
        <v>0</v>
      </c>
      <c r="V63" s="829">
        <f>SUMIF(MAP!$E:$E,$D63,MAP!AD:AD)</f>
        <v>0</v>
      </c>
      <c r="W63" s="829">
        <f>SUMIF(MAP!$E:$E,$D63,MAP!AE:AE)</f>
        <v>0</v>
      </c>
      <c r="X63" s="829">
        <f>SUMIF(MAP!$E:$E,$D63,MAP!AF:AF)</f>
        <v>0</v>
      </c>
      <c r="Y63" s="829">
        <f>SUMIF(MAP!$E:$E,$D63,MAP!AG:AG)</f>
        <v>0</v>
      </c>
      <c r="Z63" s="829">
        <f>SUMIF(MAP!$E:$E,$D63,MAP!AH:AH)</f>
        <v>0</v>
      </c>
      <c r="AA63" s="829">
        <f>SUMIF(MAP!$E:$E,$D63,MAP!AI:AI)</f>
        <v>0</v>
      </c>
      <c r="AB63" s="829">
        <f>SUMIF(MAP!$E:$E,$D63,MAP!AJ:AJ)</f>
        <v>0</v>
      </c>
      <c r="AC63" s="829">
        <f>SUMIF(MAP!$E:$E,$D63,MAP!AK:AK)</f>
        <v>0</v>
      </c>
      <c r="AD63" s="829">
        <f>SUMIF(MAP!$E:$E,$D63,MAP!AL:AL)</f>
        <v>0</v>
      </c>
      <c r="AE63" s="829">
        <f>SUMIF(MAP!$E:$E,$D63,MAP!AM:AM)</f>
        <v>0</v>
      </c>
      <c r="AF63" s="829">
        <f>SUMIF(MAP!$E:$E,$D63,MAP!AN:AN)</f>
        <v>0</v>
      </c>
      <c r="AG63" s="829">
        <f>SUMIF(MAP!$E:$E,$D63,MAP!AO:AO)</f>
        <v>0</v>
      </c>
      <c r="AH63" s="829">
        <f>SUMIF(MAP!$E:$E,$D63,MAP!AP:AP)</f>
        <v>0</v>
      </c>
      <c r="AI63" s="829">
        <f>SUMIF(MAP!$E:$E,$D63,MAP!AQ:AQ)</f>
        <v>0</v>
      </c>
      <c r="AJ63" s="829">
        <f>SUMIF(MAP!$E:$E,$D63,MAP!AR:AR)</f>
        <v>0</v>
      </c>
      <c r="AK63" s="829">
        <f>SUMIF(MAP!$E:$E,$D63,MAP!AS:AS)</f>
        <v>0</v>
      </c>
      <c r="AL63" s="829">
        <f>SUMIF(MAP!$E:$E,$D63,MAP!AT:AT)</f>
        <v>0</v>
      </c>
      <c r="AM63" s="829">
        <f>SUMIF(MAP!$E:$E,$D63,MAP!AU:AU)</f>
        <v>0</v>
      </c>
    </row>
    <row r="64" spans="1:39" ht="30" hidden="1" outlineLevel="1" x14ac:dyDescent="0.25">
      <c r="A64" s="2"/>
      <c r="B64" s="3">
        <f>MAX($B$4:B63)+1</f>
        <v>57</v>
      </c>
      <c r="C64" s="3" t="s">
        <v>1414</v>
      </c>
      <c r="D64" s="7" t="s">
        <v>1410</v>
      </c>
      <c r="E64" s="904"/>
      <c r="F64" s="820">
        <f>SUMIF(MAP!$E:$E,$D64,MAP!N:N)</f>
        <v>0</v>
      </c>
      <c r="G64" s="820">
        <f>SUMIF(MAP!$E:$E,$D64,MAP!O:O)</f>
        <v>0</v>
      </c>
      <c r="H64" s="820">
        <f>SUMIF(MAP!$E:$E,$D64,MAP!P:P)</f>
        <v>0</v>
      </c>
      <c r="I64" s="820">
        <f>SUMIF(MAP!$E:$E,$D64,MAP!Q:Q)</f>
        <v>0</v>
      </c>
      <c r="J64" s="820">
        <f>SUMIF(MAP!$E:$E,$D64,MAP!R:R)</f>
        <v>0</v>
      </c>
      <c r="K64" s="820">
        <f>SUMIF(MAP!$E:$E,$D64,MAP!S:S)</f>
        <v>0</v>
      </c>
      <c r="L64" s="820">
        <f>SUMIF(MAP!$E:$E,$D64,MAP!T:T)</f>
        <v>0</v>
      </c>
      <c r="M64" s="820">
        <f>SUMIF(MAP!$E:$E,$D64,MAP!U:U)</f>
        <v>0</v>
      </c>
      <c r="N64" s="820">
        <f>SUMIF(MAP!$E:$E,$D64,MAP!V:V)</f>
        <v>0</v>
      </c>
      <c r="O64" s="820">
        <f>SUMIF(MAP!$E:$E,$D64,MAP!W:W)</f>
        <v>0</v>
      </c>
      <c r="P64" s="820">
        <f>SUMIF(MAP!$E:$E,$D64,MAP!X:X)</f>
        <v>0</v>
      </c>
      <c r="Q64" s="820">
        <f>SUMIF(MAP!$E:$E,$D64,MAP!Y:Y)</f>
        <v>0</v>
      </c>
      <c r="R64" s="820">
        <f>SUMIF(MAP!$E:$E,$D64,MAP!Z:Z)</f>
        <v>0</v>
      </c>
      <c r="S64" s="820">
        <f>SUMIF(MAP!$E:$E,$D64,MAP!AA:AA)</f>
        <v>0</v>
      </c>
      <c r="T64" s="820">
        <f>SUMIF(MAP!$E:$E,$D64,MAP!AB:AB)</f>
        <v>0</v>
      </c>
      <c r="U64" s="820">
        <f>SUMIF(MAP!$E:$E,$D64,MAP!AC:AC)</f>
        <v>0</v>
      </c>
      <c r="V64" s="820">
        <f>SUMIF(MAP!$E:$E,$D64,MAP!AD:AD)</f>
        <v>0</v>
      </c>
      <c r="W64" s="820">
        <f>SUMIF(MAP!$E:$E,$D64,MAP!AE:AE)</f>
        <v>0</v>
      </c>
      <c r="X64" s="820">
        <f>SUMIF(MAP!$E:$E,$D64,MAP!AF:AF)</f>
        <v>0</v>
      </c>
      <c r="Y64" s="820">
        <f>SUMIF(MAP!$E:$E,$D64,MAP!AG:AG)</f>
        <v>0</v>
      </c>
      <c r="Z64" s="820">
        <f>SUMIF(MAP!$E:$E,$D64,MAP!AH:AH)</f>
        <v>0</v>
      </c>
      <c r="AA64" s="820">
        <f>SUMIF(MAP!$E:$E,$D64,MAP!AI:AI)</f>
        <v>0</v>
      </c>
      <c r="AB64" s="820">
        <f>SUMIF(MAP!$E:$E,$D64,MAP!AJ:AJ)</f>
        <v>0</v>
      </c>
      <c r="AC64" s="820">
        <f>SUMIF(MAP!$E:$E,$D64,MAP!AK:AK)</f>
        <v>0</v>
      </c>
      <c r="AD64" s="820">
        <f>SUMIF(MAP!$E:$E,$D64,MAP!AL:AL)</f>
        <v>0</v>
      </c>
      <c r="AE64" s="820">
        <f>SUMIF(MAP!$E:$E,$D64,MAP!AM:AM)</f>
        <v>0</v>
      </c>
      <c r="AF64" s="820">
        <f>SUMIF(MAP!$E:$E,$D64,MAP!AN:AN)</f>
        <v>0</v>
      </c>
      <c r="AG64" s="820">
        <f>SUMIF(MAP!$E:$E,$D64,MAP!AO:AO)</f>
        <v>0</v>
      </c>
      <c r="AH64" s="820">
        <f>SUMIF(MAP!$E:$E,$D64,MAP!AP:AP)</f>
        <v>0</v>
      </c>
      <c r="AI64" s="820">
        <f>SUMIF(MAP!$E:$E,$D64,MAP!AQ:AQ)</f>
        <v>0</v>
      </c>
      <c r="AJ64" s="820">
        <f>SUMIF(MAP!$E:$E,$D64,MAP!AR:AR)</f>
        <v>0</v>
      </c>
      <c r="AK64" s="820">
        <f>SUMIF(MAP!$E:$E,$D64,MAP!AS:AS)</f>
        <v>0</v>
      </c>
      <c r="AL64" s="820">
        <f>SUMIF(MAP!$E:$E,$D64,MAP!AT:AT)</f>
        <v>0</v>
      </c>
      <c r="AM64" s="820">
        <f>SUMIF(MAP!$E:$E,$D64,MAP!AU:AU)</f>
        <v>0</v>
      </c>
    </row>
    <row r="65" spans="1:84" hidden="1" outlineLevel="1" x14ac:dyDescent="0.25">
      <c r="A65" s="2"/>
      <c r="B65" s="3">
        <f>MAX($B$4:B64)+1</f>
        <v>58</v>
      </c>
      <c r="C65" s="3"/>
      <c r="D65" s="1084" t="s">
        <v>1420</v>
      </c>
      <c r="E65" s="905"/>
      <c r="F65" s="831">
        <f>F64-F63</f>
        <v>0</v>
      </c>
      <c r="G65" s="821">
        <f t="shared" ref="G65:AI65" si="4">G64-G63</f>
        <v>0</v>
      </c>
      <c r="H65" s="821">
        <f t="shared" si="4"/>
        <v>0</v>
      </c>
      <c r="I65" s="821">
        <f t="shared" si="4"/>
        <v>0</v>
      </c>
      <c r="J65" s="821">
        <f t="shared" si="4"/>
        <v>0</v>
      </c>
      <c r="K65" s="821">
        <f t="shared" si="4"/>
        <v>0</v>
      </c>
      <c r="L65" s="821">
        <f t="shared" si="4"/>
        <v>0</v>
      </c>
      <c r="M65" s="821">
        <f t="shared" si="4"/>
        <v>0</v>
      </c>
      <c r="N65" s="821">
        <f t="shared" si="4"/>
        <v>0</v>
      </c>
      <c r="O65" s="821">
        <f t="shared" si="4"/>
        <v>0</v>
      </c>
      <c r="P65" s="821">
        <f t="shared" si="4"/>
        <v>0</v>
      </c>
      <c r="Q65" s="821">
        <f t="shared" si="4"/>
        <v>0</v>
      </c>
      <c r="R65" s="1067">
        <f t="shared" si="4"/>
        <v>0</v>
      </c>
      <c r="S65" s="821">
        <f t="shared" si="4"/>
        <v>0</v>
      </c>
      <c r="T65" s="821">
        <f t="shared" si="4"/>
        <v>0</v>
      </c>
      <c r="U65" s="821">
        <f t="shared" si="4"/>
        <v>0</v>
      </c>
      <c r="V65" s="821">
        <f t="shared" si="4"/>
        <v>0</v>
      </c>
      <c r="W65" s="821">
        <f t="shared" si="4"/>
        <v>0</v>
      </c>
      <c r="X65" s="821">
        <f t="shared" si="4"/>
        <v>0</v>
      </c>
      <c r="Y65" s="821">
        <f t="shared" si="4"/>
        <v>0</v>
      </c>
      <c r="Z65" s="821">
        <f t="shared" si="4"/>
        <v>0</v>
      </c>
      <c r="AA65" s="821">
        <f t="shared" si="4"/>
        <v>0</v>
      </c>
      <c r="AB65" s="821">
        <f t="shared" si="4"/>
        <v>0</v>
      </c>
      <c r="AC65" s="821">
        <f t="shared" si="4"/>
        <v>0</v>
      </c>
      <c r="AD65" s="821">
        <f t="shared" si="4"/>
        <v>0</v>
      </c>
      <c r="AE65" s="821">
        <f t="shared" si="4"/>
        <v>0</v>
      </c>
      <c r="AF65" s="821">
        <f t="shared" si="4"/>
        <v>0</v>
      </c>
      <c r="AG65" s="821">
        <f t="shared" si="4"/>
        <v>0</v>
      </c>
      <c r="AH65" s="821">
        <f t="shared" si="4"/>
        <v>0</v>
      </c>
      <c r="AI65" s="821">
        <f t="shared" si="4"/>
        <v>0</v>
      </c>
      <c r="AJ65" s="821">
        <f>AJ64-AJ63</f>
        <v>0</v>
      </c>
      <c r="AK65" s="821">
        <f>AK64-AK63</f>
        <v>0</v>
      </c>
      <c r="AL65" s="821">
        <f>AL64-AL63</f>
        <v>0</v>
      </c>
      <c r="AM65" s="821">
        <f>AM64-AM63</f>
        <v>0</v>
      </c>
    </row>
    <row r="66" spans="1:84" collapsed="1" x14ac:dyDescent="0.25">
      <c r="A66" s="2"/>
      <c r="B66" s="3">
        <f>MAX($B$4:B65)+1</f>
        <v>59</v>
      </c>
      <c r="C66" s="3"/>
      <c r="D66" s="7"/>
      <c r="E66" s="90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row>
    <row r="67" spans="1:84" x14ac:dyDescent="0.25">
      <c r="A67" s="2"/>
      <c r="B67" s="3">
        <f>MAX($B$4:B66)+1</f>
        <v>60</v>
      </c>
      <c r="C67" s="830" t="s">
        <v>1658</v>
      </c>
      <c r="D67" s="7"/>
      <c r="E67" s="902"/>
      <c r="F67" s="822"/>
      <c r="G67" s="822"/>
      <c r="H67" s="822"/>
      <c r="I67" s="822"/>
      <c r="J67" s="822"/>
      <c r="K67" s="822"/>
      <c r="L67" s="822"/>
      <c r="M67" s="822"/>
      <c r="N67" s="822"/>
      <c r="O67" s="822"/>
      <c r="P67" s="822"/>
      <c r="Q67" s="822"/>
      <c r="R67" s="822"/>
      <c r="S67" s="822"/>
      <c r="T67" s="822"/>
      <c r="U67" s="822"/>
      <c r="V67" s="822"/>
      <c r="W67" s="822"/>
      <c r="X67" s="822"/>
      <c r="Y67" s="822"/>
      <c r="Z67" s="822"/>
      <c r="AA67" s="822"/>
      <c r="AB67" s="822"/>
      <c r="AC67" s="822"/>
      <c r="AD67" s="822"/>
      <c r="AE67" s="822"/>
      <c r="AF67" s="822"/>
      <c r="AG67" s="822"/>
      <c r="AH67" s="822"/>
      <c r="AI67" s="822"/>
      <c r="AJ67" s="822"/>
      <c r="AK67" s="822"/>
      <c r="AL67" s="822"/>
      <c r="AM67" s="822"/>
    </row>
    <row r="68" spans="1:84" x14ac:dyDescent="0.25">
      <c r="A68" s="2"/>
      <c r="B68" s="3">
        <f>MAX($B$4:B67)+1</f>
        <v>61</v>
      </c>
      <c r="C68" t="s">
        <v>1439</v>
      </c>
      <c r="D68" t="s">
        <v>810</v>
      </c>
      <c r="F68" s="922">
        <f>-MAP!N783+MAP!N769-MAP!N745+MAP!N731-MAP!N707+MAP!N693-MAP!N669+MAP!N655-MAP!N631+MAP!N617-MAP!N593+MAP!N579-MAP!N555+MAP!N541-MAP!N518+MAP!N504</f>
        <v>0</v>
      </c>
      <c r="G68" s="922">
        <f>-MAP!O783+MAP!O769-MAP!O745+MAP!O731-MAP!O707+MAP!O693-MAP!O669+MAP!O655-MAP!O631+MAP!O617-MAP!O593+MAP!O579-MAP!O555+MAP!O541-MAP!O518+MAP!O504</f>
        <v>0</v>
      </c>
      <c r="L68" s="922">
        <f>-MAP!T783+MAP!T769-MAP!T745+MAP!T731-MAP!T707+MAP!T693-MAP!T669+MAP!T655-MAP!T631+MAP!T617-MAP!T593+MAP!T579-MAP!T555+MAP!T541-MAP!T518+MAP!T504</f>
        <v>0</v>
      </c>
      <c r="N68" s="922">
        <f>-MAP!V783+MAP!V769-MAP!V745+MAP!V731-MAP!V707+MAP!V693-MAP!V669+MAP!V655-MAP!V631+MAP!V617-MAP!V593+MAP!V579-MAP!V555+MAP!V541-MAP!V518+MAP!V504</f>
        <v>0</v>
      </c>
      <c r="O68" s="922">
        <f>-MAP!W783+MAP!W769-MAP!W745+MAP!W731-MAP!W707+MAP!W693-MAP!W669+MAP!W655-MAP!W631+MAP!W617-MAP!W593+MAP!W579-MAP!W555+MAP!W541-MAP!W518+MAP!W504</f>
        <v>0</v>
      </c>
      <c r="R68" s="922">
        <f>-MAP!Z783+MAP!Z769-MAP!Z745+MAP!Z731-MAP!Z707+MAP!Z693-MAP!Z669+MAP!Z655-MAP!Z631+MAP!Z617-MAP!Z593+MAP!Z579-MAP!Z555+MAP!Z541-MAP!Z518+MAP!Z504</f>
        <v>0</v>
      </c>
      <c r="S68" s="922">
        <f>-MAP!AA783+MAP!AA769-MAP!AA745+MAP!AA731-MAP!AA707+MAP!AA693-MAP!AA669+MAP!AA655-MAP!AA631+MAP!AA617-MAP!AA593+MAP!AA579-MAP!AA555+MAP!AA541-MAP!AA518+MAP!AA504</f>
        <v>0</v>
      </c>
      <c r="T68" s="922">
        <f>-MAP!AB783+MAP!AB769-MAP!AB745+MAP!AB731-MAP!AB707+MAP!AB693-MAP!AB669+MAP!AB655-MAP!AB631+MAP!AB617-MAP!AB593+MAP!AB579-MAP!AB555+MAP!AB541-MAP!AB518+MAP!AB504</f>
        <v>0</v>
      </c>
      <c r="U68" s="922">
        <f>-MAP!AC783+MAP!AC769-MAP!AC745+MAP!AC731-MAP!AC707+MAP!AC693-MAP!AC669+MAP!AC655-MAP!AC631+MAP!AC617-MAP!AC593+MAP!AC579-MAP!AC555+MAP!AC541-MAP!AC518+MAP!AC504</f>
        <v>0</v>
      </c>
      <c r="V68" s="922">
        <f>-MAP!AD783+MAP!AD769-MAP!AD745+MAP!AD731-MAP!AD707+MAP!AD693-MAP!AD669+MAP!AD655-MAP!AD631+MAP!AD617-MAP!AD593+MAP!AD579-MAP!AD555+MAP!AD541-MAP!AD518+MAP!AD504</f>
        <v>0</v>
      </c>
      <c r="W68" s="922">
        <f>-MAP!AE783+MAP!AE769-MAP!AE745+MAP!AE731-MAP!AE707+MAP!AE693-MAP!AE669+MAP!AE655-MAP!AE631+MAP!AE617-MAP!AE593+MAP!AE579-MAP!AE555+MAP!AE541-MAP!AE518+MAP!AE504</f>
        <v>0</v>
      </c>
      <c r="X68" s="922">
        <f>-MAP!AF783+MAP!AF769-MAP!AF745+MAP!AF731-MAP!AF707+MAP!AF693-MAP!AF669+MAP!AF655-MAP!AF631+MAP!AF617-MAP!AF593+MAP!AF579-MAP!AF555+MAP!AF541-MAP!AF518+MAP!AF504</f>
        <v>0</v>
      </c>
      <c r="Y68" s="922">
        <f>-MAP!AG783+MAP!AG769-MAP!AG745+MAP!AG731-MAP!AG707+MAP!AG693-MAP!AG669+MAP!AG655-MAP!AG631+MAP!AG617-MAP!AG593+MAP!AG579-MAP!AG555+MAP!AG541-MAP!AG518+MAP!AG504</f>
        <v>0</v>
      </c>
      <c r="Z68" s="922">
        <f>-MAP!AH783+MAP!AH769-MAP!AH745+MAP!AH731-MAP!AH707+MAP!AH693-MAP!AH669+MAP!AH655-MAP!AH631+MAP!AH617-MAP!AH593+MAP!AH579-MAP!AH555+MAP!AH541-MAP!AH518+MAP!AH504</f>
        <v>0</v>
      </c>
      <c r="AA68" s="922">
        <f>-MAP!AI783+MAP!AI769-MAP!AI745+MAP!AI731-MAP!AI707+MAP!AI693-MAP!AI669+MAP!AI655-MAP!AI631+MAP!AI617-MAP!AI593+MAP!AI579-MAP!AI555+MAP!AI541-MAP!AI518+MAP!AI504</f>
        <v>0</v>
      </c>
      <c r="AB68" s="922">
        <f>-MAP!AJ783+MAP!AJ769-MAP!AJ745+MAP!AJ731-MAP!AJ707+MAP!AJ693-MAP!AJ669+MAP!AJ655-MAP!AJ631+MAP!AJ617-MAP!AJ593+MAP!AJ579-MAP!AJ555+MAP!AJ541-MAP!AJ518+MAP!AJ504</f>
        <v>0</v>
      </c>
      <c r="AC68" s="922">
        <f>-MAP!AK783+MAP!AK769-MAP!AK745+MAP!AK731-MAP!AK707+MAP!AK693-MAP!AK669+MAP!AK655-MAP!AK631+MAP!AK617-MAP!AK593+MAP!AK579-MAP!AK555+MAP!AK541-MAP!AK518+MAP!AK504</f>
        <v>0</v>
      </c>
      <c r="AD68" s="922">
        <f>-MAP!AL783+MAP!AL769-MAP!AL745+MAP!AL731-MAP!AL707+MAP!AL693-MAP!AL669+MAP!AL655-MAP!AL631+MAP!AL617-MAP!AL593+MAP!AL579-MAP!AL555+MAP!AL541-MAP!AL518+MAP!AL504</f>
        <v>0</v>
      </c>
      <c r="AE68" s="922">
        <f>-MAP!AM783+MAP!AM769-MAP!AM745+MAP!AM731-MAP!AM707+MAP!AM693-MAP!AM669+MAP!AM655-MAP!AM631+MAP!AM617-MAP!AM593+MAP!AM579-MAP!AM555+MAP!AM541-MAP!AM518+MAP!AM504</f>
        <v>0</v>
      </c>
      <c r="AF68" s="922">
        <f>-MAP!AN783+MAP!AN769-MAP!AN745+MAP!AN731-MAP!AN707+MAP!AN693-MAP!AN669+MAP!AN655-MAP!AN631+MAP!AN617-MAP!AN593+MAP!AN579-MAP!AN555+MAP!AN541-MAP!AN518+MAP!AN504</f>
        <v>0</v>
      </c>
      <c r="AG68" s="922">
        <f>-MAP!AO783+MAP!AO769-MAP!AO745+MAP!AO731-MAP!AO707+MAP!AO693-MAP!AO669+MAP!AO655-MAP!AO631+MAP!AO617-MAP!AO593+MAP!AO579-MAP!AO555+MAP!AO541-MAP!AO518+MAP!AO504</f>
        <v>0</v>
      </c>
      <c r="AH68" s="922">
        <f>-MAP!AP783+MAP!AP769-MAP!AP745+MAP!AP731-MAP!AP707+MAP!AP693-MAP!AP669+MAP!AP655-MAP!AP631+MAP!AP617-MAP!AP593+MAP!AP579-MAP!AP555+MAP!AP541-MAP!AP518+MAP!AP504</f>
        <v>0</v>
      </c>
      <c r="AI68" s="922">
        <f>-MAP!AQ783+MAP!AQ769-MAP!AQ745+MAP!AQ731-MAP!AQ707+MAP!AQ693-MAP!AQ669+MAP!AQ655-MAP!AQ631+MAP!AQ617-MAP!AQ593+MAP!AQ579-MAP!AQ555+MAP!AQ541-MAP!AQ518+MAP!AQ504</f>
        <v>0</v>
      </c>
      <c r="AJ68" s="922">
        <f>-MAP!AR783+MAP!AR769-MAP!AR745+MAP!AR731-MAP!AR707+MAP!AR693-MAP!AR669+MAP!AR655-MAP!AR631+MAP!AR617-MAP!AR593+MAP!AR579-MAP!AR555+MAP!AR541-MAP!AR518+MAP!AR504</f>
        <v>0</v>
      </c>
      <c r="AK68" s="922">
        <f>-MAP!AS783+MAP!AS769-MAP!AS745+MAP!AS731-MAP!AS707+MAP!AS693-MAP!AS669+MAP!AS655-MAP!AS631+MAP!AS617-MAP!AS593+MAP!AS579-MAP!AS555+MAP!AS541-MAP!AS518+MAP!AS504</f>
        <v>0</v>
      </c>
      <c r="AL68" s="922">
        <f>-MAP!AT783+MAP!AT769-MAP!AT745+MAP!AT731-MAP!AT707+MAP!AT693-MAP!AT669+MAP!AT655-MAP!AT631+MAP!AT617-MAP!AT593+MAP!AT579-MAP!AT555+MAP!AT541-MAP!AT518+MAP!AT504</f>
        <v>0</v>
      </c>
      <c r="AM68" s="922">
        <f>-MAP!AU783+MAP!AU769-MAP!AU745+MAP!AU731-MAP!AU707+MAP!AU693-MAP!AU669+MAP!AU655-MAP!AU631+MAP!AU617-MAP!AU593+MAP!AU579-MAP!AU555+MAP!AU541-MAP!AU518+MAP!AU504</f>
        <v>0</v>
      </c>
      <c r="AN68" s="922"/>
      <c r="AO68" s="922"/>
      <c r="AP68" s="922"/>
      <c r="AQ68" s="922"/>
      <c r="AR68" s="922"/>
      <c r="AS68" s="922"/>
      <c r="AT68" s="922"/>
      <c r="AU68" s="922"/>
      <c r="AV68" s="922"/>
      <c r="AW68" s="922"/>
      <c r="AX68" s="922"/>
      <c r="AY68" s="922"/>
      <c r="AZ68" s="922"/>
      <c r="BA68" s="922"/>
      <c r="BB68" s="922"/>
      <c r="BC68" s="922"/>
      <c r="BD68" s="922"/>
      <c r="BE68" s="922"/>
      <c r="BF68" s="922"/>
      <c r="BG68" s="922"/>
      <c r="BH68" s="922"/>
      <c r="BI68" s="922"/>
      <c r="BJ68" s="922"/>
      <c r="BK68" s="922"/>
      <c r="BL68" s="922"/>
      <c r="BM68" s="922"/>
      <c r="BN68" s="922"/>
      <c r="BO68" s="922"/>
      <c r="BP68" s="922"/>
      <c r="BQ68" s="922"/>
      <c r="BR68" s="922"/>
      <c r="BS68" s="922"/>
      <c r="BT68" s="922"/>
      <c r="BU68" s="922"/>
      <c r="BV68" s="922"/>
      <c r="BW68" s="922"/>
      <c r="BX68" s="922"/>
      <c r="BY68" s="922"/>
      <c r="BZ68" s="922"/>
      <c r="CA68" s="922"/>
      <c r="CB68" s="922"/>
      <c r="CC68" s="922"/>
      <c r="CD68" s="922"/>
      <c r="CE68" s="922"/>
      <c r="CF68" s="922"/>
    </row>
    <row r="69" spans="1:84" x14ac:dyDescent="0.25">
      <c r="A69" s="2"/>
      <c r="B69" s="3">
        <f>MAX($B$4:B68)+1</f>
        <v>62</v>
      </c>
      <c r="C69" t="s">
        <v>1439</v>
      </c>
      <c r="D69" t="s">
        <v>1657</v>
      </c>
      <c r="F69" s="923">
        <f>-MAP!N1124+MAP!N1111-MAP!N1088+MAP!N1075-MAP!N1052+MAP!N1039-MAP!N1016+MAP!N1003-MAP!N980+MAP!N967-MAP!N944+MAP!N931-MAP!N908+MAP!N895-MAP!N872+MAP!N859-MAP!N782+MAP!N768-MAP!N744+MAP!N730-MAP!N706+MAP!N692-MAP!N668+MAP!N654-MAP!N630+MAP!N616-MAP!N592+MAP!N578-MAP!N554+MAP!N540-MAP!N517+MAP!N503</f>
        <v>0</v>
      </c>
      <c r="G69" s="923">
        <f>-MAP!O1124+MAP!O1111-MAP!O1088+MAP!O1075-MAP!O1052+MAP!O1039-MAP!O1016+MAP!O1003-MAP!O980+MAP!O967-MAP!O944+MAP!O931-MAP!O908+MAP!O895-MAP!O872+MAP!O859-MAP!O782+MAP!O768-MAP!O744+MAP!O730-MAP!O706+MAP!O692-MAP!O668+MAP!O654-MAP!O630+MAP!O616-MAP!O592+MAP!O578-MAP!O554+MAP!O540-MAP!O517+MAP!O503</f>
        <v>0</v>
      </c>
      <c r="H69" s="923">
        <f>-MAP!P1124+MAP!P1111-MAP!P1088+MAP!P1075-MAP!P1052+MAP!P1039-MAP!P1016+MAP!P1003-MAP!P980+MAP!P967-MAP!P944+MAP!P931-MAP!P908+MAP!P895-MAP!P872+MAP!P859-MAP!P782+MAP!P768-MAP!P744+MAP!P730-MAP!P706+MAP!P692-MAP!P668+MAP!P654-MAP!P630+MAP!P616-MAP!P592+MAP!P578-MAP!P554+MAP!P540-MAP!P517+MAP!P503</f>
        <v>0</v>
      </c>
      <c r="I69" s="923">
        <f>-MAP!Q1124+MAP!Q1111-MAP!Q1088+MAP!Q1075-MAP!Q1052+MAP!Q1039-MAP!Q1016+MAP!Q1003-MAP!Q980+MAP!Q967-MAP!Q944+MAP!Q931-MAP!Q908+MAP!Q895-MAP!Q872+MAP!Q859-MAP!Q782+MAP!Q768-MAP!Q744+MAP!Q730-MAP!Q706+MAP!Q692-MAP!Q668+MAP!Q654-MAP!Q630+MAP!Q616-MAP!Q592+MAP!Q578-MAP!Q554+MAP!Q540-MAP!Q517+MAP!Q503</f>
        <v>0</v>
      </c>
      <c r="J69" s="923">
        <f>-MAP!R1124+MAP!R1111-MAP!R1088+MAP!R1075-MAP!R1052+MAP!R1039-MAP!R1016+MAP!R1003-MAP!R980+MAP!R967-MAP!R944+MAP!R931-MAP!R908+MAP!R895-MAP!R872+MAP!R859-MAP!R782+MAP!R768-MAP!R744+MAP!R730-MAP!R706+MAP!R692-MAP!R668+MAP!R654-MAP!R630+MAP!R616-MAP!R592+MAP!R578-MAP!R554+MAP!R540-MAP!R517+MAP!R503</f>
        <v>0</v>
      </c>
      <c r="K69" s="923">
        <f>-MAP!S1124+MAP!S1111-MAP!S1088+MAP!S1075-MAP!S1052+MAP!S1039-MAP!S1016+MAP!S1003-MAP!S980+MAP!S967-MAP!S944+MAP!S931-MAP!S908+MAP!S895-MAP!S872+MAP!S859-MAP!S782+MAP!S768-MAP!S744+MAP!S730-MAP!S706+MAP!S692-MAP!S668+MAP!S654-MAP!S630+MAP!S616-MAP!S592+MAP!S578-MAP!S554+MAP!S540-MAP!S517+MAP!S503</f>
        <v>0</v>
      </c>
      <c r="L69" s="923">
        <f>-MAP!T1124+MAP!T1111-MAP!T1088+MAP!T1075-MAP!T1052+MAP!T1039-MAP!T1016+MAP!T1003-MAP!T980+MAP!T967-MAP!T944+MAP!T931-MAP!T908+MAP!T895-MAP!T872+MAP!T859-MAP!T782+MAP!T768-MAP!T744+MAP!T730-MAP!T706+MAP!T692-MAP!T668+MAP!T654-MAP!T630+MAP!T616-MAP!T592+MAP!T578-MAP!T554+MAP!T540-MAP!T517+MAP!T503</f>
        <v>0</v>
      </c>
      <c r="M69" s="923">
        <f>-MAP!U1124+MAP!U1111-MAP!U1088+MAP!U1075-MAP!U1052+MAP!U1039-MAP!U1016+MAP!U1003-MAP!U980+MAP!U967-MAP!U944+MAP!U931-MAP!U908+MAP!U895-MAP!U872+MAP!U859-MAP!U782+MAP!U768-MAP!U744+MAP!U730-MAP!U706+MAP!U692-MAP!U668+MAP!U654-MAP!U630+MAP!U616-MAP!U592+MAP!U578-MAP!U554+MAP!U540-MAP!U517+MAP!U503</f>
        <v>0</v>
      </c>
      <c r="N69" s="923">
        <f>-MAP!V1124+MAP!V1111-MAP!V1088+MAP!V1075-MAP!V1052+MAP!V1039-MAP!V1016+MAP!V1003-MAP!V980+MAP!V967-MAP!V944+MAP!V931-MAP!V908+MAP!V895-MAP!V872+MAP!V859-MAP!V782+MAP!V768-MAP!V744+MAP!V730-MAP!V706+MAP!V692-MAP!V668+MAP!V654-MAP!V630+MAP!V616-MAP!V592+MAP!V578-MAP!V554+MAP!V540-MAP!V517+MAP!V503</f>
        <v>0</v>
      </c>
      <c r="O69" s="923">
        <f>-MAP!W1124+MAP!W1111-MAP!W1088+MAP!W1075-MAP!W1052+MAP!W1039-MAP!W1016+MAP!W1003-MAP!W980+MAP!W967-MAP!W944+MAP!W931-MAP!W908+MAP!W895-MAP!W872+MAP!W859-MAP!W782+MAP!W768-MAP!W744+MAP!W730-MAP!W706+MAP!W692-MAP!W668+MAP!W654-MAP!W630+MAP!W616-MAP!W592+MAP!W578-MAP!W554+MAP!W540-MAP!W517+MAP!W503</f>
        <v>0</v>
      </c>
      <c r="P69" s="923">
        <f>-MAP!X1124+MAP!X1111-MAP!X1088+MAP!X1075-MAP!X1052+MAP!X1039-MAP!X1016+MAP!X1003-MAP!X980+MAP!X967-MAP!X944+MAP!X931-MAP!X908+MAP!X895-MAP!X872+MAP!X859-MAP!X782+MAP!X768-MAP!X744+MAP!X730-MAP!X706+MAP!X692-MAP!X668+MAP!X654-MAP!X630+MAP!X616-MAP!X592+MAP!X578-MAP!X554+MAP!X540-MAP!X517+MAP!X503</f>
        <v>0</v>
      </c>
      <c r="Q69" s="923">
        <f>-MAP!Y1124+MAP!Y1111-MAP!Y1088+MAP!Y1075-MAP!Y1052+MAP!Y1039-MAP!Y1016+MAP!Y1003-MAP!Y980+MAP!Y967-MAP!Y944+MAP!Y931-MAP!Y908+MAP!Y895-MAP!Y872+MAP!Y859-MAP!Y782+MAP!Y768-MAP!Y744+MAP!Y730-MAP!Y706+MAP!Y692-MAP!Y668+MAP!Y654-MAP!Y630+MAP!Y616-MAP!Y592+MAP!Y578-MAP!Y554+MAP!Y540-MAP!Y517+MAP!Y503</f>
        <v>0</v>
      </c>
      <c r="R69" s="923">
        <f>-MAP!Z1124+MAP!Z1111-MAP!Z1088+MAP!Z1075-MAP!Z1052+MAP!Z1039-MAP!Z1016+MAP!Z1003-MAP!Z980+MAP!Z967-MAP!Z944+MAP!Z931-MAP!Z908+MAP!Z895-MAP!Z872+MAP!Z859-MAP!Z782+MAP!Z768-MAP!Z744+MAP!Z730-MAP!Z706+MAP!Z692-MAP!Z668+MAP!Z654-MAP!Z630+MAP!Z616-MAP!Z592+MAP!Z578-MAP!Z554+MAP!Z540-MAP!Z517+MAP!Z503</f>
        <v>0</v>
      </c>
      <c r="S69" s="923">
        <f>-MAP!AA1124+MAP!AA1111-MAP!AA1088+MAP!AA1075-MAP!AA1052+MAP!AA1039-MAP!AA1016+MAP!AA1003-MAP!AA980+MAP!AA967-MAP!AA944+MAP!AA931-MAP!AA908+MAP!AA895-MAP!AA872+MAP!AA859-MAP!AA782+MAP!AA768-MAP!AA744+MAP!AA730-MAP!AA706+MAP!AA692-MAP!AA668+MAP!AA654-MAP!AA630+MAP!AA616-MAP!AA592+MAP!AA578-MAP!AA554+MAP!AA540-MAP!AA517+MAP!AA503</f>
        <v>0</v>
      </c>
      <c r="T69" s="923">
        <f>-MAP!AB1124+MAP!AB1111-MAP!AB1088+MAP!AB1075-MAP!AB1052+MAP!AB1039-MAP!AB1016+MAP!AB1003-MAP!AB980+MAP!AB967-MAP!AB944+MAP!AB931-MAP!AB908+MAP!AB895-MAP!AB872+MAP!AB859-MAP!AB782+MAP!AB768-MAP!AB744+MAP!AB730-MAP!AB706+MAP!AB692-MAP!AB668+MAP!AB654-MAP!AB630+MAP!AB616-MAP!AB592+MAP!AB578-MAP!AB554+MAP!AB540-MAP!AB517+MAP!AB503</f>
        <v>0</v>
      </c>
      <c r="U69" s="923">
        <f>-MAP!AC1124+MAP!AC1111-MAP!AC1088+MAP!AC1075-MAP!AC1052+MAP!AC1039-MAP!AC1016+MAP!AC1003-MAP!AC980+MAP!AC967-MAP!AC944+MAP!AC931-MAP!AC908+MAP!AC895-MAP!AC872+MAP!AC859-MAP!AC782+MAP!AC768-MAP!AC744+MAP!AC730-MAP!AC706+MAP!AC692-MAP!AC668+MAP!AC654-MAP!AC630+MAP!AC616-MAP!AC592+MAP!AC578-MAP!AC554+MAP!AC540-MAP!AC517+MAP!AC503</f>
        <v>0</v>
      </c>
      <c r="V69" s="923">
        <f>-MAP!AD1124+MAP!AD1111-MAP!AD1088+MAP!AD1075-MAP!AD1052+MAP!AD1039-MAP!AD1016+MAP!AD1003-MAP!AD980+MAP!AD967-MAP!AD944+MAP!AD931-MAP!AD908+MAP!AD895-MAP!AD872+MAP!AD859-MAP!AD782+MAP!AD768-MAP!AD744+MAP!AD730-MAP!AD706+MAP!AD692-MAP!AD668+MAP!AD654-MAP!AD630+MAP!AD616-MAP!AD592+MAP!AD578-MAP!AD554+MAP!AD540-MAP!AD517+MAP!AD503</f>
        <v>0</v>
      </c>
      <c r="W69" s="923">
        <f>-MAP!AE1124+MAP!AE1111-MAP!AE1088+MAP!AE1075-MAP!AE1052+MAP!AE1039-MAP!AE1016+MAP!AE1003-MAP!AE980+MAP!AE967-MAP!AE944+MAP!AE931-MAP!AE908+MAP!AE895-MAP!AE872+MAP!AE859-MAP!AE782+MAP!AE768-MAP!AE744+MAP!AE730-MAP!AE706+MAP!AE692-MAP!AE668+MAP!AE654-MAP!AE630+MAP!AE616-MAP!AE592+MAP!AE578-MAP!AE554+MAP!AE540-MAP!AE517+MAP!AE503</f>
        <v>0</v>
      </c>
      <c r="X69" s="923">
        <f>-MAP!AF1124+MAP!AF1111-MAP!AF1088+MAP!AF1075-MAP!AF1052+MAP!AF1039-MAP!AF1016+MAP!AF1003-MAP!AF980+MAP!AF967-MAP!AF944+MAP!AF931-MAP!AF908+MAP!AF895-MAP!AF872+MAP!AF859-MAP!AF782+MAP!AF768-MAP!AF744+MAP!AF730-MAP!AF706+MAP!AF692-MAP!AF668+MAP!AF654-MAP!AF630+MAP!AF616-MAP!AF592+MAP!AF578-MAP!AF554+MAP!AF540-MAP!AF517+MAP!AF503</f>
        <v>0</v>
      </c>
      <c r="Y69" s="923">
        <f>-MAP!AG1124+MAP!AG1111-MAP!AG1088+MAP!AG1075-MAP!AG1052+MAP!AG1039-MAP!AG1016+MAP!AG1003-MAP!AG980+MAP!AG967-MAP!AG944+MAP!AG931-MAP!AG908+MAP!AG895-MAP!AG872+MAP!AG859-MAP!AG782+MAP!AG768-MAP!AG744+MAP!AG730-MAP!AG706+MAP!AG692-MAP!AG668+MAP!AG654-MAP!AG630+MAP!AG616-MAP!AG592+MAP!AG578-MAP!AG554+MAP!AG540-MAP!AG517+MAP!AG503</f>
        <v>0</v>
      </c>
      <c r="Z69" s="923">
        <f>-MAP!AH1124+MAP!AH1111-MAP!AH1088+MAP!AH1075-MAP!AH1052+MAP!AH1039-MAP!AH1016+MAP!AH1003-MAP!AH980+MAP!AH967-MAP!AH944+MAP!AH931-MAP!AH908+MAP!AH895-MAP!AH872+MAP!AH859-MAP!AH782+MAP!AH768-MAP!AH744+MAP!AH730-MAP!AH706+MAP!AH692-MAP!AH668+MAP!AH654-MAP!AH630+MAP!AH616-MAP!AH592+MAP!AH578-MAP!AH554+MAP!AH540-MAP!AH517+MAP!AH503</f>
        <v>0</v>
      </c>
      <c r="AA69" s="923">
        <f>-MAP!AI1124+MAP!AI1111-MAP!AI1088+MAP!AI1075-MAP!AI1052+MAP!AI1039-MAP!AI1016+MAP!AI1003-MAP!AI980+MAP!AI967-MAP!AI944+MAP!AI931-MAP!AI908+MAP!AI895-MAP!AI872+MAP!AI859-MAP!AI782+MAP!AI768-MAP!AI744+MAP!AI730-MAP!AI706+MAP!AI692-MAP!AI668+MAP!AI654-MAP!AI630+MAP!AI616-MAP!AI592+MAP!AI578-MAP!AI554+MAP!AI540-MAP!AI517+MAP!AI503</f>
        <v>0</v>
      </c>
      <c r="AB69" s="923">
        <f>-MAP!AJ1124+MAP!AJ1111-MAP!AJ1088+MAP!AJ1075-MAP!AJ1052+MAP!AJ1039-MAP!AJ1016+MAP!AJ1003-MAP!AJ980+MAP!AJ967-MAP!AJ944+MAP!AJ931-MAP!AJ908+MAP!AJ895-MAP!AJ872+MAP!AJ859-MAP!AJ782+MAP!AJ768-MAP!AJ744+MAP!AJ730-MAP!AJ706+MAP!AJ692-MAP!AJ668+MAP!AJ654-MAP!AJ630+MAP!AJ616-MAP!AJ592+MAP!AJ578-MAP!AJ554+MAP!AJ540-MAP!AJ517+MAP!AJ503</f>
        <v>0</v>
      </c>
      <c r="AC69" s="923">
        <f>-MAP!AK1124+MAP!AK1111-MAP!AK1088+MAP!AK1075-MAP!AK1052+MAP!AK1039-MAP!AK1016+MAP!AK1003-MAP!AK980+MAP!AK967-MAP!AK944+MAP!AK931-MAP!AK908+MAP!AK895-MAP!AK872+MAP!AK859-MAP!AK782+MAP!AK768-MAP!AK744+MAP!AK730-MAP!AK706+MAP!AK692-MAP!AK668+MAP!AK654-MAP!AK630+MAP!AK616-MAP!AK592+MAP!AK578-MAP!AK554+MAP!AK540-MAP!AK517+MAP!AK503</f>
        <v>0</v>
      </c>
      <c r="AD69" s="923">
        <f>-MAP!AL1124+MAP!AL1111-MAP!AL1088+MAP!AL1075-MAP!AL1052+MAP!AL1039-MAP!AL1016+MAP!AL1003-MAP!AL980+MAP!AL967-MAP!AL944+MAP!AL931-MAP!AL908+MAP!AL895-MAP!AL872+MAP!AL859-MAP!AL782+MAP!AL768-MAP!AL744+MAP!AL730-MAP!AL706+MAP!AL692-MAP!AL668+MAP!AL654-MAP!AL630+MAP!AL616-MAP!AL592+MAP!AL578-MAP!AL554+MAP!AL540-MAP!AL517+MAP!AL503</f>
        <v>0</v>
      </c>
      <c r="AE69" s="923">
        <f>-MAP!AM1124+MAP!AM1111-MAP!AM1088+MAP!AM1075-MAP!AM1052+MAP!AM1039-MAP!AM1016+MAP!AM1003-MAP!AM980+MAP!AM967-MAP!AM944+MAP!AM931-MAP!AM908+MAP!AM895-MAP!AM872+MAP!AM859-MAP!AM782+MAP!AM768-MAP!AM744+MAP!AM730-MAP!AM706+MAP!AM692-MAP!AM668+MAP!AM654-MAP!AM630+MAP!AM616-MAP!AM592+MAP!AM578-MAP!AM554+MAP!AM540-MAP!AM517+MAP!AM503</f>
        <v>0</v>
      </c>
      <c r="AF69" s="923">
        <f>-MAP!AN1124+MAP!AN1111-MAP!AN1088+MAP!AN1075-MAP!AN1052+MAP!AN1039-MAP!AN1016+MAP!AN1003-MAP!AN980+MAP!AN967-MAP!AN944+MAP!AN931-MAP!AN908+MAP!AN895-MAP!AN872+MAP!AN859-MAP!AN782+MAP!AN768-MAP!AN744+MAP!AN730-MAP!AN706+MAP!AN692-MAP!AN668+MAP!AN654-MAP!AN630+MAP!AN616-MAP!AN592+MAP!AN578-MAP!AN554+MAP!AN540-MAP!AN517+MAP!AN503</f>
        <v>0</v>
      </c>
      <c r="AG69" s="923">
        <f>-MAP!AO1124+MAP!AO1111-MAP!AO1088+MAP!AO1075-MAP!AO1052+MAP!AO1039-MAP!AO1016+MAP!AO1003-MAP!AO980+MAP!AO967-MAP!AO944+MAP!AO931-MAP!AO908+MAP!AO895-MAP!AO872+MAP!AO859-MAP!AO782+MAP!AO768-MAP!AO744+MAP!AO730-MAP!AO706+MAP!AO692-MAP!AO668+MAP!AO654-MAP!AO630+MAP!AO616-MAP!AO592+MAP!AO578-MAP!AO554+MAP!AO540-MAP!AO517+MAP!AO503</f>
        <v>0</v>
      </c>
      <c r="AH69" s="923">
        <f>-MAP!AP1124+MAP!AP1111-MAP!AP1088+MAP!AP1075-MAP!AP1052+MAP!AP1039-MAP!AP1016+MAP!AP1003-MAP!AP980+MAP!AP967-MAP!AP944+MAP!AP931-MAP!AP908+MAP!AP895-MAP!AP872+MAP!AP859-MAP!AP782+MAP!AP768-MAP!AP744+MAP!AP730-MAP!AP706+MAP!AP692-MAP!AP668+MAP!AP654-MAP!AP630+MAP!AP616-MAP!AP592+MAP!AP578-MAP!AP554+MAP!AP540-MAP!AP517+MAP!AP503</f>
        <v>0</v>
      </c>
      <c r="AI69" s="923">
        <f>-MAP!AQ1124+MAP!AQ1111-MAP!AQ1088+MAP!AQ1075-MAP!AQ1052+MAP!AQ1039-MAP!AQ1016+MAP!AQ1003-MAP!AQ980+MAP!AQ967-MAP!AQ944+MAP!AQ931-MAP!AQ908+MAP!AQ895-MAP!AQ872+MAP!AQ859-MAP!AQ782+MAP!AQ768-MAP!AQ744+MAP!AQ730-MAP!AQ706+MAP!AQ692-MAP!AQ668+MAP!AQ654-MAP!AQ630+MAP!AQ616-MAP!AQ592+MAP!AQ578-MAP!AQ554+MAP!AQ540-MAP!AQ517+MAP!AQ503</f>
        <v>0</v>
      </c>
      <c r="AJ69" s="923">
        <f>-MAP!AR1124+MAP!AR1111-MAP!AR1088+MAP!AR1075-MAP!AR1052+MAP!AR1039-MAP!AR1016+MAP!AR1003-MAP!AR980+MAP!AR967-MAP!AR944+MAP!AR931-MAP!AR908+MAP!AR895-MAP!AR872+MAP!AR859-MAP!AR782+MAP!AR768-MAP!AR744+MAP!AR730-MAP!AR706+MAP!AR692-MAP!AR668+MAP!AR654-MAP!AR630+MAP!AR616-MAP!AR592+MAP!AR578-MAP!AR554+MAP!AR540-MAP!AR517+MAP!AR503</f>
        <v>0</v>
      </c>
      <c r="AK69" s="923">
        <f>-MAP!AS1124+MAP!AS1111-MAP!AS1088+MAP!AS1075-MAP!AS1052+MAP!AS1039-MAP!AS1016+MAP!AS1003-MAP!AS980+MAP!AS967-MAP!AS944+MAP!AS931-MAP!AS908+MAP!AS895-MAP!AS872+MAP!AS859-MAP!AS782+MAP!AS768-MAP!AS744+MAP!AS730-MAP!AS706+MAP!AS692-MAP!AS668+MAP!AS654-MAP!AS630+MAP!AS616-MAP!AS592+MAP!AS578-MAP!AS554+MAP!AS540-MAP!AS517+MAP!AS503</f>
        <v>0</v>
      </c>
      <c r="AL69" s="923">
        <f>-MAP!AT1124+MAP!AT1111-MAP!AT1088+MAP!AT1075-MAP!AT1052+MAP!AT1039-MAP!AT1016+MAP!AT1003-MAP!AT980+MAP!AT967-MAP!AT944+MAP!AT931-MAP!AT908+MAP!AT895-MAP!AT872+MAP!AT859-MAP!AT782+MAP!AT768-MAP!AT744+MAP!AT730-MAP!AT706+MAP!AT692-MAP!AT668+MAP!AT654-MAP!AT630+MAP!AT616-MAP!AT592+MAP!AT578-MAP!AT554+MAP!AT540-MAP!AT517+MAP!AT503</f>
        <v>0</v>
      </c>
      <c r="AM69" s="923">
        <f>-MAP!AU1124+MAP!AU1111-MAP!AU1088+MAP!AU1075-MAP!AU1052+MAP!AU1039-MAP!AU1016+MAP!AU1003-MAP!AU980+MAP!AU967-MAP!AU944+MAP!AU931-MAP!AU908+MAP!AU895-MAP!AU872+MAP!AU859-MAP!AU782+MAP!AU768-MAP!AU744+MAP!AU730-MAP!AU706+MAP!AU692-MAP!AU668+MAP!AU654-MAP!AU630+MAP!AU616-MAP!AU592+MAP!AU578-MAP!AU554+MAP!AU540-MAP!AU517+MAP!AU503</f>
        <v>0</v>
      </c>
      <c r="AN69" s="923"/>
      <c r="AO69" s="923"/>
      <c r="AP69" s="923"/>
      <c r="AQ69" s="923"/>
      <c r="AR69" s="923"/>
      <c r="AS69" s="923"/>
      <c r="AT69" s="923"/>
      <c r="AU69" s="923"/>
      <c r="AV69" s="923"/>
      <c r="AW69" s="923"/>
      <c r="AX69" s="923"/>
      <c r="AY69" s="923"/>
      <c r="AZ69" s="923"/>
      <c r="BA69" s="923"/>
      <c r="BB69" s="923"/>
      <c r="BC69" s="923"/>
      <c r="BD69" s="923"/>
      <c r="BE69" s="923"/>
      <c r="BF69" s="923"/>
      <c r="BG69" s="923"/>
      <c r="BH69" s="923"/>
      <c r="BI69" s="923"/>
      <c r="BJ69" s="923"/>
      <c r="BK69" s="923"/>
      <c r="BL69" s="923"/>
      <c r="BM69" s="923"/>
      <c r="BN69" s="923"/>
      <c r="BO69" s="923"/>
      <c r="BP69" s="923"/>
      <c r="BQ69" s="923"/>
      <c r="BR69" s="923"/>
      <c r="BS69" s="923"/>
      <c r="BT69" s="923"/>
      <c r="BU69" s="923"/>
      <c r="BV69" s="923"/>
      <c r="BW69" s="923"/>
      <c r="BX69" s="923"/>
      <c r="BY69" s="923"/>
      <c r="BZ69" s="923"/>
      <c r="CA69" s="923"/>
      <c r="CB69" s="923"/>
      <c r="CC69" s="923"/>
      <c r="CD69" s="923"/>
      <c r="CE69" s="923"/>
      <c r="CF69" s="923"/>
    </row>
    <row r="70" spans="1:84" x14ac:dyDescent="0.25">
      <c r="A70" s="2"/>
      <c r="B70" s="3">
        <f>MAX($B$4:B69)+1</f>
        <v>63</v>
      </c>
      <c r="C70" t="s">
        <v>1880</v>
      </c>
      <c r="D70" t="s">
        <v>208</v>
      </c>
      <c r="F70" s="923">
        <f>SUMIF(MAP!$E$807:$E$825,$D70,MAP!N807:N825)</f>
        <v>0</v>
      </c>
      <c r="G70" s="923">
        <f>SUMIF(MAP!$E$807:$E$825,$D70,MAP!O807:O825)</f>
        <v>0</v>
      </c>
      <c r="H70" s="923">
        <f>SUMIF(MAP!$E$807:$E$825,$D70,MAP!P807:P825)</f>
        <v>0</v>
      </c>
      <c r="I70" s="923">
        <f>SUMIF(MAP!$E$807:$E$825,$D70,MAP!Q807:Q825)</f>
        <v>0</v>
      </c>
      <c r="J70" s="923">
        <f>SUMIF(MAP!$E$807:$E$825,$D70,MAP!R807:R825)</f>
        <v>0</v>
      </c>
      <c r="K70" s="923">
        <f>SUMIF(MAP!$E$807:$E$825,$D70,MAP!S807:S825)</f>
        <v>0</v>
      </c>
      <c r="L70" s="923">
        <f>SUMIF(MAP!$E$807:$E$825,$D70,MAP!T807:T825)</f>
        <v>0</v>
      </c>
      <c r="M70" s="923">
        <f>SUMIF(MAP!$E$807:$E$825,$D70,MAP!U807:U825)</f>
        <v>0</v>
      </c>
      <c r="N70" s="923">
        <f>SUMIF(MAP!$E$807:$E$825,$D70,MAP!V807:V825)</f>
        <v>0</v>
      </c>
      <c r="O70" s="923">
        <f>SUMIF(MAP!$E$807:$E$825,$D70,MAP!W807:W825)</f>
        <v>0</v>
      </c>
      <c r="P70" s="923">
        <f>SUMIF(MAP!$E$807:$E$825,$D70,MAP!X807:X825)</f>
        <v>0</v>
      </c>
      <c r="Q70" s="923">
        <f>SUMIF(MAP!$E$807:$E$825,$D70,MAP!Y807:Y825)</f>
        <v>0</v>
      </c>
      <c r="R70" s="923">
        <f>SUMIF(MAP!$E$807:$E$825,$D70,MAP!Z807:Z825)</f>
        <v>0</v>
      </c>
      <c r="S70" s="923">
        <f>SUMIF(MAP!$E$807:$E$825,$D70,MAP!AA807:AA825)</f>
        <v>0</v>
      </c>
      <c r="T70" s="923">
        <f>SUMIF(MAP!$E$807:$E$825,$D70,MAP!AB807:AB825)</f>
        <v>0</v>
      </c>
      <c r="U70" s="923">
        <f>SUMIF(MAP!$E$807:$E$825,$D70,MAP!AC807:AC825)</f>
        <v>0</v>
      </c>
      <c r="V70" s="923">
        <f>SUMIF(MAP!$E$807:$E$825,$D70,MAP!AD807:AD825)</f>
        <v>0</v>
      </c>
      <c r="W70" s="923">
        <f>SUMIF(MAP!$E$807:$E$825,$D70,MAP!AE807:AE825)</f>
        <v>0</v>
      </c>
      <c r="X70" s="923">
        <f>SUMIF(MAP!$E$807:$E$825,$D70,MAP!AF807:AF825)</f>
        <v>0</v>
      </c>
      <c r="Y70" s="923">
        <f>SUMIF(MAP!$E$807:$E$825,$D70,MAP!AG807:AG825)</f>
        <v>0</v>
      </c>
      <c r="Z70" s="923">
        <f>SUMIF(MAP!$E$807:$E$825,$D70,MAP!AH807:AH825)</f>
        <v>0</v>
      </c>
      <c r="AA70" s="923">
        <f>SUMIF(MAP!$E$807:$E$825,$D70,MAP!AI807:AI825)</f>
        <v>0</v>
      </c>
      <c r="AB70" s="923">
        <f>SUMIF(MAP!$E$807:$E$825,$D70,MAP!AJ807:AJ825)</f>
        <v>0</v>
      </c>
      <c r="AC70" s="923">
        <f>SUMIF(MAP!$E$807:$E$825,$D70,MAP!AK807:AK825)</f>
        <v>0</v>
      </c>
      <c r="AD70" s="923">
        <f>SUMIF(MAP!$E$807:$E$825,$D70,MAP!AL807:AL825)</f>
        <v>0</v>
      </c>
      <c r="AE70" s="923">
        <f>SUMIF(MAP!$E$807:$E$825,$D70,MAP!AM807:AM825)</f>
        <v>0</v>
      </c>
      <c r="AF70" s="923">
        <f>SUMIF(MAP!$E$807:$E$825,$D70,MAP!AN807:AN825)</f>
        <v>0</v>
      </c>
      <c r="AG70" s="923">
        <f>SUMIF(MAP!$E$807:$E$825,$D70,MAP!AO807:AO825)</f>
        <v>0</v>
      </c>
      <c r="AH70" s="923">
        <f>SUMIF(MAP!$E$807:$E$825,$D70,MAP!AP807:AP825)</f>
        <v>0</v>
      </c>
      <c r="AI70" s="923">
        <f>SUMIF(MAP!$E$807:$E$825,$D70,MAP!AQ807:AQ825)</f>
        <v>0</v>
      </c>
      <c r="AJ70" s="923">
        <f>SUMIF(MAP!$E$807:$E$825,$D70,MAP!AR807:AR825)</f>
        <v>0</v>
      </c>
      <c r="AK70" s="923">
        <f>SUMIF(MAP!$E$807:$E$825,$D70,MAP!AS807:AS825)</f>
        <v>0</v>
      </c>
      <c r="AL70" s="923">
        <f>SUMIF(MAP!$E$807:$E$825,$D70,MAP!AT807:AT825)</f>
        <v>0</v>
      </c>
      <c r="AM70" s="923">
        <f>SUMIF(MAP!$E$807:$E$825,$D70,MAP!AU807:AU825)</f>
        <v>0</v>
      </c>
      <c r="AN70" s="923"/>
      <c r="AO70" s="923"/>
      <c r="AP70" s="923"/>
      <c r="AQ70" s="923"/>
      <c r="AR70" s="923"/>
      <c r="AS70" s="923"/>
      <c r="AT70" s="923"/>
      <c r="AU70" s="923"/>
      <c r="AV70" s="923"/>
      <c r="AW70" s="923"/>
      <c r="AX70" s="923"/>
      <c r="AY70" s="923"/>
      <c r="AZ70" s="923"/>
      <c r="BA70" s="923"/>
      <c r="BB70" s="923"/>
      <c r="BC70" s="923"/>
      <c r="BD70" s="923"/>
      <c r="BE70" s="923"/>
      <c r="BF70" s="923"/>
      <c r="BG70" s="923"/>
      <c r="BH70" s="923"/>
      <c r="BI70" s="923"/>
      <c r="BJ70" s="923"/>
      <c r="BK70" s="923"/>
      <c r="BL70" s="923"/>
      <c r="BM70" s="923"/>
      <c r="BN70" s="923"/>
      <c r="BO70" s="923"/>
      <c r="BP70" s="923"/>
      <c r="BQ70" s="923"/>
      <c r="BR70" s="923"/>
      <c r="BS70" s="923"/>
      <c r="BT70" s="923"/>
      <c r="BU70" s="923"/>
      <c r="BV70" s="923"/>
      <c r="BW70" s="923"/>
      <c r="BX70" s="923"/>
      <c r="BY70" s="923"/>
      <c r="BZ70" s="923"/>
      <c r="CA70" s="923"/>
      <c r="CB70" s="923"/>
      <c r="CC70" s="923"/>
      <c r="CD70" s="923"/>
      <c r="CE70" s="923"/>
      <c r="CF70" s="923"/>
    </row>
    <row r="71" spans="1:84" x14ac:dyDescent="0.25">
      <c r="A71" s="2"/>
      <c r="B71" s="3">
        <f>MAX($B$4:B70)+1</f>
        <v>64</v>
      </c>
      <c r="C71" t="s">
        <v>1879</v>
      </c>
      <c r="D71" t="s">
        <v>606</v>
      </c>
      <c r="F71" s="923">
        <f>MAP!N1154+MAP!N1151+MAP!N1148</f>
        <v>0</v>
      </c>
      <c r="G71" s="923">
        <f>MAP!O1154+MAP!O1151+MAP!O1148</f>
        <v>0</v>
      </c>
      <c r="H71" s="923">
        <f>MAP!P1154+MAP!P1151+MAP!P1148</f>
        <v>0</v>
      </c>
      <c r="I71" s="923">
        <f>MAP!Q1154+MAP!Q1151+MAP!Q1148</f>
        <v>0</v>
      </c>
      <c r="J71" s="923">
        <f>MAP!R1154+MAP!R1151+MAP!R1148</f>
        <v>0</v>
      </c>
      <c r="K71" s="923">
        <f>MAP!S1154+MAP!S1151+MAP!S1148</f>
        <v>0</v>
      </c>
      <c r="L71" s="923">
        <f>MAP!T1154+MAP!T1151+MAP!T1148</f>
        <v>0</v>
      </c>
      <c r="M71" s="923">
        <f>MAP!U1154+MAP!U1151+MAP!U1148</f>
        <v>0</v>
      </c>
      <c r="N71" s="923">
        <f>MAP!V1154+MAP!V1151+MAP!V1148</f>
        <v>0</v>
      </c>
      <c r="O71" s="923">
        <f>MAP!W1154+MAP!W1151+MAP!W1148</f>
        <v>0</v>
      </c>
      <c r="P71" s="923">
        <f>MAP!X1154+MAP!X1151+MAP!X1148</f>
        <v>0</v>
      </c>
      <c r="Q71" s="923">
        <f>MAP!Y1154+MAP!Y1151+MAP!Y1148</f>
        <v>0</v>
      </c>
      <c r="R71" s="923">
        <f>MAP!Z1154+MAP!Z1151+MAP!Z1148</f>
        <v>0</v>
      </c>
      <c r="S71" s="923">
        <f>MAP!AA1154+MAP!AA1151+MAP!AA1148</f>
        <v>0</v>
      </c>
      <c r="T71" s="923">
        <f>MAP!AB1154+MAP!AB1151+MAP!AB1148</f>
        <v>0</v>
      </c>
      <c r="U71" s="923">
        <f>MAP!AC1154+MAP!AC1151+MAP!AC1148</f>
        <v>0</v>
      </c>
      <c r="V71" s="923">
        <f>MAP!AD1154+MAP!AD1151+MAP!AD1148</f>
        <v>0</v>
      </c>
      <c r="W71" s="923">
        <f>MAP!AE1154+MAP!AE1151+MAP!AE1148</f>
        <v>0</v>
      </c>
      <c r="X71" s="923">
        <f>MAP!AF1154+MAP!AF1151+MAP!AF1148</f>
        <v>0</v>
      </c>
      <c r="Y71" s="923">
        <f>MAP!AG1154+MAP!AG1151+MAP!AG1148</f>
        <v>0</v>
      </c>
      <c r="Z71" s="923">
        <f>MAP!AH1154+MAP!AH1151+MAP!AH1148</f>
        <v>0</v>
      </c>
      <c r="AA71" s="923">
        <f>MAP!AI1154+MAP!AI1151+MAP!AI1148</f>
        <v>0</v>
      </c>
      <c r="AB71" s="923">
        <f>MAP!AJ1154+MAP!AJ1151+MAP!AJ1148</f>
        <v>0</v>
      </c>
      <c r="AC71" s="923">
        <f>MAP!AK1154+MAP!AK1151+MAP!AK1148</f>
        <v>0</v>
      </c>
      <c r="AD71" s="923">
        <f>MAP!AL1154+MAP!AL1151+MAP!AL1148</f>
        <v>0</v>
      </c>
      <c r="AE71" s="923">
        <f>MAP!AM1154+MAP!AM1151+MAP!AM1148</f>
        <v>0</v>
      </c>
      <c r="AF71" s="923">
        <f>MAP!AN1154+MAP!AN1151+MAP!AN1148</f>
        <v>0</v>
      </c>
      <c r="AG71" s="923">
        <f>MAP!AO1154+MAP!AO1151+MAP!AO1148</f>
        <v>0</v>
      </c>
      <c r="AH71" s="923">
        <f>MAP!AP1154+MAP!AP1151+MAP!AP1148</f>
        <v>0</v>
      </c>
      <c r="AI71" s="923">
        <f>MAP!AQ1154+MAP!AQ1151+MAP!AQ1148</f>
        <v>0</v>
      </c>
      <c r="AJ71" s="923">
        <f>MAP!AR1154+MAP!AR1151+MAP!AR1148</f>
        <v>0</v>
      </c>
      <c r="AK71" s="923">
        <f>MAP!AS1154+MAP!AS1151+MAP!AS1148</f>
        <v>0</v>
      </c>
      <c r="AL71" s="923">
        <f>MAP!AT1154+MAP!AT1151+MAP!AT1148</f>
        <v>0</v>
      </c>
      <c r="AM71" s="923">
        <f>MAP!AU1154+MAP!AU1151+MAP!AU1148</f>
        <v>0</v>
      </c>
      <c r="AN71" s="923"/>
      <c r="AO71" s="923"/>
      <c r="AP71" s="923"/>
      <c r="AQ71" s="923"/>
      <c r="AR71" s="923"/>
      <c r="AS71" s="923"/>
      <c r="AT71" s="923"/>
      <c r="AU71" s="923"/>
      <c r="AV71" s="923"/>
      <c r="AW71" s="923"/>
      <c r="AX71" s="923"/>
      <c r="AY71" s="923"/>
      <c r="AZ71" s="923"/>
      <c r="BA71" s="923"/>
      <c r="BB71" s="923"/>
      <c r="BC71" s="923"/>
      <c r="BD71" s="923"/>
      <c r="BE71" s="923"/>
      <c r="BF71" s="923"/>
      <c r="BG71" s="923"/>
      <c r="BH71" s="923"/>
      <c r="BI71" s="923"/>
      <c r="BJ71" s="923"/>
      <c r="BK71" s="923"/>
      <c r="BL71" s="923"/>
      <c r="BM71" s="923"/>
      <c r="BN71" s="923"/>
      <c r="BO71" s="923"/>
      <c r="BP71" s="923"/>
      <c r="BQ71" s="923"/>
      <c r="BR71" s="923"/>
      <c r="BS71" s="923"/>
      <c r="BT71" s="923"/>
      <c r="BU71" s="923"/>
      <c r="BV71" s="923"/>
      <c r="BW71" s="923"/>
      <c r="BX71" s="923"/>
      <c r="BY71" s="923"/>
      <c r="BZ71" s="923"/>
      <c r="CA71" s="923"/>
      <c r="CB71" s="923"/>
      <c r="CC71" s="923"/>
      <c r="CD71" s="923"/>
      <c r="CE71" s="923"/>
      <c r="CF71" s="923"/>
    </row>
    <row r="72" spans="1:84" x14ac:dyDescent="0.25">
      <c r="A72" s="2"/>
      <c r="B72" s="3">
        <f>MAX($B$4:B71)+1</f>
        <v>65</v>
      </c>
      <c r="AN72" s="923"/>
      <c r="AO72" s="923"/>
      <c r="AP72" s="923"/>
      <c r="AQ72" s="923"/>
      <c r="AR72" s="923"/>
      <c r="AS72" s="923"/>
      <c r="AT72" s="923"/>
      <c r="AU72" s="923"/>
      <c r="AV72" s="923"/>
      <c r="AW72" s="923"/>
      <c r="AX72" s="923"/>
      <c r="AY72" s="923"/>
      <c r="AZ72" s="923"/>
      <c r="BA72" s="923"/>
      <c r="BB72" s="923"/>
      <c r="BC72" s="923"/>
      <c r="BD72" s="923"/>
      <c r="BE72" s="923"/>
      <c r="BF72" s="923"/>
      <c r="BG72" s="923"/>
      <c r="BH72" s="923"/>
      <c r="BI72" s="923"/>
      <c r="BJ72" s="923"/>
      <c r="BK72" s="923"/>
      <c r="BL72" s="923"/>
      <c r="BM72" s="923"/>
      <c r="BN72" s="923"/>
      <c r="BO72" s="923"/>
      <c r="BP72" s="923"/>
      <c r="BQ72" s="923"/>
      <c r="BR72" s="923"/>
      <c r="BS72" s="923"/>
      <c r="BT72" s="923"/>
      <c r="BU72" s="923"/>
      <c r="BV72" s="923"/>
      <c r="BW72" s="923"/>
      <c r="BX72" s="923"/>
      <c r="BY72" s="923"/>
      <c r="BZ72" s="923"/>
      <c r="CA72" s="923"/>
      <c r="CB72" s="923"/>
      <c r="CC72" s="923"/>
      <c r="CD72" s="923"/>
      <c r="CE72" s="923"/>
      <c r="CF72" s="923"/>
    </row>
    <row r="73" spans="1:84" x14ac:dyDescent="0.25">
      <c r="A73" s="2"/>
      <c r="B73" s="3">
        <f>MAX($B$4:B72)+1</f>
        <v>66</v>
      </c>
      <c r="C73" s="822"/>
      <c r="E73" s="1836"/>
      <c r="F73" s="821">
        <f t="shared" ref="F73:AM73" si="5">SUM(F68:F71)</f>
        <v>0</v>
      </c>
      <c r="G73" s="821">
        <f t="shared" si="5"/>
        <v>0</v>
      </c>
      <c r="H73" s="821">
        <f t="shared" si="5"/>
        <v>0</v>
      </c>
      <c r="I73" s="821">
        <f t="shared" si="5"/>
        <v>0</v>
      </c>
      <c r="J73" s="821">
        <f t="shared" si="5"/>
        <v>0</v>
      </c>
      <c r="K73" s="821">
        <f t="shared" si="5"/>
        <v>0</v>
      </c>
      <c r="L73" s="821">
        <f t="shared" si="5"/>
        <v>0</v>
      </c>
      <c r="M73" s="821">
        <f t="shared" si="5"/>
        <v>0</v>
      </c>
      <c r="N73" s="821">
        <f t="shared" si="5"/>
        <v>0</v>
      </c>
      <c r="O73" s="821">
        <f t="shared" si="5"/>
        <v>0</v>
      </c>
      <c r="P73" s="821">
        <f t="shared" si="5"/>
        <v>0</v>
      </c>
      <c r="Q73" s="821">
        <f t="shared" si="5"/>
        <v>0</v>
      </c>
      <c r="R73" s="821">
        <f t="shared" si="5"/>
        <v>0</v>
      </c>
      <c r="S73" s="821">
        <f t="shared" si="5"/>
        <v>0</v>
      </c>
      <c r="T73" s="821">
        <f t="shared" si="5"/>
        <v>0</v>
      </c>
      <c r="U73" s="821">
        <f t="shared" si="5"/>
        <v>0</v>
      </c>
      <c r="V73" s="821">
        <f t="shared" si="5"/>
        <v>0</v>
      </c>
      <c r="W73" s="821">
        <f t="shared" si="5"/>
        <v>0</v>
      </c>
      <c r="X73" s="821">
        <f t="shared" si="5"/>
        <v>0</v>
      </c>
      <c r="Y73" s="821">
        <f t="shared" si="5"/>
        <v>0</v>
      </c>
      <c r="Z73" s="821">
        <f t="shared" si="5"/>
        <v>0</v>
      </c>
      <c r="AA73" s="821">
        <f t="shared" si="5"/>
        <v>0</v>
      </c>
      <c r="AB73" s="821">
        <f t="shared" si="5"/>
        <v>0</v>
      </c>
      <c r="AC73" s="821">
        <f t="shared" si="5"/>
        <v>0</v>
      </c>
      <c r="AD73" s="821">
        <f t="shared" si="5"/>
        <v>0</v>
      </c>
      <c r="AE73" s="821">
        <f t="shared" si="5"/>
        <v>0</v>
      </c>
      <c r="AF73" s="821">
        <f t="shared" si="5"/>
        <v>0</v>
      </c>
      <c r="AG73" s="821">
        <f t="shared" si="5"/>
        <v>0</v>
      </c>
      <c r="AH73" s="821">
        <f t="shared" si="5"/>
        <v>0</v>
      </c>
      <c r="AI73" s="821">
        <f t="shared" si="5"/>
        <v>0</v>
      </c>
      <c r="AJ73" s="821">
        <f t="shared" si="5"/>
        <v>0</v>
      </c>
      <c r="AK73" s="821">
        <f t="shared" si="5"/>
        <v>0</v>
      </c>
      <c r="AL73" s="821">
        <f t="shared" si="5"/>
        <v>0</v>
      </c>
      <c r="AM73" s="821">
        <f t="shared" si="5"/>
        <v>0</v>
      </c>
      <c r="AN73" s="924"/>
      <c r="AO73" s="924"/>
      <c r="AP73" s="924"/>
      <c r="AQ73" s="924"/>
      <c r="AR73" s="924"/>
      <c r="AS73" s="924"/>
      <c r="AT73" s="924"/>
      <c r="AU73" s="924"/>
      <c r="AV73" s="924"/>
      <c r="AW73" s="924"/>
      <c r="AX73" s="924"/>
      <c r="AY73" s="924"/>
      <c r="AZ73" s="924"/>
      <c r="BA73" s="924"/>
      <c r="BB73" s="924"/>
      <c r="BC73" s="924"/>
      <c r="BD73" s="924"/>
      <c r="BE73" s="924"/>
      <c r="BF73" s="924"/>
      <c r="BG73" s="924"/>
      <c r="BH73" s="924"/>
      <c r="BI73" s="924"/>
      <c r="BJ73" s="924"/>
      <c r="BK73" s="924"/>
      <c r="BL73" s="924"/>
      <c r="BM73" s="924"/>
      <c r="BN73" s="924"/>
      <c r="BO73" s="924"/>
      <c r="BP73" s="924"/>
      <c r="BQ73" s="924"/>
      <c r="BR73" s="924"/>
      <c r="BS73" s="924"/>
      <c r="BT73" s="924"/>
      <c r="BU73" s="924"/>
      <c r="BV73" s="924"/>
      <c r="BW73" s="924"/>
      <c r="BX73" s="924"/>
      <c r="BY73" s="924"/>
      <c r="BZ73" s="924"/>
      <c r="CA73" s="924"/>
      <c r="CB73" s="924"/>
      <c r="CC73" s="924"/>
      <c r="CD73" s="924"/>
      <c r="CE73" s="924"/>
      <c r="CF73" s="924"/>
    </row>
    <row r="74" spans="1:84" x14ac:dyDescent="0.25">
      <c r="A74" s="2"/>
      <c r="B74" s="3">
        <f>MAX($B$4:B73)+1</f>
        <v>67</v>
      </c>
      <c r="C74" s="3"/>
      <c r="D74" s="7"/>
      <c r="E74" s="902"/>
      <c r="F74" s="822" t="s">
        <v>146</v>
      </c>
      <c r="G74" s="822"/>
      <c r="H74" s="822"/>
      <c r="I74" s="822"/>
      <c r="J74" s="822"/>
      <c r="K74" s="822"/>
      <c r="L74" s="822" t="s">
        <v>1881</v>
      </c>
      <c r="M74" s="822"/>
      <c r="N74" s="822"/>
      <c r="O74" s="822"/>
      <c r="P74" s="1374"/>
      <c r="Q74" s="822"/>
      <c r="R74" s="822"/>
      <c r="S74" s="822"/>
      <c r="T74" s="822"/>
      <c r="U74" s="822"/>
      <c r="V74" s="1099"/>
      <c r="W74" s="822"/>
      <c r="X74" s="822"/>
      <c r="Y74" s="822"/>
      <c r="Z74" s="822"/>
      <c r="AA74" s="822"/>
      <c r="AB74" s="822"/>
      <c r="AC74" s="822"/>
      <c r="AD74" s="822"/>
      <c r="AE74" s="822"/>
      <c r="AF74" s="822"/>
      <c r="AG74" s="822"/>
      <c r="AH74" s="822"/>
      <c r="AI74" s="822"/>
      <c r="AJ74" s="822"/>
      <c r="AK74" s="822"/>
      <c r="AL74" s="822"/>
      <c r="AM74" s="822"/>
    </row>
    <row r="75" spans="1:84" x14ac:dyDescent="0.25">
      <c r="A75" s="2"/>
      <c r="B75" s="3">
        <f>MAX($B$4:B74)+1</f>
        <v>68</v>
      </c>
      <c r="C75" s="830" t="s">
        <v>1890</v>
      </c>
      <c r="D75" s="7"/>
      <c r="E75" s="902"/>
      <c r="F75" s="822"/>
      <c r="G75" s="822"/>
      <c r="H75" s="822"/>
      <c r="I75" s="822"/>
      <c r="J75" s="822"/>
      <c r="K75" s="822"/>
      <c r="L75" s="822"/>
      <c r="M75" s="822"/>
      <c r="N75" s="822"/>
      <c r="O75" s="822"/>
      <c r="P75" s="822"/>
      <c r="Q75" s="822"/>
      <c r="R75" s="822"/>
      <c r="S75" s="822"/>
      <c r="T75" s="822"/>
      <c r="U75" s="822"/>
      <c r="V75" s="822"/>
      <c r="W75" s="822"/>
      <c r="X75" s="822"/>
      <c r="Y75" s="822"/>
      <c r="Z75" s="822"/>
      <c r="AA75" s="822"/>
      <c r="AB75" s="822"/>
      <c r="AC75" s="822"/>
      <c r="AD75" s="822"/>
      <c r="AE75" s="822"/>
      <c r="AF75" s="822"/>
      <c r="AG75" s="822"/>
      <c r="AH75" s="822"/>
      <c r="AI75" s="822"/>
      <c r="AJ75" s="822"/>
      <c r="AK75" s="822"/>
      <c r="AL75" s="822"/>
      <c r="AM75" s="822"/>
    </row>
    <row r="76" spans="1:84" x14ac:dyDescent="0.25">
      <c r="A76" s="2"/>
      <c r="B76" s="3">
        <f>MAX($B$4:B75)+1</f>
        <v>69</v>
      </c>
      <c r="C76" t="s">
        <v>1889</v>
      </c>
      <c r="D76" t="s">
        <v>208</v>
      </c>
      <c r="F76" s="923">
        <f>SUMIF(MAP!$E$807:$E$825,$D76,MAP!N808:N826)</f>
        <v>0</v>
      </c>
      <c r="G76" s="923">
        <f>-SUMIF(MAP!$E$1158:$E$1159,"Impairments",MAP!O1158:O1159)+-SUMIF(MAP!$E$1158:$E$1159,"revaluations",MAP!O1158:O1159)</f>
        <v>0</v>
      </c>
      <c r="H76" s="923">
        <f>-SUMIF(MAP!$E$1158:$E$1159,"Impairments",MAP!P1158:P1159)+-SUMIF(MAP!$E$1158:$E$1159,"revaluations",MAP!P1158:P1159)</f>
        <v>0</v>
      </c>
      <c r="I76" s="923">
        <f>-SUMIF(MAP!$E$1158:$E$1159,"Impairments",MAP!Q1158:Q1159)+-SUMIF(MAP!$E$1158:$E$1159,"revaluations",MAP!Q1158:Q1159)</f>
        <v>0</v>
      </c>
      <c r="J76" s="923">
        <f>-SUMIF(MAP!$E$1158:$E$1159,"Impairments",MAP!R1158:R1159)+-SUMIF(MAP!$E$1158:$E$1159,"revaluations",MAP!R1158:R1159)</f>
        <v>0</v>
      </c>
      <c r="K76" s="923">
        <f>-SUMIF(MAP!$E$1158:$E$1159,"Impairments",MAP!S1158:S1159)+-SUMIF(MAP!$E$1158:$E$1159,"revaluations",MAP!S1158:S1159)</f>
        <v>0</v>
      </c>
      <c r="L76" s="923">
        <f>-SUMIF(MAP!$E$1158:$E$1159,"Impairments",MAP!T1158:T1159)+-SUMIF(MAP!$E$1158:$E$1159,"revaluations",MAP!T1158:T1159)</f>
        <v>0</v>
      </c>
      <c r="M76" s="923">
        <f>-SUMIF(MAP!$E$1158:$E$1159,"Impairments",MAP!U1158:U1159)+-SUMIF(MAP!$E$1158:$E$1159,"revaluations",MAP!U1158:U1159)</f>
        <v>0</v>
      </c>
      <c r="N76" s="923">
        <f>-SUMIF(MAP!$E$1158:$E$1159,"Impairments",MAP!V1158:V1159)+-SUMIF(MAP!$E$1158:$E$1159,"revaluations",MAP!V1158:V1159)</f>
        <v>0</v>
      </c>
      <c r="O76" s="923">
        <f>-SUMIF(MAP!$E$1158:$E$1159,"Impairments",MAP!W1158:W1159)+-SUMIF(MAP!$E$1158:$E$1159,"revaluations",MAP!W1158:W1159)</f>
        <v>0</v>
      </c>
      <c r="P76" s="923">
        <f>-SUMIF(MAP!$E$1158:$E$1159,"Impairments",MAP!$X$1158:$X$1159)+-SUMIF(MAP!$E$1158:$E$1159,"revaluations",MAP!$X$1158:$X$1159)</f>
        <v>0</v>
      </c>
      <c r="Q76" s="923">
        <f>-SUMIF(MAP!$E$1158:$E$1159,"Impairments",MAP!Y1158:Y1159)+-SUMIF(MAP!$E$1158:$E$1159,"revaluations",MAP!Y1158:Y1159)</f>
        <v>0</v>
      </c>
      <c r="R76" s="923">
        <f>-SUMIF(MAP!$E$1158:$E$1159,"Impairments",MAP!Z1158:Z1159)+-SUMIF(MAP!$E$1158:$E$1159,"revaluations",MAP!Z1158:Z1159)</f>
        <v>0</v>
      </c>
      <c r="S76" s="923">
        <f>-SUMIF(MAP!$E$1158:$E$1159,"Impairments",MAP!AA1158:AA1159)+-SUMIF(MAP!$E$1158:$E$1159,"revaluations",MAP!AA1158:AA1159)</f>
        <v>0</v>
      </c>
      <c r="T76" s="923">
        <f>-SUMIF(MAP!$E$1158:$E$1159,"Impairments",MAP!AB1158:AB1159)+-SUMIF(MAP!$E$1158:$E$1159,"revaluations",MAP!AB1158:AB1159)</f>
        <v>0</v>
      </c>
      <c r="U76" s="923">
        <f>-SUMIF(MAP!$E$1158:$E$1159,"Impairments",MAP!AC1158:AC1159)+-SUMIF(MAP!$E$1158:$E$1159,"revaluations",MAP!AC1158:AC1159)</f>
        <v>0</v>
      </c>
      <c r="V76" s="923">
        <f>-SUMIF(MAP!$E$1158:$E$1159,"Impairments",MAP!AD1158:AD1159)+-SUMIF(MAP!$E$1158:$E$1159,"revaluations",MAP!AD1158:AD1159)</f>
        <v>0</v>
      </c>
      <c r="W76" s="923">
        <f>-SUMIF(MAP!$E$1158:$E$1159,"Impairments",MAP!AE1158:AE1159)+-SUMIF(MAP!$E$1158:$E$1159,"revaluations",MAP!AE1158:AE1159)</f>
        <v>0</v>
      </c>
      <c r="X76" s="923">
        <f>-SUMIF(MAP!$E$1158:$E$1159,"Impairments",MAP!AF1158:AF1159)+-SUMIF(MAP!$E$1158:$E$1159,"revaluations",MAP!AF1158:AF1159)</f>
        <v>0</v>
      </c>
      <c r="Y76" s="923">
        <f>-SUMIF(MAP!$E$1158:$E$1159,"Impairments",MAP!AG1158:AG1159)+-SUMIF(MAP!$E$1158:$E$1159,"revaluations",MAP!AG1158:AG1159)</f>
        <v>0</v>
      </c>
      <c r="Z76" s="923">
        <f>-SUMIF(MAP!$E$1158:$E$1159,"Impairments",MAP!AH1158:AH1159)+-SUMIF(MAP!$E$1158:$E$1159,"revaluations",MAP!AH1158:AH1159)</f>
        <v>0</v>
      </c>
      <c r="AA76" s="923">
        <f>-SUMIF(MAP!$E$1158:$E$1159,"Impairments",MAP!AI1158:AI1159)+-SUMIF(MAP!$E$1158:$E$1159,"revaluations",MAP!AI1158:AI1159)</f>
        <v>0</v>
      </c>
      <c r="AB76" s="923">
        <f>-SUMIF(MAP!$E$1158:$E$1159,"Impairments",MAP!AJ1158:AJ1159)+-SUMIF(MAP!$E$1158:$E$1159,"revaluations",MAP!AJ1158:AJ1159)</f>
        <v>0</v>
      </c>
      <c r="AC76" s="923">
        <f>-SUMIF(MAP!$E$1158:$E$1159,"Impairments",MAP!AK1158:AK1159)+-SUMIF(MAP!$E$1158:$E$1159,"revaluations",MAP!AK1158:AK1159)</f>
        <v>0</v>
      </c>
      <c r="AD76" s="923">
        <f>-SUMIF(MAP!$E$1158:$E$1159,"Impairments",MAP!AL1158:AL1159)+-SUMIF(MAP!$E$1158:$E$1159,"revaluations",MAP!AL1158:AL1159)</f>
        <v>0</v>
      </c>
      <c r="AE76" s="923">
        <f>-SUMIF(MAP!$E$1158:$E$1159,"Impairments",MAP!AM1158:AM1159)+-SUMIF(MAP!$E$1158:$E$1159,"revaluations",MAP!AM1158:AM1159)</f>
        <v>0</v>
      </c>
      <c r="AF76" s="923">
        <f>-SUMIF(MAP!$E$1158:$E$1159,"Impairments",MAP!AN1158:AN1159)+-SUMIF(MAP!$E$1158:$E$1159,"revaluations",MAP!AN1158:AN1159)</f>
        <v>0</v>
      </c>
      <c r="AG76" s="923">
        <f>-SUMIF(MAP!$E$1158:$E$1159,"Impairments",MAP!AO1158:AO1159)+-SUMIF(MAP!$E$1158:$E$1159,"revaluations",MAP!AO1158:AO1159)</f>
        <v>0</v>
      </c>
      <c r="AH76" s="923">
        <f>-SUMIF(MAP!$E$1158:$E$1159,"Impairments",MAP!AP1158:AP1159)+-SUMIF(MAP!$E$1158:$E$1159,"revaluations",MAP!AP1158:AP1159)</f>
        <v>0</v>
      </c>
      <c r="AI76" s="923">
        <f>-SUMIF(MAP!$E$1158:$E$1159,"Impairments",MAP!AQ1158:AQ1159)+-SUMIF(MAP!$E$1158:$E$1159,"revaluations",MAP!AQ1158:AQ1159)</f>
        <v>0</v>
      </c>
      <c r="AJ76" s="923">
        <f>-SUMIF(MAP!$E$1158:$E$1159,"Impairments",MAP!AR1158:AR1159)+-SUMIF(MAP!$E$1158:$E$1159,"revaluations",MAP!AR1158:AR1159)</f>
        <v>0</v>
      </c>
      <c r="AK76" s="923">
        <f>-SUMIF(MAP!$E$1158:$E$1159,"Impairments",MAP!AS1158:AS1159)+-SUMIF(MAP!$E$1158:$E$1159,"revaluations",MAP!AS1158:AS1159)</f>
        <v>0</v>
      </c>
      <c r="AL76" s="923">
        <f>-SUMIF(MAP!$E$1158:$E$1159,"Impairments",MAP!AT1158:AT1159)+-SUMIF(MAP!$E$1158:$E$1159,"revaluations",MAP!AT1158:AT1159)</f>
        <v>0</v>
      </c>
      <c r="AM76" s="923">
        <f>-SUMIF(MAP!$E$1158:$E$1159,"Impairments",MAP!AU1158:AU1159)+-SUMIF(MAP!$E$1158:$E$1159,"revaluations",MAP!AU1158:AU1159)</f>
        <v>0</v>
      </c>
    </row>
    <row r="77" spans="1:84" x14ac:dyDescent="0.25">
      <c r="A77" s="2"/>
      <c r="B77" s="3">
        <f>MAX($B$4:B76)+1</f>
        <v>70</v>
      </c>
      <c r="C77" s="3"/>
      <c r="D77" s="7"/>
      <c r="E77" s="902"/>
      <c r="F77" s="822"/>
      <c r="G77" s="822"/>
      <c r="H77" s="822"/>
      <c r="I77" s="822"/>
      <c r="J77" s="822"/>
      <c r="K77" s="822"/>
      <c r="L77" s="822"/>
      <c r="M77" s="822"/>
      <c r="N77" s="822"/>
      <c r="O77" s="822"/>
      <c r="P77" s="822"/>
      <c r="Q77" s="822"/>
      <c r="R77" s="822"/>
      <c r="S77" s="822"/>
      <c r="T77" s="822"/>
      <c r="U77" s="822"/>
      <c r="V77" s="822"/>
      <c r="W77" s="822"/>
      <c r="X77" s="822"/>
      <c r="Y77" s="822"/>
      <c r="Z77" s="822"/>
      <c r="AA77" s="822"/>
      <c r="AB77" s="822"/>
      <c r="AC77" s="822"/>
      <c r="AD77" s="822"/>
      <c r="AE77" s="822"/>
      <c r="AF77" s="822"/>
      <c r="AG77" s="822"/>
      <c r="AH77" s="822"/>
      <c r="AI77" s="822"/>
      <c r="AJ77" s="822"/>
      <c r="AK77" s="822"/>
      <c r="AL77" s="822"/>
      <c r="AM77" s="822"/>
    </row>
    <row r="78" spans="1:84" x14ac:dyDescent="0.25">
      <c r="A78" s="2"/>
      <c r="B78" s="3">
        <f>MAX($B$4:B77)+1</f>
        <v>71</v>
      </c>
      <c r="C78" s="3"/>
      <c r="D78" s="7"/>
      <c r="E78" s="902"/>
      <c r="F78" s="822"/>
      <c r="G78" s="822"/>
      <c r="H78" s="822"/>
      <c r="I78" s="822"/>
      <c r="J78" s="822"/>
      <c r="K78" s="822"/>
      <c r="L78" s="822"/>
      <c r="M78" s="822"/>
      <c r="N78" s="822"/>
      <c r="O78" s="822"/>
      <c r="P78" s="822"/>
      <c r="Q78" s="822"/>
      <c r="R78" s="822"/>
      <c r="S78" s="822"/>
      <c r="T78" s="822"/>
      <c r="U78" s="822"/>
      <c r="V78" s="822"/>
      <c r="W78" s="822"/>
      <c r="X78" s="822"/>
      <c r="Y78" s="822"/>
      <c r="Z78" s="822"/>
      <c r="AA78" s="822"/>
      <c r="AB78" s="822"/>
      <c r="AC78" s="822"/>
      <c r="AD78" s="822"/>
      <c r="AE78" s="822"/>
      <c r="AF78" s="822"/>
      <c r="AG78" s="822"/>
      <c r="AH78" s="822"/>
      <c r="AI78" s="822"/>
      <c r="AJ78" s="822"/>
      <c r="AK78" s="822"/>
      <c r="AL78" s="822"/>
      <c r="AM78" s="822"/>
    </row>
    <row r="79" spans="1:84" x14ac:dyDescent="0.25">
      <c r="A79" s="2"/>
      <c r="B79" s="3">
        <f>MAX($B$4:B78)+1</f>
        <v>72</v>
      </c>
      <c r="C79" s="3"/>
      <c r="D79" s="7"/>
      <c r="E79" s="902"/>
      <c r="F79" s="822"/>
      <c r="G79" s="822"/>
      <c r="H79" s="822"/>
      <c r="I79" s="822"/>
      <c r="J79" s="822"/>
      <c r="K79" s="822"/>
      <c r="L79" s="822"/>
      <c r="M79" s="822"/>
      <c r="N79" s="822"/>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row>
    <row r="80" spans="1:84" x14ac:dyDescent="0.25">
      <c r="A80" s="2"/>
      <c r="B80" s="3">
        <f>MAX($B$4:B79)+1</f>
        <v>73</v>
      </c>
      <c r="C80" t="s">
        <v>682</v>
      </c>
      <c r="D80" t="s">
        <v>1659</v>
      </c>
      <c r="E80" s="902"/>
      <c r="F80" s="822">
        <f>MAP!N502-MAP!N516+MAP!N539-MAP!N553+MAP!N577-MAP!N591+MAP!N615-MAP!N629+MAP!N653-MAP!N667+MAP!N691-MAP!N705+MAP!N729-MAP!N743+MAP!N767-MAP!N781+MAP!N858-MAP!N871+MAP!N894-MAP!N907+MAP!N930-MAP!N943+MAP!N966-MAP!N979+MAP!N1002-MAP!N1015+MAP!N1038-MAP!N1051+MAP!N1074-MAP!N1087+MAP!N1110-MAP!N1123</f>
        <v>0</v>
      </c>
      <c r="G80" s="822">
        <f>MAP!O502-MAP!O516+MAP!O539-MAP!O553+MAP!O577-MAP!O591+MAP!O615-MAP!O629+MAP!O653-MAP!O667+MAP!O691-MAP!O705+MAP!O729-MAP!O743+MAP!O767-MAP!O781+MAP!O858-MAP!O871+MAP!O894-MAP!O907+MAP!O930-MAP!O943+MAP!O966-MAP!O979+MAP!O1002-MAP!O1015+MAP!O1038-MAP!O1051+MAP!O1074-MAP!O1087+MAP!O1110-MAP!O1123</f>
        <v>0</v>
      </c>
      <c r="H80" s="822">
        <f>MAP!P502-MAP!P516+MAP!P539-MAP!P553+MAP!P577-MAP!P591+MAP!P615-MAP!P629+MAP!P653-MAP!P667+MAP!P691-MAP!P705+MAP!P729-MAP!P743+MAP!P767-MAP!P781+MAP!P858-MAP!P871+MAP!P894-MAP!P907+MAP!P930-MAP!P943+MAP!P966-MAP!P979+MAP!P1002-MAP!P1015+MAP!P1038-MAP!P1051+MAP!P1074-MAP!P1087+MAP!P1110-MAP!P1123</f>
        <v>0</v>
      </c>
      <c r="I80" s="822">
        <f>MAP!Q502-MAP!Q516+MAP!Q539-MAP!Q553+MAP!Q577-MAP!Q591+MAP!Q615-MAP!Q629+MAP!Q653-MAP!Q667+MAP!Q691-MAP!Q705+MAP!Q729-MAP!Q743+MAP!Q767-MAP!Q781+MAP!Q858-MAP!Q871+MAP!Q894-MAP!Q907+MAP!Q930-MAP!Q943+MAP!Q966-MAP!Q979+MAP!Q1002-MAP!Q1015+MAP!Q1038-MAP!Q1051+MAP!Q1074-MAP!Q1087+MAP!Q1110-MAP!Q1123</f>
        <v>0</v>
      </c>
      <c r="J80" s="822">
        <f>MAP!R502-MAP!R516+MAP!R539-MAP!R553+MAP!R577-MAP!R591+MAP!R615-MAP!R629+MAP!R653-MAP!R667+MAP!R691-MAP!R705+MAP!R729-MAP!R743+MAP!R767-MAP!R781+MAP!R858-MAP!R871+MAP!R894-MAP!R907+MAP!R930-MAP!R943+MAP!R966-MAP!R979+MAP!R1002-MAP!R1015+MAP!R1038-MAP!R1051+MAP!R1074-MAP!R1087+MAP!R1110-MAP!R1123</f>
        <v>0</v>
      </c>
      <c r="K80" s="822">
        <f>MAP!S502-MAP!S516+MAP!S539-MAP!S553+MAP!S577-MAP!S591+MAP!S615-MAP!S629+MAP!S653-MAP!S667+MAP!S691-MAP!S705+MAP!S729-MAP!S743+MAP!S767-MAP!S781+MAP!S858-MAP!S871+MAP!S894-MAP!S907+MAP!S930-MAP!S943+MAP!S966-MAP!S979+MAP!S1002-MAP!S1015+MAP!S1038-MAP!S1051+MAP!S1074-MAP!S1087+MAP!S1110-MAP!S1123</f>
        <v>0</v>
      </c>
      <c r="L80" s="822">
        <f>MAP!T502-MAP!T516+MAP!T539-MAP!T553+MAP!T577-MAP!T591+MAP!T615-MAP!T629+MAP!T653-MAP!T667+MAP!T691-MAP!T705+MAP!T729-MAP!T743+MAP!T767-MAP!T781+MAP!T858-MAP!T871+MAP!T894-MAP!T907+MAP!T930-MAP!T943+MAP!T966-MAP!T979+MAP!T1002-MAP!T1015+MAP!T1038-MAP!T1051+MAP!T1074-MAP!T1087+MAP!T1110-MAP!T1123</f>
        <v>0</v>
      </c>
      <c r="M80" s="822">
        <f>MAP!U502-MAP!U516+MAP!U539-MAP!U553+MAP!U577-MAP!U591+MAP!U615-MAP!U629+MAP!U653-MAP!U667+MAP!U691-MAP!U705+MAP!U729-MAP!U743+MAP!U767-MAP!U781+MAP!U858-MAP!U871+MAP!U894-MAP!U907+MAP!U930-MAP!U943+MAP!U966-MAP!U979+MAP!U1002-MAP!U1015+MAP!U1038-MAP!U1051+MAP!U1074-MAP!U1087+MAP!U1110-MAP!U1123</f>
        <v>0</v>
      </c>
      <c r="N80" s="822">
        <f>MAP!V502-MAP!V516+MAP!V539-MAP!V553+MAP!V577-MAP!V591+MAP!V615-MAP!V629+MAP!V653-MAP!V667+MAP!V691-MAP!V705+MAP!V729-MAP!V743+MAP!V767-MAP!V781+MAP!V858-MAP!V871+MAP!V894-MAP!V907+MAP!V930-MAP!V943+MAP!V966-MAP!V979+MAP!V1002-MAP!V1015+MAP!V1038-MAP!V1051+MAP!V1074-MAP!V1087+MAP!V1110-MAP!V1123</f>
        <v>0</v>
      </c>
      <c r="O80" s="822">
        <f>MAP!W502-MAP!W516+MAP!W539-MAP!W553+MAP!W577-MAP!W591+MAP!W615-MAP!W629+MAP!W653-MAP!W667+MAP!W691-MAP!W705+MAP!W729-MAP!W743+MAP!W767-MAP!W781+MAP!W858-MAP!W871+MAP!W894-MAP!W907+MAP!W930-MAP!W943+MAP!W966-MAP!W979+MAP!W1002-MAP!W1015+MAP!W1038-MAP!W1051+MAP!W1074-MAP!W1087+MAP!W1110-MAP!W1123</f>
        <v>0</v>
      </c>
      <c r="P80" s="822">
        <f>MAP!X502-MAP!X516+MAP!X539-MAP!X553+MAP!X577-MAP!X591+MAP!X615-MAP!X629+MAP!X653-MAP!X667+MAP!X691-MAP!X705+MAP!X729-MAP!X743+MAP!X767-MAP!X781+MAP!X858-MAP!X871+MAP!X894-MAP!X907+MAP!X930-MAP!X943+MAP!X966-MAP!X979+MAP!X1002-MAP!X1015+MAP!X1038-MAP!X1051+MAP!X1074-MAP!X1087+MAP!X1110-MAP!X1123</f>
        <v>0</v>
      </c>
      <c r="Q80" s="822">
        <f>MAP!Y502-MAP!Y516+MAP!Y539-MAP!Y553+MAP!Y577-MAP!Y591+MAP!Y615-MAP!Y629+MAP!Y653-MAP!Y667+MAP!Y691-MAP!Y705+MAP!Y729-MAP!Y743+MAP!Y767-MAP!Y781+MAP!Y858-MAP!Y871+MAP!Y894-MAP!Y907+MAP!Y930-MAP!Y943+MAP!Y966-MAP!Y979+MAP!Y1002-MAP!Y1015+MAP!Y1038-MAP!Y1051+MAP!Y1074-MAP!Y1087+MAP!Y1110-MAP!Y1123</f>
        <v>0</v>
      </c>
      <c r="R80" s="822">
        <f>MAP!Z502-MAP!Z516+MAP!Z539-MAP!Z553+MAP!Z577-MAP!Z591+MAP!Z615-MAP!Z629+MAP!Z653-MAP!Z667+MAP!Z691-MAP!Z705+MAP!Z729-MAP!Z743+MAP!Z767-MAP!Z781+MAP!Z858-MAP!Z871+MAP!Z894-MAP!Z907+MAP!Z930-MAP!Z943+MAP!Z966-MAP!Z979+MAP!Z1002-MAP!Z1015+MAP!Z1038-MAP!Z1051+MAP!Z1074-MAP!Z1087+MAP!Z1110-MAP!Z1123</f>
        <v>0</v>
      </c>
      <c r="S80" s="822">
        <f>MAP!AA502-MAP!AA516+MAP!AA539-MAP!AA553+MAP!AA577-MAP!AA591+MAP!AA615-MAP!AA629+MAP!AA653-MAP!AA667+MAP!AA691-MAP!AA705+MAP!AA729-MAP!AA743+MAP!AA767-MAP!AA781+MAP!AA858-MAP!AA871+MAP!AA894-MAP!AA907+MAP!AA930-MAP!AA943+MAP!AA966-MAP!AA979+MAP!AA1002-MAP!AA1015+MAP!AA1038-MAP!AA1051+MAP!AA1074-MAP!AA1087+MAP!AA1110-MAP!AA1123</f>
        <v>0</v>
      </c>
      <c r="T80" s="822">
        <f>MAP!AB502-MAP!AB516+MAP!AB539-MAP!AB553+MAP!AB577-MAP!AB591+MAP!AB615-MAP!AB629+MAP!AB653-MAP!AB667+MAP!AB691-MAP!AB705+MAP!AB729-MAP!AB743+MAP!AB767-MAP!AB781+MAP!AB858-MAP!AB871+MAP!AB894-MAP!AB907+MAP!AB930-MAP!AB943+MAP!AB966-MAP!AB979+MAP!AB1002-MAP!AB1015+MAP!AB1038-MAP!AB1051+MAP!AB1074-MAP!AB1087+MAP!AB1110-MAP!AB1123</f>
        <v>0</v>
      </c>
      <c r="U80" s="822">
        <f>MAP!AC502-MAP!AC516+MAP!AC539-MAP!AC553+MAP!AC577-MAP!AC591+MAP!AC615-MAP!AC629+MAP!AC653-MAP!AC667+MAP!AC691-MAP!AC705+MAP!AC729-MAP!AC743+MAP!AC767-MAP!AC781+MAP!AC858-MAP!AC871+MAP!AC894-MAP!AC907+MAP!AC930-MAP!AC943+MAP!AC966-MAP!AC979+MAP!AC1002-MAP!AC1015+MAP!AC1038-MAP!AC1051+MAP!AC1074-MAP!AC1087+MAP!AC1110-MAP!AC1123</f>
        <v>0</v>
      </c>
      <c r="V80" s="822">
        <f>MAP!AD502-MAP!AD516+MAP!AD539-MAP!AD553+MAP!AD577-MAP!AD591+MAP!AD615-MAP!AD629+MAP!AD653-MAP!AD667+MAP!AD691-MAP!AD705+MAP!AD729-MAP!AD743+MAP!AD767-MAP!AD781+MAP!AD858-MAP!AD871+MAP!AD894-MAP!AD907+MAP!AD930-MAP!AD943+MAP!AD966-MAP!AD979+MAP!AD1002-MAP!AD1015+MAP!AD1038-MAP!AD1051+MAP!AD1074-MAP!AD1087+MAP!AD1110-MAP!AD1123</f>
        <v>0</v>
      </c>
      <c r="W80" s="822">
        <f>MAP!AE502-MAP!AE516+MAP!AE539-MAP!AE553+MAP!AE577-MAP!AE591+MAP!AE615-MAP!AE629+MAP!AE653-MAP!AE667+MAP!AE691-MAP!AE705+MAP!AE729-MAP!AE743+MAP!AE767-MAP!AE781+MAP!AE858-MAP!AE871+MAP!AE894-MAP!AE907+MAP!AE930-MAP!AE943+MAP!AE966-MAP!AE979+MAP!AE1002-MAP!AE1015+MAP!AE1038-MAP!AE1051+MAP!AE1074-MAP!AE1087+MAP!AE1110-MAP!AE1123</f>
        <v>0</v>
      </c>
      <c r="X80" s="822">
        <f>MAP!AF502-MAP!AF516+MAP!AF539-MAP!AF553+MAP!AF577-MAP!AF591+MAP!AF615-MAP!AF629+MAP!AF653-MAP!AF667+MAP!AF691-MAP!AF705+MAP!AF729-MAP!AF743+MAP!AF767-MAP!AF781+MAP!AF858-MAP!AF871+MAP!AF894-MAP!AF907+MAP!AF930-MAP!AF943+MAP!AF966-MAP!AF979+MAP!AF1002-MAP!AF1015+MAP!AF1038-MAP!AF1051+MAP!AF1074-MAP!AF1087+MAP!AF1110-MAP!AF1123</f>
        <v>0</v>
      </c>
      <c r="Y80" s="822">
        <f>MAP!AG502-MAP!AG516+MAP!AG539-MAP!AG553+MAP!AG577-MAP!AG591+MAP!AG615-MAP!AG629+MAP!AG653-MAP!AG667+MAP!AG691-MAP!AG705+MAP!AG729-MAP!AG743+MAP!AG767-MAP!AG781+MAP!AG858-MAP!AG871+MAP!AG894-MAP!AG907+MAP!AG930-MAP!AG943+MAP!AG966-MAP!AG979+MAP!AG1002-MAP!AG1015+MAP!AG1038-MAP!AG1051+MAP!AG1074-MAP!AG1087+MAP!AG1110-MAP!AG1123</f>
        <v>0</v>
      </c>
      <c r="Z80" s="822">
        <f>MAP!AH502-MAP!AH516+MAP!AH539-MAP!AH553+MAP!AH577-MAP!AH591+MAP!AH615-MAP!AH629+MAP!AH653-MAP!AH667+MAP!AH691-MAP!AH705+MAP!AH729-MAP!AH743+MAP!AH767-MAP!AH781+MAP!AH858-MAP!AH871+MAP!AH894-MAP!AH907+MAP!AH930-MAP!AH943+MAP!AH966-MAP!AH979+MAP!AH1002-MAP!AH1015+MAP!AH1038-MAP!AH1051+MAP!AH1074-MAP!AH1087+MAP!AH1110-MAP!AH1123</f>
        <v>0</v>
      </c>
      <c r="AA80" s="822">
        <f>MAP!AI502-MAP!AI516+MAP!AI539-MAP!AI553+MAP!AI577-MAP!AI591+MAP!AI615-MAP!AI629+MAP!AI653-MAP!AI667+MAP!AI691-MAP!AI705+MAP!AI729-MAP!AI743+MAP!AI767-MAP!AI781+MAP!AI858-MAP!AI871+MAP!AI894-MAP!AI907+MAP!AI930-MAP!AI943+MAP!AI966-MAP!AI979+MAP!AI1002-MAP!AI1015+MAP!AI1038-MAP!AI1051+MAP!AI1074-MAP!AI1087+MAP!AI1110-MAP!AI1123</f>
        <v>0</v>
      </c>
      <c r="AB80" s="822">
        <f>MAP!AJ502-MAP!AJ516+MAP!AJ539-MAP!AJ553+MAP!AJ577-MAP!AJ591+MAP!AJ615-MAP!AJ629+MAP!AJ653-MAP!AJ667+MAP!AJ691-MAP!AJ705+MAP!AJ729-MAP!AJ743+MAP!AJ767-MAP!AJ781+MAP!AJ858-MAP!AJ871+MAP!AJ894-MAP!AJ907+MAP!AJ930-MAP!AJ943+MAP!AJ966-MAP!AJ979+MAP!AJ1002-MAP!AJ1015+MAP!AJ1038-MAP!AJ1051+MAP!AJ1074-MAP!AJ1087+MAP!AJ1110-MAP!AJ1123</f>
        <v>0</v>
      </c>
      <c r="AC80" s="822">
        <f>MAP!AK502-MAP!AK516+MAP!AK539-MAP!AK553+MAP!AK577-MAP!AK591+MAP!AK615-MAP!AK629+MAP!AK653-MAP!AK667+MAP!AK691-MAP!AK705+MAP!AK729-MAP!AK743+MAP!AK767-MAP!AK781+MAP!AK858-MAP!AK871+MAP!AK894-MAP!AK907+MAP!AK930-MAP!AK943+MAP!AK966-MAP!AK979+MAP!AK1002-MAP!AK1015+MAP!AK1038-MAP!AK1051+MAP!AK1074-MAP!AK1087+MAP!AK1110-MAP!AK1123</f>
        <v>0</v>
      </c>
      <c r="AD80" s="822">
        <f>MAP!AL502-MAP!AL516+MAP!AL539-MAP!AL553+MAP!AL577-MAP!AL591+MAP!AL615-MAP!AL629+MAP!AL653-MAP!AL667+MAP!AL691-MAP!AL705+MAP!AL729-MAP!AL743+MAP!AL767-MAP!AL781+MAP!AL858-MAP!AL871+MAP!AL894-MAP!AL907+MAP!AL930-MAP!AL943+MAP!AL966-MAP!AL979+MAP!AL1002-MAP!AL1015+MAP!AL1038-MAP!AL1051+MAP!AL1074-MAP!AL1087+MAP!AL1110-MAP!AL1123</f>
        <v>0</v>
      </c>
      <c r="AE80" s="822">
        <f>MAP!AM502-MAP!AM516+MAP!AM539-MAP!AM553+MAP!AM577-MAP!AM591+MAP!AM615-MAP!AM629+MAP!AM653-MAP!AM667+MAP!AM691-MAP!AM705+MAP!AM729-MAP!AM743+MAP!AM767-MAP!AM781+MAP!AM858-MAP!AM871+MAP!AM894-MAP!AM907+MAP!AM930-MAP!AM943+MAP!AM966-MAP!AM979+MAP!AM1002-MAP!AM1015+MAP!AM1038-MAP!AM1051+MAP!AM1074-MAP!AM1087+MAP!AM1110-MAP!AM1123</f>
        <v>0</v>
      </c>
      <c r="AF80" s="822">
        <f>MAP!AN502-MAP!AN516+MAP!AN539-MAP!AN553+MAP!AN577-MAP!AN591+MAP!AN615-MAP!AN629+MAP!AN653-MAP!AN667+MAP!AN691-MAP!AN705+MAP!AN729-MAP!AN743+MAP!AN767-MAP!AN781+MAP!AN858-MAP!AN871+MAP!AN894-MAP!AN907+MAP!AN930-MAP!AN943+MAP!AN966-MAP!AN979+MAP!AN1002-MAP!AN1015+MAP!AN1038-MAP!AN1051+MAP!AN1074-MAP!AN1087+MAP!AN1110-MAP!AN1123</f>
        <v>0</v>
      </c>
      <c r="AG80" s="822">
        <f>MAP!AO502-MAP!AO516+MAP!AO539-MAP!AO553+MAP!AO577-MAP!AO591+MAP!AO615-MAP!AO629+MAP!AO653-MAP!AO667+MAP!AO691-MAP!AO705+MAP!AO729-MAP!AO743+MAP!AO767-MAP!AO781+MAP!AO858-MAP!AO871+MAP!AO894-MAP!AO907+MAP!AO930-MAP!AO943+MAP!AO966-MAP!AO979+MAP!AO1002-MAP!AO1015+MAP!AO1038-MAP!AO1051+MAP!AO1074-MAP!AO1087+MAP!AO1110-MAP!AO1123</f>
        <v>0</v>
      </c>
      <c r="AH80" s="822">
        <f>MAP!AP502-MAP!AP516+MAP!AP539-MAP!AP553+MAP!AP577-MAP!AP591+MAP!AP615-MAP!AP629+MAP!AP653-MAP!AP667+MAP!AP691-MAP!AP705+MAP!AP729-MAP!AP743+MAP!AP767-MAP!AP781+MAP!AP858-MAP!AP871+MAP!AP894-MAP!AP907+MAP!AP930-MAP!AP943+MAP!AP966-MAP!AP979+MAP!AP1002-MAP!AP1015+MAP!AP1038-MAP!AP1051+MAP!AP1074-MAP!AP1087+MAP!AP1110-MAP!AP1123</f>
        <v>0</v>
      </c>
      <c r="AI80" s="822">
        <f>MAP!AQ502-MAP!AQ516+MAP!AQ539-MAP!AQ553+MAP!AQ577-MAP!AQ591+MAP!AQ615-MAP!AQ629+MAP!AQ653-MAP!AQ667+MAP!AQ691-MAP!AQ705+MAP!AQ729-MAP!AQ743+MAP!AQ767-MAP!AQ781+MAP!AQ858-MAP!AQ871+MAP!AQ894-MAP!AQ907+MAP!AQ930-MAP!AQ943+MAP!AQ966-MAP!AQ979+MAP!AQ1002-MAP!AQ1015+MAP!AQ1038-MAP!AQ1051+MAP!AQ1074-MAP!AQ1087+MAP!AQ1110-MAP!AQ1123</f>
        <v>0</v>
      </c>
      <c r="AJ80" s="822">
        <f>MAP!AR502-MAP!AR516+MAP!AR539-MAP!AR553+MAP!AR577-MAP!AR591+MAP!AR615-MAP!AR629+MAP!AR653-MAP!AR667+MAP!AR691-MAP!AR705+MAP!AR729-MAP!AR743+MAP!AR767-MAP!AR781+MAP!AR858-MAP!AR871+MAP!AR894-MAP!AR907+MAP!AR930-MAP!AR943+MAP!AR966-MAP!AR979+MAP!AR1002-MAP!AR1015+MAP!AR1038-MAP!AR1051+MAP!AR1074-MAP!AR1087+MAP!AR1110-MAP!AR1123</f>
        <v>0</v>
      </c>
      <c r="AK80" s="822">
        <f>MAP!AS502-MAP!AS516+MAP!AS539-MAP!AS553+MAP!AS577-MAP!AS591+MAP!AS615-MAP!AS629+MAP!AS653-MAP!AS667+MAP!AS691-MAP!AS705+MAP!AS729-MAP!AS743+MAP!AS767-MAP!AS781+MAP!AS858-MAP!AS871+MAP!AS894-MAP!AS907+MAP!AS930-MAP!AS943+MAP!AS966-MAP!AS979+MAP!AS1002-MAP!AS1015+MAP!AS1038-MAP!AS1051+MAP!AS1074-MAP!AS1087+MAP!AS1110-MAP!AS1123</f>
        <v>0</v>
      </c>
      <c r="AL80" s="822">
        <f>MAP!AT502-MAP!AT516+MAP!AT539-MAP!AT553+MAP!AT577-MAP!AT591+MAP!AT615-MAP!AT629+MAP!AT653-MAP!AT667+MAP!AT691-MAP!AT705+MAP!AT729-MAP!AT743+MAP!AT767-MAP!AT781+MAP!AT858-MAP!AT871+MAP!AT894-MAP!AT907+MAP!AT930-MAP!AT943+MAP!AT966-MAP!AT979+MAP!AT1002-MAP!AT1015+MAP!AT1038-MAP!AT1051+MAP!AT1074-MAP!AT1087+MAP!AT1110-MAP!AT1123</f>
        <v>0</v>
      </c>
      <c r="AM80" s="822">
        <f>MAP!AU502-MAP!AU516+MAP!AU539-MAP!AU553+MAP!AU577-MAP!AU591+MAP!AU615-MAP!AU629+MAP!AU653-MAP!AU667+MAP!AU691-MAP!AU705+MAP!AU729-MAP!AU743+MAP!AU767-MAP!AU781+MAP!AU858-MAP!AU871+MAP!AU894-MAP!AU907+MAP!AU930-MAP!AU943+MAP!AU966-MAP!AU979+MAP!AU1002-MAP!AU1015+MAP!AU1038-MAP!AU1051+MAP!AU1074-MAP!AU1087+MAP!AU1110-MAP!AU1123</f>
        <v>0</v>
      </c>
    </row>
    <row r="81" spans="1:39" x14ac:dyDescent="0.25">
      <c r="A81" s="2"/>
      <c r="B81" s="3">
        <f>MAX($B$4:B80)+1</f>
        <v>74</v>
      </c>
      <c r="C81" t="s">
        <v>1444</v>
      </c>
      <c r="D81" t="s">
        <v>215</v>
      </c>
      <c r="F81" s="923">
        <f>MAP!N1149+MAP!N1152+MAP!N1155</f>
        <v>0</v>
      </c>
      <c r="G81" s="923">
        <f>MAP!O1149+MAP!O1152+MAP!O1155</f>
        <v>0</v>
      </c>
      <c r="H81" s="923">
        <f>MAP!P1149+MAP!P1152+MAP!P1155</f>
        <v>0</v>
      </c>
      <c r="I81" s="923">
        <f>MAP!Q1149+MAP!Q1152+MAP!Q1155</f>
        <v>0</v>
      </c>
      <c r="J81" s="923">
        <f>MAP!R1149+MAP!R1152+MAP!R1155</f>
        <v>0</v>
      </c>
      <c r="K81" s="923">
        <f>MAP!S1149+MAP!S1152+MAP!S1155</f>
        <v>0</v>
      </c>
      <c r="L81" s="923">
        <f>MAP!T1149+MAP!T1152+MAP!T1155</f>
        <v>0</v>
      </c>
      <c r="M81" s="923">
        <f>MAP!U1149+MAP!U1152+MAP!U1155</f>
        <v>0</v>
      </c>
      <c r="N81" s="923">
        <f>MAP!V1149+MAP!V1152+MAP!V1155</f>
        <v>0</v>
      </c>
      <c r="O81" s="923">
        <f>MAP!W1149+MAP!W1152+MAP!W1155</f>
        <v>0</v>
      </c>
      <c r="P81" s="923">
        <f>MAP!X1149+MAP!X1152+MAP!X1155</f>
        <v>0</v>
      </c>
      <c r="Q81" s="923">
        <f>MAP!Y1149+MAP!Y1152+MAP!Y1155</f>
        <v>0</v>
      </c>
      <c r="R81" s="923">
        <f>MAP!Z1149+MAP!Z1152+MAP!Z1155</f>
        <v>0</v>
      </c>
      <c r="S81" s="923">
        <f>MAP!AA1149+MAP!AA1152+MAP!AA1155</f>
        <v>0</v>
      </c>
      <c r="T81" s="923">
        <f>MAP!AB1149+MAP!AB1152+MAP!AB1155</f>
        <v>0</v>
      </c>
      <c r="U81" s="923">
        <f>MAP!AC1149+MAP!AC1152+MAP!AC1155</f>
        <v>0</v>
      </c>
      <c r="V81" s="923">
        <f>MAP!AD1149+MAP!AD1152+MAP!AD1155</f>
        <v>0</v>
      </c>
      <c r="W81" s="923">
        <f>MAP!AE1149+MAP!AE1152+MAP!AE1155</f>
        <v>0</v>
      </c>
      <c r="X81" s="923">
        <f>MAP!AF1149+MAP!AF1152+MAP!AF1155</f>
        <v>0</v>
      </c>
      <c r="Y81" s="923">
        <f>MAP!AG1149+MAP!AG1152+MAP!AG1155</f>
        <v>0</v>
      </c>
      <c r="Z81" s="923">
        <f>MAP!AH1149+MAP!AH1152+MAP!AH1155</f>
        <v>0</v>
      </c>
      <c r="AA81" s="923">
        <f>MAP!AI1149+MAP!AI1152+MAP!AI1155</f>
        <v>0</v>
      </c>
      <c r="AB81" s="923">
        <f>MAP!AJ1149+MAP!AJ1152+MAP!AJ1155</f>
        <v>0</v>
      </c>
      <c r="AC81" s="923">
        <f>MAP!AK1149+MAP!AK1152+MAP!AK1155</f>
        <v>0</v>
      </c>
      <c r="AD81" s="923">
        <f>MAP!AL1149+MAP!AL1152+MAP!AL1155</f>
        <v>0</v>
      </c>
      <c r="AE81" s="923">
        <f>MAP!AM1149+MAP!AM1152+MAP!AM1155</f>
        <v>0</v>
      </c>
      <c r="AF81" s="923">
        <f>MAP!AN1149+MAP!AN1152+MAP!AN1155</f>
        <v>0</v>
      </c>
      <c r="AG81" s="923">
        <f>MAP!AO1149+MAP!AO1152+MAP!AO1155</f>
        <v>0</v>
      </c>
      <c r="AH81" s="923">
        <f>MAP!AP1149+MAP!AP1152+MAP!AP1155</f>
        <v>0</v>
      </c>
      <c r="AI81" s="923">
        <f>MAP!AQ1149+MAP!AQ1152+MAP!AQ1155</f>
        <v>0</v>
      </c>
      <c r="AJ81" s="923">
        <f>MAP!AR1149+MAP!AR1152+MAP!AR1155</f>
        <v>0</v>
      </c>
      <c r="AK81" s="923">
        <f>MAP!AS1149+MAP!AS1152+MAP!AS1155</f>
        <v>0</v>
      </c>
      <c r="AL81" s="923">
        <f>MAP!AT1149+MAP!AT1152+MAP!AT1155</f>
        <v>0</v>
      </c>
      <c r="AM81" s="923">
        <f>MAP!AU1149+MAP!AU1152+MAP!AU1155</f>
        <v>0</v>
      </c>
    </row>
    <row r="82" spans="1:39" x14ac:dyDescent="0.25">
      <c r="A82" s="2"/>
      <c r="B82" s="3">
        <f>MAX($B$4:B81)+1</f>
        <v>75</v>
      </c>
      <c r="C82" s="3"/>
      <c r="D82" s="7"/>
      <c r="E82" s="1836"/>
      <c r="F82" s="821">
        <f>F80+F81</f>
        <v>0</v>
      </c>
      <c r="G82" s="821">
        <f t="shared" ref="G82:AA82" si="6">G80+G81</f>
        <v>0</v>
      </c>
      <c r="H82" s="821">
        <f t="shared" si="6"/>
        <v>0</v>
      </c>
      <c r="I82" s="821">
        <f t="shared" si="6"/>
        <v>0</v>
      </c>
      <c r="J82" s="821">
        <f t="shared" si="6"/>
        <v>0</v>
      </c>
      <c r="K82" s="821">
        <f t="shared" si="6"/>
        <v>0</v>
      </c>
      <c r="L82" s="821">
        <f t="shared" si="6"/>
        <v>0</v>
      </c>
      <c r="M82" s="821">
        <f t="shared" si="6"/>
        <v>0</v>
      </c>
      <c r="N82" s="821">
        <f t="shared" si="6"/>
        <v>0</v>
      </c>
      <c r="O82" s="821">
        <f t="shared" si="6"/>
        <v>0</v>
      </c>
      <c r="P82" s="821">
        <f t="shared" si="6"/>
        <v>0</v>
      </c>
      <c r="Q82" s="821">
        <f t="shared" si="6"/>
        <v>0</v>
      </c>
      <c r="R82" s="821">
        <f t="shared" si="6"/>
        <v>0</v>
      </c>
      <c r="S82" s="821">
        <f t="shared" si="6"/>
        <v>0</v>
      </c>
      <c r="T82" s="821">
        <f t="shared" si="6"/>
        <v>0</v>
      </c>
      <c r="U82" s="821">
        <f t="shared" si="6"/>
        <v>0</v>
      </c>
      <c r="V82" s="821">
        <f t="shared" si="6"/>
        <v>0</v>
      </c>
      <c r="W82" s="821">
        <f t="shared" si="6"/>
        <v>0</v>
      </c>
      <c r="X82" s="821">
        <f t="shared" si="6"/>
        <v>0</v>
      </c>
      <c r="Y82" s="821">
        <f t="shared" si="6"/>
        <v>0</v>
      </c>
      <c r="Z82" s="821">
        <f t="shared" si="6"/>
        <v>0</v>
      </c>
      <c r="AA82" s="821">
        <f t="shared" si="6"/>
        <v>0</v>
      </c>
      <c r="AB82" s="821">
        <f>AB80+AB81</f>
        <v>0</v>
      </c>
      <c r="AC82" s="821">
        <f t="shared" ref="AC82:AI82" si="7">AC80+AC81</f>
        <v>0</v>
      </c>
      <c r="AD82" s="821">
        <f t="shared" si="7"/>
        <v>0</v>
      </c>
      <c r="AE82" s="821">
        <f t="shared" si="7"/>
        <v>0</v>
      </c>
      <c r="AF82" s="821">
        <f t="shared" si="7"/>
        <v>0</v>
      </c>
      <c r="AG82" s="821">
        <f t="shared" si="7"/>
        <v>0</v>
      </c>
      <c r="AH82" s="821">
        <f t="shared" si="7"/>
        <v>0</v>
      </c>
      <c r="AI82" s="821">
        <f t="shared" si="7"/>
        <v>0</v>
      </c>
      <c r="AJ82" s="821">
        <f>AJ80+AJ81</f>
        <v>0</v>
      </c>
      <c r="AK82" s="821">
        <f>AK80+AK81</f>
        <v>0</v>
      </c>
      <c r="AL82" s="821">
        <f>AL80+AL81</f>
        <v>0</v>
      </c>
      <c r="AM82" s="821">
        <f>AM80+AM81</f>
        <v>0</v>
      </c>
    </row>
    <row r="83" spans="1:39" x14ac:dyDescent="0.25">
      <c r="A83" s="2"/>
      <c r="B83" s="3">
        <f>MAX($B$4:B82)+1</f>
        <v>76</v>
      </c>
      <c r="C83" s="3"/>
      <c r="D83" s="7"/>
      <c r="E83" s="902"/>
      <c r="F83" s="822" t="s">
        <v>146</v>
      </c>
      <c r="G83" s="822"/>
      <c r="H83" s="822"/>
      <c r="I83" s="822"/>
      <c r="J83" s="822"/>
      <c r="K83" s="822"/>
      <c r="L83" s="822" t="s">
        <v>1660</v>
      </c>
      <c r="M83" s="822"/>
      <c r="N83" s="822"/>
      <c r="O83" s="822"/>
      <c r="P83" s="1374"/>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row>
    <row r="84" spans="1:39" x14ac:dyDescent="0.25">
      <c r="A84" s="2"/>
      <c r="B84" s="3">
        <f>MAX($B$4:B83)+1</f>
        <v>77</v>
      </c>
      <c r="C84" s="3"/>
      <c r="D84" s="7"/>
      <c r="E84" s="902"/>
      <c r="F84" s="822"/>
      <c r="G84" s="822"/>
      <c r="H84" s="822"/>
      <c r="I84" s="822"/>
      <c r="J84" s="822"/>
      <c r="K84" s="822"/>
      <c r="L84" s="822"/>
      <c r="M84" s="822"/>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row>
    <row r="85" spans="1:39" x14ac:dyDescent="0.25">
      <c r="A85" s="2"/>
      <c r="B85" s="3">
        <f>MAX($B$4:B84)+1</f>
        <v>78</v>
      </c>
      <c r="C85" s="830" t="s">
        <v>1454</v>
      </c>
      <c r="D85" s="7"/>
      <c r="E85" s="902"/>
    </row>
    <row r="86" spans="1:39" x14ac:dyDescent="0.25">
      <c r="A86" s="2"/>
      <c r="B86" s="3">
        <f>MAX($B$4:B85)+1</f>
        <v>79</v>
      </c>
      <c r="C86" s="859" t="s">
        <v>1452</v>
      </c>
      <c r="D86" s="7" t="s">
        <v>768</v>
      </c>
      <c r="E86" s="902"/>
      <c r="F86" s="820">
        <f>SUMIF(MAP!$J$492:$J$796,$D86,MAP!N$492:N$796)</f>
        <v>0</v>
      </c>
      <c r="G86" s="820">
        <f>SUMIF(MAP!$J$492:$J$796,$D86,MAP!O$492:O$796)</f>
        <v>0</v>
      </c>
      <c r="H86" s="820">
        <f>SUMIF(MAP!$J$492:$J$796,$D86,MAP!P$492:P$796)</f>
        <v>0</v>
      </c>
      <c r="I86" s="820">
        <f>SUMIF(MAP!$J$492:$J$796,$D86,MAP!Q$492:Q$796)</f>
        <v>0</v>
      </c>
      <c r="J86" s="820">
        <f>SUMIF(MAP!$J$492:$J$796,$D86,MAP!R$492:R$796)</f>
        <v>0</v>
      </c>
      <c r="K86" s="820">
        <f>SUMIF(MAP!$J$492:$J$796,$D86,MAP!S$492:S$796)</f>
        <v>0</v>
      </c>
      <c r="L86" s="820">
        <f>SUMIF(MAP!$J$492:$J$796,$D86,MAP!T$492:T$796)</f>
        <v>0</v>
      </c>
      <c r="M86" s="820">
        <f>SUMIF(MAP!$J$492:$J$796,$D86,MAP!U$492:U$796)</f>
        <v>0</v>
      </c>
      <c r="N86" s="820">
        <f>SUMIF(MAP!$J$492:$J$796,$D86,MAP!V$492:V$796)</f>
        <v>0</v>
      </c>
      <c r="O86" s="820">
        <f>SUMIF(MAP!$J$492:$J$796,$D86,MAP!W$492:W$796)</f>
        <v>0</v>
      </c>
      <c r="P86" s="820">
        <f>SUMIF(MAP!$J$492:$J$796,$D86,MAP!X$492:X$796)</f>
        <v>0</v>
      </c>
      <c r="Q86" s="820">
        <f>SUMIF(MAP!$J$492:$J$796,$D86,MAP!Y$492:Y$796)</f>
        <v>0</v>
      </c>
      <c r="R86" s="820">
        <f>SUMIF(MAP!$J$492:$J$796,$D86,MAP!Z$492:Z$796)</f>
        <v>0</v>
      </c>
      <c r="S86" s="820">
        <f>SUMIF(MAP!$J$492:$J$796,$D86,MAP!AA$492:AA$796)</f>
        <v>0</v>
      </c>
      <c r="T86" s="820">
        <f>SUMIF(MAP!$J$492:$J$796,$D86,MAP!AB$492:AB$796)</f>
        <v>0</v>
      </c>
      <c r="U86" s="820">
        <f>SUMIF(MAP!$J$492:$J$796,$D86,MAP!AC$492:AC$796)</f>
        <v>0</v>
      </c>
      <c r="V86" s="820">
        <f>SUMIF(MAP!$J$492:$J$796,$D86,MAP!AD$492:AD$796)</f>
        <v>0</v>
      </c>
      <c r="W86" s="820">
        <f>SUMIF(MAP!$J$492:$J$796,$D86,MAP!AE$492:AE$796)</f>
        <v>0</v>
      </c>
      <c r="X86" s="820">
        <f>SUMIF(MAP!$J$492:$J$796,$D86,MAP!AF$492:AF$796)</f>
        <v>0</v>
      </c>
      <c r="Y86" s="820">
        <f>SUMIF(MAP!$J$492:$J$796,$D86,MAP!AG$492:AG$796)</f>
        <v>0</v>
      </c>
      <c r="Z86" s="820">
        <f>SUMIF(MAP!$J$492:$J$796,$D86,MAP!AH$492:AH$796)</f>
        <v>0</v>
      </c>
      <c r="AA86" s="820">
        <f>SUMIF(MAP!$J$492:$J$796,$D86,MAP!AI$492:AI$796)</f>
        <v>0</v>
      </c>
      <c r="AB86" s="820">
        <f>SUMIF(MAP!$J$492:$J$796,$D86,MAP!AJ$492:AJ$796)</f>
        <v>0</v>
      </c>
      <c r="AC86" s="820">
        <f>SUMIF(MAP!$J$492:$J$796,$D86,MAP!AK$492:AK$796)</f>
        <v>0</v>
      </c>
      <c r="AD86" s="820">
        <f>SUMIF(MAP!$J$492:$J$796,$D86,MAP!AL$492:AL$796)</f>
        <v>0</v>
      </c>
      <c r="AE86" s="820">
        <f>SUMIF(MAP!$J$492:$J$796,$D86,MAP!AM$492:AM$796)</f>
        <v>0</v>
      </c>
      <c r="AF86" s="820">
        <f>SUMIF(MAP!$J$492:$J$796,$D86,MAP!AN$492:AN$796)</f>
        <v>0</v>
      </c>
      <c r="AG86" s="820">
        <f>SUMIF(MAP!$J$492:$J$796,$D86,MAP!AO$492:AO$796)</f>
        <v>0</v>
      </c>
      <c r="AH86" s="820">
        <f>SUMIF(MAP!$J$492:$J$796,$D86,MAP!AP$492:AP$796)</f>
        <v>0</v>
      </c>
      <c r="AI86" s="820">
        <f>SUMIF(MAP!$J$492:$J$796,$D86,MAP!AQ$492:AQ$796)</f>
        <v>0</v>
      </c>
      <c r="AJ86" s="820">
        <f>SUMIF(MAP!$J$492:$J$796,$D86,MAP!AR$492:AR$796)</f>
        <v>0</v>
      </c>
      <c r="AK86" s="820">
        <f>SUMIF(MAP!$J$492:$J$796,$D86,MAP!AS$492:AS$796)</f>
        <v>0</v>
      </c>
      <c r="AL86" s="820">
        <f>SUMIF(MAP!$J$492:$J$796,$D86,MAP!AT$492:AT$796)</f>
        <v>0</v>
      </c>
      <c r="AM86" s="820">
        <f>SUMIF(MAP!$J$492:$J$796,$D86,MAP!AU$492:AU$796)</f>
        <v>0</v>
      </c>
    </row>
    <row r="87" spans="1:39" x14ac:dyDescent="0.25">
      <c r="A87" s="2"/>
      <c r="B87" s="3">
        <f>MAX($B$4:B86)+1</f>
        <v>80</v>
      </c>
      <c r="C87" s="859" t="s">
        <v>1452</v>
      </c>
      <c r="D87" s="7" t="s">
        <v>188</v>
      </c>
      <c r="E87" s="902"/>
      <c r="F87" s="854">
        <f>SUMIF(MAP!$J$492:$J$796,$D87,MAP!N$492:N$796)</f>
        <v>0</v>
      </c>
      <c r="G87" s="820">
        <f>SUMIF(MAP!$J$492:$J$796,$D87,MAP!O$492:O$796)</f>
        <v>0</v>
      </c>
      <c r="H87" s="820">
        <f>SUMIF(MAP!$J$492:$J$796,$D87,MAP!P$492:P$796)</f>
        <v>0</v>
      </c>
      <c r="I87" s="820">
        <f>SUMIF(MAP!$J$492:$J$796,$D87,MAP!Q$492:Q$796)</f>
        <v>0</v>
      </c>
      <c r="J87" s="820">
        <f>SUMIF(MAP!$J$492:$J$796,$D87,MAP!R$492:R$796)</f>
        <v>0</v>
      </c>
      <c r="K87" s="820">
        <f>SUMIF(MAP!$J$492:$J$796,$D87,MAP!S$492:S$796)</f>
        <v>0</v>
      </c>
      <c r="L87" s="820">
        <f>SUMIF(MAP!$J$492:$J$796,$D87,MAP!T$492:T$796)</f>
        <v>0</v>
      </c>
      <c r="M87" s="820">
        <f>SUMIF(MAP!$J$492:$J$796,$D87,MAP!U$492:U$796)</f>
        <v>0</v>
      </c>
      <c r="N87" s="820">
        <f>SUMIF(MAP!$J$492:$J$796,$D87,MAP!V$492:V$796)</f>
        <v>0</v>
      </c>
      <c r="O87" s="820">
        <f>SUMIF(MAP!$J$492:$J$796,$D87,MAP!W$492:W$796)</f>
        <v>0</v>
      </c>
      <c r="P87" s="820">
        <f>SUMIF(MAP!$J$492:$J$796,$D87,MAP!X$492:X$796)</f>
        <v>0</v>
      </c>
      <c r="Q87" s="820">
        <f>SUMIF(MAP!$J$492:$J$796,$D87,MAP!Y$492:Y$796)</f>
        <v>0</v>
      </c>
      <c r="R87" s="820">
        <f>SUMIF(MAP!$J$492:$J$796,$D87,MAP!Z$492:Z$796)</f>
        <v>0</v>
      </c>
      <c r="S87" s="820">
        <f>SUMIF(MAP!$J$492:$J$796,$D87,MAP!AA$492:AA$796)</f>
        <v>0</v>
      </c>
      <c r="T87" s="820">
        <f>SUMIF(MAP!$J$492:$J$796,$D87,MAP!AB$492:AB$796)</f>
        <v>0</v>
      </c>
      <c r="U87" s="820">
        <f>SUMIF(MAP!$J$492:$J$796,$D87,MAP!AC$492:AC$796)</f>
        <v>0</v>
      </c>
      <c r="V87" s="820">
        <f>SUMIF(MAP!$J$492:$J$796,$D87,MAP!AD$492:AD$796)</f>
        <v>0</v>
      </c>
      <c r="W87" s="820">
        <f>SUMIF(MAP!$J$492:$J$796,$D87,MAP!AE$492:AE$796)</f>
        <v>0</v>
      </c>
      <c r="X87" s="820">
        <f>SUMIF(MAP!$J$492:$J$796,$D87,MAP!AF$492:AF$796)</f>
        <v>0</v>
      </c>
      <c r="Y87" s="820">
        <f>SUMIF(MAP!$J$492:$J$796,$D87,MAP!AG$492:AG$796)</f>
        <v>0</v>
      </c>
      <c r="Z87" s="820">
        <f>SUMIF(MAP!$J$492:$J$796,$D87,MAP!AH$492:AH$796)</f>
        <v>0</v>
      </c>
      <c r="AA87" s="820">
        <f>SUMIF(MAP!$J$492:$J$796,$D87,MAP!AI$492:AI$796)</f>
        <v>0</v>
      </c>
      <c r="AB87" s="820">
        <f>SUMIF(MAP!$J$492:$J$796,$D87,MAP!AJ$492:AJ$796)</f>
        <v>0</v>
      </c>
      <c r="AC87" s="820">
        <f>SUMIF(MAP!$J$492:$J$796,$D87,MAP!AK$492:AK$796)</f>
        <v>0</v>
      </c>
      <c r="AD87" s="820">
        <f>SUMIF(MAP!$J$492:$J$796,$D87,MAP!AL$492:AL$796)</f>
        <v>0</v>
      </c>
      <c r="AE87" s="820">
        <f>SUMIF(MAP!$J$492:$J$796,$D87,MAP!AM$492:AM$796)</f>
        <v>0</v>
      </c>
      <c r="AF87" s="820">
        <f>SUMIF(MAP!$J$492:$J$796,$D87,MAP!AN$492:AN$796)</f>
        <v>0</v>
      </c>
      <c r="AG87" s="820">
        <f>SUMIF(MAP!$J$492:$J$796,$D87,MAP!AO$492:AO$796)</f>
        <v>0</v>
      </c>
      <c r="AH87" s="820">
        <f>SUMIF(MAP!$J$492:$J$796,$D87,MAP!AP$492:AP$796)</f>
        <v>0</v>
      </c>
      <c r="AI87" s="820">
        <f>SUMIF(MAP!$J$492:$J$796,$D87,MAP!AQ$492:AQ$796)</f>
        <v>0</v>
      </c>
      <c r="AJ87" s="820">
        <f>SUMIF(MAP!$J$492:$J$796,$D87,MAP!AR$492:AR$796)</f>
        <v>0</v>
      </c>
      <c r="AK87" s="820">
        <f>SUMIF(MAP!$J$492:$J$796,$D87,MAP!AS$492:AS$796)</f>
        <v>0</v>
      </c>
      <c r="AL87" s="820">
        <f>SUMIF(MAP!$J$492:$J$796,$D87,MAP!AT$492:AT$796)</f>
        <v>0</v>
      </c>
      <c r="AM87" s="820">
        <f>SUMIF(MAP!$J$492:$J$796,$D87,MAP!AU$492:AU$796)</f>
        <v>0</v>
      </c>
    </row>
    <row r="88" spans="1:39" x14ac:dyDescent="0.25">
      <c r="A88" s="2"/>
      <c r="B88" s="3">
        <f>MAX($B$4:B87)+1</f>
        <v>81</v>
      </c>
      <c r="C88" s="859" t="s">
        <v>1452</v>
      </c>
      <c r="D88" s="7" t="s">
        <v>557</v>
      </c>
      <c r="E88" s="902"/>
      <c r="F88" s="854">
        <f>SUMIF(MAP!$J$492:$J$796,$D88,MAP!N$492:N$796)</f>
        <v>0</v>
      </c>
      <c r="G88" s="820">
        <f>SUMIF(MAP!$J$492:$J$796,$D88,MAP!O$492:O$796)</f>
        <v>0</v>
      </c>
      <c r="H88" s="820">
        <f>SUMIF(MAP!$J$492:$J$796,$D88,MAP!P$492:P$796)</f>
        <v>0</v>
      </c>
      <c r="I88" s="820">
        <f>SUMIF(MAP!$J$492:$J$796,$D88,MAP!Q$492:Q$796)</f>
        <v>0</v>
      </c>
      <c r="J88" s="820">
        <f>SUMIF(MAP!$J$492:$J$796,$D88,MAP!R$492:R$796)</f>
        <v>0</v>
      </c>
      <c r="K88" s="820">
        <f>SUMIF(MAP!$J$492:$J$796,$D88,MAP!S$492:S$796)</f>
        <v>0</v>
      </c>
      <c r="L88" s="820">
        <f>SUMIF(MAP!$J$492:$J$796,$D88,MAP!T$492:T$796)</f>
        <v>0</v>
      </c>
      <c r="M88" s="820">
        <f>SUMIF(MAP!$J$492:$J$796,$D88,MAP!U$492:U$796)</f>
        <v>0</v>
      </c>
      <c r="N88" s="820">
        <f>SUMIF(MAP!$J$492:$J$796,$D88,MAP!V$492:V$796)</f>
        <v>0</v>
      </c>
      <c r="O88" s="820">
        <f>SUMIF(MAP!$J$492:$J$796,$D88,MAP!W$492:W$796)</f>
        <v>0</v>
      </c>
      <c r="P88" s="820">
        <f>SUMIF(MAP!$J$492:$J$796,$D88,MAP!X$492:X$796)</f>
        <v>0</v>
      </c>
      <c r="Q88" s="820">
        <f>SUMIF(MAP!$J$492:$J$796,$D88,MAP!Y$492:Y$796)</f>
        <v>0</v>
      </c>
      <c r="R88" s="820">
        <f>SUMIF(MAP!$J$492:$J$796,$D88,MAP!Z$492:Z$796)</f>
        <v>0</v>
      </c>
      <c r="S88" s="820">
        <f>SUMIF(MAP!$J$492:$J$796,$D88,MAP!AA$492:AA$796)</f>
        <v>0</v>
      </c>
      <c r="T88" s="820">
        <f>SUMIF(MAP!$J$492:$J$796,$D88,MAP!AB$492:AB$796)</f>
        <v>0</v>
      </c>
      <c r="U88" s="820">
        <f>SUMIF(MAP!$J$492:$J$796,$D88,MAP!AC$492:AC$796)</f>
        <v>0</v>
      </c>
      <c r="V88" s="820">
        <f>SUMIF(MAP!$J$492:$J$796,$D88,MAP!AD$492:AD$796)</f>
        <v>0</v>
      </c>
      <c r="W88" s="820">
        <f>SUMIF(MAP!$J$492:$J$796,$D88,MAP!AE$492:AE$796)</f>
        <v>0</v>
      </c>
      <c r="X88" s="820">
        <f>SUMIF(MAP!$J$492:$J$796,$D88,MAP!AF$492:AF$796)</f>
        <v>0</v>
      </c>
      <c r="Y88" s="820">
        <f>SUMIF(MAP!$J$492:$J$796,$D88,MAP!AG$492:AG$796)</f>
        <v>0</v>
      </c>
      <c r="Z88" s="820">
        <f>SUMIF(MAP!$J$492:$J$796,$D88,MAP!AH$492:AH$796)</f>
        <v>0</v>
      </c>
      <c r="AA88" s="820">
        <f>SUMIF(MAP!$J$492:$J$796,$D88,MAP!AI$492:AI$796)</f>
        <v>0</v>
      </c>
      <c r="AB88" s="820">
        <f>SUMIF(MAP!$J$492:$J$796,$D88,MAP!AJ$492:AJ$796)</f>
        <v>0</v>
      </c>
      <c r="AC88" s="820">
        <f>SUMIF(MAP!$J$492:$J$796,$D88,MAP!AK$492:AK$796)</f>
        <v>0</v>
      </c>
      <c r="AD88" s="820">
        <f>SUMIF(MAP!$J$492:$J$796,$D88,MAP!AL$492:AL$796)</f>
        <v>0</v>
      </c>
      <c r="AE88" s="820">
        <f>SUMIF(MAP!$J$492:$J$796,$D88,MAP!AM$492:AM$796)</f>
        <v>0</v>
      </c>
      <c r="AF88" s="820">
        <f>SUMIF(MAP!$J$492:$J$796,$D88,MAP!AN$492:AN$796)</f>
        <v>0</v>
      </c>
      <c r="AG88" s="820">
        <f>SUMIF(MAP!$J$492:$J$796,$D88,MAP!AO$492:AO$796)</f>
        <v>0</v>
      </c>
      <c r="AH88" s="820">
        <f>SUMIF(MAP!$J$492:$J$796,$D88,MAP!AP$492:AP$796)</f>
        <v>0</v>
      </c>
      <c r="AI88" s="820">
        <f>SUMIF(MAP!$J$492:$J$796,$D88,MAP!AQ$492:AQ$796)</f>
        <v>0</v>
      </c>
      <c r="AJ88" s="820">
        <f>SUMIF(MAP!$J$492:$J$796,$D88,MAP!AR$492:AR$796)</f>
        <v>0</v>
      </c>
      <c r="AK88" s="820">
        <f>SUMIF(MAP!$J$492:$J$796,$D88,MAP!AS$492:AS$796)</f>
        <v>0</v>
      </c>
      <c r="AL88" s="820">
        <f>SUMIF(MAP!$J$492:$J$796,$D88,MAP!AT$492:AT$796)</f>
        <v>0</v>
      </c>
      <c r="AM88" s="820">
        <f>SUMIF(MAP!$J$492:$J$796,$D88,MAP!AU$492:AU$796)</f>
        <v>0</v>
      </c>
    </row>
    <row r="89" spans="1:39" x14ac:dyDescent="0.25">
      <c r="A89" s="2"/>
      <c r="B89" s="3">
        <f>MAX($B$4:B88)+1</f>
        <v>82</v>
      </c>
      <c r="C89" s="708"/>
      <c r="D89" s="7"/>
      <c r="E89" s="902"/>
      <c r="F89" s="820"/>
      <c r="G89" s="820"/>
      <c r="H89" s="820"/>
      <c r="I89" s="820"/>
      <c r="J89" s="820"/>
      <c r="K89" s="820"/>
      <c r="L89" s="820"/>
      <c r="M89" s="820"/>
      <c r="N89" s="820"/>
      <c r="O89" s="820"/>
      <c r="P89" s="820"/>
      <c r="Q89" s="820"/>
      <c r="R89" s="820"/>
      <c r="S89" s="820"/>
      <c r="T89" s="820"/>
      <c r="U89" s="820"/>
      <c r="V89" s="820"/>
      <c r="W89" s="820"/>
      <c r="X89" s="820"/>
      <c r="Y89" s="820"/>
      <c r="Z89" s="820"/>
      <c r="AA89" s="820"/>
      <c r="AB89" s="820"/>
      <c r="AC89" s="820"/>
      <c r="AD89" s="820"/>
      <c r="AE89" s="820"/>
      <c r="AF89" s="820"/>
      <c r="AG89" s="820"/>
      <c r="AH89" s="820"/>
      <c r="AI89" s="820"/>
      <c r="AJ89" s="820"/>
      <c r="AK89" s="820"/>
      <c r="AL89" s="820"/>
      <c r="AM89" s="820"/>
    </row>
    <row r="90" spans="1:39" x14ac:dyDescent="0.25">
      <c r="A90" s="2"/>
      <c r="B90" s="3">
        <f>MAX($B$4:B89)+1</f>
        <v>83</v>
      </c>
      <c r="C90" s="859" t="s">
        <v>1453</v>
      </c>
      <c r="D90" s="7" t="s">
        <v>864</v>
      </c>
      <c r="E90" s="902" t="s">
        <v>1440</v>
      </c>
      <c r="F90" s="820">
        <f>-SUMIF(MAP!$J$492:$J$796,$D90,MAP!N$492:N$796)</f>
        <v>0</v>
      </c>
      <c r="G90" s="820">
        <f>-SUMIF(MAP!$J$492:$J$796,$D90,MAP!O$492:O$796)</f>
        <v>0</v>
      </c>
      <c r="H90" s="820">
        <f>-SUMIF(MAP!$J$492:$J$796,$D90,MAP!P$492:P$796)</f>
        <v>0</v>
      </c>
      <c r="I90" s="820">
        <f>-SUMIF(MAP!$J$492:$J$796,$D90,MAP!Q$492:Q$796)</f>
        <v>0</v>
      </c>
      <c r="J90" s="820">
        <f>-SUMIF(MAP!$J$492:$J$796,$D90,MAP!R$492:R$796)</f>
        <v>0</v>
      </c>
      <c r="K90" s="820">
        <f>-SUMIF(MAP!$J$492:$J$796,$D90,MAP!S$492:S$796)</f>
        <v>0</v>
      </c>
      <c r="L90" s="820">
        <f>-SUMIF(MAP!$J$492:$J$796,$D90,MAP!T$492:T$796)</f>
        <v>0</v>
      </c>
      <c r="M90" s="820">
        <f>-SUMIF(MAP!$J$492:$J$796,$D90,MAP!U$492:U$796)</f>
        <v>0</v>
      </c>
      <c r="N90" s="820">
        <f>-SUMIF(MAP!$J$492:$J$796,$D90,MAP!V$492:V$796)</f>
        <v>0</v>
      </c>
      <c r="O90" s="820">
        <f>-SUMIF(MAP!$J$492:$J$796,$D90,MAP!W$492:W$796)</f>
        <v>0</v>
      </c>
      <c r="P90" s="820">
        <f>-SUMIF(MAP!$J$492:$J$796,$D90,MAP!X$492:X$796)</f>
        <v>0</v>
      </c>
      <c r="Q90" s="820">
        <f>-SUMIF(MAP!$J$492:$J$796,$D90,MAP!Y$492:Y$796)</f>
        <v>0</v>
      </c>
      <c r="R90" s="820">
        <f>-SUMIF(MAP!$J$492:$J$796,$D90,MAP!Z$492:Z$796)</f>
        <v>0</v>
      </c>
      <c r="S90" s="820">
        <f>-SUMIF(MAP!$J$492:$J$796,$D90,MAP!AA$492:AA$796)</f>
        <v>0</v>
      </c>
      <c r="T90" s="820">
        <f>-SUMIF(MAP!$J$492:$J$796,$D90,MAP!AB$492:AB$796)</f>
        <v>0</v>
      </c>
      <c r="U90" s="820">
        <f>-SUMIF(MAP!$J$492:$J$796,$D90,MAP!AC$492:AC$796)</f>
        <v>0</v>
      </c>
      <c r="V90" s="820">
        <f>-SUMIF(MAP!$J$492:$J$796,$D90,MAP!AD$492:AD$796)</f>
        <v>0</v>
      </c>
      <c r="W90" s="820">
        <f>-SUMIF(MAP!$J$492:$J$796,$D90,MAP!AE$492:AE$796)</f>
        <v>0</v>
      </c>
      <c r="X90" s="820">
        <f>-SUMIF(MAP!$J$492:$J$796,$D90,MAP!AF$492:AF$796)</f>
        <v>0</v>
      </c>
      <c r="Y90" s="820">
        <f>-SUMIF(MAP!$J$492:$J$796,$D90,MAP!AG$492:AG$796)</f>
        <v>0</v>
      </c>
      <c r="Z90" s="820">
        <f>-SUMIF(MAP!$J$492:$J$796,$D90,MAP!AH$492:AH$796)</f>
        <v>0</v>
      </c>
      <c r="AA90" s="820">
        <f>-SUMIF(MAP!$J$492:$J$796,$D90,MAP!AI$492:AI$796)</f>
        <v>0</v>
      </c>
      <c r="AB90" s="820">
        <f>-SUMIF(MAP!$J$492:$J$796,$D90,MAP!AJ$492:AJ$796)</f>
        <v>0</v>
      </c>
      <c r="AC90" s="820">
        <f>-SUMIF(MAP!$J$492:$J$796,$D90,MAP!AK$492:AK$796)</f>
        <v>0</v>
      </c>
      <c r="AD90" s="820">
        <f>-SUMIF(MAP!$J$492:$J$796,$D90,MAP!AL$492:AL$796)</f>
        <v>0</v>
      </c>
      <c r="AE90" s="820">
        <f>-SUMIF(MAP!$J$492:$J$796,$D90,MAP!AM$492:AM$796)</f>
        <v>0</v>
      </c>
      <c r="AF90" s="820">
        <f>-SUMIF(MAP!$J$492:$J$796,$D90,MAP!AN$492:AN$796)</f>
        <v>0</v>
      </c>
      <c r="AG90" s="820">
        <f>-SUMIF(MAP!$J$492:$J$796,$D90,MAP!AO$492:AO$796)</f>
        <v>0</v>
      </c>
      <c r="AH90" s="820">
        <f>-SUMIF(MAP!$J$492:$J$796,$D90,MAP!AP$492:AP$796)</f>
        <v>0</v>
      </c>
      <c r="AI90" s="820">
        <f>-SUMIF(MAP!$J$492:$J$796,$D90,MAP!AQ$492:AQ$796)</f>
        <v>0</v>
      </c>
      <c r="AJ90" s="820">
        <f>-SUMIF(MAP!$J$492:$J$796,$D90,MAP!AR$492:AR$796)</f>
        <v>0</v>
      </c>
      <c r="AK90" s="820">
        <f>-SUMIF(MAP!$J$492:$J$796,$D90,MAP!AS$492:AS$796)</f>
        <v>0</v>
      </c>
      <c r="AL90" s="820">
        <f>-SUMIF(MAP!$J$492:$J$796,$D90,MAP!AT$492:AT$796)</f>
        <v>0</v>
      </c>
      <c r="AM90" s="820">
        <f>-SUMIF(MAP!$J$492:$J$796,$D90,MAP!AU$492:AU$796)</f>
        <v>0</v>
      </c>
    </row>
    <row r="91" spans="1:39" x14ac:dyDescent="0.25">
      <c r="A91" s="2"/>
      <c r="B91" s="3">
        <f>MAX($B$4:B90)+1</f>
        <v>84</v>
      </c>
      <c r="C91" s="859" t="s">
        <v>1453</v>
      </c>
      <c r="D91" s="7" t="s">
        <v>868</v>
      </c>
      <c r="E91" s="902" t="s">
        <v>1440</v>
      </c>
      <c r="F91" s="854">
        <f>-SUMIF(MAP!$J$492:$J$796,$D91,MAP!N$492:N$796)</f>
        <v>0</v>
      </c>
      <c r="G91" s="820">
        <f>-SUMIF(MAP!$J$492:$J$796,$D91,MAP!O$492:O$796)</f>
        <v>0</v>
      </c>
      <c r="H91" s="820">
        <f>-SUMIF(MAP!$J$492:$J$796,$D91,MAP!P$492:P$796)</f>
        <v>0</v>
      </c>
      <c r="I91" s="820">
        <f>-SUMIF(MAP!$J$492:$J$796,$D91,MAP!Q$492:Q$796)</f>
        <v>0</v>
      </c>
      <c r="J91" s="820">
        <f>-SUMIF(MAP!$J$492:$J$796,$D91,MAP!R$492:R$796)</f>
        <v>0</v>
      </c>
      <c r="K91" s="820">
        <f>-SUMIF(MAP!$J$492:$J$796,$D91,MAP!S$492:S$796)</f>
        <v>0</v>
      </c>
      <c r="L91" s="820">
        <f>-SUMIF(MAP!$J$492:$J$796,$D91,MAP!T$492:T$796)</f>
        <v>0</v>
      </c>
      <c r="M91" s="820">
        <f>-SUMIF(MAP!$J$492:$J$796,$D91,MAP!U$492:U$796)</f>
        <v>0</v>
      </c>
      <c r="N91" s="820">
        <f>-SUMIF(MAP!$J$492:$J$796,$D91,MAP!V$492:V$796)</f>
        <v>0</v>
      </c>
      <c r="O91" s="820">
        <f>-SUMIF(MAP!$J$492:$J$796,$D91,MAP!W$492:W$796)</f>
        <v>0</v>
      </c>
      <c r="P91" s="820">
        <f>-SUMIF(MAP!$J$492:$J$796,$D91,MAP!X$492:X$796)</f>
        <v>0</v>
      </c>
      <c r="Q91" s="820">
        <f>-SUMIF(MAP!$J$492:$J$796,$D91,MAP!Y$492:Y$796)</f>
        <v>0</v>
      </c>
      <c r="R91" s="820">
        <f>-SUMIF(MAP!$J$492:$J$796,$D91,MAP!Z$492:Z$796)</f>
        <v>0</v>
      </c>
      <c r="S91" s="820">
        <f>-SUMIF(MAP!$J$492:$J$796,$D91,MAP!AA$492:AA$796)</f>
        <v>0</v>
      </c>
      <c r="T91" s="820">
        <f>-SUMIF(MAP!$J$492:$J$796,$D91,MAP!AB$492:AB$796)</f>
        <v>0</v>
      </c>
      <c r="U91" s="820">
        <f>-SUMIF(MAP!$J$492:$J$796,$D91,MAP!AC$492:AC$796)</f>
        <v>0</v>
      </c>
      <c r="V91" s="820">
        <f>-SUMIF(MAP!$J$492:$J$796,$D91,MAP!AD$492:AD$796)</f>
        <v>0</v>
      </c>
      <c r="W91" s="820">
        <f>-SUMIF(MAP!$J$492:$J$796,$D91,MAP!AE$492:AE$796)</f>
        <v>0</v>
      </c>
      <c r="X91" s="820">
        <f>-SUMIF(MAP!$J$492:$J$796,$D91,MAP!AF$492:AF$796)</f>
        <v>0</v>
      </c>
      <c r="Y91" s="820">
        <f>-SUMIF(MAP!$J$492:$J$796,$D91,MAP!AG$492:AG$796)</f>
        <v>0</v>
      </c>
      <c r="Z91" s="820">
        <f>-SUMIF(MAP!$J$492:$J$796,$D91,MAP!AH$492:AH$796)</f>
        <v>0</v>
      </c>
      <c r="AA91" s="820">
        <f>-SUMIF(MAP!$J$492:$J$796,$D91,MAP!AI$492:AI$796)</f>
        <v>0</v>
      </c>
      <c r="AB91" s="820">
        <f>-SUMIF(MAP!$J$492:$J$796,$D91,MAP!AJ$492:AJ$796)</f>
        <v>0</v>
      </c>
      <c r="AC91" s="820">
        <f>-SUMIF(MAP!$J$492:$J$796,$D91,MAP!AK$492:AK$796)</f>
        <v>0</v>
      </c>
      <c r="AD91" s="820">
        <f>-SUMIF(MAP!$J$492:$J$796,$D91,MAP!AL$492:AL$796)</f>
        <v>0</v>
      </c>
      <c r="AE91" s="820">
        <f>-SUMIF(MAP!$J$492:$J$796,$D91,MAP!AM$492:AM$796)</f>
        <v>0</v>
      </c>
      <c r="AF91" s="820">
        <f>-SUMIF(MAP!$J$492:$J$796,$D91,MAP!AN$492:AN$796)</f>
        <v>0</v>
      </c>
      <c r="AG91" s="820">
        <f>-SUMIF(MAP!$J$492:$J$796,$D91,MAP!AO$492:AO$796)</f>
        <v>0</v>
      </c>
      <c r="AH91" s="820">
        <f>-SUMIF(MAP!$J$492:$J$796,$D91,MAP!AP$492:AP$796)</f>
        <v>0</v>
      </c>
      <c r="AI91" s="820">
        <f>-SUMIF(MAP!$J$492:$J$796,$D91,MAP!AQ$492:AQ$796)</f>
        <v>0</v>
      </c>
      <c r="AJ91" s="820">
        <f>-SUMIF(MAP!$J$492:$J$796,$D91,MAP!AR$492:AR$796)</f>
        <v>0</v>
      </c>
      <c r="AK91" s="820">
        <f>-SUMIF(MAP!$J$492:$J$796,$D91,MAP!AS$492:AS$796)</f>
        <v>0</v>
      </c>
      <c r="AL91" s="820">
        <f>-SUMIF(MAP!$J$492:$J$796,$D91,MAP!AT$492:AT$796)</f>
        <v>0</v>
      </c>
      <c r="AM91" s="820">
        <f>-SUMIF(MAP!$J$492:$J$796,$D91,MAP!AU$492:AU$796)</f>
        <v>0</v>
      </c>
    </row>
    <row r="92" spans="1:39" x14ac:dyDescent="0.25">
      <c r="A92" s="2"/>
      <c r="B92" s="3">
        <f>MAX($B$4:B91)+1</f>
        <v>85</v>
      </c>
      <c r="C92" s="859" t="s">
        <v>1453</v>
      </c>
      <c r="D92" s="7" t="s">
        <v>870</v>
      </c>
      <c r="E92" s="902" t="s">
        <v>1440</v>
      </c>
      <c r="F92" s="854">
        <f>-SUMIF(MAP!$J$492:$J$796,$D92,MAP!N$492:N$796)</f>
        <v>0</v>
      </c>
      <c r="G92" s="820">
        <f>-SUMIF(MAP!$J$492:$J$796,$D92,MAP!O$492:O$796)</f>
        <v>0</v>
      </c>
      <c r="H92" s="820">
        <f>-SUMIF(MAP!$J$492:$J$796,$D92,MAP!P$492:P$796)</f>
        <v>0</v>
      </c>
      <c r="I92" s="820">
        <f>-SUMIF(MAP!$J$492:$J$796,$D92,MAP!Q$492:Q$796)</f>
        <v>0</v>
      </c>
      <c r="J92" s="820">
        <f>-SUMIF(MAP!$J$492:$J$796,$D92,MAP!R$492:R$796)</f>
        <v>0</v>
      </c>
      <c r="K92" s="820">
        <f>-SUMIF(MAP!$J$492:$J$796,$D92,MAP!S$492:S$796)</f>
        <v>0</v>
      </c>
      <c r="L92" s="820">
        <f>-SUMIF(MAP!$J$492:$J$796,$D92,MAP!T$492:T$796)</f>
        <v>0</v>
      </c>
      <c r="M92" s="820">
        <f>-SUMIF(MAP!$J$492:$J$796,$D92,MAP!U$492:U$796)</f>
        <v>0</v>
      </c>
      <c r="N92" s="820">
        <f>-SUMIF(MAP!$J$492:$J$796,$D92,MAP!V$492:V$796)</f>
        <v>0</v>
      </c>
      <c r="O92" s="820">
        <f>-SUMIF(MAP!$J$492:$J$796,$D92,MAP!W$492:W$796)</f>
        <v>0</v>
      </c>
      <c r="P92" s="820">
        <f>-SUMIF(MAP!$J$492:$J$796,$D92,MAP!X$492:X$796)</f>
        <v>0</v>
      </c>
      <c r="Q92" s="820">
        <f>-SUMIF(MAP!$J$492:$J$796,$D92,MAP!Y$492:Y$796)</f>
        <v>0</v>
      </c>
      <c r="R92" s="820">
        <f>-SUMIF(MAP!$J$492:$J$796,$D92,MAP!Z$492:Z$796)</f>
        <v>0</v>
      </c>
      <c r="S92" s="820">
        <f>-SUMIF(MAP!$J$492:$J$796,$D92,MAP!AA$492:AA$796)</f>
        <v>0</v>
      </c>
      <c r="T92" s="820">
        <f>-SUMIF(MAP!$J$492:$J$796,$D92,MAP!AB$492:AB$796)</f>
        <v>0</v>
      </c>
      <c r="U92" s="820">
        <f>-SUMIF(MAP!$J$492:$J$796,$D92,MAP!AC$492:AC$796)</f>
        <v>0</v>
      </c>
      <c r="V92" s="820">
        <f>-SUMIF(MAP!$J$492:$J$796,$D92,MAP!AD$492:AD$796)</f>
        <v>0</v>
      </c>
      <c r="W92" s="820">
        <f>-SUMIF(MAP!$J$492:$J$796,$D92,MAP!AE$492:AE$796)</f>
        <v>0</v>
      </c>
      <c r="X92" s="820">
        <f>-SUMIF(MAP!$J$492:$J$796,$D92,MAP!AF$492:AF$796)</f>
        <v>0</v>
      </c>
      <c r="Y92" s="820">
        <f>-SUMIF(MAP!$J$492:$J$796,$D92,MAP!AG$492:AG$796)</f>
        <v>0</v>
      </c>
      <c r="Z92" s="820">
        <f>-SUMIF(MAP!$J$492:$J$796,$D92,MAP!AH$492:AH$796)</f>
        <v>0</v>
      </c>
      <c r="AA92" s="820">
        <f>-SUMIF(MAP!$J$492:$J$796,$D92,MAP!AI$492:AI$796)</f>
        <v>0</v>
      </c>
      <c r="AB92" s="820">
        <f>-SUMIF(MAP!$J$492:$J$796,$D92,MAP!AJ$492:AJ$796)</f>
        <v>0</v>
      </c>
      <c r="AC92" s="820">
        <f>-SUMIF(MAP!$J$492:$J$796,$D92,MAP!AK$492:AK$796)</f>
        <v>0</v>
      </c>
      <c r="AD92" s="820">
        <f>-SUMIF(MAP!$J$492:$J$796,$D92,MAP!AL$492:AL$796)</f>
        <v>0</v>
      </c>
      <c r="AE92" s="820">
        <f>-SUMIF(MAP!$J$492:$J$796,$D92,MAP!AM$492:AM$796)</f>
        <v>0</v>
      </c>
      <c r="AF92" s="820">
        <f>-SUMIF(MAP!$J$492:$J$796,$D92,MAP!AN$492:AN$796)</f>
        <v>0</v>
      </c>
      <c r="AG92" s="820">
        <f>-SUMIF(MAP!$J$492:$J$796,$D92,MAP!AO$492:AO$796)</f>
        <v>0</v>
      </c>
      <c r="AH92" s="820">
        <f>-SUMIF(MAP!$J$492:$J$796,$D92,MAP!AP$492:AP$796)</f>
        <v>0</v>
      </c>
      <c r="AI92" s="820">
        <f>-SUMIF(MAP!$J$492:$J$796,$D92,MAP!AQ$492:AQ$796)</f>
        <v>0</v>
      </c>
      <c r="AJ92" s="820">
        <f>-SUMIF(MAP!$J$492:$J$796,$D92,MAP!AR$492:AR$796)</f>
        <v>0</v>
      </c>
      <c r="AK92" s="820">
        <f>-SUMIF(MAP!$J$492:$J$796,$D92,MAP!AS$492:AS$796)</f>
        <v>0</v>
      </c>
      <c r="AL92" s="820">
        <f>-SUMIF(MAP!$J$492:$J$796,$D92,MAP!AT$492:AT$796)</f>
        <v>0</v>
      </c>
      <c r="AM92" s="820">
        <f>-SUMIF(MAP!$J$492:$J$796,$D92,MAP!AU$492:AU$796)</f>
        <v>0</v>
      </c>
    </row>
    <row r="93" spans="1:39" x14ac:dyDescent="0.25">
      <c r="A93" s="2"/>
      <c r="B93" s="3">
        <f>MAX($B$4:B92)+1</f>
        <v>86</v>
      </c>
      <c r="C93" s="858"/>
      <c r="D93" s="7"/>
      <c r="E93" s="24" t="s">
        <v>1438</v>
      </c>
      <c r="F93" s="1375">
        <f t="shared" ref="F93:AI93" si="8">SUM(F86:F92)</f>
        <v>0</v>
      </c>
      <c r="G93" s="1375">
        <f t="shared" si="8"/>
        <v>0</v>
      </c>
      <c r="H93" s="1375">
        <f t="shared" si="8"/>
        <v>0</v>
      </c>
      <c r="I93" s="1375">
        <f t="shared" si="8"/>
        <v>0</v>
      </c>
      <c r="J93" s="1375">
        <f t="shared" si="8"/>
        <v>0</v>
      </c>
      <c r="K93" s="1375">
        <f t="shared" si="8"/>
        <v>0</v>
      </c>
      <c r="L93" s="1375">
        <f t="shared" si="8"/>
        <v>0</v>
      </c>
      <c r="M93" s="1375">
        <f t="shared" si="8"/>
        <v>0</v>
      </c>
      <c r="N93" s="1375">
        <f t="shared" si="8"/>
        <v>0</v>
      </c>
      <c r="O93" s="1375">
        <f t="shared" si="8"/>
        <v>0</v>
      </c>
      <c r="P93" s="1375">
        <f t="shared" si="8"/>
        <v>0</v>
      </c>
      <c r="Q93" s="1375">
        <f t="shared" si="8"/>
        <v>0</v>
      </c>
      <c r="R93" s="1375">
        <f t="shared" si="8"/>
        <v>0</v>
      </c>
      <c r="S93" s="1375">
        <f t="shared" si="8"/>
        <v>0</v>
      </c>
      <c r="T93" s="1375">
        <f t="shared" si="8"/>
        <v>0</v>
      </c>
      <c r="U93" s="1375">
        <f t="shared" si="8"/>
        <v>0</v>
      </c>
      <c r="V93" s="1375">
        <f t="shared" si="8"/>
        <v>0</v>
      </c>
      <c r="W93" s="1375">
        <f t="shared" si="8"/>
        <v>0</v>
      </c>
      <c r="X93" s="1375">
        <f t="shared" si="8"/>
        <v>0</v>
      </c>
      <c r="Y93" s="1375">
        <f t="shared" si="8"/>
        <v>0</v>
      </c>
      <c r="Z93" s="1375">
        <f t="shared" si="8"/>
        <v>0</v>
      </c>
      <c r="AA93" s="1375">
        <f t="shared" si="8"/>
        <v>0</v>
      </c>
      <c r="AB93" s="1375">
        <f t="shared" si="8"/>
        <v>0</v>
      </c>
      <c r="AC93" s="1375">
        <f t="shared" si="8"/>
        <v>0</v>
      </c>
      <c r="AD93" s="1375">
        <f t="shared" si="8"/>
        <v>0</v>
      </c>
      <c r="AE93" s="1375">
        <f t="shared" si="8"/>
        <v>0</v>
      </c>
      <c r="AF93" s="1375">
        <f t="shared" si="8"/>
        <v>0</v>
      </c>
      <c r="AG93" s="1375">
        <f t="shared" si="8"/>
        <v>0</v>
      </c>
      <c r="AH93" s="1375">
        <f t="shared" si="8"/>
        <v>0</v>
      </c>
      <c r="AI93" s="1375">
        <f t="shared" si="8"/>
        <v>0</v>
      </c>
      <c r="AJ93" s="1375">
        <f>SUM(AJ86:AJ92)</f>
        <v>0</v>
      </c>
      <c r="AK93" s="1375">
        <f>SUM(AK86:AK92)</f>
        <v>0</v>
      </c>
      <c r="AL93" s="1375">
        <f>SUM(AL86:AL92)</f>
        <v>0</v>
      </c>
      <c r="AM93" s="1375">
        <f>SUM(AM86:AM92)</f>
        <v>0</v>
      </c>
    </row>
    <row r="94" spans="1:39" x14ac:dyDescent="0.25">
      <c r="A94" s="2"/>
      <c r="B94" s="3">
        <f>MAX($B$4:B93)+1</f>
        <v>87</v>
      </c>
      <c r="C94" s="852" t="s">
        <v>729</v>
      </c>
      <c r="D94" s="7" t="s">
        <v>311</v>
      </c>
      <c r="E94" s="902"/>
      <c r="F94" s="34" t="e">
        <f>-SUMIFS(MAP!N:N,MAP!$C:$C,"SOCNE",MAP!$E:$E,$D94)</f>
        <v>#VALUE!</v>
      </c>
      <c r="G94" s="34">
        <f>-SUMIFS(MAP!O:O,MAP!$C:$C,"SOCNE",MAP!$E:$E,$D94)</f>
        <v>0</v>
      </c>
      <c r="H94" s="34">
        <f>-SUMIFS(MAP!P:P,MAP!$C:$C,"SOCNE",MAP!$E:$E,$D94)</f>
        <v>0</v>
      </c>
      <c r="I94" s="34">
        <f>-SUMIFS(MAP!Q:Q,MAP!$C:$C,"SOCNE",MAP!$E:$E,$D94)</f>
        <v>0</v>
      </c>
      <c r="J94" s="34">
        <f>-SUMIFS(MAP!R:R,MAP!$C:$C,"SOCNE",MAP!$E:$E,$D94)</f>
        <v>0</v>
      </c>
      <c r="K94" s="34">
        <f>-SUMIFS(MAP!S:S,MAP!$C:$C,"SOCNE",MAP!$E:$E,$D94)</f>
        <v>0</v>
      </c>
      <c r="L94" s="34" t="e">
        <f>-SUMIFS(MAP!T:T,MAP!$C:$C,"SOCNE",MAP!$E:$E,$D94)</f>
        <v>#VALUE!</v>
      </c>
      <c r="M94" s="34">
        <f>-SUMIFS(MAP!U:U,MAP!$C:$C,"SOCNE",MAP!$E:$E,$D94)</f>
        <v>0</v>
      </c>
      <c r="N94" s="34">
        <f>-SUMIFS(MAP!V:V,MAP!$C:$C,"SOCNE",MAP!$E:$E,$D94)</f>
        <v>0</v>
      </c>
      <c r="O94" s="34" t="e">
        <f>-SUMIFS(MAP!W:W,MAP!$C:$C,"SOCNE",MAP!$E:$E,$D94)</f>
        <v>#VALUE!</v>
      </c>
      <c r="P94" s="34">
        <f>-SUMIFS(MAP!X:X,MAP!$C:$C,"SOCNE",MAP!$E:$E,$D94)</f>
        <v>0</v>
      </c>
      <c r="Q94" s="34">
        <f>-SUMIFS(MAP!Y:Y,MAP!$C:$C,"SOCNE",MAP!$E:$E,$D94)</f>
        <v>0</v>
      </c>
      <c r="R94" s="34">
        <f>-SUMIFS(MAP!Z:Z,MAP!$C:$C,"SOCNE",MAP!$E:$E,$D94)</f>
        <v>0</v>
      </c>
      <c r="S94" s="34">
        <f>-SUMIFS(MAP!AA:AA,MAP!$C:$C,"SOCNE",MAP!$E:$E,$D94)</f>
        <v>0</v>
      </c>
      <c r="T94" s="34">
        <f>-SUMIFS(MAP!AB:AB,MAP!$C:$C,"SOCNE",MAP!$E:$E,$D94)</f>
        <v>0</v>
      </c>
      <c r="U94" s="34">
        <f>-SUMIFS(MAP!AC:AC,MAP!$C:$C,"SOCNE",MAP!$E:$E,$D94)</f>
        <v>0</v>
      </c>
      <c r="V94" s="34">
        <f>-SUMIFS(MAP!AD:AD,MAP!$C:$C,"SOCNE",MAP!$E:$E,$D94)</f>
        <v>0</v>
      </c>
      <c r="W94" s="34">
        <f>-SUMIFS(MAP!AE:AE,MAP!$C:$C,"SOCNE",MAP!$E:$E,$D94)</f>
        <v>0</v>
      </c>
      <c r="X94" s="34">
        <f>-SUMIFS(MAP!AF:AF,MAP!$C:$C,"SOCNE",MAP!$E:$E,$D94)</f>
        <v>0</v>
      </c>
      <c r="Y94" s="34">
        <f>-SUMIFS(MAP!AG:AG,MAP!$C:$C,"SOCNE",MAP!$E:$E,$D94)</f>
        <v>0</v>
      </c>
      <c r="Z94" s="34">
        <f>-SUMIFS(MAP!AH:AH,MAP!$C:$C,"SOCNE",MAP!$E:$E,$D94)</f>
        <v>0</v>
      </c>
      <c r="AA94" s="34">
        <f>-SUMIFS(MAP!AI:AI,MAP!$C:$C,"SOCNE",MAP!$E:$E,$D94)</f>
        <v>0</v>
      </c>
      <c r="AB94" s="34">
        <f>-SUMIFS(MAP!AJ:AJ,MAP!$C:$C,"SOCNE",MAP!$E:$E,$D94)</f>
        <v>0</v>
      </c>
      <c r="AC94" s="34">
        <f>-SUMIFS(MAP!AK:AK,MAP!$C:$C,"SOCNE",MAP!$E:$E,$D94)</f>
        <v>0</v>
      </c>
      <c r="AD94" s="34">
        <f>-SUMIFS(MAP!AL:AL,MAP!$C:$C,"SOCNE",MAP!$E:$E,$D94)</f>
        <v>0</v>
      </c>
      <c r="AE94" s="34">
        <f>-SUMIFS(MAP!AM:AM,MAP!$C:$C,"SOCNE",MAP!$E:$E,$D94)</f>
        <v>0</v>
      </c>
      <c r="AF94" s="34">
        <f>-SUMIFS(MAP!AN:AN,MAP!$C:$C,"SOCNE",MAP!$E:$E,$D94)</f>
        <v>0</v>
      </c>
      <c r="AG94" s="34">
        <f>-SUMIFS(MAP!AO:AO,MAP!$C:$C,"SOCNE",MAP!$E:$E,$D94)</f>
        <v>0</v>
      </c>
      <c r="AH94" s="34">
        <f>-SUMIFS(MAP!AP:AP,MAP!$C:$C,"SOCNE",MAP!$E:$E,$D94)</f>
        <v>0</v>
      </c>
      <c r="AI94" s="34">
        <f>-SUMIFS(MAP!AQ:AQ,MAP!$C:$C,"SOCNE",MAP!$E:$E,$D94)</f>
        <v>0</v>
      </c>
      <c r="AJ94" s="34">
        <f>-SUMIFS(MAP!AR:AR,MAP!$C:$C,"SOCNE",MAP!$E:$E,$D94)</f>
        <v>0</v>
      </c>
      <c r="AK94" s="34">
        <f>-SUMIFS(MAP!AS:AS,MAP!$C:$C,"SOCNE",MAP!$E:$E,$D94)</f>
        <v>0</v>
      </c>
      <c r="AL94" s="34">
        <f>-SUMIFS(MAP!AT:AT,MAP!$C:$C,"SOCNE",MAP!$E:$E,$D94)</f>
        <v>0</v>
      </c>
      <c r="AM94" s="34">
        <f>-SUMIFS(MAP!AU:AU,MAP!$C:$C,"SOCNE",MAP!$E:$E,$D94)</f>
        <v>0</v>
      </c>
    </row>
    <row r="95" spans="1:39" x14ac:dyDescent="0.25">
      <c r="A95" s="2"/>
      <c r="B95" s="3">
        <f>MAX($B$4:B94)+1</f>
        <v>88</v>
      </c>
      <c r="C95" s="852"/>
      <c r="D95" s="7"/>
      <c r="E95" s="1836"/>
      <c r="F95" s="204" t="e">
        <f>F93+F94</f>
        <v>#VALUE!</v>
      </c>
      <c r="G95" s="204">
        <f t="shared" ref="G95:AI95" si="9">G93+G94</f>
        <v>0</v>
      </c>
      <c r="H95" s="204">
        <f t="shared" si="9"/>
        <v>0</v>
      </c>
      <c r="I95" s="204">
        <f t="shared" si="9"/>
        <v>0</v>
      </c>
      <c r="J95" s="204">
        <f t="shared" si="9"/>
        <v>0</v>
      </c>
      <c r="K95" s="204">
        <f t="shared" si="9"/>
        <v>0</v>
      </c>
      <c r="L95" s="204" t="e">
        <f t="shared" si="9"/>
        <v>#VALUE!</v>
      </c>
      <c r="M95" s="204">
        <f t="shared" si="9"/>
        <v>0</v>
      </c>
      <c r="N95" s="204">
        <f t="shared" si="9"/>
        <v>0</v>
      </c>
      <c r="O95" s="204" t="e">
        <f>O93+O94</f>
        <v>#VALUE!</v>
      </c>
      <c r="P95" s="204">
        <f t="shared" si="9"/>
        <v>0</v>
      </c>
      <c r="Q95" s="204">
        <f t="shared" si="9"/>
        <v>0</v>
      </c>
      <c r="R95" s="204">
        <f t="shared" si="9"/>
        <v>0</v>
      </c>
      <c r="S95" s="204">
        <f t="shared" si="9"/>
        <v>0</v>
      </c>
      <c r="T95" s="204">
        <f t="shared" si="9"/>
        <v>0</v>
      </c>
      <c r="U95" s="204">
        <f t="shared" si="9"/>
        <v>0</v>
      </c>
      <c r="V95" s="204">
        <f t="shared" si="9"/>
        <v>0</v>
      </c>
      <c r="W95" s="204">
        <f t="shared" si="9"/>
        <v>0</v>
      </c>
      <c r="X95" s="204">
        <f t="shared" si="9"/>
        <v>0</v>
      </c>
      <c r="Y95" s="204">
        <f t="shared" si="9"/>
        <v>0</v>
      </c>
      <c r="Z95" s="204">
        <f t="shared" si="9"/>
        <v>0</v>
      </c>
      <c r="AA95" s="204">
        <f t="shared" si="9"/>
        <v>0</v>
      </c>
      <c r="AB95" s="204">
        <f t="shared" si="9"/>
        <v>0</v>
      </c>
      <c r="AC95" s="204">
        <f t="shared" si="9"/>
        <v>0</v>
      </c>
      <c r="AD95" s="204">
        <f t="shared" si="9"/>
        <v>0</v>
      </c>
      <c r="AE95" s="204">
        <f t="shared" si="9"/>
        <v>0</v>
      </c>
      <c r="AF95" s="204">
        <f t="shared" si="9"/>
        <v>0</v>
      </c>
      <c r="AG95" s="204">
        <f t="shared" si="9"/>
        <v>0</v>
      </c>
      <c r="AH95" s="204">
        <f t="shared" si="9"/>
        <v>0</v>
      </c>
      <c r="AI95" s="204">
        <f t="shared" si="9"/>
        <v>0</v>
      </c>
      <c r="AJ95" s="204">
        <f>AJ93+AJ94</f>
        <v>0</v>
      </c>
      <c r="AK95" s="204">
        <f>AK93+AK94</f>
        <v>0</v>
      </c>
      <c r="AL95" s="204">
        <f>AL93+AL94</f>
        <v>0</v>
      </c>
      <c r="AM95" s="204">
        <f>AM93+AM94</f>
        <v>0</v>
      </c>
    </row>
    <row r="96" spans="1:39" ht="26.25" x14ac:dyDescent="0.25">
      <c r="A96" s="2"/>
      <c r="B96" s="3">
        <f>MAX($B$4:B95)+1</f>
        <v>89</v>
      </c>
      <c r="C96" s="852" t="s">
        <v>1444</v>
      </c>
      <c r="D96" s="41" t="s">
        <v>215</v>
      </c>
      <c r="E96" s="902"/>
      <c r="F96" s="34">
        <f>-SUMIFS(MAP!N:N,MAP!$C:$C,"Impairments",MAP!$E:$E,$D96)</f>
        <v>0</v>
      </c>
      <c r="G96" s="34">
        <f>-SUMIFS(MAP!O:O,MAP!$C:$C,"Impairments",MAP!$E:$E,$D96)</f>
        <v>0</v>
      </c>
      <c r="H96" s="34">
        <f>-SUMIFS(MAP!P:P,MAP!$C:$C,"Impairments",MAP!$E:$E,$D96)</f>
        <v>0</v>
      </c>
      <c r="I96" s="34">
        <f>-SUMIFS(MAP!Q:Q,MAP!$C:$C,"Impairments",MAP!$E:$E,$D96)</f>
        <v>0</v>
      </c>
      <c r="J96" s="34">
        <f>-SUMIFS(MAP!R:R,MAP!$C:$C,"Impairments",MAP!$E:$E,$D96)</f>
        <v>0</v>
      </c>
      <c r="K96" s="34">
        <f>-SUMIFS(MAP!S:S,MAP!$C:$C,"Impairments",MAP!$E:$E,$D96)</f>
        <v>0</v>
      </c>
      <c r="L96" s="34">
        <f>-SUMIFS(MAP!T:T,MAP!$C:$C,"Impairments",MAP!$E:$E,$D96)</f>
        <v>0</v>
      </c>
      <c r="M96" s="34">
        <f>-SUMIFS(MAP!U:U,MAP!$C:$C,"Impairments",MAP!$E:$E,$D96)</f>
        <v>0</v>
      </c>
      <c r="N96" s="34">
        <f>-SUMIFS(MAP!V:V,MAP!$C:$C,"Impairments",MAP!$E:$E,$D96)</f>
        <v>0</v>
      </c>
      <c r="O96" s="34">
        <f>-SUMIFS(MAP!W:W,MAP!$C:$C,"Impairments",MAP!$E:$E,$D96)</f>
        <v>0</v>
      </c>
      <c r="P96" s="34">
        <f>-SUMIFS(MAP!X:X,MAP!$C:$C,"Impairments",MAP!$E:$E,$D96)</f>
        <v>0</v>
      </c>
      <c r="Q96" s="34">
        <f>-SUMIFS(MAP!Y:Y,MAP!$C:$C,"Impairments",MAP!$E:$E,$D96)</f>
        <v>0</v>
      </c>
      <c r="R96" s="34">
        <f>-SUMIFS(MAP!Z:Z,MAP!$C:$C,"Impairments",MAP!$E:$E,$D96)</f>
        <v>0</v>
      </c>
      <c r="S96" s="34">
        <f>-SUMIFS(MAP!AA:AA,MAP!$C:$C,"Impairments",MAP!$E:$E,$D96)</f>
        <v>0</v>
      </c>
      <c r="T96" s="34">
        <f>-SUMIFS(MAP!AB:AB,MAP!$C:$C,"Impairments",MAP!$E:$E,$D96)</f>
        <v>0</v>
      </c>
      <c r="U96" s="34">
        <f>-SUMIFS(MAP!AC:AC,MAP!$C:$C,"Impairments",MAP!$E:$E,$D96)</f>
        <v>0</v>
      </c>
      <c r="V96" s="34">
        <f>-SUMIFS(MAP!AD:AD,MAP!$C:$C,"Impairments",MAP!$E:$E,$D96)</f>
        <v>0</v>
      </c>
      <c r="W96" s="34">
        <f>-SUMIFS(MAP!AE:AE,MAP!$C:$C,"Impairments",MAP!$E:$E,$D96)</f>
        <v>0</v>
      </c>
      <c r="X96" s="34">
        <f>-SUMIFS(MAP!AF:AF,MAP!$C:$C,"Impairments",MAP!$E:$E,$D96)</f>
        <v>0</v>
      </c>
      <c r="Y96" s="34">
        <f>-SUMIFS(MAP!AG:AG,MAP!$C:$C,"Impairments",MAP!$E:$E,$D96)</f>
        <v>0</v>
      </c>
      <c r="Z96" s="34">
        <f>-SUMIFS(MAP!AH:AH,MAP!$C:$C,"Impairments",MAP!$E:$E,$D96)</f>
        <v>0</v>
      </c>
      <c r="AA96" s="34">
        <f>-SUMIFS(MAP!AI:AI,MAP!$C:$C,"Impairments",MAP!$E:$E,$D96)</f>
        <v>0</v>
      </c>
      <c r="AB96" s="34">
        <f>-SUMIFS(MAP!AJ:AJ,MAP!$C:$C,"Impairments",MAP!$E:$E,$D96)</f>
        <v>0</v>
      </c>
      <c r="AC96" s="34">
        <f>-SUMIFS(MAP!AK:AK,MAP!$C:$C,"Impairments",MAP!$E:$E,$D96)</f>
        <v>0</v>
      </c>
      <c r="AD96" s="34">
        <f>-SUMIFS(MAP!AL:AL,MAP!$C:$C,"Impairments",MAP!$E:$E,$D96)</f>
        <v>0</v>
      </c>
      <c r="AE96" s="34">
        <f>-SUMIFS(MAP!AM:AM,MAP!$C:$C,"Impairments",MAP!$E:$E,$D96)</f>
        <v>0</v>
      </c>
      <c r="AF96" s="34">
        <f>-SUMIFS(MAP!AN:AN,MAP!$C:$C,"Impairments",MAP!$E:$E,$D96)</f>
        <v>0</v>
      </c>
      <c r="AG96" s="34">
        <f>-SUMIFS(MAP!AO:AO,MAP!$C:$C,"Impairments",MAP!$E:$E,$D96)</f>
        <v>0</v>
      </c>
      <c r="AH96" s="34">
        <f>-SUMIFS(MAP!AP:AP,MAP!$C:$C,"Impairments",MAP!$E:$E,$D96)</f>
        <v>0</v>
      </c>
      <c r="AI96" s="34">
        <f>-SUMIFS(MAP!AQ:AQ,MAP!$C:$C,"Impairments",MAP!$E:$E,$D96)</f>
        <v>0</v>
      </c>
      <c r="AJ96" s="34">
        <f>-SUMIFS(MAP!AR:AR,MAP!$C:$C,"Impairments",MAP!$E:$E,$D96)</f>
        <v>0</v>
      </c>
      <c r="AK96" s="34">
        <f>-SUMIFS(MAP!AS:AS,MAP!$C:$C,"Impairments",MAP!$E:$E,$D96)</f>
        <v>0</v>
      </c>
      <c r="AL96" s="34">
        <f>-SUMIFS(MAP!AT:AT,MAP!$C:$C,"Impairments",MAP!$E:$E,$D96)</f>
        <v>0</v>
      </c>
      <c r="AM96" s="34">
        <f>-SUMIFS(MAP!AU:AU,MAP!$C:$C,"Impairments",MAP!$E:$E,$D96)</f>
        <v>0</v>
      </c>
    </row>
    <row r="97" spans="1:39" x14ac:dyDescent="0.25">
      <c r="A97" s="2"/>
      <c r="B97" s="3">
        <f>MAX($B$4:B96)+1</f>
        <v>90</v>
      </c>
      <c r="C97" s="3"/>
      <c r="D97" s="7"/>
      <c r="E97" s="902"/>
      <c r="R97" s="34"/>
    </row>
    <row r="98" spans="1:39" x14ac:dyDescent="0.25">
      <c r="A98" s="2"/>
      <c r="B98" s="3">
        <f>MAX($B$4:B97)+1</f>
        <v>91</v>
      </c>
      <c r="C98" s="3"/>
      <c r="D98" s="7"/>
      <c r="E98" s="902"/>
      <c r="F98" s="34"/>
      <c r="G98" s="34"/>
      <c r="H98" s="34"/>
      <c r="I98" s="34"/>
      <c r="J98" s="34"/>
      <c r="K98" s="34"/>
      <c r="L98" s="34"/>
      <c r="M98" s="34"/>
      <c r="N98" s="34"/>
      <c r="O98" s="34"/>
      <c r="P98" s="34"/>
      <c r="Q98" s="34"/>
      <c r="R98" s="34"/>
      <c r="T98" s="34"/>
      <c r="U98" s="34"/>
      <c r="W98" s="34"/>
      <c r="X98" s="34"/>
      <c r="Y98" s="34"/>
      <c r="Z98" s="34"/>
      <c r="AA98" s="34"/>
      <c r="AB98" s="34"/>
      <c r="AC98" s="34"/>
      <c r="AD98" s="34"/>
      <c r="AE98" s="34"/>
      <c r="AF98" s="34"/>
      <c r="AG98" s="34"/>
      <c r="AH98" s="34"/>
      <c r="AI98" s="34"/>
      <c r="AJ98" s="34"/>
      <c r="AK98" s="34"/>
      <c r="AL98" s="34"/>
      <c r="AM98" s="34"/>
    </row>
    <row r="99" spans="1:39" x14ac:dyDescent="0.25">
      <c r="A99" s="2"/>
      <c r="B99" s="3">
        <f>MAX($B$4:B98)+1</f>
        <v>92</v>
      </c>
      <c r="C99" s="3"/>
      <c r="D99" s="7"/>
      <c r="E99" s="902"/>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row>
    <row r="100" spans="1:39" x14ac:dyDescent="0.25">
      <c r="A100" s="2"/>
      <c r="B100" s="3">
        <f>MAX($B$4:B99)+1</f>
        <v>93</v>
      </c>
      <c r="C100" s="830" t="s">
        <v>1455</v>
      </c>
      <c r="D100" s="7"/>
      <c r="E100" s="902"/>
    </row>
    <row r="101" spans="1:39" x14ac:dyDescent="0.25">
      <c r="A101" s="2"/>
      <c r="B101" s="3">
        <f>MAX($B$4:B100)+1</f>
        <v>94</v>
      </c>
      <c r="C101" s="858" t="s">
        <v>1452</v>
      </c>
      <c r="D101" s="7" t="s">
        <v>768</v>
      </c>
      <c r="E101" s="902"/>
      <c r="F101" s="820">
        <f>SUMIF(MAP!$J$492:$J$796,$D101,MAP!N$492:N$796)</f>
        <v>0</v>
      </c>
      <c r="G101" s="820">
        <f>SUMIF(MAP!$J$492:$J$796,$D101,MAP!O$492:O$796)</f>
        <v>0</v>
      </c>
      <c r="H101" s="820">
        <f>SUMIF(MAP!$J$492:$J$796,$D101,MAP!P$492:P$796)</f>
        <v>0</v>
      </c>
      <c r="I101" s="820">
        <f>SUMIF(MAP!$J$492:$J$796,$D101,MAP!Q$492:Q$796)</f>
        <v>0</v>
      </c>
      <c r="J101" s="820">
        <f>SUMIF(MAP!$J$492:$J$796,$D101,MAP!R$492:R$796)</f>
        <v>0</v>
      </c>
      <c r="K101" s="820">
        <f>SUMIF(MAP!$J$492:$J$796,$D101,MAP!S$492:S$796)</f>
        <v>0</v>
      </c>
      <c r="L101" s="820">
        <f>SUMIF(MAP!$J$492:$J$796,$D101,MAP!T$492:T$796)</f>
        <v>0</v>
      </c>
      <c r="M101" s="820">
        <f>SUMIF(MAP!$J$492:$J$796,$D101,MAP!U$492:U$796)</f>
        <v>0</v>
      </c>
      <c r="N101" s="820">
        <f>SUMIF(MAP!$J$492:$J$796,$D101,MAP!V$492:V$796)</f>
        <v>0</v>
      </c>
      <c r="O101" s="820">
        <f>SUMIF(MAP!$J$492:$J$796,$D101,MAP!W$492:W$796)</f>
        <v>0</v>
      </c>
      <c r="P101" s="820">
        <f>SUMIF(MAP!$J$492:$J$796,$D101,MAP!X$492:X$796)</f>
        <v>0</v>
      </c>
      <c r="Q101" s="820">
        <f>SUMIF(MAP!$J$492:$J$796,$D101,MAP!Y$492:Y$796)</f>
        <v>0</v>
      </c>
      <c r="R101" s="820">
        <f>SUMIF(MAP!$J$492:$J$796,$D101,MAP!Z$492:Z$796)</f>
        <v>0</v>
      </c>
      <c r="S101" s="820">
        <f>SUMIF(MAP!$J$492:$J$796,$D101,MAP!AA$492:AA$796)</f>
        <v>0</v>
      </c>
      <c r="T101" s="820">
        <f>SUMIF(MAP!$J$492:$J$796,$D101,MAP!AB$492:AB$796)</f>
        <v>0</v>
      </c>
      <c r="U101" s="820">
        <f>SUMIF(MAP!$J$492:$J$796,$D101,MAP!AC$492:AC$796)</f>
        <v>0</v>
      </c>
      <c r="V101" s="820">
        <f>SUMIF(MAP!$J$492:$J$796,$D101,MAP!AD$492:AD$796)</f>
        <v>0</v>
      </c>
      <c r="W101" s="820">
        <f>SUMIF(MAP!$J$492:$J$796,$D101,MAP!AE$492:AE$796)</f>
        <v>0</v>
      </c>
      <c r="X101" s="820">
        <f>SUMIF(MAP!$J$492:$J$796,$D101,MAP!AF$492:AF$796)</f>
        <v>0</v>
      </c>
      <c r="Y101" s="820">
        <f>SUMIF(MAP!$J$492:$J$796,$D101,MAP!AG$492:AG$796)</f>
        <v>0</v>
      </c>
      <c r="Z101" s="820">
        <f>SUMIF(MAP!$J$492:$J$796,$D101,MAP!AH$492:AH$796)</f>
        <v>0</v>
      </c>
      <c r="AA101" s="820">
        <f>SUMIF(MAP!$J$492:$J$796,$D101,MAP!AI$492:AI$796)</f>
        <v>0</v>
      </c>
      <c r="AB101" s="820">
        <f>SUMIF(MAP!$J$492:$J$796,$D101,MAP!AJ$492:AJ$796)</f>
        <v>0</v>
      </c>
      <c r="AC101" s="820">
        <f>SUMIF(MAP!$J$492:$J$796,$D101,MAP!AK$492:AK$796)</f>
        <v>0</v>
      </c>
      <c r="AD101" s="820">
        <f>SUMIF(MAP!$J$492:$J$796,$D101,MAP!AL$492:AL$796)</f>
        <v>0</v>
      </c>
      <c r="AE101" s="820">
        <f>SUMIF(MAP!$J$492:$J$796,$D101,MAP!AM$492:AM$796)</f>
        <v>0</v>
      </c>
      <c r="AF101" s="820">
        <f>SUMIF(MAP!$J$492:$J$796,$D101,MAP!AN$492:AN$796)</f>
        <v>0</v>
      </c>
      <c r="AG101" s="820">
        <f>SUMIF(MAP!$J$492:$J$796,$D101,MAP!AO$492:AO$796)</f>
        <v>0</v>
      </c>
      <c r="AH101" s="820">
        <f>SUMIF(MAP!$J$492:$J$796,$D101,MAP!AP$492:AP$796)</f>
        <v>0</v>
      </c>
      <c r="AI101" s="820">
        <f>SUMIF(MAP!$J$492:$J$796,$D101,MAP!AQ$492:AQ$796)</f>
        <v>0</v>
      </c>
      <c r="AJ101" s="820">
        <f>SUMIF(MAP!$J$492:$J$796,$D101,MAP!AR$492:AR$796)</f>
        <v>0</v>
      </c>
      <c r="AK101" s="820">
        <f>SUMIF(MAP!$J$492:$J$796,$D101,MAP!AS$492:AS$796)</f>
        <v>0</v>
      </c>
      <c r="AL101" s="820">
        <f>SUMIF(MAP!$J$492:$J$796,$D101,MAP!AT$492:AT$796)</f>
        <v>0</v>
      </c>
      <c r="AM101" s="820">
        <f>SUMIF(MAP!$J$492:$J$796,$D101,MAP!AU$492:AU$796)</f>
        <v>0</v>
      </c>
    </row>
    <row r="102" spans="1:39" x14ac:dyDescent="0.25">
      <c r="A102" s="2"/>
      <c r="B102" s="3">
        <f>MAX($B$4:B101)+1</f>
        <v>95</v>
      </c>
      <c r="C102" s="858" t="s">
        <v>1453</v>
      </c>
      <c r="D102" s="7" t="s">
        <v>864</v>
      </c>
      <c r="E102" s="902" t="s">
        <v>1440</v>
      </c>
      <c r="F102" s="820">
        <f>-SUMIF(MAP!$J$492:$J$796,$D102,MAP!N$492:N$796)</f>
        <v>0</v>
      </c>
      <c r="G102" s="820">
        <f>-SUMIF(MAP!$J$492:$J$796,$D102,MAP!O$492:O$796)</f>
        <v>0</v>
      </c>
      <c r="H102" s="820">
        <f>-SUMIF(MAP!$J$492:$J$796,$D102,MAP!P$492:P$796)</f>
        <v>0</v>
      </c>
      <c r="I102" s="820">
        <f>-SUMIF(MAP!$J$492:$J$796,$D102,MAP!Q$492:Q$796)</f>
        <v>0</v>
      </c>
      <c r="J102" s="820">
        <f>-SUMIF(MAP!$J$492:$J$796,$D102,MAP!R$492:R$796)</f>
        <v>0</v>
      </c>
      <c r="K102" s="820">
        <f>-SUMIF(MAP!$J$492:$J$796,$D102,MAP!S$492:S$796)</f>
        <v>0</v>
      </c>
      <c r="L102" s="820">
        <f>-SUMIF(MAP!$J$492:$J$796,$D102,MAP!T$492:T$796)</f>
        <v>0</v>
      </c>
      <c r="M102" s="820">
        <f>-SUMIF(MAP!$J$492:$J$796,$D102,MAP!U$492:U$796)</f>
        <v>0</v>
      </c>
      <c r="N102" s="820">
        <f>-SUMIF(MAP!$J$492:$J$796,$D102,MAP!V$492:V$796)</f>
        <v>0</v>
      </c>
      <c r="O102" s="820">
        <f>-SUMIF(MAP!$J$492:$J$796,$D102,MAP!W$492:W$796)</f>
        <v>0</v>
      </c>
      <c r="P102" s="820">
        <f>-SUMIF(MAP!$J$492:$J$796,$D102,MAP!X$492:X$796)</f>
        <v>0</v>
      </c>
      <c r="Q102" s="820">
        <f>-SUMIF(MAP!$J$492:$J$796,$D102,MAP!Y$492:Y$796)</f>
        <v>0</v>
      </c>
      <c r="R102" s="820">
        <f>-SUMIF(MAP!$J$492:$J$796,$D102,MAP!Z$492:Z$796)</f>
        <v>0</v>
      </c>
      <c r="S102" s="820">
        <f>-SUMIF(MAP!$J$492:$J$796,$D102,MAP!AA$492:AA$796)</f>
        <v>0</v>
      </c>
      <c r="T102" s="820">
        <f>-SUMIF(MAP!$J$492:$J$796,$D102,MAP!AB$492:AB$796)</f>
        <v>0</v>
      </c>
      <c r="U102" s="820">
        <f>-SUMIF(MAP!$J$492:$J$796,$D102,MAP!AC$492:AC$796)</f>
        <v>0</v>
      </c>
      <c r="V102" s="820">
        <f>-SUMIF(MAP!$J$492:$J$796,$D102,MAP!AD$492:AD$796)</f>
        <v>0</v>
      </c>
      <c r="W102" s="820">
        <f>-SUMIF(MAP!$J$492:$J$796,$D102,MAP!AE$492:AE$796)</f>
        <v>0</v>
      </c>
      <c r="X102" s="820">
        <f>-SUMIF(MAP!$J$492:$J$796,$D102,MAP!AF$492:AF$796)</f>
        <v>0</v>
      </c>
      <c r="Y102" s="820">
        <f>-SUMIF(MAP!$J$492:$J$796,$D102,MAP!AG$492:AG$796)</f>
        <v>0</v>
      </c>
      <c r="Z102" s="820">
        <f>-SUMIF(MAP!$J$492:$J$796,$D102,MAP!AH$492:AH$796)</f>
        <v>0</v>
      </c>
      <c r="AA102" s="820">
        <f>-SUMIF(MAP!$J$492:$J$796,$D102,MAP!AI$492:AI$796)</f>
        <v>0</v>
      </c>
      <c r="AB102" s="820">
        <f>-SUMIF(MAP!$J$492:$J$796,$D102,MAP!AJ$492:AJ$796)</f>
        <v>0</v>
      </c>
      <c r="AC102" s="820">
        <f>-SUMIF(MAP!$J$492:$J$796,$D102,MAP!AK$492:AK$796)</f>
        <v>0</v>
      </c>
      <c r="AD102" s="820">
        <f>-SUMIF(MAP!$J$492:$J$796,$D102,MAP!AL$492:AL$796)</f>
        <v>0</v>
      </c>
      <c r="AE102" s="820">
        <f>-SUMIF(MAP!$J$492:$J$796,$D102,MAP!AM$492:AM$796)</f>
        <v>0</v>
      </c>
      <c r="AF102" s="820">
        <f>-SUMIF(MAP!$J$492:$J$796,$D102,MAP!AN$492:AN$796)</f>
        <v>0</v>
      </c>
      <c r="AG102" s="820">
        <f>-SUMIF(MAP!$J$492:$J$796,$D102,MAP!AO$492:AO$796)</f>
        <v>0</v>
      </c>
      <c r="AH102" s="820">
        <f>-SUMIF(MAP!$J$492:$J$796,$D102,MAP!AP$492:AP$796)</f>
        <v>0</v>
      </c>
      <c r="AI102" s="820">
        <f>-SUMIF(MAP!$J$492:$J$796,$D102,MAP!AQ$492:AQ$796)</f>
        <v>0</v>
      </c>
      <c r="AJ102" s="820">
        <f>-SUMIF(MAP!$J$492:$J$796,$D102,MAP!AR$492:AR$796)</f>
        <v>0</v>
      </c>
      <c r="AK102" s="820">
        <f>-SUMIF(MAP!$J$492:$J$796,$D102,MAP!AS$492:AS$796)</f>
        <v>0</v>
      </c>
      <c r="AL102" s="820">
        <f>-SUMIF(MAP!$J$492:$J$796,$D102,MAP!AT$492:AT$796)</f>
        <v>0</v>
      </c>
      <c r="AM102" s="820">
        <f>-SUMIF(MAP!$J$492:$J$796,$D102,MAP!AU$492:AU$796)</f>
        <v>0</v>
      </c>
    </row>
    <row r="103" spans="1:39" x14ac:dyDescent="0.25">
      <c r="A103" s="2"/>
      <c r="B103" s="3">
        <f>MAX($B$4:B102)+1</f>
        <v>96</v>
      </c>
      <c r="C103" s="3"/>
      <c r="D103" s="7"/>
      <c r="E103" s="902"/>
      <c r="F103" s="857">
        <f>SUM(F101:F102)</f>
        <v>0</v>
      </c>
      <c r="G103" s="857">
        <f t="shared" ref="G103:AI103" si="10">SUM(G101:G102)</f>
        <v>0</v>
      </c>
      <c r="H103" s="857">
        <f t="shared" si="10"/>
        <v>0</v>
      </c>
      <c r="I103" s="857">
        <f t="shared" si="10"/>
        <v>0</v>
      </c>
      <c r="J103" s="857">
        <f t="shared" si="10"/>
        <v>0</v>
      </c>
      <c r="K103" s="857">
        <f t="shared" si="10"/>
        <v>0</v>
      </c>
      <c r="L103" s="857">
        <f t="shared" si="10"/>
        <v>0</v>
      </c>
      <c r="M103" s="857">
        <f t="shared" si="10"/>
        <v>0</v>
      </c>
      <c r="N103" s="857">
        <f t="shared" si="10"/>
        <v>0</v>
      </c>
      <c r="O103" s="857">
        <f t="shared" si="10"/>
        <v>0</v>
      </c>
      <c r="P103" s="857">
        <f t="shared" si="10"/>
        <v>0</v>
      </c>
      <c r="Q103" s="857">
        <f t="shared" si="10"/>
        <v>0</v>
      </c>
      <c r="R103" s="857">
        <f t="shared" si="10"/>
        <v>0</v>
      </c>
      <c r="S103" s="857">
        <f t="shared" si="10"/>
        <v>0</v>
      </c>
      <c r="T103" s="857">
        <f t="shared" si="10"/>
        <v>0</v>
      </c>
      <c r="U103" s="857">
        <f t="shared" si="10"/>
        <v>0</v>
      </c>
      <c r="V103" s="857">
        <f t="shared" si="10"/>
        <v>0</v>
      </c>
      <c r="W103" s="857">
        <f t="shared" si="10"/>
        <v>0</v>
      </c>
      <c r="X103" s="857">
        <f t="shared" si="10"/>
        <v>0</v>
      </c>
      <c r="Y103" s="857">
        <f t="shared" si="10"/>
        <v>0</v>
      </c>
      <c r="Z103" s="857">
        <f t="shared" si="10"/>
        <v>0</v>
      </c>
      <c r="AA103" s="857">
        <f t="shared" si="10"/>
        <v>0</v>
      </c>
      <c r="AB103" s="857">
        <f t="shared" si="10"/>
        <v>0</v>
      </c>
      <c r="AC103" s="857">
        <f t="shared" si="10"/>
        <v>0</v>
      </c>
      <c r="AD103" s="857">
        <f t="shared" si="10"/>
        <v>0</v>
      </c>
      <c r="AE103" s="857">
        <f t="shared" si="10"/>
        <v>0</v>
      </c>
      <c r="AF103" s="857">
        <f t="shared" si="10"/>
        <v>0</v>
      </c>
      <c r="AG103" s="857">
        <f t="shared" si="10"/>
        <v>0</v>
      </c>
      <c r="AH103" s="857">
        <f t="shared" si="10"/>
        <v>0</v>
      </c>
      <c r="AI103" s="857">
        <f t="shared" si="10"/>
        <v>0</v>
      </c>
      <c r="AJ103" s="857">
        <f>SUM(AJ101:AJ102)</f>
        <v>0</v>
      </c>
      <c r="AK103" s="857">
        <f>SUM(AK101:AK102)</f>
        <v>0</v>
      </c>
      <c r="AL103" s="857">
        <f>SUM(AL101:AL102)</f>
        <v>0</v>
      </c>
      <c r="AM103" s="857">
        <f>SUM(AM101:AM102)</f>
        <v>0</v>
      </c>
    </row>
    <row r="104" spans="1:39" ht="26.25" x14ac:dyDescent="0.25">
      <c r="A104" s="2"/>
      <c r="B104" s="3">
        <f>MAX($B$4:B103)+1</f>
        <v>97</v>
      </c>
      <c r="C104" s="852" t="s">
        <v>1444</v>
      </c>
      <c r="D104" s="41" t="s">
        <v>215</v>
      </c>
      <c r="E104" s="902"/>
      <c r="F104" s="34">
        <f>-SUMIFS(MAP!N:N,MAP!$C:$C,"Impairments",MAP!$E:$E,$D104)</f>
        <v>0</v>
      </c>
      <c r="G104" s="34">
        <f>-SUMIFS(MAP!O:O,MAP!$C:$C,"Impairments",MAP!$E:$E,$D104)</f>
        <v>0</v>
      </c>
      <c r="H104" s="34">
        <f>-SUMIFS(MAP!P:P,MAP!$C:$C,"Impairments",MAP!$E:$E,$D104)</f>
        <v>0</v>
      </c>
      <c r="I104" s="34">
        <f>-SUMIFS(MAP!Q:Q,MAP!$C:$C,"Impairments",MAP!$E:$E,$D104)</f>
        <v>0</v>
      </c>
      <c r="J104" s="34">
        <f>-SUMIFS(MAP!R:R,MAP!$C:$C,"Impairments",MAP!$E:$E,$D104)</f>
        <v>0</v>
      </c>
      <c r="K104" s="34">
        <f>-SUMIFS(MAP!S:S,MAP!$C:$C,"Impairments",MAP!$E:$E,$D104)</f>
        <v>0</v>
      </c>
      <c r="L104" s="34">
        <f>-SUMIFS(MAP!T:T,MAP!$C:$C,"Impairments",MAP!$E:$E,$D104)</f>
        <v>0</v>
      </c>
      <c r="M104" s="34">
        <f>-SUMIFS(MAP!U:U,MAP!$C:$C,"Impairments",MAP!$E:$E,$D104)</f>
        <v>0</v>
      </c>
      <c r="N104" s="34">
        <f>-SUMIFS(MAP!V:V,MAP!$C:$C,"Impairments",MAP!$E:$E,$D104)</f>
        <v>0</v>
      </c>
      <c r="O104" s="34">
        <f>-SUMIFS(MAP!W:W,MAP!$C:$C,"Impairments",MAP!$E:$E,$D104)</f>
        <v>0</v>
      </c>
      <c r="P104" s="34">
        <f>-SUMIFS(MAP!X:X,MAP!$C:$C,"Impairments",MAP!$E:$E,$D104)</f>
        <v>0</v>
      </c>
      <c r="Q104" s="34">
        <f>-SUMIFS(MAP!Y:Y,MAP!$C:$C,"Impairments",MAP!$E:$E,$D104)</f>
        <v>0</v>
      </c>
      <c r="R104" s="34">
        <f>-SUMIFS(MAP!Z:Z,MAP!$C:$C,"Impairments",MAP!$E:$E,$D104)</f>
        <v>0</v>
      </c>
      <c r="S104" s="34">
        <f>-SUMIFS(MAP!AA:AA,MAP!$C:$C,"Impairments",MAP!$E:$E,$D104)</f>
        <v>0</v>
      </c>
      <c r="T104" s="34">
        <f>-SUMIFS(MAP!AB:AB,MAP!$C:$C,"Impairments",MAP!$E:$E,$D104)</f>
        <v>0</v>
      </c>
      <c r="U104" s="34">
        <f>-SUMIFS(MAP!AC:AC,MAP!$C:$C,"Impairments",MAP!$E:$E,$D104)</f>
        <v>0</v>
      </c>
      <c r="V104" s="34">
        <f>-SUMIFS(MAP!AD:AD,MAP!$C:$C,"Impairments",MAP!$E:$E,$D104)</f>
        <v>0</v>
      </c>
      <c r="W104" s="34">
        <f>-SUMIFS(MAP!AE:AE,MAP!$C:$C,"Impairments",MAP!$E:$E,$D104)</f>
        <v>0</v>
      </c>
      <c r="X104" s="34">
        <f>-SUMIFS(MAP!AF:AF,MAP!$C:$C,"Impairments",MAP!$E:$E,$D104)</f>
        <v>0</v>
      </c>
      <c r="Y104" s="34">
        <f>-SUMIFS(MAP!AG:AG,MAP!$C:$C,"Impairments",MAP!$E:$E,$D104)</f>
        <v>0</v>
      </c>
      <c r="Z104" s="34">
        <f>-SUMIFS(MAP!AH:AH,MAP!$C:$C,"Impairments",MAP!$E:$E,$D104)</f>
        <v>0</v>
      </c>
      <c r="AA104" s="34">
        <f>-SUMIFS(MAP!AI:AI,MAP!$C:$C,"Impairments",MAP!$E:$E,$D104)</f>
        <v>0</v>
      </c>
      <c r="AB104" s="34">
        <f>-SUMIFS(MAP!AJ:AJ,MAP!$C:$C,"Impairments",MAP!$E:$E,$D104)</f>
        <v>0</v>
      </c>
      <c r="AC104" s="34">
        <f>-SUMIFS(MAP!AK:AK,MAP!$C:$C,"Impairments",MAP!$E:$E,$D104)</f>
        <v>0</v>
      </c>
      <c r="AD104" s="34">
        <f>-SUMIFS(MAP!AL:AL,MAP!$C:$C,"Impairments",MAP!$E:$E,$D104)</f>
        <v>0</v>
      </c>
      <c r="AE104" s="34">
        <f>-SUMIFS(MAP!AM:AM,MAP!$C:$C,"Impairments",MAP!$E:$E,$D104)</f>
        <v>0</v>
      </c>
      <c r="AF104" s="34">
        <f>-SUMIFS(MAP!AN:AN,MAP!$C:$C,"Impairments",MAP!$E:$E,$D104)</f>
        <v>0</v>
      </c>
      <c r="AG104" s="34">
        <f>-SUMIFS(MAP!AO:AO,MAP!$C:$C,"Impairments",MAP!$E:$E,$D104)</f>
        <v>0</v>
      </c>
      <c r="AH104" s="34">
        <f>-SUMIFS(MAP!AP:AP,MAP!$C:$C,"Impairments",MAP!$E:$E,$D104)</f>
        <v>0</v>
      </c>
      <c r="AI104" s="34">
        <f>-SUMIFS(MAP!AQ:AQ,MAP!$C:$C,"Impairments",MAP!$E:$E,$D104)</f>
        <v>0</v>
      </c>
      <c r="AJ104" s="34">
        <f>-SUMIFS(MAP!AR:AR,MAP!$C:$C,"Impairments",MAP!$E:$E,$D104)</f>
        <v>0</v>
      </c>
      <c r="AK104" s="34">
        <f>-SUMIFS(MAP!AS:AS,MAP!$C:$C,"Impairments",MAP!$E:$E,$D104)</f>
        <v>0</v>
      </c>
      <c r="AL104" s="34">
        <f>-SUMIFS(MAP!AT:AT,MAP!$C:$C,"Impairments",MAP!$E:$E,$D104)</f>
        <v>0</v>
      </c>
      <c r="AM104" s="34">
        <f>-SUMIFS(MAP!AU:AU,MAP!$C:$C,"Impairments",MAP!$E:$E,$D104)</f>
        <v>0</v>
      </c>
    </row>
    <row r="105" spans="1:39" x14ac:dyDescent="0.25">
      <c r="A105" s="2"/>
      <c r="B105" s="3">
        <f>MAX($B$4:B104)+1</f>
        <v>98</v>
      </c>
      <c r="C105" s="3"/>
      <c r="D105" s="7"/>
      <c r="E105" s="1836"/>
      <c r="F105" s="204">
        <f>F104-F103</f>
        <v>0</v>
      </c>
      <c r="G105" s="204">
        <f t="shared" ref="G105:AI105" si="11">G104-G103</f>
        <v>0</v>
      </c>
      <c r="H105" s="204">
        <f t="shared" si="11"/>
        <v>0</v>
      </c>
      <c r="I105" s="204">
        <f t="shared" si="11"/>
        <v>0</v>
      </c>
      <c r="J105" s="204">
        <f t="shared" si="11"/>
        <v>0</v>
      </c>
      <c r="K105" s="204">
        <f t="shared" si="11"/>
        <v>0</v>
      </c>
      <c r="L105" s="204">
        <f t="shared" si="11"/>
        <v>0</v>
      </c>
      <c r="M105" s="204">
        <f t="shared" si="11"/>
        <v>0</v>
      </c>
      <c r="N105" s="204">
        <f t="shared" si="11"/>
        <v>0</v>
      </c>
      <c r="O105" s="204">
        <f t="shared" si="11"/>
        <v>0</v>
      </c>
      <c r="P105" s="204">
        <f t="shared" si="11"/>
        <v>0</v>
      </c>
      <c r="Q105" s="204">
        <f t="shared" si="11"/>
        <v>0</v>
      </c>
      <c r="R105" s="204">
        <f t="shared" si="11"/>
        <v>0</v>
      </c>
      <c r="S105" s="204">
        <f t="shared" si="11"/>
        <v>0</v>
      </c>
      <c r="T105" s="204">
        <f t="shared" si="11"/>
        <v>0</v>
      </c>
      <c r="U105" s="204">
        <f t="shared" si="11"/>
        <v>0</v>
      </c>
      <c r="V105" s="204">
        <f t="shared" si="11"/>
        <v>0</v>
      </c>
      <c r="W105" s="204">
        <f t="shared" si="11"/>
        <v>0</v>
      </c>
      <c r="X105" s="204">
        <f t="shared" si="11"/>
        <v>0</v>
      </c>
      <c r="Y105" s="204">
        <f t="shared" si="11"/>
        <v>0</v>
      </c>
      <c r="Z105" s="204">
        <f t="shared" si="11"/>
        <v>0</v>
      </c>
      <c r="AA105" s="204">
        <f t="shared" si="11"/>
        <v>0</v>
      </c>
      <c r="AB105" s="204">
        <f t="shared" si="11"/>
        <v>0</v>
      </c>
      <c r="AC105" s="204">
        <f t="shared" si="11"/>
        <v>0</v>
      </c>
      <c r="AD105" s="204">
        <f t="shared" si="11"/>
        <v>0</v>
      </c>
      <c r="AE105" s="204">
        <f t="shared" si="11"/>
        <v>0</v>
      </c>
      <c r="AF105" s="204">
        <f t="shared" si="11"/>
        <v>0</v>
      </c>
      <c r="AG105" s="204">
        <f t="shared" si="11"/>
        <v>0</v>
      </c>
      <c r="AH105" s="204">
        <f t="shared" si="11"/>
        <v>0</v>
      </c>
      <c r="AI105" s="204">
        <f t="shared" si="11"/>
        <v>0</v>
      </c>
      <c r="AJ105" s="204">
        <f>AJ104-AJ103</f>
        <v>0</v>
      </c>
      <c r="AK105" s="204">
        <f>AK104-AK103</f>
        <v>0</v>
      </c>
      <c r="AL105" s="204">
        <f>AL104-AL103</f>
        <v>0</v>
      </c>
      <c r="AM105" s="204">
        <f>AM104-AM103</f>
        <v>0</v>
      </c>
    </row>
    <row r="106" spans="1:39" x14ac:dyDescent="0.25">
      <c r="A106" s="2"/>
      <c r="B106" s="3">
        <f>MAX($B$4:B105)+1</f>
        <v>99</v>
      </c>
      <c r="C106" s="3"/>
      <c r="D106" s="7"/>
      <c r="E106" s="902"/>
      <c r="F106" s="34"/>
      <c r="G106" s="34"/>
      <c r="H106" s="34"/>
      <c r="I106" s="34"/>
      <c r="J106" s="34"/>
      <c r="K106" s="34"/>
      <c r="L106" s="34"/>
      <c r="M106" s="34"/>
      <c r="N106" s="34"/>
      <c r="O106" s="34"/>
      <c r="P106" s="34"/>
      <c r="Q106" s="34"/>
      <c r="R106" s="34"/>
      <c r="S106" s="34"/>
      <c r="T106" s="34"/>
      <c r="U106" s="34"/>
      <c r="W106" s="34"/>
      <c r="X106" s="34"/>
      <c r="Y106" s="34"/>
      <c r="Z106" s="34"/>
      <c r="AA106" s="34"/>
      <c r="AB106" s="34"/>
      <c r="AC106" s="34"/>
      <c r="AD106" s="34"/>
      <c r="AE106" s="34"/>
      <c r="AF106" s="34"/>
      <c r="AG106" s="34"/>
      <c r="AH106" s="34"/>
      <c r="AI106" s="34"/>
      <c r="AJ106" s="34"/>
      <c r="AK106" s="34"/>
      <c r="AL106" s="34"/>
      <c r="AM106" s="34"/>
    </row>
    <row r="107" spans="1:39" x14ac:dyDescent="0.25">
      <c r="A107" s="2"/>
      <c r="B107" s="3">
        <f>MAX($B$4:B106)+1</f>
        <v>100</v>
      </c>
      <c r="C107" s="357" t="s">
        <v>40</v>
      </c>
      <c r="D107" s="7" t="s">
        <v>312</v>
      </c>
      <c r="E107" s="902"/>
      <c r="F107" s="34" t="e">
        <f>-SUMIFS(MAP!N:N,MAP!$C:$C,"SOCNE",MAP!$E:$E,$D107)</f>
        <v>#VALUE!</v>
      </c>
      <c r="G107" s="34">
        <f>-SUMIFS(MAP!O:O,MAP!$C:$C,"SOCNE",MAP!$E:$E,$D107)</f>
        <v>0</v>
      </c>
      <c r="H107" s="34">
        <f>-SUMIFS(MAP!P:P,MAP!$C:$C,"SOCNE",MAP!$E:$E,$D107)</f>
        <v>0</v>
      </c>
      <c r="I107" s="34">
        <f>-SUMIFS(MAP!Q:Q,MAP!$C:$C,"SOCNE",MAP!$E:$E,$D107)</f>
        <v>0</v>
      </c>
      <c r="J107" s="34">
        <f>-SUMIFS(MAP!R:R,MAP!$C:$C,"SOCNE",MAP!$E:$E,$D107)</f>
        <v>0</v>
      </c>
      <c r="K107" s="34">
        <f>-SUMIFS(MAP!S:S,MAP!$C:$C,"SOCNE",MAP!$E:$E,$D107)</f>
        <v>0</v>
      </c>
      <c r="L107" s="34" t="e">
        <f>-SUMIFS(MAP!T:T,MAP!$C:$C,"SOCNE",MAP!$E:$E,$D107)</f>
        <v>#VALUE!</v>
      </c>
      <c r="M107" s="34">
        <f>-SUMIFS(MAP!U:U,MAP!$C:$C,"SOCNE",MAP!$E:$E,$D107)</f>
        <v>0</v>
      </c>
      <c r="N107" s="34">
        <f>-SUMIFS(MAP!V:V,MAP!$C:$C,"SOCNE",MAP!$E:$E,$D107)</f>
        <v>0</v>
      </c>
      <c r="O107" s="34" t="e">
        <f>-SUMIFS(MAP!W:W,MAP!$C:$C,"SOCNE",MAP!$E:$E,$D107)</f>
        <v>#VALUE!</v>
      </c>
      <c r="P107" s="34">
        <f>-SUMIFS(MAP!X:X,MAP!$C:$C,"SOCNE",MAP!$E:$E,$D107)</f>
        <v>0</v>
      </c>
      <c r="Q107" s="34">
        <f>-SUMIFS(MAP!Y:Y,MAP!$C:$C,"SOCNE",MAP!$E:$E,$D107)</f>
        <v>0</v>
      </c>
      <c r="R107" s="34">
        <f>-SUMIFS(MAP!Z:Z,MAP!$C:$C,"SOCNE",MAP!$E:$E,$D107)</f>
        <v>0</v>
      </c>
      <c r="S107" s="34">
        <f>-SUMIFS(MAP!AA:AA,MAP!$C:$C,"SOCNE",MAP!$E:$E,$D107)</f>
        <v>0</v>
      </c>
      <c r="T107" s="34">
        <f>-SUMIFS(MAP!AB:AB,MAP!$C:$C,"SOCNE",MAP!$E:$E,$D107)</f>
        <v>0</v>
      </c>
      <c r="U107" s="34">
        <f>-SUMIFS(MAP!AC:AC,MAP!$C:$C,"SOCNE",MAP!$E:$E,$D107)</f>
        <v>0</v>
      </c>
      <c r="V107" s="34">
        <f>-SUMIFS(MAP!AD:AD,MAP!$C:$C,"SOCNE",MAP!$E:$E,$D107)</f>
        <v>0</v>
      </c>
      <c r="W107" s="34">
        <f>-SUMIFS(MAP!AE:AE,MAP!$C:$C,"SOCNE",MAP!$E:$E,$D107)</f>
        <v>0</v>
      </c>
      <c r="X107" s="34">
        <f>-SUMIFS(MAP!AF:AF,MAP!$C:$C,"SOCNE",MAP!$E:$E,$D107)</f>
        <v>0</v>
      </c>
      <c r="Y107" s="34">
        <f>-SUMIFS(MAP!AG:AG,MAP!$C:$C,"SOCNE",MAP!$E:$E,$D107)</f>
        <v>0</v>
      </c>
      <c r="Z107" s="34">
        <f>-SUMIFS(MAP!AH:AH,MAP!$C:$C,"SOCNE",MAP!$E:$E,$D107)</f>
        <v>0</v>
      </c>
      <c r="AA107" s="34">
        <f>-SUMIFS(MAP!AI:AI,MAP!$C:$C,"SOCNE",MAP!$E:$E,$D107)</f>
        <v>0</v>
      </c>
      <c r="AB107" s="34">
        <f>-SUMIFS(MAP!AJ:AJ,MAP!$C:$C,"SOCNE",MAP!$E:$E,$D107)</f>
        <v>0</v>
      </c>
      <c r="AC107" s="34">
        <f>-SUMIFS(MAP!AK:AK,MAP!$C:$C,"SOCNE",MAP!$E:$E,$D107)</f>
        <v>0</v>
      </c>
      <c r="AD107" s="34">
        <f>-SUMIFS(MAP!AL:AL,MAP!$C:$C,"SOCNE",MAP!$E:$E,$D107)</f>
        <v>0</v>
      </c>
      <c r="AE107" s="34">
        <f>-SUMIFS(MAP!AM:AM,MAP!$C:$C,"SOCNE",MAP!$E:$E,$D107)</f>
        <v>0</v>
      </c>
      <c r="AF107" s="34">
        <f>-SUMIFS(MAP!AN:AN,MAP!$C:$C,"SOCNE",MAP!$E:$E,$D107)</f>
        <v>0</v>
      </c>
      <c r="AG107" s="34">
        <f>-SUMIFS(MAP!AO:AO,MAP!$C:$C,"SOCNE",MAP!$E:$E,$D107)</f>
        <v>0</v>
      </c>
      <c r="AH107" s="34">
        <f>-SUMIFS(MAP!AP:AP,MAP!$C:$C,"SOCNE",MAP!$E:$E,$D107)</f>
        <v>0</v>
      </c>
      <c r="AI107" s="34">
        <f>-SUMIFS(MAP!AQ:AQ,MAP!$C:$C,"SOCNE",MAP!$E:$E,$D107)</f>
        <v>0</v>
      </c>
      <c r="AJ107" s="34">
        <f>-SUMIFS(MAP!AR:AR,MAP!$C:$C,"SOCNE",MAP!$E:$E,$D107)</f>
        <v>0</v>
      </c>
      <c r="AK107" s="34">
        <f>-SUMIFS(MAP!AS:AS,MAP!$C:$C,"SOCNE",MAP!$E:$E,$D107)</f>
        <v>0</v>
      </c>
      <c r="AL107" s="34">
        <f>-SUMIFS(MAP!AT:AT,MAP!$C:$C,"SOCNE",MAP!$E:$E,$D107)</f>
        <v>0</v>
      </c>
      <c r="AM107" s="34">
        <f>-SUMIFS(MAP!AU:AU,MAP!$C:$C,"SOCNE",MAP!$E:$E,$D107)</f>
        <v>0</v>
      </c>
    </row>
    <row r="108" spans="1:39" x14ac:dyDescent="0.25">
      <c r="A108" s="2"/>
      <c r="B108" s="3">
        <f>MAX($B$4:B107)+1</f>
        <v>101</v>
      </c>
      <c r="C108" s="3"/>
      <c r="D108" s="7" t="s">
        <v>312</v>
      </c>
      <c r="E108" s="902"/>
      <c r="F108" s="34">
        <f>-(-MAP!N857-MAP!N893-MAP!N929-MAP!N965-MAP!N1001-MAP!N1037-MAP!N1073-MAP!N1109+MAP!N873+MAP!N909+MAP!N945+MAP!N981+MAP!N1017+MAP!N1053+MAP!N1089+MAP!N1125+MAP!N1152+-MAP!N860-MAP!N896-MAP!N932-MAP!N968-MAP!N1004-MAP!N1040-MAP!N1079-MAP!N1112+MAP!N874+MAP!N910+MAP!N946+MAP!N982+MAP!N1018+MAP!N1054+MAP!N1090+MAP!N1126)</f>
        <v>0</v>
      </c>
      <c r="G108" s="34">
        <f>-(-MAP!O857-MAP!O893-MAP!O929-MAP!O965-MAP!O1001-MAP!O1037-MAP!O1073-MAP!O1109+MAP!O873+MAP!O909+MAP!O945+MAP!O981+MAP!O1017+MAP!O1053+MAP!O1089+MAP!O1125+MAP!O1152+-MAP!O860-MAP!O896-MAP!O932-MAP!O968-MAP!O1004-MAP!O1040-MAP!O1079-MAP!O1112+MAP!O874+MAP!O910+MAP!O946+MAP!O982+MAP!O1018+MAP!O1054+MAP!O1090+MAP!O1126)</f>
        <v>0</v>
      </c>
      <c r="H108" s="34">
        <f>-(-MAP!P857-MAP!P893-MAP!P929-MAP!P965-MAP!P1001-MAP!P1037-MAP!P1073-MAP!P1109+MAP!P873+MAP!P909+MAP!P945+MAP!P981+MAP!P1017+MAP!P1053+MAP!P1089+MAP!P1125+MAP!P1152+-MAP!P860-MAP!P896-MAP!P932-MAP!P968-MAP!P1004-MAP!P1040-MAP!P1079-MAP!P1112+MAP!P874+MAP!P910+MAP!P946+MAP!P982+MAP!P1018+MAP!P1054+MAP!P1090+MAP!P1126)</f>
        <v>0</v>
      </c>
      <c r="I108" s="34">
        <f>-(-MAP!Q857-MAP!Q893-MAP!Q929-MAP!Q965-MAP!Q1001-MAP!Q1037-MAP!Q1073-MAP!Q1109+MAP!Q873+MAP!Q909+MAP!Q945+MAP!Q981+MAP!Q1017+MAP!Q1053+MAP!Q1089+MAP!Q1125+MAP!Q1152+-MAP!Q860-MAP!Q896-MAP!Q932-MAP!Q968-MAP!Q1004-MAP!Q1040-MAP!Q1079-MAP!Q1112+MAP!Q874+MAP!Q910+MAP!Q946+MAP!Q982+MAP!Q1018+MAP!Q1054+MAP!Q1090+MAP!Q1126)</f>
        <v>0</v>
      </c>
      <c r="J108" s="34">
        <f>-(-MAP!R857-MAP!R893-MAP!R929-MAP!R965-MAP!R1001-MAP!R1037-MAP!R1073-MAP!R1109+MAP!R873+MAP!R909+MAP!R945+MAP!R981+MAP!R1017+MAP!R1053+MAP!R1089+MAP!R1125+MAP!R1152+-MAP!R860-MAP!R896-MAP!R932-MAP!R968-MAP!R1004-MAP!R1040-MAP!R1079-MAP!R1112+MAP!R874+MAP!R910+MAP!R946+MAP!R982+MAP!R1018+MAP!R1054+MAP!R1090+MAP!R1126)</f>
        <v>0</v>
      </c>
      <c r="K108" s="34">
        <f>-(-MAP!S857-MAP!S893-MAP!S929-MAP!S965-MAP!S1001-MAP!S1037-MAP!S1073-MAP!S1109+MAP!S873+MAP!S909+MAP!S945+MAP!S981+MAP!S1017+MAP!S1053+MAP!S1089+MAP!S1125+MAP!S1152+-MAP!S860-MAP!S896-MAP!S932-MAP!S968-MAP!S1004-MAP!S1040-MAP!S1079-MAP!S1112+MAP!S874+MAP!S910+MAP!S946+MAP!S982+MAP!S1018+MAP!S1054+MAP!S1090+MAP!S1126)</f>
        <v>0</v>
      </c>
      <c r="L108" s="34">
        <f>-(-MAP!T857-MAP!T893-MAP!T929-MAP!T965-MAP!T1001-MAP!T1037-MAP!T1073-MAP!T1109+MAP!T873+MAP!T909+MAP!T945+MAP!T981+MAP!T1017+MAP!T1053+MAP!T1089+MAP!T1125+MAP!T1152+-MAP!T860-MAP!T896-MAP!T932-MAP!T968-MAP!T1004-MAP!T1040-MAP!T1079-MAP!T1112+MAP!T874+MAP!T910+MAP!T946+MAP!T982+MAP!T1018+MAP!T1054+MAP!T1090+MAP!T1126)</f>
        <v>0</v>
      </c>
      <c r="M108" s="34">
        <f>-(-MAP!U857-MAP!U893-MAP!U929-MAP!U965-MAP!U1001-MAP!U1037-MAP!U1073-MAP!U1109+MAP!U873+MAP!U909+MAP!U945+MAP!U981+MAP!U1017+MAP!U1053+MAP!U1089+MAP!U1125+MAP!U1152+-MAP!U860-MAP!U896-MAP!U932-MAP!U968-MAP!U1004-MAP!U1040-MAP!U1079-MAP!U1112+MAP!U874+MAP!U910+MAP!U946+MAP!U982+MAP!U1018+MAP!U1054+MAP!U1090+MAP!U1126)</f>
        <v>0</v>
      </c>
      <c r="N108" s="34">
        <f>-(-MAP!V857-MAP!V893-MAP!V929-MAP!V965-MAP!V1001-MAP!V1037-MAP!V1073-MAP!V1109+MAP!V873+MAP!V909+MAP!V945+MAP!V981+MAP!V1017+MAP!V1053+MAP!V1089+MAP!V1125+MAP!V1152+-MAP!V860-MAP!V896-MAP!V932-MAP!V968-MAP!V1004-MAP!V1040-MAP!V1079-MAP!V1112+MAP!V874+MAP!V910+MAP!V946+MAP!V982+MAP!V1018+MAP!V1054+MAP!V1090+MAP!V1126)</f>
        <v>0</v>
      </c>
      <c r="O108" s="34">
        <f>-(-MAP!W857-MAP!W893-MAP!W929-MAP!W965-MAP!W1001-MAP!W1037-MAP!W1073-MAP!W1109+MAP!W873+MAP!W909+MAP!W945+MAP!W981+MAP!W1017+MAP!W1053+MAP!W1089+MAP!W1125+MAP!W1152+-MAP!W860-MAP!W896-MAP!W932-MAP!W968-MAP!W1004-MAP!W1040-MAP!W1079-MAP!W1112+MAP!W874+MAP!W910+MAP!W946+MAP!W982+MAP!W1018+MAP!W1054+MAP!W1090+MAP!W1126)</f>
        <v>0</v>
      </c>
      <c r="P108" s="34">
        <f>-(-MAP!X857-MAP!X893-MAP!X929-MAP!X965-MAP!X1001-MAP!X1037-MAP!X1073-MAP!X1109+MAP!X873+MAP!X909+MAP!X945+MAP!X981+MAP!X1017+MAP!X1053+MAP!X1089+MAP!X1125+MAP!X1152+-MAP!X860-MAP!X896-MAP!X932-MAP!X968-MAP!X1004-MAP!X1040-MAP!X1079-MAP!X1112+MAP!X874+MAP!X910+MAP!X946+MAP!X982+MAP!X1018+MAP!X1054+MAP!X1090+MAP!X1126)</f>
        <v>0</v>
      </c>
      <c r="Q108" s="34">
        <f>-(-MAP!Y857-MAP!Y893-MAP!Y929-MAP!Y965-MAP!Y1001-MAP!Y1037-MAP!Y1073-MAP!Y1109+MAP!Y873+MAP!Y909+MAP!Y945+MAP!Y981+MAP!Y1017+MAP!Y1053+MAP!Y1089+MAP!Y1125+MAP!Y1152+-MAP!Y860-MAP!Y896-MAP!Y932-MAP!Y968-MAP!Y1004-MAP!Y1040-MAP!Y1079-MAP!Y1112+MAP!Y874+MAP!Y910+MAP!Y946+MAP!Y982+MAP!Y1018+MAP!Y1054+MAP!Y1090+MAP!Y1126)</f>
        <v>0</v>
      </c>
      <c r="R108" s="34">
        <f>-(-MAP!Z857-MAP!Z893-MAP!Z929-MAP!Z965-MAP!Z1001-MAP!Z1037-MAP!Z1073-MAP!Z1109+MAP!Z873+MAP!Z909+MAP!Z945+MAP!Z981+MAP!Z1017+MAP!Z1053+MAP!Z1089+MAP!Z1125+MAP!Z1152+-MAP!Z860-MAP!Z896-MAP!Z932-MAP!Z968-MAP!Z1004-MAP!Z1040-MAP!Z1079-MAP!Z1112+MAP!Z874+MAP!Z910+MAP!Z946+MAP!Z982+MAP!Z1018+MAP!Z1054+MAP!Z1090+MAP!Z1126)</f>
        <v>0</v>
      </c>
      <c r="S108" s="34">
        <f>-(-MAP!AA857-MAP!AA893-MAP!AA929-MAP!AA965-MAP!AA1001-MAP!AA1037-MAP!AA1073-MAP!AA1109+MAP!AA873+MAP!AA909+MAP!AA945+MAP!AA981+MAP!AA1017+MAP!AA1053+MAP!AA1089+MAP!AA1125+MAP!AA1152+-MAP!AA860-MAP!AA896-MAP!AA932-MAP!AA968-MAP!AA1004-MAP!AA1040-MAP!AA1079-MAP!AA1112+MAP!AA874+MAP!AA910+MAP!AA946+MAP!AA982+MAP!AA1018+MAP!AA1054+MAP!AA1090+MAP!AA1126)</f>
        <v>0</v>
      </c>
      <c r="T108" s="34">
        <f>-(-MAP!AB857-MAP!AB893-MAP!AB929-MAP!AB965-MAP!AB1001-MAP!AB1037-MAP!AB1073-MAP!AB1109+MAP!AB873+MAP!AB909+MAP!AB945+MAP!AB981+MAP!AB1017+MAP!AB1053+MAP!AB1089+MAP!AB1125+MAP!AB1152+-MAP!AB860-MAP!AB896-MAP!AB932-MAP!AB968-MAP!AB1004-MAP!AB1040-MAP!AB1079-MAP!AB1112+MAP!AB874+MAP!AB910+MAP!AB946+MAP!AB982+MAP!AB1018+MAP!AB1054+MAP!AB1090+MAP!AB1126)</f>
        <v>0</v>
      </c>
      <c r="U108" s="34">
        <f>-(-MAP!AC857-MAP!AC893-MAP!AC929-MAP!AC965-MAP!AC1001-MAP!AC1037-MAP!AC1073-MAP!AC1109+MAP!AC873+MAP!AC909+MAP!AC945+MAP!AC981+MAP!AC1017+MAP!AC1053+MAP!AC1089+MAP!AC1125+MAP!AC1152+-MAP!AC860-MAP!AC896-MAP!AC932-MAP!AC968-MAP!AC1004-MAP!AC1040-MAP!AC1079-MAP!AC1112+MAP!AC874+MAP!AC910+MAP!AC946+MAP!AC982+MAP!AC1018+MAP!AC1054+MAP!AC1090+MAP!AC1126)</f>
        <v>0</v>
      </c>
      <c r="V108" s="34">
        <f>-(-MAP!AD857-MAP!AD893-MAP!AD929-MAP!AD965-MAP!AD1001-MAP!AD1037-MAP!AD1073-MAP!AD1109+MAP!AD873+MAP!AD909+MAP!AD945+MAP!AD981+MAP!AD1017+MAP!AD1053+MAP!AD1089+MAP!AD1125+MAP!AD1152+-MAP!AD860-MAP!AD896-MAP!AD932-MAP!AD968-MAP!AD1004-MAP!AD1040-MAP!AD1079-MAP!AD1112+MAP!AD874+MAP!AD910+MAP!AD946+MAP!AD982+MAP!AD1018+MAP!AD1054+MAP!AD1090+MAP!AD1126)</f>
        <v>0</v>
      </c>
      <c r="W108" s="34">
        <f>-(-MAP!AE857-MAP!AE893-MAP!AE929-MAP!AE965-MAP!AE1001-MAP!AE1037-MAP!AE1073-MAP!AE1109+MAP!AE873+MAP!AE909+MAP!AE945+MAP!AE981+MAP!AE1017+MAP!AE1053+MAP!AE1089+MAP!AE1125+MAP!AE1152+-MAP!AE860-MAP!AE896-MAP!AE932-MAP!AE968-MAP!AE1004-MAP!AE1040-MAP!AE1079-MAP!AE1112+MAP!AE874+MAP!AE910+MAP!AE946+MAP!AE982+MAP!AE1018+MAP!AE1054+MAP!AE1090+MAP!AE1126)</f>
        <v>0</v>
      </c>
      <c r="X108" s="34">
        <f>-(-MAP!AF857-MAP!AF893-MAP!AF929-MAP!AF965-MAP!AF1001-MAP!AF1037-MAP!AF1073-MAP!AF1109+MAP!AF873+MAP!AF909+MAP!AF945+MAP!AF981+MAP!AF1017+MAP!AF1053+MAP!AF1089+MAP!AF1125+MAP!AF1152+-MAP!AF860-MAP!AF896-MAP!AF932-MAP!AF968-MAP!AF1004-MAP!AF1040-MAP!AF1079-MAP!AF1112+MAP!AF874+MAP!AF910+MAP!AF946+MAP!AF982+MAP!AF1018+MAP!AF1054+MAP!AF1090+MAP!AF1126)</f>
        <v>0</v>
      </c>
      <c r="Y108" s="34">
        <f>-(-MAP!AG857-MAP!AG893-MAP!AG929-MAP!AG965-MAP!AG1001-MAP!AG1037-MAP!AG1073-MAP!AG1109+MAP!AG873+MAP!AG909+MAP!AG945+MAP!AG981+MAP!AG1017+MAP!AG1053+MAP!AG1089+MAP!AG1125+MAP!AG1152+-MAP!AG860-MAP!AG896-MAP!AG932-MAP!AG968-MAP!AG1004-MAP!AG1040-MAP!AG1079-MAP!AG1112+MAP!AG874+MAP!AG910+MAP!AG946+MAP!AG982+MAP!AG1018+MAP!AG1054+MAP!AG1090+MAP!AG1126)</f>
        <v>0</v>
      </c>
      <c r="Z108" s="34">
        <f>-(-MAP!AH857-MAP!AH893-MAP!AH929-MAP!AH965-MAP!AH1001-MAP!AH1037-MAP!AH1073-MAP!AH1109+MAP!AH873+MAP!AH909+MAP!AH945+MAP!AH981+MAP!AH1017+MAP!AH1053+MAP!AH1089+MAP!AH1125+MAP!AH1152+-MAP!AH860-MAP!AH896-MAP!AH932-MAP!AH968-MAP!AH1004-MAP!AH1040-MAP!AH1079-MAP!AH1112+MAP!AH874+MAP!AH910+MAP!AH946+MAP!AH982+MAP!AH1018+MAP!AH1054+MAP!AH1090+MAP!AH1126)</f>
        <v>0</v>
      </c>
      <c r="AA108" s="34">
        <f>-(-MAP!AI857-MAP!AI893-MAP!AI929-MAP!AI965-MAP!AI1001-MAP!AI1037-MAP!AI1073-MAP!AI1109+MAP!AI873+MAP!AI909+MAP!AI945+MAP!AI981+MAP!AI1017+MAP!AI1053+MAP!AI1089+MAP!AI1125+MAP!AI1152+-MAP!AI860-MAP!AI896-MAP!AI932-MAP!AI968-MAP!AI1004-MAP!AI1040-MAP!AI1079-MAP!AI1112+MAP!AI874+MAP!AI910+MAP!AI946+MAP!AI982+MAP!AI1018+MAP!AI1054+MAP!AI1090+MAP!AI1126)</f>
        <v>0</v>
      </c>
      <c r="AB108" s="34">
        <f>-(-MAP!AJ857-MAP!AJ893-MAP!AJ929-MAP!AJ965-MAP!AJ1001-MAP!AJ1037-MAP!AJ1073-MAP!AJ1109+MAP!AJ873+MAP!AJ909+MAP!AJ945+MAP!AJ981+MAP!AJ1017+MAP!AJ1053+MAP!AJ1089+MAP!AJ1125+MAP!AJ1152+-MAP!AJ860-MAP!AJ896-MAP!AJ932-MAP!AJ968-MAP!AJ1004-MAP!AJ1040-MAP!AJ1079-MAP!AJ1112+MAP!AJ874+MAP!AJ910+MAP!AJ946+MAP!AJ982+MAP!AJ1018+MAP!AJ1054+MAP!AJ1090+MAP!AJ1126)</f>
        <v>0</v>
      </c>
      <c r="AC108" s="34">
        <f>-(-MAP!AK857-MAP!AK893-MAP!AK929-MAP!AK965-MAP!AK1001-MAP!AK1037-MAP!AK1073-MAP!AK1109+MAP!AK873+MAP!AK909+MAP!AK945+MAP!AK981+MAP!AK1017+MAP!AK1053+MAP!AK1089+MAP!AK1125+MAP!AK1152+-MAP!AK860-MAP!AK896-MAP!AK932-MAP!AK968-MAP!AK1004-MAP!AK1040-MAP!AK1079-MAP!AK1112+MAP!AK874+MAP!AK910+MAP!AK946+MAP!AK982+MAP!AK1018+MAP!AK1054+MAP!AK1090+MAP!AK1126)</f>
        <v>0</v>
      </c>
      <c r="AD108" s="34">
        <f>-(-MAP!AL857-MAP!AL893-MAP!AL929-MAP!AL965-MAP!AL1001-MAP!AL1037-MAP!AL1073-MAP!AL1109+MAP!AL873+MAP!AL909+MAP!AL945+MAP!AL981+MAP!AL1017+MAP!AL1053+MAP!AL1089+MAP!AL1125+MAP!AL1152+-MAP!AL860-MAP!AL896-MAP!AL932-MAP!AL968-MAP!AL1004-MAP!AL1040-MAP!AL1079-MAP!AL1112+MAP!AL874+MAP!AL910+MAP!AL946+MAP!AL982+MAP!AL1018+MAP!AL1054+MAP!AL1090+MAP!AL1126)</f>
        <v>0</v>
      </c>
      <c r="AE108" s="34">
        <f>-(-MAP!AM857-MAP!AM893-MAP!AM929-MAP!AM965-MAP!AM1001-MAP!AM1037-MAP!AM1073-MAP!AM1109+MAP!AM873+MAP!AM909+MAP!AM945+MAP!AM981+MAP!AM1017+MAP!AM1053+MAP!AM1089+MAP!AM1125+MAP!AM1152+-MAP!AM860-MAP!AM896-MAP!AM932-MAP!AM968-MAP!AM1004-MAP!AM1040-MAP!AM1079-MAP!AM1112+MAP!AM874+MAP!AM910+MAP!AM946+MAP!AM982+MAP!AM1018+MAP!AM1054+MAP!AM1090+MAP!AM1126)</f>
        <v>0</v>
      </c>
      <c r="AF108" s="34">
        <f>-(-MAP!AN857-MAP!AN893-MAP!AN929-MAP!AN965-MAP!AN1001-MAP!AN1037-MAP!AN1073-MAP!AN1109+MAP!AN873+MAP!AN909+MAP!AN945+MAP!AN981+MAP!AN1017+MAP!AN1053+MAP!AN1089+MAP!AN1125+MAP!AN1152+-MAP!AN860-MAP!AN896-MAP!AN932-MAP!AN968-MAP!AN1004-MAP!AN1040-MAP!AN1079-MAP!AN1112+MAP!AN874+MAP!AN910+MAP!AN946+MAP!AN982+MAP!AN1018+MAP!AN1054+MAP!AN1090+MAP!AN1126)</f>
        <v>0</v>
      </c>
      <c r="AG108" s="34">
        <f>-(-MAP!AO857-MAP!AO893-MAP!AO929-MAP!AO965-MAP!AO1001-MAP!AO1037-MAP!AO1073-MAP!AO1109+MAP!AO873+MAP!AO909+MAP!AO945+MAP!AO981+MAP!AO1017+MAP!AO1053+MAP!AO1089+MAP!AO1125+MAP!AO1152+-MAP!AO860-MAP!AO896-MAP!AO932-MAP!AO968-MAP!AO1004-MAP!AO1040-MAP!AO1079-MAP!AO1112+MAP!AO874+MAP!AO910+MAP!AO946+MAP!AO982+MAP!AO1018+MAP!AO1054+MAP!AO1090+MAP!AO1126)</f>
        <v>0</v>
      </c>
      <c r="AH108" s="34">
        <f>-(-MAP!AP857-MAP!AP893-MAP!AP929-MAP!AP965-MAP!AP1001-MAP!AP1037-MAP!AP1073-MAP!AP1109+MAP!AP873+MAP!AP909+MAP!AP945+MAP!AP981+MAP!AP1017+MAP!AP1053+MAP!AP1089+MAP!AP1125+MAP!AP1152+-MAP!AP860-MAP!AP896-MAP!AP932-MAP!AP968-MAP!AP1004-MAP!AP1040-MAP!AP1079-MAP!AP1112+MAP!AP874+MAP!AP910+MAP!AP946+MAP!AP982+MAP!AP1018+MAP!AP1054+MAP!AP1090+MAP!AP1126)</f>
        <v>0</v>
      </c>
      <c r="AI108" s="34">
        <f>-(-MAP!AQ857-MAP!AQ893-MAP!AQ929-MAP!AQ965-MAP!AQ1001-MAP!AQ1037-MAP!AQ1073-MAP!AQ1109+MAP!AQ873+MAP!AQ909+MAP!AQ945+MAP!AQ981+MAP!AQ1017+MAP!AQ1053+MAP!AQ1089+MAP!AQ1125+MAP!AQ1152+-MAP!AQ860-MAP!AQ896-MAP!AQ932-MAP!AQ968-MAP!AQ1004-MAP!AQ1040-MAP!AQ1079-MAP!AQ1112+MAP!AQ874+MAP!AQ910+MAP!AQ946+MAP!AQ982+MAP!AQ1018+MAP!AQ1054+MAP!AQ1090+MAP!AQ1126)</f>
        <v>0</v>
      </c>
      <c r="AJ108" s="34">
        <f>-(-MAP!AR857-MAP!AR893-MAP!AR929-MAP!AR965-MAP!AR1001-MAP!AR1037-MAP!AR1073-MAP!AR1109+MAP!AR873+MAP!AR909+MAP!AR945+MAP!AR981+MAP!AR1017+MAP!AR1053+MAP!AR1089+MAP!AR1125+MAP!AR1152+-MAP!AR860-MAP!AR896-MAP!AR932-MAP!AR968-MAP!AR1004-MAP!AR1040-MAP!AR1079-MAP!AR1112+MAP!AR874+MAP!AR910+MAP!AR946+MAP!AR982+MAP!AR1018+MAP!AR1054+MAP!AR1090+MAP!AR1126)</f>
        <v>0</v>
      </c>
      <c r="AK108" s="34">
        <f>-(-MAP!AS857-MAP!AS893-MAP!AS929-MAP!AS965-MAP!AS1001-MAP!AS1037-MAP!AS1073-MAP!AS1109+MAP!AS873+MAP!AS909+MAP!AS945+MAP!AS981+MAP!AS1017+MAP!AS1053+MAP!AS1089+MAP!AS1125+MAP!AS1152+-MAP!AS860-MAP!AS896-MAP!AS932-MAP!AS968-MAP!AS1004-MAP!AS1040-MAP!AS1079-MAP!AS1112+MAP!AS874+MAP!AS910+MAP!AS946+MAP!AS982+MAP!AS1018+MAP!AS1054+MAP!AS1090+MAP!AS1126)</f>
        <v>0</v>
      </c>
      <c r="AL108" s="34">
        <f>-(-MAP!AT857-MAP!AT893-MAP!AT929-MAP!AT965-MAP!AT1001-MAP!AT1037-MAP!AT1073-MAP!AT1109+MAP!AT873+MAP!AT909+MAP!AT945+MAP!AT981+MAP!AT1017+MAP!AT1053+MAP!AT1089+MAP!AT1125+MAP!AT1152+-MAP!AT860-MAP!AT896-MAP!AT932-MAP!AT968-MAP!AT1004-MAP!AT1040-MAP!AT1079-MAP!AT1112+MAP!AT874+MAP!AT910+MAP!AT946+MAP!AT982+MAP!AT1018+MAP!AT1054+MAP!AT1090+MAP!AT1126)</f>
        <v>0</v>
      </c>
      <c r="AM108" s="34">
        <f>-(-MAP!AU857-MAP!AU893-MAP!AU929-MAP!AU965-MAP!AU1001-MAP!AU1037-MAP!AU1073-MAP!AU1109+MAP!AU873+MAP!AU909+MAP!AU945+MAP!AU981+MAP!AU1017+MAP!AU1053+MAP!AU1089+MAP!AU1125+MAP!AU1152+-MAP!AU860-MAP!AU896-MAP!AU932-MAP!AU968-MAP!AU1004-MAP!AU1040-MAP!AU1079-MAP!AU1112+MAP!AU874+MAP!AU910+MAP!AU946+MAP!AU982+MAP!AU1018+MAP!AU1054+MAP!AU1090+MAP!AU1126)</f>
        <v>0</v>
      </c>
    </row>
    <row r="109" spans="1:39" x14ac:dyDescent="0.25">
      <c r="A109" s="2"/>
      <c r="B109" s="3"/>
      <c r="C109" s="3"/>
      <c r="D109" s="7"/>
      <c r="E109" s="902"/>
      <c r="F109" s="204" t="e">
        <f>F108+F107</f>
        <v>#VALUE!</v>
      </c>
      <c r="G109" s="204">
        <f t="shared" ref="G109:AM109" si="12">G108+G107</f>
        <v>0</v>
      </c>
      <c r="H109" s="204">
        <f t="shared" si="12"/>
        <v>0</v>
      </c>
      <c r="I109" s="204">
        <f t="shared" si="12"/>
        <v>0</v>
      </c>
      <c r="J109" s="204">
        <f t="shared" si="12"/>
        <v>0</v>
      </c>
      <c r="K109" s="204">
        <f t="shared" si="12"/>
        <v>0</v>
      </c>
      <c r="L109" s="204" t="e">
        <f t="shared" si="12"/>
        <v>#VALUE!</v>
      </c>
      <c r="M109" s="204">
        <f t="shared" si="12"/>
        <v>0</v>
      </c>
      <c r="N109" s="204">
        <f t="shared" si="12"/>
        <v>0</v>
      </c>
      <c r="O109" s="204" t="e">
        <f t="shared" si="12"/>
        <v>#VALUE!</v>
      </c>
      <c r="P109" s="204">
        <f t="shared" si="12"/>
        <v>0</v>
      </c>
      <c r="Q109" s="204">
        <f t="shared" si="12"/>
        <v>0</v>
      </c>
      <c r="R109" s="204">
        <f t="shared" si="12"/>
        <v>0</v>
      </c>
      <c r="S109" s="204">
        <f t="shared" si="12"/>
        <v>0</v>
      </c>
      <c r="T109" s="204">
        <f t="shared" si="12"/>
        <v>0</v>
      </c>
      <c r="U109" s="204">
        <f t="shared" si="12"/>
        <v>0</v>
      </c>
      <c r="V109" s="204">
        <f t="shared" si="12"/>
        <v>0</v>
      </c>
      <c r="W109" s="204">
        <f t="shared" si="12"/>
        <v>0</v>
      </c>
      <c r="X109" s="204">
        <f t="shared" si="12"/>
        <v>0</v>
      </c>
      <c r="Y109" s="204">
        <f t="shared" si="12"/>
        <v>0</v>
      </c>
      <c r="Z109" s="204">
        <f t="shared" si="12"/>
        <v>0</v>
      </c>
      <c r="AA109" s="204">
        <f t="shared" si="12"/>
        <v>0</v>
      </c>
      <c r="AB109" s="204">
        <f t="shared" si="12"/>
        <v>0</v>
      </c>
      <c r="AC109" s="204">
        <f t="shared" si="12"/>
        <v>0</v>
      </c>
      <c r="AD109" s="204">
        <f t="shared" si="12"/>
        <v>0</v>
      </c>
      <c r="AE109" s="204">
        <f t="shared" si="12"/>
        <v>0</v>
      </c>
      <c r="AF109" s="204">
        <f t="shared" si="12"/>
        <v>0</v>
      </c>
      <c r="AG109" s="204">
        <f t="shared" si="12"/>
        <v>0</v>
      </c>
      <c r="AH109" s="204">
        <f t="shared" si="12"/>
        <v>0</v>
      </c>
      <c r="AI109" s="204">
        <f t="shared" si="12"/>
        <v>0</v>
      </c>
      <c r="AJ109" s="204">
        <f t="shared" si="12"/>
        <v>0</v>
      </c>
      <c r="AK109" s="204">
        <f t="shared" si="12"/>
        <v>0</v>
      </c>
      <c r="AL109" s="204">
        <f t="shared" si="12"/>
        <v>0</v>
      </c>
      <c r="AM109" s="204">
        <f t="shared" si="12"/>
        <v>0</v>
      </c>
    </row>
    <row r="110" spans="1:39" x14ac:dyDescent="0.25">
      <c r="A110" s="2"/>
      <c r="B110" s="3"/>
      <c r="C110" s="3"/>
      <c r="D110" s="7"/>
      <c r="E110" s="902"/>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row>
    <row r="111" spans="1:39" hidden="1" x14ac:dyDescent="0.25">
      <c r="A111" s="1376"/>
      <c r="B111" s="1377">
        <f>MAX($B$4:B108)+1</f>
        <v>102</v>
      </c>
      <c r="C111" s="1378" t="s">
        <v>1439</v>
      </c>
      <c r="D111" s="1379" t="s">
        <v>1449</v>
      </c>
      <c r="E111" s="1380"/>
      <c r="F111" s="1381"/>
      <c r="G111" s="1381"/>
      <c r="H111" s="1381"/>
      <c r="I111" s="1381"/>
      <c r="J111" s="1381"/>
      <c r="K111" s="1381"/>
      <c r="L111" s="1381"/>
      <c r="M111" s="1381"/>
      <c r="N111" s="1381"/>
      <c r="O111" s="1381"/>
      <c r="P111" s="1381"/>
      <c r="Q111" s="1381"/>
      <c r="R111" s="1381"/>
      <c r="S111" s="1381"/>
      <c r="T111" s="1381"/>
      <c r="U111" s="1381"/>
      <c r="V111" s="1381"/>
      <c r="W111" s="1381"/>
      <c r="X111" s="1381"/>
      <c r="Y111" s="1381"/>
      <c r="Z111" s="1381"/>
      <c r="AA111" s="1381"/>
      <c r="AB111" s="1381"/>
      <c r="AC111" s="1381"/>
      <c r="AD111" s="1381"/>
      <c r="AE111" s="1381"/>
      <c r="AF111" s="1381"/>
      <c r="AG111" s="1381"/>
      <c r="AH111" s="1381"/>
      <c r="AI111" s="1381"/>
      <c r="AJ111" s="1381"/>
      <c r="AK111" s="1381"/>
      <c r="AL111" s="1381"/>
      <c r="AM111" s="1381"/>
    </row>
    <row r="112" spans="1:39" hidden="1" x14ac:dyDescent="0.25">
      <c r="A112" s="1376"/>
      <c r="B112" s="1377">
        <f>MAX($B$4:B111)+1</f>
        <v>103</v>
      </c>
      <c r="C112" s="1377" t="s">
        <v>681</v>
      </c>
      <c r="D112" s="1382" t="s">
        <v>810</v>
      </c>
      <c r="E112" s="1380" t="s">
        <v>1450</v>
      </c>
      <c r="F112" s="1383">
        <f>SUMIF(MAP!$J$492:$J$796,$D112,MAP!N$492:N$796)</f>
        <v>0</v>
      </c>
      <c r="G112" s="1383">
        <f>SUMIF(MAP!$J$492:$J$796,$D112,MAP!O$492:O$796)</f>
        <v>0</v>
      </c>
      <c r="H112" s="1383">
        <f>SUMIF(MAP!$J$492:$J$796,$D112,MAP!P$492:P$796)</f>
        <v>0</v>
      </c>
      <c r="I112" s="1383">
        <f>SUMIF(MAP!$J$492:$J$796,$D112,MAP!Q$492:Q$796)</f>
        <v>0</v>
      </c>
      <c r="J112" s="1383">
        <f>SUMIF(MAP!$J$492:$J$796,$D112,MAP!R$492:R$796)</f>
        <v>0</v>
      </c>
      <c r="K112" s="1383">
        <f>SUMIF(MAP!$J$492:$J$796,$D112,MAP!S$492:S$796)</f>
        <v>0</v>
      </c>
      <c r="L112" s="1383">
        <f>SUMIF(MAP!$J$492:$J$796,$D112,MAP!T$492:T$796)</f>
        <v>0</v>
      </c>
      <c r="M112" s="1383">
        <f>SUMIF(MAP!$J$492:$J$796,$D112,MAP!U$492:U$796)</f>
        <v>0</v>
      </c>
      <c r="N112" s="1383">
        <f>SUMIF(MAP!$J$492:$J$796,$D112,MAP!V$492:V$796)</f>
        <v>0</v>
      </c>
      <c r="O112" s="1383">
        <f>SUMIF(MAP!$J$492:$J$796,$D112,MAP!W$492:W$796)</f>
        <v>0</v>
      </c>
      <c r="P112" s="1383">
        <f>SUMIF(MAP!$J$492:$J$796,$D112,MAP!X$492:X$796)</f>
        <v>0</v>
      </c>
      <c r="Q112" s="1383">
        <f>SUMIF(MAP!$J$492:$J$796,$D112,MAP!Y$492:Y$796)</f>
        <v>0</v>
      </c>
      <c r="R112" s="1383">
        <f>SUMIF(MAP!$J$492:$J$796,$D112,MAP!Z$492:Z$796)</f>
        <v>0</v>
      </c>
      <c r="S112" s="1383">
        <f>SUMIF(MAP!$J$492:$J$796,$D112,MAP!AA$492:AA$796)</f>
        <v>0</v>
      </c>
      <c r="T112" s="1383">
        <f>SUMIF(MAP!$J$492:$J$796,$D112,MAP!AB$492:AB$796)</f>
        <v>0</v>
      </c>
      <c r="U112" s="1383">
        <f>SUMIF(MAP!$J$492:$J$796,$D112,MAP!AC$492:AC$796)</f>
        <v>0</v>
      </c>
      <c r="V112" s="1383">
        <f>SUMIF(MAP!$J$492:$J$796,$D112,MAP!AD$492:AD$796)</f>
        <v>0</v>
      </c>
      <c r="W112" s="1383">
        <f>SUMIF(MAP!$J$492:$J$796,$D112,MAP!AE$492:AE$796)</f>
        <v>0</v>
      </c>
      <c r="X112" s="1383">
        <f>SUMIF(MAP!$J$492:$J$796,$D112,MAP!AF$492:AF$796)</f>
        <v>0</v>
      </c>
      <c r="Y112" s="1383">
        <f>SUMIF(MAP!$J$492:$J$796,$D112,MAP!AG$492:AG$796)</f>
        <v>0</v>
      </c>
      <c r="Z112" s="1383">
        <f>SUMIF(MAP!$J$492:$J$796,$D112,MAP!AH$492:AH$796)</f>
        <v>0</v>
      </c>
      <c r="AA112" s="1383">
        <f>SUMIF(MAP!$J$492:$J$796,$D112,MAP!AI$492:AI$796)</f>
        <v>0</v>
      </c>
      <c r="AB112" s="1383">
        <f>SUMIF(MAP!$J$492:$J$796,$D112,MAP!AJ$492:AJ$796)</f>
        <v>0</v>
      </c>
      <c r="AC112" s="1383">
        <f>SUMIF(MAP!$J$492:$J$796,$D112,MAP!AK$492:AK$796)</f>
        <v>0</v>
      </c>
      <c r="AD112" s="1383">
        <f>SUMIF(MAP!$J$492:$J$796,$D112,MAP!AL$492:AL$796)</f>
        <v>0</v>
      </c>
      <c r="AE112" s="1383">
        <f>SUMIF(MAP!$J$492:$J$796,$D112,MAP!AM$492:AM$796)</f>
        <v>0</v>
      </c>
      <c r="AF112" s="1383">
        <f>SUMIF(MAP!$J$492:$J$796,$D112,MAP!AN$492:AN$796)</f>
        <v>0</v>
      </c>
      <c r="AG112" s="1383">
        <f>SUMIF(MAP!$J$492:$J$796,$D112,MAP!AO$492:AO$796)</f>
        <v>0</v>
      </c>
      <c r="AH112" s="1383">
        <f>SUMIF(MAP!$J$492:$J$796,$D112,MAP!AP$492:AP$796)</f>
        <v>0</v>
      </c>
      <c r="AI112" s="1383">
        <f>SUMIF(MAP!$J$492:$J$796,$D112,MAP!AQ$492:AQ$796)</f>
        <v>0</v>
      </c>
      <c r="AJ112" s="1383">
        <f>SUMIF(MAP!$J$492:$J$796,$D112,MAP!AR$492:AR$796)</f>
        <v>0</v>
      </c>
      <c r="AK112" s="1383">
        <f>SUMIF(MAP!$J$492:$J$796,$D112,MAP!AS$492:AS$796)</f>
        <v>0</v>
      </c>
      <c r="AL112" s="1383">
        <f>SUMIF(MAP!$J$492:$J$796,$D112,MAP!AT$492:AT$796)</f>
        <v>0</v>
      </c>
      <c r="AM112" s="1383">
        <f>SUMIF(MAP!$J$492:$J$796,$D112,MAP!AU$492:AU$796)</f>
        <v>0</v>
      </c>
    </row>
    <row r="113" spans="1:39" hidden="1" x14ac:dyDescent="0.25">
      <c r="A113" s="1376"/>
      <c r="B113" s="1377">
        <f>MAX($B$4:B112)+1</f>
        <v>104</v>
      </c>
      <c r="C113" s="1377" t="s">
        <v>1437</v>
      </c>
      <c r="D113" s="1382" t="s">
        <v>866</v>
      </c>
      <c r="E113" s="1380" t="s">
        <v>1451</v>
      </c>
      <c r="F113" s="1383">
        <f>-SUMIF(MAP!$J$492:$J$796,$D113,MAP!N$492:N$796)</f>
        <v>0</v>
      </c>
      <c r="G113" s="1383">
        <f>-SUMIF(MAP!$J$492:$J$796,$D113,MAP!O$492:O$796)</f>
        <v>0</v>
      </c>
      <c r="H113" s="1383">
        <f>-SUMIF(MAP!$J$492:$J$796,$D113,MAP!P$492:P$796)</f>
        <v>0</v>
      </c>
      <c r="I113" s="1383">
        <f>-SUMIF(MAP!$J$492:$J$796,$D113,MAP!Q$492:Q$796)</f>
        <v>0</v>
      </c>
      <c r="J113" s="1383">
        <f>-SUMIF(MAP!$J$492:$J$796,$D113,MAP!R$492:R$796)</f>
        <v>0</v>
      </c>
      <c r="K113" s="1383">
        <f>-SUMIF(MAP!$J$492:$J$796,$D113,MAP!S$492:S$796)</f>
        <v>0</v>
      </c>
      <c r="L113" s="1383">
        <f>-SUMIF(MAP!$J$492:$J$796,$D113,MAP!T$492:T$796)</f>
        <v>0</v>
      </c>
      <c r="M113" s="1383">
        <f>-SUMIF(MAP!$J$492:$J$796,$D113,MAP!U$492:U$796)</f>
        <v>0</v>
      </c>
      <c r="N113" s="1383">
        <f>-SUMIF(MAP!$J$492:$J$796,$D113,MAP!V$492:V$796)</f>
        <v>0</v>
      </c>
      <c r="O113" s="1383">
        <f>-SUMIF(MAP!$J$492:$J$796,$D113,MAP!W$492:W$796)</f>
        <v>0</v>
      </c>
      <c r="P113" s="1383">
        <f>-SUMIF(MAP!$J$492:$J$796,$D113,MAP!X$492:X$796)</f>
        <v>0</v>
      </c>
      <c r="Q113" s="1383">
        <f>-SUMIF(MAP!$J$492:$J$796,$D113,MAP!Y$492:Y$796)</f>
        <v>0</v>
      </c>
      <c r="R113" s="1383">
        <f>-SUMIF(MAP!$J$492:$J$796,$D113,MAP!Z$492:Z$796)</f>
        <v>0</v>
      </c>
      <c r="S113" s="1383">
        <f>-SUMIF(MAP!$J$492:$J$796,$D113,MAP!AA$492:AA$796)</f>
        <v>0</v>
      </c>
      <c r="T113" s="1383">
        <f>-SUMIF(MAP!$J$492:$J$796,$D113,MAP!AB$492:AB$796)</f>
        <v>0</v>
      </c>
      <c r="U113" s="1383">
        <f>-SUMIF(MAP!$J$492:$J$796,$D113,MAP!AC$492:AC$796)</f>
        <v>0</v>
      </c>
      <c r="V113" s="1383">
        <f>-SUMIF(MAP!$J$492:$J$796,$D113,MAP!AD$492:AD$796)</f>
        <v>0</v>
      </c>
      <c r="W113" s="1383">
        <f>-SUMIF(MAP!$J$492:$J$796,$D113,MAP!AE$492:AE$796)</f>
        <v>0</v>
      </c>
      <c r="X113" s="1383">
        <f>-SUMIF(MAP!$J$492:$J$796,$D113,MAP!AF$492:AF$796)</f>
        <v>0</v>
      </c>
      <c r="Y113" s="1383">
        <f>-SUMIF(MAP!$J$492:$J$796,$D113,MAP!AG$492:AG$796)</f>
        <v>0</v>
      </c>
      <c r="Z113" s="1383">
        <f>-SUMIF(MAP!$J$492:$J$796,$D113,MAP!AH$492:AH$796)</f>
        <v>0</v>
      </c>
      <c r="AA113" s="1383">
        <f>-SUMIF(MAP!$J$492:$J$796,$D113,MAP!AI$492:AI$796)</f>
        <v>0</v>
      </c>
      <c r="AB113" s="1383">
        <f>-SUMIF(MAP!$J$492:$J$796,$D113,MAP!AJ$492:AJ$796)</f>
        <v>0</v>
      </c>
      <c r="AC113" s="1383">
        <f>-SUMIF(MAP!$J$492:$J$796,$D113,MAP!AK$492:AK$796)</f>
        <v>0</v>
      </c>
      <c r="AD113" s="1383">
        <f>-SUMIF(MAP!$J$492:$J$796,$D113,MAP!AL$492:AL$796)</f>
        <v>0</v>
      </c>
      <c r="AE113" s="1383">
        <f>-SUMIF(MAP!$J$492:$J$796,$D113,MAP!AM$492:AM$796)</f>
        <v>0</v>
      </c>
      <c r="AF113" s="1383">
        <f>-SUMIF(MAP!$J$492:$J$796,$D113,MAP!AN$492:AN$796)</f>
        <v>0</v>
      </c>
      <c r="AG113" s="1383">
        <f>-SUMIF(MAP!$J$492:$J$796,$D113,MAP!AO$492:AO$796)</f>
        <v>0</v>
      </c>
      <c r="AH113" s="1383">
        <f>-SUMIF(MAP!$J$492:$J$796,$D113,MAP!AP$492:AP$796)</f>
        <v>0</v>
      </c>
      <c r="AI113" s="1383">
        <f>-SUMIF(MAP!$J$492:$J$796,$D113,MAP!AQ$492:AQ$796)</f>
        <v>0</v>
      </c>
      <c r="AJ113" s="1383">
        <f>-SUMIF(MAP!$J$492:$J$796,$D113,MAP!AR$492:AR$796)</f>
        <v>0</v>
      </c>
      <c r="AK113" s="1383">
        <f>-SUMIF(MAP!$J$492:$J$796,$D113,MAP!AS$492:AS$796)</f>
        <v>0</v>
      </c>
      <c r="AL113" s="1383">
        <f>-SUMIF(MAP!$J$492:$J$796,$D113,MAP!AT$492:AT$796)</f>
        <v>0</v>
      </c>
      <c r="AM113" s="1383">
        <f>-SUMIF(MAP!$J$492:$J$796,$D113,MAP!AU$492:AU$796)</f>
        <v>0</v>
      </c>
    </row>
    <row r="114" spans="1:39" hidden="1" x14ac:dyDescent="0.25">
      <c r="A114" s="2"/>
      <c r="B114" s="3">
        <f>MAX($B$4:B113)+1</f>
        <v>105</v>
      </c>
      <c r="C114" s="3"/>
      <c r="D114" s="7"/>
      <c r="E114" s="902"/>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row>
    <row r="115" spans="1:39" hidden="1" x14ac:dyDescent="0.25">
      <c r="A115" s="2"/>
      <c r="B115" s="3">
        <f>MAX($B$4:B114)+1</f>
        <v>106</v>
      </c>
      <c r="C115" s="3"/>
      <c r="D115" s="7"/>
      <c r="E115" s="902"/>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row>
    <row r="116" spans="1:39" hidden="1" x14ac:dyDescent="0.25">
      <c r="A116" s="2"/>
      <c r="B116" s="3">
        <f>MAX($B$4:B115)+1</f>
        <v>107</v>
      </c>
      <c r="C116" s="3"/>
      <c r="D116" s="7"/>
      <c r="E116" s="902"/>
      <c r="F116" s="822"/>
      <c r="G116" s="822"/>
      <c r="H116" s="822"/>
      <c r="I116" s="822"/>
      <c r="J116" s="822"/>
      <c r="K116" s="822"/>
      <c r="L116" s="822"/>
      <c r="M116" s="822"/>
      <c r="N116" s="822"/>
      <c r="O116" s="822"/>
      <c r="P116" s="822"/>
      <c r="Q116" s="822"/>
      <c r="R116" s="822"/>
      <c r="S116" s="822"/>
      <c r="T116" s="822"/>
      <c r="U116" s="822"/>
      <c r="V116" s="822"/>
      <c r="W116" s="822"/>
      <c r="X116" s="822"/>
      <c r="Y116" s="822"/>
      <c r="Z116" s="822"/>
      <c r="AA116" s="822"/>
      <c r="AB116" s="822"/>
      <c r="AC116" s="822"/>
      <c r="AD116" s="822"/>
      <c r="AE116" s="822"/>
      <c r="AF116" s="822"/>
      <c r="AG116" s="822"/>
      <c r="AH116" s="822"/>
      <c r="AI116" s="822"/>
      <c r="AJ116" s="822"/>
      <c r="AK116" s="822"/>
      <c r="AL116" s="822"/>
      <c r="AM116" s="822"/>
    </row>
    <row r="117" spans="1:39" x14ac:dyDescent="0.25">
      <c r="A117" s="2"/>
      <c r="B117" s="3">
        <f>MAX($B$4:B108)+1</f>
        <v>102</v>
      </c>
      <c r="C117" s="3"/>
      <c r="D117" s="7"/>
      <c r="E117" s="902"/>
      <c r="F117" s="822"/>
      <c r="G117" s="822"/>
      <c r="H117" s="822"/>
      <c r="I117" s="822"/>
      <c r="J117" s="822"/>
      <c r="K117" s="822"/>
      <c r="L117" s="822"/>
      <c r="M117" s="822"/>
      <c r="N117" s="822"/>
      <c r="O117" s="822"/>
      <c r="P117" s="822"/>
      <c r="Q117" s="822"/>
      <c r="R117" s="822"/>
      <c r="S117" s="822"/>
      <c r="T117" s="822"/>
      <c r="U117" s="822"/>
      <c r="V117" s="822"/>
      <c r="W117" s="822"/>
      <c r="X117" s="822"/>
      <c r="Y117" s="822"/>
      <c r="Z117" s="822"/>
      <c r="AA117" s="822"/>
      <c r="AB117" s="822"/>
      <c r="AC117" s="822"/>
      <c r="AD117" s="822"/>
      <c r="AE117" s="822"/>
      <c r="AF117" s="822"/>
      <c r="AG117" s="822"/>
      <c r="AH117" s="822"/>
      <c r="AI117" s="822"/>
      <c r="AJ117" s="822"/>
      <c r="AK117" s="822"/>
      <c r="AL117" s="822"/>
      <c r="AM117" s="822"/>
    </row>
    <row r="118" spans="1:39" x14ac:dyDescent="0.25">
      <c r="A118" s="2"/>
      <c r="B118" s="3">
        <f>MAX($B$4:B117)+1</f>
        <v>108</v>
      </c>
      <c r="C118" s="7" t="s">
        <v>728</v>
      </c>
      <c r="D118" s="7" t="s">
        <v>1407</v>
      </c>
      <c r="E118" s="902"/>
      <c r="F118" s="821">
        <f>MAP!N43-MAP!N796+MAP!N1695</f>
        <v>0</v>
      </c>
      <c r="G118" s="821">
        <f>MAP!O43-MAP!O796+MAP!O1695</f>
        <v>0</v>
      </c>
      <c r="H118" s="821">
        <f>MAP!P43-MAP!P796+MAP!P1695</f>
        <v>0</v>
      </c>
      <c r="I118" s="821">
        <f>MAP!Q43-MAP!Q796+MAP!Q1695</f>
        <v>0</v>
      </c>
      <c r="J118" s="821">
        <f>MAP!R43-MAP!R796+MAP!R1695</f>
        <v>0</v>
      </c>
      <c r="K118" s="821">
        <f>MAP!S43-MAP!S796+MAP!S1695</f>
        <v>0</v>
      </c>
      <c r="L118" s="821">
        <f>MAP!T43-MAP!T796+MAP!T1695</f>
        <v>0</v>
      </c>
      <c r="M118" s="821">
        <f>MAP!U43-MAP!U796+MAP!U1695</f>
        <v>0</v>
      </c>
      <c r="N118" s="821">
        <f>MAP!V43-MAP!V796+MAP!V1695</f>
        <v>0</v>
      </c>
      <c r="O118" s="821">
        <f>MAP!W43-MAP!W796+MAP!W1695</f>
        <v>0</v>
      </c>
      <c r="P118" s="821">
        <f>MAP!X43-MAP!X796+MAP!X1695</f>
        <v>0</v>
      </c>
      <c r="Q118" s="821">
        <f>MAP!Y43-MAP!Y796+MAP!Y1695</f>
        <v>0</v>
      </c>
      <c r="R118" s="821">
        <f>MAP!Z43-MAP!Z796+MAP!Z1695</f>
        <v>0</v>
      </c>
      <c r="S118" s="821">
        <f>MAP!AA43-MAP!AA796+MAP!AA1695</f>
        <v>0</v>
      </c>
      <c r="T118" s="821">
        <f>MAP!AB43-MAP!AB796+MAP!AB1695</f>
        <v>0</v>
      </c>
      <c r="U118" s="821">
        <f>MAP!AC43-MAP!AC796+MAP!AC1695</f>
        <v>0</v>
      </c>
      <c r="V118" s="821">
        <f>MAP!AD43-MAP!AD796+MAP!AD1695</f>
        <v>0</v>
      </c>
      <c r="W118" s="821">
        <f>MAP!AE43-MAP!AE796+MAP!AE1695</f>
        <v>0</v>
      </c>
      <c r="X118" s="821">
        <f>MAP!AF43-MAP!AF796+MAP!AF1695</f>
        <v>0</v>
      </c>
      <c r="Y118" s="821">
        <f>MAP!AG43-MAP!AG796+MAP!AG1695</f>
        <v>0</v>
      </c>
      <c r="Z118" s="821">
        <f>MAP!AH43-MAP!AH796+MAP!AH1695</f>
        <v>0</v>
      </c>
      <c r="AA118" s="821">
        <f>MAP!AI43-MAP!AI796+MAP!AI1695</f>
        <v>0</v>
      </c>
      <c r="AB118" s="821">
        <f>MAP!AJ43-MAP!AJ796+MAP!AJ1695</f>
        <v>0</v>
      </c>
      <c r="AC118" s="821">
        <f>MAP!AK43-MAP!AK796+MAP!AK1695</f>
        <v>0</v>
      </c>
      <c r="AD118" s="821">
        <f>MAP!AL43-MAP!AL796+MAP!AL1695</f>
        <v>0</v>
      </c>
      <c r="AE118" s="821">
        <f>MAP!AM43-MAP!AM796+MAP!AM1695</f>
        <v>0</v>
      </c>
      <c r="AF118" s="821">
        <f>MAP!AN43-MAP!AN796+MAP!AN1695</f>
        <v>0</v>
      </c>
      <c r="AG118" s="821">
        <f>MAP!AO43-MAP!AO796+MAP!AO1695</f>
        <v>0</v>
      </c>
      <c r="AH118" s="821">
        <f>MAP!AP43-MAP!AP796+MAP!AP1695</f>
        <v>0</v>
      </c>
      <c r="AI118" s="821">
        <f>MAP!AQ43-MAP!AQ796+MAP!AQ1695</f>
        <v>0</v>
      </c>
      <c r="AJ118" s="821">
        <f>MAP!AR43-MAP!AR796+MAP!AR1695</f>
        <v>0</v>
      </c>
      <c r="AK118" s="821">
        <f>MAP!AS43-MAP!AS796+MAP!AS1695</f>
        <v>0</v>
      </c>
      <c r="AL118" s="821">
        <f>MAP!AT43-MAP!AT796+MAP!AT1695</f>
        <v>0</v>
      </c>
      <c r="AM118" s="821">
        <f>MAP!AU43-MAP!AU796+MAP!AU1695</f>
        <v>0</v>
      </c>
    </row>
    <row r="119" spans="1:39" x14ac:dyDescent="0.25">
      <c r="A119" s="2"/>
      <c r="B119" s="3">
        <f>MAX($B$4:B118)+1</f>
        <v>109</v>
      </c>
      <c r="C119" s="7" t="s">
        <v>2852</v>
      </c>
      <c r="D119" s="7" t="s">
        <v>1407</v>
      </c>
      <c r="E119" s="902"/>
      <c r="F119" s="821">
        <f>MAP!N44-MAP!N1695</f>
        <v>0</v>
      </c>
      <c r="G119" s="821">
        <f>MAP!O44-MAP!O1695</f>
        <v>0</v>
      </c>
      <c r="H119" s="821">
        <f>MAP!P44-MAP!P1695</f>
        <v>0</v>
      </c>
      <c r="I119" s="821">
        <f>MAP!Q44-MAP!Q1695</f>
        <v>0</v>
      </c>
      <c r="J119" s="821">
        <f>MAP!R44-MAP!R1695</f>
        <v>0</v>
      </c>
      <c r="K119" s="821">
        <f>MAP!S44-MAP!S1695</f>
        <v>0</v>
      </c>
      <c r="L119" s="821">
        <f>MAP!T44-MAP!T1695</f>
        <v>0</v>
      </c>
      <c r="M119" s="821">
        <f>MAP!U44-MAP!U1695</f>
        <v>0</v>
      </c>
      <c r="N119" s="821">
        <f>MAP!V44-MAP!V1695</f>
        <v>0</v>
      </c>
      <c r="O119" s="821">
        <f>MAP!W44-MAP!W1695</f>
        <v>0</v>
      </c>
      <c r="P119" s="821">
        <f>MAP!X44-MAP!X1695</f>
        <v>0</v>
      </c>
      <c r="Q119" s="821">
        <f>MAP!Y44-MAP!Y1695</f>
        <v>0</v>
      </c>
      <c r="R119" s="821">
        <f>MAP!Z44-MAP!Z1695</f>
        <v>0</v>
      </c>
      <c r="S119" s="821">
        <f>MAP!AA44-MAP!AA1695</f>
        <v>0</v>
      </c>
      <c r="T119" s="821">
        <f>MAP!AB44-MAP!AB1695</f>
        <v>0</v>
      </c>
      <c r="U119" s="821">
        <f>MAP!AC44-MAP!AC1695</f>
        <v>0</v>
      </c>
      <c r="V119" s="821">
        <f>MAP!AD44-MAP!AD1695</f>
        <v>0</v>
      </c>
      <c r="W119" s="821">
        <f>MAP!AE44-MAP!AE1695</f>
        <v>0</v>
      </c>
      <c r="X119" s="821">
        <f>MAP!AF44-MAP!AF1695</f>
        <v>0</v>
      </c>
      <c r="Y119" s="821">
        <f>MAP!AG44-MAP!AG1695</f>
        <v>0</v>
      </c>
      <c r="Z119" s="821">
        <f>MAP!AH44-MAP!AH1695</f>
        <v>0</v>
      </c>
      <c r="AA119" s="821">
        <f>MAP!AI44-MAP!AI1695</f>
        <v>0</v>
      </c>
      <c r="AB119" s="821">
        <f>MAP!AJ44-MAP!AJ1695</f>
        <v>0</v>
      </c>
      <c r="AC119" s="821">
        <f>MAP!AK44-MAP!AK1695</f>
        <v>0</v>
      </c>
      <c r="AD119" s="821">
        <f>MAP!AL44-MAP!AL1695</f>
        <v>0</v>
      </c>
      <c r="AE119" s="821">
        <f>MAP!AM44-MAP!AM1695</f>
        <v>0</v>
      </c>
      <c r="AF119" s="821">
        <f>MAP!AN44-MAP!AN1695</f>
        <v>0</v>
      </c>
      <c r="AG119" s="821">
        <f>MAP!AO44-MAP!AO1695</f>
        <v>0</v>
      </c>
      <c r="AH119" s="821">
        <f>MAP!AP44-MAP!AP1695</f>
        <v>0</v>
      </c>
      <c r="AI119" s="821">
        <f>MAP!AQ44-MAP!AQ1695</f>
        <v>0</v>
      </c>
      <c r="AJ119" s="821">
        <f>MAP!AR44-MAP!AR1695</f>
        <v>0</v>
      </c>
      <c r="AK119" s="821">
        <f>MAP!AS44-MAP!AS1695</f>
        <v>0</v>
      </c>
      <c r="AL119" s="821">
        <f>MAP!AT44-MAP!AT1695</f>
        <v>0</v>
      </c>
      <c r="AM119" s="821">
        <f>MAP!AU44-MAP!AU1695</f>
        <v>0</v>
      </c>
    </row>
    <row r="120" spans="1:39" x14ac:dyDescent="0.25">
      <c r="A120" s="2"/>
      <c r="B120" s="3">
        <f>MAX($B$4:B118)+1</f>
        <v>109</v>
      </c>
      <c r="C120" s="2" t="s">
        <v>851</v>
      </c>
      <c r="D120" s="7" t="s">
        <v>1407</v>
      </c>
      <c r="E120" s="902"/>
      <c r="F120" s="821">
        <f>MAP!N45-MAP!N1136</f>
        <v>0</v>
      </c>
      <c r="G120" s="821">
        <f>MAP!O45-MAP!O1136</f>
        <v>0</v>
      </c>
      <c r="H120" s="821">
        <f>MAP!P45-MAP!P1136</f>
        <v>0</v>
      </c>
      <c r="I120" s="821">
        <f>MAP!Q45-MAP!Q1136</f>
        <v>0</v>
      </c>
      <c r="J120" s="821">
        <f>MAP!R45-MAP!R1136</f>
        <v>0</v>
      </c>
      <c r="K120" s="821">
        <f>MAP!S45-MAP!S1136</f>
        <v>0</v>
      </c>
      <c r="L120" s="821">
        <f>MAP!T45-MAP!T1136</f>
        <v>0</v>
      </c>
      <c r="M120" s="821">
        <f>MAP!U45-MAP!U1136</f>
        <v>0</v>
      </c>
      <c r="N120" s="821">
        <f>MAP!V45-MAP!V1136</f>
        <v>0</v>
      </c>
      <c r="O120" s="821">
        <f>MAP!W45-MAP!W1136</f>
        <v>0</v>
      </c>
      <c r="P120" s="821">
        <f>MAP!X45-MAP!X1136</f>
        <v>0</v>
      </c>
      <c r="Q120" s="821">
        <f>MAP!Y45-MAP!Y1136</f>
        <v>0</v>
      </c>
      <c r="R120" s="821">
        <f>MAP!Z45-MAP!Z1136</f>
        <v>0</v>
      </c>
      <c r="S120" s="821">
        <f>MAP!AA45-MAP!AA1136</f>
        <v>0</v>
      </c>
      <c r="T120" s="821">
        <f>MAP!AB45-MAP!AB1136</f>
        <v>0</v>
      </c>
      <c r="U120" s="821">
        <f>MAP!AC45-MAP!AC1136</f>
        <v>0</v>
      </c>
      <c r="V120" s="821">
        <f>MAP!AD45-MAP!AD1136</f>
        <v>0</v>
      </c>
      <c r="W120" s="821">
        <f>MAP!AE45-MAP!AE1136</f>
        <v>0</v>
      </c>
      <c r="X120" s="821">
        <f>MAP!AF45-MAP!AF1136</f>
        <v>0</v>
      </c>
      <c r="Y120" s="821">
        <f>MAP!AG45-MAP!AG1136</f>
        <v>0</v>
      </c>
      <c r="Z120" s="821">
        <f>MAP!AH45-MAP!AH1136</f>
        <v>0</v>
      </c>
      <c r="AA120" s="821">
        <f>MAP!AI45-MAP!AI1136</f>
        <v>0</v>
      </c>
      <c r="AB120" s="821">
        <f>MAP!AJ45-MAP!AJ1136</f>
        <v>0</v>
      </c>
      <c r="AC120" s="821">
        <f>MAP!AK45-MAP!AK1136</f>
        <v>0</v>
      </c>
      <c r="AD120" s="821">
        <f>MAP!AL45-MAP!AL1136</f>
        <v>0</v>
      </c>
      <c r="AE120" s="821">
        <f>MAP!AM45-MAP!AM1136</f>
        <v>0</v>
      </c>
      <c r="AF120" s="821">
        <f>MAP!AN45-MAP!AN1136</f>
        <v>0</v>
      </c>
      <c r="AG120" s="821">
        <f>MAP!AO45-MAP!AO1136</f>
        <v>0</v>
      </c>
      <c r="AH120" s="821">
        <f>MAP!AP45-MAP!AP1136</f>
        <v>0</v>
      </c>
      <c r="AI120" s="821">
        <f>MAP!AQ45-MAP!AQ1136</f>
        <v>0</v>
      </c>
      <c r="AJ120" s="821">
        <f>MAP!AR45-MAP!AR1136</f>
        <v>0</v>
      </c>
      <c r="AK120" s="821">
        <f>MAP!AS45-MAP!AS1136</f>
        <v>0</v>
      </c>
      <c r="AL120" s="821">
        <f>MAP!AT45-MAP!AT1136</f>
        <v>0</v>
      </c>
      <c r="AM120" s="821">
        <f>MAP!AU45-MAP!AU1136</f>
        <v>0</v>
      </c>
    </row>
    <row r="121" spans="1:39" x14ac:dyDescent="0.25">
      <c r="A121" s="2"/>
      <c r="B121" s="3">
        <f>MAX($B$4:B120)+1</f>
        <v>110</v>
      </c>
      <c r="C121" s="7" t="s">
        <v>1041</v>
      </c>
      <c r="D121" s="7" t="s">
        <v>1407</v>
      </c>
      <c r="E121" s="902"/>
      <c r="F121" s="821">
        <f>MAP!N51-MAP!N813-MAP!N819-MAP!N825-MAP!N831-MAP!N837-MAP!N843</f>
        <v>0</v>
      </c>
      <c r="G121" s="821">
        <f>MAP!O51-MAP!O813-MAP!O819-MAP!O825-MAP!O831-MAP!O837-MAP!O843</f>
        <v>0</v>
      </c>
      <c r="H121" s="821">
        <f>MAP!P51-MAP!P813-MAP!P819-MAP!P825-MAP!P831-MAP!P837-MAP!P843</f>
        <v>0</v>
      </c>
      <c r="I121" s="821">
        <f>MAP!Q51-MAP!Q813-MAP!Q819-MAP!Q825-MAP!Q831-MAP!Q837-MAP!Q843</f>
        <v>0</v>
      </c>
      <c r="J121" s="821">
        <f>MAP!R51-MAP!R813-MAP!R819-MAP!R825-MAP!R831-MAP!R837-MAP!R843</f>
        <v>0</v>
      </c>
      <c r="K121" s="821">
        <f>MAP!S51-MAP!S813-MAP!S819-MAP!S825-MAP!S831-MAP!S837-MAP!S843</f>
        <v>0</v>
      </c>
      <c r="L121" s="821">
        <f>MAP!T51-MAP!T813-MAP!T819-MAP!T825-MAP!T831-MAP!T837-MAP!T843</f>
        <v>0</v>
      </c>
      <c r="M121" s="821">
        <f>MAP!U51-MAP!U813-MAP!U819-MAP!U825-MAP!U831-MAP!U837-MAP!U843</f>
        <v>0</v>
      </c>
      <c r="N121" s="821">
        <f>MAP!V51-MAP!V813-MAP!V819-MAP!V825-MAP!V831-MAP!V837-MAP!V843</f>
        <v>0</v>
      </c>
      <c r="O121" s="821">
        <f>MAP!W51-MAP!W813-MAP!W819-MAP!W825-MAP!W831-MAP!W837-MAP!W843</f>
        <v>0</v>
      </c>
      <c r="P121" s="821">
        <f>MAP!X51-MAP!X813-MAP!X819-MAP!X825-MAP!X831-MAP!X837-MAP!X843</f>
        <v>0</v>
      </c>
      <c r="Q121" s="821">
        <f>MAP!Y51-MAP!Y813-MAP!Y819-MAP!Y825-MAP!Y831-MAP!Y837-MAP!Y843</f>
        <v>0</v>
      </c>
      <c r="R121" s="821">
        <f>MAP!Z51-MAP!Z813-MAP!Z819-MAP!Z825-MAP!Z831-MAP!Z837-MAP!Z843</f>
        <v>0</v>
      </c>
      <c r="S121" s="821">
        <f>MAP!AA51-MAP!AA813-MAP!AA819-MAP!AA825-MAP!AA831-MAP!AA837-MAP!AA843</f>
        <v>0</v>
      </c>
      <c r="T121" s="821">
        <f>MAP!AB51-MAP!AB813-MAP!AB819-MAP!AB825-MAP!AB831-MAP!AB837-MAP!AB843</f>
        <v>0</v>
      </c>
      <c r="U121" s="821">
        <f>MAP!AC51-MAP!AC813-MAP!AC819-MAP!AC825-MAP!AC831-MAP!AC837-MAP!AC843</f>
        <v>0</v>
      </c>
      <c r="V121" s="821">
        <f>MAP!AD51-MAP!AD813-MAP!AD819-MAP!AD825-MAP!AD831-MAP!AD837-MAP!AD843</f>
        <v>0</v>
      </c>
      <c r="W121" s="821">
        <f>MAP!AE51-MAP!AE813-MAP!AE819-MAP!AE825-MAP!AE831-MAP!AE837-MAP!AE843</f>
        <v>0</v>
      </c>
      <c r="X121" s="821">
        <f>MAP!AF51-MAP!AF813-MAP!AF819-MAP!AF825-MAP!AF831-MAP!AF837-MAP!AF843</f>
        <v>0</v>
      </c>
      <c r="Y121" s="821">
        <f>MAP!AG51-MAP!AG813-MAP!AG819-MAP!AG825-MAP!AG831-MAP!AG837-MAP!AG843</f>
        <v>0</v>
      </c>
      <c r="Z121" s="821">
        <f>MAP!AH51-MAP!AH813-MAP!AH819-MAP!AH825-MAP!AH831-MAP!AH837-MAP!AH843</f>
        <v>0</v>
      </c>
      <c r="AA121" s="821">
        <f>MAP!AI51-MAP!AI813-MAP!AI819-MAP!AI825-MAP!AI831-MAP!AI837-MAP!AI843</f>
        <v>0</v>
      </c>
      <c r="AB121" s="821">
        <f>MAP!AJ51-MAP!AJ813-MAP!AJ819-MAP!AJ825-MAP!AJ831-MAP!AJ837-MAP!AJ843</f>
        <v>0</v>
      </c>
      <c r="AC121" s="821">
        <f>MAP!AK51-MAP!AK813-MAP!AK819-MAP!AK825-MAP!AK831-MAP!AK837-MAP!AK843</f>
        <v>0</v>
      </c>
      <c r="AD121" s="821">
        <f>MAP!AL51-MAP!AL813-MAP!AL819-MAP!AL825-MAP!AL831-MAP!AL837-MAP!AL843</f>
        <v>0</v>
      </c>
      <c r="AE121" s="821">
        <f>MAP!AM51-MAP!AM813-MAP!AM819-MAP!AM825-MAP!AM831-MAP!AM837-MAP!AM843</f>
        <v>0</v>
      </c>
      <c r="AF121" s="821">
        <f>MAP!AN51-MAP!AN813-MAP!AN819-MAP!AN825-MAP!AN831-MAP!AN837-MAP!AN843</f>
        <v>0</v>
      </c>
      <c r="AG121" s="821">
        <f>MAP!AO51-MAP!AO813-MAP!AO819-MAP!AO825-MAP!AO831-MAP!AO837-MAP!AO843</f>
        <v>0</v>
      </c>
      <c r="AH121" s="821">
        <f>MAP!AP51-MAP!AP813-MAP!AP819-MAP!AP825-MAP!AP831-MAP!AP837-MAP!AP843</f>
        <v>0</v>
      </c>
      <c r="AI121" s="821">
        <f>MAP!AQ51-MAP!AQ813-MAP!AQ819-MAP!AQ825-MAP!AQ831-MAP!AQ837-MAP!AQ843</f>
        <v>0</v>
      </c>
      <c r="AJ121" s="821">
        <f>MAP!AR51-MAP!AR813-MAP!AR819-MAP!AR825-MAP!AR831-MAP!AR837-MAP!AR843</f>
        <v>0</v>
      </c>
      <c r="AK121" s="821">
        <f>MAP!AS51-MAP!AS813-MAP!AS819-MAP!AS825-MAP!AS831-MAP!AS837-MAP!AS843</f>
        <v>0</v>
      </c>
      <c r="AL121" s="821">
        <f>MAP!AT51-MAP!AT813-MAP!AT819-MAP!AT825-MAP!AT831-MAP!AT837-MAP!AT843</f>
        <v>0</v>
      </c>
      <c r="AM121" s="821">
        <f>MAP!AU51-MAP!AU813-MAP!AU819-MAP!AU825-MAP!AU831-MAP!AU837-MAP!AU843</f>
        <v>0</v>
      </c>
    </row>
    <row r="122" spans="1:39" x14ac:dyDescent="0.25">
      <c r="A122" s="2"/>
      <c r="B122" s="3">
        <f>MAX($B$4:B121)+1</f>
        <v>111</v>
      </c>
      <c r="C122" s="3"/>
      <c r="D122" s="7"/>
      <c r="E122" s="90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2"/>
      <c r="AE122" s="822"/>
      <c r="AF122" s="822"/>
      <c r="AG122" s="822"/>
      <c r="AH122" s="822"/>
      <c r="AI122" s="822"/>
      <c r="AJ122" s="822"/>
      <c r="AK122" s="822"/>
      <c r="AL122" s="822"/>
      <c r="AM122" s="822"/>
    </row>
    <row r="123" spans="1:39" x14ac:dyDescent="0.25">
      <c r="A123" s="2"/>
      <c r="B123" s="3">
        <f>MAX($B$4:B122)+1</f>
        <v>112</v>
      </c>
      <c r="E123" s="891"/>
    </row>
    <row r="124" spans="1:39" x14ac:dyDescent="0.25">
      <c r="A124" s="2"/>
      <c r="B124" s="3">
        <f>MAX($B$4:B123)+1</f>
        <v>113</v>
      </c>
      <c r="C124" s="3"/>
      <c r="D124" s="7" t="s">
        <v>314</v>
      </c>
      <c r="E124" s="902"/>
      <c r="F124" s="821">
        <f>MAP!N63+MAP!N1293</f>
        <v>0</v>
      </c>
      <c r="G124" s="821">
        <f>MAP!O63+MAP!O1293</f>
        <v>0</v>
      </c>
      <c r="H124" s="821">
        <f>MAP!P63+MAP!P1293</f>
        <v>0</v>
      </c>
      <c r="I124" s="821">
        <f>MAP!Q63+MAP!Q1293</f>
        <v>0</v>
      </c>
      <c r="J124" s="821">
        <f>MAP!R63+MAP!R1293</f>
        <v>0</v>
      </c>
      <c r="K124" s="821">
        <f>MAP!S63+MAP!S1293</f>
        <v>0</v>
      </c>
      <c r="L124" s="821">
        <f>MAP!T63+MAP!T1293</f>
        <v>0</v>
      </c>
      <c r="M124" s="821">
        <f>MAP!U63+MAP!U1293</f>
        <v>0</v>
      </c>
      <c r="N124" s="821">
        <f>MAP!V63+MAP!V1293</f>
        <v>0</v>
      </c>
      <c r="O124" s="821">
        <f>MAP!W63+MAP!W1293</f>
        <v>0</v>
      </c>
      <c r="P124" s="821">
        <f>MAP!X63+MAP!X1293</f>
        <v>0</v>
      </c>
      <c r="Q124" s="821">
        <f>MAP!Y63+MAP!Y1293</f>
        <v>0</v>
      </c>
      <c r="R124" s="821">
        <f>MAP!Z63+MAP!Z1293</f>
        <v>0</v>
      </c>
      <c r="S124" s="821">
        <f>MAP!AA63+MAP!AA1293</f>
        <v>0</v>
      </c>
      <c r="T124" s="821">
        <f>MAP!AB63+MAP!AB1293</f>
        <v>0</v>
      </c>
      <c r="U124" s="821">
        <f>MAP!AC63+MAP!AC1293</f>
        <v>0</v>
      </c>
      <c r="V124" s="821">
        <f>MAP!AD63+MAP!AD1293</f>
        <v>0</v>
      </c>
      <c r="W124" s="821">
        <f>MAP!AE63+MAP!AE1293</f>
        <v>0</v>
      </c>
      <c r="X124" s="821">
        <f>MAP!AF63+MAP!AF1293</f>
        <v>0</v>
      </c>
      <c r="Y124" s="821">
        <f>MAP!AG63+MAP!AG1293</f>
        <v>0</v>
      </c>
      <c r="Z124" s="821">
        <f>MAP!AH63+MAP!AH1293</f>
        <v>0</v>
      </c>
      <c r="AA124" s="821">
        <f>MAP!AI63+MAP!AI1293</f>
        <v>0</v>
      </c>
      <c r="AB124" s="821">
        <f>MAP!AJ63+MAP!AJ1293</f>
        <v>0</v>
      </c>
      <c r="AC124" s="821">
        <f>MAP!AK63+MAP!AK1293</f>
        <v>0</v>
      </c>
      <c r="AD124" s="821">
        <f>MAP!AL63+MAP!AL1293</f>
        <v>0</v>
      </c>
      <c r="AE124" s="821">
        <f>MAP!AM63+MAP!AM1293</f>
        <v>0</v>
      </c>
      <c r="AF124" s="821">
        <f>MAP!AN63+MAP!AN1293</f>
        <v>0</v>
      </c>
      <c r="AG124" s="821">
        <f>MAP!AO63+MAP!AO1293</f>
        <v>0</v>
      </c>
      <c r="AH124" s="821">
        <f>MAP!AP63+MAP!AP1293</f>
        <v>0</v>
      </c>
      <c r="AI124" s="821">
        <f>MAP!AQ63+MAP!AQ1293</f>
        <v>0</v>
      </c>
      <c r="AJ124" s="821">
        <f>MAP!AR63+MAP!AR1293</f>
        <v>0</v>
      </c>
      <c r="AK124" s="821">
        <f>MAP!AS63+MAP!AS1293</f>
        <v>0</v>
      </c>
      <c r="AL124" s="821">
        <f>MAP!AT63+MAP!AT1293</f>
        <v>0</v>
      </c>
      <c r="AM124" s="821">
        <f>MAP!AU63+MAP!AU1293</f>
        <v>0</v>
      </c>
    </row>
    <row r="125" spans="1:39" x14ac:dyDescent="0.25">
      <c r="A125" s="2"/>
      <c r="B125" s="3">
        <f>MAX($B$4:B124)+1</f>
        <v>114</v>
      </c>
      <c r="C125" s="3"/>
      <c r="D125" s="7"/>
      <c r="E125" s="902"/>
      <c r="F125" s="822"/>
      <c r="G125" s="822"/>
      <c r="H125" s="822"/>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row>
    <row r="126" spans="1:39" x14ac:dyDescent="0.25">
      <c r="A126" s="2"/>
      <c r="B126" s="3">
        <f>MAX($B$4:B125)+1</f>
        <v>115</v>
      </c>
      <c r="C126" s="3"/>
      <c r="D126" s="7"/>
      <c r="E126" s="902"/>
      <c r="F126" s="822"/>
      <c r="G126" s="822"/>
      <c r="H126" s="822"/>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row>
    <row r="127" spans="1:39" ht="30" x14ac:dyDescent="0.25">
      <c r="A127" s="2"/>
      <c r="B127" s="3">
        <f>MAX($B$4:B126)+1</f>
        <v>116</v>
      </c>
      <c r="C127" s="2"/>
      <c r="D127" s="7" t="s">
        <v>1062</v>
      </c>
      <c r="E127" s="902"/>
      <c r="F127" s="821">
        <f>MAP!N1380-MAP!N1328</f>
        <v>0</v>
      </c>
      <c r="G127" s="821">
        <f>MAP!O1380-MAP!O1328</f>
        <v>0</v>
      </c>
      <c r="H127" s="821">
        <f>MAP!P1380-MAP!P1328</f>
        <v>0</v>
      </c>
      <c r="I127" s="821">
        <f>MAP!Q1380-MAP!Q1328</f>
        <v>0</v>
      </c>
      <c r="J127" s="821">
        <f>MAP!R1380-MAP!R1328</f>
        <v>0</v>
      </c>
      <c r="K127" s="821">
        <f>MAP!S1380-MAP!S1328</f>
        <v>0</v>
      </c>
      <c r="L127" s="821">
        <f>MAP!T1380-MAP!T1328</f>
        <v>0</v>
      </c>
      <c r="M127" s="821"/>
      <c r="N127" s="821">
        <f>MAP!V1380-MAP!V1328</f>
        <v>0</v>
      </c>
      <c r="O127" s="821">
        <f>MAP!W1380-MAP!W1328</f>
        <v>0</v>
      </c>
      <c r="P127" s="821">
        <f>MAP!X1380-MAP!X1328</f>
        <v>0</v>
      </c>
      <c r="Q127" s="821">
        <f>MAP!Y1380-MAP!Y1328</f>
        <v>0</v>
      </c>
      <c r="R127" s="821">
        <f>MAP!Z1380-MAP!Z1328</f>
        <v>0</v>
      </c>
      <c r="S127" s="821">
        <f>MAP!AA1380-MAP!AA1328</f>
        <v>0</v>
      </c>
      <c r="T127" s="821">
        <f>MAP!AB1380-MAP!AB1328</f>
        <v>0</v>
      </c>
      <c r="U127" s="821">
        <f>MAP!AC1380-MAP!AC1328</f>
        <v>0</v>
      </c>
      <c r="V127" s="821">
        <f>MAP!AD1380-MAP!AD1328</f>
        <v>0</v>
      </c>
      <c r="W127" s="821">
        <f>MAP!AE1380-MAP!AE1328</f>
        <v>0</v>
      </c>
      <c r="X127" s="821">
        <f>MAP!AF1380-MAP!AF1328</f>
        <v>0</v>
      </c>
      <c r="Y127" s="821">
        <f>MAP!AG1380-MAP!AG1328</f>
        <v>0</v>
      </c>
      <c r="Z127" s="821">
        <f>MAP!AH1380-MAP!AH1328</f>
        <v>0</v>
      </c>
      <c r="AA127" s="821">
        <f>MAP!AI1380-MAP!AI1328</f>
        <v>0</v>
      </c>
      <c r="AB127" s="821">
        <f>MAP!AJ1380-MAP!AJ1328</f>
        <v>0</v>
      </c>
      <c r="AC127" s="821">
        <f>MAP!AK1380-MAP!AK1328</f>
        <v>0</v>
      </c>
      <c r="AD127" s="821">
        <f>MAP!AL1380-MAP!AL1328</f>
        <v>0</v>
      </c>
      <c r="AE127" s="821">
        <f>MAP!AM1380-MAP!AM1328</f>
        <v>0</v>
      </c>
      <c r="AF127" s="821">
        <f>MAP!AN1380-MAP!AN1328</f>
        <v>0</v>
      </c>
      <c r="AG127" s="821">
        <f>MAP!AO1380-MAP!AO1328</f>
        <v>0</v>
      </c>
      <c r="AH127" s="821">
        <f>MAP!AP1380-MAP!AP1328</f>
        <v>0</v>
      </c>
      <c r="AI127" s="821">
        <f>MAP!AQ1380-MAP!AQ1328</f>
        <v>0</v>
      </c>
      <c r="AJ127" s="821">
        <f>MAP!AR1380-MAP!AR1328</f>
        <v>0</v>
      </c>
      <c r="AK127" s="821">
        <f>MAP!AS1380-MAP!AS1328</f>
        <v>0</v>
      </c>
      <c r="AL127" s="821">
        <f>MAP!AT1380-MAP!AT1328</f>
        <v>0</v>
      </c>
      <c r="AM127" s="821">
        <f>MAP!AU1380-MAP!AU1328</f>
        <v>0</v>
      </c>
    </row>
    <row r="128" spans="1:39" ht="35.25" customHeight="1" x14ac:dyDescent="0.25">
      <c r="A128" s="2"/>
      <c r="B128" s="3">
        <f>MAX($B$4:B127)+1</f>
        <v>117</v>
      </c>
      <c r="C128" s="2"/>
      <c r="D128" s="7" t="s">
        <v>1061</v>
      </c>
      <c r="E128" s="902"/>
      <c r="F128" s="821">
        <f>MAP!N1395-MAP!N1349</f>
        <v>0</v>
      </c>
      <c r="G128" s="821">
        <f>MAP!O1395-MAP!O1349</f>
        <v>0</v>
      </c>
      <c r="H128" s="821">
        <f>MAP!P1395-MAP!P1349</f>
        <v>0</v>
      </c>
      <c r="I128" s="821">
        <f>MAP!Q1395-MAP!Q1349</f>
        <v>0</v>
      </c>
      <c r="J128" s="821">
        <f>MAP!R1395-MAP!R1349</f>
        <v>0</v>
      </c>
      <c r="K128" s="821">
        <f>MAP!S1395-MAP!S1349</f>
        <v>0</v>
      </c>
      <c r="L128" s="821">
        <f>MAP!T1395-MAP!T1349</f>
        <v>0</v>
      </c>
      <c r="M128" s="821"/>
      <c r="N128" s="821">
        <f>MAP!V1395-MAP!V1349</f>
        <v>0</v>
      </c>
      <c r="O128" s="821">
        <f>MAP!W1395-MAP!W1349</f>
        <v>0</v>
      </c>
      <c r="P128" s="821">
        <f>MAP!X1395-MAP!X1349</f>
        <v>0</v>
      </c>
      <c r="Q128" s="821">
        <f>MAP!Y1395-MAP!Y1349</f>
        <v>0</v>
      </c>
      <c r="R128" s="821">
        <f>MAP!Z1395-MAP!Z1349</f>
        <v>0</v>
      </c>
      <c r="S128" s="821">
        <f>MAP!AA1395-MAP!AA1349</f>
        <v>0</v>
      </c>
      <c r="T128" s="821">
        <f>MAP!AB1395-MAP!AB1349</f>
        <v>0</v>
      </c>
      <c r="U128" s="821">
        <f>MAP!AC1395-MAP!AC1349</f>
        <v>0</v>
      </c>
      <c r="V128" s="821">
        <f>MAP!AD1395-MAP!AD1349</f>
        <v>0</v>
      </c>
      <c r="W128" s="821">
        <f>MAP!AE1395-MAP!AE1349</f>
        <v>0</v>
      </c>
      <c r="X128" s="821">
        <f>MAP!AF1395-MAP!AF1349</f>
        <v>0</v>
      </c>
      <c r="Y128" s="821">
        <f>MAP!AG1395-MAP!AG1349</f>
        <v>0</v>
      </c>
      <c r="Z128" s="821">
        <f>MAP!AH1395-MAP!AH1349</f>
        <v>0</v>
      </c>
      <c r="AA128" s="821">
        <f>MAP!AI1395-MAP!AI1349</f>
        <v>0</v>
      </c>
      <c r="AB128" s="821">
        <f>MAP!AJ1395-MAP!AJ1349</f>
        <v>0</v>
      </c>
      <c r="AC128" s="821">
        <f>MAP!AK1395-MAP!AK1349</f>
        <v>0</v>
      </c>
      <c r="AD128" s="821">
        <f>MAP!AL1395-MAP!AL1349</f>
        <v>0</v>
      </c>
      <c r="AE128" s="821">
        <f>MAP!AM1395-MAP!AM1349</f>
        <v>0</v>
      </c>
      <c r="AF128" s="821">
        <f>MAP!AN1395-MAP!AN1349</f>
        <v>0</v>
      </c>
      <c r="AG128" s="821">
        <f>MAP!AO1395-MAP!AO1349</f>
        <v>0</v>
      </c>
      <c r="AH128" s="821">
        <f>MAP!AP1395-MAP!AP1349</f>
        <v>0</v>
      </c>
      <c r="AI128" s="821">
        <f>MAP!AQ1395-MAP!AQ1349</f>
        <v>0</v>
      </c>
      <c r="AJ128" s="821">
        <f>MAP!AR1395-MAP!AR1349</f>
        <v>0</v>
      </c>
      <c r="AK128" s="821">
        <f>MAP!AS1395-MAP!AS1349</f>
        <v>0</v>
      </c>
      <c r="AL128" s="821">
        <f>MAP!AT1395-MAP!AT1349</f>
        <v>0</v>
      </c>
      <c r="AM128" s="821">
        <f>MAP!AU1395-MAP!AU1349</f>
        <v>0</v>
      </c>
    </row>
    <row r="129" spans="1:39" x14ac:dyDescent="0.25">
      <c r="A129" s="2"/>
      <c r="B129" s="3">
        <f>MAX($B$4:B128)+1</f>
        <v>118</v>
      </c>
      <c r="C129" s="2"/>
      <c r="D129" s="7"/>
      <c r="E129" s="902"/>
      <c r="F129" s="822"/>
      <c r="G129" s="822"/>
      <c r="H129" s="822"/>
      <c r="I129" s="822"/>
      <c r="J129" s="822"/>
      <c r="K129" s="822"/>
      <c r="L129" s="822"/>
      <c r="M129" s="822"/>
      <c r="N129" s="822"/>
      <c r="O129" s="822"/>
      <c r="P129" s="822"/>
      <c r="Q129" s="822"/>
      <c r="R129" s="822"/>
      <c r="S129" s="822"/>
      <c r="T129" s="1373"/>
      <c r="U129" s="822"/>
      <c r="V129" s="822"/>
      <c r="W129" s="822"/>
      <c r="X129" s="822"/>
      <c r="Y129" s="822"/>
      <c r="Z129" s="822"/>
      <c r="AA129" s="822"/>
      <c r="AB129" s="822"/>
      <c r="AC129" s="822"/>
      <c r="AD129" s="822"/>
      <c r="AE129" s="822"/>
      <c r="AF129" s="822"/>
      <c r="AG129" s="822"/>
      <c r="AH129" s="822"/>
      <c r="AI129" s="822"/>
      <c r="AJ129" s="822"/>
      <c r="AK129" s="822"/>
      <c r="AL129" s="822"/>
      <c r="AM129" s="822"/>
    </row>
    <row r="130" spans="1:39" x14ac:dyDescent="0.25">
      <c r="A130" s="2"/>
      <c r="B130" s="3">
        <f>MAX($B$4:B129)+1</f>
        <v>119</v>
      </c>
      <c r="C130" s="2"/>
      <c r="D130" s="2"/>
      <c r="E130" s="902"/>
      <c r="F130" s="822"/>
      <c r="G130" s="822"/>
      <c r="H130" s="822"/>
      <c r="I130" s="822"/>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row>
    <row r="131" spans="1:39" x14ac:dyDescent="0.25">
      <c r="A131" s="2"/>
      <c r="B131" s="3">
        <f>MAX($B$4:B130)+1</f>
        <v>120</v>
      </c>
      <c r="C131" s="2"/>
      <c r="D131" s="2" t="s">
        <v>1433</v>
      </c>
      <c r="E131" s="902">
        <f>+F131-K131-SUM(O131:AM131)</f>
        <v>0</v>
      </c>
      <c r="F131" s="822">
        <f>MAP!N1838</f>
        <v>0</v>
      </c>
      <c r="G131" s="822">
        <f>MAP!O1838</f>
        <v>0</v>
      </c>
      <c r="H131" s="822">
        <f>MAP!P1838</f>
        <v>0</v>
      </c>
      <c r="I131" s="822">
        <f>MAP!Q1838</f>
        <v>0</v>
      </c>
      <c r="J131" s="822">
        <f>MAP!R1838</f>
        <v>0</v>
      </c>
      <c r="K131" s="822">
        <f>MAP!S1838</f>
        <v>0</v>
      </c>
      <c r="L131" s="822">
        <f>MAP!T1838</f>
        <v>0</v>
      </c>
      <c r="M131" s="822">
        <f>MAP!U1838</f>
        <v>0</v>
      </c>
      <c r="N131" s="822">
        <f>MAP!V1838</f>
        <v>0</v>
      </c>
      <c r="O131" s="822">
        <f>MAP!W1838</f>
        <v>0</v>
      </c>
      <c r="P131" s="822">
        <f>MAP!X1838</f>
        <v>0</v>
      </c>
      <c r="Q131" s="822">
        <f>MAP!Y1838</f>
        <v>0</v>
      </c>
      <c r="R131" s="822">
        <f>MAP!Z1838</f>
        <v>0</v>
      </c>
      <c r="S131" s="822">
        <f>MAP!AA1838</f>
        <v>0</v>
      </c>
      <c r="T131" s="822">
        <f>MAP!AB1838</f>
        <v>0</v>
      </c>
      <c r="U131" s="822">
        <f>MAP!AC1838</f>
        <v>0</v>
      </c>
      <c r="V131" s="822">
        <f>MAP!AD1838</f>
        <v>0</v>
      </c>
      <c r="W131" s="822">
        <f>MAP!AE1838</f>
        <v>0</v>
      </c>
      <c r="X131" s="822">
        <f>MAP!AF1838</f>
        <v>0</v>
      </c>
      <c r="Y131" s="822">
        <f>MAP!AG1838</f>
        <v>0</v>
      </c>
      <c r="Z131" s="822">
        <f>MAP!AH1838</f>
        <v>0</v>
      </c>
      <c r="AA131" s="822">
        <f>MAP!AI1838</f>
        <v>0</v>
      </c>
      <c r="AB131" s="822">
        <f>MAP!AJ1838</f>
        <v>0</v>
      </c>
      <c r="AC131" s="822">
        <f>MAP!AK1838</f>
        <v>0</v>
      </c>
      <c r="AD131" s="822">
        <f>MAP!AL1838</f>
        <v>0</v>
      </c>
      <c r="AE131" s="822">
        <f>MAP!AM1838</f>
        <v>0</v>
      </c>
      <c r="AF131" s="822">
        <f>MAP!AN1838</f>
        <v>0</v>
      </c>
      <c r="AG131" s="822">
        <f>MAP!AO1838</f>
        <v>0</v>
      </c>
      <c r="AH131" s="822">
        <f>MAP!AP1838</f>
        <v>0</v>
      </c>
      <c r="AI131" s="822">
        <f>MAP!AQ1838</f>
        <v>0</v>
      </c>
      <c r="AJ131" s="822">
        <f>MAP!AR1838</f>
        <v>0</v>
      </c>
      <c r="AK131" s="822">
        <f>MAP!AS1838</f>
        <v>0</v>
      </c>
      <c r="AL131" s="822">
        <f>MAP!AT1838</f>
        <v>0</v>
      </c>
      <c r="AM131" s="822">
        <f>MAP!AU1838</f>
        <v>0</v>
      </c>
    </row>
    <row r="132" spans="1:39" x14ac:dyDescent="0.25">
      <c r="A132" s="2"/>
      <c r="B132" s="3">
        <f>MAX($B$4:B131)+1</f>
        <v>121</v>
      </c>
      <c r="C132" s="2"/>
      <c r="D132" s="2" t="s">
        <v>1434</v>
      </c>
      <c r="E132" s="902">
        <f t="shared" ref="E132:E140" si="13">+F132-K132-SUM(O132:AM132)</f>
        <v>0</v>
      </c>
      <c r="F132" s="822">
        <f>MAP!N1845</f>
        <v>0</v>
      </c>
      <c r="G132" s="822">
        <f>MAP!O1845</f>
        <v>0</v>
      </c>
      <c r="H132" s="822">
        <f>MAP!P1845</f>
        <v>0</v>
      </c>
      <c r="I132" s="822">
        <f>MAP!Q1845</f>
        <v>0</v>
      </c>
      <c r="J132" s="822">
        <f>MAP!R1845</f>
        <v>0</v>
      </c>
      <c r="K132" s="822">
        <f>MAP!S1845</f>
        <v>0</v>
      </c>
      <c r="L132" s="822">
        <f>MAP!T1845</f>
        <v>0</v>
      </c>
      <c r="M132" s="822">
        <f>MAP!U1845</f>
        <v>0</v>
      </c>
      <c r="N132" s="822">
        <f>MAP!V1845</f>
        <v>0</v>
      </c>
      <c r="O132" s="822">
        <f>MAP!W1845</f>
        <v>0</v>
      </c>
      <c r="P132" s="822">
        <f>MAP!X1845</f>
        <v>0</v>
      </c>
      <c r="Q132" s="822">
        <f>MAP!Y1845</f>
        <v>0</v>
      </c>
      <c r="R132" s="822">
        <f>MAP!Z1845</f>
        <v>0</v>
      </c>
      <c r="S132" s="822">
        <f>MAP!AA1845</f>
        <v>0</v>
      </c>
      <c r="T132" s="822">
        <f>MAP!AB1845</f>
        <v>0</v>
      </c>
      <c r="U132" s="822">
        <f>MAP!AC1845</f>
        <v>0</v>
      </c>
      <c r="V132" s="822">
        <f>MAP!AD1845</f>
        <v>0</v>
      </c>
      <c r="W132" s="822">
        <f>MAP!AE1845</f>
        <v>0</v>
      </c>
      <c r="X132" s="822">
        <f>MAP!AF1845</f>
        <v>0</v>
      </c>
      <c r="Y132" s="822">
        <f>MAP!AG1845</f>
        <v>0</v>
      </c>
      <c r="Z132" s="822">
        <f>MAP!AH1845</f>
        <v>0</v>
      </c>
      <c r="AA132" s="822">
        <f>MAP!AI1845</f>
        <v>0</v>
      </c>
      <c r="AB132" s="822">
        <f>MAP!AJ1845</f>
        <v>0</v>
      </c>
      <c r="AC132" s="822">
        <f>MAP!AK1845</f>
        <v>0</v>
      </c>
      <c r="AD132" s="822">
        <f>MAP!AL1845</f>
        <v>0</v>
      </c>
      <c r="AE132" s="822">
        <f>MAP!AM1845</f>
        <v>0</v>
      </c>
      <c r="AF132" s="822">
        <f>MAP!AN1845</f>
        <v>0</v>
      </c>
      <c r="AG132" s="822">
        <f>MAP!AO1845</f>
        <v>0</v>
      </c>
      <c r="AH132" s="822">
        <f>MAP!AP1845</f>
        <v>0</v>
      </c>
      <c r="AI132" s="822">
        <f>MAP!AQ1845</f>
        <v>0</v>
      </c>
      <c r="AJ132" s="822">
        <f>MAP!AR1845</f>
        <v>0</v>
      </c>
      <c r="AK132" s="822">
        <f>MAP!AS1845</f>
        <v>0</v>
      </c>
      <c r="AL132" s="822">
        <f>MAP!AT1845</f>
        <v>0</v>
      </c>
      <c r="AM132" s="822">
        <f>MAP!AU1845</f>
        <v>0</v>
      </c>
    </row>
    <row r="133" spans="1:39" x14ac:dyDescent="0.25">
      <c r="A133" s="2"/>
      <c r="B133" s="3"/>
      <c r="C133" s="2"/>
      <c r="D133" s="2" t="s">
        <v>2184</v>
      </c>
      <c r="E133" s="902">
        <f t="shared" si="13"/>
        <v>0</v>
      </c>
      <c r="F133" s="822">
        <f>+MAP!N1852</f>
        <v>0</v>
      </c>
      <c r="G133" s="822">
        <f>+MAP!O1852</f>
        <v>0</v>
      </c>
      <c r="H133" s="822">
        <f>+MAP!P1852</f>
        <v>0</v>
      </c>
      <c r="I133" s="822">
        <f>+MAP!Q1852</f>
        <v>0</v>
      </c>
      <c r="J133" s="822">
        <f>+MAP!R1852</f>
        <v>0</v>
      </c>
      <c r="K133" s="822">
        <f>+MAP!S1852</f>
        <v>0</v>
      </c>
      <c r="L133" s="822">
        <f>+MAP!T1852</f>
        <v>0</v>
      </c>
      <c r="M133" s="822">
        <f>+MAP!U1852</f>
        <v>0</v>
      </c>
      <c r="N133" s="822">
        <f>+MAP!V1852</f>
        <v>0</v>
      </c>
      <c r="O133" s="822">
        <f>+MAP!W1852</f>
        <v>0</v>
      </c>
      <c r="P133" s="822">
        <f>+MAP!X1852</f>
        <v>0</v>
      </c>
      <c r="Q133" s="822">
        <f>+MAP!Y1852</f>
        <v>0</v>
      </c>
      <c r="R133" s="822">
        <f>+MAP!Z1852</f>
        <v>0</v>
      </c>
      <c r="S133" s="822">
        <f>+MAP!AA1852</f>
        <v>0</v>
      </c>
      <c r="T133" s="822">
        <f>+MAP!AB1852</f>
        <v>0</v>
      </c>
      <c r="U133" s="822">
        <f>+MAP!AC1852</f>
        <v>0</v>
      </c>
      <c r="V133" s="822">
        <f>+MAP!AD1852</f>
        <v>0</v>
      </c>
      <c r="W133" s="822">
        <f>+MAP!AE1852</f>
        <v>0</v>
      </c>
      <c r="X133" s="822">
        <f>+MAP!AF1852</f>
        <v>0</v>
      </c>
      <c r="Y133" s="822">
        <f>+MAP!AG1852</f>
        <v>0</v>
      </c>
      <c r="Z133" s="822">
        <f>+MAP!AH1852</f>
        <v>0</v>
      </c>
      <c r="AA133" s="822">
        <f>+MAP!AI1852</f>
        <v>0</v>
      </c>
      <c r="AB133" s="822">
        <f>+MAP!AJ1852</f>
        <v>0</v>
      </c>
      <c r="AC133" s="822">
        <f>+MAP!AK1852</f>
        <v>0</v>
      </c>
      <c r="AD133" s="822">
        <f>+MAP!AL1852</f>
        <v>0</v>
      </c>
      <c r="AE133" s="822">
        <f>+MAP!AM1852</f>
        <v>0</v>
      </c>
      <c r="AF133" s="822">
        <f>+MAP!AN1852</f>
        <v>0</v>
      </c>
      <c r="AG133" s="822">
        <f>+MAP!AO1852</f>
        <v>0</v>
      </c>
      <c r="AH133" s="822">
        <f>+MAP!AP1852</f>
        <v>0</v>
      </c>
      <c r="AI133" s="822">
        <f>+MAP!AQ1852</f>
        <v>0</v>
      </c>
      <c r="AJ133" s="822">
        <f>+MAP!AR1852</f>
        <v>0</v>
      </c>
      <c r="AK133" s="822">
        <f>+MAP!AS1852</f>
        <v>0</v>
      </c>
      <c r="AL133" s="822">
        <f>+MAP!AT1852</f>
        <v>0</v>
      </c>
      <c r="AM133" s="822">
        <f>+MAP!AU1852</f>
        <v>0</v>
      </c>
    </row>
    <row r="134" spans="1:39" x14ac:dyDescent="0.25">
      <c r="A134" s="2"/>
      <c r="B134" s="3">
        <f>MAX($B$4:B132)+1</f>
        <v>122</v>
      </c>
      <c r="C134" s="2"/>
      <c r="D134" s="706" t="s">
        <v>1872</v>
      </c>
      <c r="E134" s="902">
        <f t="shared" si="13"/>
        <v>0</v>
      </c>
      <c r="F134" s="822">
        <f>MAP!N1839</f>
        <v>0</v>
      </c>
      <c r="G134" s="822">
        <f>MAP!O1839</f>
        <v>0</v>
      </c>
      <c r="H134" s="822">
        <f>MAP!P1839</f>
        <v>0</v>
      </c>
      <c r="I134" s="822">
        <f>MAP!Q1839</f>
        <v>0</v>
      </c>
      <c r="J134" s="822">
        <f>MAP!R1839</f>
        <v>0</v>
      </c>
      <c r="K134" s="822">
        <f>MAP!S1839</f>
        <v>0</v>
      </c>
      <c r="L134" s="822">
        <f>MAP!T1839</f>
        <v>0</v>
      </c>
      <c r="M134" s="822">
        <f>MAP!U1839</f>
        <v>0</v>
      </c>
      <c r="N134" s="822">
        <f>MAP!V1839</f>
        <v>0</v>
      </c>
      <c r="O134" s="822">
        <f>MAP!W1839</f>
        <v>0</v>
      </c>
      <c r="P134" s="822">
        <f>MAP!X1839</f>
        <v>0</v>
      </c>
      <c r="Q134" s="822">
        <f>MAP!Y1839</f>
        <v>0</v>
      </c>
      <c r="R134" s="822">
        <f>MAP!Z1839</f>
        <v>0</v>
      </c>
      <c r="S134" s="822">
        <f>MAP!AA1839</f>
        <v>0</v>
      </c>
      <c r="T134" s="822">
        <f>MAP!AB1839</f>
        <v>0</v>
      </c>
      <c r="U134" s="822">
        <f>MAP!AC1839</f>
        <v>0</v>
      </c>
      <c r="V134" s="822">
        <f>MAP!AD1839</f>
        <v>0</v>
      </c>
      <c r="W134" s="822">
        <f>MAP!AE1839</f>
        <v>0</v>
      </c>
      <c r="X134" s="822">
        <f>MAP!AF1839</f>
        <v>0</v>
      </c>
      <c r="Y134" s="822">
        <f>MAP!AG1839</f>
        <v>0</v>
      </c>
      <c r="Z134" s="822">
        <f>MAP!AH1839</f>
        <v>0</v>
      </c>
      <c r="AA134" s="822">
        <f>MAP!AI1839</f>
        <v>0</v>
      </c>
      <c r="AB134" s="822">
        <f>MAP!AJ1839</f>
        <v>0</v>
      </c>
      <c r="AC134" s="822">
        <f>MAP!AK1839</f>
        <v>0</v>
      </c>
      <c r="AD134" s="822">
        <f>MAP!AL1839</f>
        <v>0</v>
      </c>
      <c r="AE134" s="822">
        <f>MAP!AM1839</f>
        <v>0</v>
      </c>
      <c r="AF134" s="822">
        <f>MAP!AN1839</f>
        <v>0</v>
      </c>
      <c r="AG134" s="822">
        <f>MAP!AO1839</f>
        <v>0</v>
      </c>
      <c r="AH134" s="822">
        <f>MAP!AP1839</f>
        <v>0</v>
      </c>
      <c r="AI134" s="822">
        <f>MAP!AQ1839</f>
        <v>0</v>
      </c>
      <c r="AJ134" s="822">
        <f>MAP!AR1839</f>
        <v>0</v>
      </c>
      <c r="AK134" s="822">
        <f>MAP!AS1839</f>
        <v>0</v>
      </c>
      <c r="AL134" s="822">
        <f>MAP!AT1839</f>
        <v>0</v>
      </c>
      <c r="AM134" s="822">
        <f>MAP!AU1839</f>
        <v>0</v>
      </c>
    </row>
    <row r="135" spans="1:39" x14ac:dyDescent="0.25">
      <c r="A135" s="2"/>
      <c r="B135" s="3">
        <f>MAX($B$4:B134)+1</f>
        <v>123</v>
      </c>
      <c r="C135" s="2"/>
      <c r="D135" s="706" t="s">
        <v>1873</v>
      </c>
      <c r="E135" s="902">
        <f t="shared" si="13"/>
        <v>0</v>
      </c>
      <c r="F135" s="822">
        <f>MAP!N1846</f>
        <v>0</v>
      </c>
      <c r="G135" s="822">
        <f>MAP!O1846</f>
        <v>0</v>
      </c>
      <c r="H135" s="822">
        <f>MAP!P1846</f>
        <v>0</v>
      </c>
      <c r="I135" s="822">
        <f>MAP!Q1846</f>
        <v>0</v>
      </c>
      <c r="J135" s="822">
        <f>MAP!R1846</f>
        <v>0</v>
      </c>
      <c r="K135" s="822">
        <f>MAP!S1846</f>
        <v>0</v>
      </c>
      <c r="L135" s="822">
        <f>MAP!T1846</f>
        <v>0</v>
      </c>
      <c r="M135" s="822">
        <f>MAP!U1846</f>
        <v>0</v>
      </c>
      <c r="N135" s="822">
        <f>MAP!V1846</f>
        <v>0</v>
      </c>
      <c r="O135" s="822">
        <f>MAP!W1846</f>
        <v>0</v>
      </c>
      <c r="P135" s="822">
        <f>MAP!X1846</f>
        <v>0</v>
      </c>
      <c r="Q135" s="822">
        <f>MAP!Y1846</f>
        <v>0</v>
      </c>
      <c r="R135" s="822">
        <f>MAP!Z1846</f>
        <v>0</v>
      </c>
      <c r="S135" s="822">
        <f>MAP!AA1846</f>
        <v>0</v>
      </c>
      <c r="T135" s="822">
        <f>MAP!AB1846</f>
        <v>0</v>
      </c>
      <c r="U135" s="822">
        <f>MAP!AC1846</f>
        <v>0</v>
      </c>
      <c r="V135" s="822">
        <f>MAP!AD1846</f>
        <v>0</v>
      </c>
      <c r="W135" s="822">
        <f>MAP!AE1846</f>
        <v>0</v>
      </c>
      <c r="X135" s="822">
        <f>MAP!AF1846</f>
        <v>0</v>
      </c>
      <c r="Y135" s="822">
        <f>MAP!AG1846</f>
        <v>0</v>
      </c>
      <c r="Z135" s="822">
        <f>MAP!AH1846</f>
        <v>0</v>
      </c>
      <c r="AA135" s="822">
        <f>MAP!AI1846</f>
        <v>0</v>
      </c>
      <c r="AB135" s="822">
        <f>MAP!AJ1846</f>
        <v>0</v>
      </c>
      <c r="AC135" s="822">
        <f>MAP!AK1846</f>
        <v>0</v>
      </c>
      <c r="AD135" s="822">
        <f>MAP!AL1846</f>
        <v>0</v>
      </c>
      <c r="AE135" s="822">
        <f>MAP!AM1846</f>
        <v>0</v>
      </c>
      <c r="AF135" s="822">
        <f>MAP!AN1846</f>
        <v>0</v>
      </c>
      <c r="AG135" s="822">
        <f>MAP!AO1846</f>
        <v>0</v>
      </c>
      <c r="AH135" s="822">
        <f>MAP!AP1846</f>
        <v>0</v>
      </c>
      <c r="AI135" s="822">
        <f>MAP!AQ1846</f>
        <v>0</v>
      </c>
      <c r="AJ135" s="822">
        <f>MAP!AR1846</f>
        <v>0</v>
      </c>
      <c r="AK135" s="822">
        <f>MAP!AS1846</f>
        <v>0</v>
      </c>
      <c r="AL135" s="822">
        <f>MAP!AT1846</f>
        <v>0</v>
      </c>
      <c r="AM135" s="822">
        <f>MAP!AU1846</f>
        <v>0</v>
      </c>
    </row>
    <row r="136" spans="1:39" x14ac:dyDescent="0.25">
      <c r="A136" s="2"/>
      <c r="B136" s="3">
        <f>MAX($B$4:B135)+1</f>
        <v>124</v>
      </c>
      <c r="C136" s="2"/>
      <c r="D136" s="2" t="s">
        <v>1435</v>
      </c>
      <c r="E136" s="902">
        <f t="shared" si="13"/>
        <v>0</v>
      </c>
      <c r="F136" s="822">
        <f>-MAP!N1837</f>
        <v>0</v>
      </c>
      <c r="G136" s="822">
        <f>-MAP!O1837</f>
        <v>0</v>
      </c>
      <c r="H136" s="822">
        <f>-MAP!P1837</f>
        <v>0</v>
      </c>
      <c r="I136" s="822">
        <f>-MAP!Q1837</f>
        <v>0</v>
      </c>
      <c r="J136" s="822">
        <f>-MAP!R1837</f>
        <v>0</v>
      </c>
      <c r="K136" s="822">
        <f>-MAP!S1837</f>
        <v>0</v>
      </c>
      <c r="L136" s="822">
        <f>-MAP!T1837</f>
        <v>0</v>
      </c>
      <c r="M136" s="822">
        <f>-MAP!U1837</f>
        <v>0</v>
      </c>
      <c r="N136" s="822">
        <f>-MAP!V1837</f>
        <v>0</v>
      </c>
      <c r="O136" s="822">
        <f>-MAP!W1837</f>
        <v>0</v>
      </c>
      <c r="P136" s="822">
        <f>-MAP!X1837</f>
        <v>0</v>
      </c>
      <c r="Q136" s="822">
        <f>-MAP!Y1837</f>
        <v>0</v>
      </c>
      <c r="R136" s="822">
        <f>-MAP!Z1837</f>
        <v>0</v>
      </c>
      <c r="S136" s="822">
        <f>-MAP!AA1837</f>
        <v>0</v>
      </c>
      <c r="T136" s="822">
        <f>-MAP!AB1837</f>
        <v>0</v>
      </c>
      <c r="U136" s="822">
        <f>-MAP!AC1837</f>
        <v>0</v>
      </c>
      <c r="V136" s="822">
        <f>-MAP!AD1837</f>
        <v>0</v>
      </c>
      <c r="W136" s="822">
        <f>-MAP!AE1837</f>
        <v>0</v>
      </c>
      <c r="X136" s="822">
        <f>-MAP!AF1837</f>
        <v>0</v>
      </c>
      <c r="Y136" s="822">
        <f>-MAP!AG1837</f>
        <v>0</v>
      </c>
      <c r="Z136" s="822">
        <f>-MAP!AH1837</f>
        <v>0</v>
      </c>
      <c r="AA136" s="822">
        <f>-MAP!AI1837</f>
        <v>0</v>
      </c>
      <c r="AB136" s="822">
        <f>-MAP!AJ1837</f>
        <v>0</v>
      </c>
      <c r="AC136" s="822">
        <f>-MAP!AK1837</f>
        <v>0</v>
      </c>
      <c r="AD136" s="822">
        <f>-MAP!AL1837</f>
        <v>0</v>
      </c>
      <c r="AE136" s="822">
        <f>-MAP!AM1837</f>
        <v>0</v>
      </c>
      <c r="AF136" s="822">
        <f>-MAP!AN1837</f>
        <v>0</v>
      </c>
      <c r="AG136" s="822">
        <f>-MAP!AO1837</f>
        <v>0</v>
      </c>
      <c r="AH136" s="822">
        <f>-MAP!AP1837</f>
        <v>0</v>
      </c>
      <c r="AI136" s="822">
        <f>-MAP!AQ1837</f>
        <v>0</v>
      </c>
      <c r="AJ136" s="822">
        <f>-MAP!AR1837</f>
        <v>0</v>
      </c>
      <c r="AK136" s="822">
        <f>-MAP!AS1837</f>
        <v>0</v>
      </c>
      <c r="AL136" s="822">
        <f>-MAP!AT1837</f>
        <v>0</v>
      </c>
      <c r="AM136" s="822">
        <f>-MAP!AU1837</f>
        <v>0</v>
      </c>
    </row>
    <row r="137" spans="1:39" x14ac:dyDescent="0.25">
      <c r="A137" s="2"/>
      <c r="B137" s="3">
        <f>MAX($B$4:B136)+1</f>
        <v>125</v>
      </c>
      <c r="C137" s="2"/>
      <c r="D137" s="2" t="s">
        <v>1436</v>
      </c>
      <c r="E137" s="902">
        <f t="shared" si="13"/>
        <v>0</v>
      </c>
      <c r="F137" s="822"/>
      <c r="G137" s="822"/>
      <c r="H137" s="822"/>
      <c r="I137" s="822"/>
      <c r="J137" s="822"/>
      <c r="K137" s="822"/>
      <c r="L137" s="822"/>
      <c r="M137" s="822"/>
      <c r="N137" s="822"/>
      <c r="O137" s="822"/>
      <c r="P137" s="822"/>
      <c r="Q137" s="822"/>
      <c r="R137" s="822"/>
      <c r="S137" s="822"/>
      <c r="T137" s="822"/>
      <c r="U137" s="822"/>
      <c r="V137" s="822"/>
      <c r="W137" s="822"/>
      <c r="X137" s="822"/>
      <c r="Y137" s="822"/>
      <c r="Z137" s="822"/>
      <c r="AA137" s="822"/>
      <c r="AB137" s="822"/>
      <c r="AC137" s="822"/>
      <c r="AD137" s="822"/>
      <c r="AE137" s="822"/>
      <c r="AF137" s="822"/>
      <c r="AG137" s="822"/>
      <c r="AH137" s="822"/>
      <c r="AI137" s="822"/>
      <c r="AJ137" s="822"/>
      <c r="AK137" s="822"/>
      <c r="AL137" s="822"/>
      <c r="AM137" s="822"/>
    </row>
    <row r="138" spans="1:39" x14ac:dyDescent="0.25">
      <c r="A138" s="2"/>
      <c r="B138" s="3">
        <f>MAX($B$4:B137)+1</f>
        <v>126</v>
      </c>
      <c r="C138" s="2"/>
      <c r="D138" s="2"/>
      <c r="E138" s="902">
        <f t="shared" si="13"/>
        <v>0</v>
      </c>
      <c r="F138" s="846">
        <f>SUM(F131:F137)</f>
        <v>0</v>
      </c>
      <c r="G138" s="846">
        <f t="shared" ref="G138:K138" si="14">SUM(G131:G137)</f>
        <v>0</v>
      </c>
      <c r="H138" s="846">
        <f t="shared" si="14"/>
        <v>0</v>
      </c>
      <c r="I138" s="846">
        <f t="shared" si="14"/>
        <v>0</v>
      </c>
      <c r="J138" s="846">
        <f t="shared" si="14"/>
        <v>0</v>
      </c>
      <c r="K138" s="846">
        <f t="shared" si="14"/>
        <v>0</v>
      </c>
      <c r="L138" s="846">
        <f>SUM(L131:L137)</f>
        <v>0</v>
      </c>
      <c r="M138" s="846">
        <f>SUM(M131:M137)</f>
        <v>0</v>
      </c>
      <c r="N138" s="846">
        <f t="shared" ref="N138:AI138" si="15">SUM(N131:N137)</f>
        <v>0</v>
      </c>
      <c r="O138" s="846">
        <f t="shared" si="15"/>
        <v>0</v>
      </c>
      <c r="P138" s="846">
        <f t="shared" si="15"/>
        <v>0</v>
      </c>
      <c r="Q138" s="846">
        <f t="shared" si="15"/>
        <v>0</v>
      </c>
      <c r="R138" s="846">
        <f t="shared" si="15"/>
        <v>0</v>
      </c>
      <c r="S138" s="846">
        <f t="shared" si="15"/>
        <v>0</v>
      </c>
      <c r="T138" s="846">
        <f t="shared" si="15"/>
        <v>0</v>
      </c>
      <c r="U138" s="846">
        <f t="shared" si="15"/>
        <v>0</v>
      </c>
      <c r="V138" s="846">
        <f t="shared" si="15"/>
        <v>0</v>
      </c>
      <c r="W138" s="846">
        <f t="shared" si="15"/>
        <v>0</v>
      </c>
      <c r="X138" s="846">
        <f t="shared" si="15"/>
        <v>0</v>
      </c>
      <c r="Y138" s="846">
        <f t="shared" si="15"/>
        <v>0</v>
      </c>
      <c r="Z138" s="846">
        <f t="shared" si="15"/>
        <v>0</v>
      </c>
      <c r="AA138" s="846">
        <f t="shared" si="15"/>
        <v>0</v>
      </c>
      <c r="AB138" s="846">
        <f t="shared" si="15"/>
        <v>0</v>
      </c>
      <c r="AC138" s="846">
        <f t="shared" si="15"/>
        <v>0</v>
      </c>
      <c r="AD138" s="846">
        <f t="shared" si="15"/>
        <v>0</v>
      </c>
      <c r="AE138" s="846">
        <f t="shared" si="15"/>
        <v>0</v>
      </c>
      <c r="AF138" s="846">
        <f t="shared" si="15"/>
        <v>0</v>
      </c>
      <c r="AG138" s="846">
        <f t="shared" si="15"/>
        <v>0</v>
      </c>
      <c r="AH138" s="846">
        <f t="shared" si="15"/>
        <v>0</v>
      </c>
      <c r="AI138" s="846">
        <f t="shared" si="15"/>
        <v>0</v>
      </c>
      <c r="AJ138" s="846">
        <f>SUM(AJ131:AJ137)</f>
        <v>0</v>
      </c>
      <c r="AK138" s="846">
        <f>SUM(AK131:AK137)</f>
        <v>0</v>
      </c>
      <c r="AL138" s="846">
        <f>SUM(AL131:AL137)</f>
        <v>0</v>
      </c>
      <c r="AM138" s="846">
        <f>SUM(AM131:AM137)</f>
        <v>0</v>
      </c>
    </row>
    <row r="139" spans="1:39" x14ac:dyDescent="0.25">
      <c r="A139" s="2"/>
      <c r="B139" s="3">
        <f>MAX($B$4:B138)+1</f>
        <v>127</v>
      </c>
      <c r="C139" s="2"/>
      <c r="D139" s="2"/>
      <c r="E139" s="902" t="e">
        <f t="shared" si="13"/>
        <v>#VALUE!</v>
      </c>
      <c r="F139" s="822" t="e">
        <f>MAP!N13</f>
        <v>#VALUE!</v>
      </c>
      <c r="G139" s="822">
        <f>MAP!O13</f>
        <v>0</v>
      </c>
      <c r="H139" s="822">
        <f>MAP!P13</f>
        <v>0</v>
      </c>
      <c r="I139" s="822">
        <f>MAP!Q13</f>
        <v>0</v>
      </c>
      <c r="J139" s="822">
        <f>MAP!R13</f>
        <v>0</v>
      </c>
      <c r="K139" s="822">
        <f>MAP!S13</f>
        <v>0</v>
      </c>
      <c r="L139" s="822" t="e">
        <f>MAP!T13</f>
        <v>#VALUE!</v>
      </c>
      <c r="M139" s="822">
        <f>MAP!U13</f>
        <v>0</v>
      </c>
      <c r="N139" s="822">
        <f>MAP!V13</f>
        <v>0</v>
      </c>
      <c r="O139" s="1838" t="e">
        <f>MAP!W13</f>
        <v>#VALUE!</v>
      </c>
      <c r="P139" s="822">
        <f>MAP!X13</f>
        <v>0</v>
      </c>
      <c r="Q139" s="822">
        <f>MAP!Y13</f>
        <v>0</v>
      </c>
      <c r="R139" s="822">
        <f>MAP!Z13</f>
        <v>0</v>
      </c>
      <c r="S139" s="822">
        <f>MAP!AA13</f>
        <v>0</v>
      </c>
      <c r="T139" s="822">
        <f>MAP!AB13</f>
        <v>0</v>
      </c>
      <c r="U139" s="822">
        <f>MAP!AC13</f>
        <v>0</v>
      </c>
      <c r="V139" s="822">
        <f>MAP!AD13</f>
        <v>0</v>
      </c>
      <c r="W139" s="822">
        <f>MAP!AE13</f>
        <v>0</v>
      </c>
      <c r="X139" s="822">
        <f>MAP!AF13</f>
        <v>0</v>
      </c>
      <c r="Y139" s="822">
        <f>MAP!AG13</f>
        <v>0</v>
      </c>
      <c r="Z139" s="822">
        <f>MAP!AH13</f>
        <v>0</v>
      </c>
      <c r="AA139" s="822">
        <f>MAP!AI13</f>
        <v>0</v>
      </c>
      <c r="AB139" s="822">
        <f>MAP!AJ13</f>
        <v>0</v>
      </c>
      <c r="AC139" s="822">
        <f>MAP!AK13</f>
        <v>0</v>
      </c>
      <c r="AD139" s="822">
        <f>MAP!AL13</f>
        <v>0</v>
      </c>
      <c r="AE139" s="822">
        <f>MAP!AM13</f>
        <v>0</v>
      </c>
      <c r="AF139" s="822">
        <f>MAP!AN13</f>
        <v>0</v>
      </c>
      <c r="AG139" s="822">
        <f>MAP!AO13</f>
        <v>0</v>
      </c>
      <c r="AH139" s="822">
        <f>MAP!AP13</f>
        <v>0</v>
      </c>
      <c r="AI139" s="822">
        <f>MAP!AQ13</f>
        <v>0</v>
      </c>
      <c r="AJ139" s="822">
        <f>MAP!AR13</f>
        <v>0</v>
      </c>
      <c r="AK139" s="822">
        <f>MAP!AS13</f>
        <v>0</v>
      </c>
      <c r="AL139" s="822">
        <f>MAP!AT13</f>
        <v>0</v>
      </c>
      <c r="AM139" s="822">
        <f>MAP!AU13</f>
        <v>0</v>
      </c>
    </row>
    <row r="140" spans="1:39" x14ac:dyDescent="0.25">
      <c r="A140" s="2"/>
      <c r="B140" s="3">
        <f>MAX($B$4:B139)+1</f>
        <v>128</v>
      </c>
      <c r="C140" s="2"/>
      <c r="D140" s="2"/>
      <c r="E140" s="902" t="e">
        <f t="shared" si="13"/>
        <v>#VALUE!</v>
      </c>
      <c r="F140" s="847" t="e">
        <f>F139+F138</f>
        <v>#VALUE!</v>
      </c>
      <c r="G140" s="847">
        <f t="shared" ref="G140:AI140" si="16">G139+G138</f>
        <v>0</v>
      </c>
      <c r="H140" s="847">
        <f t="shared" si="16"/>
        <v>0</v>
      </c>
      <c r="I140" s="847">
        <f t="shared" si="16"/>
        <v>0</v>
      </c>
      <c r="J140" s="847">
        <f t="shared" si="16"/>
        <v>0</v>
      </c>
      <c r="K140" s="847">
        <f t="shared" si="16"/>
        <v>0</v>
      </c>
      <c r="L140" s="847" t="e">
        <f t="shared" si="16"/>
        <v>#VALUE!</v>
      </c>
      <c r="M140" s="847">
        <f>M139+M138</f>
        <v>0</v>
      </c>
      <c r="N140" s="847">
        <f t="shared" si="16"/>
        <v>0</v>
      </c>
      <c r="O140" s="847" t="e">
        <f>O139+O138</f>
        <v>#VALUE!</v>
      </c>
      <c r="P140" s="847">
        <f t="shared" si="16"/>
        <v>0</v>
      </c>
      <c r="Q140" s="847">
        <f>Q139+Q138</f>
        <v>0</v>
      </c>
      <c r="R140" s="847">
        <f t="shared" si="16"/>
        <v>0</v>
      </c>
      <c r="S140" s="847">
        <f t="shared" si="16"/>
        <v>0</v>
      </c>
      <c r="T140" s="847">
        <f t="shared" si="16"/>
        <v>0</v>
      </c>
      <c r="U140" s="847">
        <f t="shared" si="16"/>
        <v>0</v>
      </c>
      <c r="V140" s="847">
        <f t="shared" si="16"/>
        <v>0</v>
      </c>
      <c r="W140" s="847">
        <f t="shared" si="16"/>
        <v>0</v>
      </c>
      <c r="X140" s="847">
        <f t="shared" si="16"/>
        <v>0</v>
      </c>
      <c r="Y140" s="847">
        <f t="shared" si="16"/>
        <v>0</v>
      </c>
      <c r="Z140" s="847">
        <f t="shared" si="16"/>
        <v>0</v>
      </c>
      <c r="AA140" s="847">
        <f t="shared" si="16"/>
        <v>0</v>
      </c>
      <c r="AB140" s="847">
        <f t="shared" si="16"/>
        <v>0</v>
      </c>
      <c r="AC140" s="847">
        <f t="shared" si="16"/>
        <v>0</v>
      </c>
      <c r="AD140" s="847">
        <f t="shared" si="16"/>
        <v>0</v>
      </c>
      <c r="AE140" s="847">
        <f t="shared" si="16"/>
        <v>0</v>
      </c>
      <c r="AF140" s="847">
        <f t="shared" si="16"/>
        <v>0</v>
      </c>
      <c r="AG140" s="847">
        <f t="shared" si="16"/>
        <v>0</v>
      </c>
      <c r="AH140" s="847">
        <f t="shared" si="16"/>
        <v>0</v>
      </c>
      <c r="AI140" s="847">
        <f t="shared" si="16"/>
        <v>0</v>
      </c>
      <c r="AJ140" s="847">
        <f>AJ139+AJ138</f>
        <v>0</v>
      </c>
      <c r="AK140" s="847">
        <f>AK139+AK138</f>
        <v>0</v>
      </c>
      <c r="AL140" s="847">
        <f>AL139+AL138</f>
        <v>0</v>
      </c>
      <c r="AM140" s="847">
        <f>AM139+AM138</f>
        <v>0</v>
      </c>
    </row>
    <row r="141" spans="1:39" x14ac:dyDescent="0.25">
      <c r="A141" s="2"/>
      <c r="B141" s="3">
        <f>MAX($B$4:B140)+1</f>
        <v>129</v>
      </c>
      <c r="C141" s="2"/>
      <c r="D141" s="2"/>
      <c r="E141" s="902"/>
      <c r="F141" s="1384"/>
      <c r="G141" s="1384"/>
      <c r="H141" s="1384"/>
      <c r="I141" s="1384"/>
      <c r="J141" s="1384"/>
      <c r="K141" s="1384"/>
      <c r="L141" s="1384"/>
      <c r="M141" s="1373"/>
      <c r="N141" s="1384"/>
      <c r="O141" s="1384"/>
      <c r="P141" s="1384"/>
      <c r="Q141" s="1384"/>
      <c r="R141" s="1384"/>
      <c r="S141" s="1384"/>
      <c r="T141" s="1384"/>
      <c r="U141" s="1384"/>
      <c r="V141" s="1384"/>
      <c r="W141" s="1384"/>
      <c r="X141" s="1373"/>
      <c r="Y141" s="1384"/>
      <c r="Z141" s="822"/>
      <c r="AA141" s="822"/>
      <c r="AB141" s="1384"/>
      <c r="AC141" s="1384"/>
      <c r="AD141" s="1384"/>
      <c r="AE141" s="1373"/>
      <c r="AF141" s="1384"/>
      <c r="AG141" s="1384"/>
      <c r="AH141" s="1384"/>
      <c r="AI141" s="1384"/>
      <c r="AJ141" s="1384"/>
      <c r="AK141" s="1384"/>
      <c r="AL141" s="1384"/>
      <c r="AM141" s="1384"/>
    </row>
    <row r="142" spans="1:39" x14ac:dyDescent="0.25">
      <c r="A142" s="2"/>
      <c r="B142" s="3">
        <f>MAX($B$4:B141)+1</f>
        <v>130</v>
      </c>
      <c r="C142" s="2"/>
      <c r="D142" s="2"/>
      <c r="E142" s="902"/>
      <c r="F142" s="1384"/>
      <c r="G142" s="1384"/>
      <c r="H142" s="1384"/>
      <c r="I142" s="1384"/>
      <c r="J142" s="1384"/>
      <c r="K142" s="1384"/>
      <c r="L142" s="1384"/>
      <c r="M142" s="1384"/>
      <c r="N142" s="1384"/>
      <c r="O142" s="1384"/>
      <c r="P142" s="1384"/>
      <c r="Q142" s="1384"/>
      <c r="R142" s="1384"/>
      <c r="S142" s="1384"/>
      <c r="T142" s="1384"/>
      <c r="U142" s="1384"/>
      <c r="V142" s="1384"/>
      <c r="W142" s="1384"/>
      <c r="X142" s="1384"/>
      <c r="Y142" s="1384"/>
      <c r="Z142" s="1384"/>
      <c r="AA142" s="1384"/>
      <c r="AB142" s="1384"/>
      <c r="AC142" s="1384"/>
      <c r="AD142" s="1384"/>
      <c r="AE142" s="1384"/>
      <c r="AF142" s="1384"/>
      <c r="AG142" s="1384"/>
      <c r="AH142" s="1384"/>
      <c r="AI142" s="1384"/>
      <c r="AJ142" s="1384"/>
      <c r="AK142" s="1384"/>
      <c r="AL142" s="1384"/>
      <c r="AM142" s="1384"/>
    </row>
    <row r="143" spans="1:39" x14ac:dyDescent="0.25">
      <c r="A143" s="2"/>
      <c r="B143" s="3">
        <f>MAX($B$4:B142)+1</f>
        <v>131</v>
      </c>
      <c r="C143" s="2"/>
      <c r="D143" s="16" t="s">
        <v>1871</v>
      </c>
      <c r="E143" s="902"/>
      <c r="F143" s="822"/>
      <c r="G143" s="822"/>
      <c r="H143" s="822"/>
      <c r="I143" s="822"/>
      <c r="J143" s="822"/>
      <c r="K143" s="822"/>
      <c r="L143" s="822"/>
      <c r="M143" s="822"/>
      <c r="N143" s="822"/>
      <c r="O143" s="1083"/>
      <c r="P143" s="822"/>
      <c r="Q143" s="1083"/>
      <c r="S143" s="822"/>
      <c r="T143" s="822"/>
      <c r="U143" s="822"/>
      <c r="V143" s="822"/>
      <c r="W143" s="822"/>
      <c r="X143" s="822"/>
      <c r="Y143" s="822"/>
      <c r="Z143" s="822"/>
      <c r="AA143" s="822"/>
      <c r="AB143" s="822"/>
      <c r="AC143" s="822"/>
      <c r="AD143" s="822"/>
      <c r="AE143" s="822"/>
      <c r="AF143" s="822"/>
      <c r="AG143" s="822"/>
      <c r="AH143" s="822"/>
      <c r="AI143" s="822"/>
      <c r="AJ143" s="822"/>
      <c r="AK143" s="822"/>
      <c r="AL143" s="822"/>
      <c r="AM143" s="822"/>
    </row>
    <row r="144" spans="1:39" x14ac:dyDescent="0.25">
      <c r="A144" s="2"/>
      <c r="B144" s="3">
        <f>MAX($B$4:B143)+1</f>
        <v>132</v>
      </c>
      <c r="C144" s="2"/>
      <c r="D144" s="2" t="s">
        <v>1435</v>
      </c>
      <c r="E144" s="902" t="s">
        <v>1876</v>
      </c>
      <c r="F144" s="822">
        <f>MAP!N1837</f>
        <v>0</v>
      </c>
      <c r="G144" s="822">
        <f>MAP!O1837</f>
        <v>0</v>
      </c>
      <c r="H144" s="822">
        <f>MAP!P1837</f>
        <v>0</v>
      </c>
      <c r="I144" s="822">
        <f>MAP!Q1837</f>
        <v>0</v>
      </c>
      <c r="J144" s="822">
        <f>MAP!R1837</f>
        <v>0</v>
      </c>
      <c r="K144" s="822">
        <f>MAP!S1837</f>
        <v>0</v>
      </c>
      <c r="L144" s="822">
        <f>MAP!T1837</f>
        <v>0</v>
      </c>
      <c r="M144" s="822">
        <f>MAP!U1837</f>
        <v>0</v>
      </c>
      <c r="N144" s="822">
        <f>MAP!V1837</f>
        <v>0</v>
      </c>
      <c r="O144" s="822">
        <f>MAP!W1837</f>
        <v>0</v>
      </c>
      <c r="P144" s="822">
        <f>MAP!X1837</f>
        <v>0</v>
      </c>
      <c r="Q144" s="822">
        <f>MAP!Y1837</f>
        <v>0</v>
      </c>
      <c r="R144" s="822">
        <f>MAP!Z1837</f>
        <v>0</v>
      </c>
      <c r="S144" s="822">
        <f>MAP!AA1837</f>
        <v>0</v>
      </c>
      <c r="T144" s="822">
        <f>MAP!AB1837</f>
        <v>0</v>
      </c>
      <c r="U144" s="822">
        <f>MAP!AC1837</f>
        <v>0</v>
      </c>
      <c r="V144" s="822">
        <f>MAP!AD1837</f>
        <v>0</v>
      </c>
      <c r="W144" s="822">
        <f>MAP!AE1837</f>
        <v>0</v>
      </c>
      <c r="X144" s="822">
        <f>MAP!AF1837</f>
        <v>0</v>
      </c>
      <c r="Y144" s="822">
        <f>MAP!AG1837</f>
        <v>0</v>
      </c>
      <c r="Z144" s="822">
        <f>MAP!AH1837</f>
        <v>0</v>
      </c>
      <c r="AA144" s="822">
        <f>MAP!AI1837</f>
        <v>0</v>
      </c>
      <c r="AB144" s="822">
        <f>MAP!AJ1837</f>
        <v>0</v>
      </c>
      <c r="AC144" s="822">
        <f>MAP!AK1837</f>
        <v>0</v>
      </c>
      <c r="AD144" s="822">
        <f>MAP!AL1837</f>
        <v>0</v>
      </c>
      <c r="AE144" s="822">
        <f>MAP!AM1837</f>
        <v>0</v>
      </c>
      <c r="AF144" s="822">
        <f>MAP!AN1837</f>
        <v>0</v>
      </c>
      <c r="AG144" s="822">
        <f>MAP!AO1837</f>
        <v>0</v>
      </c>
      <c r="AH144" s="822">
        <f>MAP!AP1837</f>
        <v>0</v>
      </c>
      <c r="AI144" s="822">
        <f>MAP!AQ1837</f>
        <v>0</v>
      </c>
      <c r="AJ144" s="822">
        <f>MAP!AR1837</f>
        <v>0</v>
      </c>
      <c r="AK144" s="822">
        <f>MAP!AS1837</f>
        <v>0</v>
      </c>
      <c r="AL144" s="822">
        <f>MAP!AT1837</f>
        <v>0</v>
      </c>
      <c r="AM144" s="822">
        <f>MAP!AU1837</f>
        <v>0</v>
      </c>
    </row>
    <row r="145" spans="1:39" x14ac:dyDescent="0.25">
      <c r="A145" s="2"/>
      <c r="B145" s="3">
        <f>MAX($B$4:B144)+1</f>
        <v>133</v>
      </c>
      <c r="C145" s="2"/>
      <c r="D145" s="2" t="s">
        <v>1436</v>
      </c>
      <c r="E145" s="902" t="s">
        <v>1876</v>
      </c>
      <c r="F145" s="822">
        <f>MAP!N1844</f>
        <v>0</v>
      </c>
      <c r="G145" s="822">
        <f>MAP!O1844</f>
        <v>0</v>
      </c>
      <c r="H145" s="822">
        <f>MAP!P1844</f>
        <v>0</v>
      </c>
      <c r="I145" s="822">
        <f>MAP!Q1844</f>
        <v>0</v>
      </c>
      <c r="J145" s="822">
        <f>MAP!R1844</f>
        <v>0</v>
      </c>
      <c r="K145" s="822">
        <f>MAP!S1844</f>
        <v>0</v>
      </c>
      <c r="L145" s="822">
        <f>MAP!T1844</f>
        <v>0</v>
      </c>
      <c r="M145" s="822">
        <f>MAP!U1844</f>
        <v>0</v>
      </c>
      <c r="N145" s="822">
        <f>MAP!V1844</f>
        <v>0</v>
      </c>
      <c r="O145" s="822">
        <f>MAP!W1844</f>
        <v>0</v>
      </c>
      <c r="P145" s="822">
        <f>MAP!X1844</f>
        <v>0</v>
      </c>
      <c r="Q145" s="822">
        <f>MAP!Y1844</f>
        <v>0</v>
      </c>
      <c r="R145" s="822">
        <f>MAP!Z1844</f>
        <v>0</v>
      </c>
      <c r="S145" s="822">
        <f>MAP!AA1844</f>
        <v>0</v>
      </c>
      <c r="T145" s="822">
        <f>MAP!AB1844</f>
        <v>0</v>
      </c>
      <c r="U145" s="822">
        <f>MAP!AC1844</f>
        <v>0</v>
      </c>
      <c r="V145" s="822">
        <f>MAP!AD1844</f>
        <v>0</v>
      </c>
      <c r="W145" s="822">
        <f>MAP!AE1844</f>
        <v>0</v>
      </c>
      <c r="X145" s="822">
        <f>MAP!AF1844</f>
        <v>0</v>
      </c>
      <c r="Y145" s="822">
        <f>MAP!AG1844</f>
        <v>0</v>
      </c>
      <c r="Z145" s="822">
        <f>MAP!AH1844</f>
        <v>0</v>
      </c>
      <c r="AA145" s="822">
        <f>MAP!AI1844</f>
        <v>0</v>
      </c>
      <c r="AB145" s="822">
        <f>MAP!AJ1844</f>
        <v>0</v>
      </c>
      <c r="AC145" s="822">
        <f>MAP!AK1844</f>
        <v>0</v>
      </c>
      <c r="AD145" s="822">
        <f>MAP!AL1844</f>
        <v>0</v>
      </c>
      <c r="AE145" s="822">
        <f>MAP!AM1844</f>
        <v>0</v>
      </c>
      <c r="AF145" s="822">
        <f>MAP!AN1844</f>
        <v>0</v>
      </c>
      <c r="AG145" s="822">
        <f>MAP!AO1844</f>
        <v>0</v>
      </c>
      <c r="AH145" s="822">
        <f>MAP!AP1844</f>
        <v>0</v>
      </c>
      <c r="AI145" s="822">
        <f>MAP!AQ1844</f>
        <v>0</v>
      </c>
      <c r="AJ145" s="822">
        <f>MAP!AR1844</f>
        <v>0</v>
      </c>
      <c r="AK145" s="822">
        <f>MAP!AS1844</f>
        <v>0</v>
      </c>
      <c r="AL145" s="822">
        <f>MAP!AT1844</f>
        <v>0</v>
      </c>
      <c r="AM145" s="822">
        <f>MAP!AU1844</f>
        <v>0</v>
      </c>
    </row>
    <row r="146" spans="1:39" x14ac:dyDescent="0.25">
      <c r="A146" s="2"/>
      <c r="B146" s="3">
        <f>MAX($B$4:B145)+1</f>
        <v>134</v>
      </c>
      <c r="E146" s="902" t="s">
        <v>1876</v>
      </c>
      <c r="F146" s="1070">
        <f>F145+F144</f>
        <v>0</v>
      </c>
      <c r="G146" s="1070">
        <f t="shared" ref="G146:AI146" si="17">G145+G144</f>
        <v>0</v>
      </c>
      <c r="H146" s="1070">
        <f t="shared" si="17"/>
        <v>0</v>
      </c>
      <c r="I146" s="1070">
        <f t="shared" si="17"/>
        <v>0</v>
      </c>
      <c r="J146" s="1070">
        <f t="shared" si="17"/>
        <v>0</v>
      </c>
      <c r="K146" s="1070">
        <f t="shared" si="17"/>
        <v>0</v>
      </c>
      <c r="L146" s="1070">
        <f t="shared" si="17"/>
        <v>0</v>
      </c>
      <c r="M146" s="1070">
        <f t="shared" si="17"/>
        <v>0</v>
      </c>
      <c r="N146" s="1070">
        <f t="shared" si="17"/>
        <v>0</v>
      </c>
      <c r="O146" s="1070">
        <f t="shared" si="17"/>
        <v>0</v>
      </c>
      <c r="P146" s="1070">
        <f t="shared" si="17"/>
        <v>0</v>
      </c>
      <c r="Q146" s="1070">
        <f t="shared" si="17"/>
        <v>0</v>
      </c>
      <c r="R146" s="1070">
        <f t="shared" si="17"/>
        <v>0</v>
      </c>
      <c r="S146" s="1070">
        <f t="shared" si="17"/>
        <v>0</v>
      </c>
      <c r="T146" s="1070">
        <f t="shared" si="17"/>
        <v>0</v>
      </c>
      <c r="U146" s="1070">
        <f t="shared" si="17"/>
        <v>0</v>
      </c>
      <c r="V146" s="1070">
        <f t="shared" si="17"/>
        <v>0</v>
      </c>
      <c r="W146" s="1070">
        <f t="shared" si="17"/>
        <v>0</v>
      </c>
      <c r="X146" s="1070">
        <f t="shared" si="17"/>
        <v>0</v>
      </c>
      <c r="Y146" s="1070">
        <f t="shared" si="17"/>
        <v>0</v>
      </c>
      <c r="Z146" s="1070">
        <f t="shared" si="17"/>
        <v>0</v>
      </c>
      <c r="AA146" s="1070">
        <f t="shared" si="17"/>
        <v>0</v>
      </c>
      <c r="AB146" s="1070">
        <f t="shared" si="17"/>
        <v>0</v>
      </c>
      <c r="AC146" s="1070">
        <f t="shared" si="17"/>
        <v>0</v>
      </c>
      <c r="AD146" s="1070">
        <f t="shared" si="17"/>
        <v>0</v>
      </c>
      <c r="AE146" s="1070">
        <f t="shared" si="17"/>
        <v>0</v>
      </c>
      <c r="AF146" s="1070">
        <f t="shared" si="17"/>
        <v>0</v>
      </c>
      <c r="AG146" s="1070">
        <f t="shared" si="17"/>
        <v>0</v>
      </c>
      <c r="AH146" s="1070">
        <f t="shared" si="17"/>
        <v>0</v>
      </c>
      <c r="AI146" s="1070">
        <f t="shared" si="17"/>
        <v>0</v>
      </c>
      <c r="AJ146" s="1070">
        <f>AJ145+AJ144</f>
        <v>0</v>
      </c>
      <c r="AK146" s="1070">
        <f>AK145+AK144</f>
        <v>0</v>
      </c>
      <c r="AL146" s="1070">
        <f>AL145+AL144</f>
        <v>0</v>
      </c>
      <c r="AM146" s="1070">
        <f>AM145+AM144</f>
        <v>0</v>
      </c>
    </row>
    <row r="147" spans="1:39" x14ac:dyDescent="0.25">
      <c r="A147" s="2"/>
      <c r="B147" s="3">
        <f>MAX($B$4:B146)+1</f>
        <v>135</v>
      </c>
      <c r="C147" s="1083"/>
      <c r="D147" s="2"/>
      <c r="E147" s="902"/>
      <c r="F147" s="822"/>
      <c r="G147" s="822"/>
      <c r="H147" s="822"/>
      <c r="I147" s="822"/>
      <c r="J147" s="822"/>
      <c r="K147" s="822"/>
      <c r="L147" s="822"/>
      <c r="M147" s="822"/>
      <c r="N147" s="822"/>
      <c r="O147" s="822"/>
      <c r="P147" s="822"/>
      <c r="Q147" s="822"/>
      <c r="R147" s="822"/>
      <c r="S147" s="822"/>
      <c r="T147" s="822"/>
      <c r="U147" s="822"/>
      <c r="V147" s="822"/>
      <c r="W147" s="822"/>
      <c r="X147" s="822"/>
      <c r="Y147" s="822"/>
      <c r="Z147" s="822"/>
      <c r="AA147" s="822"/>
      <c r="AB147" s="822"/>
      <c r="AC147" s="822"/>
      <c r="AD147" s="822"/>
      <c r="AE147" s="822"/>
      <c r="AF147" s="822"/>
      <c r="AG147" s="822"/>
      <c r="AH147" s="822"/>
      <c r="AI147" s="822"/>
      <c r="AJ147" s="822"/>
      <c r="AK147" s="822"/>
      <c r="AL147" s="822"/>
      <c r="AM147" s="822"/>
    </row>
    <row r="148" spans="1:39" x14ac:dyDescent="0.25">
      <c r="A148" s="2"/>
      <c r="B148" s="3">
        <f>MAX($B$4:B147)+1</f>
        <v>136</v>
      </c>
      <c r="C148" s="1083"/>
      <c r="D148" s="2"/>
      <c r="E148" s="902"/>
      <c r="F148" s="822"/>
      <c r="G148" s="822"/>
      <c r="H148" s="822"/>
      <c r="I148" s="822"/>
      <c r="J148" s="822"/>
      <c r="K148" s="822"/>
      <c r="L148" s="822"/>
      <c r="M148" s="822"/>
      <c r="N148" s="822"/>
      <c r="O148" s="822"/>
      <c r="P148" s="822"/>
      <c r="Q148" s="822"/>
      <c r="R148" s="822"/>
      <c r="S148" s="822"/>
      <c r="T148" s="822"/>
      <c r="U148" s="822"/>
      <c r="V148" s="822"/>
      <c r="W148" s="822"/>
      <c r="X148" s="822"/>
      <c r="Y148" s="822"/>
      <c r="Z148" s="822"/>
      <c r="AA148" s="822"/>
      <c r="AB148" s="822"/>
      <c r="AC148" s="822"/>
      <c r="AD148" s="822"/>
      <c r="AE148" s="822"/>
      <c r="AF148" s="822"/>
      <c r="AG148" s="822"/>
      <c r="AH148" s="822"/>
      <c r="AI148" s="822"/>
      <c r="AJ148" s="822"/>
      <c r="AK148" s="822"/>
      <c r="AL148" s="822"/>
      <c r="AM148" s="822"/>
    </row>
    <row r="149" spans="1:39" x14ac:dyDescent="0.25">
      <c r="A149" s="2"/>
      <c r="B149" s="3">
        <f>MAX($B$4:B148)+1</f>
        <v>137</v>
      </c>
      <c r="E149" s="902"/>
      <c r="F149" s="822"/>
      <c r="G149" s="822"/>
      <c r="H149" s="822"/>
      <c r="I149" s="822"/>
      <c r="J149" s="822"/>
      <c r="K149" s="822"/>
      <c r="L149" s="822"/>
      <c r="M149" s="822"/>
      <c r="N149" s="822"/>
      <c r="O149" s="822"/>
      <c r="P149" s="822"/>
      <c r="Q149" s="822"/>
      <c r="R149" s="822"/>
      <c r="S149" s="822"/>
      <c r="T149" s="822"/>
      <c r="U149" s="822"/>
      <c r="V149" s="822"/>
      <c r="W149" s="822"/>
      <c r="X149" s="822"/>
      <c r="Y149" s="822"/>
      <c r="Z149" s="822"/>
      <c r="AA149" s="822"/>
      <c r="AB149" s="822"/>
      <c r="AC149" s="822"/>
      <c r="AD149" s="822"/>
      <c r="AE149" s="822"/>
      <c r="AF149" s="822"/>
      <c r="AG149" s="822"/>
      <c r="AH149" s="822"/>
      <c r="AI149" s="822"/>
      <c r="AJ149" s="822"/>
      <c r="AK149" s="822"/>
      <c r="AL149" s="822"/>
      <c r="AM149" s="822"/>
    </row>
    <row r="150" spans="1:39" x14ac:dyDescent="0.25">
      <c r="A150" s="2"/>
      <c r="B150" s="3">
        <f>MAX($B$4:B149)+1</f>
        <v>138</v>
      </c>
      <c r="E150" s="902"/>
      <c r="F150" s="822"/>
      <c r="G150" s="822"/>
      <c r="H150" s="822"/>
      <c r="I150" s="822"/>
      <c r="J150" s="822"/>
      <c r="K150" s="822"/>
      <c r="L150" s="822"/>
      <c r="M150" s="822"/>
      <c r="N150" s="822"/>
      <c r="O150" s="822"/>
      <c r="P150" s="822"/>
      <c r="Q150" s="822"/>
      <c r="R150" s="822"/>
      <c r="S150" s="822"/>
      <c r="T150" s="822"/>
      <c r="U150" s="822"/>
      <c r="V150" s="822"/>
      <c r="W150" s="822"/>
      <c r="X150" s="822"/>
      <c r="Y150" s="822"/>
      <c r="Z150" s="822"/>
      <c r="AA150" s="822"/>
      <c r="AB150" s="822"/>
      <c r="AC150" s="822"/>
      <c r="AD150" s="822"/>
      <c r="AE150" s="822"/>
      <c r="AF150" s="822"/>
      <c r="AG150" s="822"/>
      <c r="AH150" s="822"/>
      <c r="AI150" s="822"/>
      <c r="AJ150" s="822"/>
      <c r="AK150" s="822"/>
      <c r="AL150" s="822"/>
      <c r="AM150" s="822"/>
    </row>
    <row r="151" spans="1:39" x14ac:dyDescent="0.25">
      <c r="A151" s="2"/>
      <c r="B151" s="3">
        <f>MAX($B$4:B150)+1</f>
        <v>139</v>
      </c>
      <c r="E151" s="902"/>
      <c r="F151" s="822"/>
      <c r="G151" s="822"/>
      <c r="H151" s="822"/>
      <c r="I151" s="822"/>
      <c r="J151" s="822"/>
      <c r="K151" s="822"/>
      <c r="L151" s="822"/>
      <c r="M151" s="822"/>
      <c r="N151" s="822"/>
      <c r="O151" s="822"/>
      <c r="P151" s="822"/>
      <c r="Q151" s="822"/>
      <c r="R151" s="822"/>
      <c r="S151" s="822"/>
      <c r="T151" s="822"/>
      <c r="U151" s="822"/>
      <c r="V151" s="822"/>
      <c r="W151" s="822"/>
      <c r="X151" s="822"/>
      <c r="Y151" s="822"/>
      <c r="Z151" s="822"/>
      <c r="AA151" s="822"/>
      <c r="AB151" s="822"/>
      <c r="AC151" s="822"/>
      <c r="AD151" s="822"/>
      <c r="AE151" s="822"/>
      <c r="AF151" s="822"/>
      <c r="AG151" s="822"/>
      <c r="AH151" s="822"/>
      <c r="AI151" s="822"/>
      <c r="AJ151" s="822"/>
      <c r="AK151" s="822"/>
      <c r="AL151" s="822"/>
      <c r="AM151" s="822"/>
    </row>
    <row r="152" spans="1:39" x14ac:dyDescent="0.25">
      <c r="A152" s="2"/>
      <c r="B152" s="3">
        <f>MAX($B$4:B151)+1</f>
        <v>140</v>
      </c>
      <c r="E152" s="902"/>
      <c r="F152" s="822"/>
      <c r="G152" s="822"/>
      <c r="H152" s="822"/>
      <c r="I152" s="822"/>
      <c r="J152" s="822"/>
      <c r="K152" s="822"/>
      <c r="L152" s="822"/>
      <c r="M152" s="822"/>
      <c r="N152" s="822"/>
      <c r="O152" s="822"/>
      <c r="P152" s="822"/>
      <c r="Q152" s="822"/>
      <c r="R152" s="822"/>
      <c r="S152" s="822"/>
      <c r="T152" s="822"/>
      <c r="U152" s="822"/>
      <c r="V152" s="822"/>
      <c r="W152" s="822"/>
      <c r="X152" s="822"/>
      <c r="Y152" s="822"/>
      <c r="Z152" s="822"/>
      <c r="AA152" s="822"/>
      <c r="AB152" s="822"/>
      <c r="AC152" s="822"/>
      <c r="AD152" s="822"/>
      <c r="AE152" s="822"/>
      <c r="AF152" s="822"/>
      <c r="AG152" s="822"/>
      <c r="AH152" s="822"/>
      <c r="AI152" s="822"/>
      <c r="AJ152" s="822"/>
      <c r="AK152" s="822"/>
      <c r="AL152" s="822"/>
      <c r="AM152" s="822"/>
    </row>
    <row r="153" spans="1:39" x14ac:dyDescent="0.25">
      <c r="A153" s="2"/>
      <c r="B153" s="3">
        <f>MAX($B$4:B152)+1</f>
        <v>141</v>
      </c>
      <c r="E153" s="902"/>
      <c r="F153" s="822"/>
      <c r="G153" s="822"/>
      <c r="H153" s="822"/>
      <c r="I153" s="822"/>
      <c r="J153" s="822"/>
      <c r="K153" s="822"/>
      <c r="L153" s="822"/>
      <c r="M153" s="822"/>
      <c r="N153" s="822"/>
      <c r="O153" s="822"/>
      <c r="P153" s="822"/>
      <c r="Q153" s="822"/>
      <c r="R153" s="822"/>
      <c r="S153" s="822"/>
      <c r="T153" s="822"/>
      <c r="U153" s="822"/>
      <c r="V153" s="822"/>
      <c r="W153" s="822"/>
      <c r="X153" s="822"/>
      <c r="Y153" s="822"/>
      <c r="Z153" s="822"/>
      <c r="AA153" s="822"/>
      <c r="AB153" s="822"/>
      <c r="AC153" s="822"/>
      <c r="AD153" s="822"/>
      <c r="AE153" s="822"/>
      <c r="AF153" s="822"/>
      <c r="AG153" s="822"/>
      <c r="AH153" s="822"/>
      <c r="AI153" s="822"/>
      <c r="AJ153" s="822"/>
      <c r="AK153" s="822"/>
      <c r="AL153" s="822"/>
      <c r="AM153" s="822"/>
    </row>
    <row r="154" spans="1:39" x14ac:dyDescent="0.25">
      <c r="A154" s="2"/>
      <c r="B154" s="3">
        <f>MAX($B$4:B153)+1</f>
        <v>142</v>
      </c>
      <c r="E154" s="902"/>
      <c r="F154" s="822"/>
      <c r="G154" s="822"/>
      <c r="H154" s="822"/>
      <c r="I154" s="822"/>
      <c r="J154" s="822"/>
      <c r="K154" s="822"/>
      <c r="L154" s="822"/>
      <c r="M154" s="822"/>
      <c r="N154" s="822"/>
      <c r="O154" s="822"/>
      <c r="P154" s="822"/>
      <c r="Q154" s="822"/>
      <c r="R154" s="822"/>
      <c r="S154" s="822"/>
      <c r="T154" s="822"/>
      <c r="U154" s="822"/>
      <c r="V154" s="822"/>
      <c r="W154" s="822"/>
      <c r="X154" s="822"/>
      <c r="Y154" s="822"/>
      <c r="Z154" s="822"/>
      <c r="AA154" s="822"/>
      <c r="AB154" s="822"/>
      <c r="AC154" s="822"/>
      <c r="AD154" s="822"/>
      <c r="AE154" s="822"/>
      <c r="AF154" s="822"/>
      <c r="AG154" s="822"/>
      <c r="AH154" s="822"/>
      <c r="AI154" s="822"/>
      <c r="AJ154" s="822"/>
      <c r="AK154" s="822"/>
      <c r="AL154" s="822"/>
      <c r="AM154" s="822"/>
    </row>
    <row r="155" spans="1:39" x14ac:dyDescent="0.25">
      <c r="B155" s="3">
        <f>MAX($B$4:B154)+1</f>
        <v>143</v>
      </c>
      <c r="E155" s="907"/>
      <c r="F155" s="823"/>
      <c r="G155" s="823"/>
      <c r="H155" s="823"/>
      <c r="I155" s="823"/>
      <c r="J155" s="823"/>
      <c r="K155" s="823"/>
      <c r="L155" s="823"/>
      <c r="M155" s="823"/>
      <c r="N155" s="823"/>
      <c r="O155" s="823"/>
      <c r="P155" s="823"/>
      <c r="Q155" s="823"/>
      <c r="R155" s="823"/>
      <c r="S155" s="823"/>
      <c r="T155" s="823"/>
      <c r="U155" s="823"/>
      <c r="V155" s="823"/>
      <c r="W155" s="823"/>
      <c r="X155" s="823"/>
      <c r="Y155" s="823"/>
      <c r="Z155" s="823"/>
      <c r="AA155" s="823"/>
      <c r="AB155" s="823"/>
      <c r="AC155" s="823"/>
      <c r="AD155" s="823"/>
      <c r="AE155" s="823"/>
      <c r="AF155" s="823"/>
      <c r="AG155" s="823"/>
      <c r="AH155" s="823"/>
      <c r="AI155" s="823"/>
      <c r="AJ155" s="823"/>
      <c r="AK155" s="823"/>
      <c r="AL155" s="823"/>
      <c r="AM155" s="823"/>
    </row>
    <row r="156" spans="1:39" x14ac:dyDescent="0.25">
      <c r="B156" s="3">
        <f>MAX($B$4:B155)+1</f>
        <v>144</v>
      </c>
      <c r="E156" s="823"/>
      <c r="F156" s="823"/>
      <c r="G156" s="823"/>
      <c r="H156" s="823"/>
      <c r="I156" s="823"/>
      <c r="J156" s="823"/>
      <c r="K156" s="823"/>
      <c r="L156" s="823"/>
      <c r="M156" s="823"/>
      <c r="N156" s="823"/>
      <c r="O156" s="823"/>
      <c r="P156" s="823"/>
      <c r="Q156" s="823"/>
      <c r="R156" s="823"/>
      <c r="S156" s="823"/>
      <c r="T156" s="823"/>
      <c r="U156" s="823"/>
      <c r="V156" s="823"/>
      <c r="W156" s="823"/>
      <c r="X156" s="823"/>
      <c r="Y156" s="823"/>
      <c r="Z156" s="823"/>
      <c r="AA156" s="823"/>
      <c r="AB156" s="823"/>
      <c r="AC156" s="823"/>
      <c r="AD156" s="823"/>
      <c r="AE156" s="823"/>
      <c r="AF156" s="823"/>
      <c r="AG156" s="823"/>
      <c r="AH156" s="823"/>
      <c r="AI156" s="823"/>
      <c r="AJ156" s="823"/>
      <c r="AK156" s="823"/>
      <c r="AL156" s="823"/>
      <c r="AM156" s="823"/>
    </row>
    <row r="157" spans="1:39" x14ac:dyDescent="0.25">
      <c r="B157" s="3">
        <f>MAX($B$4:B156)+1</f>
        <v>145</v>
      </c>
      <c r="E157" s="823"/>
      <c r="F157" s="823"/>
      <c r="G157" s="823"/>
      <c r="H157" s="823"/>
      <c r="I157" s="823"/>
      <c r="J157" s="823"/>
      <c r="K157" s="823"/>
      <c r="L157" s="823"/>
      <c r="M157" s="823"/>
      <c r="N157" s="823"/>
      <c r="O157" s="823"/>
      <c r="P157" s="823"/>
      <c r="Q157" s="823"/>
      <c r="R157" s="823"/>
      <c r="S157" s="823"/>
      <c r="T157" s="823"/>
      <c r="U157" s="823"/>
      <c r="V157" s="823"/>
      <c r="W157" s="823"/>
      <c r="X157" s="823"/>
      <c r="Y157" s="823"/>
      <c r="Z157" s="823"/>
      <c r="AA157" s="823"/>
      <c r="AB157" s="823"/>
      <c r="AC157" s="823"/>
      <c r="AD157" s="823"/>
      <c r="AE157" s="823"/>
      <c r="AF157" s="823"/>
      <c r="AG157" s="823"/>
      <c r="AH157" s="823"/>
      <c r="AI157" s="823"/>
      <c r="AJ157" s="823"/>
      <c r="AK157" s="823"/>
      <c r="AL157" s="823"/>
      <c r="AM157" s="823"/>
    </row>
    <row r="158" spans="1:39" x14ac:dyDescent="0.25">
      <c r="B158" s="3">
        <f>MAX($B$4:B157)+1</f>
        <v>146</v>
      </c>
      <c r="E158" s="823"/>
      <c r="F158" s="823"/>
      <c r="G158" s="823"/>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3"/>
      <c r="AL158" s="823"/>
      <c r="AM158" s="823"/>
    </row>
    <row r="159" spans="1:39" x14ac:dyDescent="0.25">
      <c r="B159" s="3">
        <f>MAX($B$4:B158)+1</f>
        <v>147</v>
      </c>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c r="AD159" s="823"/>
      <c r="AE159" s="823"/>
      <c r="AF159" s="823"/>
      <c r="AG159" s="823"/>
      <c r="AH159" s="823"/>
      <c r="AI159" s="823"/>
      <c r="AJ159" s="823"/>
      <c r="AK159" s="823"/>
      <c r="AL159" s="823"/>
      <c r="AM159" s="823"/>
    </row>
    <row r="160" spans="1:39" x14ac:dyDescent="0.25">
      <c r="B160" s="3">
        <f>MAX($B$4:B159)+1</f>
        <v>148</v>
      </c>
      <c r="E160" s="823"/>
      <c r="F160" s="823"/>
      <c r="G160" s="823"/>
      <c r="H160" s="823"/>
      <c r="I160" s="823"/>
      <c r="J160" s="823"/>
      <c r="K160" s="823"/>
      <c r="L160" s="823"/>
      <c r="M160" s="823"/>
      <c r="N160" s="823"/>
      <c r="O160" s="823"/>
      <c r="P160" s="823"/>
      <c r="Q160" s="823"/>
      <c r="R160" s="823"/>
      <c r="S160" s="823"/>
      <c r="T160" s="823"/>
      <c r="U160" s="823"/>
      <c r="V160" s="823"/>
      <c r="W160" s="823"/>
      <c r="X160" s="823"/>
      <c r="Y160" s="823"/>
      <c r="Z160" s="823"/>
      <c r="AA160" s="823"/>
      <c r="AB160" s="823"/>
      <c r="AC160" s="823"/>
      <c r="AD160" s="823"/>
      <c r="AE160" s="823"/>
      <c r="AF160" s="823"/>
      <c r="AG160" s="823"/>
      <c r="AH160" s="823"/>
      <c r="AI160" s="823"/>
      <c r="AJ160" s="823"/>
      <c r="AK160" s="823"/>
      <c r="AL160" s="823"/>
      <c r="AM160" s="823"/>
    </row>
    <row r="161" spans="2:39" x14ac:dyDescent="0.25">
      <c r="B161" s="3">
        <f>MAX($B$4:B160)+1</f>
        <v>149</v>
      </c>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c r="AD161" s="823"/>
      <c r="AE161" s="823"/>
      <c r="AF161" s="823"/>
      <c r="AG161" s="823"/>
      <c r="AH161" s="823"/>
      <c r="AI161" s="823"/>
      <c r="AJ161" s="823"/>
      <c r="AK161" s="823"/>
      <c r="AL161" s="823"/>
      <c r="AM161" s="823"/>
    </row>
    <row r="162" spans="2:39" x14ac:dyDescent="0.25">
      <c r="B162" s="3">
        <f>MAX($B$4:B161)+1</f>
        <v>150</v>
      </c>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row>
    <row r="163" spans="2:39" x14ac:dyDescent="0.25">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row>
    <row r="164" spans="2:39" x14ac:dyDescent="0.25">
      <c r="E164" s="823"/>
      <c r="F164" s="823"/>
      <c r="G164" s="823"/>
      <c r="H164" s="823"/>
      <c r="I164" s="823"/>
      <c r="J164" s="823"/>
      <c r="K164" s="823"/>
      <c r="L164" s="823"/>
      <c r="M164" s="823"/>
      <c r="N164" s="823"/>
      <c r="O164" s="823"/>
      <c r="P164" s="823"/>
      <c r="Q164" s="823"/>
      <c r="R164" s="823"/>
      <c r="S164" s="823"/>
      <c r="T164" s="823"/>
      <c r="U164" s="823"/>
      <c r="V164" s="823"/>
      <c r="W164" s="823"/>
      <c r="X164" s="823"/>
      <c r="Y164" s="823"/>
      <c r="Z164" s="823"/>
      <c r="AA164" s="823"/>
      <c r="AB164" s="823"/>
      <c r="AC164" s="823"/>
      <c r="AD164" s="823"/>
      <c r="AE164" s="823"/>
      <c r="AF164" s="823"/>
      <c r="AG164" s="823"/>
      <c r="AH164" s="823"/>
      <c r="AI164" s="823"/>
      <c r="AJ164" s="823"/>
      <c r="AK164" s="823"/>
      <c r="AL164" s="823"/>
      <c r="AM164" s="823"/>
    </row>
    <row r="165" spans="2:39" x14ac:dyDescent="0.25">
      <c r="E165" s="823"/>
      <c r="F165" s="823"/>
      <c r="G165" s="823"/>
      <c r="H165" s="823"/>
      <c r="I165" s="823"/>
      <c r="J165" s="823"/>
      <c r="K165" s="823"/>
      <c r="L165" s="823"/>
      <c r="M165" s="823"/>
      <c r="N165" s="823"/>
      <c r="O165" s="823"/>
      <c r="P165" s="823"/>
      <c r="Q165" s="823"/>
      <c r="R165" s="823"/>
      <c r="S165" s="823"/>
      <c r="T165" s="823"/>
      <c r="U165" s="823"/>
      <c r="V165" s="823"/>
      <c r="W165" s="823"/>
      <c r="X165" s="823"/>
      <c r="Y165" s="823"/>
      <c r="Z165" s="823"/>
      <c r="AA165" s="823"/>
      <c r="AB165" s="823"/>
      <c r="AC165" s="823"/>
      <c r="AD165" s="823"/>
      <c r="AE165" s="823"/>
      <c r="AF165" s="823"/>
      <c r="AG165" s="823"/>
      <c r="AH165" s="823"/>
      <c r="AI165" s="823"/>
      <c r="AJ165" s="823"/>
      <c r="AK165" s="823"/>
      <c r="AL165" s="823"/>
      <c r="AM165" s="823"/>
    </row>
  </sheetData>
  <printOptions horizontalCentered="1"/>
  <pageMargins left="0.51181102362204722" right="0.31496062992125984" top="0.55118110236220474" bottom="0.35433070866141736" header="0.11811023622047245" footer="0.11811023622047245"/>
  <pageSetup paperSize="9" scale="20" fitToHeight="0" orientation="portrait" r:id="rId1"/>
  <headerFooter>
    <oddFooter>&amp;L&amp;D &amp;T&amp;CPage &amp;P of &amp;N&amp;R&amp;F &amp;A</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9" tint="0.59999389629810485"/>
  </sheetPr>
  <dimension ref="A1:M44"/>
  <sheetViews>
    <sheetView zoomScaleNormal="100" workbookViewId="0">
      <pane xSplit="12" ySplit="8" topLeftCell="M9" activePane="bottomRight" state="frozen"/>
      <selection activeCell="G5" sqref="G4:G5"/>
      <selection pane="topRight" activeCell="G5" sqref="G4:G5"/>
      <selection pane="bottomLeft" activeCell="G5" sqref="G4:G5"/>
      <selection pane="bottomRight" activeCell="G5" sqref="G4:G5"/>
    </sheetView>
  </sheetViews>
  <sheetFormatPr defaultRowHeight="12.75" outlineLevelCol="1" x14ac:dyDescent="0.2"/>
  <cols>
    <col min="1" max="1" width="8.140625" style="34" customWidth="1"/>
    <col min="2" max="2" width="7.5703125" style="34" bestFit="1" customWidth="1"/>
    <col min="3" max="3" width="46.7109375" style="34" customWidth="1"/>
    <col min="4" max="4" width="8.28515625" style="34" customWidth="1" outlineLevel="1"/>
    <col min="5" max="5" width="10" style="34" customWidth="1" outlineLevel="1"/>
    <col min="6" max="6" width="10.42578125" style="34" customWidth="1" outlineLevel="1"/>
    <col min="7" max="7" width="12" style="34" customWidth="1" outlineLevel="1"/>
    <col min="8" max="8" width="10.42578125" style="34" customWidth="1" outlineLevel="1"/>
    <col min="9" max="9" width="10.7109375" style="34" customWidth="1" outlineLevel="1"/>
    <col min="10" max="10" width="11.7109375" style="34" customWidth="1" outlineLevel="1"/>
    <col min="11" max="11" width="16" style="34" customWidth="1" outlineLevel="1"/>
    <col min="12" max="12" width="9.85546875" style="52" customWidth="1"/>
    <col min="13" max="252" width="9.140625" style="34"/>
    <col min="253" max="253" width="6.42578125" style="34" customWidth="1"/>
    <col min="254" max="254" width="37.7109375" style="34" customWidth="1"/>
    <col min="255" max="263" width="16" style="34" customWidth="1"/>
    <col min="264" max="508" width="9.140625" style="34"/>
    <col min="509" max="509" width="6.42578125" style="34" customWidth="1"/>
    <col min="510" max="510" width="37.7109375" style="34" customWidth="1"/>
    <col min="511" max="519" width="16" style="34" customWidth="1"/>
    <col min="520" max="764" width="9.140625" style="34"/>
    <col min="765" max="765" width="6.42578125" style="34" customWidth="1"/>
    <col min="766" max="766" width="37.7109375" style="34" customWidth="1"/>
    <col min="767" max="775" width="16" style="34" customWidth="1"/>
    <col min="776" max="1020" width="9.140625" style="34"/>
    <col min="1021" max="1021" width="6.42578125" style="34" customWidth="1"/>
    <col min="1022" max="1022" width="37.7109375" style="34" customWidth="1"/>
    <col min="1023" max="1031" width="16" style="34" customWidth="1"/>
    <col min="1032" max="1276" width="9.140625" style="34"/>
    <col min="1277" max="1277" width="6.42578125" style="34" customWidth="1"/>
    <col min="1278" max="1278" width="37.7109375" style="34" customWidth="1"/>
    <col min="1279" max="1287" width="16" style="34" customWidth="1"/>
    <col min="1288" max="1532" width="9.140625" style="34"/>
    <col min="1533" max="1533" width="6.42578125" style="34" customWidth="1"/>
    <col min="1534" max="1534" width="37.7109375" style="34" customWidth="1"/>
    <col min="1535" max="1543" width="16" style="34" customWidth="1"/>
    <col min="1544" max="1788" width="9.140625" style="34"/>
    <col min="1789" max="1789" width="6.42578125" style="34" customWidth="1"/>
    <col min="1790" max="1790" width="37.7109375" style="34" customWidth="1"/>
    <col min="1791" max="1799" width="16" style="34" customWidth="1"/>
    <col min="1800" max="2044" width="9.140625" style="34"/>
    <col min="2045" max="2045" width="6.42578125" style="34" customWidth="1"/>
    <col min="2046" max="2046" width="37.7109375" style="34" customWidth="1"/>
    <col min="2047" max="2055" width="16" style="34" customWidth="1"/>
    <col min="2056" max="2300" width="9.140625" style="34"/>
    <col min="2301" max="2301" width="6.42578125" style="34" customWidth="1"/>
    <col min="2302" max="2302" width="37.7109375" style="34" customWidth="1"/>
    <col min="2303" max="2311" width="16" style="34" customWidth="1"/>
    <col min="2312" max="2556" width="9.140625" style="34"/>
    <col min="2557" max="2557" width="6.42578125" style="34" customWidth="1"/>
    <col min="2558" max="2558" width="37.7109375" style="34" customWidth="1"/>
    <col min="2559" max="2567" width="16" style="34" customWidth="1"/>
    <col min="2568" max="2812" width="9.140625" style="34"/>
    <col min="2813" max="2813" width="6.42578125" style="34" customWidth="1"/>
    <col min="2814" max="2814" width="37.7109375" style="34" customWidth="1"/>
    <col min="2815" max="2823" width="16" style="34" customWidth="1"/>
    <col min="2824" max="3068" width="9.140625" style="34"/>
    <col min="3069" max="3069" width="6.42578125" style="34" customWidth="1"/>
    <col min="3070" max="3070" width="37.7109375" style="34" customWidth="1"/>
    <col min="3071" max="3079" width="16" style="34" customWidth="1"/>
    <col min="3080" max="3324" width="9.140625" style="34"/>
    <col min="3325" max="3325" width="6.42578125" style="34" customWidth="1"/>
    <col min="3326" max="3326" width="37.7109375" style="34" customWidth="1"/>
    <col min="3327" max="3335" width="16" style="34" customWidth="1"/>
    <col min="3336" max="3580" width="9.140625" style="34"/>
    <col min="3581" max="3581" width="6.42578125" style="34" customWidth="1"/>
    <col min="3582" max="3582" width="37.7109375" style="34" customWidth="1"/>
    <col min="3583" max="3591" width="16" style="34" customWidth="1"/>
    <col min="3592" max="3836" width="9.140625" style="34"/>
    <col min="3837" max="3837" width="6.42578125" style="34" customWidth="1"/>
    <col min="3838" max="3838" width="37.7109375" style="34" customWidth="1"/>
    <col min="3839" max="3847" width="16" style="34" customWidth="1"/>
    <col min="3848" max="4092" width="9.140625" style="34"/>
    <col min="4093" max="4093" width="6.42578125" style="34" customWidth="1"/>
    <col min="4094" max="4094" width="37.7109375" style="34" customWidth="1"/>
    <col min="4095" max="4103" width="16" style="34" customWidth="1"/>
    <col min="4104" max="4348" width="9.140625" style="34"/>
    <col min="4349" max="4349" width="6.42578125" style="34" customWidth="1"/>
    <col min="4350" max="4350" width="37.7109375" style="34" customWidth="1"/>
    <col min="4351" max="4359" width="16" style="34" customWidth="1"/>
    <col min="4360" max="4604" width="9.140625" style="34"/>
    <col min="4605" max="4605" width="6.42578125" style="34" customWidth="1"/>
    <col min="4606" max="4606" width="37.7109375" style="34" customWidth="1"/>
    <col min="4607" max="4615" width="16" style="34" customWidth="1"/>
    <col min="4616" max="4860" width="9.140625" style="34"/>
    <col min="4861" max="4861" width="6.42578125" style="34" customWidth="1"/>
    <col min="4862" max="4862" width="37.7109375" style="34" customWidth="1"/>
    <col min="4863" max="4871" width="16" style="34" customWidth="1"/>
    <col min="4872" max="5116" width="9.140625" style="34"/>
    <col min="5117" max="5117" width="6.42578125" style="34" customWidth="1"/>
    <col min="5118" max="5118" width="37.7109375" style="34" customWidth="1"/>
    <col min="5119" max="5127" width="16" style="34" customWidth="1"/>
    <col min="5128" max="5372" width="9.140625" style="34"/>
    <col min="5373" max="5373" width="6.42578125" style="34" customWidth="1"/>
    <col min="5374" max="5374" width="37.7109375" style="34" customWidth="1"/>
    <col min="5375" max="5383" width="16" style="34" customWidth="1"/>
    <col min="5384" max="5628" width="9.140625" style="34"/>
    <col min="5629" max="5629" width="6.42578125" style="34" customWidth="1"/>
    <col min="5630" max="5630" width="37.7109375" style="34" customWidth="1"/>
    <col min="5631" max="5639" width="16" style="34" customWidth="1"/>
    <col min="5640" max="5884" width="9.140625" style="34"/>
    <col min="5885" max="5885" width="6.42578125" style="34" customWidth="1"/>
    <col min="5886" max="5886" width="37.7109375" style="34" customWidth="1"/>
    <col min="5887" max="5895" width="16" style="34" customWidth="1"/>
    <col min="5896" max="6140" width="9.140625" style="34"/>
    <col min="6141" max="6141" width="6.42578125" style="34" customWidth="1"/>
    <col min="6142" max="6142" width="37.7109375" style="34" customWidth="1"/>
    <col min="6143" max="6151" width="16" style="34" customWidth="1"/>
    <col min="6152" max="6396" width="9.140625" style="34"/>
    <col min="6397" max="6397" width="6.42578125" style="34" customWidth="1"/>
    <col min="6398" max="6398" width="37.7109375" style="34" customWidth="1"/>
    <col min="6399" max="6407" width="16" style="34" customWidth="1"/>
    <col min="6408" max="6652" width="9.140625" style="34"/>
    <col min="6653" max="6653" width="6.42578125" style="34" customWidth="1"/>
    <col min="6654" max="6654" width="37.7109375" style="34" customWidth="1"/>
    <col min="6655" max="6663" width="16" style="34" customWidth="1"/>
    <col min="6664" max="6908" width="9.140625" style="34"/>
    <col min="6909" max="6909" width="6.42578125" style="34" customWidth="1"/>
    <col min="6910" max="6910" width="37.7109375" style="34" customWidth="1"/>
    <col min="6911" max="6919" width="16" style="34" customWidth="1"/>
    <col min="6920" max="7164" width="9.140625" style="34"/>
    <col min="7165" max="7165" width="6.42578125" style="34" customWidth="1"/>
    <col min="7166" max="7166" width="37.7109375" style="34" customWidth="1"/>
    <col min="7167" max="7175" width="16" style="34" customWidth="1"/>
    <col min="7176" max="7420" width="9.140625" style="34"/>
    <col min="7421" max="7421" width="6.42578125" style="34" customWidth="1"/>
    <col min="7422" max="7422" width="37.7109375" style="34" customWidth="1"/>
    <col min="7423" max="7431" width="16" style="34" customWidth="1"/>
    <col min="7432" max="7676" width="9.140625" style="34"/>
    <col min="7677" max="7677" width="6.42578125" style="34" customWidth="1"/>
    <col min="7678" max="7678" width="37.7109375" style="34" customWidth="1"/>
    <col min="7679" max="7687" width="16" style="34" customWidth="1"/>
    <col min="7688" max="7932" width="9.140625" style="34"/>
    <col min="7933" max="7933" width="6.42578125" style="34" customWidth="1"/>
    <col min="7934" max="7934" width="37.7109375" style="34" customWidth="1"/>
    <col min="7935" max="7943" width="16" style="34" customWidth="1"/>
    <col min="7944" max="8188" width="9.140625" style="34"/>
    <col min="8189" max="8189" width="6.42578125" style="34" customWidth="1"/>
    <col min="8190" max="8190" width="37.7109375" style="34" customWidth="1"/>
    <col min="8191" max="8199" width="16" style="34" customWidth="1"/>
    <col min="8200" max="8444" width="9.140625" style="34"/>
    <col min="8445" max="8445" width="6.42578125" style="34" customWidth="1"/>
    <col min="8446" max="8446" width="37.7109375" style="34" customWidth="1"/>
    <col min="8447" max="8455" width="16" style="34" customWidth="1"/>
    <col min="8456" max="8700" width="9.140625" style="34"/>
    <col min="8701" max="8701" width="6.42578125" style="34" customWidth="1"/>
    <col min="8702" max="8702" width="37.7109375" style="34" customWidth="1"/>
    <col min="8703" max="8711" width="16" style="34" customWidth="1"/>
    <col min="8712" max="8956" width="9.140625" style="34"/>
    <col min="8957" max="8957" width="6.42578125" style="34" customWidth="1"/>
    <col min="8958" max="8958" width="37.7109375" style="34" customWidth="1"/>
    <col min="8959" max="8967" width="16" style="34" customWidth="1"/>
    <col min="8968" max="9212" width="9.140625" style="34"/>
    <col min="9213" max="9213" width="6.42578125" style="34" customWidth="1"/>
    <col min="9214" max="9214" width="37.7109375" style="34" customWidth="1"/>
    <col min="9215" max="9223" width="16" style="34" customWidth="1"/>
    <col min="9224" max="9468" width="9.140625" style="34"/>
    <col min="9469" max="9469" width="6.42578125" style="34" customWidth="1"/>
    <col min="9470" max="9470" width="37.7109375" style="34" customWidth="1"/>
    <col min="9471" max="9479" width="16" style="34" customWidth="1"/>
    <col min="9480" max="9724" width="9.140625" style="34"/>
    <col min="9725" max="9725" width="6.42578125" style="34" customWidth="1"/>
    <col min="9726" max="9726" width="37.7109375" style="34" customWidth="1"/>
    <col min="9727" max="9735" width="16" style="34" customWidth="1"/>
    <col min="9736" max="9980" width="9.140625" style="34"/>
    <col min="9981" max="9981" width="6.42578125" style="34" customWidth="1"/>
    <col min="9982" max="9982" width="37.7109375" style="34" customWidth="1"/>
    <col min="9983" max="9991" width="16" style="34" customWidth="1"/>
    <col min="9992" max="10236" width="9.140625" style="34"/>
    <col min="10237" max="10237" width="6.42578125" style="34" customWidth="1"/>
    <col min="10238" max="10238" width="37.7109375" style="34" customWidth="1"/>
    <col min="10239" max="10247" width="16" style="34" customWidth="1"/>
    <col min="10248" max="10492" width="9.140625" style="34"/>
    <col min="10493" max="10493" width="6.42578125" style="34" customWidth="1"/>
    <col min="10494" max="10494" width="37.7109375" style="34" customWidth="1"/>
    <col min="10495" max="10503" width="16" style="34" customWidth="1"/>
    <col min="10504" max="10748" width="9.140625" style="34"/>
    <col min="10749" max="10749" width="6.42578125" style="34" customWidth="1"/>
    <col min="10750" max="10750" width="37.7109375" style="34" customWidth="1"/>
    <col min="10751" max="10759" width="16" style="34" customWidth="1"/>
    <col min="10760" max="11004" width="9.140625" style="34"/>
    <col min="11005" max="11005" width="6.42578125" style="34" customWidth="1"/>
    <col min="11006" max="11006" width="37.7109375" style="34" customWidth="1"/>
    <col min="11007" max="11015" width="16" style="34" customWidth="1"/>
    <col min="11016" max="11260" width="9.140625" style="34"/>
    <col min="11261" max="11261" width="6.42578125" style="34" customWidth="1"/>
    <col min="11262" max="11262" width="37.7109375" style="34" customWidth="1"/>
    <col min="11263" max="11271" width="16" style="34" customWidth="1"/>
    <col min="11272" max="11516" width="9.140625" style="34"/>
    <col min="11517" max="11517" width="6.42578125" style="34" customWidth="1"/>
    <col min="11518" max="11518" width="37.7109375" style="34" customWidth="1"/>
    <col min="11519" max="11527" width="16" style="34" customWidth="1"/>
    <col min="11528" max="11772" width="9.140625" style="34"/>
    <col min="11773" max="11773" width="6.42578125" style="34" customWidth="1"/>
    <col min="11774" max="11774" width="37.7109375" style="34" customWidth="1"/>
    <col min="11775" max="11783" width="16" style="34" customWidth="1"/>
    <col min="11784" max="12028" width="9.140625" style="34"/>
    <col min="12029" max="12029" width="6.42578125" style="34" customWidth="1"/>
    <col min="12030" max="12030" width="37.7109375" style="34" customWidth="1"/>
    <col min="12031" max="12039" width="16" style="34" customWidth="1"/>
    <col min="12040" max="12284" width="9.140625" style="34"/>
    <col min="12285" max="12285" width="6.42578125" style="34" customWidth="1"/>
    <col min="12286" max="12286" width="37.7109375" style="34" customWidth="1"/>
    <col min="12287" max="12295" width="16" style="34" customWidth="1"/>
    <col min="12296" max="12540" width="9.140625" style="34"/>
    <col min="12541" max="12541" width="6.42578125" style="34" customWidth="1"/>
    <col min="12542" max="12542" width="37.7109375" style="34" customWidth="1"/>
    <col min="12543" max="12551" width="16" style="34" customWidth="1"/>
    <col min="12552" max="12796" width="9.140625" style="34"/>
    <col min="12797" max="12797" width="6.42578125" style="34" customWidth="1"/>
    <col min="12798" max="12798" width="37.7109375" style="34" customWidth="1"/>
    <col min="12799" max="12807" width="16" style="34" customWidth="1"/>
    <col min="12808" max="13052" width="9.140625" style="34"/>
    <col min="13053" max="13053" width="6.42578125" style="34" customWidth="1"/>
    <col min="13054" max="13054" width="37.7109375" style="34" customWidth="1"/>
    <col min="13055" max="13063" width="16" style="34" customWidth="1"/>
    <col min="13064" max="13308" width="9.140625" style="34"/>
    <col min="13309" max="13309" width="6.42578125" style="34" customWidth="1"/>
    <col min="13310" max="13310" width="37.7109375" style="34" customWidth="1"/>
    <col min="13311" max="13319" width="16" style="34" customWidth="1"/>
    <col min="13320" max="13564" width="9.140625" style="34"/>
    <col min="13565" max="13565" width="6.42578125" style="34" customWidth="1"/>
    <col min="13566" max="13566" width="37.7109375" style="34" customWidth="1"/>
    <col min="13567" max="13575" width="16" style="34" customWidth="1"/>
    <col min="13576" max="13820" width="9.140625" style="34"/>
    <col min="13821" max="13821" width="6.42578125" style="34" customWidth="1"/>
    <col min="13822" max="13822" width="37.7109375" style="34" customWidth="1"/>
    <col min="13823" max="13831" width="16" style="34" customWidth="1"/>
    <col min="13832" max="14076" width="9.140625" style="34"/>
    <col min="14077" max="14077" width="6.42578125" style="34" customWidth="1"/>
    <col min="14078" max="14078" width="37.7109375" style="34" customWidth="1"/>
    <col min="14079" max="14087" width="16" style="34" customWidth="1"/>
    <col min="14088" max="14332" width="9.140625" style="34"/>
    <col min="14333" max="14333" width="6.42578125" style="34" customWidth="1"/>
    <col min="14334" max="14334" width="37.7109375" style="34" customWidth="1"/>
    <col min="14335" max="14343" width="16" style="34" customWidth="1"/>
    <col min="14344" max="14588" width="9.140625" style="34"/>
    <col min="14589" max="14589" width="6.42578125" style="34" customWidth="1"/>
    <col min="14590" max="14590" width="37.7109375" style="34" customWidth="1"/>
    <col min="14591" max="14599" width="16" style="34" customWidth="1"/>
    <col min="14600" max="14844" width="9.140625" style="34"/>
    <col min="14845" max="14845" width="6.42578125" style="34" customWidth="1"/>
    <col min="14846" max="14846" width="37.7109375" style="34" customWidth="1"/>
    <col min="14847" max="14855" width="16" style="34" customWidth="1"/>
    <col min="14856" max="15100" width="9.140625" style="34"/>
    <col min="15101" max="15101" width="6.42578125" style="34" customWidth="1"/>
    <col min="15102" max="15102" width="37.7109375" style="34" customWidth="1"/>
    <col min="15103" max="15111" width="16" style="34" customWidth="1"/>
    <col min="15112" max="15356" width="9.140625" style="34"/>
    <col min="15357" max="15357" width="6.42578125" style="34" customWidth="1"/>
    <col min="15358" max="15358" width="37.7109375" style="34" customWidth="1"/>
    <col min="15359" max="15367" width="16" style="34" customWidth="1"/>
    <col min="15368" max="15612" width="9.140625" style="34"/>
    <col min="15613" max="15613" width="6.42578125" style="34" customWidth="1"/>
    <col min="15614" max="15614" width="37.7109375" style="34" customWidth="1"/>
    <col min="15615" max="15623" width="16" style="34" customWidth="1"/>
    <col min="15624" max="15868" width="9.140625" style="34"/>
    <col min="15869" max="15869" width="6.42578125" style="34" customWidth="1"/>
    <col min="15870" max="15870" width="37.7109375" style="34" customWidth="1"/>
    <col min="15871" max="15879" width="16" style="34" customWidth="1"/>
    <col min="15880" max="16124" width="9.140625" style="34"/>
    <col min="16125" max="16125" width="6.42578125" style="34" customWidth="1"/>
    <col min="16126" max="16126" width="37.7109375" style="34" customWidth="1"/>
    <col min="16127" max="16135" width="16" style="34" customWidth="1"/>
    <col min="16136" max="16384" width="9.140625" style="34"/>
  </cols>
  <sheetData>
    <row r="1" spans="1:12" x14ac:dyDescent="0.2">
      <c r="C1" s="35" t="str">
        <f>Update!$B$6</f>
        <v>Department of Health</v>
      </c>
    </row>
    <row r="2" spans="1:12" x14ac:dyDescent="0.2">
      <c r="C2" s="35" t="str">
        <f>Update!$B$10</f>
        <v>Notes to the financial statements</v>
      </c>
    </row>
    <row r="3" spans="1:12" x14ac:dyDescent="0.2">
      <c r="C3" s="332" t="s">
        <v>1040</v>
      </c>
    </row>
    <row r="4" spans="1:12" x14ac:dyDescent="0.2">
      <c r="D4" s="34" t="s">
        <v>281</v>
      </c>
      <c r="E4" s="34" t="s">
        <v>281</v>
      </c>
      <c r="F4" s="34" t="s">
        <v>281</v>
      </c>
      <c r="G4" s="34" t="s">
        <v>281</v>
      </c>
      <c r="H4" s="34" t="s">
        <v>281</v>
      </c>
      <c r="I4" s="34" t="s">
        <v>281</v>
      </c>
      <c r="J4" s="34" t="s">
        <v>281</v>
      </c>
      <c r="L4" s="52" t="s">
        <v>281</v>
      </c>
    </row>
    <row r="5" spans="1:12" x14ac:dyDescent="0.2">
      <c r="B5" s="229"/>
      <c r="C5" s="37" t="s">
        <v>1039</v>
      </c>
    </row>
    <row r="6" spans="1:12" x14ac:dyDescent="0.2">
      <c r="B6" s="229"/>
      <c r="C6" s="37"/>
    </row>
    <row r="7" spans="1:12" s="41" customFormat="1" ht="51" x14ac:dyDescent="0.2">
      <c r="D7" s="776" t="s">
        <v>597</v>
      </c>
      <c r="E7" s="776" t="s">
        <v>196</v>
      </c>
      <c r="F7" s="776" t="s">
        <v>200</v>
      </c>
      <c r="G7" s="776" t="s">
        <v>201</v>
      </c>
      <c r="H7" s="776" t="s">
        <v>202</v>
      </c>
      <c r="I7" s="776" t="s">
        <v>203</v>
      </c>
      <c r="J7" s="776" t="s">
        <v>204</v>
      </c>
      <c r="K7" s="776" t="s">
        <v>455</v>
      </c>
      <c r="L7" s="776" t="s">
        <v>146</v>
      </c>
    </row>
    <row r="8" spans="1:12" x14ac:dyDescent="0.2">
      <c r="D8" s="57" t="s">
        <v>62</v>
      </c>
      <c r="E8" s="57" t="s">
        <v>62</v>
      </c>
      <c r="F8" s="57" t="s">
        <v>62</v>
      </c>
      <c r="G8" s="57" t="s">
        <v>62</v>
      </c>
      <c r="H8" s="57" t="s">
        <v>62</v>
      </c>
      <c r="I8" s="57" t="s">
        <v>62</v>
      </c>
      <c r="J8" s="57" t="s">
        <v>62</v>
      </c>
      <c r="K8" s="57" t="s">
        <v>62</v>
      </c>
      <c r="L8" s="57" t="s">
        <v>62</v>
      </c>
    </row>
    <row r="9" spans="1:12" x14ac:dyDescent="0.2">
      <c r="A9" s="34" t="s">
        <v>461</v>
      </c>
      <c r="C9" s="37" t="s">
        <v>183</v>
      </c>
    </row>
    <row r="10" spans="1:12" x14ac:dyDescent="0.2">
      <c r="A10" s="34">
        <f>'Note 5'!$A$5</f>
        <v>5</v>
      </c>
      <c r="B10" s="37" t="s">
        <v>1037</v>
      </c>
      <c r="C10" s="41" t="s">
        <v>192</v>
      </c>
      <c r="D10" s="207">
        <f>'Note 5'!C18</f>
        <v>0</v>
      </c>
      <c r="E10" s="207">
        <f>'Note 5'!D18</f>
        <v>0</v>
      </c>
      <c r="F10" s="207">
        <f>'Note 5'!E18</f>
        <v>0</v>
      </c>
      <c r="G10" s="207">
        <f>'Note 5'!F18</f>
        <v>0</v>
      </c>
      <c r="H10" s="207">
        <f>'Note 5'!G18</f>
        <v>0</v>
      </c>
      <c r="I10" s="207">
        <f>'Note 5'!H18</f>
        <v>0</v>
      </c>
      <c r="J10" s="207">
        <f>'Note 5'!I18</f>
        <v>0</v>
      </c>
      <c r="K10" s="207">
        <f>'Note 5'!J18</f>
        <v>0</v>
      </c>
      <c r="L10" s="225">
        <f>SUM(D10:K10)</f>
        <v>0</v>
      </c>
    </row>
    <row r="11" spans="1:12" x14ac:dyDescent="0.2">
      <c r="A11" s="34">
        <f>'Note 6'!$A$5</f>
        <v>6</v>
      </c>
      <c r="B11" s="37" t="s">
        <v>1037</v>
      </c>
      <c r="C11" s="41" t="s">
        <v>192</v>
      </c>
      <c r="D11" s="207">
        <f>'Note 6'!C21</f>
        <v>0</v>
      </c>
      <c r="E11" s="207">
        <f>'Note 6'!D21</f>
        <v>0</v>
      </c>
      <c r="F11" s="207">
        <f>'Note 6'!E21</f>
        <v>0</v>
      </c>
      <c r="G11" s="207">
        <f>'Note 6'!F21</f>
        <v>0</v>
      </c>
      <c r="H11" s="207">
        <f>'Note 6'!G21</f>
        <v>0</v>
      </c>
      <c r="I11" s="207">
        <f>'Note 6'!H21</f>
        <v>0</v>
      </c>
      <c r="J11" s="207">
        <f>'Note 6'!I21</f>
        <v>0</v>
      </c>
      <c r="K11" s="207">
        <f>'Note 6'!J21</f>
        <v>0</v>
      </c>
      <c r="L11" s="225">
        <f>SUM(D11:K11)</f>
        <v>0</v>
      </c>
    </row>
    <row r="12" spans="1:12" x14ac:dyDescent="0.2">
      <c r="A12" s="34">
        <f>$A$10</f>
        <v>5</v>
      </c>
      <c r="B12" s="37" t="s">
        <v>1038</v>
      </c>
      <c r="C12" s="41" t="s">
        <v>192</v>
      </c>
      <c r="D12" s="207">
        <f>'Note 5'!C33</f>
        <v>0</v>
      </c>
      <c r="E12" s="207">
        <f>'Note 5'!D33</f>
        <v>0</v>
      </c>
      <c r="F12" s="207">
        <f>'Note 5'!E33</f>
        <v>0</v>
      </c>
      <c r="G12" s="207">
        <f>'Note 5'!F33</f>
        <v>0</v>
      </c>
      <c r="H12" s="207">
        <f>'Note 5'!G33</f>
        <v>0</v>
      </c>
      <c r="I12" s="207">
        <f>'Note 5'!H33</f>
        <v>0</v>
      </c>
      <c r="J12" s="207">
        <f>'Note 5'!I33</f>
        <v>0</v>
      </c>
      <c r="K12" s="207">
        <f>'Note 5'!J33</f>
        <v>0</v>
      </c>
      <c r="L12" s="225">
        <f>SUM(D12:K12)</f>
        <v>0</v>
      </c>
    </row>
    <row r="13" spans="1:12" x14ac:dyDescent="0.2">
      <c r="A13" s="34">
        <f>$A$11</f>
        <v>6</v>
      </c>
      <c r="B13" s="37" t="s">
        <v>1038</v>
      </c>
      <c r="C13" s="41" t="s">
        <v>192</v>
      </c>
      <c r="D13" s="207">
        <f>'Note 6'!C36</f>
        <v>0</v>
      </c>
      <c r="E13" s="207">
        <f>'Note 6'!D36</f>
        <v>0</v>
      </c>
      <c r="F13" s="207">
        <f>'Note 6'!E36</f>
        <v>0</v>
      </c>
      <c r="G13" s="207">
        <f>'Note 6'!F36</f>
        <v>0</v>
      </c>
      <c r="H13" s="207">
        <f>'Note 6'!G36</f>
        <v>0</v>
      </c>
      <c r="I13" s="207">
        <f>'Note 6'!H36</f>
        <v>0</v>
      </c>
      <c r="J13" s="207">
        <f>'Note 6'!I36</f>
        <v>0</v>
      </c>
      <c r="K13" s="207">
        <f>'Note 6'!J36</f>
        <v>0</v>
      </c>
      <c r="L13" s="225">
        <f>SUM(D13:K13)</f>
        <v>0</v>
      </c>
    </row>
    <row r="14" spans="1:12" x14ac:dyDescent="0.2">
      <c r="B14" s="37"/>
      <c r="C14" s="41"/>
      <c r="D14" s="334">
        <f>-D10-D11+D12+D13</f>
        <v>0</v>
      </c>
      <c r="E14" s="334">
        <f t="shared" ref="E14:L14" si="0">-E10-E11+E12+E13</f>
        <v>0</v>
      </c>
      <c r="F14" s="334">
        <f t="shared" si="0"/>
        <v>0</v>
      </c>
      <c r="G14" s="334">
        <f t="shared" si="0"/>
        <v>0</v>
      </c>
      <c r="H14" s="334">
        <f t="shared" si="0"/>
        <v>0</v>
      </c>
      <c r="I14" s="334">
        <f t="shared" si="0"/>
        <v>0</v>
      </c>
      <c r="J14" s="334">
        <f t="shared" si="0"/>
        <v>0</v>
      </c>
      <c r="K14" s="334">
        <f t="shared" si="0"/>
        <v>0</v>
      </c>
      <c r="L14" s="334">
        <f t="shared" si="0"/>
        <v>0</v>
      </c>
    </row>
    <row r="15" spans="1:12" x14ac:dyDescent="0.2">
      <c r="B15" s="37"/>
      <c r="C15" s="41"/>
      <c r="D15" s="333"/>
      <c r="E15" s="333"/>
      <c r="F15" s="333"/>
      <c r="G15" s="333"/>
      <c r="H15" s="333"/>
      <c r="I15" s="333"/>
      <c r="J15" s="333"/>
      <c r="K15" s="333"/>
      <c r="L15" s="225"/>
    </row>
    <row r="16" spans="1:12" ht="15" x14ac:dyDescent="0.35">
      <c r="C16" s="358" t="s">
        <v>2687</v>
      </c>
    </row>
    <row r="17" spans="1:13" x14ac:dyDescent="0.2">
      <c r="C17" s="34" t="s">
        <v>215</v>
      </c>
      <c r="L17" s="52">
        <f>-'Note 7'!$E$11</f>
        <v>0</v>
      </c>
    </row>
    <row r="18" spans="1:13" x14ac:dyDescent="0.2">
      <c r="B18" s="37"/>
      <c r="C18" s="41"/>
      <c r="D18" s="333"/>
      <c r="E18" s="333"/>
      <c r="F18" s="333"/>
      <c r="G18" s="333"/>
      <c r="H18" s="333"/>
      <c r="I18" s="333"/>
      <c r="J18" s="333"/>
      <c r="K18" s="333"/>
      <c r="L18" s="231">
        <f>L14+L17</f>
        <v>0</v>
      </c>
      <c r="M18" s="1825"/>
    </row>
    <row r="19" spans="1:13" x14ac:dyDescent="0.2">
      <c r="B19" s="37"/>
      <c r="C19" s="41"/>
      <c r="D19" s="333"/>
      <c r="E19" s="333"/>
      <c r="F19" s="333"/>
      <c r="G19" s="333"/>
      <c r="H19" s="333"/>
      <c r="I19" s="333"/>
      <c r="J19" s="333"/>
      <c r="K19" s="333"/>
      <c r="L19" s="225"/>
    </row>
    <row r="20" spans="1:13" x14ac:dyDescent="0.2">
      <c r="B20" s="37"/>
      <c r="C20" s="41"/>
      <c r="D20" s="333"/>
      <c r="E20" s="333"/>
      <c r="F20" s="333"/>
      <c r="G20" s="333"/>
      <c r="H20" s="333"/>
      <c r="I20" s="333"/>
      <c r="J20" s="333"/>
      <c r="K20" s="333"/>
      <c r="L20" s="225"/>
    </row>
    <row r="21" spans="1:13" x14ac:dyDescent="0.2">
      <c r="B21" s="37"/>
      <c r="C21" s="41"/>
      <c r="D21" s="333"/>
      <c r="E21" s="333"/>
      <c r="F21" s="333"/>
      <c r="G21" s="333"/>
      <c r="H21" s="333"/>
      <c r="I21" s="333"/>
      <c r="J21" s="333"/>
      <c r="K21" s="333"/>
      <c r="L21" s="225"/>
    </row>
    <row r="22" spans="1:13" ht="25.5" x14ac:dyDescent="0.2">
      <c r="A22" s="34">
        <f>$A$10</f>
        <v>5</v>
      </c>
      <c r="B22" s="37" t="s">
        <v>1037</v>
      </c>
      <c r="C22" s="41" t="s">
        <v>193</v>
      </c>
      <c r="D22" s="207">
        <f>'Note 5'!C19</f>
        <v>0</v>
      </c>
      <c r="E22" s="207">
        <f>'Note 5'!D19</f>
        <v>0</v>
      </c>
      <c r="F22" s="207">
        <f>'Note 5'!E19</f>
        <v>0</v>
      </c>
      <c r="G22" s="207">
        <f>'Note 5'!F19</f>
        <v>0</v>
      </c>
      <c r="H22" s="207">
        <f>'Note 5'!G19</f>
        <v>0</v>
      </c>
      <c r="I22" s="207">
        <f>'Note 5'!H19</f>
        <v>0</v>
      </c>
      <c r="J22" s="207">
        <f>'Note 5'!I19</f>
        <v>0</v>
      </c>
      <c r="K22" s="207">
        <f>'Note 5'!J19</f>
        <v>0</v>
      </c>
      <c r="L22" s="225">
        <f>SUM(D22:K22)</f>
        <v>0</v>
      </c>
    </row>
    <row r="23" spans="1:13" x14ac:dyDescent="0.2">
      <c r="B23" s="37"/>
      <c r="C23" s="34" t="s">
        <v>810</v>
      </c>
      <c r="D23" s="207">
        <f>'Note 5'!C17</f>
        <v>0</v>
      </c>
      <c r="E23" s="207">
        <f>'Note 5'!D17</f>
        <v>0</v>
      </c>
      <c r="F23" s="207">
        <f>'Note 5'!E17</f>
        <v>0</v>
      </c>
      <c r="G23" s="207">
        <f>'Note 5'!F17</f>
        <v>0</v>
      </c>
      <c r="H23" s="207">
        <f>'Note 5'!G17</f>
        <v>0</v>
      </c>
      <c r="I23" s="207">
        <f>'Note 5'!H17</f>
        <v>0</v>
      </c>
      <c r="J23" s="207">
        <f>'Note 5'!I17</f>
        <v>0</v>
      </c>
      <c r="K23" s="207">
        <f>'Note 5'!J17</f>
        <v>0</v>
      </c>
      <c r="L23" s="225">
        <f>SUM(D23:K23)</f>
        <v>0</v>
      </c>
    </row>
    <row r="24" spans="1:13" ht="25.5" x14ac:dyDescent="0.2">
      <c r="A24" s="34">
        <f>$A$11</f>
        <v>6</v>
      </c>
      <c r="B24" s="37" t="s">
        <v>1037</v>
      </c>
      <c r="C24" s="41" t="s">
        <v>193</v>
      </c>
      <c r="D24" s="207">
        <f>'Note 6'!C22</f>
        <v>0</v>
      </c>
      <c r="E24" s="207">
        <f>'Note 6'!D22</f>
        <v>0</v>
      </c>
      <c r="F24" s="207">
        <f>'Note 6'!E22</f>
        <v>0</v>
      </c>
      <c r="G24" s="207">
        <f>'Note 6'!F22</f>
        <v>0</v>
      </c>
      <c r="H24" s="207">
        <f>'Note 6'!G22</f>
        <v>0</v>
      </c>
      <c r="I24" s="207">
        <f>'Note 6'!H22</f>
        <v>0</v>
      </c>
      <c r="J24" s="207">
        <f>'Note 6'!I22</f>
        <v>0</v>
      </c>
      <c r="K24" s="207">
        <f>'Note 6'!J22</f>
        <v>0</v>
      </c>
      <c r="L24" s="225">
        <f>SUM(D24:K24)</f>
        <v>0</v>
      </c>
    </row>
    <row r="25" spans="1:13" x14ac:dyDescent="0.2">
      <c r="B25" s="37"/>
      <c r="C25" s="41"/>
      <c r="D25" s="207"/>
      <c r="E25" s="207"/>
      <c r="F25" s="207"/>
      <c r="G25" s="207"/>
      <c r="H25" s="207"/>
      <c r="I25" s="207"/>
      <c r="J25" s="207"/>
      <c r="K25" s="207"/>
      <c r="L25" s="225"/>
    </row>
    <row r="26" spans="1:13" ht="25.5" x14ac:dyDescent="0.2">
      <c r="A26" s="34">
        <f>$A$10</f>
        <v>5</v>
      </c>
      <c r="B26" s="37" t="s">
        <v>1038</v>
      </c>
      <c r="C26" s="125" t="s">
        <v>193</v>
      </c>
      <c r="D26" s="207">
        <f>'Note 5'!C34</f>
        <v>0</v>
      </c>
      <c r="E26" s="207">
        <f>'Note 5'!D34</f>
        <v>0</v>
      </c>
      <c r="F26" s="207">
        <f>'Note 5'!E34</f>
        <v>0</v>
      </c>
      <c r="G26" s="207">
        <f>'Note 5'!F34</f>
        <v>0</v>
      </c>
      <c r="H26" s="207">
        <f>'Note 5'!G34</f>
        <v>0</v>
      </c>
      <c r="I26" s="207">
        <f>'Note 5'!H34</f>
        <v>0</v>
      </c>
      <c r="J26" s="207">
        <f>'Note 5'!I34</f>
        <v>0</v>
      </c>
      <c r="K26" s="207">
        <f>'Note 5'!J34</f>
        <v>0</v>
      </c>
      <c r="L26" s="225">
        <f>SUM(D26:K26)</f>
        <v>0</v>
      </c>
    </row>
    <row r="27" spans="1:13" x14ac:dyDescent="0.2">
      <c r="B27" s="37"/>
      <c r="C27" s="34" t="s">
        <v>810</v>
      </c>
      <c r="D27" s="207">
        <f>'Note 5'!C32</f>
        <v>0</v>
      </c>
      <c r="E27" s="207">
        <f>'Note 5'!D32</f>
        <v>0</v>
      </c>
      <c r="F27" s="207">
        <f>'Note 5'!E32</f>
        <v>0</v>
      </c>
      <c r="G27" s="207">
        <f>'Note 5'!F32</f>
        <v>0</v>
      </c>
      <c r="H27" s="207">
        <f>'Note 5'!G32</f>
        <v>0</v>
      </c>
      <c r="I27" s="207">
        <f>'Note 5'!H32</f>
        <v>0</v>
      </c>
      <c r="J27" s="207">
        <f>'Note 5'!I32</f>
        <v>0</v>
      </c>
      <c r="K27" s="207">
        <f>'Note 5'!J32</f>
        <v>0</v>
      </c>
      <c r="L27" s="225">
        <f>SUM(D27:K27)</f>
        <v>0</v>
      </c>
    </row>
    <row r="28" spans="1:13" ht="25.5" x14ac:dyDescent="0.2">
      <c r="A28" s="34">
        <f>$A$11</f>
        <v>6</v>
      </c>
      <c r="B28" s="37" t="s">
        <v>1038</v>
      </c>
      <c r="C28" s="125" t="s">
        <v>193</v>
      </c>
      <c r="D28" s="207">
        <f>'Note 6'!C37</f>
        <v>0</v>
      </c>
      <c r="E28" s="207">
        <f>'Note 6'!D37</f>
        <v>0</v>
      </c>
      <c r="F28" s="207">
        <f>'Note 6'!E37</f>
        <v>0</v>
      </c>
      <c r="G28" s="207">
        <f>'Note 6'!F37</f>
        <v>0</v>
      </c>
      <c r="H28" s="207">
        <f>'Note 6'!G37</f>
        <v>0</v>
      </c>
      <c r="I28" s="207">
        <f>'Note 6'!H37</f>
        <v>0</v>
      </c>
      <c r="J28" s="207">
        <f>'Note 6'!I37</f>
        <v>0</v>
      </c>
      <c r="K28" s="207">
        <f>'Note 6'!J37</f>
        <v>0</v>
      </c>
      <c r="L28" s="225">
        <f>SUM(D28:K28)</f>
        <v>0</v>
      </c>
    </row>
    <row r="29" spans="1:13" x14ac:dyDescent="0.2">
      <c r="B29" s="37"/>
      <c r="C29" s="125"/>
      <c r="D29" s="207"/>
      <c r="E29" s="207"/>
      <c r="F29" s="207"/>
      <c r="G29" s="207"/>
      <c r="H29" s="207"/>
      <c r="I29" s="207"/>
      <c r="J29" s="207"/>
      <c r="K29" s="207"/>
      <c r="L29" s="225"/>
    </row>
    <row r="30" spans="1:13" x14ac:dyDescent="0.2">
      <c r="A30" s="337">
        <f>'Note 5.4'!$A$6</f>
        <v>5.3999999999999986</v>
      </c>
      <c r="B30" s="37"/>
      <c r="C30" s="125" t="s">
        <v>1041</v>
      </c>
      <c r="D30" s="51"/>
      <c r="E30" s="51"/>
      <c r="F30" s="51"/>
      <c r="G30" s="51"/>
      <c r="H30" s="51"/>
      <c r="I30" s="51"/>
      <c r="J30" s="51"/>
      <c r="K30" s="51"/>
      <c r="L30" s="207">
        <f>'Note 5.4'!L18</f>
        <v>0</v>
      </c>
    </row>
    <row r="31" spans="1:13" x14ac:dyDescent="0.2">
      <c r="B31" s="37"/>
      <c r="C31" s="338" t="s">
        <v>1044</v>
      </c>
      <c r="D31" s="334">
        <f>-D22-D24+D26+D28</f>
        <v>0</v>
      </c>
      <c r="E31" s="334">
        <f t="shared" ref="E31:K31" si="1">-E22-E24+E26+E28</f>
        <v>0</v>
      </c>
      <c r="F31" s="334">
        <f t="shared" si="1"/>
        <v>0</v>
      </c>
      <c r="G31" s="334">
        <f t="shared" si="1"/>
        <v>0</v>
      </c>
      <c r="H31" s="334">
        <f t="shared" si="1"/>
        <v>0</v>
      </c>
      <c r="I31" s="334">
        <f t="shared" si="1"/>
        <v>0</v>
      </c>
      <c r="J31" s="334">
        <f t="shared" si="1"/>
        <v>0</v>
      </c>
      <c r="K31" s="334">
        <f t="shared" si="1"/>
        <v>0</v>
      </c>
      <c r="L31" s="335">
        <f>-L22-L23-L25-L24+L26+L28+L27+L29</f>
        <v>0</v>
      </c>
    </row>
    <row r="32" spans="1:13" x14ac:dyDescent="0.2">
      <c r="B32" s="37"/>
      <c r="D32" s="333"/>
      <c r="E32" s="333"/>
      <c r="F32" s="333"/>
      <c r="G32" s="333"/>
      <c r="H32" s="333"/>
      <c r="I32" s="333"/>
      <c r="J32" s="333"/>
      <c r="K32" s="333"/>
      <c r="L32" s="225"/>
    </row>
    <row r="33" spans="1:13" x14ac:dyDescent="0.2">
      <c r="A33" s="74"/>
    </row>
    <row r="34" spans="1:13" ht="15" x14ac:dyDescent="0.35">
      <c r="C34" s="358" t="s">
        <v>2687</v>
      </c>
      <c r="L34" s="52">
        <f>'Note 7'!$E$10</f>
        <v>0</v>
      </c>
    </row>
    <row r="35" spans="1:13" x14ac:dyDescent="0.2">
      <c r="C35" s="34" t="s">
        <v>606</v>
      </c>
      <c r="L35" s="231">
        <f>+-L31+L34</f>
        <v>0</v>
      </c>
      <c r="M35" s="1825"/>
    </row>
    <row r="37" spans="1:13" x14ac:dyDescent="0.2">
      <c r="A37" s="74">
        <f>'Notes 8 &amp; 9'!$A$5</f>
        <v>8</v>
      </c>
      <c r="B37" s="34" t="s">
        <v>1042</v>
      </c>
      <c r="C37" s="34" t="s">
        <v>208</v>
      </c>
    </row>
    <row r="38" spans="1:13" x14ac:dyDescent="0.2">
      <c r="A38" s="74">
        <f>'Notes 8 &amp; 9'!$A$5</f>
        <v>8</v>
      </c>
      <c r="B38" s="34" t="s">
        <v>1042</v>
      </c>
      <c r="C38" s="34" t="s">
        <v>189</v>
      </c>
    </row>
    <row r="39" spans="1:13" x14ac:dyDescent="0.2">
      <c r="A39" s="74">
        <f>'Notes 8 &amp; 9'!$A$21</f>
        <v>9</v>
      </c>
      <c r="B39" s="34" t="s">
        <v>1043</v>
      </c>
      <c r="C39" s="34" t="s">
        <v>208</v>
      </c>
      <c r="L39" s="52">
        <f>-'Notes 8 &amp; 9'!J32</f>
        <v>0</v>
      </c>
    </row>
    <row r="40" spans="1:13" x14ac:dyDescent="0.2">
      <c r="A40" s="74">
        <f>'Notes 8 &amp; 9'!$A$21</f>
        <v>9</v>
      </c>
      <c r="B40" s="34" t="s">
        <v>1043</v>
      </c>
      <c r="C40" s="34" t="s">
        <v>189</v>
      </c>
      <c r="L40" s="52">
        <f>-'Notes 8 &amp; 9'!J31</f>
        <v>0</v>
      </c>
    </row>
    <row r="41" spans="1:13" x14ac:dyDescent="0.2">
      <c r="A41" s="74"/>
      <c r="C41" s="338" t="s">
        <v>1044</v>
      </c>
      <c r="L41" s="336">
        <f>SUM(L37:L40)</f>
        <v>0</v>
      </c>
      <c r="M41" s="34" t="s">
        <v>2828</v>
      </c>
    </row>
    <row r="42" spans="1:13" x14ac:dyDescent="0.2">
      <c r="A42" s="74"/>
    </row>
    <row r="43" spans="1:13" x14ac:dyDescent="0.2">
      <c r="A43" s="74" t="s">
        <v>1620</v>
      </c>
      <c r="C43" s="1598" t="s">
        <v>858</v>
      </c>
      <c r="K43" s="37"/>
      <c r="L43" s="52">
        <f>+MAP!X244</f>
        <v>0</v>
      </c>
    </row>
    <row r="44" spans="1:13" x14ac:dyDescent="0.2">
      <c r="L44" s="231">
        <f>+L41+L43</f>
        <v>0</v>
      </c>
      <c r="M44" s="34" t="s">
        <v>2828</v>
      </c>
    </row>
  </sheetData>
  <pageMargins left="0.35433070866141736" right="0.55118110236220474" top="0.59055118110236227" bottom="0.59055118110236227" header="0.51181102362204722" footer="0.51181102362204722"/>
  <pageSetup paperSize="9" scale="61" fitToHeight="2" orientation="landscape" r:id="rId1"/>
  <headerFooter alignWithMargins="0">
    <oddFooter>&amp;L&amp;F - &amp;A&amp;C&amp;P&amp;RPrinted at &amp;T on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0">
    <tabColor theme="9" tint="0.59999389629810485"/>
  </sheetPr>
  <dimension ref="A1:U240"/>
  <sheetViews>
    <sheetView zoomScale="80" zoomScaleNormal="80" workbookViewId="0">
      <pane ySplit="1" topLeftCell="A2" activePane="bottomLeft" state="frozen"/>
      <selection activeCell="G5" sqref="G4:G5"/>
      <selection pane="bottomLeft" activeCell="G5" sqref="G4:G5"/>
    </sheetView>
  </sheetViews>
  <sheetFormatPr defaultRowHeight="15" x14ac:dyDescent="0.25"/>
  <cols>
    <col min="1" max="1" width="9.140625" style="1438"/>
    <col min="2" max="2" width="9.85546875" style="3" customWidth="1"/>
    <col min="3" max="3" width="90.140625" customWidth="1"/>
    <col min="4" max="4" width="11" customWidth="1"/>
    <col min="5" max="5" width="37.7109375" customWidth="1"/>
    <col min="6" max="6" width="25.140625" customWidth="1"/>
    <col min="7" max="7" width="15.7109375" customWidth="1"/>
    <col min="8" max="8" width="11.7109375" customWidth="1"/>
    <col min="9" max="9" width="20" bestFit="1" customWidth="1"/>
    <col min="10" max="10" width="8.7109375" customWidth="1"/>
    <col min="11" max="11" width="16.42578125" customWidth="1"/>
    <col min="12" max="12" width="15" customWidth="1"/>
    <col min="13" max="13" width="11.85546875" customWidth="1"/>
    <col min="14" max="14" width="10.140625" bestFit="1" customWidth="1"/>
    <col min="15" max="15" width="17.28515625" customWidth="1"/>
    <col min="16" max="16" width="13.85546875" bestFit="1" customWidth="1"/>
  </cols>
  <sheetData>
    <row r="1" spans="1:13" ht="23.25" x14ac:dyDescent="0.25">
      <c r="A1" s="2095" t="s">
        <v>2857</v>
      </c>
      <c r="B1" s="2095"/>
      <c r="C1" s="2095"/>
      <c r="D1" s="2095"/>
      <c r="E1" s="2095"/>
      <c r="F1" s="2095"/>
      <c r="G1" s="2095"/>
      <c r="H1" s="2095"/>
      <c r="I1" s="2095"/>
      <c r="J1" s="2095"/>
      <c r="K1" s="2095"/>
    </row>
    <row r="2" spans="1:13" s="1159" customFormat="1" ht="21" x14ac:dyDescent="0.35">
      <c r="A2" s="2096" t="s">
        <v>2185</v>
      </c>
      <c r="B2" s="2096"/>
      <c r="C2" s="2096"/>
      <c r="D2" s="1385" t="s">
        <v>2186</v>
      </c>
      <c r="E2" s="2097" t="s">
        <v>2187</v>
      </c>
      <c r="F2" s="2097"/>
      <c r="G2" s="2097"/>
      <c r="H2" s="2097"/>
      <c r="I2" s="2097"/>
      <c r="J2" s="2097"/>
      <c r="K2" s="2097"/>
      <c r="L2" s="1386"/>
      <c r="M2" s="1386"/>
    </row>
    <row r="3" spans="1:13" ht="15.75" thickBot="1" x14ac:dyDescent="0.3">
      <c r="A3" s="2093" t="s">
        <v>2188</v>
      </c>
      <c r="B3" s="2093"/>
      <c r="C3" s="2093"/>
      <c r="D3" s="2093"/>
      <c r="E3" s="2093"/>
      <c r="F3" s="2093"/>
      <c r="G3" s="2093"/>
      <c r="H3" s="2093"/>
      <c r="I3" s="2093"/>
      <c r="J3" s="2093"/>
      <c r="K3" s="2093"/>
    </row>
    <row r="4" spans="1:13" ht="43.5" hidden="1" customHeight="1" x14ac:dyDescent="0.25">
      <c r="A4" s="1387">
        <v>1</v>
      </c>
      <c r="B4" s="2098" t="s">
        <v>2189</v>
      </c>
      <c r="C4" s="2098"/>
      <c r="D4" s="1388" t="s">
        <v>1487</v>
      </c>
      <c r="E4" s="1949"/>
      <c r="F4" s="1949"/>
      <c r="G4" s="1949"/>
      <c r="H4" s="1949"/>
      <c r="I4" s="1949"/>
      <c r="J4" s="1949"/>
      <c r="K4" s="1949"/>
    </row>
    <row r="5" spans="1:13" ht="143.1" hidden="1" customHeight="1" x14ac:dyDescent="0.25">
      <c r="A5" s="1387">
        <v>2</v>
      </c>
      <c r="B5" s="1949" t="s">
        <v>2190</v>
      </c>
      <c r="C5" s="1949"/>
      <c r="D5" s="1388" t="s">
        <v>1487</v>
      </c>
      <c r="E5" s="1949"/>
      <c r="F5" s="1949"/>
      <c r="G5" s="1949"/>
      <c r="H5" s="1949"/>
      <c r="I5" s="1949"/>
      <c r="J5" s="1949"/>
      <c r="K5" s="1949"/>
    </row>
    <row r="6" spans="1:13" hidden="1" x14ac:dyDescent="0.25">
      <c r="A6" s="2093" t="s">
        <v>2191</v>
      </c>
      <c r="B6" s="2093"/>
      <c r="C6" s="2093"/>
      <c r="D6" s="2093"/>
      <c r="E6" s="2093"/>
      <c r="F6" s="2093"/>
      <c r="G6" s="2093"/>
      <c r="H6" s="2093"/>
      <c r="I6" s="2093"/>
      <c r="J6" s="2093"/>
      <c r="K6" s="2093"/>
    </row>
    <row r="7" spans="1:13" ht="75.95" hidden="1" customHeight="1" x14ac:dyDescent="0.25">
      <c r="A7" s="1966">
        <v>3</v>
      </c>
      <c r="B7" s="2094" t="s">
        <v>2698</v>
      </c>
      <c r="C7" s="2094"/>
      <c r="D7" s="1388" t="s">
        <v>1487</v>
      </c>
      <c r="E7" s="1949"/>
      <c r="F7" s="1949"/>
      <c r="G7" s="1949"/>
      <c r="H7" s="1949"/>
      <c r="I7" s="1949"/>
      <c r="J7" s="1949"/>
      <c r="K7" s="1949"/>
    </row>
    <row r="8" spans="1:13" ht="318" hidden="1" customHeight="1" x14ac:dyDescent="0.25">
      <c r="A8" s="1966"/>
      <c r="B8" s="1389"/>
      <c r="C8" s="1390" t="s">
        <v>2699</v>
      </c>
      <c r="D8" s="1388" t="s">
        <v>1487</v>
      </c>
      <c r="E8" s="1949"/>
      <c r="F8" s="1949"/>
      <c r="G8" s="1949"/>
      <c r="H8" s="1949"/>
      <c r="I8" s="1949"/>
      <c r="J8" s="1949"/>
      <c r="K8" s="1949"/>
    </row>
    <row r="9" spans="1:13" ht="56.45" hidden="1" customHeight="1" x14ac:dyDescent="0.25">
      <c r="A9" s="1966"/>
      <c r="B9" s="1389"/>
      <c r="C9" s="1390" t="s">
        <v>2192</v>
      </c>
      <c r="D9" s="1388" t="s">
        <v>1487</v>
      </c>
      <c r="E9" s="1949"/>
      <c r="F9" s="1949"/>
      <c r="G9" s="1949"/>
      <c r="H9" s="1949"/>
      <c r="I9" s="1949"/>
      <c r="J9" s="1949"/>
      <c r="K9" s="1949"/>
    </row>
    <row r="10" spans="1:13" ht="79.5" hidden="1" customHeight="1" x14ac:dyDescent="0.25">
      <c r="A10" s="1966"/>
      <c r="B10" s="1389"/>
      <c r="C10" s="1390" t="s">
        <v>2700</v>
      </c>
      <c r="D10" s="1388" t="s">
        <v>1487</v>
      </c>
      <c r="E10" s="1949"/>
      <c r="F10" s="1949"/>
      <c r="G10" s="1949"/>
      <c r="H10" s="1949"/>
      <c r="I10" s="1949"/>
      <c r="J10" s="1949"/>
      <c r="K10" s="1949"/>
    </row>
    <row r="11" spans="1:13" ht="205.5" hidden="1" customHeight="1" x14ac:dyDescent="0.25">
      <c r="A11" s="1966"/>
      <c r="B11" s="1389"/>
      <c r="C11" s="1390" t="s">
        <v>2701</v>
      </c>
      <c r="D11" s="1388" t="s">
        <v>1487</v>
      </c>
      <c r="E11" s="1949"/>
      <c r="F11" s="1949"/>
      <c r="G11" s="1949"/>
      <c r="H11" s="1949"/>
      <c r="I11" s="1949"/>
      <c r="J11" s="1949"/>
      <c r="K11" s="1949"/>
    </row>
    <row r="12" spans="1:13" ht="78.599999999999994" hidden="1" customHeight="1" x14ac:dyDescent="0.25">
      <c r="A12" s="1966"/>
      <c r="B12" s="1389"/>
      <c r="C12" s="1390" t="s">
        <v>2702</v>
      </c>
      <c r="D12" s="1388" t="s">
        <v>1487</v>
      </c>
      <c r="E12" s="1949"/>
      <c r="F12" s="1949"/>
      <c r="G12" s="1949"/>
      <c r="H12" s="1949"/>
      <c r="I12" s="1949"/>
      <c r="J12" s="1949"/>
      <c r="K12" s="1949"/>
    </row>
    <row r="13" spans="1:13" ht="60" hidden="1" customHeight="1" x14ac:dyDescent="0.25">
      <c r="A13" s="1966"/>
      <c r="B13" s="1389"/>
      <c r="C13" s="1390" t="s">
        <v>2193</v>
      </c>
      <c r="D13" s="1388" t="s">
        <v>1487</v>
      </c>
      <c r="E13" s="1949"/>
      <c r="F13" s="1949"/>
      <c r="G13" s="1949"/>
      <c r="H13" s="1949"/>
      <c r="I13" s="1949"/>
      <c r="J13" s="1949"/>
      <c r="K13" s="1949"/>
    </row>
    <row r="14" spans="1:13" ht="238.5" hidden="1" customHeight="1" x14ac:dyDescent="0.25">
      <c r="A14" s="1387">
        <v>4</v>
      </c>
      <c r="B14" s="2092" t="s">
        <v>2703</v>
      </c>
      <c r="C14" s="2099"/>
      <c r="D14" s="1388" t="s">
        <v>1487</v>
      </c>
      <c r="E14" s="1949"/>
      <c r="F14" s="1949"/>
      <c r="G14" s="1949"/>
      <c r="H14" s="1949"/>
      <c r="I14" s="1949"/>
      <c r="J14" s="1949"/>
      <c r="K14" s="1949"/>
    </row>
    <row r="15" spans="1:13" ht="33.950000000000003" hidden="1" customHeight="1" x14ac:dyDescent="0.25">
      <c r="A15" s="1387">
        <v>5</v>
      </c>
      <c r="B15" s="2092" t="s">
        <v>2194</v>
      </c>
      <c r="C15" s="2092"/>
      <c r="D15" s="1388" t="s">
        <v>1487</v>
      </c>
      <c r="E15" s="1949"/>
      <c r="F15" s="1949"/>
      <c r="G15" s="1949"/>
      <c r="H15" s="1949"/>
      <c r="I15" s="1949"/>
      <c r="J15" s="1949"/>
      <c r="K15" s="1949"/>
    </row>
    <row r="16" spans="1:13" hidden="1" x14ac:dyDescent="0.25">
      <c r="A16" s="2089" t="s">
        <v>1964</v>
      </c>
      <c r="B16" s="2090"/>
      <c r="C16" s="2090"/>
      <c r="D16" s="2090"/>
      <c r="E16" s="2090"/>
      <c r="F16" s="2090"/>
      <c r="G16" s="2090"/>
      <c r="H16" s="2090"/>
      <c r="I16" s="2090"/>
      <c r="J16" s="2090"/>
      <c r="K16" s="2091"/>
    </row>
    <row r="17" spans="1:12" ht="22.5" hidden="1" customHeight="1" x14ac:dyDescent="0.25">
      <c r="A17" s="1970">
        <v>6</v>
      </c>
      <c r="B17" s="1967" t="s">
        <v>2195</v>
      </c>
      <c r="C17" s="1967"/>
      <c r="D17" s="1388" t="s">
        <v>1487</v>
      </c>
      <c r="E17" s="1949"/>
      <c r="F17" s="1949"/>
      <c r="G17" s="1949"/>
      <c r="H17" s="1949"/>
      <c r="I17" s="1949"/>
      <c r="J17" s="1949"/>
      <c r="K17" s="1949"/>
    </row>
    <row r="18" spans="1:12" ht="128.25" hidden="1" customHeight="1" x14ac:dyDescent="0.25">
      <c r="A18" s="1971"/>
      <c r="B18" s="1949" t="s">
        <v>2704</v>
      </c>
      <c r="C18" s="1949"/>
      <c r="D18" s="1388" t="s">
        <v>1487</v>
      </c>
      <c r="E18" s="1949"/>
      <c r="F18" s="1949"/>
      <c r="G18" s="1949"/>
      <c r="H18" s="1949"/>
      <c r="I18" s="1949"/>
      <c r="J18" s="1949"/>
      <c r="K18" s="1949"/>
    </row>
    <row r="19" spans="1:12" ht="69" hidden="1" customHeight="1" x14ac:dyDescent="0.25">
      <c r="A19" s="1971"/>
      <c r="B19" s="1949" t="s">
        <v>2705</v>
      </c>
      <c r="C19" s="1949"/>
      <c r="D19" s="1388" t="s">
        <v>1487</v>
      </c>
      <c r="E19" s="1949"/>
      <c r="F19" s="1949"/>
      <c r="G19" s="1949"/>
      <c r="H19" s="1949"/>
      <c r="I19" s="1949"/>
      <c r="J19" s="1949"/>
      <c r="K19" s="1949"/>
    </row>
    <row r="20" spans="1:12" ht="54.6" hidden="1" customHeight="1" x14ac:dyDescent="0.25">
      <c r="A20" s="1971"/>
      <c r="B20" s="1949" t="s">
        <v>2706</v>
      </c>
      <c r="C20" s="1949"/>
      <c r="D20" s="1388" t="s">
        <v>1487</v>
      </c>
      <c r="E20" s="1949"/>
      <c r="F20" s="1949"/>
      <c r="G20" s="1949"/>
      <c r="H20" s="1949"/>
      <c r="I20" s="1949"/>
      <c r="J20" s="1949"/>
      <c r="K20" s="1949"/>
    </row>
    <row r="21" spans="1:12" ht="36.950000000000003" hidden="1" customHeight="1" x14ac:dyDescent="0.25">
      <c r="A21" s="1971"/>
      <c r="B21" s="1949" t="s">
        <v>2707</v>
      </c>
      <c r="C21" s="1949"/>
      <c r="D21" s="1388" t="s">
        <v>1487</v>
      </c>
      <c r="E21" s="1949"/>
      <c r="F21" s="1949"/>
      <c r="G21" s="1949"/>
      <c r="H21" s="1949"/>
      <c r="I21" s="1949"/>
      <c r="J21" s="1949"/>
      <c r="K21" s="1949"/>
    </row>
    <row r="22" spans="1:12" ht="27" hidden="1" customHeight="1" x14ac:dyDescent="0.25">
      <c r="A22" s="1972"/>
      <c r="B22" s="1949" t="s">
        <v>2196</v>
      </c>
      <c r="C22" s="1949"/>
      <c r="D22" s="1388" t="s">
        <v>1487</v>
      </c>
      <c r="E22" s="1949"/>
      <c r="F22" s="1949"/>
      <c r="G22" s="1949"/>
      <c r="H22" s="1949"/>
      <c r="I22" s="1949"/>
      <c r="J22" s="1949"/>
      <c r="K22" s="1949"/>
    </row>
    <row r="23" spans="1:12" ht="34.5" hidden="1" customHeight="1" thickBot="1" x14ac:dyDescent="0.3">
      <c r="A23" s="1387">
        <v>7</v>
      </c>
      <c r="B23" s="1949" t="s">
        <v>2197</v>
      </c>
      <c r="C23" s="1949"/>
      <c r="D23" s="1388" t="s">
        <v>1487</v>
      </c>
      <c r="E23" s="1949"/>
      <c r="F23" s="1949"/>
      <c r="G23" s="1949"/>
      <c r="H23" s="1949"/>
      <c r="I23" s="1949"/>
      <c r="J23" s="1949"/>
      <c r="K23" s="1949"/>
    </row>
    <row r="24" spans="1:12" ht="20.45" customHeight="1" x14ac:dyDescent="0.25">
      <c r="A24" s="1970">
        <v>8</v>
      </c>
      <c r="B24" s="1973" t="s">
        <v>2708</v>
      </c>
      <c r="C24" s="1973"/>
      <c r="D24" s="1976" t="s">
        <v>1487</v>
      </c>
      <c r="E24" s="1391"/>
      <c r="F24" s="1392" t="s">
        <v>495</v>
      </c>
      <c r="G24" s="1392" t="s">
        <v>494</v>
      </c>
      <c r="H24" s="1393" t="s">
        <v>2198</v>
      </c>
      <c r="I24" s="1394"/>
      <c r="J24" s="1394"/>
      <c r="K24" s="1395"/>
      <c r="L24" s="1723" t="s">
        <v>2763</v>
      </c>
    </row>
    <row r="25" spans="1:12" x14ac:dyDescent="0.25">
      <c r="A25" s="1971"/>
      <c r="B25" s="1974"/>
      <c r="C25" s="1974"/>
      <c r="D25" s="1977"/>
      <c r="E25" s="1396" t="s">
        <v>2709</v>
      </c>
      <c r="F25" s="1397">
        <f>+SOAS!D13</f>
        <v>0</v>
      </c>
      <c r="G25" s="1397">
        <f>+SOAS!G13</f>
        <v>8339564</v>
      </c>
      <c r="H25" s="1398" t="str">
        <f>IF(F25&gt;G25,"Yes","No")</f>
        <v>No</v>
      </c>
      <c r="K25" s="1399"/>
    </row>
    <row r="26" spans="1:12" x14ac:dyDescent="0.25">
      <c r="A26" s="1971"/>
      <c r="B26" s="1974"/>
      <c r="C26" s="1974"/>
      <c r="D26" s="1977"/>
      <c r="E26" s="1396" t="s">
        <v>2710</v>
      </c>
      <c r="F26" s="1397">
        <f>+SOAS!D14</f>
        <v>0</v>
      </c>
      <c r="G26" s="1397">
        <f>+SOAS!G14</f>
        <v>377651</v>
      </c>
      <c r="H26" s="1398" t="str">
        <f t="shared" ref="H26:H30" si="0">IF(F26&gt;G26,"Yes","No")</f>
        <v>No</v>
      </c>
      <c r="K26" s="1399"/>
    </row>
    <row r="27" spans="1:12" x14ac:dyDescent="0.25">
      <c r="A27" s="1971"/>
      <c r="B27" s="1974"/>
      <c r="C27" s="1974"/>
      <c r="D27" s="1977"/>
      <c r="E27" s="1396" t="s">
        <v>2711</v>
      </c>
      <c r="F27" s="1397">
        <f>+SOAS!D19</f>
        <v>0</v>
      </c>
      <c r="G27" s="1397">
        <f>+SOAS!G19</f>
        <v>692787</v>
      </c>
      <c r="H27" s="1398" t="str">
        <f t="shared" si="0"/>
        <v>No</v>
      </c>
      <c r="K27" s="1399"/>
    </row>
    <row r="28" spans="1:12" x14ac:dyDescent="0.25">
      <c r="A28" s="1971"/>
      <c r="B28" s="1974"/>
      <c r="C28" s="1974"/>
      <c r="D28" s="1977"/>
      <c r="E28" s="1396" t="s">
        <v>2712</v>
      </c>
      <c r="F28" s="1397">
        <f>+SOAS!D20</f>
        <v>0</v>
      </c>
      <c r="G28" s="1397">
        <f>+SOAS!G20</f>
        <v>17170</v>
      </c>
      <c r="H28" s="1398" t="str">
        <f t="shared" si="0"/>
        <v>No</v>
      </c>
      <c r="K28" s="1399"/>
    </row>
    <row r="29" spans="1:12" x14ac:dyDescent="0.25">
      <c r="A29" s="1971"/>
      <c r="B29" s="1974"/>
      <c r="C29" s="1974"/>
      <c r="D29" s="1977"/>
      <c r="E29" s="1396" t="s">
        <v>2199</v>
      </c>
      <c r="F29" s="1397"/>
      <c r="G29" s="1397"/>
      <c r="H29" s="1398" t="str">
        <f t="shared" si="0"/>
        <v>No</v>
      </c>
      <c r="K29" s="1399"/>
    </row>
    <row r="30" spans="1:12" ht="15.75" thickBot="1" x14ac:dyDescent="0.3">
      <c r="A30" s="1971"/>
      <c r="B30" s="1974"/>
      <c r="C30" s="1974"/>
      <c r="D30" s="1977"/>
      <c r="E30" s="1400" t="s">
        <v>2200</v>
      </c>
      <c r="F30" s="1401" t="e">
        <f>+SOAS!D49</f>
        <v>#VALUE!</v>
      </c>
      <c r="G30" s="1401">
        <f>+SOAS!E49</f>
        <v>9466341</v>
      </c>
      <c r="H30" s="1402" t="e">
        <f t="shared" si="0"/>
        <v>#VALUE!</v>
      </c>
      <c r="K30" s="1399"/>
    </row>
    <row r="31" spans="1:12" x14ac:dyDescent="0.25">
      <c r="A31" s="1971"/>
      <c r="B31" s="1974"/>
      <c r="C31" s="1974"/>
      <c r="D31" s="2013"/>
      <c r="K31" s="1399"/>
    </row>
    <row r="32" spans="1:12" ht="30" customHeight="1" x14ac:dyDescent="0.25">
      <c r="A32" s="1971"/>
      <c r="B32" s="1974"/>
      <c r="C32" s="1974"/>
      <c r="D32" s="2013"/>
      <c r="E32" s="2020" t="s">
        <v>2283</v>
      </c>
      <c r="F32" s="1988"/>
      <c r="G32" s="1988"/>
      <c r="H32" s="1988"/>
      <c r="I32" s="1988"/>
      <c r="J32" s="1988"/>
      <c r="K32" s="1989"/>
    </row>
    <row r="33" spans="1:11" ht="15.95" customHeight="1" thickBot="1" x14ac:dyDescent="0.3">
      <c r="A33" s="1971"/>
      <c r="B33" s="1974"/>
      <c r="C33" s="1974"/>
      <c r="D33" s="2013"/>
      <c r="E33" s="1949"/>
      <c r="F33" s="1949"/>
      <c r="G33" s="1949"/>
      <c r="H33" s="1949"/>
      <c r="I33" s="1949"/>
      <c r="J33" s="1949"/>
      <c r="K33" s="1949"/>
    </row>
    <row r="34" spans="1:11" ht="18" customHeight="1" x14ac:dyDescent="0.25">
      <c r="A34" s="1970">
        <v>9</v>
      </c>
      <c r="B34" s="1973" t="s">
        <v>2713</v>
      </c>
      <c r="C34" s="1973"/>
      <c r="D34" s="1976" t="s">
        <v>727</v>
      </c>
      <c r="E34" s="2087" t="s">
        <v>2201</v>
      </c>
      <c r="F34" s="2088"/>
      <c r="G34" s="2088"/>
      <c r="H34" s="1403"/>
      <c r="I34" s="1404" t="s">
        <v>2714</v>
      </c>
      <c r="J34" s="1404"/>
      <c r="K34" s="1405"/>
    </row>
    <row r="35" spans="1:11" x14ac:dyDescent="0.25">
      <c r="A35" s="1971"/>
      <c r="B35" s="1974"/>
      <c r="C35" s="1974"/>
      <c r="D35" s="1977"/>
      <c r="E35" s="2081" t="s">
        <v>2202</v>
      </c>
      <c r="F35" s="2082"/>
      <c r="G35" s="2082"/>
      <c r="H35" s="1406"/>
      <c r="K35" s="1407"/>
    </row>
    <row r="36" spans="1:11" x14ac:dyDescent="0.25">
      <c r="A36" s="1971"/>
      <c r="B36" s="1974"/>
      <c r="C36" s="1974"/>
      <c r="D36" s="1977"/>
      <c r="E36" s="2081" t="s">
        <v>2203</v>
      </c>
      <c r="F36" s="2082"/>
      <c r="G36" s="2082"/>
      <c r="H36" s="1406"/>
      <c r="K36" s="1407"/>
    </row>
    <row r="37" spans="1:11" ht="27.6" customHeight="1" x14ac:dyDescent="0.25">
      <c r="A37" s="1971"/>
      <c r="B37" s="1974"/>
      <c r="C37" s="1974"/>
      <c r="D37" s="1977"/>
      <c r="E37" s="2083" t="s">
        <v>2204</v>
      </c>
      <c r="F37" s="2084"/>
      <c r="G37" s="2084"/>
      <c r="H37" s="1406"/>
      <c r="K37" s="1407"/>
    </row>
    <row r="38" spans="1:11" ht="15.75" thickBot="1" x14ac:dyDescent="0.3">
      <c r="A38" s="1971"/>
      <c r="B38" s="1974"/>
      <c r="C38" s="1974"/>
      <c r="D38" s="1977"/>
      <c r="E38" s="2085" t="s">
        <v>63</v>
      </c>
      <c r="F38" s="2086"/>
      <c r="G38" s="2086"/>
      <c r="H38" s="1408" t="str">
        <f>IF(SUM(H34-H35-H36)&lt;&gt;H37,"Mis-match", "No issue")</f>
        <v>No issue</v>
      </c>
      <c r="K38" s="1407"/>
    </row>
    <row r="39" spans="1:11" x14ac:dyDescent="0.25">
      <c r="A39" s="1971"/>
      <c r="B39" s="1974"/>
      <c r="C39" s="1974"/>
      <c r="D39" s="2013"/>
      <c r="K39" s="1407"/>
    </row>
    <row r="40" spans="1:11" ht="24.95" customHeight="1" x14ac:dyDescent="0.25">
      <c r="A40" s="1971"/>
      <c r="B40" s="1974"/>
      <c r="C40" s="1974"/>
      <c r="D40" s="2013"/>
      <c r="E40" s="1988" t="s">
        <v>2715</v>
      </c>
      <c r="F40" s="1988"/>
      <c r="G40" s="1988"/>
      <c r="H40" s="1988"/>
      <c r="I40" s="1988"/>
      <c r="J40" s="1988"/>
      <c r="K40" s="2010"/>
    </row>
    <row r="41" spans="1:11" ht="18" customHeight="1" thickBot="1" x14ac:dyDescent="0.3">
      <c r="A41" s="1971"/>
      <c r="B41" s="1974"/>
      <c r="C41" s="1974"/>
      <c r="D41" s="2013"/>
      <c r="E41" s="1949"/>
      <c r="F41" s="1949"/>
      <c r="G41" s="1949"/>
      <c r="H41" s="1949"/>
      <c r="I41" s="1949"/>
      <c r="J41" s="1949"/>
      <c r="K41" s="1949"/>
    </row>
    <row r="42" spans="1:11" ht="20.100000000000001" hidden="1" customHeight="1" x14ac:dyDescent="0.25">
      <c r="A42" s="1970">
        <v>10</v>
      </c>
      <c r="B42" s="1973" t="s">
        <v>2716</v>
      </c>
      <c r="C42" s="1973"/>
      <c r="D42" s="1976" t="s">
        <v>1487</v>
      </c>
      <c r="E42" s="1973"/>
      <c r="F42" s="1973"/>
      <c r="G42" s="1973"/>
      <c r="H42" s="1973"/>
      <c r="I42" s="1973"/>
      <c r="J42" s="1973"/>
      <c r="K42" s="1973"/>
    </row>
    <row r="43" spans="1:11" hidden="1" x14ac:dyDescent="0.25">
      <c r="A43" s="1971"/>
      <c r="B43" s="1974"/>
      <c r="C43" s="1974"/>
      <c r="D43" s="1977"/>
      <c r="E43" s="1697"/>
      <c r="F43" s="1698"/>
      <c r="G43" s="1698"/>
      <c r="I43" s="1698"/>
      <c r="K43" s="1399"/>
    </row>
    <row r="44" spans="1:11" hidden="1" x14ac:dyDescent="0.25">
      <c r="A44" s="1971"/>
      <c r="B44" s="1974"/>
      <c r="C44" s="1974"/>
      <c r="D44" s="1977"/>
      <c r="E44" s="1697"/>
      <c r="F44" s="1698"/>
      <c r="G44" s="1698"/>
      <c r="I44" s="1698"/>
      <c r="K44" s="1399"/>
    </row>
    <row r="45" spans="1:11" hidden="1" x14ac:dyDescent="0.25">
      <c r="A45" s="1971"/>
      <c r="B45" s="1974"/>
      <c r="C45" s="1974"/>
      <c r="D45" s="1977"/>
      <c r="E45" s="1697"/>
      <c r="K45" s="1399"/>
    </row>
    <row r="46" spans="1:11" hidden="1" x14ac:dyDescent="0.25">
      <c r="A46" s="1971"/>
      <c r="B46" s="1974"/>
      <c r="C46" s="1974"/>
      <c r="D46" s="1977"/>
      <c r="E46" s="1697"/>
      <c r="F46" s="1698"/>
      <c r="G46" s="1698"/>
      <c r="K46" s="1399"/>
    </row>
    <row r="47" spans="1:11" hidden="1" x14ac:dyDescent="0.25">
      <c r="A47" s="1971"/>
      <c r="B47" s="1974"/>
      <c r="C47" s="1974"/>
      <c r="D47" s="1977"/>
      <c r="E47" s="1697"/>
      <c r="K47" s="1399"/>
    </row>
    <row r="48" spans="1:11" hidden="1" x14ac:dyDescent="0.25">
      <c r="A48" s="1971"/>
      <c r="B48" s="1974"/>
      <c r="C48" s="1974"/>
      <c r="D48" s="1977"/>
      <c r="E48" s="1696"/>
      <c r="K48" s="1399"/>
    </row>
    <row r="49" spans="1:12" ht="30.6" hidden="1" customHeight="1" x14ac:dyDescent="0.25">
      <c r="A49" s="1971"/>
      <c r="B49" s="1974"/>
      <c r="C49" s="1974"/>
      <c r="D49" s="1977"/>
      <c r="E49" s="2070"/>
      <c r="F49" s="2071"/>
      <c r="G49" s="2071"/>
      <c r="H49" s="2071"/>
      <c r="I49" s="2071"/>
      <c r="J49" s="2071"/>
      <c r="K49" s="2072"/>
    </row>
    <row r="50" spans="1:12" hidden="1" x14ac:dyDescent="0.25">
      <c r="A50" s="1972"/>
      <c r="B50" s="1975"/>
      <c r="C50" s="1975"/>
      <c r="D50" s="2014"/>
      <c r="E50" s="1975"/>
      <c r="F50" s="1975"/>
      <c r="G50" s="1975"/>
      <c r="H50" s="1975"/>
      <c r="I50" s="1975"/>
      <c r="J50" s="1975"/>
      <c r="K50" s="1975"/>
    </row>
    <row r="51" spans="1:12" ht="42.95" hidden="1" customHeight="1" x14ac:dyDescent="0.25">
      <c r="A51" s="1387">
        <v>11</v>
      </c>
      <c r="B51" s="1949" t="s">
        <v>2717</v>
      </c>
      <c r="C51" s="1949"/>
      <c r="D51" s="1388" t="s">
        <v>1487</v>
      </c>
      <c r="E51" s="1949"/>
      <c r="F51" s="1949"/>
      <c r="G51" s="1949"/>
      <c r="H51" s="1949"/>
      <c r="I51" s="1949"/>
      <c r="J51" s="1949"/>
      <c r="K51" s="1949"/>
    </row>
    <row r="52" spans="1:12" ht="41.45" hidden="1" customHeight="1" thickBot="1" x14ac:dyDescent="0.3">
      <c r="A52" s="1387">
        <v>12</v>
      </c>
      <c r="B52" s="1949" t="s">
        <v>2205</v>
      </c>
      <c r="C52" s="1949"/>
      <c r="D52" s="1388" t="s">
        <v>1487</v>
      </c>
      <c r="E52" s="1973"/>
      <c r="F52" s="1973"/>
      <c r="G52" s="1949"/>
      <c r="H52" s="1949"/>
      <c r="I52" s="1949"/>
      <c r="J52" s="1949"/>
      <c r="K52" s="1949"/>
    </row>
    <row r="53" spans="1:12" ht="30.75" customHeight="1" x14ac:dyDescent="0.25">
      <c r="A53" s="1970">
        <v>13</v>
      </c>
      <c r="B53" s="2073" t="s">
        <v>2718</v>
      </c>
      <c r="C53" s="2074"/>
      <c r="D53" s="1976" t="s">
        <v>1487</v>
      </c>
      <c r="E53" s="1700" t="s">
        <v>2719</v>
      </c>
      <c r="F53" s="1701"/>
      <c r="G53" s="1702"/>
      <c r="H53" s="1702"/>
      <c r="I53" s="1702"/>
      <c r="J53" s="1703"/>
      <c r="K53" s="1699"/>
      <c r="L53" s="1723" t="s">
        <v>2763</v>
      </c>
    </row>
    <row r="54" spans="1:12" ht="41.45" customHeight="1" x14ac:dyDescent="0.25">
      <c r="A54" s="2079"/>
      <c r="B54" s="2075"/>
      <c r="C54" s="2076"/>
      <c r="D54" s="1977"/>
      <c r="E54" s="1693" t="s">
        <v>2720</v>
      </c>
      <c r="F54" s="1704">
        <f>+'CFER RECONCILIATION'!E10</f>
        <v>1419</v>
      </c>
      <c r="G54" s="1702"/>
      <c r="H54" s="1702"/>
      <c r="I54" s="1702"/>
      <c r="J54" s="1703"/>
      <c r="K54" s="1699"/>
    </row>
    <row r="55" spans="1:12" ht="41.45" customHeight="1" x14ac:dyDescent="0.25">
      <c r="A55" s="2079"/>
      <c r="B55" s="2075"/>
      <c r="C55" s="2076"/>
      <c r="D55" s="1977"/>
      <c r="E55" s="1693" t="s">
        <v>2721</v>
      </c>
      <c r="F55" s="1704">
        <f>ROUND(+'CFER RECONCILIATION'!E12,0)</f>
        <v>0</v>
      </c>
      <c r="G55" s="1702"/>
      <c r="H55" s="1702"/>
      <c r="I55" s="1702"/>
      <c r="J55" s="1703"/>
      <c r="K55" s="1699"/>
    </row>
    <row r="56" spans="1:12" ht="41.45" customHeight="1" x14ac:dyDescent="0.25">
      <c r="A56" s="2079"/>
      <c r="B56" s="2075"/>
      <c r="C56" s="2076"/>
      <c r="D56" s="1977"/>
      <c r="E56" s="1693" t="s">
        <v>2722</v>
      </c>
      <c r="F56" s="1704">
        <f>+'CFER RECONCILIATION'!E14</f>
        <v>0</v>
      </c>
      <c r="G56" s="1702"/>
      <c r="H56" s="1702"/>
      <c r="I56" s="1702"/>
      <c r="J56" s="1703"/>
      <c r="K56" s="1699"/>
    </row>
    <row r="57" spans="1:12" x14ac:dyDescent="0.25">
      <c r="A57" s="2079"/>
      <c r="B57" s="2075"/>
      <c r="C57" s="2076"/>
      <c r="D57" s="1977"/>
      <c r="E57" s="1693" t="s">
        <v>146</v>
      </c>
      <c r="F57" s="1704">
        <f>+F54+F55+F56</f>
        <v>1419</v>
      </c>
      <c r="G57" s="1702"/>
      <c r="H57" s="1702"/>
      <c r="I57" s="1702"/>
      <c r="J57" s="1703"/>
      <c r="K57" s="1699"/>
    </row>
    <row r="58" spans="1:12" ht="41.45" customHeight="1" x14ac:dyDescent="0.25">
      <c r="A58" s="2079"/>
      <c r="B58" s="2075"/>
      <c r="C58" s="2076"/>
      <c r="D58" s="1977"/>
      <c r="E58" s="1693" t="s">
        <v>2723</v>
      </c>
      <c r="F58" s="1704">
        <f>'Note 13'!C29</f>
        <v>0</v>
      </c>
      <c r="G58" s="1702"/>
      <c r="H58" s="1702"/>
      <c r="I58" s="1702"/>
      <c r="J58" s="1703"/>
      <c r="K58" s="1699"/>
    </row>
    <row r="59" spans="1:12" ht="41.45" customHeight="1" thickBot="1" x14ac:dyDescent="0.3">
      <c r="A59" s="2079"/>
      <c r="B59" s="2075"/>
      <c r="C59" s="2076"/>
      <c r="D59" s="1977"/>
      <c r="E59" s="1705" t="s">
        <v>2724</v>
      </c>
      <c r="F59" s="1706" t="str">
        <f>IF(F57-F58=0,"Yes","No")</f>
        <v>No</v>
      </c>
      <c r="G59" s="1702"/>
      <c r="H59" s="1702"/>
      <c r="I59" s="1702"/>
      <c r="J59" s="1703"/>
      <c r="K59" s="1699"/>
    </row>
    <row r="60" spans="1:12" ht="15.75" thickBot="1" x14ac:dyDescent="0.3">
      <c r="A60" s="2079"/>
      <c r="B60" s="2075"/>
      <c r="C60" s="2076"/>
      <c r="D60" s="2013"/>
      <c r="E60" s="1702"/>
      <c r="F60" s="1702"/>
      <c r="G60" s="1702"/>
      <c r="H60" s="1702"/>
      <c r="I60" s="1702"/>
      <c r="J60" s="1703"/>
      <c r="K60" s="1699"/>
    </row>
    <row r="61" spans="1:12" ht="30" x14ac:dyDescent="0.25">
      <c r="A61" s="2079"/>
      <c r="B61" s="2075"/>
      <c r="C61" s="2076"/>
      <c r="D61" s="1977"/>
      <c r="E61" s="1707" t="s">
        <v>2725</v>
      </c>
      <c r="F61" s="1701"/>
      <c r="G61" s="1702"/>
      <c r="H61" s="1702"/>
      <c r="I61" s="1702"/>
      <c r="J61" s="1703"/>
      <c r="K61" s="1699"/>
    </row>
    <row r="62" spans="1:12" ht="30" x14ac:dyDescent="0.25">
      <c r="A62" s="2079"/>
      <c r="B62" s="2075"/>
      <c r="C62" s="2076"/>
      <c r="D62" s="1977"/>
      <c r="E62" s="1693" t="s">
        <v>2726</v>
      </c>
      <c r="F62" s="1704"/>
      <c r="G62" s="1702"/>
      <c r="H62" s="1702"/>
      <c r="I62" s="1702"/>
      <c r="J62" s="1703"/>
      <c r="K62" s="1699"/>
    </row>
    <row r="63" spans="1:12" ht="41.45" customHeight="1" x14ac:dyDescent="0.25">
      <c r="A63" s="2079"/>
      <c r="B63" s="2075"/>
      <c r="C63" s="2076"/>
      <c r="D63" s="1977"/>
      <c r="E63" s="1693" t="s">
        <v>2727</v>
      </c>
      <c r="F63" s="1704"/>
      <c r="G63" s="1702"/>
      <c r="H63" s="1702"/>
      <c r="I63" s="1702"/>
      <c r="J63" s="1703"/>
      <c r="K63" s="1699"/>
    </row>
    <row r="64" spans="1:12" ht="41.45" customHeight="1" x14ac:dyDescent="0.25">
      <c r="A64" s="2079"/>
      <c r="B64" s="2075"/>
      <c r="C64" s="2076"/>
      <c r="D64" s="1977"/>
      <c r="E64" s="1693" t="s">
        <v>2728</v>
      </c>
      <c r="F64" s="1704">
        <v>0</v>
      </c>
      <c r="G64" s="1702"/>
      <c r="H64" s="1702"/>
      <c r="I64" s="1702"/>
      <c r="J64" s="1703"/>
      <c r="K64" s="1699"/>
    </row>
    <row r="65" spans="1:12" x14ac:dyDescent="0.25">
      <c r="A65" s="2079"/>
      <c r="B65" s="2075"/>
      <c r="C65" s="2076"/>
      <c r="D65" s="1977"/>
      <c r="E65" s="1693" t="s">
        <v>146</v>
      </c>
      <c r="F65" s="1704">
        <f>F62+F63-F64</f>
        <v>0</v>
      </c>
      <c r="G65" s="1702"/>
      <c r="H65" s="1702"/>
      <c r="I65" s="1702"/>
      <c r="J65" s="1703"/>
      <c r="K65" s="1699"/>
    </row>
    <row r="66" spans="1:12" ht="30" x14ac:dyDescent="0.25">
      <c r="A66" s="2079"/>
      <c r="B66" s="2075"/>
      <c r="C66" s="2076"/>
      <c r="D66" s="1977"/>
      <c r="E66" s="1693" t="s">
        <v>2729</v>
      </c>
      <c r="F66" s="1704"/>
      <c r="G66" s="1702"/>
      <c r="H66" s="1702"/>
      <c r="I66" s="1702"/>
      <c r="J66" s="1703"/>
      <c r="K66" s="1699"/>
    </row>
    <row r="67" spans="1:12" ht="29.25" customHeight="1" thickBot="1" x14ac:dyDescent="0.3">
      <c r="A67" s="2080"/>
      <c r="B67" s="2077"/>
      <c r="C67" s="2078"/>
      <c r="D67" s="1978"/>
      <c r="E67" s="1708" t="s">
        <v>2730</v>
      </c>
      <c r="F67" s="1706" t="str">
        <f>IF(F65-F66=0,"Yes","No")</f>
        <v>Yes</v>
      </c>
      <c r="G67" s="1702"/>
      <c r="H67" s="1702"/>
      <c r="I67" s="1702"/>
      <c r="J67" s="1703"/>
      <c r="K67" s="1699"/>
    </row>
    <row r="68" spans="1:12" ht="20.45" customHeight="1" x14ac:dyDescent="0.25">
      <c r="A68" s="1970">
        <v>14</v>
      </c>
      <c r="B68" s="1973" t="s">
        <v>2731</v>
      </c>
      <c r="C68" s="1973"/>
      <c r="D68" s="1976" t="s">
        <v>1487</v>
      </c>
      <c r="E68" s="2066" t="s">
        <v>2206</v>
      </c>
      <c r="F68" s="2067"/>
      <c r="G68" s="2067"/>
      <c r="H68" s="2068"/>
      <c r="I68" s="1711" t="e">
        <f>ROUND(+SOAS!D49,0)</f>
        <v>#VALUE!</v>
      </c>
      <c r="J68" s="1394"/>
      <c r="K68" s="1395"/>
      <c r="L68" s="1723" t="s">
        <v>2763</v>
      </c>
    </row>
    <row r="69" spans="1:12" x14ac:dyDescent="0.25">
      <c r="A69" s="1971"/>
      <c r="B69" s="1974"/>
      <c r="C69" s="1974"/>
      <c r="D69" s="1977"/>
      <c r="E69" s="2050" t="s">
        <v>2207</v>
      </c>
      <c r="F69" s="2069"/>
      <c r="G69" s="2069"/>
      <c r="H69" s="2051"/>
      <c r="I69" s="1712">
        <f>+TE!L48</f>
        <v>0</v>
      </c>
      <c r="K69" s="1399"/>
    </row>
    <row r="70" spans="1:12" ht="14.1" customHeight="1" x14ac:dyDescent="0.25">
      <c r="A70" s="1971"/>
      <c r="B70" s="1974"/>
      <c r="C70" s="1974"/>
      <c r="D70" s="1977"/>
      <c r="E70" s="2050" t="s">
        <v>2208</v>
      </c>
      <c r="F70" s="2069"/>
      <c r="G70" s="2069"/>
      <c r="H70" s="2051"/>
      <c r="I70" s="1712">
        <f>+TE!D51</f>
        <v>0</v>
      </c>
      <c r="K70" s="1399"/>
    </row>
    <row r="71" spans="1:12" ht="14.1" customHeight="1" x14ac:dyDescent="0.25">
      <c r="A71" s="1971"/>
      <c r="B71" s="1974"/>
      <c r="C71" s="1974"/>
      <c r="D71" s="1977"/>
      <c r="E71" s="1414" t="s">
        <v>2209</v>
      </c>
      <c r="F71" s="1415"/>
      <c r="G71" s="1415"/>
      <c r="H71" s="1416"/>
      <c r="I71" s="1417">
        <f>G30</f>
        <v>9466341</v>
      </c>
      <c r="K71" s="1399"/>
    </row>
    <row r="72" spans="1:12" ht="18.95" customHeight="1" thickBot="1" x14ac:dyDescent="0.3">
      <c r="A72" s="1971"/>
      <c r="B72" s="1974"/>
      <c r="C72" s="1974"/>
      <c r="D72" s="1977"/>
      <c r="E72" s="2028" t="s">
        <v>2210</v>
      </c>
      <c r="F72" s="2029"/>
      <c r="G72" s="2029"/>
      <c r="H72" s="2030"/>
      <c r="I72" s="1722" t="e">
        <f>IF(I68&lt;=I71,I68-I69-I70,I71-I69-I70)</f>
        <v>#VALUE!</v>
      </c>
      <c r="J72" t="e">
        <f>IF(I72&lt;0,"payable", "receivable")</f>
        <v>#VALUE!</v>
      </c>
      <c r="K72" s="1399"/>
    </row>
    <row r="73" spans="1:12" ht="15.75" thickBot="1" x14ac:dyDescent="0.3">
      <c r="A73" s="1971"/>
      <c r="B73" s="1974"/>
      <c r="C73" s="1974"/>
      <c r="D73" s="1977"/>
      <c r="K73" s="1399"/>
    </row>
    <row r="74" spans="1:12" ht="30.95" customHeight="1" x14ac:dyDescent="0.25">
      <c r="A74" s="1971"/>
      <c r="B74" s="1974"/>
      <c r="C74" s="1974"/>
      <c r="D74" s="1977"/>
      <c r="E74" s="2031" t="s">
        <v>2211</v>
      </c>
      <c r="F74" s="2032"/>
      <c r="G74" s="2032"/>
      <c r="H74" s="2032"/>
      <c r="I74" s="1711">
        <f>-(+'Note 12'!E21+'Note 13'!E27)</f>
        <v>0</v>
      </c>
    </row>
    <row r="75" spans="1:12" ht="24" customHeight="1" thickBot="1" x14ac:dyDescent="0.3">
      <c r="A75" s="1971"/>
      <c r="B75" s="1974"/>
      <c r="C75" s="1974"/>
      <c r="D75" s="1977"/>
      <c r="E75" s="2062" t="s">
        <v>63</v>
      </c>
      <c r="F75" s="2063"/>
      <c r="G75" s="2063"/>
      <c r="H75" s="2063"/>
      <c r="I75" s="1408" t="e">
        <f>IF(I72=I74,"No issue", "Error")</f>
        <v>#VALUE!</v>
      </c>
    </row>
    <row r="76" spans="1:12" ht="18" customHeight="1" x14ac:dyDescent="0.25">
      <c r="A76" s="1971"/>
      <c r="B76" s="1974"/>
      <c r="C76" s="1974"/>
      <c r="D76" s="1977"/>
    </row>
    <row r="77" spans="1:12" ht="20.100000000000001" customHeight="1" x14ac:dyDescent="0.25">
      <c r="A77" s="1971"/>
      <c r="B77" s="1974"/>
      <c r="C77" s="1974"/>
      <c r="D77" s="1977"/>
      <c r="E77" s="1988" t="s">
        <v>2733</v>
      </c>
      <c r="F77" s="1988"/>
      <c r="G77" s="1988"/>
      <c r="H77" s="1988"/>
      <c r="I77" s="1988"/>
      <c r="J77" s="1988"/>
      <c r="K77" s="1989"/>
    </row>
    <row r="78" spans="1:12" ht="18" customHeight="1" thickBot="1" x14ac:dyDescent="0.3">
      <c r="A78" s="1972"/>
      <c r="B78" s="1975"/>
      <c r="C78" s="1975"/>
      <c r="D78" s="1978"/>
      <c r="E78" s="1949"/>
      <c r="F78" s="1949"/>
      <c r="G78" s="1949"/>
      <c r="H78" s="1949"/>
      <c r="I78" s="1949"/>
      <c r="J78" s="1949"/>
      <c r="K78" s="1949"/>
    </row>
    <row r="79" spans="1:12" ht="20.45" customHeight="1" x14ac:dyDescent="0.25">
      <c r="A79" s="1970">
        <v>15</v>
      </c>
      <c r="B79" s="1973" t="s">
        <v>2734</v>
      </c>
      <c r="C79" s="1973"/>
      <c r="D79" s="1976" t="s">
        <v>727</v>
      </c>
      <c r="E79" s="2064" t="s">
        <v>2212</v>
      </c>
      <c r="F79" s="2065"/>
      <c r="G79" s="2065"/>
      <c r="H79" s="2065"/>
      <c r="I79" s="1403"/>
      <c r="J79" s="1394"/>
      <c r="K79" s="1395"/>
    </row>
    <row r="80" spans="1:12" ht="35.1" customHeight="1" x14ac:dyDescent="0.25">
      <c r="A80" s="1971"/>
      <c r="B80" s="1974"/>
      <c r="C80" s="1974"/>
      <c r="D80" s="1977"/>
      <c r="E80" s="2061" t="s">
        <v>2213</v>
      </c>
      <c r="F80" s="1996"/>
      <c r="G80" s="1996"/>
      <c r="H80" s="1996"/>
      <c r="I80" s="1406"/>
      <c r="K80" s="1399"/>
    </row>
    <row r="81" spans="1:11" ht="28.5" customHeight="1" x14ac:dyDescent="0.25">
      <c r="A81" s="1971"/>
      <c r="B81" s="1974"/>
      <c r="C81" s="1974"/>
      <c r="D81" s="1977"/>
      <c r="E81" s="2061" t="s">
        <v>2214</v>
      </c>
      <c r="F81" s="1996"/>
      <c r="G81" s="1996"/>
      <c r="H81" s="1996"/>
      <c r="I81" s="1406"/>
      <c r="K81" s="1399"/>
    </row>
    <row r="82" spans="1:11" ht="30.6" customHeight="1" x14ac:dyDescent="0.25">
      <c r="A82" s="1971"/>
      <c r="B82" s="1974"/>
      <c r="C82" s="1974"/>
      <c r="D82" s="1977"/>
      <c r="E82" s="2061" t="s">
        <v>2215</v>
      </c>
      <c r="F82" s="1996"/>
      <c r="G82" s="1996"/>
      <c r="H82" s="1996"/>
      <c r="I82" s="1406"/>
      <c r="K82" s="1399"/>
    </row>
    <row r="83" spans="1:11" ht="30" customHeight="1" x14ac:dyDescent="0.25">
      <c r="A83" s="1971"/>
      <c r="B83" s="1974"/>
      <c r="C83" s="1974"/>
      <c r="D83" s="1977"/>
      <c r="E83" s="2033" t="s">
        <v>2216</v>
      </c>
      <c r="F83" s="2034"/>
      <c r="G83" s="2034"/>
      <c r="H83" s="2035"/>
      <c r="I83" s="1406"/>
      <c r="K83" s="1399"/>
    </row>
    <row r="84" spans="1:11" x14ac:dyDescent="0.25">
      <c r="A84" s="1971"/>
      <c r="B84" s="1974"/>
      <c r="C84" s="1974"/>
      <c r="D84" s="1977"/>
      <c r="E84" s="2036" t="s">
        <v>2217</v>
      </c>
      <c r="F84" s="2037"/>
      <c r="G84" s="2037"/>
      <c r="H84" s="2037"/>
      <c r="I84" s="1406"/>
      <c r="K84" s="1399"/>
    </row>
    <row r="85" spans="1:11" x14ac:dyDescent="0.25">
      <c r="A85" s="1971"/>
      <c r="B85" s="1974"/>
      <c r="C85" s="1974"/>
      <c r="D85" s="1977"/>
      <c r="E85" s="2015" t="s">
        <v>2218</v>
      </c>
      <c r="F85" s="1994"/>
      <c r="G85" s="1994"/>
      <c r="H85" s="1995"/>
      <c r="I85" s="1406"/>
      <c r="K85" s="1399"/>
    </row>
    <row r="86" spans="1:11" ht="15.75" thickBot="1" x14ac:dyDescent="0.3">
      <c r="A86" s="1971"/>
      <c r="B86" s="1974"/>
      <c r="C86" s="1974"/>
      <c r="D86" s="1977"/>
      <c r="E86" s="2006" t="s">
        <v>63</v>
      </c>
      <c r="F86" s="2007"/>
      <c r="G86" s="2007"/>
      <c r="H86" s="2008"/>
      <c r="I86" s="1408" t="str">
        <f>IF(SUM(I79-I80+I81+I82-I83+I84)&lt;&gt;I85,"Mis-match", "No issue")</f>
        <v>No issue</v>
      </c>
      <c r="K86" s="1399"/>
    </row>
    <row r="87" spans="1:11" x14ac:dyDescent="0.25">
      <c r="A87" s="1971"/>
      <c r="B87" s="1974"/>
      <c r="C87" s="1974"/>
      <c r="D87" s="1977"/>
      <c r="K87" s="1399"/>
    </row>
    <row r="88" spans="1:11" x14ac:dyDescent="0.25">
      <c r="A88" s="1971"/>
      <c r="B88" s="1974"/>
      <c r="C88" s="1974"/>
      <c r="D88" s="1977"/>
      <c r="E88" s="1988" t="s">
        <v>2733</v>
      </c>
      <c r="F88" s="1988"/>
      <c r="G88" s="1988"/>
      <c r="H88" s="1988"/>
      <c r="I88" s="1988"/>
      <c r="J88" s="1988"/>
      <c r="K88" s="1989"/>
    </row>
    <row r="89" spans="1:11" ht="159" customHeight="1" x14ac:dyDescent="0.25">
      <c r="A89" s="1972"/>
      <c r="B89" s="1975"/>
      <c r="C89" s="1975"/>
      <c r="D89" s="1978"/>
      <c r="E89" s="1949"/>
      <c r="F89" s="1949"/>
      <c r="G89" s="1949"/>
      <c r="H89" s="1949"/>
      <c r="I89" s="1949"/>
      <c r="J89" s="1949"/>
      <c r="K89" s="1949"/>
    </row>
    <row r="90" spans="1:11" ht="15.75" thickBot="1" x14ac:dyDescent="0.3">
      <c r="A90" s="2060" t="s">
        <v>2219</v>
      </c>
      <c r="B90" s="2060"/>
      <c r="C90" s="2060"/>
      <c r="D90" s="2060"/>
      <c r="E90" s="2060"/>
      <c r="F90" s="2060"/>
      <c r="G90" s="2060"/>
      <c r="H90" s="2060"/>
      <c r="I90" s="2060"/>
      <c r="J90" s="2060"/>
      <c r="K90" s="2060"/>
    </row>
    <row r="91" spans="1:11" ht="144.6" hidden="1" customHeight="1" x14ac:dyDescent="0.25">
      <c r="A91" s="1387">
        <v>16</v>
      </c>
      <c r="B91" s="1949" t="s">
        <v>2735</v>
      </c>
      <c r="C91" s="1967"/>
      <c r="D91" s="1388" t="s">
        <v>1487</v>
      </c>
      <c r="E91" s="1949"/>
      <c r="F91" s="1949"/>
      <c r="G91" s="1949"/>
      <c r="H91" s="1949"/>
      <c r="I91" s="1949"/>
      <c r="J91" s="1949"/>
      <c r="K91" s="1949"/>
    </row>
    <row r="92" spans="1:11" ht="30" hidden="1" customHeight="1" x14ac:dyDescent="0.25">
      <c r="A92" s="1966">
        <v>17</v>
      </c>
      <c r="B92" s="1967" t="s">
        <v>2220</v>
      </c>
      <c r="C92" s="1967"/>
      <c r="D92" s="1388" t="s">
        <v>1487</v>
      </c>
      <c r="E92" s="1949"/>
      <c r="F92" s="1949"/>
      <c r="G92" s="1949"/>
      <c r="H92" s="1949"/>
      <c r="I92" s="1949"/>
      <c r="J92" s="1949"/>
      <c r="K92" s="1949"/>
    </row>
    <row r="93" spans="1:11" ht="30.95" hidden="1" customHeight="1" x14ac:dyDescent="0.25">
      <c r="A93" s="1966"/>
      <c r="B93" s="1949" t="s">
        <v>2736</v>
      </c>
      <c r="C93" s="1949"/>
      <c r="D93" s="1388" t="s">
        <v>1487</v>
      </c>
      <c r="E93" s="1949"/>
      <c r="F93" s="1949"/>
      <c r="G93" s="1949"/>
      <c r="H93" s="1949"/>
      <c r="I93" s="1949"/>
      <c r="J93" s="1949"/>
      <c r="K93" s="1949"/>
    </row>
    <row r="94" spans="1:11" ht="56.25" hidden="1" customHeight="1" x14ac:dyDescent="0.25">
      <c r="A94" s="1966"/>
      <c r="B94" s="1949" t="s">
        <v>2737</v>
      </c>
      <c r="C94" s="1967"/>
      <c r="D94" s="1388" t="s">
        <v>1487</v>
      </c>
      <c r="E94" s="1949"/>
      <c r="F94" s="1949"/>
      <c r="G94" s="1949"/>
      <c r="H94" s="1949"/>
      <c r="I94" s="1949"/>
      <c r="J94" s="1949"/>
      <c r="K94" s="1949"/>
    </row>
    <row r="95" spans="1:11" ht="118.5" hidden="1" customHeight="1" x14ac:dyDescent="0.25">
      <c r="A95" s="1387">
        <v>18</v>
      </c>
      <c r="B95" s="1949" t="s">
        <v>2738</v>
      </c>
      <c r="C95" s="1967"/>
      <c r="D95" s="1388" t="s">
        <v>1487</v>
      </c>
      <c r="E95" s="1949"/>
      <c r="F95" s="1949"/>
      <c r="G95" s="1949"/>
      <c r="H95" s="1949"/>
      <c r="I95" s="1949"/>
      <c r="J95" s="1949"/>
      <c r="K95" s="1949"/>
    </row>
    <row r="96" spans="1:11" ht="307.5" hidden="1" customHeight="1" thickBot="1" x14ac:dyDescent="0.3">
      <c r="A96" s="1387">
        <v>19</v>
      </c>
      <c r="B96" s="1949" t="s">
        <v>2739</v>
      </c>
      <c r="C96" s="1967"/>
      <c r="D96" s="1388" t="s">
        <v>1487</v>
      </c>
      <c r="E96" s="1949"/>
      <c r="F96" s="1949"/>
      <c r="G96" s="1949"/>
      <c r="H96" s="1949"/>
      <c r="I96" s="1949"/>
      <c r="J96" s="1949"/>
      <c r="K96" s="1949"/>
    </row>
    <row r="97" spans="1:16" ht="14.1" customHeight="1" x14ac:dyDescent="0.25">
      <c r="A97" s="1966">
        <v>20</v>
      </c>
      <c r="B97" s="1949" t="s">
        <v>2221</v>
      </c>
      <c r="C97" s="1949"/>
      <c r="D97" s="2052" t="s">
        <v>1487</v>
      </c>
      <c r="E97" s="1418"/>
      <c r="F97" s="1419"/>
      <c r="G97" s="1419"/>
      <c r="H97" s="1419" t="s">
        <v>1034</v>
      </c>
      <c r="I97" s="1419" t="s">
        <v>2222</v>
      </c>
      <c r="J97" s="1420" t="s">
        <v>63</v>
      </c>
      <c r="K97" s="1421" t="s">
        <v>2740</v>
      </c>
    </row>
    <row r="98" spans="1:16" x14ac:dyDescent="0.25">
      <c r="A98" s="1966"/>
      <c r="B98" s="1949"/>
      <c r="C98" s="1949"/>
      <c r="D98" s="2052"/>
      <c r="E98" s="2024" t="s">
        <v>2741</v>
      </c>
      <c r="F98" s="2025"/>
      <c r="G98" s="2025"/>
      <c r="H98" s="1719"/>
      <c r="I98" s="1719"/>
      <c r="J98" s="1423" t="str">
        <f>IF(H98&lt;&gt;I98,"Issue","Ok")</f>
        <v>Ok</v>
      </c>
      <c r="K98" s="1421"/>
      <c r="P98" s="330"/>
    </row>
    <row r="99" spans="1:16" x14ac:dyDescent="0.25">
      <c r="A99" s="1966"/>
      <c r="B99" s="1949"/>
      <c r="C99" s="1949"/>
      <c r="D99" s="2052"/>
      <c r="E99" s="2024" t="s">
        <v>2742</v>
      </c>
      <c r="F99" s="1967"/>
      <c r="G99" s="1967"/>
      <c r="H99" s="1713">
        <f>+'SoAS 3'!D15</f>
        <v>0</v>
      </c>
      <c r="I99" s="1713">
        <f>ROUNDUP(SUM(GIA!F7:W7)-TE!D55,0)</f>
        <v>0</v>
      </c>
      <c r="J99" s="1423" t="str">
        <f t="shared" ref="J99:J105" si="1">IF(H99&lt;&gt;I99,"Issue","Ok")</f>
        <v>Ok</v>
      </c>
      <c r="K99" s="1421"/>
      <c r="L99" s="1723" t="s">
        <v>2764</v>
      </c>
      <c r="P99" s="330"/>
    </row>
    <row r="100" spans="1:16" x14ac:dyDescent="0.25">
      <c r="A100" s="1966"/>
      <c r="B100" s="1949"/>
      <c r="C100" s="1949"/>
      <c r="D100" s="1976" t="s">
        <v>1487</v>
      </c>
      <c r="E100" s="1694" t="s">
        <v>160</v>
      </c>
      <c r="F100" s="1424"/>
      <c r="G100" s="1424"/>
      <c r="H100" s="1713">
        <f>-'SoAS 3'!D18</f>
        <v>0</v>
      </c>
      <c r="I100" s="1713" t="e">
        <f>+SCNE!D25</f>
        <v>#VALUE!</v>
      </c>
      <c r="J100" s="1423" t="e">
        <f>IF(H100&lt;&gt;I100,"Issue","Ok")</f>
        <v>#VALUE!</v>
      </c>
      <c r="K100" s="1421"/>
      <c r="P100" s="330"/>
    </row>
    <row r="101" spans="1:16" x14ac:dyDescent="0.25">
      <c r="A101" s="1966"/>
      <c r="B101" s="1949"/>
      <c r="C101" s="1949"/>
      <c r="D101" s="1977"/>
      <c r="E101" s="2024" t="s">
        <v>2223</v>
      </c>
      <c r="F101" s="1967"/>
      <c r="G101" s="1967"/>
      <c r="H101" s="1713">
        <f>+'SoAS 3'!D19</f>
        <v>0</v>
      </c>
      <c r="I101" s="1713" t="e">
        <f>-SCNE!D27</f>
        <v>#VALUE!</v>
      </c>
      <c r="J101" s="1423" t="e">
        <f t="shared" si="1"/>
        <v>#VALUE!</v>
      </c>
      <c r="K101" s="1421"/>
      <c r="P101" s="1720"/>
    </row>
    <row r="102" spans="1:16" x14ac:dyDescent="0.25">
      <c r="A102" s="1966"/>
      <c r="B102" s="1949"/>
      <c r="C102" s="1949"/>
      <c r="D102" s="1977"/>
      <c r="E102" s="2024" t="s">
        <v>2743</v>
      </c>
      <c r="F102" s="1967"/>
      <c r="G102" s="1967"/>
      <c r="H102" s="1713"/>
      <c r="I102" s="1713"/>
      <c r="J102" s="1423" t="str">
        <f t="shared" si="1"/>
        <v>Ok</v>
      </c>
      <c r="K102" s="1421"/>
      <c r="P102" s="330"/>
    </row>
    <row r="103" spans="1:16" x14ac:dyDescent="0.25">
      <c r="A103" s="1966"/>
      <c r="B103" s="1949"/>
      <c r="C103" s="1949"/>
      <c r="D103" s="1977"/>
      <c r="E103" s="2053" t="s">
        <v>2224</v>
      </c>
      <c r="F103" s="2054"/>
      <c r="G103" s="2054"/>
      <c r="H103" s="1713"/>
      <c r="I103" s="1713"/>
      <c r="J103" s="1423" t="str">
        <f t="shared" si="1"/>
        <v>Ok</v>
      </c>
      <c r="K103" s="1421"/>
      <c r="P103" s="330"/>
    </row>
    <row r="104" spans="1:16" x14ac:dyDescent="0.25">
      <c r="A104" s="1966"/>
      <c r="B104" s="1949"/>
      <c r="C104" s="1949"/>
      <c r="D104" s="1977"/>
      <c r="E104" s="2021" t="s">
        <v>2225</v>
      </c>
      <c r="F104" s="1967"/>
      <c r="G104" s="1967"/>
      <c r="H104" s="1713">
        <f>+'SoAS 3'!D26</f>
        <v>0</v>
      </c>
      <c r="I104" s="1713">
        <f>-SCF!D30</f>
        <v>0</v>
      </c>
      <c r="J104" s="1423" t="str">
        <f t="shared" si="1"/>
        <v>Ok</v>
      </c>
      <c r="K104" s="1421"/>
    </row>
    <row r="105" spans="1:16" ht="15.75" thickBot="1" x14ac:dyDescent="0.3">
      <c r="A105" s="1966"/>
      <c r="B105" s="1949"/>
      <c r="C105" s="1949"/>
      <c r="D105" s="1977"/>
      <c r="E105" s="2058" t="s">
        <v>2744</v>
      </c>
      <c r="F105" s="2059"/>
      <c r="G105" s="2059"/>
      <c r="H105" s="1714"/>
      <c r="I105" s="1714"/>
      <c r="J105" s="1426" t="str">
        <f t="shared" si="1"/>
        <v>Ok</v>
      </c>
      <c r="K105" s="1421"/>
    </row>
    <row r="106" spans="1:16" x14ac:dyDescent="0.25">
      <c r="A106" s="1966"/>
      <c r="B106" s="1949"/>
      <c r="C106" s="1949"/>
      <c r="D106" s="1977"/>
      <c r="E106" s="1427"/>
      <c r="F106" s="1427"/>
      <c r="G106" s="1427"/>
      <c r="H106" s="1427"/>
      <c r="I106" s="1427"/>
      <c r="J106" s="1427"/>
      <c r="K106" s="1388"/>
    </row>
    <row r="107" spans="1:16" x14ac:dyDescent="0.25">
      <c r="A107" s="1966"/>
      <c r="B107" s="1949"/>
      <c r="C107" s="1949"/>
      <c r="D107" s="1977"/>
      <c r="E107" s="2055" t="s">
        <v>2283</v>
      </c>
      <c r="F107" s="2055"/>
      <c r="G107" s="2055"/>
      <c r="H107" s="2055"/>
      <c r="I107" s="2055"/>
      <c r="J107" s="2055"/>
      <c r="K107" s="2055"/>
    </row>
    <row r="108" spans="1:16" ht="15.75" thickBot="1" x14ac:dyDescent="0.3">
      <c r="A108" s="1966"/>
      <c r="B108" s="1949"/>
      <c r="C108" s="1949"/>
      <c r="D108" s="1977"/>
      <c r="E108" s="1949"/>
      <c r="F108" s="1949"/>
      <c r="G108" s="1949"/>
      <c r="H108" s="1949"/>
      <c r="I108" s="1949"/>
      <c r="J108" s="1949"/>
      <c r="K108" s="1949"/>
    </row>
    <row r="109" spans="1:16" x14ac:dyDescent="0.25">
      <c r="A109" s="1966"/>
      <c r="B109" s="1949"/>
      <c r="C109" s="1949"/>
      <c r="D109" s="1977"/>
      <c r="E109" s="2056"/>
      <c r="F109" s="2057"/>
      <c r="G109" s="1419" t="s">
        <v>2226</v>
      </c>
      <c r="H109" s="1419" t="s">
        <v>2227</v>
      </c>
      <c r="I109" s="1419" t="s">
        <v>2228</v>
      </c>
      <c r="J109" s="1419" t="s">
        <v>1034</v>
      </c>
      <c r="K109" s="1420" t="s">
        <v>63</v>
      </c>
      <c r="L109" s="1723" t="s">
        <v>2763</v>
      </c>
    </row>
    <row r="110" spans="1:16" x14ac:dyDescent="0.25">
      <c r="A110" s="1966"/>
      <c r="B110" s="1949"/>
      <c r="C110" s="1949"/>
      <c r="D110" s="1977"/>
      <c r="E110" s="2024" t="s">
        <v>293</v>
      </c>
      <c r="F110" s="2025"/>
      <c r="G110" s="1422">
        <f>+'Notes 10 &amp; 11'!C14</f>
        <v>0</v>
      </c>
      <c r="H110" s="1422">
        <f>+'Notes 10 &amp; 11'!G14</f>
        <v>1088</v>
      </c>
      <c r="I110" s="1388">
        <f>G110-H110</f>
        <v>-1088</v>
      </c>
      <c r="J110" s="1422">
        <f>+I110</f>
        <v>-1088</v>
      </c>
      <c r="K110" s="1423" t="str">
        <f t="shared" ref="K110:K112" si="2">IF(I110&lt;&gt;J110,"Issue","Ok")</f>
        <v>Ok</v>
      </c>
    </row>
    <row r="111" spans="1:16" x14ac:dyDescent="0.25">
      <c r="A111" s="1966"/>
      <c r="B111" s="1949"/>
      <c r="C111" s="1949"/>
      <c r="D111" s="1977"/>
      <c r="E111" s="2021"/>
      <c r="F111" s="1967"/>
      <c r="G111" s="1388"/>
      <c r="H111" s="1388"/>
      <c r="I111" s="1388"/>
      <c r="J111" s="1388"/>
      <c r="K111" s="1423"/>
    </row>
    <row r="112" spans="1:16" x14ac:dyDescent="0.25">
      <c r="A112" s="1966"/>
      <c r="B112" s="1949"/>
      <c r="C112" s="1949"/>
      <c r="D112" s="1977"/>
      <c r="E112" s="2024" t="s">
        <v>1119</v>
      </c>
      <c r="F112" s="2025"/>
      <c r="G112" s="1422">
        <f>+'Note 12'!C47</f>
        <v>0</v>
      </c>
      <c r="H112" s="1422">
        <f>+'Note 12'!G47</f>
        <v>25244</v>
      </c>
      <c r="I112" s="1388">
        <f>(G112-H112)+SUM(H115:H117)-SUM(G115:G117)</f>
        <v>-25244</v>
      </c>
      <c r="J112" s="1422">
        <f>+I112</f>
        <v>-25244</v>
      </c>
      <c r="K112" s="1423" t="str">
        <f t="shared" si="2"/>
        <v>Ok</v>
      </c>
    </row>
    <row r="113" spans="1:15" x14ac:dyDescent="0.25">
      <c r="A113" s="1966"/>
      <c r="B113" s="1949"/>
      <c r="C113" s="1949"/>
      <c r="D113" s="1977"/>
      <c r="E113" s="2021"/>
      <c r="F113" s="1967"/>
      <c r="G113" s="1388"/>
      <c r="H113" s="1388"/>
      <c r="I113" s="1388"/>
      <c r="J113" s="1388"/>
      <c r="K113" s="1423"/>
    </row>
    <row r="114" spans="1:15" x14ac:dyDescent="0.25">
      <c r="A114" s="1966"/>
      <c r="B114" s="1949"/>
      <c r="C114" s="1949"/>
      <c r="D114" s="1977"/>
      <c r="E114" s="2021" t="s">
        <v>2229</v>
      </c>
      <c r="F114" s="1967"/>
      <c r="G114" s="1388"/>
      <c r="H114" s="1388"/>
      <c r="I114" s="1388"/>
      <c r="J114" s="1388"/>
      <c r="K114" s="1423"/>
    </row>
    <row r="115" spans="1:15" x14ac:dyDescent="0.25">
      <c r="A115" s="1966"/>
      <c r="B115" s="1949"/>
      <c r="C115" s="1949"/>
      <c r="D115" s="1977"/>
      <c r="E115" s="2021" t="s">
        <v>2745</v>
      </c>
      <c r="F115" s="1967"/>
      <c r="G115" s="1422">
        <v>0</v>
      </c>
      <c r="H115" s="1422">
        <v>0</v>
      </c>
      <c r="I115" s="1428"/>
      <c r="J115" s="1428"/>
      <c r="K115" s="1429"/>
    </row>
    <row r="116" spans="1:15" x14ac:dyDescent="0.25">
      <c r="A116" s="1966"/>
      <c r="B116" s="1949"/>
      <c r="C116" s="1949"/>
      <c r="D116" s="1977"/>
      <c r="E116" s="2021" t="s">
        <v>2231</v>
      </c>
      <c r="F116" s="1967"/>
      <c r="G116" s="1422"/>
      <c r="H116" s="1422"/>
      <c r="I116" s="1428"/>
      <c r="J116" s="1428"/>
      <c r="K116" s="1429"/>
    </row>
    <row r="117" spans="1:15" x14ac:dyDescent="0.25">
      <c r="A117" s="1966"/>
      <c r="B117" s="1949"/>
      <c r="C117" s="1949"/>
      <c r="D117" s="1977"/>
      <c r="E117" s="2021" t="s">
        <v>2232</v>
      </c>
      <c r="F117" s="1967"/>
      <c r="G117" s="1422"/>
      <c r="H117" s="1422"/>
      <c r="I117" s="1428"/>
      <c r="J117" s="1428"/>
      <c r="K117" s="1429"/>
    </row>
    <row r="118" spans="1:15" x14ac:dyDescent="0.25">
      <c r="A118" s="1966"/>
      <c r="B118" s="1949"/>
      <c r="C118" s="1949"/>
      <c r="D118" s="1977"/>
      <c r="E118" s="2021"/>
      <c r="F118" s="1967"/>
      <c r="G118" s="1388"/>
      <c r="H118" s="1388"/>
      <c r="I118" s="1388"/>
      <c r="J118" s="1388"/>
      <c r="K118" s="1423"/>
    </row>
    <row r="119" spans="1:15" x14ac:dyDescent="0.25">
      <c r="A119" s="1966"/>
      <c r="B119" s="1949"/>
      <c r="C119" s="1949"/>
      <c r="D119" s="1977"/>
      <c r="E119" s="2024" t="s">
        <v>2233</v>
      </c>
      <c r="F119" s="2025"/>
      <c r="G119" s="1713">
        <f>'Note 13'!C59-'Note 13'!C11</f>
        <v>0</v>
      </c>
      <c r="H119" s="1713">
        <f>'Note 13'!G59-'Note 13'!G11</f>
        <v>212565</v>
      </c>
      <c r="I119" s="1800">
        <f>(H119-G119)-SUM(H121:H126)+SUM(G121:G126)</f>
        <v>182633</v>
      </c>
      <c r="J119" s="1422">
        <f>+J128-J112-J110</f>
        <v>26332</v>
      </c>
      <c r="K119" s="1423" t="str">
        <f t="shared" ref="K119" si="3">IF(I119&lt;&gt;J119,"Issue","Ok")</f>
        <v>Issue</v>
      </c>
      <c r="O119" s="1674"/>
    </row>
    <row r="120" spans="1:15" x14ac:dyDescent="0.25">
      <c r="A120" s="1966"/>
      <c r="B120" s="1949"/>
      <c r="C120" s="1949"/>
      <c r="D120" s="1977"/>
      <c r="E120" s="2021" t="s">
        <v>2234</v>
      </c>
      <c r="F120" s="1967"/>
      <c r="G120" s="1799"/>
      <c r="H120" s="1799"/>
      <c r="I120" s="1388"/>
      <c r="J120" s="1388"/>
      <c r="K120" s="1423"/>
    </row>
    <row r="121" spans="1:15" x14ac:dyDescent="0.25">
      <c r="A121" s="1966"/>
      <c r="B121" s="1949"/>
      <c r="C121" s="1949"/>
      <c r="D121" s="1977"/>
      <c r="E121" s="2021" t="s">
        <v>2235</v>
      </c>
      <c r="F121" s="1967"/>
      <c r="G121" s="1713">
        <f>'Note 13'!C27</f>
        <v>0</v>
      </c>
      <c r="H121" s="1713">
        <f>'Note 13'!G27</f>
        <v>27203</v>
      </c>
      <c r="I121" s="1428"/>
      <c r="J121" s="1428"/>
      <c r="K121" s="1429"/>
      <c r="L121" s="1674"/>
      <c r="M121" s="1674"/>
    </row>
    <row r="122" spans="1:15" x14ac:dyDescent="0.25">
      <c r="A122" s="1966"/>
      <c r="B122" s="1949"/>
      <c r="C122" s="1949"/>
      <c r="D122" s="1977"/>
      <c r="E122" s="2021" t="s">
        <v>2236</v>
      </c>
      <c r="F122" s="1967"/>
      <c r="G122" s="1713">
        <f>'Note 13'!C29</f>
        <v>0</v>
      </c>
      <c r="H122" s="1713">
        <f>'Note 13'!G29</f>
        <v>1419</v>
      </c>
      <c r="I122" s="1428"/>
      <c r="J122" s="1428"/>
      <c r="K122" s="1429"/>
      <c r="L122" s="1674"/>
    </row>
    <row r="123" spans="1:15" x14ac:dyDescent="0.25">
      <c r="A123" s="1966"/>
      <c r="B123" s="1949"/>
      <c r="C123" s="1949"/>
      <c r="D123" s="1977"/>
      <c r="E123" s="2021" t="s">
        <v>2237</v>
      </c>
      <c r="F123" s="1967"/>
      <c r="G123" s="1713"/>
      <c r="H123" s="1713"/>
      <c r="I123" s="1428"/>
      <c r="J123" s="1428"/>
      <c r="K123" s="1429"/>
    </row>
    <row r="124" spans="1:15" x14ac:dyDescent="0.25">
      <c r="A124" s="1966"/>
      <c r="B124" s="1949"/>
      <c r="C124" s="1949"/>
      <c r="D124" s="1977"/>
      <c r="E124" s="2021" t="s">
        <v>2823</v>
      </c>
      <c r="F124" s="1967"/>
      <c r="G124" s="1713">
        <f>-(-'Note 13'!C15-'Note 13'!C16-'Note 13'!C20-'Note 13'!C21)</f>
        <v>0</v>
      </c>
      <c r="H124" s="1713">
        <f>-(-'Note 13'!G15-'Note 13'!G16-'Note 13'!G20-'Note 13'!G21)</f>
        <v>1310</v>
      </c>
      <c r="I124" s="1428"/>
      <c r="J124" s="1428"/>
      <c r="K124" s="1429"/>
      <c r="L124" s="1674"/>
    </row>
    <row r="125" spans="1:15" x14ac:dyDescent="0.25">
      <c r="A125" s="1966"/>
      <c r="B125" s="1949"/>
      <c r="C125" s="1949"/>
      <c r="D125" s="1977"/>
      <c r="E125" s="2021" t="s">
        <v>2232</v>
      </c>
      <c r="F125" s="1967"/>
      <c r="G125" s="1713"/>
      <c r="H125" s="1713"/>
      <c r="I125" s="1428"/>
      <c r="J125" s="1428"/>
      <c r="K125" s="1429"/>
      <c r="L125" s="1674"/>
      <c r="M125" s="1674"/>
    </row>
    <row r="126" spans="1:15" x14ac:dyDescent="0.25">
      <c r="A126" s="1966"/>
      <c r="B126" s="1949"/>
      <c r="C126" s="1949"/>
      <c r="D126" s="1977"/>
      <c r="E126" s="2021" t="s">
        <v>2232</v>
      </c>
      <c r="F126" s="1967"/>
      <c r="G126" s="1713"/>
      <c r="H126" s="1713"/>
      <c r="I126" s="1428"/>
      <c r="J126" s="1428"/>
      <c r="K126" s="1429"/>
    </row>
    <row r="127" spans="1:15" x14ac:dyDescent="0.25">
      <c r="A127" s="1966"/>
      <c r="B127" s="1949"/>
      <c r="C127" s="1949"/>
      <c r="D127" s="1977"/>
      <c r="E127" s="2021"/>
      <c r="F127" s="1967"/>
      <c r="G127" s="1388"/>
      <c r="H127" s="1388"/>
      <c r="I127" s="1388"/>
      <c r="J127" s="1388"/>
      <c r="K127" s="1423"/>
    </row>
    <row r="128" spans="1:15" ht="31.5" customHeight="1" x14ac:dyDescent="0.25">
      <c r="A128" s="1966"/>
      <c r="B128" s="1949"/>
      <c r="C128" s="1949"/>
      <c r="D128" s="1977"/>
      <c r="E128" s="2022" t="s">
        <v>2238</v>
      </c>
      <c r="F128" s="2023"/>
      <c r="G128" s="1428"/>
      <c r="H128" s="1428"/>
      <c r="I128" s="1388">
        <f>I110+I112+I119</f>
        <v>156301</v>
      </c>
      <c r="J128" s="1422">
        <f>+'SoAS 3'!D25</f>
        <v>0</v>
      </c>
      <c r="K128" s="1423" t="str">
        <f>IF(I128&lt;&gt;J128,"Issue","Ok")</f>
        <v>Issue</v>
      </c>
    </row>
    <row r="129" spans="1:12" x14ac:dyDescent="0.25">
      <c r="A129" s="1966"/>
      <c r="B129" s="1949"/>
      <c r="C129" s="1949"/>
      <c r="D129" s="1977"/>
      <c r="E129" s="2024"/>
      <c r="F129" s="2025"/>
      <c r="G129" s="1388"/>
      <c r="H129" s="1388"/>
      <c r="I129" s="1388"/>
      <c r="J129" s="1388"/>
      <c r="K129" s="1423"/>
    </row>
    <row r="130" spans="1:12" ht="15.75" thickBot="1" x14ac:dyDescent="0.3">
      <c r="A130" s="1966"/>
      <c r="B130" s="1949"/>
      <c r="C130" s="1949"/>
      <c r="D130" s="1977"/>
      <c r="E130" s="2026" t="s">
        <v>2239</v>
      </c>
      <c r="F130" s="2027"/>
      <c r="G130" s="1425">
        <f>+'Note 13'!C57</f>
        <v>0</v>
      </c>
      <c r="H130" s="1425">
        <f>+'Note 13'!G57</f>
        <v>178</v>
      </c>
      <c r="I130" s="1430">
        <f>H130-G130</f>
        <v>178</v>
      </c>
      <c r="J130" s="1425">
        <f>+I130</f>
        <v>178</v>
      </c>
      <c r="K130" s="1426" t="str">
        <f>IF(I130&lt;&gt;J130,"Issue","Ok")</f>
        <v>Ok</v>
      </c>
    </row>
    <row r="131" spans="1:12" x14ac:dyDescent="0.25">
      <c r="A131" s="1966"/>
      <c r="B131" s="1949"/>
      <c r="C131" s="1949"/>
      <c r="D131" s="1977"/>
      <c r="E131" s="1427"/>
      <c r="F131" s="1427"/>
      <c r="G131" s="1427"/>
      <c r="H131" s="1427"/>
      <c r="I131" s="1427"/>
      <c r="J131" s="1427"/>
      <c r="K131" s="1427"/>
    </row>
    <row r="132" spans="1:12" x14ac:dyDescent="0.25">
      <c r="A132" s="1966"/>
      <c r="B132" s="1949"/>
      <c r="C132" s="1949"/>
      <c r="D132" s="1977"/>
      <c r="E132" s="2055" t="s">
        <v>2283</v>
      </c>
      <c r="F132" s="2055"/>
      <c r="G132" s="2055"/>
      <c r="H132" s="2055"/>
      <c r="I132" s="2055"/>
      <c r="J132" s="2055"/>
      <c r="K132" s="2055"/>
      <c r="L132" s="1431"/>
    </row>
    <row r="133" spans="1:12" x14ac:dyDescent="0.25">
      <c r="A133" s="1966"/>
      <c r="B133" s="1949"/>
      <c r="C133" s="1949"/>
      <c r="D133" s="1978"/>
      <c r="E133" s="1949"/>
      <c r="F133" s="1949"/>
      <c r="G133" s="1949"/>
      <c r="H133" s="1949"/>
      <c r="I133" s="1949"/>
      <c r="J133" s="1949"/>
      <c r="K133" s="1949"/>
    </row>
    <row r="134" spans="1:12" x14ac:dyDescent="0.25">
      <c r="A134" s="1965" t="s">
        <v>2240</v>
      </c>
      <c r="B134" s="1965"/>
      <c r="C134" s="1965"/>
      <c r="D134" s="1965"/>
      <c r="E134" s="1965"/>
      <c r="F134" s="1965"/>
      <c r="G134" s="1965"/>
      <c r="H134" s="1965"/>
      <c r="I134" s="1965"/>
      <c r="J134" s="1965"/>
      <c r="K134" s="1965"/>
    </row>
    <row r="135" spans="1:12" ht="42.75" customHeight="1" x14ac:dyDescent="0.25">
      <c r="A135" s="1387">
        <v>21</v>
      </c>
      <c r="B135" s="1949" t="s">
        <v>2746</v>
      </c>
      <c r="C135" s="1949"/>
      <c r="D135" s="1388" t="s">
        <v>1487</v>
      </c>
      <c r="E135" s="1949"/>
      <c r="F135" s="1949"/>
      <c r="G135" s="1949"/>
      <c r="H135" s="1949"/>
      <c r="I135" s="1949"/>
      <c r="J135" s="1949"/>
      <c r="K135" s="1949"/>
    </row>
    <row r="136" spans="1:12" ht="77.099999999999994" customHeight="1" thickBot="1" x14ac:dyDescent="0.3">
      <c r="A136" s="1387">
        <v>22</v>
      </c>
      <c r="B136" s="1949" t="s">
        <v>2747</v>
      </c>
      <c r="C136" s="1949"/>
      <c r="D136" s="1388" t="s">
        <v>1487</v>
      </c>
      <c r="E136" s="1949"/>
      <c r="F136" s="1949"/>
      <c r="G136" s="1949"/>
      <c r="H136" s="1949"/>
      <c r="I136" s="1949"/>
      <c r="J136" s="1949"/>
      <c r="K136" s="1949"/>
    </row>
    <row r="137" spans="1:12" ht="19.5" customHeight="1" x14ac:dyDescent="0.25">
      <c r="A137" s="1970">
        <v>23</v>
      </c>
      <c r="B137" s="1973" t="s">
        <v>2748</v>
      </c>
      <c r="C137" s="1973"/>
      <c r="D137" s="1976" t="s">
        <v>1487</v>
      </c>
      <c r="E137" s="1391"/>
      <c r="F137" s="1392"/>
      <c r="G137" s="1392" t="s">
        <v>728</v>
      </c>
      <c r="H137" s="1392" t="s">
        <v>685</v>
      </c>
      <c r="I137" s="1393" t="s">
        <v>1041</v>
      </c>
      <c r="J137" s="1394"/>
      <c r="K137" s="1721"/>
      <c r="L137" s="1710" t="s">
        <v>2763</v>
      </c>
    </row>
    <row r="138" spans="1:12" x14ac:dyDescent="0.25">
      <c r="A138" s="1971"/>
      <c r="B138" s="1974"/>
      <c r="C138" s="1974"/>
      <c r="D138" s="1977"/>
      <c r="E138" s="2015" t="s">
        <v>2241</v>
      </c>
      <c r="F138" s="1994"/>
      <c r="G138" s="1994"/>
      <c r="H138" s="1994"/>
      <c r="I138" s="2016"/>
      <c r="K138" s="1399"/>
    </row>
    <row r="139" spans="1:12" x14ac:dyDescent="0.25">
      <c r="A139" s="1971"/>
      <c r="B139" s="1974"/>
      <c r="C139" s="1974"/>
      <c r="D139" s="1977"/>
      <c r="E139" s="2050" t="s">
        <v>2242</v>
      </c>
      <c r="F139" s="2051"/>
      <c r="G139" s="1397">
        <f>+'Note 5'!K22</f>
        <v>0</v>
      </c>
      <c r="H139" s="1724">
        <f>+'Note 6'!K23</f>
        <v>0</v>
      </c>
      <c r="I139" s="1411"/>
      <c r="K139" s="1399"/>
    </row>
    <row r="140" spans="1:12" x14ac:dyDescent="0.25">
      <c r="A140" s="1971"/>
      <c r="B140" s="1974"/>
      <c r="C140" s="1974"/>
      <c r="D140" s="1977"/>
      <c r="E140" s="2050" t="s">
        <v>2243</v>
      </c>
      <c r="F140" s="2051"/>
      <c r="G140" s="1397">
        <f>+'Note 5'!K21+'Note 5'!K18</f>
        <v>0</v>
      </c>
      <c r="H140" s="1724">
        <f>+'Note 6'!K20</f>
        <v>0</v>
      </c>
      <c r="I140" s="1411"/>
      <c r="K140" s="1399"/>
    </row>
    <row r="141" spans="1:12" x14ac:dyDescent="0.25">
      <c r="A141" s="1971"/>
      <c r="B141" s="1974"/>
      <c r="C141" s="1974"/>
      <c r="D141" s="1977"/>
      <c r="E141" s="1982" t="s">
        <v>2244</v>
      </c>
      <c r="F141" s="1984"/>
      <c r="G141" s="1397">
        <f>+'Note 5'!K37</f>
        <v>0</v>
      </c>
      <c r="H141" s="1724">
        <f>+'Note 6'!K38</f>
        <v>0</v>
      </c>
      <c r="I141" s="1411"/>
      <c r="K141" s="1399"/>
    </row>
    <row r="142" spans="1:12" x14ac:dyDescent="0.25">
      <c r="A142" s="1971"/>
      <c r="B142" s="1974"/>
      <c r="C142" s="1974"/>
      <c r="D142" s="1977"/>
      <c r="E142" s="1982" t="s">
        <v>2245</v>
      </c>
      <c r="F142" s="1984"/>
      <c r="G142" s="1397">
        <f>+'Note 5'!K36+'Note 5'!K33</f>
        <v>0</v>
      </c>
      <c r="H142" s="1724">
        <f>+'Note 6'!K34+'Note 6'!K35</f>
        <v>0</v>
      </c>
      <c r="I142" s="1411"/>
      <c r="K142" s="1399"/>
    </row>
    <row r="143" spans="1:12" ht="15.75" thickBot="1" x14ac:dyDescent="0.3">
      <c r="A143" s="1971"/>
      <c r="B143" s="1974"/>
      <c r="C143" s="1974"/>
      <c r="D143" s="1977"/>
      <c r="E143" s="2017" t="s">
        <v>2228</v>
      </c>
      <c r="F143" s="2019"/>
      <c r="G143" s="1805">
        <f>SUM(G139:G140)-SUM(G141:G142)</f>
        <v>0</v>
      </c>
      <c r="H143" s="1807">
        <f>SUM(H139:H140)-SUM(H141:H142)</f>
        <v>0</v>
      </c>
      <c r="I143" s="1410"/>
      <c r="K143" s="1399"/>
    </row>
    <row r="144" spans="1:12" x14ac:dyDescent="0.25">
      <c r="A144" s="1971"/>
      <c r="B144" s="1974"/>
      <c r="C144" s="1974"/>
      <c r="D144" s="1977"/>
      <c r="E144" s="1982" t="s">
        <v>2246</v>
      </c>
      <c r="F144" s="1984"/>
      <c r="G144" s="1806" t="e">
        <f>+SCNE!F58</f>
        <v>#VALUE!</v>
      </c>
      <c r="H144" s="1808" t="e">
        <f>+SCNE!F60</f>
        <v>#VALUE!</v>
      </c>
      <c r="I144" s="1410"/>
      <c r="K144" s="1804" t="e">
        <f>+G143+G144</f>
        <v>#VALUE!</v>
      </c>
      <c r="L144" s="1809" t="e">
        <f>+H143+H144</f>
        <v>#VALUE!</v>
      </c>
    </row>
    <row r="145" spans="1:14" ht="45.75" customHeight="1" x14ac:dyDescent="0.25">
      <c r="A145" s="1971"/>
      <c r="B145" s="1974"/>
      <c r="C145" s="1974"/>
      <c r="D145" s="1977"/>
      <c r="E145" s="2017" t="s">
        <v>63</v>
      </c>
      <c r="F145" s="2019"/>
      <c r="G145" s="1811" t="e">
        <f>IF(G143&lt;&gt;-G144,"Issue","Ok")</f>
        <v>#VALUE!</v>
      </c>
      <c r="H145" s="1810" t="e">
        <f>IF(H143&lt;&gt;-H144,"Issue","Ok")</f>
        <v>#VALUE!</v>
      </c>
      <c r="I145" s="1410"/>
      <c r="K145" s="1941"/>
      <c r="L145" s="1943"/>
    </row>
    <row r="146" spans="1:14" ht="15.75" thickBot="1" x14ac:dyDescent="0.3">
      <c r="A146" s="1971"/>
      <c r="B146" s="1974"/>
      <c r="C146" s="1974"/>
      <c r="D146" s="1977"/>
      <c r="E146" s="2017" t="s">
        <v>2247</v>
      </c>
      <c r="F146" s="2018"/>
      <c r="G146" s="2019"/>
      <c r="H146" s="1413"/>
      <c r="I146" s="1410"/>
      <c r="K146" s="1942"/>
      <c r="L146" s="1944"/>
    </row>
    <row r="147" spans="1:14" x14ac:dyDescent="0.25">
      <c r="A147" s="1971"/>
      <c r="B147" s="1974"/>
      <c r="C147" s="1974"/>
      <c r="D147" s="1977"/>
      <c r="E147" s="1982" t="s">
        <v>2248</v>
      </c>
      <c r="F147" s="1984"/>
      <c r="G147" s="1397"/>
      <c r="H147" s="1397"/>
      <c r="I147" s="1411"/>
      <c r="K147" s="1399"/>
    </row>
    <row r="148" spans="1:14" x14ac:dyDescent="0.25">
      <c r="A148" s="1971"/>
      <c r="B148" s="1974"/>
      <c r="C148" s="1974"/>
      <c r="D148" s="1977"/>
      <c r="E148" s="1982" t="s">
        <v>2249</v>
      </c>
      <c r="F148" s="1984"/>
      <c r="G148" s="1397">
        <f>+'Note 5'!K19+'Note 5'!K17</f>
        <v>0</v>
      </c>
      <c r="H148" s="1397">
        <f>+'Note 6'!K22</f>
        <v>0</v>
      </c>
      <c r="I148" s="1411"/>
      <c r="K148" s="1399"/>
    </row>
    <row r="149" spans="1:14" x14ac:dyDescent="0.25">
      <c r="A149" s="1971"/>
      <c r="B149" s="1974"/>
      <c r="C149" s="1974"/>
      <c r="D149" s="1977"/>
      <c r="E149" s="1982" t="s">
        <v>2250</v>
      </c>
      <c r="F149" s="1984"/>
      <c r="G149" s="1397"/>
      <c r="H149" s="1397"/>
      <c r="I149" s="1411"/>
      <c r="K149" s="1399"/>
    </row>
    <row r="150" spans="1:14" x14ac:dyDescent="0.25">
      <c r="A150" s="1971"/>
      <c r="B150" s="1974"/>
      <c r="C150" s="1974"/>
      <c r="D150" s="1977"/>
      <c r="E150" s="1982" t="s">
        <v>2251</v>
      </c>
      <c r="F150" s="1984"/>
      <c r="G150" s="1397">
        <f>+'Note 5'!K32+'Note 5'!K34</f>
        <v>0</v>
      </c>
      <c r="H150" s="1397">
        <f>+'Note 6'!K37</f>
        <v>0</v>
      </c>
      <c r="I150" s="1411"/>
      <c r="K150" s="1399"/>
    </row>
    <row r="151" spans="1:14" x14ac:dyDescent="0.25">
      <c r="A151" s="1971"/>
      <c r="B151" s="1974"/>
      <c r="C151" s="1974"/>
      <c r="D151" s="1977"/>
      <c r="E151" s="1982" t="s">
        <v>2252</v>
      </c>
      <c r="F151" s="1984"/>
      <c r="G151" s="1432"/>
      <c r="H151" s="1432"/>
      <c r="I151" s="1406"/>
      <c r="K151" s="1399"/>
    </row>
    <row r="152" spans="1:14" x14ac:dyDescent="0.25">
      <c r="A152" s="1971"/>
      <c r="B152" s="1974"/>
      <c r="C152" s="1974"/>
      <c r="D152" s="1977"/>
      <c r="E152" s="2017" t="s">
        <v>2228</v>
      </c>
      <c r="F152" s="2019"/>
      <c r="G152" s="1813">
        <f>SUM(G147:H148,I151)-SUM(G149:H150)</f>
        <v>0</v>
      </c>
      <c r="H152" s="1413"/>
      <c r="I152" s="1410"/>
      <c r="K152" s="1399"/>
    </row>
    <row r="153" spans="1:14" x14ac:dyDescent="0.25">
      <c r="A153" s="1971"/>
      <c r="B153" s="1974"/>
      <c r="C153" s="1974"/>
      <c r="D153" s="1977"/>
      <c r="E153" s="1982" t="s">
        <v>2253</v>
      </c>
      <c r="F153" s="1984"/>
      <c r="G153" s="1397"/>
      <c r="H153" s="1413"/>
      <c r="I153" s="1410"/>
      <c r="K153" s="1399"/>
    </row>
    <row r="154" spans="1:14" x14ac:dyDescent="0.25">
      <c r="A154" s="1971"/>
      <c r="B154" s="1974"/>
      <c r="C154" s="1974"/>
      <c r="D154" s="1977"/>
      <c r="E154" s="1982" t="s">
        <v>2254</v>
      </c>
      <c r="F154" s="1984"/>
      <c r="G154" s="1397">
        <f>+'Note 3b &amp; 3c'!F27</f>
        <v>0</v>
      </c>
      <c r="H154" s="1413"/>
      <c r="I154" s="1410"/>
      <c r="K154" s="1399"/>
    </row>
    <row r="155" spans="1:14" ht="15.75" thickBot="1" x14ac:dyDescent="0.3">
      <c r="A155" s="1971"/>
      <c r="B155" s="1974"/>
      <c r="C155" s="1974"/>
      <c r="D155" s="1977"/>
      <c r="E155" s="2017" t="s">
        <v>2255</v>
      </c>
      <c r="F155" s="2019"/>
      <c r="G155" s="1813">
        <f>SUM(G153:G154)</f>
        <v>0</v>
      </c>
      <c r="H155" s="1413"/>
      <c r="I155" s="1410"/>
    </row>
    <row r="156" spans="1:14" ht="15.75" thickBot="1" x14ac:dyDescent="0.3">
      <c r="A156" s="1971"/>
      <c r="B156" s="1974"/>
      <c r="C156" s="1974"/>
      <c r="D156" s="1977"/>
      <c r="E156" s="1985" t="s">
        <v>2256</v>
      </c>
      <c r="F156" s="1987"/>
      <c r="G156" s="1814" t="str">
        <f>IF(G152&lt;&gt;-G155,"Issue","Ok")</f>
        <v>Ok</v>
      </c>
      <c r="H156" s="1412"/>
      <c r="I156" s="1408"/>
      <c r="K156" s="1812">
        <f>+G155+G152</f>
        <v>0</v>
      </c>
      <c r="L156" s="1945"/>
      <c r="M156" s="1945"/>
      <c r="N156" s="1946"/>
    </row>
    <row r="157" spans="1:14" x14ac:dyDescent="0.25">
      <c r="A157" s="1971"/>
      <c r="B157" s="1974"/>
      <c r="C157" s="1974"/>
      <c r="D157" s="2013"/>
      <c r="K157" s="1399"/>
    </row>
    <row r="158" spans="1:14" x14ac:dyDescent="0.25">
      <c r="A158" s="1971"/>
      <c r="B158" s="1974"/>
      <c r="C158" s="1974"/>
      <c r="D158" s="2013"/>
      <c r="E158" s="2020" t="s">
        <v>2733</v>
      </c>
      <c r="F158" s="1988"/>
      <c r="G158" s="1988"/>
      <c r="H158" s="1988"/>
      <c r="I158" s="1988"/>
      <c r="J158" s="1988"/>
      <c r="K158" s="1989"/>
    </row>
    <row r="159" spans="1:14" x14ac:dyDescent="0.25">
      <c r="A159" s="1972"/>
      <c r="B159" s="1975"/>
      <c r="C159" s="1975"/>
      <c r="D159" s="2014"/>
      <c r="E159" s="1949"/>
      <c r="F159" s="1949"/>
      <c r="G159" s="1949"/>
      <c r="H159" s="1949"/>
      <c r="I159" s="1949"/>
      <c r="J159" s="1949"/>
      <c r="K159" s="1949"/>
    </row>
    <row r="160" spans="1:14" x14ac:dyDescent="0.25">
      <c r="A160" s="1963" t="s">
        <v>2257</v>
      </c>
      <c r="B160" s="1963"/>
      <c r="C160" s="1963"/>
      <c r="D160" s="1963"/>
      <c r="E160" s="1963"/>
      <c r="F160" s="1963"/>
      <c r="G160" s="1963"/>
      <c r="H160" s="1963"/>
      <c r="I160" s="1963"/>
      <c r="J160" s="1963"/>
      <c r="K160" s="1963"/>
    </row>
    <row r="161" spans="1:14" ht="27.95" customHeight="1" x14ac:dyDescent="0.25">
      <c r="A161" s="1433">
        <v>24</v>
      </c>
      <c r="B161" s="1964" t="s">
        <v>2258</v>
      </c>
      <c r="C161" s="1964"/>
      <c r="D161" s="1413" t="s">
        <v>1487</v>
      </c>
      <c r="E161" s="1949"/>
      <c r="F161" s="1949"/>
      <c r="G161" s="1949"/>
      <c r="H161" s="1949"/>
      <c r="I161" s="1949"/>
      <c r="J161" s="1949"/>
      <c r="K161" s="1949"/>
    </row>
    <row r="162" spans="1:14" ht="28.5" customHeight="1" x14ac:dyDescent="0.25">
      <c r="A162" s="1433">
        <v>25</v>
      </c>
      <c r="B162" s="1964" t="s">
        <v>2259</v>
      </c>
      <c r="C162" s="1964"/>
      <c r="D162" s="1413" t="s">
        <v>1487</v>
      </c>
      <c r="E162" s="1949"/>
      <c r="F162" s="1949"/>
      <c r="G162" s="1949"/>
      <c r="H162" s="1949"/>
      <c r="I162" s="1949"/>
      <c r="J162" s="1949"/>
      <c r="K162" s="1949"/>
    </row>
    <row r="163" spans="1:14" x14ac:dyDescent="0.25">
      <c r="A163" s="1993" t="s">
        <v>280</v>
      </c>
      <c r="B163" s="1994"/>
      <c r="C163" s="1994"/>
      <c r="D163" s="1994"/>
      <c r="E163" s="1994"/>
      <c r="F163" s="1994"/>
      <c r="G163" s="1994"/>
      <c r="H163" s="1994"/>
      <c r="I163" s="1994"/>
      <c r="J163" s="1994"/>
      <c r="K163" s="1995"/>
    </row>
    <row r="164" spans="1:14" ht="177" customHeight="1" thickBot="1" x14ac:dyDescent="0.3">
      <c r="A164" s="1433">
        <v>26</v>
      </c>
      <c r="B164" s="1996" t="s">
        <v>2260</v>
      </c>
      <c r="C164" s="1964"/>
      <c r="D164" s="1413" t="s">
        <v>1487</v>
      </c>
      <c r="E164" s="1949"/>
      <c r="F164" s="1949"/>
      <c r="G164" s="1949"/>
      <c r="H164" s="1949"/>
      <c r="I164" s="1949"/>
      <c r="J164" s="1949"/>
      <c r="K164" s="1949"/>
    </row>
    <row r="165" spans="1:14" ht="21.95" customHeight="1" x14ac:dyDescent="0.25">
      <c r="A165" s="1997">
        <v>27</v>
      </c>
      <c r="B165" s="1999" t="s">
        <v>2261</v>
      </c>
      <c r="C165" s="1999"/>
      <c r="D165" s="2001" t="s">
        <v>1487</v>
      </c>
      <c r="E165" s="2011" t="s">
        <v>2262</v>
      </c>
      <c r="F165" s="2012"/>
      <c r="G165" s="2012"/>
      <c r="H165" s="1816">
        <f>-(-SCF!F39-SCF!F41-SCF!F40)</f>
        <v>0</v>
      </c>
      <c r="I165" s="1404"/>
      <c r="J165" s="1404"/>
      <c r="K165" s="1405"/>
      <c r="L165" s="1710" t="s">
        <v>2763</v>
      </c>
      <c r="M165" s="1406"/>
      <c r="N165" t="s">
        <v>2824</v>
      </c>
    </row>
    <row r="166" spans="1:14" x14ac:dyDescent="0.25">
      <c r="A166" s="1998"/>
      <c r="B166" s="2000"/>
      <c r="C166" s="2000"/>
      <c r="D166" s="2002"/>
      <c r="E166" s="1959" t="s">
        <v>2263</v>
      </c>
      <c r="F166" s="1960"/>
      <c r="G166" s="1960"/>
      <c r="H166" s="1815">
        <f>-('Note 5'!K15+'Note 6'!K17+'Note 5.4'!L17)</f>
        <v>0</v>
      </c>
      <c r="I166" s="1817"/>
      <c r="K166" s="1407"/>
      <c r="M166" s="1406"/>
      <c r="N166" t="s">
        <v>556</v>
      </c>
    </row>
    <row r="167" spans="1:14" x14ac:dyDescent="0.25">
      <c r="A167" s="1998"/>
      <c r="B167" s="2000"/>
      <c r="C167" s="2000"/>
      <c r="D167" s="2002"/>
      <c r="E167" s="1959" t="s">
        <v>2264</v>
      </c>
      <c r="F167" s="1960"/>
      <c r="G167" s="1960"/>
      <c r="H167" s="1815">
        <f>-(+'Note 5'!K30+'Note 6'!K31)</f>
        <v>0</v>
      </c>
      <c r="K167" s="1407"/>
      <c r="M167" s="1709">
        <f>SUM(M165:M166)</f>
        <v>0</v>
      </c>
      <c r="N167" t="s">
        <v>2732</v>
      </c>
    </row>
    <row r="168" spans="1:14" ht="29.45" customHeight="1" x14ac:dyDescent="0.25">
      <c r="A168" s="1998"/>
      <c r="B168" s="2000"/>
      <c r="C168" s="2000"/>
      <c r="D168" s="2002"/>
      <c r="E168" s="2004" t="s">
        <v>2265</v>
      </c>
      <c r="F168" s="2005"/>
      <c r="G168" s="2005"/>
      <c r="H168" s="1815">
        <f>+'Note 3a'!F23+'Note 3a'!F24+'Note 3b &amp; 3c'!F28+'Note 3b &amp; 3c'!F29-'Note 4'!E27</f>
        <v>0</v>
      </c>
      <c r="K168" s="1407"/>
    </row>
    <row r="169" spans="1:14" ht="15.75" thickBot="1" x14ac:dyDescent="0.3">
      <c r="A169" s="1998"/>
      <c r="B169" s="2000"/>
      <c r="C169" s="2000"/>
      <c r="D169" s="2002"/>
      <c r="E169" s="2006" t="s">
        <v>63</v>
      </c>
      <c r="F169" s="2007"/>
      <c r="G169" s="2008"/>
      <c r="H169" s="1408" t="str">
        <f>IF(SUM(H165-H166+H167)&lt;&gt;-H168,"Mis-match", "No issue")</f>
        <v>No issue</v>
      </c>
      <c r="K169" s="1407"/>
      <c r="M169" s="1817">
        <f>+H165-H166+H167+H168</f>
        <v>0</v>
      </c>
      <c r="N169" t="s">
        <v>1035</v>
      </c>
    </row>
    <row r="170" spans="1:14" x14ac:dyDescent="0.25">
      <c r="A170" s="1998"/>
      <c r="B170" s="2000"/>
      <c r="C170" s="2000"/>
      <c r="D170" s="2003"/>
      <c r="K170" s="1407"/>
    </row>
    <row r="171" spans="1:14" x14ac:dyDescent="0.25">
      <c r="A171" s="1998"/>
      <c r="B171" s="2000"/>
      <c r="C171" s="2000"/>
      <c r="D171" s="2003"/>
      <c r="E171" s="2009" t="s">
        <v>2733</v>
      </c>
      <c r="F171" s="1988"/>
      <c r="G171" s="1988"/>
      <c r="H171" s="1988"/>
      <c r="I171" s="1988"/>
      <c r="J171" s="1988"/>
      <c r="K171" s="2010"/>
    </row>
    <row r="172" spans="1:14" x14ac:dyDescent="0.25">
      <c r="A172" s="1998"/>
      <c r="B172" s="2000"/>
      <c r="C172" s="2000"/>
      <c r="D172" s="2003"/>
      <c r="E172" s="1949"/>
      <c r="F172" s="1949"/>
      <c r="G172" s="1949"/>
      <c r="H172" s="1949"/>
      <c r="I172" s="1949"/>
      <c r="J172" s="1949"/>
      <c r="K172" s="1949"/>
    </row>
    <row r="173" spans="1:14" ht="36.950000000000003" customHeight="1" thickBot="1" x14ac:dyDescent="0.3">
      <c r="A173" s="1387">
        <v>28</v>
      </c>
      <c r="B173" s="1949" t="s">
        <v>2266</v>
      </c>
      <c r="C173" s="1949"/>
      <c r="D173" s="1388" t="s">
        <v>1487</v>
      </c>
      <c r="E173" s="1949"/>
      <c r="F173" s="1949"/>
      <c r="G173" s="1949"/>
      <c r="H173" s="1949"/>
      <c r="I173" s="1949"/>
      <c r="J173" s="1949"/>
      <c r="K173" s="1949"/>
    </row>
    <row r="174" spans="1:14" ht="21.95" customHeight="1" x14ac:dyDescent="0.25">
      <c r="A174" s="1970">
        <v>29</v>
      </c>
      <c r="B174" s="1973" t="s">
        <v>2749</v>
      </c>
      <c r="C174" s="1973"/>
      <c r="D174" s="1976" t="s">
        <v>1487</v>
      </c>
      <c r="E174" s="1990" t="s">
        <v>2267</v>
      </c>
      <c r="F174" s="1991"/>
      <c r="G174" s="1992"/>
      <c r="H174" s="1434">
        <f>'Note 13'!I29</f>
        <v>1419</v>
      </c>
      <c r="I174" s="1394"/>
      <c r="J174" s="1394"/>
      <c r="K174" s="1395"/>
      <c r="L174" s="1710" t="s">
        <v>2763</v>
      </c>
    </row>
    <row r="175" spans="1:14" x14ac:dyDescent="0.25">
      <c r="A175" s="1971"/>
      <c r="B175" s="1974"/>
      <c r="C175" s="1974"/>
      <c r="D175" s="1977"/>
      <c r="E175" s="1982" t="s">
        <v>2268</v>
      </c>
      <c r="F175" s="1983"/>
      <c r="G175" s="1984"/>
      <c r="H175" s="1435">
        <f>+-TE!L54</f>
        <v>0</v>
      </c>
      <c r="K175" s="1399"/>
    </row>
    <row r="176" spans="1:14" ht="30" customHeight="1" x14ac:dyDescent="0.25">
      <c r="A176" s="1971"/>
      <c r="B176" s="1974"/>
      <c r="C176" s="1974"/>
      <c r="D176" s="1977"/>
      <c r="E176" s="1979" t="s">
        <v>2269</v>
      </c>
      <c r="F176" s="1980"/>
      <c r="G176" s="1981"/>
      <c r="H176" s="1435"/>
      <c r="K176" s="1399"/>
    </row>
    <row r="177" spans="1:21" x14ac:dyDescent="0.25">
      <c r="A177" s="1971"/>
      <c r="B177" s="1974"/>
      <c r="C177" s="1974"/>
      <c r="D177" s="1977"/>
      <c r="E177" s="1982" t="s">
        <v>2270</v>
      </c>
      <c r="F177" s="1983"/>
      <c r="G177" s="1984"/>
      <c r="H177" s="1435">
        <f>+'Note 13'!E29</f>
        <v>0</v>
      </c>
      <c r="K177" s="1399"/>
    </row>
    <row r="178" spans="1:21" x14ac:dyDescent="0.25">
      <c r="A178" s="1971"/>
      <c r="B178" s="1974"/>
      <c r="C178" s="1974"/>
      <c r="D178" s="1977"/>
      <c r="E178" s="1982" t="s">
        <v>2271</v>
      </c>
      <c r="F178" s="1983"/>
      <c r="G178" s="1984"/>
      <c r="H178" s="1435">
        <f>-SCF!D63</f>
        <v>0</v>
      </c>
      <c r="K178" s="1399"/>
    </row>
    <row r="179" spans="1:21" ht="15.75" thickBot="1" x14ac:dyDescent="0.3">
      <c r="A179" s="1971"/>
      <c r="B179" s="1974"/>
      <c r="C179" s="1974"/>
      <c r="D179" s="1977"/>
      <c r="E179" s="1985" t="s">
        <v>63</v>
      </c>
      <c r="F179" s="1986"/>
      <c r="G179" s="1987"/>
      <c r="H179" s="1408" t="str">
        <f>IF(SUM(H174+H175+H176-H177)&lt;&gt;H178,"Mis-match", "No issue")</f>
        <v>Mis-match</v>
      </c>
      <c r="K179" s="1399"/>
    </row>
    <row r="180" spans="1:21" x14ac:dyDescent="0.25">
      <c r="A180" s="1971"/>
      <c r="B180" s="1974"/>
      <c r="C180" s="1974"/>
      <c r="D180" s="1977"/>
      <c r="K180" s="1399"/>
    </row>
    <row r="181" spans="1:21" x14ac:dyDescent="0.25">
      <c r="A181" s="1971"/>
      <c r="B181" s="1974"/>
      <c r="C181" s="1974"/>
      <c r="D181" s="1977"/>
      <c r="E181" s="1988" t="s">
        <v>2733</v>
      </c>
      <c r="F181" s="1988"/>
      <c r="G181" s="1988"/>
      <c r="H181" s="1988"/>
      <c r="I181" s="1988"/>
      <c r="J181" s="1988"/>
      <c r="K181" s="1989"/>
    </row>
    <row r="182" spans="1:21" x14ac:dyDescent="0.25">
      <c r="A182" s="1972"/>
      <c r="B182" s="1975"/>
      <c r="C182" s="1975"/>
      <c r="D182" s="1978"/>
      <c r="E182" s="1949"/>
      <c r="F182" s="1949"/>
      <c r="G182" s="1949"/>
      <c r="H182" s="1949"/>
      <c r="I182" s="1949"/>
      <c r="J182" s="1949"/>
      <c r="K182" s="1949"/>
    </row>
    <row r="183" spans="1:21" ht="93" customHeight="1" x14ac:dyDescent="0.25">
      <c r="A183" s="1966">
        <v>30</v>
      </c>
      <c r="B183" s="1949" t="s">
        <v>2272</v>
      </c>
      <c r="C183" s="1949"/>
      <c r="D183" s="1388" t="s">
        <v>1487</v>
      </c>
      <c r="E183" s="1949"/>
      <c r="F183" s="1949"/>
      <c r="G183" s="1949"/>
      <c r="H183" s="1949"/>
      <c r="I183" s="1949"/>
      <c r="J183" s="1949"/>
      <c r="K183" s="1949"/>
    </row>
    <row r="184" spans="1:21" ht="75.95" customHeight="1" thickBot="1" x14ac:dyDescent="0.3">
      <c r="A184" s="1966"/>
      <c r="B184" s="1949" t="s">
        <v>2273</v>
      </c>
      <c r="C184" s="1949"/>
      <c r="D184" s="1388" t="s">
        <v>1487</v>
      </c>
      <c r="E184" s="1949"/>
      <c r="F184" s="1949"/>
      <c r="G184" s="1949"/>
      <c r="H184" s="1949"/>
      <c r="I184" s="1949"/>
      <c r="J184" s="1949"/>
      <c r="K184" s="1949"/>
    </row>
    <row r="185" spans="1:21" ht="21.6" customHeight="1" x14ac:dyDescent="0.25">
      <c r="A185" s="1970">
        <v>31</v>
      </c>
      <c r="B185" s="1973" t="s">
        <v>2750</v>
      </c>
      <c r="C185" s="1973"/>
      <c r="D185" s="1976" t="s">
        <v>1487</v>
      </c>
      <c r="E185" s="1409"/>
      <c r="F185" s="1392"/>
      <c r="G185" s="1392" t="s">
        <v>2274</v>
      </c>
      <c r="H185" s="1392" t="s">
        <v>2275</v>
      </c>
      <c r="I185" s="1392" t="s">
        <v>2276</v>
      </c>
      <c r="J185" s="1392" t="s">
        <v>2277</v>
      </c>
      <c r="K185" s="1393" t="s">
        <v>63</v>
      </c>
      <c r="L185" s="1710" t="s">
        <v>2763</v>
      </c>
    </row>
    <row r="186" spans="1:21" x14ac:dyDescent="0.25">
      <c r="A186" s="1971"/>
      <c r="B186" s="1974"/>
      <c r="C186" s="1974"/>
      <c r="D186" s="1977"/>
      <c r="E186" s="2038" t="s">
        <v>2278</v>
      </c>
      <c r="F186" s="2039"/>
      <c r="G186" s="2039"/>
      <c r="H186" s="2039"/>
      <c r="I186" s="2039"/>
      <c r="J186" s="2039"/>
      <c r="K186" s="2040"/>
    </row>
    <row r="187" spans="1:21" ht="45.6" customHeight="1" x14ac:dyDescent="0.25">
      <c r="A187" s="1971"/>
      <c r="B187" s="1974"/>
      <c r="C187" s="1974"/>
      <c r="D187" s="1977"/>
      <c r="E187" s="1959" t="s">
        <v>2230</v>
      </c>
      <c r="F187" s="1960"/>
      <c r="G187" s="1436"/>
      <c r="H187" s="1436"/>
      <c r="I187" s="1413">
        <f>-SUM(H187:H190)+SUM(G187:G190)</f>
        <v>-16</v>
      </c>
      <c r="J187" s="1436">
        <f>+SCF!F16</f>
        <v>0</v>
      </c>
      <c r="K187" s="1410" t="str">
        <f>IF(I187&lt;&gt;J187,"Issue","Ok")</f>
        <v>Issue</v>
      </c>
      <c r="L187" s="1947" t="s">
        <v>556</v>
      </c>
      <c r="M187" s="1948"/>
      <c r="N187" s="1948"/>
      <c r="O187" s="1948"/>
      <c r="P187" s="1948"/>
      <c r="Q187" s="1948"/>
      <c r="R187" s="1948"/>
      <c r="S187" s="1948"/>
      <c r="T187" s="1948"/>
      <c r="U187" s="1948"/>
    </row>
    <row r="188" spans="1:21" x14ac:dyDescent="0.25">
      <c r="A188" s="1971"/>
      <c r="B188" s="1974"/>
      <c r="C188" s="1974"/>
      <c r="D188" s="1977"/>
      <c r="E188" s="1959" t="s">
        <v>2279</v>
      </c>
      <c r="F188" s="1960"/>
      <c r="G188" s="1436">
        <f>+'Note 12'!E16+'Note 12'!E17</f>
        <v>0</v>
      </c>
      <c r="H188" s="1436">
        <f>+'Note 12'!I16+'Note 12'!I17</f>
        <v>16</v>
      </c>
      <c r="I188" s="2041"/>
      <c r="J188" s="2042"/>
      <c r="K188" s="2043"/>
      <c r="L188" s="1250"/>
    </row>
    <row r="189" spans="1:21" x14ac:dyDescent="0.25">
      <c r="A189" s="1971"/>
      <c r="B189" s="1974"/>
      <c r="C189" s="1974"/>
      <c r="D189" s="1977"/>
      <c r="E189" s="1959" t="s">
        <v>260</v>
      </c>
      <c r="F189" s="1960"/>
      <c r="G189" s="1436"/>
      <c r="H189" s="1436"/>
      <c r="I189" s="2044"/>
      <c r="J189" s="2045"/>
      <c r="K189" s="2046"/>
    </row>
    <row r="190" spans="1:21" x14ac:dyDescent="0.25">
      <c r="A190" s="1971"/>
      <c r="B190" s="1974"/>
      <c r="C190" s="1974"/>
      <c r="D190" s="1977"/>
      <c r="E190" s="1959" t="s">
        <v>2232</v>
      </c>
      <c r="F190" s="1960"/>
      <c r="G190" s="1436"/>
      <c r="H190" s="1436"/>
      <c r="I190" s="2047"/>
      <c r="J190" s="2048"/>
      <c r="K190" s="2049"/>
    </row>
    <row r="191" spans="1:21" x14ac:dyDescent="0.25">
      <c r="A191" s="1971"/>
      <c r="B191" s="1974"/>
      <c r="C191" s="1974"/>
      <c r="D191" s="1977"/>
      <c r="E191" s="2038" t="s">
        <v>2280</v>
      </c>
      <c r="F191" s="2039"/>
      <c r="G191" s="2039"/>
      <c r="H191" s="2039"/>
      <c r="I191" s="2039"/>
      <c r="J191" s="2039"/>
      <c r="K191" s="2040"/>
    </row>
    <row r="192" spans="1:21" x14ac:dyDescent="0.25">
      <c r="A192" s="1971"/>
      <c r="B192" s="1974"/>
      <c r="C192" s="1974"/>
      <c r="D192" s="1977"/>
      <c r="E192" s="1959" t="s">
        <v>2235</v>
      </c>
      <c r="F192" s="1960"/>
      <c r="G192" s="1725">
        <f>+'Note 13'!E27</f>
        <v>0</v>
      </c>
      <c r="H192" s="1725">
        <f>+'Note 13'!I27</f>
        <v>27203</v>
      </c>
      <c r="I192" s="1413">
        <f>SUM(H192:H196)-SUM(G192:G196)</f>
        <v>437689</v>
      </c>
      <c r="J192" s="1725">
        <f>SUM(SCF!F23:'SCF'!F29)</f>
        <v>28928</v>
      </c>
      <c r="K192" s="1410" t="str">
        <f>IF(I192&lt;&gt;J192,"Issue","Ok")</f>
        <v>Issue</v>
      </c>
      <c r="L192" s="1674">
        <f>+I192-J192</f>
        <v>408761</v>
      </c>
      <c r="N192" s="330"/>
    </row>
    <row r="193" spans="1:21" x14ac:dyDescent="0.25">
      <c r="A193" s="1971"/>
      <c r="B193" s="1974"/>
      <c r="C193" s="1974"/>
      <c r="D193" s="1977"/>
      <c r="E193" s="1959" t="s">
        <v>2281</v>
      </c>
      <c r="F193" s="1960"/>
      <c r="G193" s="1725">
        <f>-SCF!F27</f>
        <v>0</v>
      </c>
      <c r="H193" s="1725"/>
      <c r="I193" s="1950"/>
      <c r="J193" s="1951"/>
      <c r="K193" s="1952"/>
      <c r="N193" s="1801"/>
    </row>
    <row r="194" spans="1:21" x14ac:dyDescent="0.25">
      <c r="A194" s="1971"/>
      <c r="B194" s="1974"/>
      <c r="C194" s="1974"/>
      <c r="D194" s="1977"/>
      <c r="E194" s="1959" t="s">
        <v>2282</v>
      </c>
      <c r="F194" s="1960"/>
      <c r="G194" s="1725">
        <f>+'Note 13'!E15+'Note 13'!E16+'Note 13'!E20+'Note 13'!E21</f>
        <v>0</v>
      </c>
      <c r="H194" s="1725">
        <f>+'Note 13'!I15+'Note 13'!I16+'Note 13'!I20+'Note 13'!I21</f>
        <v>149453</v>
      </c>
      <c r="I194" s="1953"/>
      <c r="J194" s="1954"/>
      <c r="K194" s="1955"/>
      <c r="L194" s="1798"/>
      <c r="M194" s="4"/>
      <c r="N194" s="1802"/>
      <c r="P194" s="4"/>
      <c r="Q194" s="4"/>
      <c r="R194" s="4"/>
      <c r="S194" s="4"/>
      <c r="T194" s="4"/>
      <c r="U194" s="4"/>
    </row>
    <row r="195" spans="1:21" ht="15.75" thickBot="1" x14ac:dyDescent="0.3">
      <c r="A195" s="1971"/>
      <c r="B195" s="1974"/>
      <c r="C195" s="1974"/>
      <c r="D195" s="1977"/>
      <c r="E195" s="1959" t="s">
        <v>260</v>
      </c>
      <c r="F195" s="1960"/>
      <c r="G195" s="1725">
        <f>+'Note 13'!E35+'Note 13'!E49+'Note 13'!E36+'Note 13'!E50</f>
        <v>0</v>
      </c>
      <c r="H195" s="1725">
        <f>+'Note 13'!I35+'Note 13'!I36+'Note 13'!I49+'Note 13'!I50</f>
        <v>259614</v>
      </c>
      <c r="I195" s="1953"/>
      <c r="J195" s="1954"/>
      <c r="K195" s="1955"/>
      <c r="L195" s="1798"/>
      <c r="M195" s="4"/>
      <c r="N195" s="1803">
        <f>+N194+N193+N192</f>
        <v>0</v>
      </c>
      <c r="Q195" s="4"/>
      <c r="R195" s="4"/>
      <c r="S195" s="4"/>
      <c r="T195" s="4"/>
      <c r="U195" s="4"/>
    </row>
    <row r="196" spans="1:21" ht="16.5" thickTop="1" thickBot="1" x14ac:dyDescent="0.3">
      <c r="A196" s="1971"/>
      <c r="B196" s="1974"/>
      <c r="C196" s="1974"/>
      <c r="D196" s="1977"/>
      <c r="E196" s="1961" t="s">
        <v>2751</v>
      </c>
      <c r="F196" s="1962"/>
      <c r="G196" s="1725">
        <f>+'Note 13'!E29</f>
        <v>0</v>
      </c>
      <c r="H196" s="1725">
        <f>+'Note 13'!I29</f>
        <v>1419</v>
      </c>
      <c r="I196" s="1956"/>
      <c r="J196" s="1957"/>
      <c r="K196" s="1958"/>
    </row>
    <row r="197" spans="1:21" x14ac:dyDescent="0.25">
      <c r="A197" s="1971"/>
      <c r="B197" s="1974"/>
      <c r="C197" s="1974"/>
      <c r="D197" s="1977"/>
      <c r="K197" s="1399"/>
    </row>
    <row r="198" spans="1:21" x14ac:dyDescent="0.25">
      <c r="A198" s="1971"/>
      <c r="B198" s="1974"/>
      <c r="C198" s="1974"/>
      <c r="D198" s="1977"/>
      <c r="E198" s="1988" t="s">
        <v>2283</v>
      </c>
      <c r="F198" s="1988"/>
      <c r="G198" s="1988"/>
      <c r="H198" s="1988"/>
      <c r="I198" s="1988"/>
      <c r="J198" s="1988"/>
      <c r="K198" s="1989"/>
    </row>
    <row r="199" spans="1:21" x14ac:dyDescent="0.25">
      <c r="A199" s="1972"/>
      <c r="B199" s="1975"/>
      <c r="C199" s="1975"/>
      <c r="D199" s="1978"/>
      <c r="E199" s="1949"/>
      <c r="F199" s="1949"/>
      <c r="G199" s="1949"/>
      <c r="H199" s="1949"/>
      <c r="I199" s="1949"/>
      <c r="J199" s="1949"/>
      <c r="K199" s="1949"/>
    </row>
    <row r="200" spans="1:21" x14ac:dyDescent="0.25">
      <c r="A200" s="1965" t="s">
        <v>2284</v>
      </c>
      <c r="B200" s="1965"/>
      <c r="C200" s="1965"/>
      <c r="D200" s="1965"/>
      <c r="E200" s="1965"/>
      <c r="F200" s="1965"/>
      <c r="G200" s="1965"/>
      <c r="H200" s="1965"/>
      <c r="I200" s="1965"/>
      <c r="J200" s="1965"/>
      <c r="K200" s="1965"/>
    </row>
    <row r="201" spans="1:21" ht="84" customHeight="1" x14ac:dyDescent="0.25">
      <c r="A201" s="1387">
        <v>32</v>
      </c>
      <c r="B201" s="1949" t="s">
        <v>2285</v>
      </c>
      <c r="C201" s="1949"/>
      <c r="D201" s="1388" t="s">
        <v>1487</v>
      </c>
      <c r="E201" s="1949"/>
      <c r="F201" s="1949"/>
      <c r="G201" s="1949"/>
      <c r="H201" s="1949"/>
      <c r="I201" s="1949"/>
      <c r="J201" s="1949"/>
      <c r="K201" s="1949"/>
    </row>
    <row r="202" spans="1:21" ht="19.5" customHeight="1" x14ac:dyDescent="0.25">
      <c r="A202" s="1387">
        <v>33</v>
      </c>
      <c r="B202" s="1967" t="s">
        <v>2286</v>
      </c>
      <c r="C202" s="1967"/>
      <c r="D202" s="1388" t="s">
        <v>1487</v>
      </c>
      <c r="E202" s="1949"/>
      <c r="F202" s="1949"/>
      <c r="G202" s="1949"/>
      <c r="H202" s="1949"/>
      <c r="I202" s="1949"/>
      <c r="J202" s="1949"/>
      <c r="K202" s="1949"/>
    </row>
    <row r="203" spans="1:21" ht="23.1" customHeight="1" x14ac:dyDescent="0.25">
      <c r="A203" s="1387">
        <v>34</v>
      </c>
      <c r="B203" s="1949" t="s">
        <v>2287</v>
      </c>
      <c r="C203" s="1949"/>
      <c r="D203" s="1388" t="s">
        <v>1487</v>
      </c>
      <c r="E203" s="1949"/>
      <c r="F203" s="1949"/>
      <c r="G203" s="1949"/>
      <c r="H203" s="1949"/>
      <c r="I203" s="1949"/>
      <c r="J203" s="1949"/>
      <c r="K203" s="1949"/>
    </row>
    <row r="204" spans="1:21" ht="136.5" customHeight="1" x14ac:dyDescent="0.25">
      <c r="A204" s="1387">
        <v>35</v>
      </c>
      <c r="B204" s="1949" t="s">
        <v>2752</v>
      </c>
      <c r="C204" s="1949"/>
      <c r="D204" s="1388" t="s">
        <v>1487</v>
      </c>
      <c r="E204" s="1949"/>
      <c r="F204" s="1949"/>
      <c r="G204" s="1949"/>
      <c r="H204" s="1949"/>
      <c r="I204" s="1949"/>
      <c r="J204" s="1949"/>
      <c r="K204" s="1949"/>
    </row>
    <row r="205" spans="1:21" ht="15.95" customHeight="1" x14ac:dyDescent="0.25">
      <c r="A205" s="1965" t="s">
        <v>2288</v>
      </c>
      <c r="B205" s="1965"/>
      <c r="C205" s="1965"/>
      <c r="D205" s="1965"/>
      <c r="E205" s="1965"/>
      <c r="F205" s="1965"/>
      <c r="G205" s="1965"/>
      <c r="H205" s="1965"/>
      <c r="I205" s="1965"/>
      <c r="J205" s="1965"/>
      <c r="K205" s="1965"/>
    </row>
    <row r="206" spans="1:21" ht="120.75" customHeight="1" x14ac:dyDescent="0.25">
      <c r="A206" s="1387">
        <v>36</v>
      </c>
      <c r="B206" s="1949" t="s">
        <v>2753</v>
      </c>
      <c r="C206" s="1949"/>
      <c r="D206" s="1388" t="s">
        <v>1487</v>
      </c>
      <c r="E206" s="1949"/>
      <c r="F206" s="1949"/>
      <c r="G206" s="1949"/>
      <c r="H206" s="1949"/>
      <c r="I206" s="1949"/>
      <c r="J206" s="1949"/>
      <c r="K206" s="1949"/>
    </row>
    <row r="207" spans="1:21" ht="74.099999999999994" customHeight="1" x14ac:dyDescent="0.25">
      <c r="A207" s="1966">
        <v>37</v>
      </c>
      <c r="B207" s="1949" t="s">
        <v>2754</v>
      </c>
      <c r="C207" s="1967"/>
      <c r="D207" s="1388" t="s">
        <v>1487</v>
      </c>
      <c r="E207" s="1949"/>
      <c r="F207" s="1949"/>
      <c r="G207" s="1949"/>
      <c r="H207" s="1949"/>
      <c r="I207" s="1949"/>
      <c r="J207" s="1949"/>
      <c r="K207" s="1949"/>
    </row>
    <row r="208" spans="1:21" x14ac:dyDescent="0.25">
      <c r="A208" s="1966"/>
      <c r="B208" s="1437" t="s">
        <v>2289</v>
      </c>
      <c r="C208" s="1388" t="s">
        <v>2290</v>
      </c>
      <c r="D208" s="1388" t="s">
        <v>1487</v>
      </c>
      <c r="E208" s="1949"/>
      <c r="F208" s="1949"/>
      <c r="G208" s="1949"/>
      <c r="H208" s="1949"/>
      <c r="I208" s="1949"/>
      <c r="J208" s="1949"/>
      <c r="K208" s="1949"/>
    </row>
    <row r="209" spans="1:11" x14ac:dyDescent="0.25">
      <c r="A209" s="1966"/>
      <c r="B209" s="1437" t="s">
        <v>1610</v>
      </c>
      <c r="C209" s="1388" t="s">
        <v>2291</v>
      </c>
      <c r="D209" s="1388" t="s">
        <v>1487</v>
      </c>
      <c r="E209" s="1949"/>
      <c r="F209" s="1949"/>
      <c r="G209" s="1949"/>
      <c r="H209" s="1949"/>
      <c r="I209" s="1949"/>
      <c r="J209" s="1949"/>
      <c r="K209" s="1949"/>
    </row>
    <row r="210" spans="1:11" x14ac:dyDescent="0.25">
      <c r="A210" s="1966"/>
      <c r="B210" s="1437" t="s">
        <v>1611</v>
      </c>
      <c r="C210" s="1388" t="s">
        <v>2292</v>
      </c>
      <c r="D210" s="1388" t="s">
        <v>1487</v>
      </c>
      <c r="E210" s="1949"/>
      <c r="F210" s="1949"/>
      <c r="G210" s="1949"/>
      <c r="H210" s="1949"/>
      <c r="I210" s="1949"/>
      <c r="J210" s="1949"/>
      <c r="K210" s="1949"/>
    </row>
    <row r="211" spans="1:11" x14ac:dyDescent="0.25">
      <c r="A211" s="1966"/>
      <c r="B211" s="1437" t="s">
        <v>2293</v>
      </c>
      <c r="C211" s="1388" t="s">
        <v>588</v>
      </c>
      <c r="D211" s="1388" t="s">
        <v>1487</v>
      </c>
      <c r="E211" s="1949"/>
      <c r="F211" s="1949"/>
      <c r="G211" s="1949"/>
      <c r="H211" s="1949"/>
      <c r="I211" s="1949"/>
      <c r="J211" s="1949"/>
      <c r="K211" s="1949"/>
    </row>
    <row r="212" spans="1:11" x14ac:dyDescent="0.25">
      <c r="A212" s="1966"/>
      <c r="B212" s="1437" t="s">
        <v>2755</v>
      </c>
      <c r="C212" s="1388" t="s">
        <v>591</v>
      </c>
      <c r="D212" s="1388" t="s">
        <v>1487</v>
      </c>
      <c r="E212" s="1949"/>
      <c r="F212" s="1949"/>
      <c r="G212" s="1949"/>
      <c r="H212" s="1949"/>
      <c r="I212" s="1949"/>
      <c r="J212" s="1949"/>
      <c r="K212" s="1949"/>
    </row>
    <row r="213" spans="1:11" x14ac:dyDescent="0.25">
      <c r="A213" s="1966"/>
      <c r="B213" s="1437" t="s">
        <v>2756</v>
      </c>
      <c r="C213" s="1388" t="s">
        <v>2294</v>
      </c>
      <c r="D213" s="1388" t="s">
        <v>1487</v>
      </c>
      <c r="E213" s="1949"/>
      <c r="F213" s="1949"/>
      <c r="G213" s="1949"/>
      <c r="H213" s="1949"/>
      <c r="I213" s="1949"/>
      <c r="J213" s="1949"/>
      <c r="K213" s="1949"/>
    </row>
    <row r="214" spans="1:11" x14ac:dyDescent="0.25">
      <c r="A214" s="1966"/>
      <c r="B214" s="1437" t="s">
        <v>2757</v>
      </c>
      <c r="C214" s="1388" t="s">
        <v>2328</v>
      </c>
      <c r="D214" s="1388" t="s">
        <v>1487</v>
      </c>
      <c r="E214" s="1692"/>
      <c r="F214" s="1692"/>
      <c r="G214" s="1692"/>
      <c r="H214" s="1692"/>
      <c r="I214" s="1692"/>
      <c r="J214" s="1692"/>
      <c r="K214" s="1692"/>
    </row>
    <row r="215" spans="1:11" x14ac:dyDescent="0.25">
      <c r="A215" s="1966"/>
      <c r="B215" s="1437" t="s">
        <v>1402</v>
      </c>
      <c r="C215" s="1388" t="s">
        <v>148</v>
      </c>
      <c r="D215" s="1388" t="s">
        <v>1487</v>
      </c>
      <c r="E215" s="1949"/>
      <c r="F215" s="1949"/>
      <c r="G215" s="1949"/>
      <c r="H215" s="1949"/>
      <c r="I215" s="1949"/>
      <c r="J215" s="1949"/>
      <c r="K215" s="1949"/>
    </row>
    <row r="216" spans="1:11" x14ac:dyDescent="0.25">
      <c r="A216" s="1966"/>
      <c r="B216" s="1437" t="s">
        <v>1427</v>
      </c>
      <c r="C216" s="1388" t="s">
        <v>288</v>
      </c>
      <c r="D216" s="1388" t="s">
        <v>1487</v>
      </c>
      <c r="E216" s="1949"/>
      <c r="F216" s="1949"/>
      <c r="G216" s="1949"/>
      <c r="H216" s="1949"/>
      <c r="I216" s="1949"/>
      <c r="J216" s="1949"/>
      <c r="K216" s="1949"/>
    </row>
    <row r="217" spans="1:11" x14ac:dyDescent="0.25">
      <c r="A217" s="1966"/>
      <c r="B217" s="1437" t="s">
        <v>682</v>
      </c>
      <c r="C217" s="1388" t="s">
        <v>289</v>
      </c>
      <c r="D217" s="1388" t="s">
        <v>1487</v>
      </c>
      <c r="E217" s="1949"/>
      <c r="F217" s="1949"/>
      <c r="G217" s="1949"/>
      <c r="H217" s="1949"/>
      <c r="I217" s="1949"/>
      <c r="J217" s="1949"/>
      <c r="K217" s="1949"/>
    </row>
    <row r="218" spans="1:11" x14ac:dyDescent="0.25">
      <c r="A218" s="1966"/>
      <c r="B218" s="1437" t="s">
        <v>686</v>
      </c>
      <c r="C218" s="1388" t="s">
        <v>2295</v>
      </c>
      <c r="D218" s="1388" t="s">
        <v>1487</v>
      </c>
      <c r="E218" s="1949"/>
      <c r="F218" s="1949"/>
      <c r="G218" s="1949"/>
      <c r="H218" s="1949"/>
      <c r="I218" s="1949"/>
      <c r="J218" s="1949"/>
      <c r="K218" s="1949"/>
    </row>
    <row r="219" spans="1:11" x14ac:dyDescent="0.25">
      <c r="A219" s="1966"/>
      <c r="B219" s="1437" t="s">
        <v>1444</v>
      </c>
      <c r="C219" s="1388" t="s">
        <v>208</v>
      </c>
      <c r="D219" s="1388" t="s">
        <v>1487</v>
      </c>
      <c r="E219" s="1949"/>
      <c r="F219" s="1949"/>
      <c r="G219" s="1949"/>
      <c r="H219" s="1949"/>
      <c r="I219" s="1949"/>
      <c r="J219" s="1949"/>
      <c r="K219" s="1949"/>
    </row>
    <row r="220" spans="1:11" x14ac:dyDescent="0.25">
      <c r="A220" s="1966"/>
      <c r="B220" s="1437" t="s">
        <v>2296</v>
      </c>
      <c r="C220" s="1388" t="s">
        <v>365</v>
      </c>
      <c r="D220" s="1388" t="s">
        <v>1487</v>
      </c>
      <c r="E220" s="1949"/>
      <c r="F220" s="1949"/>
      <c r="G220" s="1949"/>
      <c r="H220" s="1949"/>
      <c r="I220" s="1949"/>
      <c r="J220" s="1949"/>
      <c r="K220" s="1949"/>
    </row>
    <row r="221" spans="1:11" x14ac:dyDescent="0.25">
      <c r="A221" s="1966"/>
      <c r="B221" s="1437" t="s">
        <v>2043</v>
      </c>
      <c r="C221" s="1388" t="s">
        <v>2298</v>
      </c>
      <c r="D221" s="1388" t="s">
        <v>1487</v>
      </c>
      <c r="E221" s="1949"/>
      <c r="F221" s="1949"/>
      <c r="G221" s="1949"/>
      <c r="H221" s="1949"/>
      <c r="I221" s="1949"/>
      <c r="J221" s="1949"/>
      <c r="K221" s="1949"/>
    </row>
    <row r="222" spans="1:11" x14ac:dyDescent="0.25">
      <c r="A222" s="1966"/>
      <c r="B222" s="1437" t="s">
        <v>2297</v>
      </c>
      <c r="C222" s="1388" t="s">
        <v>2300</v>
      </c>
      <c r="D222" s="1388" t="s">
        <v>1487</v>
      </c>
      <c r="E222" s="1949"/>
      <c r="F222" s="1949"/>
      <c r="G222" s="1949"/>
      <c r="H222" s="1949"/>
      <c r="I222" s="1949"/>
      <c r="J222" s="1949"/>
      <c r="K222" s="1949"/>
    </row>
    <row r="223" spans="1:11" x14ac:dyDescent="0.25">
      <c r="A223" s="1966"/>
      <c r="B223" s="1437" t="s">
        <v>2299</v>
      </c>
      <c r="C223" s="1388" t="s">
        <v>293</v>
      </c>
      <c r="D223" s="1388" t="s">
        <v>1487</v>
      </c>
      <c r="E223" s="1949"/>
      <c r="F223" s="1949"/>
      <c r="G223" s="1949"/>
      <c r="H223" s="1949"/>
      <c r="I223" s="1949"/>
      <c r="J223" s="1949"/>
      <c r="K223" s="1949"/>
    </row>
    <row r="224" spans="1:11" x14ac:dyDescent="0.25">
      <c r="A224" s="1966"/>
      <c r="B224" s="1437" t="s">
        <v>1624</v>
      </c>
      <c r="C224" s="1388" t="s">
        <v>2301</v>
      </c>
      <c r="D224" s="1388" t="s">
        <v>1487</v>
      </c>
      <c r="E224" s="1949"/>
      <c r="F224" s="1949"/>
      <c r="G224" s="1949"/>
      <c r="H224" s="1949"/>
      <c r="I224" s="1949"/>
      <c r="J224" s="1949"/>
      <c r="K224" s="1949"/>
    </row>
    <row r="225" spans="1:11" x14ac:dyDescent="0.25">
      <c r="A225" s="1966"/>
      <c r="B225" s="1437" t="s">
        <v>1625</v>
      </c>
      <c r="C225" s="1388" t="s">
        <v>1700</v>
      </c>
      <c r="D225" s="1388" t="s">
        <v>1487</v>
      </c>
      <c r="E225" s="1949"/>
      <c r="F225" s="1949"/>
      <c r="G225" s="1949"/>
      <c r="H225" s="1949"/>
      <c r="I225" s="1949"/>
      <c r="J225" s="1949"/>
      <c r="K225" s="1949"/>
    </row>
    <row r="226" spans="1:11" x14ac:dyDescent="0.25">
      <c r="A226" s="1966"/>
      <c r="B226" s="1437" t="s">
        <v>1626</v>
      </c>
      <c r="C226" s="1388" t="s">
        <v>620</v>
      </c>
      <c r="D226" s="1388" t="s">
        <v>1487</v>
      </c>
      <c r="E226" s="1949"/>
      <c r="F226" s="1949"/>
      <c r="G226" s="1949"/>
      <c r="H226" s="1949"/>
      <c r="I226" s="1949"/>
      <c r="J226" s="1949"/>
      <c r="K226" s="1949"/>
    </row>
    <row r="227" spans="1:11" x14ac:dyDescent="0.25">
      <c r="A227" s="1966"/>
      <c r="B227" s="1437" t="s">
        <v>2302</v>
      </c>
      <c r="C227" s="1388" t="s">
        <v>2303</v>
      </c>
      <c r="D227" s="1388" t="s">
        <v>1487</v>
      </c>
      <c r="E227" s="1949"/>
      <c r="F227" s="1949"/>
      <c r="G227" s="1949"/>
      <c r="H227" s="1949"/>
      <c r="I227" s="1949"/>
      <c r="J227" s="1949"/>
      <c r="K227" s="1949"/>
    </row>
    <row r="228" spans="1:11" x14ac:dyDescent="0.25">
      <c r="A228" s="1966"/>
      <c r="B228" s="1437" t="s">
        <v>1628</v>
      </c>
      <c r="C228" s="1388" t="s">
        <v>2304</v>
      </c>
      <c r="D228" s="1388" t="s">
        <v>1487</v>
      </c>
      <c r="E228" s="1949"/>
      <c r="F228" s="1949"/>
      <c r="G228" s="1949"/>
      <c r="H228" s="1949"/>
      <c r="I228" s="1949"/>
      <c r="J228" s="1949"/>
      <c r="K228" s="1949"/>
    </row>
    <row r="229" spans="1:11" x14ac:dyDescent="0.25">
      <c r="A229" s="1966"/>
      <c r="B229" s="1437" t="s">
        <v>1629</v>
      </c>
      <c r="C229" s="1388" t="s">
        <v>2305</v>
      </c>
      <c r="D229" s="1388" t="s">
        <v>1487</v>
      </c>
      <c r="E229" s="1949"/>
      <c r="F229" s="1949"/>
      <c r="G229" s="1949"/>
      <c r="H229" s="1949"/>
      <c r="I229" s="1949"/>
      <c r="J229" s="1949"/>
      <c r="K229" s="1949"/>
    </row>
    <row r="230" spans="1:11" x14ac:dyDescent="0.25">
      <c r="A230" s="1966"/>
      <c r="B230" s="1437" t="s">
        <v>1630</v>
      </c>
      <c r="C230" s="1388" t="s">
        <v>2407</v>
      </c>
      <c r="D230" s="1388" t="s">
        <v>1487</v>
      </c>
      <c r="E230" s="1949"/>
      <c r="F230" s="1949"/>
      <c r="G230" s="1949"/>
      <c r="H230" s="1949"/>
      <c r="I230" s="1949"/>
      <c r="J230" s="1949"/>
      <c r="K230" s="1949"/>
    </row>
    <row r="231" spans="1:11" x14ac:dyDescent="0.25">
      <c r="A231" s="1966"/>
      <c r="B231" s="1437" t="s">
        <v>1631</v>
      </c>
      <c r="C231" s="1388" t="s">
        <v>644</v>
      </c>
      <c r="D231" s="1388" t="s">
        <v>1487</v>
      </c>
      <c r="E231" s="1949"/>
      <c r="F231" s="1949"/>
      <c r="G231" s="1949"/>
      <c r="H231" s="1949"/>
      <c r="I231" s="1949"/>
      <c r="J231" s="1949"/>
      <c r="K231" s="1949"/>
    </row>
    <row r="232" spans="1:11" x14ac:dyDescent="0.25">
      <c r="A232" s="1966"/>
      <c r="B232" s="1437" t="s">
        <v>1632</v>
      </c>
      <c r="C232" s="1388" t="s">
        <v>2758</v>
      </c>
      <c r="D232" s="1388" t="s">
        <v>1487</v>
      </c>
      <c r="E232" s="1949"/>
      <c r="F232" s="1949"/>
      <c r="G232" s="1949"/>
      <c r="H232" s="1949"/>
      <c r="I232" s="1949"/>
      <c r="J232" s="1949"/>
      <c r="K232" s="1949"/>
    </row>
    <row r="233" spans="1:11" x14ac:dyDescent="0.25">
      <c r="A233" s="1966"/>
      <c r="B233" s="1437" t="s">
        <v>1633</v>
      </c>
      <c r="C233" s="1388" t="s">
        <v>2307</v>
      </c>
      <c r="D233" s="1388" t="s">
        <v>1487</v>
      </c>
      <c r="E233" s="1949"/>
      <c r="F233" s="1949"/>
      <c r="G233" s="1949"/>
      <c r="H233" s="1949"/>
      <c r="I233" s="1949"/>
      <c r="J233" s="1949"/>
      <c r="K233" s="1949"/>
    </row>
    <row r="234" spans="1:11" x14ac:dyDescent="0.25">
      <c r="A234" s="1966"/>
      <c r="B234" s="1437" t="s">
        <v>2306</v>
      </c>
      <c r="C234" s="1388" t="s">
        <v>2309</v>
      </c>
      <c r="D234" s="1388" t="s">
        <v>1487</v>
      </c>
      <c r="E234" s="1949"/>
      <c r="F234" s="1949"/>
      <c r="G234" s="1949"/>
      <c r="H234" s="1949"/>
      <c r="I234" s="1949"/>
      <c r="J234" s="1949"/>
      <c r="K234" s="1949"/>
    </row>
    <row r="235" spans="1:11" x14ac:dyDescent="0.25">
      <c r="A235" s="1966"/>
      <c r="B235" s="1437" t="s">
        <v>2308</v>
      </c>
      <c r="C235" s="1388" t="s">
        <v>2311</v>
      </c>
      <c r="D235" s="1388" t="s">
        <v>1487</v>
      </c>
      <c r="E235" s="1949"/>
      <c r="F235" s="1949"/>
      <c r="G235" s="1949"/>
      <c r="H235" s="1949"/>
      <c r="I235" s="1949"/>
      <c r="J235" s="1949"/>
      <c r="K235" s="1949"/>
    </row>
    <row r="236" spans="1:11" x14ac:dyDescent="0.25">
      <c r="A236" s="1966"/>
      <c r="B236" s="1437" t="s">
        <v>2310</v>
      </c>
      <c r="C236" s="1388" t="s">
        <v>2312</v>
      </c>
      <c r="D236" s="1388" t="s">
        <v>1487</v>
      </c>
      <c r="E236" s="1949"/>
      <c r="F236" s="1949"/>
      <c r="G236" s="1949"/>
      <c r="H236" s="1949"/>
      <c r="I236" s="1949"/>
      <c r="J236" s="1949"/>
      <c r="K236" s="1949"/>
    </row>
    <row r="237" spans="1:11" ht="40.5" customHeight="1" x14ac:dyDescent="0.25">
      <c r="A237" s="1966"/>
      <c r="B237" s="1968" t="s">
        <v>2313</v>
      </c>
      <c r="C237" s="1969"/>
      <c r="D237" s="1388" t="s">
        <v>727</v>
      </c>
      <c r="E237" s="1949"/>
      <c r="F237" s="1949"/>
      <c r="G237" s="1949"/>
      <c r="H237" s="1949"/>
      <c r="I237" s="1949"/>
      <c r="J237" s="1949"/>
      <c r="K237" s="1949"/>
    </row>
    <row r="238" spans="1:11" x14ac:dyDescent="0.25">
      <c r="A238" s="1965" t="s">
        <v>2314</v>
      </c>
      <c r="B238" s="1965"/>
      <c r="C238" s="1965"/>
      <c r="D238" s="1965"/>
      <c r="E238" s="1965"/>
      <c r="F238" s="1965"/>
      <c r="G238" s="1965"/>
      <c r="H238" s="1965"/>
      <c r="I238" s="1965"/>
      <c r="J238" s="1965"/>
      <c r="K238" s="1965"/>
    </row>
    <row r="239" spans="1:11" ht="36.950000000000003" customHeight="1" x14ac:dyDescent="0.25">
      <c r="A239" s="1387">
        <v>38</v>
      </c>
      <c r="B239" s="1949" t="s">
        <v>2759</v>
      </c>
      <c r="C239" s="1949"/>
      <c r="D239" s="1388"/>
      <c r="E239" s="1949"/>
      <c r="F239" s="1949"/>
      <c r="G239" s="1949"/>
      <c r="H239" s="1949"/>
      <c r="I239" s="1949"/>
      <c r="J239" s="1949"/>
      <c r="K239" s="1949"/>
    </row>
    <row r="240" spans="1:11" ht="53.45" customHeight="1" x14ac:dyDescent="0.25">
      <c r="A240" s="1387">
        <v>39</v>
      </c>
      <c r="B240" s="1949" t="s">
        <v>2760</v>
      </c>
      <c r="C240" s="1949"/>
      <c r="D240" s="1388"/>
      <c r="E240" s="1949"/>
      <c r="F240" s="1949"/>
      <c r="G240" s="1949"/>
      <c r="H240" s="1949"/>
      <c r="I240" s="1949"/>
      <c r="J240" s="1949"/>
      <c r="K240" s="1949"/>
    </row>
  </sheetData>
  <mergeCells count="278">
    <mergeCell ref="A1:K1"/>
    <mergeCell ref="A2:C2"/>
    <mergeCell ref="E2:K2"/>
    <mergeCell ref="A3:K3"/>
    <mergeCell ref="B4:C4"/>
    <mergeCell ref="E4:K4"/>
    <mergeCell ref="E12:K12"/>
    <mergeCell ref="E13:K13"/>
    <mergeCell ref="B14:C14"/>
    <mergeCell ref="E14:K14"/>
    <mergeCell ref="B15:C15"/>
    <mergeCell ref="E15:K15"/>
    <mergeCell ref="B5:C5"/>
    <mergeCell ref="E5:K5"/>
    <mergeCell ref="A6:K6"/>
    <mergeCell ref="A7:A13"/>
    <mergeCell ref="B7:C7"/>
    <mergeCell ref="E7:K7"/>
    <mergeCell ref="E8:K8"/>
    <mergeCell ref="E9:K9"/>
    <mergeCell ref="E10:K10"/>
    <mergeCell ref="E11:K11"/>
    <mergeCell ref="A16:K16"/>
    <mergeCell ref="A17:A22"/>
    <mergeCell ref="B17:C17"/>
    <mergeCell ref="E17:K17"/>
    <mergeCell ref="B18:C18"/>
    <mergeCell ref="E18:K18"/>
    <mergeCell ref="B19:C19"/>
    <mergeCell ref="E19:K19"/>
    <mergeCell ref="B20:C20"/>
    <mergeCell ref="E20:K20"/>
    <mergeCell ref="A24:A33"/>
    <mergeCell ref="B24:C33"/>
    <mergeCell ref="D24:D33"/>
    <mergeCell ref="E32:K32"/>
    <mergeCell ref="E33:K33"/>
    <mergeCell ref="B21:C21"/>
    <mergeCell ref="E21:K21"/>
    <mergeCell ref="B22:C22"/>
    <mergeCell ref="E22:K22"/>
    <mergeCell ref="B23:C23"/>
    <mergeCell ref="E23:K23"/>
    <mergeCell ref="A34:A41"/>
    <mergeCell ref="B34:C41"/>
    <mergeCell ref="D34:D41"/>
    <mergeCell ref="E36:G36"/>
    <mergeCell ref="E37:G37"/>
    <mergeCell ref="E38:G38"/>
    <mergeCell ref="E40:K40"/>
    <mergeCell ref="E41:K41"/>
    <mergeCell ref="A42:A50"/>
    <mergeCell ref="E34:G34"/>
    <mergeCell ref="E35:G35"/>
    <mergeCell ref="A90:K90"/>
    <mergeCell ref="E80:H80"/>
    <mergeCell ref="E81:H81"/>
    <mergeCell ref="E82:H82"/>
    <mergeCell ref="E75:H75"/>
    <mergeCell ref="E79:H79"/>
    <mergeCell ref="E68:H68"/>
    <mergeCell ref="E70:H70"/>
    <mergeCell ref="E49:K49"/>
    <mergeCell ref="B42:C50"/>
    <mergeCell ref="D42:D50"/>
    <mergeCell ref="E42:K42"/>
    <mergeCell ref="E50:K50"/>
    <mergeCell ref="B51:C51"/>
    <mergeCell ref="E51:K51"/>
    <mergeCell ref="B52:C52"/>
    <mergeCell ref="E52:K52"/>
    <mergeCell ref="B53:C67"/>
    <mergeCell ref="D53:D67"/>
    <mergeCell ref="A53:A67"/>
    <mergeCell ref="A68:A78"/>
    <mergeCell ref="B68:C78"/>
    <mergeCell ref="D68:D78"/>
    <mergeCell ref="E69:H69"/>
    <mergeCell ref="B91:C91"/>
    <mergeCell ref="E91:K91"/>
    <mergeCell ref="B92:C92"/>
    <mergeCell ref="E92:K92"/>
    <mergeCell ref="E109:F109"/>
    <mergeCell ref="E98:G98"/>
    <mergeCell ref="E99:G99"/>
    <mergeCell ref="E101:G101"/>
    <mergeCell ref="E116:F116"/>
    <mergeCell ref="E104:G104"/>
    <mergeCell ref="E105:G105"/>
    <mergeCell ref="E107:K107"/>
    <mergeCell ref="E108:K108"/>
    <mergeCell ref="E143:F143"/>
    <mergeCell ref="E144:F144"/>
    <mergeCell ref="E145:F145"/>
    <mergeCell ref="E139:F139"/>
    <mergeCell ref="E140:F140"/>
    <mergeCell ref="A97:A133"/>
    <mergeCell ref="B97:C133"/>
    <mergeCell ref="D97:D99"/>
    <mergeCell ref="D100:D133"/>
    <mergeCell ref="E102:G102"/>
    <mergeCell ref="E103:G103"/>
    <mergeCell ref="E132:K132"/>
    <mergeCell ref="E122:F122"/>
    <mergeCell ref="E123:F123"/>
    <mergeCell ref="E124:F124"/>
    <mergeCell ref="E125:F125"/>
    <mergeCell ref="E126:F126"/>
    <mergeCell ref="E118:F118"/>
    <mergeCell ref="E119:F119"/>
    <mergeCell ref="E120:F120"/>
    <mergeCell ref="E121:F121"/>
    <mergeCell ref="E110:F110"/>
    <mergeCell ref="E111:F111"/>
    <mergeCell ref="E112:F112"/>
    <mergeCell ref="B202:C202"/>
    <mergeCell ref="E202:K202"/>
    <mergeCell ref="E198:K198"/>
    <mergeCell ref="A200:K200"/>
    <mergeCell ref="B201:C201"/>
    <mergeCell ref="E201:K201"/>
    <mergeCell ref="E182:K182"/>
    <mergeCell ref="E189:F189"/>
    <mergeCell ref="E190:F190"/>
    <mergeCell ref="E192:F192"/>
    <mergeCell ref="E188:F188"/>
    <mergeCell ref="A183:A184"/>
    <mergeCell ref="B183:C183"/>
    <mergeCell ref="E183:K183"/>
    <mergeCell ref="B184:C184"/>
    <mergeCell ref="E184:K184"/>
    <mergeCell ref="A185:A199"/>
    <mergeCell ref="B185:C199"/>
    <mergeCell ref="D185:D199"/>
    <mergeCell ref="E186:K186"/>
    <mergeCell ref="E187:F187"/>
    <mergeCell ref="I188:K190"/>
    <mergeCell ref="E191:K191"/>
    <mergeCell ref="E193:F193"/>
    <mergeCell ref="B203:C203"/>
    <mergeCell ref="E203:K203"/>
    <mergeCell ref="E204:K204"/>
    <mergeCell ref="E206:K206"/>
    <mergeCell ref="E207:K207"/>
    <mergeCell ref="E208:K208"/>
    <mergeCell ref="E209:K209"/>
    <mergeCell ref="E222:K222"/>
    <mergeCell ref="E223:K223"/>
    <mergeCell ref="E216:K216"/>
    <mergeCell ref="E217:K217"/>
    <mergeCell ref="E72:H72"/>
    <mergeCell ref="E74:H74"/>
    <mergeCell ref="E77:K77"/>
    <mergeCell ref="E78:K78"/>
    <mergeCell ref="A79:A89"/>
    <mergeCell ref="B79:C89"/>
    <mergeCell ref="D79:D89"/>
    <mergeCell ref="E83:H83"/>
    <mergeCell ref="E84:H84"/>
    <mergeCell ref="E85:H85"/>
    <mergeCell ref="E86:H86"/>
    <mergeCell ref="E88:K88"/>
    <mergeCell ref="E89:K89"/>
    <mergeCell ref="A92:A94"/>
    <mergeCell ref="B93:C93"/>
    <mergeCell ref="E93:K93"/>
    <mergeCell ref="B94:C94"/>
    <mergeCell ref="E94:K94"/>
    <mergeCell ref="B95:C95"/>
    <mergeCell ref="E95:K95"/>
    <mergeCell ref="B96:C96"/>
    <mergeCell ref="E96:K96"/>
    <mergeCell ref="E127:F127"/>
    <mergeCell ref="E128:F128"/>
    <mergeCell ref="E129:F129"/>
    <mergeCell ref="E130:F130"/>
    <mergeCell ref="E133:K133"/>
    <mergeCell ref="E113:F113"/>
    <mergeCell ref="E114:F114"/>
    <mergeCell ref="E115:F115"/>
    <mergeCell ref="E117:F117"/>
    <mergeCell ref="A134:K134"/>
    <mergeCell ref="B135:C135"/>
    <mergeCell ref="E135:K135"/>
    <mergeCell ref="B136:C136"/>
    <mergeCell ref="E136:K136"/>
    <mergeCell ref="A137:A159"/>
    <mergeCell ref="B137:C159"/>
    <mergeCell ref="D137:D159"/>
    <mergeCell ref="E138:I138"/>
    <mergeCell ref="E142:F142"/>
    <mergeCell ref="E146:G146"/>
    <mergeCell ref="E153:F153"/>
    <mergeCell ref="E154:F154"/>
    <mergeCell ref="E155:F155"/>
    <mergeCell ref="E156:F156"/>
    <mergeCell ref="E159:K159"/>
    <mergeCell ref="E158:K158"/>
    <mergeCell ref="E147:F147"/>
    <mergeCell ref="E148:F148"/>
    <mergeCell ref="E149:F149"/>
    <mergeCell ref="E150:F150"/>
    <mergeCell ref="E151:F151"/>
    <mergeCell ref="E152:F152"/>
    <mergeCell ref="E141:F141"/>
    <mergeCell ref="A163:K163"/>
    <mergeCell ref="B164:C164"/>
    <mergeCell ref="E164:K164"/>
    <mergeCell ref="A165:A172"/>
    <mergeCell ref="B165:C172"/>
    <mergeCell ref="D165:D172"/>
    <mergeCell ref="E166:G166"/>
    <mergeCell ref="E167:G167"/>
    <mergeCell ref="E168:G168"/>
    <mergeCell ref="E169:G169"/>
    <mergeCell ref="E171:K171"/>
    <mergeCell ref="E172:K172"/>
    <mergeCell ref="E165:G165"/>
    <mergeCell ref="B173:C173"/>
    <mergeCell ref="E173:K173"/>
    <mergeCell ref="A174:A182"/>
    <mergeCell ref="B174:C182"/>
    <mergeCell ref="D174:D182"/>
    <mergeCell ref="E176:G176"/>
    <mergeCell ref="E177:G177"/>
    <mergeCell ref="E178:G178"/>
    <mergeCell ref="E179:G179"/>
    <mergeCell ref="E181:K181"/>
    <mergeCell ref="E174:G174"/>
    <mergeCell ref="E175:G175"/>
    <mergeCell ref="A238:K238"/>
    <mergeCell ref="B239:C239"/>
    <mergeCell ref="E239:K239"/>
    <mergeCell ref="B240:C240"/>
    <mergeCell ref="E240:K240"/>
    <mergeCell ref="B204:C204"/>
    <mergeCell ref="A205:K205"/>
    <mergeCell ref="B206:C206"/>
    <mergeCell ref="A207:A237"/>
    <mergeCell ref="B207:C207"/>
    <mergeCell ref="E233:K233"/>
    <mergeCell ref="E236:K236"/>
    <mergeCell ref="B237:C237"/>
    <mergeCell ref="E237:K237"/>
    <mergeCell ref="E218:K218"/>
    <mergeCell ref="E219:K219"/>
    <mergeCell ref="E220:K220"/>
    <mergeCell ref="E221:K221"/>
    <mergeCell ref="E234:K234"/>
    <mergeCell ref="E232:K232"/>
    <mergeCell ref="E210:K210"/>
    <mergeCell ref="E211:K211"/>
    <mergeCell ref="E212:K212"/>
    <mergeCell ref="E213:K213"/>
    <mergeCell ref="K145:K146"/>
    <mergeCell ref="L145:L146"/>
    <mergeCell ref="L156:N156"/>
    <mergeCell ref="L187:U187"/>
    <mergeCell ref="E235:K235"/>
    <mergeCell ref="E228:K228"/>
    <mergeCell ref="E229:K229"/>
    <mergeCell ref="E230:K230"/>
    <mergeCell ref="E231:K231"/>
    <mergeCell ref="I193:K196"/>
    <mergeCell ref="E194:F194"/>
    <mergeCell ref="E195:F195"/>
    <mergeCell ref="E196:F196"/>
    <mergeCell ref="E199:K199"/>
    <mergeCell ref="E215:K215"/>
    <mergeCell ref="E224:K224"/>
    <mergeCell ref="E225:K225"/>
    <mergeCell ref="E226:K226"/>
    <mergeCell ref="E227:K227"/>
    <mergeCell ref="A160:K160"/>
    <mergeCell ref="B161:C161"/>
    <mergeCell ref="E161:K161"/>
    <mergeCell ref="B162:C162"/>
    <mergeCell ref="E162:K162"/>
  </mergeCells>
  <conditionalFormatting sqref="D4:D5 D7:D15 D17:D24 D34 D42 D51:D53 D68 D79 D91:D97 D100 D135:D137 D161:D162 D164:D165">
    <cfRule type="cellIs" dxfId="352" priority="6" operator="equal">
      <formula>"Yes"</formula>
    </cfRule>
  </conditionalFormatting>
  <conditionalFormatting sqref="D5 D7:D15 D17:D24 D34 D42 D51:D53 D68 D79">
    <cfRule type="cellIs" dxfId="351" priority="7" operator="equal">
      <formula>"No"</formula>
    </cfRule>
  </conditionalFormatting>
  <conditionalFormatting sqref="D91:D97 D100">
    <cfRule type="cellIs" dxfId="350" priority="8" operator="equal">
      <formula>"No"</formula>
    </cfRule>
  </conditionalFormatting>
  <conditionalFormatting sqref="D135:D137 D161:D162 D164:D165 D173:D174 D183:D185 D201:D204 D206:D237 D239:D819">
    <cfRule type="cellIs" dxfId="349" priority="2" operator="equal">
      <formula>"No"</formula>
    </cfRule>
  </conditionalFormatting>
  <conditionalFormatting sqref="H25:H30">
    <cfRule type="cellIs" dxfId="348" priority="5" operator="equal">
      <formula>"Yes"</formula>
    </cfRule>
  </conditionalFormatting>
  <conditionalFormatting sqref="H38">
    <cfRule type="cellIs" dxfId="347" priority="4" operator="equal">
      <formula>"Mis-match"</formula>
    </cfRule>
  </conditionalFormatting>
  <conditionalFormatting sqref="I75:I76">
    <cfRule type="cellIs" dxfId="346" priority="1" operator="equal">
      <formula>"Error"</formula>
    </cfRule>
  </conditionalFormatting>
  <conditionalFormatting sqref="I86">
    <cfRule type="cellIs" dxfId="345" priority="3" operator="equal">
      <formula>"Mis-match"</formula>
    </cfRule>
  </conditionalFormatting>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9">
    <tabColor theme="9" tint="0.59999389629810485"/>
    <pageSetUpPr fitToPage="1"/>
  </sheetPr>
  <dimension ref="A1:W29"/>
  <sheetViews>
    <sheetView workbookViewId="0">
      <pane xSplit="3" ySplit="5" topLeftCell="D6" activePane="bottomRight" state="frozen"/>
      <selection activeCell="G5" sqref="G4:G5"/>
      <selection pane="topRight" activeCell="G5" sqref="G4:G5"/>
      <selection pane="bottomLeft" activeCell="G5" sqref="G4:G5"/>
      <selection pane="bottomRight" activeCell="G5" sqref="G4:G5"/>
    </sheetView>
  </sheetViews>
  <sheetFormatPr defaultRowHeight="15" x14ac:dyDescent="0.25"/>
  <cols>
    <col min="1" max="1" width="27.28515625" customWidth="1"/>
    <col min="2" max="2" width="17" customWidth="1"/>
    <col min="3" max="3" width="11" customWidth="1"/>
    <col min="4" max="4" width="13" customWidth="1"/>
    <col min="5" max="5" width="11.5703125" bestFit="1" customWidth="1"/>
    <col min="6" max="6" width="15.28515625" bestFit="1" customWidth="1"/>
    <col min="7" max="8" width="14.28515625" bestFit="1" customWidth="1"/>
    <col min="9" max="9" width="9.28515625" bestFit="1" customWidth="1"/>
    <col min="10" max="10" width="12.5703125" bestFit="1" customWidth="1"/>
    <col min="11" max="11" width="9.28515625" bestFit="1" customWidth="1"/>
    <col min="12" max="12" width="10.5703125" bestFit="1" customWidth="1"/>
    <col min="13" max="13" width="11.5703125" bestFit="1" customWidth="1"/>
    <col min="14" max="15" width="10.5703125" bestFit="1" customWidth="1"/>
    <col min="16" max="16" width="14.28515625" bestFit="1" customWidth="1"/>
    <col min="17" max="18" width="10.5703125" bestFit="1" customWidth="1"/>
    <col min="19" max="21" width="12.5703125" bestFit="1" customWidth="1"/>
    <col min="22" max="22" width="9.28515625" bestFit="1" customWidth="1"/>
    <col min="23" max="23" width="10.5703125" bestFit="1" customWidth="1"/>
    <col min="24" max="26" width="0" hidden="1" customWidth="1"/>
    <col min="27" max="27" width="68.7109375" bestFit="1" customWidth="1"/>
    <col min="28" max="28" width="12" bestFit="1" customWidth="1"/>
  </cols>
  <sheetData>
    <row r="1" spans="1:23" x14ac:dyDescent="0.25">
      <c r="B1" s="35" t="str">
        <f>Update!$B$6</f>
        <v>Department of Health</v>
      </c>
    </row>
    <row r="2" spans="1:23" x14ac:dyDescent="0.25">
      <c r="B2" s="35" t="str">
        <f>Update!$A$3</f>
        <v>2025-26</v>
      </c>
    </row>
    <row r="3" spans="1:23" ht="18.75" x14ac:dyDescent="0.3">
      <c r="B3" s="780" t="s">
        <v>1515</v>
      </c>
    </row>
    <row r="5" spans="1:23" ht="56.25" x14ac:dyDescent="0.25">
      <c r="B5" s="30" t="s">
        <v>604</v>
      </c>
      <c r="C5" s="1520" t="s">
        <v>48</v>
      </c>
      <c r="D5" s="1520" t="s">
        <v>2457</v>
      </c>
      <c r="E5" s="1520" t="s">
        <v>5</v>
      </c>
      <c r="F5" s="1520" t="s">
        <v>11</v>
      </c>
      <c r="G5" s="1520" t="s">
        <v>25</v>
      </c>
      <c r="H5" s="1520" t="s">
        <v>1011</v>
      </c>
      <c r="I5" s="1520" t="s">
        <v>19</v>
      </c>
      <c r="J5" s="1520" t="s">
        <v>35</v>
      </c>
      <c r="K5" s="1520" t="s">
        <v>902</v>
      </c>
      <c r="L5" s="1520" t="s">
        <v>2446</v>
      </c>
      <c r="M5" s="1520" t="s">
        <v>23</v>
      </c>
      <c r="N5" s="1520" t="s">
        <v>33</v>
      </c>
      <c r="O5" s="1520" t="s">
        <v>31</v>
      </c>
      <c r="P5" s="1520" t="s">
        <v>7</v>
      </c>
      <c r="Q5" s="1520" t="s">
        <v>27</v>
      </c>
      <c r="R5" s="1520" t="s">
        <v>29</v>
      </c>
      <c r="S5" s="1520" t="s">
        <v>13</v>
      </c>
      <c r="T5" s="1520" t="s">
        <v>9</v>
      </c>
      <c r="U5" s="1520" t="s">
        <v>15</v>
      </c>
      <c r="V5" s="1520" t="s">
        <v>37</v>
      </c>
      <c r="W5" s="1520" t="s">
        <v>39</v>
      </c>
    </row>
    <row r="6" spans="1:23" x14ac:dyDescent="0.25">
      <c r="B6" s="364" t="s">
        <v>62</v>
      </c>
      <c r="C6" s="364" t="s">
        <v>62</v>
      </c>
      <c r="D6" s="364" t="s">
        <v>62</v>
      </c>
      <c r="E6" s="364" t="s">
        <v>62</v>
      </c>
      <c r="F6" s="364" t="s">
        <v>62</v>
      </c>
      <c r="G6" s="364" t="s">
        <v>62</v>
      </c>
      <c r="H6" s="364" t="s">
        <v>62</v>
      </c>
      <c r="I6" s="364" t="s">
        <v>62</v>
      </c>
      <c r="J6" s="364" t="s">
        <v>62</v>
      </c>
      <c r="K6" s="364" t="s">
        <v>62</v>
      </c>
      <c r="L6" s="364" t="s">
        <v>62</v>
      </c>
      <c r="M6" s="364" t="s">
        <v>62</v>
      </c>
      <c r="N6" s="364" t="s">
        <v>62</v>
      </c>
      <c r="O6" s="364" t="s">
        <v>62</v>
      </c>
      <c r="P6" s="364" t="s">
        <v>62</v>
      </c>
      <c r="Q6" s="364" t="s">
        <v>62</v>
      </c>
      <c r="R6" s="364" t="s">
        <v>62</v>
      </c>
      <c r="S6" s="364" t="s">
        <v>62</v>
      </c>
      <c r="T6" s="364" t="s">
        <v>62</v>
      </c>
      <c r="U6" s="364" t="s">
        <v>62</v>
      </c>
      <c r="V6" s="364" t="s">
        <v>62</v>
      </c>
      <c r="W6" s="364" t="s">
        <v>62</v>
      </c>
    </row>
    <row r="7" spans="1:23" x14ac:dyDescent="0.25">
      <c r="A7" t="s">
        <v>1489</v>
      </c>
      <c r="B7" s="330">
        <f>ROUND(SUM(C7:W7),0)</f>
        <v>0</v>
      </c>
      <c r="C7" s="330">
        <f>MAP!W180</f>
        <v>0</v>
      </c>
      <c r="D7" s="330">
        <f>MAP!X179</f>
        <v>0</v>
      </c>
      <c r="E7" s="330">
        <f>MAP!Y179</f>
        <v>0</v>
      </c>
      <c r="F7" s="330">
        <f>MAP!Z179</f>
        <v>0</v>
      </c>
      <c r="G7" s="330">
        <f>MAP!AA179</f>
        <v>0</v>
      </c>
      <c r="H7" s="330">
        <f>MAP!AB179</f>
        <v>0</v>
      </c>
      <c r="I7" s="330">
        <f>MAP!AC179</f>
        <v>0</v>
      </c>
      <c r="J7" s="330">
        <f>MAP!AD179</f>
        <v>0</v>
      </c>
      <c r="K7" s="330">
        <f>MAP!AE179</f>
        <v>0</v>
      </c>
      <c r="L7" s="330">
        <f>MAP!AF179</f>
        <v>0</v>
      </c>
      <c r="M7" s="330">
        <f>MAP!AG179</f>
        <v>0</v>
      </c>
      <c r="N7" s="330">
        <f>MAP!AH179</f>
        <v>0</v>
      </c>
      <c r="O7" s="330">
        <f>MAP!AI179</f>
        <v>0</v>
      </c>
      <c r="P7" s="330">
        <f>MAP!AJ179</f>
        <v>0</v>
      </c>
      <c r="Q7" s="330">
        <f>MAP!AK179</f>
        <v>0</v>
      </c>
      <c r="R7" s="330">
        <f>MAP!AL179</f>
        <v>0</v>
      </c>
      <c r="S7" s="330">
        <f>MAP!AM179</f>
        <v>0</v>
      </c>
      <c r="T7" s="330">
        <f>MAP!AN179</f>
        <v>0</v>
      </c>
      <c r="U7" s="330">
        <f>MAP!AO179</f>
        <v>0</v>
      </c>
      <c r="V7" s="330">
        <f>MAP!AP179</f>
        <v>0</v>
      </c>
      <c r="W7" s="330">
        <f>MAP!AQ179</f>
        <v>0</v>
      </c>
    </row>
    <row r="8" spans="1:23" x14ac:dyDescent="0.25">
      <c r="J8" s="1674"/>
    </row>
    <row r="9" spans="1:23" x14ac:dyDescent="0.25">
      <c r="A9" t="s">
        <v>1345</v>
      </c>
      <c r="B9" s="330">
        <f>ROUND(SUM(C9:W9),0)</f>
        <v>0</v>
      </c>
      <c r="C9" s="1089"/>
      <c r="D9" s="1610">
        <f>H18+H19+H20</f>
        <v>0</v>
      </c>
      <c r="E9" s="1089"/>
      <c r="F9" s="1718"/>
      <c r="G9" s="1521">
        <f>+G17</f>
        <v>0</v>
      </c>
      <c r="H9" s="1717"/>
      <c r="I9" s="1716"/>
      <c r="J9" s="1716"/>
      <c r="K9" s="1716"/>
      <c r="L9" s="1716"/>
      <c r="M9" s="1716"/>
      <c r="N9" s="1716"/>
      <c r="O9" s="1716"/>
      <c r="P9" s="1717"/>
      <c r="Q9" s="1716"/>
      <c r="R9" s="1716"/>
      <c r="S9" s="1717"/>
      <c r="T9" s="1717"/>
      <c r="U9" s="1717"/>
      <c r="V9" s="1716"/>
      <c r="W9" s="1716"/>
    </row>
    <row r="11" spans="1:23" x14ac:dyDescent="0.25">
      <c r="A11" t="s">
        <v>63</v>
      </c>
      <c r="B11" s="363">
        <f>ROUND(B9,0)-ROUND(B7,0)</f>
        <v>0</v>
      </c>
      <c r="C11" s="363">
        <f>ROUND(C9,0)-ROUND(C7,0)</f>
        <v>0</v>
      </c>
      <c r="D11" s="363">
        <f t="shared" ref="D11:W11" si="0">ROUND(D9,0)-ROUND(D7,0)</f>
        <v>0</v>
      </c>
      <c r="E11" s="363">
        <f t="shared" si="0"/>
        <v>0</v>
      </c>
      <c r="F11" s="363">
        <f t="shared" si="0"/>
        <v>0</v>
      </c>
      <c r="G11" s="363">
        <f t="shared" si="0"/>
        <v>0</v>
      </c>
      <c r="H11" s="363">
        <f t="shared" si="0"/>
        <v>0</v>
      </c>
      <c r="I11" s="363">
        <f t="shared" si="0"/>
        <v>0</v>
      </c>
      <c r="J11" s="363">
        <f>ROUND(J9,0)-ROUND(J7,0)</f>
        <v>0</v>
      </c>
      <c r="K11" s="363">
        <f t="shared" si="0"/>
        <v>0</v>
      </c>
      <c r="L11" s="363">
        <f t="shared" si="0"/>
        <v>0</v>
      </c>
      <c r="M11" s="363">
        <f t="shared" si="0"/>
        <v>0</v>
      </c>
      <c r="N11" s="363">
        <f t="shared" si="0"/>
        <v>0</v>
      </c>
      <c r="O11" s="363">
        <f t="shared" si="0"/>
        <v>0</v>
      </c>
      <c r="P11" s="363">
        <f t="shared" si="0"/>
        <v>0</v>
      </c>
      <c r="Q11" s="363">
        <f t="shared" si="0"/>
        <v>0</v>
      </c>
      <c r="R11" s="363">
        <f t="shared" si="0"/>
        <v>0</v>
      </c>
      <c r="S11" s="363">
        <f t="shared" si="0"/>
        <v>0</v>
      </c>
      <c r="T11" s="363">
        <f t="shared" si="0"/>
        <v>0</v>
      </c>
      <c r="U11" s="363">
        <f t="shared" si="0"/>
        <v>0</v>
      </c>
      <c r="V11" s="363">
        <f t="shared" si="0"/>
        <v>0</v>
      </c>
      <c r="W11" s="363">
        <f t="shared" si="0"/>
        <v>0</v>
      </c>
    </row>
    <row r="12" spans="1:23" x14ac:dyDescent="0.25">
      <c r="B12" s="1158" t="s">
        <v>2096</v>
      </c>
      <c r="G12" t="s">
        <v>2630</v>
      </c>
      <c r="I12" s="1071" t="s">
        <v>744</v>
      </c>
      <c r="J12" s="1071" t="s">
        <v>1874</v>
      </c>
      <c r="V12" s="1071" t="s">
        <v>1886</v>
      </c>
      <c r="W12" s="1071" t="s">
        <v>1887</v>
      </c>
    </row>
    <row r="15" spans="1:23" x14ac:dyDescent="0.25">
      <c r="A15" s="1" t="s">
        <v>1082</v>
      </c>
      <c r="H15" s="30" t="s">
        <v>1083</v>
      </c>
      <c r="M15" s="30" t="s">
        <v>36</v>
      </c>
      <c r="N15" s="30" t="s">
        <v>39</v>
      </c>
    </row>
    <row r="16" spans="1:23" x14ac:dyDescent="0.25">
      <c r="A16" s="1"/>
      <c r="F16" s="3" t="s">
        <v>368</v>
      </c>
      <c r="G16" s="3" t="s">
        <v>368</v>
      </c>
      <c r="H16" s="3" t="s">
        <v>368</v>
      </c>
      <c r="M16" s="364" t="s">
        <v>62</v>
      </c>
      <c r="N16" s="364" t="s">
        <v>62</v>
      </c>
    </row>
    <row r="17" spans="1:23" x14ac:dyDescent="0.25">
      <c r="C17" t="s">
        <v>1086</v>
      </c>
      <c r="F17" s="1089"/>
      <c r="G17" s="365"/>
      <c r="H17" s="774">
        <f>G17+F17</f>
        <v>0</v>
      </c>
      <c r="I17" t="s">
        <v>1084</v>
      </c>
      <c r="K17" t="s">
        <v>1888</v>
      </c>
      <c r="M17" s="1089"/>
      <c r="N17" s="1089"/>
    </row>
    <row r="18" spans="1:23" x14ac:dyDescent="0.25">
      <c r="C18" t="s">
        <v>1085</v>
      </c>
      <c r="F18" s="330"/>
      <c r="G18" s="1089"/>
      <c r="H18" s="368">
        <f>G18+F18</f>
        <v>0</v>
      </c>
      <c r="I18" t="s">
        <v>2461</v>
      </c>
    </row>
    <row r="19" spans="1:23" x14ac:dyDescent="0.25">
      <c r="C19" t="s">
        <v>1087</v>
      </c>
      <c r="F19" s="330"/>
      <c r="G19" s="1089"/>
      <c r="H19" s="368">
        <f>G19+F19</f>
        <v>0</v>
      </c>
      <c r="I19" t="s">
        <v>2461</v>
      </c>
      <c r="J19" s="1090" t="s">
        <v>363</v>
      </c>
    </row>
    <row r="20" spans="1:23" x14ac:dyDescent="0.25">
      <c r="C20" t="s">
        <v>2462</v>
      </c>
      <c r="F20" s="330"/>
      <c r="G20" s="1089"/>
      <c r="H20" s="368">
        <f>G20+F20</f>
        <v>0</v>
      </c>
      <c r="I20" t="s">
        <v>2461</v>
      </c>
      <c r="J20" s="1090"/>
    </row>
    <row r="21" spans="1:23" x14ac:dyDescent="0.25">
      <c r="C21" t="s">
        <v>604</v>
      </c>
      <c r="F21" s="367"/>
      <c r="G21" s="362">
        <f>SUM(G17:G20)</f>
        <v>0</v>
      </c>
      <c r="H21" s="362">
        <f>SUM(H17:H20)</f>
        <v>0</v>
      </c>
    </row>
    <row r="24" spans="1:23" x14ac:dyDescent="0.25">
      <c r="B24" s="1" t="s">
        <v>1883</v>
      </c>
    </row>
    <row r="25" spans="1:23" x14ac:dyDescent="0.25">
      <c r="A25" t="s">
        <v>1884</v>
      </c>
      <c r="B25" s="330">
        <f>SUM(F25:W25)</f>
        <v>0</v>
      </c>
      <c r="C25" s="1093">
        <f t="shared" ref="C25:W25" si="1">C7</f>
        <v>0</v>
      </c>
      <c r="D25" s="1093">
        <f t="shared" si="1"/>
        <v>0</v>
      </c>
      <c r="E25" s="1093">
        <f t="shared" si="1"/>
        <v>0</v>
      </c>
      <c r="F25" s="330">
        <f>F7</f>
        <v>0</v>
      </c>
      <c r="G25" s="330">
        <f t="shared" si="1"/>
        <v>0</v>
      </c>
      <c r="H25" s="330">
        <f t="shared" si="1"/>
        <v>0</v>
      </c>
      <c r="I25" s="330">
        <f t="shared" si="1"/>
        <v>0</v>
      </c>
      <c r="J25" s="330">
        <f t="shared" si="1"/>
        <v>0</v>
      </c>
      <c r="K25" s="330">
        <f t="shared" si="1"/>
        <v>0</v>
      </c>
      <c r="L25" s="330">
        <f t="shared" si="1"/>
        <v>0</v>
      </c>
      <c r="M25" s="330">
        <f t="shared" si="1"/>
        <v>0</v>
      </c>
      <c r="N25" s="330">
        <f t="shared" si="1"/>
        <v>0</v>
      </c>
      <c r="O25" s="330">
        <f t="shared" si="1"/>
        <v>0</v>
      </c>
      <c r="P25" s="330">
        <f t="shared" si="1"/>
        <v>0</v>
      </c>
      <c r="Q25" s="330">
        <f t="shared" si="1"/>
        <v>0</v>
      </c>
      <c r="R25" s="330">
        <f t="shared" si="1"/>
        <v>0</v>
      </c>
      <c r="S25" s="330">
        <f t="shared" si="1"/>
        <v>0</v>
      </c>
      <c r="T25" s="330">
        <f t="shared" si="1"/>
        <v>0</v>
      </c>
      <c r="U25" s="330">
        <f t="shared" si="1"/>
        <v>0</v>
      </c>
      <c r="V25" s="330">
        <f t="shared" si="1"/>
        <v>0</v>
      </c>
      <c r="W25" s="330">
        <f t="shared" si="1"/>
        <v>0</v>
      </c>
    </row>
    <row r="26" spans="1:23" x14ac:dyDescent="0.25">
      <c r="A26" t="s">
        <v>1882</v>
      </c>
      <c r="B26" s="330">
        <f>SUM(F26:W26)</f>
        <v>0</v>
      </c>
      <c r="C26" s="1093">
        <v>0</v>
      </c>
      <c r="D26" s="1093">
        <v>0</v>
      </c>
      <c r="E26" s="1093">
        <v>0</v>
      </c>
      <c r="F26" s="330">
        <f t="shared" ref="F26:V26" si="2">+F9</f>
        <v>0</v>
      </c>
      <c r="G26" s="330">
        <f>+G25</f>
        <v>0</v>
      </c>
      <c r="H26" s="330">
        <f t="shared" si="2"/>
        <v>0</v>
      </c>
      <c r="I26" s="330">
        <f t="shared" si="2"/>
        <v>0</v>
      </c>
      <c r="J26" s="330">
        <f t="shared" si="2"/>
        <v>0</v>
      </c>
      <c r="K26" s="330">
        <f t="shared" si="2"/>
        <v>0</v>
      </c>
      <c r="L26" s="330">
        <f t="shared" si="2"/>
        <v>0</v>
      </c>
      <c r="M26" s="330">
        <f t="shared" si="2"/>
        <v>0</v>
      </c>
      <c r="N26" s="330">
        <f t="shared" si="2"/>
        <v>0</v>
      </c>
      <c r="O26" s="330">
        <f t="shared" si="2"/>
        <v>0</v>
      </c>
      <c r="P26" s="330">
        <f t="shared" si="2"/>
        <v>0</v>
      </c>
      <c r="Q26" s="330">
        <f t="shared" si="2"/>
        <v>0</v>
      </c>
      <c r="R26" s="330">
        <f t="shared" si="2"/>
        <v>0</v>
      </c>
      <c r="S26" s="330">
        <f t="shared" si="2"/>
        <v>0</v>
      </c>
      <c r="T26" s="330">
        <f t="shared" si="2"/>
        <v>0</v>
      </c>
      <c r="U26" s="330">
        <f t="shared" si="2"/>
        <v>0</v>
      </c>
      <c r="V26" s="330">
        <f t="shared" si="2"/>
        <v>0</v>
      </c>
      <c r="W26" s="330">
        <f>+W9</f>
        <v>0</v>
      </c>
    </row>
    <row r="27" spans="1:23" x14ac:dyDescent="0.25">
      <c r="A27" t="s">
        <v>1885</v>
      </c>
      <c r="B27" s="330">
        <f>SUM(F27:W27)</f>
        <v>0</v>
      </c>
      <c r="C27" s="1093"/>
      <c r="D27" s="1093">
        <f>-D25</f>
        <v>0</v>
      </c>
      <c r="E27" s="1093">
        <f>-E25</f>
        <v>0</v>
      </c>
      <c r="F27" s="330"/>
      <c r="G27" s="330"/>
      <c r="H27" s="330"/>
      <c r="I27" s="330"/>
      <c r="J27" s="330"/>
      <c r="K27" s="330"/>
      <c r="L27" s="330"/>
      <c r="M27" s="330"/>
      <c r="N27" s="330"/>
      <c r="O27" s="330"/>
      <c r="P27" s="330"/>
      <c r="Q27" s="330"/>
      <c r="R27" s="330"/>
      <c r="S27" s="330"/>
      <c r="T27" s="330"/>
      <c r="U27" s="330"/>
      <c r="V27" s="330"/>
      <c r="W27" s="330"/>
    </row>
    <row r="28" spans="1:23" x14ac:dyDescent="0.25">
      <c r="B28" s="330"/>
      <c r="C28" s="1093"/>
      <c r="D28" s="1093"/>
      <c r="E28" s="1093"/>
      <c r="F28" s="330"/>
      <c r="G28" s="330"/>
      <c r="H28" s="330"/>
      <c r="I28" s="330"/>
      <c r="J28" s="330"/>
      <c r="K28" s="330"/>
      <c r="L28" s="330"/>
      <c r="M28" s="330"/>
      <c r="N28" s="330"/>
      <c r="O28" s="330"/>
      <c r="P28" s="330"/>
      <c r="Q28" s="330"/>
      <c r="R28" s="330"/>
      <c r="S28" s="330"/>
      <c r="T28" s="330"/>
      <c r="U28" s="330"/>
      <c r="V28" s="330"/>
      <c r="W28" s="330"/>
    </row>
    <row r="29" spans="1:23" x14ac:dyDescent="0.25">
      <c r="B29" s="1092">
        <f t="shared" ref="B29:G29" si="3">B25-B26+B27-B28</f>
        <v>0</v>
      </c>
      <c r="C29" s="1094">
        <f t="shared" si="3"/>
        <v>0</v>
      </c>
      <c r="D29" s="1094">
        <f t="shared" si="3"/>
        <v>0</v>
      </c>
      <c r="E29" s="1094">
        <f t="shared" si="3"/>
        <v>0</v>
      </c>
      <c r="F29" s="1092">
        <f t="shared" si="3"/>
        <v>0</v>
      </c>
      <c r="G29" s="1092">
        <f t="shared" si="3"/>
        <v>0</v>
      </c>
      <c r="H29" s="1092">
        <f t="shared" ref="H29:W29" si="4">H25-H26+H27-H28</f>
        <v>0</v>
      </c>
      <c r="I29" s="1092">
        <f t="shared" si="4"/>
        <v>0</v>
      </c>
      <c r="J29" s="1092">
        <f t="shared" si="4"/>
        <v>0</v>
      </c>
      <c r="K29" s="1092">
        <f t="shared" si="4"/>
        <v>0</v>
      </c>
      <c r="L29" s="1092">
        <f t="shared" si="4"/>
        <v>0</v>
      </c>
      <c r="M29" s="1092">
        <f t="shared" si="4"/>
        <v>0</v>
      </c>
      <c r="N29" s="1092">
        <f t="shared" si="4"/>
        <v>0</v>
      </c>
      <c r="O29" s="1092">
        <f t="shared" si="4"/>
        <v>0</v>
      </c>
      <c r="P29" s="1092">
        <f t="shared" si="4"/>
        <v>0</v>
      </c>
      <c r="Q29" s="1092">
        <f t="shared" si="4"/>
        <v>0</v>
      </c>
      <c r="R29" s="1092">
        <f t="shared" si="4"/>
        <v>0</v>
      </c>
      <c r="S29" s="1092">
        <f t="shared" si="4"/>
        <v>0</v>
      </c>
      <c r="T29" s="1092">
        <f t="shared" si="4"/>
        <v>0</v>
      </c>
      <c r="U29" s="1092">
        <f t="shared" si="4"/>
        <v>0</v>
      </c>
      <c r="V29" s="1092">
        <f t="shared" si="4"/>
        <v>0</v>
      </c>
      <c r="W29" s="1092">
        <f t="shared" si="4"/>
        <v>0</v>
      </c>
    </row>
  </sheetData>
  <pageMargins left="0.70866141732283472" right="0.70866141732283472" top="0.74803149606299213" bottom="0.74803149606299213" header="0.31496062992125984" footer="0.31496062992125984"/>
  <pageSetup paperSize="9" scale="50"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00B0F0"/>
    <pageSetUpPr fitToPage="1"/>
  </sheetPr>
  <dimension ref="A1:P64"/>
  <sheetViews>
    <sheetView zoomScale="80" zoomScaleNormal="80" workbookViewId="0">
      <selection activeCell="G5" sqref="G4:G5"/>
    </sheetView>
  </sheetViews>
  <sheetFormatPr defaultColWidth="9.140625" defaultRowHeight="12.75" x14ac:dyDescent="0.2"/>
  <cols>
    <col min="1" max="1" width="3.5703125" style="34" customWidth="1"/>
    <col min="2" max="2" width="56.140625" style="34" customWidth="1"/>
    <col min="3" max="3" width="9.7109375" style="34" customWidth="1"/>
    <col min="4" max="4" width="14.42578125" style="34" bestFit="1" customWidth="1"/>
    <col min="5" max="6" width="12.7109375" style="34" customWidth="1"/>
    <col min="7" max="7" width="14.140625" style="34" bestFit="1" customWidth="1"/>
    <col min="8" max="8" width="12.7109375" style="34" customWidth="1"/>
    <col min="9" max="9" width="14.85546875" style="34" bestFit="1" customWidth="1"/>
    <col min="10" max="11" width="12.7109375" style="34" customWidth="1"/>
    <col min="12" max="12" width="6.7109375" style="34" customWidth="1"/>
    <col min="13" max="13" width="16" style="34" customWidth="1"/>
    <col min="14" max="14" width="7.5703125" style="34" customWidth="1"/>
    <col min="15" max="15" width="19.5703125" style="34" customWidth="1"/>
    <col min="16" max="16" width="10.28515625" style="34" bestFit="1" customWidth="1"/>
    <col min="17" max="16384" width="9.140625" style="34"/>
  </cols>
  <sheetData>
    <row r="1" spans="1:14" x14ac:dyDescent="0.2">
      <c r="B1" s="37" t="s">
        <v>45</v>
      </c>
      <c r="C1" s="37"/>
    </row>
    <row r="2" spans="1:14" x14ac:dyDescent="0.2">
      <c r="B2" s="37" t="str">
        <f>+Update!B13</f>
        <v>2025-26</v>
      </c>
      <c r="C2" s="37"/>
    </row>
    <row r="3" spans="1:14" x14ac:dyDescent="0.2">
      <c r="B3" s="64" t="s">
        <v>476</v>
      </c>
    </row>
    <row r="4" spans="1:14" ht="18" customHeight="1" x14ac:dyDescent="0.2">
      <c r="B4" s="37" t="s">
        <v>1964</v>
      </c>
      <c r="C4" s="37"/>
    </row>
    <row r="5" spans="1:14" ht="90" customHeight="1" x14ac:dyDescent="0.2">
      <c r="B5" s="1881" t="s">
        <v>2097</v>
      </c>
      <c r="C5" s="1881"/>
      <c r="D5" s="1881"/>
      <c r="E5" s="1881"/>
      <c r="F5" s="1881"/>
      <c r="G5" s="1881"/>
      <c r="H5" s="1881"/>
      <c r="I5" s="1881"/>
      <c r="J5" s="1881"/>
      <c r="K5" s="1881"/>
      <c r="L5" s="1881"/>
      <c r="M5" s="1881"/>
    </row>
    <row r="6" spans="1:14" ht="105.75" customHeight="1" x14ac:dyDescent="0.2">
      <c r="B6" s="1881"/>
      <c r="C6" s="1881"/>
      <c r="D6" s="1881"/>
      <c r="E6" s="1881"/>
      <c r="F6" s="1881"/>
      <c r="G6" s="1881"/>
      <c r="H6" s="1881"/>
      <c r="I6" s="1881"/>
      <c r="J6" s="1881"/>
      <c r="K6" s="1881"/>
      <c r="L6" s="1881"/>
      <c r="M6" s="1881"/>
    </row>
    <row r="7" spans="1:14" x14ac:dyDescent="0.2">
      <c r="B7" s="37"/>
      <c r="C7" s="37"/>
    </row>
    <row r="8" spans="1:14" x14ac:dyDescent="0.2">
      <c r="B8" s="37" t="s">
        <v>2860</v>
      </c>
      <c r="C8" s="37"/>
      <c r="D8" s="1882" t="str">
        <f>Update!$B$13</f>
        <v>2025-26</v>
      </c>
      <c r="E8" s="1883"/>
      <c r="F8" s="1883"/>
      <c r="G8" s="1883"/>
      <c r="H8" s="1883"/>
      <c r="I8" s="1883"/>
      <c r="J8" s="1883"/>
      <c r="K8" s="1884"/>
      <c r="L8" s="66"/>
      <c r="M8" s="1312" t="str">
        <f>Update!$B$15</f>
        <v>2024-25</v>
      </c>
    </row>
    <row r="9" spans="1:14" ht="38.25" customHeight="1" x14ac:dyDescent="0.2">
      <c r="B9" s="67"/>
      <c r="C9" s="67"/>
      <c r="D9" s="1885" t="s">
        <v>495</v>
      </c>
      <c r="E9" s="1886"/>
      <c r="F9" s="1887"/>
      <c r="G9" s="1885" t="s">
        <v>494</v>
      </c>
      <c r="H9" s="1886"/>
      <c r="I9" s="1887"/>
      <c r="J9" s="1888" t="s">
        <v>2098</v>
      </c>
      <c r="K9" s="1889"/>
      <c r="L9" s="68"/>
      <c r="M9" s="72" t="s">
        <v>2431</v>
      </c>
    </row>
    <row r="10" spans="1:14" s="41" customFormat="1" x14ac:dyDescent="0.2">
      <c r="B10" s="69" t="s">
        <v>2099</v>
      </c>
      <c r="C10" s="70" t="s">
        <v>461</v>
      </c>
      <c r="D10" s="1313" t="s">
        <v>2100</v>
      </c>
      <c r="E10" s="1313" t="s">
        <v>2101</v>
      </c>
      <c r="F10" s="1313" t="s">
        <v>146</v>
      </c>
      <c r="G10" s="1313" t="s">
        <v>2100</v>
      </c>
      <c r="H10" s="1313" t="s">
        <v>2101</v>
      </c>
      <c r="I10" s="1313" t="s">
        <v>146</v>
      </c>
      <c r="J10" s="1314" t="s">
        <v>2100</v>
      </c>
      <c r="K10" s="71" t="s">
        <v>146</v>
      </c>
      <c r="L10" s="73"/>
      <c r="M10" s="72"/>
    </row>
    <row r="11" spans="1:14" x14ac:dyDescent="0.2">
      <c r="C11" s="74"/>
      <c r="D11" s="66" t="s">
        <v>462</v>
      </c>
      <c r="E11" s="66" t="s">
        <v>462</v>
      </c>
      <c r="F11" s="66" t="s">
        <v>462</v>
      </c>
      <c r="G11" s="66" t="s">
        <v>462</v>
      </c>
      <c r="H11" s="66" t="s">
        <v>462</v>
      </c>
      <c r="I11" s="1315" t="s">
        <v>462</v>
      </c>
      <c r="K11" s="75" t="s">
        <v>462</v>
      </c>
      <c r="L11" s="66"/>
      <c r="M11" s="75" t="s">
        <v>462</v>
      </c>
      <c r="N11" s="76"/>
    </row>
    <row r="12" spans="1:14" x14ac:dyDescent="0.2">
      <c r="B12" s="37" t="s">
        <v>2102</v>
      </c>
      <c r="C12" s="38"/>
      <c r="D12" s="65"/>
      <c r="E12" s="65"/>
      <c r="F12" s="65">
        <f>ROUND(SUMIF(MAP!$E$389:$E$406,$B12,MAP!$N$389:$N$406),0)</f>
        <v>0</v>
      </c>
      <c r="G12" s="65"/>
      <c r="H12" s="65"/>
      <c r="I12" s="65"/>
      <c r="K12" s="76"/>
      <c r="L12" s="65"/>
      <c r="M12" s="77"/>
    </row>
    <row r="13" spans="1:14" s="56" customFormat="1" ht="13.5" customHeight="1" x14ac:dyDescent="0.25">
      <c r="A13" s="78"/>
      <c r="B13" s="56" t="s">
        <v>2103</v>
      </c>
      <c r="C13" s="79" t="s">
        <v>2104</v>
      </c>
      <c r="D13" s="82">
        <f>'SOAS 1.1'!I27</f>
        <v>0</v>
      </c>
      <c r="E13" s="82">
        <f>'SOAS 1.1'!I33</f>
        <v>0</v>
      </c>
      <c r="F13" s="82">
        <f>+D13+E13</f>
        <v>0</v>
      </c>
      <c r="G13" s="82">
        <v>8339564</v>
      </c>
      <c r="H13" s="82">
        <v>823951</v>
      </c>
      <c r="I13" s="82">
        <f>+G13+H13</f>
        <v>9163515</v>
      </c>
      <c r="J13" s="56">
        <f>G13-D13</f>
        <v>8339564</v>
      </c>
      <c r="K13" s="81">
        <f>I13-F13</f>
        <v>9163515</v>
      </c>
      <c r="L13" s="82"/>
      <c r="M13" s="1620">
        <f>+'SOAS 1.1'!N35</f>
        <v>8580664</v>
      </c>
    </row>
    <row r="14" spans="1:14" s="56" customFormat="1" x14ac:dyDescent="0.25">
      <c r="A14" s="78"/>
      <c r="B14" s="56" t="s">
        <v>508</v>
      </c>
      <c r="C14" s="79" t="s">
        <v>2105</v>
      </c>
      <c r="D14" s="82">
        <f>+'SOAS 1.2'!E26</f>
        <v>0</v>
      </c>
      <c r="E14" s="82">
        <f>+'SOAS 1.2'!E32</f>
        <v>0</v>
      </c>
      <c r="F14" s="82">
        <f>+D14-E14</f>
        <v>0</v>
      </c>
      <c r="G14" s="82">
        <v>377651</v>
      </c>
      <c r="H14" s="82">
        <v>0</v>
      </c>
      <c r="I14" s="82">
        <f>+G14+H14</f>
        <v>377651</v>
      </c>
      <c r="J14" s="56">
        <f>G14-D14</f>
        <v>377651</v>
      </c>
      <c r="K14" s="81">
        <f>I14-F14</f>
        <v>377651</v>
      </c>
      <c r="L14" s="82"/>
      <c r="M14" s="1620">
        <f>+'SOAS 1.2'!J34</f>
        <v>398555</v>
      </c>
    </row>
    <row r="15" spans="1:14" s="56" customFormat="1" x14ac:dyDescent="0.25">
      <c r="A15" s="78"/>
      <c r="C15" s="79"/>
      <c r="D15" s="82"/>
      <c r="E15" s="82"/>
      <c r="F15" s="82"/>
      <c r="G15" s="82"/>
      <c r="H15" s="82"/>
      <c r="I15" s="82"/>
      <c r="K15" s="81"/>
      <c r="L15" s="82"/>
      <c r="M15" s="80"/>
    </row>
    <row r="16" spans="1:14" s="56" customFormat="1" x14ac:dyDescent="0.25">
      <c r="A16" s="78"/>
      <c r="B16" s="1316" t="s">
        <v>146</v>
      </c>
      <c r="C16" s="1317"/>
      <c r="D16" s="1318">
        <f>SUM(D13:D15)</f>
        <v>0</v>
      </c>
      <c r="E16" s="1318">
        <f t="shared" ref="E16:M16" si="0">SUM(E13:E15)</f>
        <v>0</v>
      </c>
      <c r="F16" s="1318">
        <f t="shared" si="0"/>
        <v>0</v>
      </c>
      <c r="G16" s="1318">
        <f t="shared" si="0"/>
        <v>8717215</v>
      </c>
      <c r="H16" s="1318">
        <f t="shared" si="0"/>
        <v>823951</v>
      </c>
      <c r="I16" s="1318">
        <f t="shared" si="0"/>
        <v>9541166</v>
      </c>
      <c r="J16" s="1318">
        <f t="shared" si="0"/>
        <v>8717215</v>
      </c>
      <c r="K16" s="1318">
        <f t="shared" si="0"/>
        <v>9541166</v>
      </c>
      <c r="L16" s="82"/>
      <c r="M16" s="1318">
        <f t="shared" si="0"/>
        <v>8979219</v>
      </c>
    </row>
    <row r="17" spans="1:13" s="56" customFormat="1" x14ac:dyDescent="0.25">
      <c r="A17" s="78"/>
      <c r="C17" s="79"/>
      <c r="D17" s="82"/>
      <c r="E17" s="82"/>
      <c r="F17" s="82"/>
      <c r="G17" s="82"/>
      <c r="H17" s="82"/>
      <c r="I17" s="82"/>
      <c r="K17" s="81"/>
      <c r="L17" s="82"/>
      <c r="M17" s="80"/>
    </row>
    <row r="18" spans="1:13" s="56" customFormat="1" x14ac:dyDescent="0.25">
      <c r="A18" s="78"/>
      <c r="B18" s="55" t="s">
        <v>2106</v>
      </c>
      <c r="C18" s="79"/>
      <c r="D18" s="82"/>
      <c r="E18" s="82"/>
      <c r="F18" s="82"/>
      <c r="G18" s="82"/>
      <c r="H18" s="82"/>
      <c r="I18" s="82"/>
      <c r="K18" s="81"/>
      <c r="L18" s="82"/>
      <c r="M18" s="80"/>
    </row>
    <row r="19" spans="1:13" s="56" customFormat="1" x14ac:dyDescent="0.25">
      <c r="A19" s="78"/>
      <c r="B19" s="56" t="s">
        <v>2103</v>
      </c>
      <c r="C19" s="79" t="s">
        <v>2104</v>
      </c>
      <c r="D19" s="82">
        <f>'SOAS 1.1'!I64</f>
        <v>0</v>
      </c>
      <c r="E19" s="82">
        <v>0</v>
      </c>
      <c r="F19" s="82">
        <f>+D19+E19</f>
        <v>0</v>
      </c>
      <c r="G19" s="82">
        <v>692787</v>
      </c>
      <c r="H19" s="82">
        <v>0</v>
      </c>
      <c r="I19" s="82">
        <f>+G19+H19</f>
        <v>692787</v>
      </c>
      <c r="J19" s="56">
        <f>G19-D19</f>
        <v>692787</v>
      </c>
      <c r="K19" s="81">
        <f>I19-F19</f>
        <v>692787</v>
      </c>
      <c r="L19" s="82"/>
      <c r="M19" s="80">
        <f>+'SOAS 1.1'!N71</f>
        <v>675850</v>
      </c>
    </row>
    <row r="20" spans="1:13" s="56" customFormat="1" x14ac:dyDescent="0.25">
      <c r="A20" s="78"/>
      <c r="B20" s="56" t="s">
        <v>508</v>
      </c>
      <c r="C20" s="79" t="s">
        <v>2105</v>
      </c>
      <c r="D20" s="82">
        <f>+'SOAS 1.2'!E61</f>
        <v>0</v>
      </c>
      <c r="E20" s="82">
        <v>0</v>
      </c>
      <c r="F20" s="82">
        <f>+D20+E20</f>
        <v>0</v>
      </c>
      <c r="G20" s="82">
        <v>17170</v>
      </c>
      <c r="H20" s="82">
        <v>0</v>
      </c>
      <c r="I20" s="82">
        <f>+G20+H20</f>
        <v>17170</v>
      </c>
      <c r="J20" s="56">
        <f>G20-D20</f>
        <v>17170</v>
      </c>
      <c r="K20" s="81">
        <f>I20-F20</f>
        <v>17170</v>
      </c>
      <c r="L20" s="82"/>
      <c r="M20" s="80">
        <f>+'SOAS 1.2'!J68</f>
        <v>18300</v>
      </c>
    </row>
    <row r="21" spans="1:13" s="56" customFormat="1" x14ac:dyDescent="0.25">
      <c r="A21" s="78"/>
      <c r="C21" s="79"/>
      <c r="D21" s="82"/>
      <c r="E21" s="82"/>
      <c r="F21" s="82"/>
      <c r="G21" s="82"/>
      <c r="H21" s="82"/>
      <c r="I21" s="82"/>
      <c r="K21" s="81"/>
      <c r="L21" s="82"/>
      <c r="M21" s="80"/>
    </row>
    <row r="22" spans="1:13" s="56" customFormat="1" x14ac:dyDescent="0.25">
      <c r="A22" s="78"/>
      <c r="B22" s="1319" t="s">
        <v>146</v>
      </c>
      <c r="C22" s="1320"/>
      <c r="D22" s="1321">
        <f>SUM(D19:D21)</f>
        <v>0</v>
      </c>
      <c r="E22" s="1321">
        <f t="shared" ref="E22:K22" si="1">SUM(E19:E21)</f>
        <v>0</v>
      </c>
      <c r="F22" s="1321">
        <f t="shared" si="1"/>
        <v>0</v>
      </c>
      <c r="G22" s="1321">
        <f t="shared" si="1"/>
        <v>709957</v>
      </c>
      <c r="H22" s="1321">
        <f t="shared" si="1"/>
        <v>0</v>
      </c>
      <c r="I22" s="1321">
        <f t="shared" si="1"/>
        <v>709957</v>
      </c>
      <c r="J22" s="1321">
        <f t="shared" si="1"/>
        <v>709957</v>
      </c>
      <c r="K22" s="1321">
        <f t="shared" si="1"/>
        <v>709957</v>
      </c>
      <c r="L22" s="1322"/>
      <c r="M22" s="1318">
        <f>SUM(M19:M21)</f>
        <v>694150</v>
      </c>
    </row>
    <row r="23" spans="1:13" s="56" customFormat="1" x14ac:dyDescent="0.25">
      <c r="A23" s="78"/>
      <c r="C23" s="79"/>
      <c r="D23" s="82"/>
      <c r="E23" s="82"/>
      <c r="F23" s="82"/>
      <c r="G23" s="82"/>
      <c r="H23" s="82"/>
      <c r="I23" s="82"/>
      <c r="K23" s="81"/>
      <c r="L23" s="82"/>
      <c r="M23" s="80"/>
    </row>
    <row r="24" spans="1:13" s="56" customFormat="1" x14ac:dyDescent="0.25">
      <c r="A24" s="78"/>
      <c r="B24" s="55" t="s">
        <v>506</v>
      </c>
      <c r="C24" s="79"/>
      <c r="D24" s="82"/>
      <c r="E24" s="82"/>
      <c r="F24" s="82"/>
      <c r="G24" s="82"/>
      <c r="H24" s="82"/>
      <c r="I24" s="82"/>
      <c r="K24" s="81"/>
      <c r="L24" s="82"/>
      <c r="M24" s="80"/>
    </row>
    <row r="25" spans="1:13" s="56" customFormat="1" x14ac:dyDescent="0.25">
      <c r="A25" s="78"/>
      <c r="B25" s="56" t="s">
        <v>2103</v>
      </c>
      <c r="C25" s="79" t="s">
        <v>2104</v>
      </c>
      <c r="D25" s="82">
        <f>+D19+D13</f>
        <v>0</v>
      </c>
      <c r="E25" s="82">
        <f>+E19+E13</f>
        <v>0</v>
      </c>
      <c r="F25" s="82">
        <f>+D25+E25</f>
        <v>0</v>
      </c>
      <c r="G25" s="82">
        <f>+G19+G13</f>
        <v>9032351</v>
      </c>
      <c r="H25" s="82">
        <f>+H19+H13</f>
        <v>823951</v>
      </c>
      <c r="I25" s="82">
        <f>+G25+H25</f>
        <v>9856302</v>
      </c>
      <c r="J25" s="56">
        <f>G25-D25</f>
        <v>9032351</v>
      </c>
      <c r="K25" s="81">
        <f>I25-F25</f>
        <v>9856302</v>
      </c>
      <c r="L25" s="82"/>
      <c r="M25" s="80">
        <f>+M19+M13</f>
        <v>9256514</v>
      </c>
    </row>
    <row r="26" spans="1:13" s="56" customFormat="1" x14ac:dyDescent="0.25">
      <c r="A26" s="78"/>
      <c r="B26" s="56" t="s">
        <v>508</v>
      </c>
      <c r="C26" s="79" t="s">
        <v>2105</v>
      </c>
      <c r="D26" s="82">
        <f>+D20+D14</f>
        <v>0</v>
      </c>
      <c r="E26" s="82">
        <f>+E20+E14</f>
        <v>0</v>
      </c>
      <c r="F26" s="82">
        <f>+D26+E26</f>
        <v>0</v>
      </c>
      <c r="G26" s="82">
        <f>+G20+G14</f>
        <v>394821</v>
      </c>
      <c r="H26" s="82">
        <f>+H20+H14</f>
        <v>0</v>
      </c>
      <c r="I26" s="82">
        <f>+G26+H26</f>
        <v>394821</v>
      </c>
      <c r="J26" s="56">
        <f>G26-D26</f>
        <v>394821</v>
      </c>
      <c r="K26" s="81">
        <f>I26-F26</f>
        <v>394821</v>
      </c>
      <c r="L26" s="82"/>
      <c r="M26" s="80">
        <f>+M20+M14</f>
        <v>416855</v>
      </c>
    </row>
    <row r="27" spans="1:13" s="56" customFormat="1" x14ac:dyDescent="0.25">
      <c r="A27" s="78"/>
      <c r="C27" s="79"/>
      <c r="D27" s="82"/>
      <c r="E27" s="82"/>
      <c r="F27" s="82"/>
      <c r="G27" s="82"/>
      <c r="H27" s="82"/>
      <c r="I27" s="82"/>
      <c r="K27" s="81"/>
      <c r="L27" s="82"/>
      <c r="M27" s="80"/>
    </row>
    <row r="28" spans="1:13" s="56" customFormat="1" x14ac:dyDescent="0.25">
      <c r="A28" s="78"/>
      <c r="B28" s="1319" t="s">
        <v>2107</v>
      </c>
      <c r="C28" s="1320"/>
      <c r="D28" s="1321">
        <f>SUM(D25:D27)</f>
        <v>0</v>
      </c>
      <c r="E28" s="1321">
        <f t="shared" ref="E28:K28" si="2">SUM(E25:E27)</f>
        <v>0</v>
      </c>
      <c r="F28" s="1321">
        <f t="shared" si="2"/>
        <v>0</v>
      </c>
      <c r="G28" s="1321">
        <f t="shared" si="2"/>
        <v>9427172</v>
      </c>
      <c r="H28" s="1321">
        <f t="shared" si="2"/>
        <v>823951</v>
      </c>
      <c r="I28" s="1321">
        <f t="shared" si="2"/>
        <v>10251123</v>
      </c>
      <c r="J28" s="1321">
        <f t="shared" si="2"/>
        <v>9427172</v>
      </c>
      <c r="K28" s="1321">
        <f t="shared" si="2"/>
        <v>10251123</v>
      </c>
      <c r="L28" s="1322"/>
      <c r="M28" s="1318">
        <f>SUM(M25:M27)</f>
        <v>9673369</v>
      </c>
    </row>
    <row r="29" spans="1:13" s="56" customFormat="1" x14ac:dyDescent="0.25">
      <c r="A29" s="78"/>
      <c r="B29" s="55"/>
      <c r="C29" s="154"/>
      <c r="D29" s="1322"/>
      <c r="E29" s="1322"/>
      <c r="F29" s="1322"/>
      <c r="G29" s="1322"/>
      <c r="H29" s="1322"/>
      <c r="I29" s="1322"/>
      <c r="J29" s="55"/>
      <c r="K29" s="1323"/>
      <c r="L29" s="1322"/>
      <c r="M29" s="80"/>
    </row>
    <row r="30" spans="1:13" s="56" customFormat="1" x14ac:dyDescent="0.25">
      <c r="A30" s="78"/>
      <c r="B30" s="55" t="s">
        <v>2108</v>
      </c>
      <c r="C30" s="79"/>
      <c r="D30" s="82"/>
      <c r="E30" s="82"/>
      <c r="F30" s="82"/>
      <c r="G30" s="82"/>
      <c r="H30" s="82"/>
      <c r="I30" s="82"/>
      <c r="K30" s="81"/>
      <c r="L30" s="82"/>
      <c r="M30" s="80"/>
    </row>
    <row r="31" spans="1:13" s="56" customFormat="1" x14ac:dyDescent="0.25">
      <c r="A31" s="78"/>
      <c r="B31" s="56" t="s">
        <v>2103</v>
      </c>
      <c r="C31" s="79" t="s">
        <v>2104</v>
      </c>
      <c r="D31" s="82"/>
      <c r="E31" s="82">
        <v>0</v>
      </c>
      <c r="F31" s="82">
        <f>+D31+E31</f>
        <v>0</v>
      </c>
      <c r="G31" s="82"/>
      <c r="H31" s="82">
        <v>0</v>
      </c>
      <c r="I31" s="82">
        <f>+G31+H31</f>
        <v>0</v>
      </c>
      <c r="J31" s="56">
        <f>G31-D31</f>
        <v>0</v>
      </c>
      <c r="K31" s="81">
        <f>I31-F31</f>
        <v>0</v>
      </c>
      <c r="L31" s="82"/>
      <c r="M31" s="80">
        <v>0</v>
      </c>
    </row>
    <row r="32" spans="1:13" s="56" customFormat="1" x14ac:dyDescent="0.25">
      <c r="A32" s="78"/>
      <c r="B32" s="56" t="s">
        <v>508</v>
      </c>
      <c r="C32" s="79" t="s">
        <v>2105</v>
      </c>
      <c r="D32" s="82">
        <v>0</v>
      </c>
      <c r="E32" s="82">
        <v>0</v>
      </c>
      <c r="F32" s="82">
        <f>+D32+E32</f>
        <v>0</v>
      </c>
      <c r="G32" s="82">
        <v>0</v>
      </c>
      <c r="H32" s="82">
        <v>0</v>
      </c>
      <c r="I32" s="82">
        <f>+G32+H32</f>
        <v>0</v>
      </c>
      <c r="J32" s="56">
        <f>G32-D32</f>
        <v>0</v>
      </c>
      <c r="K32" s="81">
        <f>I32-F32</f>
        <v>0</v>
      </c>
      <c r="L32" s="82"/>
      <c r="M32" s="80">
        <v>0</v>
      </c>
    </row>
    <row r="33" spans="1:16" s="56" customFormat="1" x14ac:dyDescent="0.25">
      <c r="A33" s="78"/>
      <c r="C33" s="79"/>
      <c r="D33" s="82"/>
      <c r="E33" s="82"/>
      <c r="F33" s="82"/>
      <c r="G33" s="82"/>
      <c r="H33" s="82"/>
      <c r="I33" s="82"/>
      <c r="K33" s="81"/>
      <c r="L33" s="82"/>
      <c r="M33" s="80"/>
    </row>
    <row r="34" spans="1:16" s="56" customFormat="1" x14ac:dyDescent="0.25">
      <c r="A34" s="78"/>
      <c r="B34" s="1319" t="s">
        <v>2109</v>
      </c>
      <c r="C34" s="1320"/>
      <c r="D34" s="1321">
        <f>SUM(D31:D33)</f>
        <v>0</v>
      </c>
      <c r="E34" s="1321">
        <f t="shared" ref="E34:K34" si="3">SUM(E31:E33)</f>
        <v>0</v>
      </c>
      <c r="F34" s="1321">
        <f t="shared" si="3"/>
        <v>0</v>
      </c>
      <c r="G34" s="1321">
        <f t="shared" si="3"/>
        <v>0</v>
      </c>
      <c r="H34" s="1321">
        <f t="shared" si="3"/>
        <v>0</v>
      </c>
      <c r="I34" s="1321">
        <f t="shared" si="3"/>
        <v>0</v>
      </c>
      <c r="J34" s="1321">
        <f t="shared" si="3"/>
        <v>0</v>
      </c>
      <c r="K34" s="1321">
        <f t="shared" si="3"/>
        <v>0</v>
      </c>
      <c r="L34" s="1322"/>
      <c r="M34" s="1318">
        <v>0</v>
      </c>
    </row>
    <row r="35" spans="1:16" s="56" customFormat="1" x14ac:dyDescent="0.25">
      <c r="A35" s="78"/>
      <c r="B35" s="55"/>
      <c r="C35" s="154"/>
      <c r="D35" s="1322"/>
      <c r="E35" s="1322"/>
      <c r="F35" s="1322"/>
      <c r="G35" s="1322"/>
      <c r="H35" s="1322"/>
      <c r="I35" s="1322"/>
      <c r="J35" s="55"/>
      <c r="K35" s="1323"/>
      <c r="L35" s="1322"/>
      <c r="M35" s="80"/>
      <c r="O35" s="103"/>
      <c r="P35" s="55"/>
    </row>
    <row r="36" spans="1:16" s="37" customFormat="1" x14ac:dyDescent="0.2">
      <c r="B36" s="37" t="s">
        <v>2110</v>
      </c>
      <c r="C36" s="83"/>
      <c r="D36" s="1324">
        <f t="shared" ref="D36:K36" si="4">+D28+D34</f>
        <v>0</v>
      </c>
      <c r="E36" s="1324">
        <f t="shared" si="4"/>
        <v>0</v>
      </c>
      <c r="F36" s="1324">
        <f>+F28+F34</f>
        <v>0</v>
      </c>
      <c r="G36" s="1324">
        <f>+G28+G34</f>
        <v>9427172</v>
      </c>
      <c r="H36" s="1324">
        <f t="shared" si="4"/>
        <v>823951</v>
      </c>
      <c r="I36" s="1324">
        <f t="shared" si="4"/>
        <v>10251123</v>
      </c>
      <c r="J36" s="1324">
        <f t="shared" si="4"/>
        <v>9427172</v>
      </c>
      <c r="K36" s="1324">
        <f t="shared" si="4"/>
        <v>10251123</v>
      </c>
      <c r="L36" s="68"/>
      <c r="M36" s="1324">
        <f>+M28+M34</f>
        <v>9673369</v>
      </c>
      <c r="O36" s="41"/>
      <c r="P36" s="34"/>
    </row>
    <row r="37" spans="1:16" x14ac:dyDescent="0.2">
      <c r="C37" s="74"/>
      <c r="D37" s="1326"/>
      <c r="E37" s="1326"/>
      <c r="F37" s="1326"/>
      <c r="G37" s="1326"/>
      <c r="H37" s="1326"/>
      <c r="I37" s="1326"/>
      <c r="J37" s="1327"/>
      <c r="K37" s="86"/>
      <c r="L37" s="65"/>
      <c r="M37" s="1328"/>
    </row>
    <row r="38" spans="1:16" s="37" customFormat="1" x14ac:dyDescent="0.2">
      <c r="B38" s="37" t="s">
        <v>499</v>
      </c>
      <c r="D38" s="1324"/>
      <c r="E38" s="1324"/>
      <c r="F38" s="1324"/>
      <c r="G38" s="1324"/>
      <c r="H38" s="1324"/>
      <c r="I38" s="1324">
        <v>0</v>
      </c>
      <c r="J38" s="1329"/>
      <c r="K38" s="1325"/>
      <c r="L38" s="1330"/>
      <c r="M38" s="87">
        <v>0</v>
      </c>
      <c r="O38" s="34"/>
      <c r="P38" s="34"/>
    </row>
    <row r="39" spans="1:16" x14ac:dyDescent="0.2">
      <c r="D39" s="38"/>
      <c r="E39" s="38"/>
      <c r="F39" s="1331" t="str">
        <f>IF(F36=('SOAS 1.1'!I77+'SOAS 1.2'!E72),"OK","ERROR")</f>
        <v>OK</v>
      </c>
      <c r="H39" s="1332"/>
      <c r="I39" s="1331" t="str">
        <f>IF(I36=('SOAS 1.1'!L77+'SOAS 1.2'!H72),"OK","ERROR")</f>
        <v>OK</v>
      </c>
      <c r="J39" s="38"/>
      <c r="K39" s="1332"/>
      <c r="L39" s="1333"/>
      <c r="M39" s="38" t="str">
        <f>IF(M36=(+'SOAS 1.1'!N77+'SOAS 1.2'!J72),"OK","ERROR")</f>
        <v>OK</v>
      </c>
    </row>
    <row r="40" spans="1:16" x14ac:dyDescent="0.2">
      <c r="D40" s="38"/>
      <c r="E40" s="38"/>
      <c r="F40" s="38"/>
      <c r="H40" s="1332"/>
      <c r="I40" s="38"/>
      <c r="J40" s="38"/>
      <c r="K40" s="1332"/>
      <c r="L40" s="1333"/>
      <c r="M40" s="38"/>
    </row>
    <row r="41" spans="1:16" x14ac:dyDescent="0.2">
      <c r="B41" s="34" t="s">
        <v>2111</v>
      </c>
      <c r="D41" s="38"/>
      <c r="E41" s="38"/>
      <c r="F41" s="38"/>
      <c r="H41" s="1332"/>
      <c r="I41" s="38"/>
      <c r="J41" s="38"/>
      <c r="K41" s="1332"/>
      <c r="L41" s="1333"/>
      <c r="M41" s="38"/>
      <c r="O41" s="41"/>
      <c r="P41" s="37"/>
    </row>
    <row r="42" spans="1:16" x14ac:dyDescent="0.2">
      <c r="D42" s="38"/>
      <c r="E42" s="38"/>
      <c r="F42" s="38"/>
      <c r="H42" s="1332"/>
      <c r="I42" s="38"/>
      <c r="J42" s="38"/>
      <c r="K42" s="1332"/>
      <c r="L42" s="1333"/>
      <c r="M42" s="38"/>
    </row>
    <row r="43" spans="1:16" x14ac:dyDescent="0.2">
      <c r="B43" s="37" t="s">
        <v>2859</v>
      </c>
      <c r="C43" s="37"/>
      <c r="D43" s="1332"/>
      <c r="E43" s="1332"/>
      <c r="F43" s="1332"/>
      <c r="G43" s="1332"/>
      <c r="H43" s="1332"/>
      <c r="I43" s="1333"/>
      <c r="J43" s="1333"/>
      <c r="K43" s="1332"/>
      <c r="L43" s="1333"/>
      <c r="M43" s="1333"/>
    </row>
    <row r="44" spans="1:16" x14ac:dyDescent="0.2">
      <c r="B44" s="37"/>
      <c r="C44" s="1332"/>
      <c r="D44" s="1332"/>
      <c r="E44" s="1332"/>
      <c r="F44" s="1332"/>
      <c r="G44" s="1333"/>
      <c r="H44" s="1333"/>
      <c r="I44" s="1332"/>
      <c r="J44" s="1333"/>
      <c r="K44" s="1333"/>
    </row>
    <row r="45" spans="1:16" x14ac:dyDescent="0.2">
      <c r="B45" s="37"/>
      <c r="C45" s="1332"/>
      <c r="D45" s="1879" t="str">
        <f>+Update!B13</f>
        <v>2025-26</v>
      </c>
      <c r="E45" s="1879"/>
      <c r="F45" s="1880"/>
      <c r="G45" s="38"/>
      <c r="H45" s="1842" t="str">
        <f>+Update!B15</f>
        <v>2024-25</v>
      </c>
    </row>
    <row r="46" spans="1:16" ht="51" x14ac:dyDescent="0.2">
      <c r="B46" s="39" t="s">
        <v>2112</v>
      </c>
      <c r="C46" s="1334" t="s">
        <v>461</v>
      </c>
      <c r="D46" s="39" t="s">
        <v>496</v>
      </c>
      <c r="E46" s="1335" t="s">
        <v>494</v>
      </c>
      <c r="F46" s="42" t="s">
        <v>2113</v>
      </c>
      <c r="H46" s="111" t="s">
        <v>2431</v>
      </c>
    </row>
    <row r="47" spans="1:16" x14ac:dyDescent="0.2">
      <c r="B47" s="39"/>
      <c r="C47" s="1334"/>
      <c r="D47" s="39" t="s">
        <v>462</v>
      </c>
      <c r="E47" s="39" t="s">
        <v>462</v>
      </c>
      <c r="F47" s="39" t="s">
        <v>462</v>
      </c>
      <c r="H47" s="39" t="s">
        <v>462</v>
      </c>
    </row>
    <row r="48" spans="1:16" x14ac:dyDescent="0.2">
      <c r="B48" s="39"/>
      <c r="C48" s="74"/>
    </row>
    <row r="49" spans="2:14" x14ac:dyDescent="0.2">
      <c r="B49" s="52" t="s">
        <v>500</v>
      </c>
      <c r="C49" s="74" t="s">
        <v>1034</v>
      </c>
      <c r="D49" s="34" t="e">
        <f>+'SoAS 3-Core and agencies only'!D43</f>
        <v>#VALUE!</v>
      </c>
      <c r="E49" s="34">
        <f>+'SoAS 3'!E36</f>
        <v>9466341</v>
      </c>
      <c r="F49" s="34" t="e">
        <f>E49-D49</f>
        <v>#VALUE!</v>
      </c>
      <c r="H49" s="108">
        <v>8172558.1007300001</v>
      </c>
    </row>
    <row r="50" spans="2:14" x14ac:dyDescent="0.2">
      <c r="B50" s="52"/>
      <c r="C50" s="37"/>
      <c r="E50" s="37"/>
    </row>
    <row r="51" spans="2:14" x14ac:dyDescent="0.2">
      <c r="B51" s="52"/>
      <c r="C51" s="37"/>
      <c r="D51" s="37"/>
      <c r="E51" s="37"/>
    </row>
    <row r="52" spans="2:14" x14ac:dyDescent="0.2">
      <c r="B52" s="34" t="s">
        <v>2111</v>
      </c>
      <c r="C52" s="37"/>
      <c r="D52" s="37"/>
      <c r="E52" s="37"/>
      <c r="F52" s="37"/>
    </row>
    <row r="53" spans="2:14" x14ac:dyDescent="0.2">
      <c r="B53" s="37"/>
      <c r="C53" s="38"/>
      <c r="D53" s="38"/>
      <c r="E53" s="38"/>
      <c r="F53" s="38"/>
      <c r="G53" s="38"/>
      <c r="H53" s="38"/>
      <c r="I53" s="37"/>
      <c r="J53" s="37"/>
      <c r="K53" s="37"/>
      <c r="L53" s="37"/>
      <c r="M53" s="37"/>
      <c r="N53" s="37"/>
    </row>
    <row r="54" spans="2:14" x14ac:dyDescent="0.2">
      <c r="B54" s="37"/>
      <c r="C54" s="88"/>
      <c r="D54" s="88"/>
      <c r="E54" s="88"/>
      <c r="F54" s="88"/>
      <c r="G54" s="88"/>
      <c r="H54" s="88"/>
      <c r="I54" s="37"/>
      <c r="J54" s="37"/>
      <c r="K54" s="37"/>
      <c r="L54" s="37"/>
      <c r="M54" s="37"/>
      <c r="N54" s="37"/>
    </row>
    <row r="55" spans="2:14" x14ac:dyDescent="0.2">
      <c r="B55" s="37" t="s">
        <v>2858</v>
      </c>
      <c r="C55" s="37"/>
      <c r="D55" s="1332"/>
      <c r="E55" s="1332"/>
      <c r="F55" s="1332"/>
      <c r="G55" s="1332"/>
      <c r="H55" s="1332"/>
      <c r="I55" s="1333"/>
      <c r="J55" s="1333"/>
      <c r="K55" s="1332"/>
      <c r="L55" s="1333"/>
      <c r="M55" s="1333"/>
    </row>
    <row r="56" spans="2:14" x14ac:dyDescent="0.2">
      <c r="B56" s="37"/>
      <c r="C56" s="1332"/>
      <c r="D56" s="1332"/>
      <c r="E56" s="1332"/>
      <c r="F56" s="1332"/>
      <c r="G56" s="1333"/>
      <c r="H56" s="1333"/>
      <c r="I56" s="1332"/>
      <c r="J56" s="1333"/>
      <c r="K56" s="1333"/>
    </row>
    <row r="57" spans="2:14" x14ac:dyDescent="0.2">
      <c r="B57" s="37"/>
      <c r="C57" s="1332"/>
      <c r="D57" s="1879" t="str">
        <f>+Update!B13</f>
        <v>2025-26</v>
      </c>
      <c r="E57" s="1879"/>
      <c r="F57" s="1880"/>
      <c r="G57" s="38"/>
      <c r="H57" s="1842" t="str">
        <f>+Update!B15</f>
        <v>2024-25</v>
      </c>
    </row>
    <row r="58" spans="2:14" ht="51" x14ac:dyDescent="0.2">
      <c r="B58" s="39" t="s">
        <v>2099</v>
      </c>
      <c r="C58" s="1334" t="s">
        <v>461</v>
      </c>
      <c r="D58" s="39" t="s">
        <v>496</v>
      </c>
      <c r="E58" s="1335" t="s">
        <v>494</v>
      </c>
      <c r="F58" s="42" t="s">
        <v>2113</v>
      </c>
      <c r="H58" s="42" t="s">
        <v>2431</v>
      </c>
    </row>
    <row r="59" spans="2:14" x14ac:dyDescent="0.2">
      <c r="B59" s="39"/>
      <c r="C59" s="1334"/>
      <c r="D59" s="39" t="s">
        <v>462</v>
      </c>
      <c r="E59" s="39" t="s">
        <v>462</v>
      </c>
      <c r="F59" s="39" t="s">
        <v>462</v>
      </c>
      <c r="H59" s="39" t="s">
        <v>462</v>
      </c>
    </row>
    <row r="60" spans="2:14" x14ac:dyDescent="0.2">
      <c r="B60" s="39"/>
      <c r="C60" s="74"/>
    </row>
    <row r="61" spans="2:14" x14ac:dyDescent="0.2">
      <c r="B61" s="52" t="s">
        <v>2114</v>
      </c>
      <c r="C61" s="74" t="s">
        <v>2115</v>
      </c>
      <c r="D61" s="34">
        <f>+'SOAS 1.1'!E77</f>
        <v>0</v>
      </c>
      <c r="E61" s="34">
        <v>47191</v>
      </c>
      <c r="F61" s="34">
        <f>E61-D61</f>
        <v>47191</v>
      </c>
      <c r="H61" s="108">
        <v>42479</v>
      </c>
    </row>
    <row r="62" spans="2:14" x14ac:dyDescent="0.2">
      <c r="B62" s="52"/>
      <c r="C62" s="37"/>
      <c r="E62" s="37"/>
    </row>
    <row r="63" spans="2:14" x14ac:dyDescent="0.2">
      <c r="B63" s="52"/>
      <c r="C63" s="37"/>
      <c r="D63" s="37"/>
      <c r="E63" s="37"/>
    </row>
    <row r="64" spans="2:14" x14ac:dyDescent="0.2">
      <c r="B64" s="34" t="s">
        <v>2116</v>
      </c>
      <c r="C64" s="37"/>
      <c r="D64" s="37"/>
      <c r="E64" s="37"/>
      <c r="F64" s="37"/>
    </row>
  </sheetData>
  <mergeCells count="7">
    <mergeCell ref="D57:F57"/>
    <mergeCell ref="B5:M6"/>
    <mergeCell ref="D8:K8"/>
    <mergeCell ref="D9:F9"/>
    <mergeCell ref="G9:I9"/>
    <mergeCell ref="J9:K9"/>
    <mergeCell ref="D45:F45"/>
  </mergeCells>
  <pageMargins left="0.35433070866141736" right="0.47244094488188981" top="0.19685039370078741" bottom="0.19685039370078741" header="0.31496062992125984" footer="0.31496062992125984"/>
  <pageSetup paperSize="9" scale="53"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B1:U96"/>
  <sheetViews>
    <sheetView zoomScale="90" zoomScaleNormal="90" workbookViewId="0">
      <pane xSplit="6" ySplit="11" topLeftCell="G12"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3.85546875" style="34" customWidth="1"/>
    <col min="2" max="2" width="52.42578125" style="34" customWidth="1"/>
    <col min="3" max="3" width="5" style="74" customWidth="1"/>
    <col min="4" max="4" width="15" style="74" customWidth="1"/>
    <col min="5" max="5" width="2.42578125" style="74" customWidth="1"/>
    <col min="6" max="6" width="15.85546875" style="74" bestFit="1" customWidth="1"/>
    <col min="7" max="7" width="14.7109375" style="74" customWidth="1" outlineLevel="1"/>
    <col min="8" max="8" width="9" style="74" bestFit="1" customWidth="1" outlineLevel="1"/>
    <col min="9" max="10" width="12" style="74" customWidth="1"/>
    <col min="11" max="11" width="15.140625" style="74" customWidth="1" outlineLevel="1"/>
    <col min="12" max="12" width="2.85546875" style="74" customWidth="1" outlineLevel="1"/>
    <col min="13" max="13" width="14.7109375" style="74" customWidth="1" outlineLevel="1"/>
    <col min="14" max="14" width="7" style="34" customWidth="1"/>
    <col min="15" max="15" width="15.85546875" style="34" hidden="1" customWidth="1" outlineLevel="1"/>
    <col min="16" max="16" width="2.28515625" style="34" hidden="1" customWidth="1" outlineLevel="1"/>
    <col min="17" max="17" width="13.140625" style="34" hidden="1" customWidth="1" outlineLevel="1"/>
    <col min="18" max="18" width="9.7109375" style="34" hidden="1" customWidth="1" outlineLevel="1"/>
    <col min="19" max="19" width="9.140625" style="34" hidden="1" customWidth="1" outlineLevel="1" collapsed="1"/>
    <col min="20" max="20" width="9.140625" style="34" collapsed="1"/>
    <col min="21" max="188" width="9.140625" style="34"/>
    <col min="189" max="189" width="3.85546875" style="34" customWidth="1"/>
    <col min="190" max="190" width="66.28515625" style="34" customWidth="1"/>
    <col min="191" max="191" width="9.5703125" style="34" bestFit="1" customWidth="1"/>
    <col min="192" max="192" width="11.85546875" style="34" bestFit="1" customWidth="1"/>
    <col min="193" max="193" width="5.7109375" style="34" customWidth="1"/>
    <col min="194" max="194" width="14" style="34" customWidth="1"/>
    <col min="195" max="195" width="9.140625" style="34"/>
    <col min="196" max="196" width="10.28515625" style="34" bestFit="1" customWidth="1"/>
    <col min="197" max="444" width="9.140625" style="34"/>
    <col min="445" max="445" width="3.85546875" style="34" customWidth="1"/>
    <col min="446" max="446" width="66.28515625" style="34" customWidth="1"/>
    <col min="447" max="447" width="9.5703125" style="34" bestFit="1" customWidth="1"/>
    <col min="448" max="448" width="11.85546875" style="34" bestFit="1" customWidth="1"/>
    <col min="449" max="449" width="5.7109375" style="34" customWidth="1"/>
    <col min="450" max="450" width="14" style="34" customWidth="1"/>
    <col min="451" max="451" width="9.140625" style="34"/>
    <col min="452" max="452" width="10.28515625" style="34" bestFit="1" customWidth="1"/>
    <col min="453" max="700" width="9.140625" style="34"/>
    <col min="701" max="701" width="3.85546875" style="34" customWidth="1"/>
    <col min="702" max="702" width="66.28515625" style="34" customWidth="1"/>
    <col min="703" max="703" width="9.5703125" style="34" bestFit="1" customWidth="1"/>
    <col min="704" max="704" width="11.85546875" style="34" bestFit="1" customWidth="1"/>
    <col min="705" max="705" width="5.7109375" style="34" customWidth="1"/>
    <col min="706" max="706" width="14" style="34" customWidth="1"/>
    <col min="707" max="707" width="9.140625" style="34"/>
    <col min="708" max="708" width="10.28515625" style="34" bestFit="1" customWidth="1"/>
    <col min="709" max="956" width="9.140625" style="34"/>
    <col min="957" max="957" width="3.85546875" style="34" customWidth="1"/>
    <col min="958" max="958" width="66.28515625" style="34" customWidth="1"/>
    <col min="959" max="959" width="9.5703125" style="34" bestFit="1" customWidth="1"/>
    <col min="960" max="960" width="11.85546875" style="34" bestFit="1" customWidth="1"/>
    <col min="961" max="961" width="5.7109375" style="34" customWidth="1"/>
    <col min="962" max="962" width="14" style="34" customWidth="1"/>
    <col min="963" max="963" width="9.140625" style="34"/>
    <col min="964" max="964" width="10.28515625" style="34" bestFit="1" customWidth="1"/>
    <col min="965" max="1212" width="9.140625" style="34"/>
    <col min="1213" max="1213" width="3.85546875" style="34" customWidth="1"/>
    <col min="1214" max="1214" width="66.28515625" style="34" customWidth="1"/>
    <col min="1215" max="1215" width="9.5703125" style="34" bestFit="1" customWidth="1"/>
    <col min="1216" max="1216" width="11.85546875" style="34" bestFit="1" customWidth="1"/>
    <col min="1217" max="1217" width="5.7109375" style="34" customWidth="1"/>
    <col min="1218" max="1218" width="14" style="34" customWidth="1"/>
    <col min="1219" max="1219" width="9.140625" style="34"/>
    <col min="1220" max="1220" width="10.28515625" style="34" bestFit="1" customWidth="1"/>
    <col min="1221" max="1468" width="9.140625" style="34"/>
    <col min="1469" max="1469" width="3.85546875" style="34" customWidth="1"/>
    <col min="1470" max="1470" width="66.28515625" style="34" customWidth="1"/>
    <col min="1471" max="1471" width="9.5703125" style="34" bestFit="1" customWidth="1"/>
    <col min="1472" max="1472" width="11.85546875" style="34" bestFit="1" customWidth="1"/>
    <col min="1473" max="1473" width="5.7109375" style="34" customWidth="1"/>
    <col min="1474" max="1474" width="14" style="34" customWidth="1"/>
    <col min="1475" max="1475" width="9.140625" style="34"/>
    <col min="1476" max="1476" width="10.28515625" style="34" bestFit="1" customWidth="1"/>
    <col min="1477" max="1724" width="9.140625" style="34"/>
    <col min="1725" max="1725" width="3.85546875" style="34" customWidth="1"/>
    <col min="1726" max="1726" width="66.28515625" style="34" customWidth="1"/>
    <col min="1727" max="1727" width="9.5703125" style="34" bestFit="1" customWidth="1"/>
    <col min="1728" max="1728" width="11.85546875" style="34" bestFit="1" customWidth="1"/>
    <col min="1729" max="1729" width="5.7109375" style="34" customWidth="1"/>
    <col min="1730" max="1730" width="14" style="34" customWidth="1"/>
    <col min="1731" max="1731" width="9.140625" style="34"/>
    <col min="1732" max="1732" width="10.28515625" style="34" bestFit="1" customWidth="1"/>
    <col min="1733" max="1980" width="9.140625" style="34"/>
    <col min="1981" max="1981" width="3.85546875" style="34" customWidth="1"/>
    <col min="1982" max="1982" width="66.28515625" style="34" customWidth="1"/>
    <col min="1983" max="1983" width="9.5703125" style="34" bestFit="1" customWidth="1"/>
    <col min="1984" max="1984" width="11.85546875" style="34" bestFit="1" customWidth="1"/>
    <col min="1985" max="1985" width="5.7109375" style="34" customWidth="1"/>
    <col min="1986" max="1986" width="14" style="34" customWidth="1"/>
    <col min="1987" max="1987" width="9.140625" style="34"/>
    <col min="1988" max="1988" width="10.28515625" style="34" bestFit="1" customWidth="1"/>
    <col min="1989" max="2236" width="9.140625" style="34"/>
    <col min="2237" max="2237" width="3.85546875" style="34" customWidth="1"/>
    <col min="2238" max="2238" width="66.28515625" style="34" customWidth="1"/>
    <col min="2239" max="2239" width="9.5703125" style="34" bestFit="1" customWidth="1"/>
    <col min="2240" max="2240" width="11.85546875" style="34" bestFit="1" customWidth="1"/>
    <col min="2241" max="2241" width="5.7109375" style="34" customWidth="1"/>
    <col min="2242" max="2242" width="14" style="34" customWidth="1"/>
    <col min="2243" max="2243" width="9.140625" style="34"/>
    <col min="2244" max="2244" width="10.28515625" style="34" bestFit="1" customWidth="1"/>
    <col min="2245" max="2492" width="9.140625" style="34"/>
    <col min="2493" max="2493" width="3.85546875" style="34" customWidth="1"/>
    <col min="2494" max="2494" width="66.28515625" style="34" customWidth="1"/>
    <col min="2495" max="2495" width="9.5703125" style="34" bestFit="1" customWidth="1"/>
    <col min="2496" max="2496" width="11.85546875" style="34" bestFit="1" customWidth="1"/>
    <col min="2497" max="2497" width="5.7109375" style="34" customWidth="1"/>
    <col min="2498" max="2498" width="14" style="34" customWidth="1"/>
    <col min="2499" max="2499" width="9.140625" style="34"/>
    <col min="2500" max="2500" width="10.28515625" style="34" bestFit="1" customWidth="1"/>
    <col min="2501" max="2748" width="9.140625" style="34"/>
    <col min="2749" max="2749" width="3.85546875" style="34" customWidth="1"/>
    <col min="2750" max="2750" width="66.28515625" style="34" customWidth="1"/>
    <col min="2751" max="2751" width="9.5703125" style="34" bestFit="1" customWidth="1"/>
    <col min="2752" max="2752" width="11.85546875" style="34" bestFit="1" customWidth="1"/>
    <col min="2753" max="2753" width="5.7109375" style="34" customWidth="1"/>
    <col min="2754" max="2754" width="14" style="34" customWidth="1"/>
    <col min="2755" max="2755" width="9.140625" style="34"/>
    <col min="2756" max="2756" width="10.28515625" style="34" bestFit="1" customWidth="1"/>
    <col min="2757" max="3004" width="9.140625" style="34"/>
    <col min="3005" max="3005" width="3.85546875" style="34" customWidth="1"/>
    <col min="3006" max="3006" width="66.28515625" style="34" customWidth="1"/>
    <col min="3007" max="3007" width="9.5703125" style="34" bestFit="1" customWidth="1"/>
    <col min="3008" max="3008" width="11.85546875" style="34" bestFit="1" customWidth="1"/>
    <col min="3009" max="3009" width="5.7109375" style="34" customWidth="1"/>
    <col min="3010" max="3010" width="14" style="34" customWidth="1"/>
    <col min="3011" max="3011" width="9.140625" style="34"/>
    <col min="3012" max="3012" width="10.28515625" style="34" bestFit="1" customWidth="1"/>
    <col min="3013" max="3260" width="9.140625" style="34"/>
    <col min="3261" max="3261" width="3.85546875" style="34" customWidth="1"/>
    <col min="3262" max="3262" width="66.28515625" style="34" customWidth="1"/>
    <col min="3263" max="3263" width="9.5703125" style="34" bestFit="1" customWidth="1"/>
    <col min="3264" max="3264" width="11.85546875" style="34" bestFit="1" customWidth="1"/>
    <col min="3265" max="3265" width="5.7109375" style="34" customWidth="1"/>
    <col min="3266" max="3266" width="14" style="34" customWidth="1"/>
    <col min="3267" max="3267" width="9.140625" style="34"/>
    <col min="3268" max="3268" width="10.28515625" style="34" bestFit="1" customWidth="1"/>
    <col min="3269" max="3516" width="9.140625" style="34"/>
    <col min="3517" max="3517" width="3.85546875" style="34" customWidth="1"/>
    <col min="3518" max="3518" width="66.28515625" style="34" customWidth="1"/>
    <col min="3519" max="3519" width="9.5703125" style="34" bestFit="1" customWidth="1"/>
    <col min="3520" max="3520" width="11.85546875" style="34" bestFit="1" customWidth="1"/>
    <col min="3521" max="3521" width="5.7109375" style="34" customWidth="1"/>
    <col min="3522" max="3522" width="14" style="34" customWidth="1"/>
    <col min="3523" max="3523" width="9.140625" style="34"/>
    <col min="3524" max="3524" width="10.28515625" style="34" bestFit="1" customWidth="1"/>
    <col min="3525" max="3772" width="9.140625" style="34"/>
    <col min="3773" max="3773" width="3.85546875" style="34" customWidth="1"/>
    <col min="3774" max="3774" width="66.28515625" style="34" customWidth="1"/>
    <col min="3775" max="3775" width="9.5703125" style="34" bestFit="1" customWidth="1"/>
    <col min="3776" max="3776" width="11.85546875" style="34" bestFit="1" customWidth="1"/>
    <col min="3777" max="3777" width="5.7109375" style="34" customWidth="1"/>
    <col min="3778" max="3778" width="14" style="34" customWidth="1"/>
    <col min="3779" max="3779" width="9.140625" style="34"/>
    <col min="3780" max="3780" width="10.28515625" style="34" bestFit="1" customWidth="1"/>
    <col min="3781" max="4028" width="9.140625" style="34"/>
    <col min="4029" max="4029" width="3.85546875" style="34" customWidth="1"/>
    <col min="4030" max="4030" width="66.28515625" style="34" customWidth="1"/>
    <col min="4031" max="4031" width="9.5703125" style="34" bestFit="1" customWidth="1"/>
    <col min="4032" max="4032" width="11.85546875" style="34" bestFit="1" customWidth="1"/>
    <col min="4033" max="4033" width="5.7109375" style="34" customWidth="1"/>
    <col min="4034" max="4034" width="14" style="34" customWidth="1"/>
    <col min="4035" max="4035" width="9.140625" style="34"/>
    <col min="4036" max="4036" width="10.28515625" style="34" bestFit="1" customWidth="1"/>
    <col min="4037" max="4284" width="9.140625" style="34"/>
    <col min="4285" max="4285" width="3.85546875" style="34" customWidth="1"/>
    <col min="4286" max="4286" width="66.28515625" style="34" customWidth="1"/>
    <col min="4287" max="4287" width="9.5703125" style="34" bestFit="1" customWidth="1"/>
    <col min="4288" max="4288" width="11.85546875" style="34" bestFit="1" customWidth="1"/>
    <col min="4289" max="4289" width="5.7109375" style="34" customWidth="1"/>
    <col min="4290" max="4290" width="14" style="34" customWidth="1"/>
    <col min="4291" max="4291" width="9.140625" style="34"/>
    <col min="4292" max="4292" width="10.28515625" style="34" bestFit="1" customWidth="1"/>
    <col min="4293" max="4540" width="9.140625" style="34"/>
    <col min="4541" max="4541" width="3.85546875" style="34" customWidth="1"/>
    <col min="4542" max="4542" width="66.28515625" style="34" customWidth="1"/>
    <col min="4543" max="4543" width="9.5703125" style="34" bestFit="1" customWidth="1"/>
    <col min="4544" max="4544" width="11.85546875" style="34" bestFit="1" customWidth="1"/>
    <col min="4545" max="4545" width="5.7109375" style="34" customWidth="1"/>
    <col min="4546" max="4546" width="14" style="34" customWidth="1"/>
    <col min="4547" max="4547" width="9.140625" style="34"/>
    <col min="4548" max="4548" width="10.28515625" style="34" bestFit="1" customWidth="1"/>
    <col min="4549" max="4796" width="9.140625" style="34"/>
    <col min="4797" max="4797" width="3.85546875" style="34" customWidth="1"/>
    <col min="4798" max="4798" width="66.28515625" style="34" customWidth="1"/>
    <col min="4799" max="4799" width="9.5703125" style="34" bestFit="1" customWidth="1"/>
    <col min="4800" max="4800" width="11.85546875" style="34" bestFit="1" customWidth="1"/>
    <col min="4801" max="4801" width="5.7109375" style="34" customWidth="1"/>
    <col min="4802" max="4802" width="14" style="34" customWidth="1"/>
    <col min="4803" max="4803" width="9.140625" style="34"/>
    <col min="4804" max="4804" width="10.28515625" style="34" bestFit="1" customWidth="1"/>
    <col min="4805" max="5052" width="9.140625" style="34"/>
    <col min="5053" max="5053" width="3.85546875" style="34" customWidth="1"/>
    <col min="5054" max="5054" width="66.28515625" style="34" customWidth="1"/>
    <col min="5055" max="5055" width="9.5703125" style="34" bestFit="1" customWidth="1"/>
    <col min="5056" max="5056" width="11.85546875" style="34" bestFit="1" customWidth="1"/>
    <col min="5057" max="5057" width="5.7109375" style="34" customWidth="1"/>
    <col min="5058" max="5058" width="14" style="34" customWidth="1"/>
    <col min="5059" max="5059" width="9.140625" style="34"/>
    <col min="5060" max="5060" width="10.28515625" style="34" bestFit="1" customWidth="1"/>
    <col min="5061" max="5308" width="9.140625" style="34"/>
    <col min="5309" max="5309" width="3.85546875" style="34" customWidth="1"/>
    <col min="5310" max="5310" width="66.28515625" style="34" customWidth="1"/>
    <col min="5311" max="5311" width="9.5703125" style="34" bestFit="1" customWidth="1"/>
    <col min="5312" max="5312" width="11.85546875" style="34" bestFit="1" customWidth="1"/>
    <col min="5313" max="5313" width="5.7109375" style="34" customWidth="1"/>
    <col min="5314" max="5314" width="14" style="34" customWidth="1"/>
    <col min="5315" max="5315" width="9.140625" style="34"/>
    <col min="5316" max="5316" width="10.28515625" style="34" bestFit="1" customWidth="1"/>
    <col min="5317" max="5564" width="9.140625" style="34"/>
    <col min="5565" max="5565" width="3.85546875" style="34" customWidth="1"/>
    <col min="5566" max="5566" width="66.28515625" style="34" customWidth="1"/>
    <col min="5567" max="5567" width="9.5703125" style="34" bestFit="1" customWidth="1"/>
    <col min="5568" max="5568" width="11.85546875" style="34" bestFit="1" customWidth="1"/>
    <col min="5569" max="5569" width="5.7109375" style="34" customWidth="1"/>
    <col min="5570" max="5570" width="14" style="34" customWidth="1"/>
    <col min="5571" max="5571" width="9.140625" style="34"/>
    <col min="5572" max="5572" width="10.28515625" style="34" bestFit="1" customWidth="1"/>
    <col min="5573" max="5820" width="9.140625" style="34"/>
    <col min="5821" max="5821" width="3.85546875" style="34" customWidth="1"/>
    <col min="5822" max="5822" width="66.28515625" style="34" customWidth="1"/>
    <col min="5823" max="5823" width="9.5703125" style="34" bestFit="1" customWidth="1"/>
    <col min="5824" max="5824" width="11.85546875" style="34" bestFit="1" customWidth="1"/>
    <col min="5825" max="5825" width="5.7109375" style="34" customWidth="1"/>
    <col min="5826" max="5826" width="14" style="34" customWidth="1"/>
    <col min="5827" max="5827" width="9.140625" style="34"/>
    <col min="5828" max="5828" width="10.28515625" style="34" bestFit="1" customWidth="1"/>
    <col min="5829" max="6076" width="9.140625" style="34"/>
    <col min="6077" max="6077" width="3.85546875" style="34" customWidth="1"/>
    <col min="6078" max="6078" width="66.28515625" style="34" customWidth="1"/>
    <col min="6079" max="6079" width="9.5703125" style="34" bestFit="1" customWidth="1"/>
    <col min="6080" max="6080" width="11.85546875" style="34" bestFit="1" customWidth="1"/>
    <col min="6081" max="6081" width="5.7109375" style="34" customWidth="1"/>
    <col min="6082" max="6082" width="14" style="34" customWidth="1"/>
    <col min="6083" max="6083" width="9.140625" style="34"/>
    <col min="6084" max="6084" width="10.28515625" style="34" bestFit="1" customWidth="1"/>
    <col min="6085" max="6332" width="9.140625" style="34"/>
    <col min="6333" max="6333" width="3.85546875" style="34" customWidth="1"/>
    <col min="6334" max="6334" width="66.28515625" style="34" customWidth="1"/>
    <col min="6335" max="6335" width="9.5703125" style="34" bestFit="1" customWidth="1"/>
    <col min="6336" max="6336" width="11.85546875" style="34" bestFit="1" customWidth="1"/>
    <col min="6337" max="6337" width="5.7109375" style="34" customWidth="1"/>
    <col min="6338" max="6338" width="14" style="34" customWidth="1"/>
    <col min="6339" max="6339" width="9.140625" style="34"/>
    <col min="6340" max="6340" width="10.28515625" style="34" bestFit="1" customWidth="1"/>
    <col min="6341" max="6588" width="9.140625" style="34"/>
    <col min="6589" max="6589" width="3.85546875" style="34" customWidth="1"/>
    <col min="6590" max="6590" width="66.28515625" style="34" customWidth="1"/>
    <col min="6591" max="6591" width="9.5703125" style="34" bestFit="1" customWidth="1"/>
    <col min="6592" max="6592" width="11.85546875" style="34" bestFit="1" customWidth="1"/>
    <col min="6593" max="6593" width="5.7109375" style="34" customWidth="1"/>
    <col min="6594" max="6594" width="14" style="34" customWidth="1"/>
    <col min="6595" max="6595" width="9.140625" style="34"/>
    <col min="6596" max="6596" width="10.28515625" style="34" bestFit="1" customWidth="1"/>
    <col min="6597" max="6844" width="9.140625" style="34"/>
    <col min="6845" max="6845" width="3.85546875" style="34" customWidth="1"/>
    <col min="6846" max="6846" width="66.28515625" style="34" customWidth="1"/>
    <col min="6847" max="6847" width="9.5703125" style="34" bestFit="1" customWidth="1"/>
    <col min="6848" max="6848" width="11.85546875" style="34" bestFit="1" customWidth="1"/>
    <col min="6849" max="6849" width="5.7109375" style="34" customWidth="1"/>
    <col min="6850" max="6850" width="14" style="34" customWidth="1"/>
    <col min="6851" max="6851" width="9.140625" style="34"/>
    <col min="6852" max="6852" width="10.28515625" style="34" bestFit="1" customWidth="1"/>
    <col min="6853" max="7100" width="9.140625" style="34"/>
    <col min="7101" max="7101" width="3.85546875" style="34" customWidth="1"/>
    <col min="7102" max="7102" width="66.28515625" style="34" customWidth="1"/>
    <col min="7103" max="7103" width="9.5703125" style="34" bestFit="1" customWidth="1"/>
    <col min="7104" max="7104" width="11.85546875" style="34" bestFit="1" customWidth="1"/>
    <col min="7105" max="7105" width="5.7109375" style="34" customWidth="1"/>
    <col min="7106" max="7106" width="14" style="34" customWidth="1"/>
    <col min="7107" max="7107" width="9.140625" style="34"/>
    <col min="7108" max="7108" width="10.28515625" style="34" bestFit="1" customWidth="1"/>
    <col min="7109" max="7356" width="9.140625" style="34"/>
    <col min="7357" max="7357" width="3.85546875" style="34" customWidth="1"/>
    <col min="7358" max="7358" width="66.28515625" style="34" customWidth="1"/>
    <col min="7359" max="7359" width="9.5703125" style="34" bestFit="1" customWidth="1"/>
    <col min="7360" max="7360" width="11.85546875" style="34" bestFit="1" customWidth="1"/>
    <col min="7361" max="7361" width="5.7109375" style="34" customWidth="1"/>
    <col min="7362" max="7362" width="14" style="34" customWidth="1"/>
    <col min="7363" max="7363" width="9.140625" style="34"/>
    <col min="7364" max="7364" width="10.28515625" style="34" bestFit="1" customWidth="1"/>
    <col min="7365" max="7612" width="9.140625" style="34"/>
    <col min="7613" max="7613" width="3.85546875" style="34" customWidth="1"/>
    <col min="7614" max="7614" width="66.28515625" style="34" customWidth="1"/>
    <col min="7615" max="7615" width="9.5703125" style="34" bestFit="1" customWidth="1"/>
    <col min="7616" max="7616" width="11.85546875" style="34" bestFit="1" customWidth="1"/>
    <col min="7617" max="7617" width="5.7109375" style="34" customWidth="1"/>
    <col min="7618" max="7618" width="14" style="34" customWidth="1"/>
    <col min="7619" max="7619" width="9.140625" style="34"/>
    <col min="7620" max="7620" width="10.28515625" style="34" bestFit="1" customWidth="1"/>
    <col min="7621" max="7868" width="9.140625" style="34"/>
    <col min="7869" max="7869" width="3.85546875" style="34" customWidth="1"/>
    <col min="7870" max="7870" width="66.28515625" style="34" customWidth="1"/>
    <col min="7871" max="7871" width="9.5703125" style="34" bestFit="1" customWidth="1"/>
    <col min="7872" max="7872" width="11.85546875" style="34" bestFit="1" customWidth="1"/>
    <col min="7873" max="7873" width="5.7109375" style="34" customWidth="1"/>
    <col min="7874" max="7874" width="14" style="34" customWidth="1"/>
    <col min="7875" max="7875" width="9.140625" style="34"/>
    <col min="7876" max="7876" width="10.28515625" style="34" bestFit="1" customWidth="1"/>
    <col min="7877" max="8124" width="9.140625" style="34"/>
    <col min="8125" max="8125" width="3.85546875" style="34" customWidth="1"/>
    <col min="8126" max="8126" width="66.28515625" style="34" customWidth="1"/>
    <col min="8127" max="8127" width="9.5703125" style="34" bestFit="1" customWidth="1"/>
    <col min="8128" max="8128" width="11.85546875" style="34" bestFit="1" customWidth="1"/>
    <col min="8129" max="8129" width="5.7109375" style="34" customWidth="1"/>
    <col min="8130" max="8130" width="14" style="34" customWidth="1"/>
    <col min="8131" max="8131" width="9.140625" style="34"/>
    <col min="8132" max="8132" width="10.28515625" style="34" bestFit="1" customWidth="1"/>
    <col min="8133" max="8380" width="9.140625" style="34"/>
    <col min="8381" max="8381" width="3.85546875" style="34" customWidth="1"/>
    <col min="8382" max="8382" width="66.28515625" style="34" customWidth="1"/>
    <col min="8383" max="8383" width="9.5703125" style="34" bestFit="1" customWidth="1"/>
    <col min="8384" max="8384" width="11.85546875" style="34" bestFit="1" customWidth="1"/>
    <col min="8385" max="8385" width="5.7109375" style="34" customWidth="1"/>
    <col min="8386" max="8386" width="14" style="34" customWidth="1"/>
    <col min="8387" max="8387" width="9.140625" style="34"/>
    <col min="8388" max="8388" width="10.28515625" style="34" bestFit="1" customWidth="1"/>
    <col min="8389" max="8636" width="9.140625" style="34"/>
    <col min="8637" max="8637" width="3.85546875" style="34" customWidth="1"/>
    <col min="8638" max="8638" width="66.28515625" style="34" customWidth="1"/>
    <col min="8639" max="8639" width="9.5703125" style="34" bestFit="1" customWidth="1"/>
    <col min="8640" max="8640" width="11.85546875" style="34" bestFit="1" customWidth="1"/>
    <col min="8641" max="8641" width="5.7109375" style="34" customWidth="1"/>
    <col min="8642" max="8642" width="14" style="34" customWidth="1"/>
    <col min="8643" max="8643" width="9.140625" style="34"/>
    <col min="8644" max="8644" width="10.28515625" style="34" bestFit="1" customWidth="1"/>
    <col min="8645" max="8892" width="9.140625" style="34"/>
    <col min="8893" max="8893" width="3.85546875" style="34" customWidth="1"/>
    <col min="8894" max="8894" width="66.28515625" style="34" customWidth="1"/>
    <col min="8895" max="8895" width="9.5703125" style="34" bestFit="1" customWidth="1"/>
    <col min="8896" max="8896" width="11.85546875" style="34" bestFit="1" customWidth="1"/>
    <col min="8897" max="8897" width="5.7109375" style="34" customWidth="1"/>
    <col min="8898" max="8898" width="14" style="34" customWidth="1"/>
    <col min="8899" max="8899" width="9.140625" style="34"/>
    <col min="8900" max="8900" width="10.28515625" style="34" bestFit="1" customWidth="1"/>
    <col min="8901" max="9148" width="9.140625" style="34"/>
    <col min="9149" max="9149" width="3.85546875" style="34" customWidth="1"/>
    <col min="9150" max="9150" width="66.28515625" style="34" customWidth="1"/>
    <col min="9151" max="9151" width="9.5703125" style="34" bestFit="1" customWidth="1"/>
    <col min="9152" max="9152" width="11.85546875" style="34" bestFit="1" customWidth="1"/>
    <col min="9153" max="9153" width="5.7109375" style="34" customWidth="1"/>
    <col min="9154" max="9154" width="14" style="34" customWidth="1"/>
    <col min="9155" max="9155" width="9.140625" style="34"/>
    <col min="9156" max="9156" width="10.28515625" style="34" bestFit="1" customWidth="1"/>
    <col min="9157" max="9404" width="9.140625" style="34"/>
    <col min="9405" max="9405" width="3.85546875" style="34" customWidth="1"/>
    <col min="9406" max="9406" width="66.28515625" style="34" customWidth="1"/>
    <col min="9407" max="9407" width="9.5703125" style="34" bestFit="1" customWidth="1"/>
    <col min="9408" max="9408" width="11.85546875" style="34" bestFit="1" customWidth="1"/>
    <col min="9409" max="9409" width="5.7109375" style="34" customWidth="1"/>
    <col min="9410" max="9410" width="14" style="34" customWidth="1"/>
    <col min="9411" max="9411" width="9.140625" style="34"/>
    <col min="9412" max="9412" width="10.28515625" style="34" bestFit="1" customWidth="1"/>
    <col min="9413" max="9660" width="9.140625" style="34"/>
    <col min="9661" max="9661" width="3.85546875" style="34" customWidth="1"/>
    <col min="9662" max="9662" width="66.28515625" style="34" customWidth="1"/>
    <col min="9663" max="9663" width="9.5703125" style="34" bestFit="1" customWidth="1"/>
    <col min="9664" max="9664" width="11.85546875" style="34" bestFit="1" customWidth="1"/>
    <col min="9665" max="9665" width="5.7109375" style="34" customWidth="1"/>
    <col min="9666" max="9666" width="14" style="34" customWidth="1"/>
    <col min="9667" max="9667" width="9.140625" style="34"/>
    <col min="9668" max="9668" width="10.28515625" style="34" bestFit="1" customWidth="1"/>
    <col min="9669" max="9916" width="9.140625" style="34"/>
    <col min="9917" max="9917" width="3.85546875" style="34" customWidth="1"/>
    <col min="9918" max="9918" width="66.28515625" style="34" customWidth="1"/>
    <col min="9919" max="9919" width="9.5703125" style="34" bestFit="1" customWidth="1"/>
    <col min="9920" max="9920" width="11.85546875" style="34" bestFit="1" customWidth="1"/>
    <col min="9921" max="9921" width="5.7109375" style="34" customWidth="1"/>
    <col min="9922" max="9922" width="14" style="34" customWidth="1"/>
    <col min="9923" max="9923" width="9.140625" style="34"/>
    <col min="9924" max="9924" width="10.28515625" style="34" bestFit="1" customWidth="1"/>
    <col min="9925" max="10172" width="9.140625" style="34"/>
    <col min="10173" max="10173" width="3.85546875" style="34" customWidth="1"/>
    <col min="10174" max="10174" width="66.28515625" style="34" customWidth="1"/>
    <col min="10175" max="10175" width="9.5703125" style="34" bestFit="1" customWidth="1"/>
    <col min="10176" max="10176" width="11.85546875" style="34" bestFit="1" customWidth="1"/>
    <col min="10177" max="10177" width="5.7109375" style="34" customWidth="1"/>
    <col min="10178" max="10178" width="14" style="34" customWidth="1"/>
    <col min="10179" max="10179" width="9.140625" style="34"/>
    <col min="10180" max="10180" width="10.28515625" style="34" bestFit="1" customWidth="1"/>
    <col min="10181" max="10428" width="9.140625" style="34"/>
    <col min="10429" max="10429" width="3.85546875" style="34" customWidth="1"/>
    <col min="10430" max="10430" width="66.28515625" style="34" customWidth="1"/>
    <col min="10431" max="10431" width="9.5703125" style="34" bestFit="1" customWidth="1"/>
    <col min="10432" max="10432" width="11.85546875" style="34" bestFit="1" customWidth="1"/>
    <col min="10433" max="10433" width="5.7109375" style="34" customWidth="1"/>
    <col min="10434" max="10434" width="14" style="34" customWidth="1"/>
    <col min="10435" max="10435" width="9.140625" style="34"/>
    <col min="10436" max="10436" width="10.28515625" style="34" bestFit="1" customWidth="1"/>
    <col min="10437" max="10684" width="9.140625" style="34"/>
    <col min="10685" max="10685" width="3.85546875" style="34" customWidth="1"/>
    <col min="10686" max="10686" width="66.28515625" style="34" customWidth="1"/>
    <col min="10687" max="10687" width="9.5703125" style="34" bestFit="1" customWidth="1"/>
    <col min="10688" max="10688" width="11.85546875" style="34" bestFit="1" customWidth="1"/>
    <col min="10689" max="10689" width="5.7109375" style="34" customWidth="1"/>
    <col min="10690" max="10690" width="14" style="34" customWidth="1"/>
    <col min="10691" max="10691" width="9.140625" style="34"/>
    <col min="10692" max="10692" width="10.28515625" style="34" bestFit="1" customWidth="1"/>
    <col min="10693" max="10940" width="9.140625" style="34"/>
    <col min="10941" max="10941" width="3.85546875" style="34" customWidth="1"/>
    <col min="10942" max="10942" width="66.28515625" style="34" customWidth="1"/>
    <col min="10943" max="10943" width="9.5703125" style="34" bestFit="1" customWidth="1"/>
    <col min="10944" max="10944" width="11.85546875" style="34" bestFit="1" customWidth="1"/>
    <col min="10945" max="10945" width="5.7109375" style="34" customWidth="1"/>
    <col min="10946" max="10946" width="14" style="34" customWidth="1"/>
    <col min="10947" max="10947" width="9.140625" style="34"/>
    <col min="10948" max="10948" width="10.28515625" style="34" bestFit="1" customWidth="1"/>
    <col min="10949" max="11196" width="9.140625" style="34"/>
    <col min="11197" max="11197" width="3.85546875" style="34" customWidth="1"/>
    <col min="11198" max="11198" width="66.28515625" style="34" customWidth="1"/>
    <col min="11199" max="11199" width="9.5703125" style="34" bestFit="1" customWidth="1"/>
    <col min="11200" max="11200" width="11.85546875" style="34" bestFit="1" customWidth="1"/>
    <col min="11201" max="11201" width="5.7109375" style="34" customWidth="1"/>
    <col min="11202" max="11202" width="14" style="34" customWidth="1"/>
    <col min="11203" max="11203" width="9.140625" style="34"/>
    <col min="11204" max="11204" width="10.28515625" style="34" bestFit="1" customWidth="1"/>
    <col min="11205" max="11452" width="9.140625" style="34"/>
    <col min="11453" max="11453" width="3.85546875" style="34" customWidth="1"/>
    <col min="11454" max="11454" width="66.28515625" style="34" customWidth="1"/>
    <col min="11455" max="11455" width="9.5703125" style="34" bestFit="1" customWidth="1"/>
    <col min="11456" max="11456" width="11.85546875" style="34" bestFit="1" customWidth="1"/>
    <col min="11457" max="11457" width="5.7109375" style="34" customWidth="1"/>
    <col min="11458" max="11458" width="14" style="34" customWidth="1"/>
    <col min="11459" max="11459" width="9.140625" style="34"/>
    <col min="11460" max="11460" width="10.28515625" style="34" bestFit="1" customWidth="1"/>
    <col min="11461" max="11708" width="9.140625" style="34"/>
    <col min="11709" max="11709" width="3.85546875" style="34" customWidth="1"/>
    <col min="11710" max="11710" width="66.28515625" style="34" customWidth="1"/>
    <col min="11711" max="11711" width="9.5703125" style="34" bestFit="1" customWidth="1"/>
    <col min="11712" max="11712" width="11.85546875" style="34" bestFit="1" customWidth="1"/>
    <col min="11713" max="11713" width="5.7109375" style="34" customWidth="1"/>
    <col min="11714" max="11714" width="14" style="34" customWidth="1"/>
    <col min="11715" max="11715" width="9.140625" style="34"/>
    <col min="11716" max="11716" width="10.28515625" style="34" bestFit="1" customWidth="1"/>
    <col min="11717" max="11964" width="9.140625" style="34"/>
    <col min="11965" max="11965" width="3.85546875" style="34" customWidth="1"/>
    <col min="11966" max="11966" width="66.28515625" style="34" customWidth="1"/>
    <col min="11967" max="11967" width="9.5703125" style="34" bestFit="1" customWidth="1"/>
    <col min="11968" max="11968" width="11.85546875" style="34" bestFit="1" customWidth="1"/>
    <col min="11969" max="11969" width="5.7109375" style="34" customWidth="1"/>
    <col min="11970" max="11970" width="14" style="34" customWidth="1"/>
    <col min="11971" max="11971" width="9.140625" style="34"/>
    <col min="11972" max="11972" width="10.28515625" style="34" bestFit="1" customWidth="1"/>
    <col min="11973" max="12220" width="9.140625" style="34"/>
    <col min="12221" max="12221" width="3.85546875" style="34" customWidth="1"/>
    <col min="12222" max="12222" width="66.28515625" style="34" customWidth="1"/>
    <col min="12223" max="12223" width="9.5703125" style="34" bestFit="1" customWidth="1"/>
    <col min="12224" max="12224" width="11.85546875" style="34" bestFit="1" customWidth="1"/>
    <col min="12225" max="12225" width="5.7109375" style="34" customWidth="1"/>
    <col min="12226" max="12226" width="14" style="34" customWidth="1"/>
    <col min="12227" max="12227" width="9.140625" style="34"/>
    <col min="12228" max="12228" width="10.28515625" style="34" bestFit="1" customWidth="1"/>
    <col min="12229" max="12476" width="9.140625" style="34"/>
    <col min="12477" max="12477" width="3.85546875" style="34" customWidth="1"/>
    <col min="12478" max="12478" width="66.28515625" style="34" customWidth="1"/>
    <col min="12479" max="12479" width="9.5703125" style="34" bestFit="1" customWidth="1"/>
    <col min="12480" max="12480" width="11.85546875" style="34" bestFit="1" customWidth="1"/>
    <col min="12481" max="12481" width="5.7109375" style="34" customWidth="1"/>
    <col min="12482" max="12482" width="14" style="34" customWidth="1"/>
    <col min="12483" max="12483" width="9.140625" style="34"/>
    <col min="12484" max="12484" width="10.28515625" style="34" bestFit="1" customWidth="1"/>
    <col min="12485" max="12732" width="9.140625" style="34"/>
    <col min="12733" max="12733" width="3.85546875" style="34" customWidth="1"/>
    <col min="12734" max="12734" width="66.28515625" style="34" customWidth="1"/>
    <col min="12735" max="12735" width="9.5703125" style="34" bestFit="1" customWidth="1"/>
    <col min="12736" max="12736" width="11.85546875" style="34" bestFit="1" customWidth="1"/>
    <col min="12737" max="12737" width="5.7109375" style="34" customWidth="1"/>
    <col min="12738" max="12738" width="14" style="34" customWidth="1"/>
    <col min="12739" max="12739" width="9.140625" style="34"/>
    <col min="12740" max="12740" width="10.28515625" style="34" bestFit="1" customWidth="1"/>
    <col min="12741" max="12988" width="9.140625" style="34"/>
    <col min="12989" max="12989" width="3.85546875" style="34" customWidth="1"/>
    <col min="12990" max="12990" width="66.28515625" style="34" customWidth="1"/>
    <col min="12991" max="12991" width="9.5703125" style="34" bestFit="1" customWidth="1"/>
    <col min="12992" max="12992" width="11.85546875" style="34" bestFit="1" customWidth="1"/>
    <col min="12993" max="12993" width="5.7109375" style="34" customWidth="1"/>
    <col min="12994" max="12994" width="14" style="34" customWidth="1"/>
    <col min="12995" max="12995" width="9.140625" style="34"/>
    <col min="12996" max="12996" width="10.28515625" style="34" bestFit="1" customWidth="1"/>
    <col min="12997" max="13244" width="9.140625" style="34"/>
    <col min="13245" max="13245" width="3.85546875" style="34" customWidth="1"/>
    <col min="13246" max="13246" width="66.28515625" style="34" customWidth="1"/>
    <col min="13247" max="13247" width="9.5703125" style="34" bestFit="1" customWidth="1"/>
    <col min="13248" max="13248" width="11.85546875" style="34" bestFit="1" customWidth="1"/>
    <col min="13249" max="13249" width="5.7109375" style="34" customWidth="1"/>
    <col min="13250" max="13250" width="14" style="34" customWidth="1"/>
    <col min="13251" max="13251" width="9.140625" style="34"/>
    <col min="13252" max="13252" width="10.28515625" style="34" bestFit="1" customWidth="1"/>
    <col min="13253" max="13500" width="9.140625" style="34"/>
    <col min="13501" max="13501" width="3.85546875" style="34" customWidth="1"/>
    <col min="13502" max="13502" width="66.28515625" style="34" customWidth="1"/>
    <col min="13503" max="13503" width="9.5703125" style="34" bestFit="1" customWidth="1"/>
    <col min="13504" max="13504" width="11.85546875" style="34" bestFit="1" customWidth="1"/>
    <col min="13505" max="13505" width="5.7109375" style="34" customWidth="1"/>
    <col min="13506" max="13506" width="14" style="34" customWidth="1"/>
    <col min="13507" max="13507" width="9.140625" style="34"/>
    <col min="13508" max="13508" width="10.28515625" style="34" bestFit="1" customWidth="1"/>
    <col min="13509" max="13756" width="9.140625" style="34"/>
    <col min="13757" max="13757" width="3.85546875" style="34" customWidth="1"/>
    <col min="13758" max="13758" width="66.28515625" style="34" customWidth="1"/>
    <col min="13759" max="13759" width="9.5703125" style="34" bestFit="1" customWidth="1"/>
    <col min="13760" max="13760" width="11.85546875" style="34" bestFit="1" customWidth="1"/>
    <col min="13761" max="13761" width="5.7109375" style="34" customWidth="1"/>
    <col min="13762" max="13762" width="14" style="34" customWidth="1"/>
    <col min="13763" max="13763" width="9.140625" style="34"/>
    <col min="13764" max="13764" width="10.28515625" style="34" bestFit="1" customWidth="1"/>
    <col min="13765" max="14012" width="9.140625" style="34"/>
    <col min="14013" max="14013" width="3.85546875" style="34" customWidth="1"/>
    <col min="14014" max="14014" width="66.28515625" style="34" customWidth="1"/>
    <col min="14015" max="14015" width="9.5703125" style="34" bestFit="1" customWidth="1"/>
    <col min="14016" max="14016" width="11.85546875" style="34" bestFit="1" customWidth="1"/>
    <col min="14017" max="14017" width="5.7109375" style="34" customWidth="1"/>
    <col min="14018" max="14018" width="14" style="34" customWidth="1"/>
    <col min="14019" max="14019" width="9.140625" style="34"/>
    <col min="14020" max="14020" width="10.28515625" style="34" bestFit="1" customWidth="1"/>
    <col min="14021" max="14268" width="9.140625" style="34"/>
    <col min="14269" max="14269" width="3.85546875" style="34" customWidth="1"/>
    <col min="14270" max="14270" width="66.28515625" style="34" customWidth="1"/>
    <col min="14271" max="14271" width="9.5703125" style="34" bestFit="1" customWidth="1"/>
    <col min="14272" max="14272" width="11.85546875" style="34" bestFit="1" customWidth="1"/>
    <col min="14273" max="14273" width="5.7109375" style="34" customWidth="1"/>
    <col min="14274" max="14274" width="14" style="34" customWidth="1"/>
    <col min="14275" max="14275" width="9.140625" style="34"/>
    <col min="14276" max="14276" width="10.28515625" style="34" bestFit="1" customWidth="1"/>
    <col min="14277" max="14524" width="9.140625" style="34"/>
    <col min="14525" max="14525" width="3.85546875" style="34" customWidth="1"/>
    <col min="14526" max="14526" width="66.28515625" style="34" customWidth="1"/>
    <col min="14527" max="14527" width="9.5703125" style="34" bestFit="1" customWidth="1"/>
    <col min="14528" max="14528" width="11.85546875" style="34" bestFit="1" customWidth="1"/>
    <col min="14529" max="14529" width="5.7109375" style="34" customWidth="1"/>
    <col min="14530" max="14530" width="14" style="34" customWidth="1"/>
    <col min="14531" max="14531" width="9.140625" style="34"/>
    <col min="14532" max="14532" width="10.28515625" style="34" bestFit="1" customWidth="1"/>
    <col min="14533" max="14780" width="9.140625" style="34"/>
    <col min="14781" max="14781" width="3.85546875" style="34" customWidth="1"/>
    <col min="14782" max="14782" width="66.28515625" style="34" customWidth="1"/>
    <col min="14783" max="14783" width="9.5703125" style="34" bestFit="1" customWidth="1"/>
    <col min="14784" max="14784" width="11.85546875" style="34" bestFit="1" customWidth="1"/>
    <col min="14785" max="14785" width="5.7109375" style="34" customWidth="1"/>
    <col min="14786" max="14786" width="14" style="34" customWidth="1"/>
    <col min="14787" max="14787" width="9.140625" style="34"/>
    <col min="14788" max="14788" width="10.28515625" style="34" bestFit="1" customWidth="1"/>
    <col min="14789" max="15036" width="9.140625" style="34"/>
    <col min="15037" max="15037" width="3.85546875" style="34" customWidth="1"/>
    <col min="15038" max="15038" width="66.28515625" style="34" customWidth="1"/>
    <col min="15039" max="15039" width="9.5703125" style="34" bestFit="1" customWidth="1"/>
    <col min="15040" max="15040" width="11.85546875" style="34" bestFit="1" customWidth="1"/>
    <col min="15041" max="15041" width="5.7109375" style="34" customWidth="1"/>
    <col min="15042" max="15042" width="14" style="34" customWidth="1"/>
    <col min="15043" max="15043" width="9.140625" style="34"/>
    <col min="15044" max="15044" width="10.28515625" style="34" bestFit="1" customWidth="1"/>
    <col min="15045" max="15292" width="9.140625" style="34"/>
    <col min="15293" max="15293" width="3.85546875" style="34" customWidth="1"/>
    <col min="15294" max="15294" width="66.28515625" style="34" customWidth="1"/>
    <col min="15295" max="15295" width="9.5703125" style="34" bestFit="1" customWidth="1"/>
    <col min="15296" max="15296" width="11.85546875" style="34" bestFit="1" customWidth="1"/>
    <col min="15297" max="15297" width="5.7109375" style="34" customWidth="1"/>
    <col min="15298" max="15298" width="14" style="34" customWidth="1"/>
    <col min="15299" max="15299" width="9.140625" style="34"/>
    <col min="15300" max="15300" width="10.28515625" style="34" bestFit="1" customWidth="1"/>
    <col min="15301" max="15548" width="9.140625" style="34"/>
    <col min="15549" max="15549" width="3.85546875" style="34" customWidth="1"/>
    <col min="15550" max="15550" width="66.28515625" style="34" customWidth="1"/>
    <col min="15551" max="15551" width="9.5703125" style="34" bestFit="1" customWidth="1"/>
    <col min="15552" max="15552" width="11.85546875" style="34" bestFit="1" customWidth="1"/>
    <col min="15553" max="15553" width="5.7109375" style="34" customWidth="1"/>
    <col min="15554" max="15554" width="14" style="34" customWidth="1"/>
    <col min="15555" max="15555" width="9.140625" style="34"/>
    <col min="15556" max="15556" width="10.28515625" style="34" bestFit="1" customWidth="1"/>
    <col min="15557" max="15804" width="9.140625" style="34"/>
    <col min="15805" max="15805" width="3.85546875" style="34" customWidth="1"/>
    <col min="15806" max="15806" width="66.28515625" style="34" customWidth="1"/>
    <col min="15807" max="15807" width="9.5703125" style="34" bestFit="1" customWidth="1"/>
    <col min="15808" max="15808" width="11.85546875" style="34" bestFit="1" customWidth="1"/>
    <col min="15809" max="15809" width="5.7109375" style="34" customWidth="1"/>
    <col min="15810" max="15810" width="14" style="34" customWidth="1"/>
    <col min="15811" max="15811" width="9.140625" style="34"/>
    <col min="15812" max="15812" width="10.28515625" style="34" bestFit="1" customWidth="1"/>
    <col min="15813" max="16060" width="9.140625" style="34"/>
    <col min="16061" max="16061" width="3.85546875" style="34" customWidth="1"/>
    <col min="16062" max="16062" width="66.28515625" style="34" customWidth="1"/>
    <col min="16063" max="16063" width="9.5703125" style="34" bestFit="1" customWidth="1"/>
    <col min="16064" max="16064" width="11.85546875" style="34" bestFit="1" customWidth="1"/>
    <col min="16065" max="16065" width="5.7109375" style="34" customWidth="1"/>
    <col min="16066" max="16066" width="14" style="34" customWidth="1"/>
    <col min="16067" max="16067" width="9.140625" style="34"/>
    <col min="16068" max="16068" width="10.28515625" style="34" bestFit="1" customWidth="1"/>
    <col min="16069" max="16384" width="9.140625" style="34"/>
  </cols>
  <sheetData>
    <row r="1" spans="2:21" x14ac:dyDescent="0.2">
      <c r="B1" s="35" t="str">
        <f>Update!$B$6</f>
        <v>Department of Health</v>
      </c>
    </row>
    <row r="2" spans="2:21" x14ac:dyDescent="0.2">
      <c r="B2" s="47" t="str">
        <f>Update!$B$9</f>
        <v>Consolidated Accounts</v>
      </c>
    </row>
    <row r="3" spans="2:21" x14ac:dyDescent="0.2">
      <c r="B3" s="64"/>
    </row>
    <row r="4" spans="2:21" x14ac:dyDescent="0.2">
      <c r="B4" s="37" t="s">
        <v>278</v>
      </c>
    </row>
    <row r="5" spans="2:21" x14ac:dyDescent="0.2">
      <c r="B5" s="37" t="str">
        <f>"for the year ended"&amp;Update!$B$22</f>
        <v>for the year ended 31 March 2026</v>
      </c>
    </row>
    <row r="6" spans="2:21" hidden="1" outlineLevel="1" x14ac:dyDescent="0.2">
      <c r="B6" s="37"/>
    </row>
    <row r="7" spans="2:21" ht="31.5" hidden="1" customHeight="1" outlineLevel="1" x14ac:dyDescent="0.2">
      <c r="B7" s="2100" t="s">
        <v>460</v>
      </c>
      <c r="C7" s="2100"/>
      <c r="D7" s="2100"/>
      <c r="E7" s="2100"/>
      <c r="F7" s="2100"/>
      <c r="G7" s="2100"/>
      <c r="H7" s="2100"/>
      <c r="I7" s="2100"/>
      <c r="J7" s="2100"/>
      <c r="K7" s="2100"/>
      <c r="L7" s="2100"/>
      <c r="M7" s="2100"/>
    </row>
    <row r="8" spans="2:21" collapsed="1" x14ac:dyDescent="0.2">
      <c r="B8" s="328"/>
      <c r="C8" s="328"/>
      <c r="D8" s="328"/>
      <c r="E8" s="328"/>
      <c r="F8" s="328"/>
      <c r="G8" s="328"/>
      <c r="H8" s="328"/>
      <c r="I8" s="328"/>
      <c r="J8" s="328"/>
      <c r="K8" s="328"/>
      <c r="L8" s="328"/>
      <c r="M8" s="328"/>
      <c r="O8" s="722" t="s">
        <v>64</v>
      </c>
      <c r="Q8" s="722" t="s">
        <v>64</v>
      </c>
    </row>
    <row r="9" spans="2:21" ht="24" x14ac:dyDescent="0.2">
      <c r="B9" s="63"/>
      <c r="C9" s="63"/>
      <c r="D9" s="349" t="str">
        <f>Update!$B$7</f>
        <v>Core Department &amp; Agencies</v>
      </c>
      <c r="E9" s="349"/>
      <c r="F9" s="349" t="str">
        <f>Update!$B$8</f>
        <v>Departmental Group</v>
      </c>
      <c r="G9" s="349" t="s">
        <v>800</v>
      </c>
      <c r="H9" s="349" t="s">
        <v>838</v>
      </c>
      <c r="I9" s="350"/>
      <c r="J9" s="350"/>
      <c r="K9" s="349" t="str">
        <f>Update!$B$7</f>
        <v>Core Department &amp; Agencies</v>
      </c>
      <c r="L9" s="349"/>
      <c r="M9" s="349" t="str">
        <f>Update!$B$8</f>
        <v>Departmental Group</v>
      </c>
      <c r="O9" s="349" t="str">
        <f>Update!$B$7</f>
        <v>Core Department &amp; Agencies</v>
      </c>
      <c r="P9" s="349"/>
      <c r="Q9" s="349" t="str">
        <f>Update!$B$8</f>
        <v>Departmental Group</v>
      </c>
    </row>
    <row r="10" spans="2:21" x14ac:dyDescent="0.2">
      <c r="B10" s="37"/>
      <c r="D10" s="329" t="str">
        <f>Update!$B$13</f>
        <v>2025-26</v>
      </c>
      <c r="F10" s="329" t="str">
        <f>Update!$B$13</f>
        <v>2025-26</v>
      </c>
      <c r="G10" s="38"/>
      <c r="H10" s="38"/>
      <c r="I10" s="38"/>
      <c r="J10" s="38"/>
      <c r="K10" s="329" t="str">
        <f>Update!$B$15</f>
        <v>2024-25</v>
      </c>
      <c r="L10" s="38"/>
      <c r="M10" s="329" t="str">
        <f>Update!$B$15</f>
        <v>2024-25</v>
      </c>
      <c r="O10" s="329" t="str">
        <f>Update!$B$13</f>
        <v>2025-26</v>
      </c>
      <c r="P10" s="74"/>
      <c r="Q10" s="329" t="str">
        <f>Update!$B$13</f>
        <v>2025-26</v>
      </c>
    </row>
    <row r="11" spans="2:21" x14ac:dyDescent="0.2">
      <c r="C11" s="38" t="s">
        <v>461</v>
      </c>
      <c r="D11" s="38" t="s">
        <v>62</v>
      </c>
      <c r="E11" s="38"/>
      <c r="F11" s="38" t="s">
        <v>62</v>
      </c>
      <c r="G11" s="38"/>
      <c r="H11" s="38"/>
      <c r="I11" s="38"/>
      <c r="J11" s="38"/>
      <c r="K11" s="38" t="s">
        <v>62</v>
      </c>
      <c r="L11" s="38"/>
      <c r="M11" s="38" t="s">
        <v>62</v>
      </c>
      <c r="O11" s="38" t="s">
        <v>62</v>
      </c>
      <c r="P11" s="38"/>
      <c r="Q11" s="38" t="s">
        <v>62</v>
      </c>
    </row>
    <row r="12" spans="2:21" x14ac:dyDescent="0.2">
      <c r="F12" s="39">
        <f>ROUND(SUMIF(MAP!$E$389:$E$406,$B12,MAP!$N$389:$N$406),0)</f>
        <v>0</v>
      </c>
      <c r="G12" s="38"/>
      <c r="H12" s="38"/>
      <c r="I12" s="39"/>
      <c r="J12" s="39"/>
      <c r="K12" s="39"/>
      <c r="L12" s="39"/>
      <c r="M12" s="39"/>
      <c r="O12" s="74"/>
      <c r="P12" s="74"/>
      <c r="Q12" s="39"/>
    </row>
    <row r="13" spans="2:21" x14ac:dyDescent="0.2">
      <c r="B13" s="41"/>
      <c r="C13" s="83"/>
      <c r="F13" s="39"/>
      <c r="G13" s="38"/>
      <c r="H13" s="38"/>
      <c r="I13" s="39"/>
      <c r="J13" s="39"/>
      <c r="K13" s="39"/>
      <c r="L13" s="39"/>
      <c r="M13" s="39"/>
      <c r="O13" s="74"/>
      <c r="P13" s="74"/>
      <c r="Q13" s="39"/>
    </row>
    <row r="14" spans="2:21" x14ac:dyDescent="0.2">
      <c r="B14" s="41" t="s">
        <v>1072</v>
      </c>
      <c r="C14" s="83">
        <v>5</v>
      </c>
      <c r="D14" s="34" t="e">
        <f>-SUMIFS(MAP!$T:$T,MAP!$C:$C,"SOCNE",MAP!$E:$E,SCNE!$B14)</f>
        <v>#VALUE!</v>
      </c>
      <c r="F14" s="34" t="e">
        <f>-SUMIFS(MAP!$N:$N,MAP!$C:$C,"SOCNE",MAP!$E:$E,SCNE!$B14)</f>
        <v>#VALUE!</v>
      </c>
      <c r="G14" s="348" t="e">
        <f>D14+('Note 4'!C18-'Note 4'!C17)</f>
        <v>#VALUE!</v>
      </c>
      <c r="H14" s="348" t="e">
        <f>F14+('Note 4'!E18-'Note 4'!E17)</f>
        <v>#VALUE!</v>
      </c>
      <c r="I14" s="34"/>
      <c r="J14" s="34"/>
      <c r="K14" s="342">
        <v>-56831</v>
      </c>
      <c r="L14" s="34"/>
      <c r="M14" s="342">
        <v>-388805</v>
      </c>
      <c r="O14" s="34">
        <f>-SUMIFS(MAP!$U:$U,MAP!$C:$C,"SOCNE",MAP!$E:$E,SCNE!$B14)</f>
        <v>0</v>
      </c>
      <c r="P14" s="74"/>
      <c r="Q14" s="34">
        <f>-SUMIFS(MAP!$BD:$BD,MAP!$C:$C,"SOCNE",MAP!$E:$E,SCNE!$B14)</f>
        <v>0</v>
      </c>
      <c r="R14" s="348">
        <f>Q14+'Note 4'!M18</f>
        <v>0</v>
      </c>
      <c r="U14" s="34">
        <f>+('Note 4'!C18-'Note 4'!C17)</f>
        <v>0</v>
      </c>
    </row>
    <row r="15" spans="2:21" x14ac:dyDescent="0.2">
      <c r="B15" s="41"/>
      <c r="C15" s="83"/>
      <c r="D15" s="34"/>
      <c r="F15" s="34"/>
      <c r="G15" s="38"/>
      <c r="H15" s="38"/>
      <c r="I15" s="34"/>
      <c r="J15" s="34"/>
      <c r="K15" s="34"/>
      <c r="L15" s="34"/>
      <c r="M15" s="34"/>
      <c r="P15" s="74"/>
    </row>
    <row r="16" spans="2:21" x14ac:dyDescent="0.2">
      <c r="B16" s="41" t="s">
        <v>308</v>
      </c>
      <c r="C16" s="83">
        <v>5</v>
      </c>
      <c r="D16" s="34" t="e">
        <f>-SUMIFS(MAP!$T:$T,MAP!$C:$C,"SOCNE",MAP!$E:$E,SCNE!$B16)</f>
        <v>#VALUE!</v>
      </c>
      <c r="F16" s="34" t="e">
        <f>-SUMIFS(MAP!$N:$N,MAP!$C:$C,"SOCNE",MAP!$E:$E,SCNE!$B16)</f>
        <v>#VALUE!</v>
      </c>
      <c r="G16" s="348" t="e">
        <f>D16+'Note 4'!C30+D14+D37</f>
        <v>#VALUE!</v>
      </c>
      <c r="H16" s="348" t="e">
        <f>F16+'Note 4'!E30+F14+F37</f>
        <v>#VALUE!</v>
      </c>
      <c r="I16" s="34"/>
      <c r="J16" s="34"/>
      <c r="K16" s="342">
        <v>-14224</v>
      </c>
      <c r="L16" s="34"/>
      <c r="M16" s="342">
        <v>-44363</v>
      </c>
      <c r="O16" s="34">
        <f>-SUMIFS(MAP!$U:$U,MAP!$C:$C,"SOCNE",MAP!$E:$E,SCNE!$B16)</f>
        <v>0</v>
      </c>
      <c r="P16" s="74"/>
      <c r="Q16" s="34">
        <f>-SUMIFS(MAP!$BD:$BD,MAP!$C:$C,"SOCNE",MAP!$E:$E,SCNE!$B16)</f>
        <v>0</v>
      </c>
      <c r="R16" s="348">
        <f>Q16+'Note 4'!M28</f>
        <v>0</v>
      </c>
    </row>
    <row r="17" spans="2:19" x14ac:dyDescent="0.2">
      <c r="B17" s="41"/>
      <c r="C17" s="83"/>
      <c r="D17" s="34"/>
      <c r="F17" s="34"/>
      <c r="G17" s="38"/>
      <c r="H17" s="38"/>
      <c r="I17" s="34"/>
      <c r="J17" s="34"/>
      <c r="K17" s="34"/>
      <c r="L17" s="34"/>
      <c r="M17" s="34"/>
      <c r="P17" s="74"/>
    </row>
    <row r="18" spans="2:19" x14ac:dyDescent="0.2">
      <c r="B18" s="106" t="s">
        <v>463</v>
      </c>
      <c r="C18" s="83"/>
      <c r="D18" s="97" t="e">
        <f>SUM(D14:D16)</f>
        <v>#VALUE!</v>
      </c>
      <c r="F18" s="97" t="e">
        <f>SUM(F14:F16)</f>
        <v>#VALUE!</v>
      </c>
      <c r="G18" s="348" t="e">
        <f>D18+D37+'Note 4'!C30</f>
        <v>#VALUE!</v>
      </c>
      <c r="H18" s="348" t="e">
        <f>F18+F37+'Note 4'!E30</f>
        <v>#VALUE!</v>
      </c>
      <c r="I18" s="46"/>
      <c r="J18" s="46"/>
      <c r="K18" s="98">
        <f>SUM(K14:K16)</f>
        <v>-71055</v>
      </c>
      <c r="L18" s="34"/>
      <c r="M18" s="98">
        <f>SUM(M14:M16)</f>
        <v>-433168</v>
      </c>
      <c r="O18" s="97">
        <f>SUM(O14:O16)</f>
        <v>0</v>
      </c>
      <c r="P18" s="74"/>
      <c r="Q18" s="97">
        <f>SUM(Q14:Q16)</f>
        <v>0</v>
      </c>
    </row>
    <row r="19" spans="2:19" x14ac:dyDescent="0.2">
      <c r="B19" s="41"/>
      <c r="C19" s="83"/>
      <c r="D19" s="34"/>
      <c r="F19" s="34">
        <f>ROUND(SUMIF(MAP!$E$389:$E$406,$B19,MAP!$N$389:$N$406),0)</f>
        <v>0</v>
      </c>
      <c r="G19" s="38"/>
      <c r="H19" s="38"/>
      <c r="I19" s="34"/>
      <c r="J19" s="34"/>
      <c r="K19" s="34"/>
      <c r="L19" s="34"/>
      <c r="M19" s="34"/>
      <c r="P19" s="74"/>
    </row>
    <row r="20" spans="2:19" x14ac:dyDescent="0.2">
      <c r="B20" s="41"/>
      <c r="C20" s="83"/>
      <c r="D20" s="34"/>
      <c r="F20" s="34"/>
      <c r="G20" s="38"/>
      <c r="H20" s="38"/>
      <c r="I20" s="34"/>
      <c r="J20" s="34"/>
      <c r="K20" s="34"/>
      <c r="L20" s="34"/>
      <c r="M20" s="34"/>
      <c r="P20" s="74"/>
    </row>
    <row r="21" spans="2:19" x14ac:dyDescent="0.2">
      <c r="B21" s="41" t="s">
        <v>282</v>
      </c>
      <c r="C21" s="83">
        <v>3</v>
      </c>
      <c r="D21" s="34" t="e">
        <f>-SUMIFS(MAP!$T:$T,MAP!$C:$C,"SOCNE",MAP!$E:$E,SCNE!$B21)</f>
        <v>#VALUE!</v>
      </c>
      <c r="F21" s="34" t="e">
        <f>-SUMIFS(MAP!$N:$N,MAP!$C:$C,"SOCNE",MAP!$E:$E,SCNE!$B21)</f>
        <v>#VALUE!</v>
      </c>
      <c r="G21" s="348" t="e">
        <f>D21-(+'Note 3a'!D10+'Note 3a'!D11+'Note 3a'!D12+'Note 3b &amp; 3c'!D11+'Note 3b &amp; 3c'!D12+'Note 3b &amp; 3c'!D13)</f>
        <v>#VALUE!</v>
      </c>
      <c r="H21" s="348" t="e">
        <f>F21-(+'Note 3a'!F10+'Note 3a'!F11+'Note 3a'!F12+'Note 3b &amp; 3c'!F11+'Note 3b &amp; 3c'!F12+'Note 3b &amp; 3c'!F13)</f>
        <v>#VALUE!</v>
      </c>
      <c r="I21" s="34"/>
      <c r="J21" s="34"/>
      <c r="K21" s="342">
        <v>76054</v>
      </c>
      <c r="L21" s="34"/>
      <c r="M21" s="342">
        <v>4772523</v>
      </c>
      <c r="O21" s="34">
        <f>-SUMIFS(MAP!$U:$U,MAP!$C:$C,"SOCNE",MAP!$E:$E,SCNE!$B21)</f>
        <v>0</v>
      </c>
      <c r="P21" s="74"/>
      <c r="Q21" s="34">
        <f>-SUMIFS(MAP!$BD:$BD,MAP!$C:$C,"SOCNE",MAP!$E:$E,SCNE!$B21)</f>
        <v>0</v>
      </c>
      <c r="R21" s="348">
        <f>Q21-(+'Note 3a'!Q10+'Note 3a'!Q11+'Note 3a'!Q12+'Note 3b &amp; 3c'!Q11+'Note 3b &amp; 3c'!Q12+'Note 3b &amp; 3c'!Q13)</f>
        <v>0</v>
      </c>
    </row>
    <row r="22" spans="2:19" x14ac:dyDescent="0.2">
      <c r="B22" s="41"/>
      <c r="C22" s="83"/>
      <c r="D22" s="34"/>
      <c r="F22" s="34"/>
      <c r="G22" s="38"/>
      <c r="H22" s="38"/>
      <c r="I22" s="34"/>
      <c r="J22" s="34"/>
      <c r="K22" s="34"/>
      <c r="L22" s="34"/>
      <c r="M22" s="34"/>
      <c r="P22" s="74"/>
      <c r="R22" s="38"/>
    </row>
    <row r="23" spans="2:19" x14ac:dyDescent="0.2">
      <c r="B23" s="41" t="s">
        <v>158</v>
      </c>
      <c r="C23" s="83">
        <v>3</v>
      </c>
      <c r="D23" s="34" t="e">
        <f>-SUMIFS(MAP!$T:$T,MAP!$C:$C,"SOCNE",MAP!$E:$E,SCNE!$B23)</f>
        <v>#VALUE!</v>
      </c>
      <c r="F23" s="34" t="e">
        <f>-SUMIFS(MAP!$N:$N,MAP!$C:$C,"SOCNE",MAP!$E:$E,SCNE!$B23)</f>
        <v>#VALUE!</v>
      </c>
      <c r="G23" s="348" t="e">
        <f>D23-(+'Note 3a'!D18+'Note 3b &amp; 3c'!D19)</f>
        <v>#VALUE!</v>
      </c>
      <c r="H23" s="348" t="e">
        <f>F23-(+'Note 3a'!F18+'Note 3b &amp; 3c'!F19)</f>
        <v>#VALUE!</v>
      </c>
      <c r="I23" s="34"/>
      <c r="J23" s="34"/>
      <c r="K23" s="342">
        <v>8830462</v>
      </c>
      <c r="L23" s="34"/>
      <c r="M23" s="342">
        <v>3758736</v>
      </c>
      <c r="O23" s="34">
        <f>-SUMIFS(MAP!$U:$U,MAP!$C:$C,"SOCNE",MAP!$E:$E,SCNE!$B23)</f>
        <v>0</v>
      </c>
      <c r="P23" s="74"/>
      <c r="Q23" s="34">
        <f>-SUMIFS(MAP!$BD:$BD,MAP!$C:$C,"SOCNE",MAP!$E:$E,SCNE!$B23)</f>
        <v>0</v>
      </c>
      <c r="R23" s="348">
        <f>Q23-(+'Note 3a'!Q18+'Note 3b &amp; 3c'!Q19+'Note 3b &amp; 3c'!Q48)</f>
        <v>0</v>
      </c>
      <c r="S23" s="920" t="e">
        <f>(Q33-MAP!BI406)/F33</f>
        <v>#VALUE!</v>
      </c>
    </row>
    <row r="24" spans="2:19" x14ac:dyDescent="0.2">
      <c r="B24" s="41"/>
      <c r="C24" s="83"/>
      <c r="D24" s="34"/>
      <c r="F24" s="34"/>
      <c r="G24" s="38"/>
      <c r="H24" s="38"/>
      <c r="I24" s="34"/>
      <c r="J24" s="34"/>
      <c r="K24" s="34"/>
      <c r="L24" s="34"/>
      <c r="M24" s="34"/>
      <c r="P24" s="74"/>
      <c r="R24" s="38"/>
    </row>
    <row r="25" spans="2:19" x14ac:dyDescent="0.2">
      <c r="B25" s="41" t="s">
        <v>283</v>
      </c>
      <c r="C25" s="83">
        <v>3</v>
      </c>
      <c r="D25" s="34" t="e">
        <f>-SUMIFS(MAP!$T:$T,MAP!$C:$C,"SOCNE",MAP!$E:$E,SCNE!$B25)</f>
        <v>#VALUE!</v>
      </c>
      <c r="F25" s="34" t="e">
        <f>-SUMIFS(MAP!$N:$N,MAP!$C:$C,"SOCNE",MAP!$E:$E,SCNE!$B25)</f>
        <v>#VALUE!</v>
      </c>
      <c r="G25" s="348" t="e">
        <f>D25-(+'Note 3a'!D21+'Note 3a'!D22+'Note 3b &amp; 3c'!D25+'Note 3b &amp; 3c'!D26+'Note 3b &amp; 3c'!D27)</f>
        <v>#VALUE!</v>
      </c>
      <c r="H25" s="348" t="e">
        <f>F25-(+'Note 3a'!F21+'Note 3a'!F22+'Note 3b &amp; 3c'!F25+'Note 3b &amp; 3c'!F26+'Note 3b &amp; 3c'!F27)</f>
        <v>#VALUE!</v>
      </c>
      <c r="I25" s="34"/>
      <c r="J25" s="34"/>
      <c r="K25" s="342">
        <v>28928</v>
      </c>
      <c r="L25" s="34"/>
      <c r="M25" s="342">
        <v>392103</v>
      </c>
      <c r="O25" s="34">
        <f>-SUMIFS(MAP!$U:$U,MAP!$C:$C,"SOCNE",MAP!$E:$E,SCNE!$B25)</f>
        <v>0</v>
      </c>
      <c r="P25" s="74"/>
      <c r="Q25" s="34">
        <f>-SUMIFS(MAP!$BD:$BD,MAP!$C:$C,"SOCNE",MAP!$E:$E,SCNE!$B25)</f>
        <v>0</v>
      </c>
      <c r="R25" s="348">
        <f>Q25-(+'Note 3a'!Q21+'Note 3a'!Q22+'Note 3b &amp; 3c'!Q25+'Note 3b &amp; 3c'!Q26+'Note 3b &amp; 3c'!Q27)</f>
        <v>0</v>
      </c>
    </row>
    <row r="26" spans="2:19" x14ac:dyDescent="0.2">
      <c r="B26" s="41"/>
      <c r="C26" s="83"/>
      <c r="D26" s="34"/>
      <c r="F26" s="34"/>
      <c r="G26" s="38"/>
      <c r="H26" s="38"/>
      <c r="I26" s="34"/>
      <c r="J26" s="34"/>
      <c r="K26" s="34"/>
      <c r="L26" s="34"/>
      <c r="M26" s="34"/>
      <c r="P26" s="74"/>
      <c r="R26" s="38"/>
    </row>
    <row r="27" spans="2:19" x14ac:dyDescent="0.2">
      <c r="B27" s="41" t="s">
        <v>284</v>
      </c>
      <c r="C27" s="83">
        <v>3</v>
      </c>
      <c r="D27" s="34" t="e">
        <f>-SUMIFS(MAP!$T:$T,MAP!$C:$C,"SOCNE",MAP!$E:$E,SCNE!$B27)</f>
        <v>#VALUE!</v>
      </c>
      <c r="F27" s="34" t="e">
        <f>-SUMIFS(MAP!$N:$N,MAP!$C:$C,"SOCNE",MAP!$E:$E,SCNE!$B27)</f>
        <v>#VALUE!</v>
      </c>
      <c r="G27" s="348" t="e">
        <f>D27-(+'Note 3a'!D26+'Note 3a'!D27+'Note 3b &amp; 3c'!D31+'Note 3b &amp; 3c'!D32)</f>
        <v>#VALUE!</v>
      </c>
      <c r="H27" s="348" t="e">
        <f>F27-(+'Note 3a'!F26+'Note 3a'!F27+'Note 3b &amp; 3c'!F31+'Note 3b &amp; 3c'!F32)</f>
        <v>#VALUE!</v>
      </c>
      <c r="I27" s="34"/>
      <c r="J27" s="34"/>
      <c r="K27" s="342">
        <v>5391</v>
      </c>
      <c r="L27" s="34"/>
      <c r="M27" s="342">
        <v>612978</v>
      </c>
      <c r="O27" s="34">
        <f>-SUMIFS(MAP!$U:$U,MAP!$C:$C,"SOCNE",MAP!$E:$E,SCNE!$B27)</f>
        <v>0</v>
      </c>
      <c r="P27" s="74"/>
      <c r="Q27" s="34">
        <f>-SUMIFS(MAP!$BD:$BD,MAP!$C:$C,"SOCNE",MAP!$E:$E,SCNE!$B27)</f>
        <v>0</v>
      </c>
      <c r="R27" s="348">
        <f>Q27-(+'Note 3a'!Q26+'Note 3a'!Q27+'Note 3b &amp; 3c'!Q31+'Note 3b &amp; 3c'!Q32)</f>
        <v>0</v>
      </c>
    </row>
    <row r="28" spans="2:19" x14ac:dyDescent="0.2">
      <c r="B28" s="41"/>
      <c r="C28" s="83"/>
      <c r="D28" s="34"/>
      <c r="F28" s="34"/>
      <c r="G28" s="34"/>
      <c r="H28" s="34"/>
      <c r="I28" s="34"/>
      <c r="J28" s="34"/>
      <c r="K28" s="342"/>
      <c r="L28" s="34"/>
      <c r="M28" s="342"/>
      <c r="P28" s="74"/>
    </row>
    <row r="29" spans="2:19" x14ac:dyDescent="0.2">
      <c r="B29" s="41" t="s">
        <v>1005</v>
      </c>
      <c r="C29" s="83">
        <v>3</v>
      </c>
      <c r="D29" s="34" t="e">
        <f>-SUMIFS(MAP!$T:$T,MAP!$C:$C,"SOCNE",MAP!$E:$E,SCNE!$B29)</f>
        <v>#VALUE!</v>
      </c>
      <c r="F29" s="34" t="e">
        <f>-SUMIFS(MAP!$N:$N,MAP!$C:$C,"SOCNE",MAP!$E:$E,SCNE!$B29)</f>
        <v>#VALUE!</v>
      </c>
      <c r="G29" s="348" t="e">
        <f>D29-SUM('Note 3b &amp; 3c'!D35:D37)</f>
        <v>#VALUE!</v>
      </c>
      <c r="H29" s="348" t="e">
        <f>F29-SUM('Note 3b &amp; 3c'!F35:F40)</f>
        <v>#VALUE!</v>
      </c>
      <c r="I29" s="34"/>
      <c r="J29" s="34"/>
      <c r="K29" s="342">
        <v>0</v>
      </c>
      <c r="L29" s="34"/>
      <c r="M29" s="342">
        <v>46780</v>
      </c>
      <c r="O29" s="34">
        <f>-SUMIFS(MAP!$U:$U,MAP!$C:$C,"SOCNE",MAP!$E:$E,SCNE!$B29)</f>
        <v>0</v>
      </c>
      <c r="P29" s="74"/>
      <c r="Q29" s="34">
        <f>-SUMIFS(MAP!$BD:$BD,MAP!$C:$C,"SOCNE",MAP!$E:$E,SCNE!$B29)</f>
        <v>0</v>
      </c>
      <c r="R29" s="348">
        <f>Q29-('Note 3b &amp; 3c'!Q35)</f>
        <v>0</v>
      </c>
    </row>
    <row r="30" spans="2:19" x14ac:dyDescent="0.2">
      <c r="B30" s="41"/>
      <c r="C30" s="83"/>
      <c r="D30" s="34"/>
      <c r="F30" s="34"/>
      <c r="G30" s="38"/>
      <c r="H30" s="38"/>
      <c r="I30" s="34"/>
      <c r="J30" s="34"/>
      <c r="K30" s="34"/>
      <c r="L30" s="34"/>
      <c r="M30" s="34"/>
      <c r="P30" s="74"/>
    </row>
    <row r="31" spans="2:19" x14ac:dyDescent="0.2">
      <c r="B31" s="41" t="s">
        <v>464</v>
      </c>
      <c r="C31" s="83">
        <v>3</v>
      </c>
      <c r="D31" s="34" t="e">
        <f>-SUMIFS(MAP!$T:$T,MAP!$C:$C,"SOCNE",MAP!$E:$E,SCNE!$B31)</f>
        <v>#VALUE!</v>
      </c>
      <c r="F31" s="34" t="e">
        <f>-SUMIFS(MAP!$N:$N,MAP!$C:$C,"SOCNE",MAP!$E:$E,SCNE!$B31)</f>
        <v>#VALUE!</v>
      </c>
      <c r="G31" s="348" t="e">
        <f>D31+D47-(+'Note 3a'!D13+'Note 3a'!D16+'Note 3a'!D17+'Note 3a'!D25+'Note 3a'!D29+'Note 3a'!D30+'Note 3b &amp; 3c'!D14+'Note 3b &amp; 3c'!D17+'Note 3b &amp; 3c'!D18+'Note 3b &amp; 3c'!D21+'Note 3b &amp; 3c'!D28+'Note 3b &amp; 3c'!D30+'Note 3b &amp; 3c'!D20)</f>
        <v>#VALUE!</v>
      </c>
      <c r="H31" s="348" t="e">
        <f>F31+F47-(+'Note 3a'!F13+'Note 3a'!F16+'Note 3a'!F17+'Note 3a'!F25+'Note 3a'!F29+'Note 3a'!F30+'Note 3b &amp; 3c'!F14+'Note 3b &amp; 3c'!F18+'Note 3b &amp; 3c'!F21+'Note 3b &amp; 3c'!F28+'Note 3b &amp; 3c'!F30+'Note 3b &amp; 3c'!F34+'Note 3b &amp; 3c'!F20+'Note 3b &amp; 3c'!F17+'Note 3b &amp; 3c'!F33)</f>
        <v>#VALUE!</v>
      </c>
      <c r="I31" s="34"/>
      <c r="J31" s="34"/>
      <c r="K31" s="342">
        <v>35970</v>
      </c>
      <c r="L31" s="34"/>
      <c r="M31" s="342">
        <v>136436</v>
      </c>
      <c r="O31" s="34">
        <f>-SUMIFS(MAP!$U:$U,MAP!$C:$C,"SOCNE",MAP!$E:$E,SCNE!$B31)</f>
        <v>0</v>
      </c>
      <c r="P31" s="74"/>
      <c r="Q31" s="34">
        <f>-SUMIFS(MAP!$BD:$BD,MAP!$C:$C,"SOCNE",MAP!$E:$E,SCNE!$B31)</f>
        <v>0</v>
      </c>
    </row>
    <row r="32" spans="2:19" x14ac:dyDescent="0.2">
      <c r="B32" s="41"/>
      <c r="C32" s="83"/>
      <c r="D32" s="34"/>
      <c r="F32" s="34"/>
      <c r="G32" s="38"/>
      <c r="H32" s="38"/>
      <c r="I32" s="34"/>
      <c r="J32" s="34"/>
      <c r="K32" s="34"/>
      <c r="L32" s="34"/>
      <c r="M32" s="34"/>
      <c r="P32" s="74"/>
    </row>
    <row r="33" spans="2:19" x14ac:dyDescent="0.2">
      <c r="B33" s="106" t="s">
        <v>465</v>
      </c>
      <c r="C33" s="83"/>
      <c r="D33" s="97" t="e">
        <f>SUM(D21:D31)</f>
        <v>#VALUE!</v>
      </c>
      <c r="F33" s="97" t="e">
        <f>SUM(F21:F31)</f>
        <v>#VALUE!</v>
      </c>
      <c r="G33" s="348" t="e">
        <f>D33+D39+D47-MAP!T431-MAP!T388</f>
        <v>#VALUE!</v>
      </c>
      <c r="H33" s="348" t="e">
        <f>F33+F39+F47-MAP!N431-MAP!N388</f>
        <v>#VALUE!</v>
      </c>
      <c r="I33" s="34"/>
      <c r="J33" s="34"/>
      <c r="K33" s="98">
        <f>SUM(K21:K31)</f>
        <v>8976805</v>
      </c>
      <c r="L33" s="34"/>
      <c r="M33" s="98">
        <f>SUM(M21:M31)</f>
        <v>9719556</v>
      </c>
      <c r="O33" s="97">
        <f>SUM(O21:O31)</f>
        <v>0</v>
      </c>
      <c r="P33" s="74"/>
      <c r="Q33" s="97">
        <f>SUM(Q21:Q31)</f>
        <v>0</v>
      </c>
      <c r="R33" s="348">
        <f>Q33+Q39-MAP!BD431-MAP!BD388</f>
        <v>0</v>
      </c>
      <c r="S33" s="920"/>
    </row>
    <row r="34" spans="2:19" x14ac:dyDescent="0.2">
      <c r="B34" s="41"/>
      <c r="C34" s="83"/>
      <c r="D34" s="34"/>
      <c r="F34" s="34"/>
      <c r="G34" s="38"/>
      <c r="H34" s="34"/>
      <c r="I34" s="34"/>
      <c r="J34" s="34"/>
      <c r="K34" s="34"/>
      <c r="L34" s="34"/>
      <c r="M34" s="34"/>
      <c r="P34" s="74"/>
    </row>
    <row r="35" spans="2:19" x14ac:dyDescent="0.2">
      <c r="B35" s="106" t="s">
        <v>317</v>
      </c>
      <c r="C35" s="83"/>
      <c r="D35" s="97" t="e">
        <f>D18+D33</f>
        <v>#VALUE!</v>
      </c>
      <c r="F35" s="97" t="e">
        <f>F18+F33</f>
        <v>#VALUE!</v>
      </c>
      <c r="G35" s="34"/>
      <c r="H35" s="34"/>
      <c r="I35" s="34"/>
      <c r="J35" s="34"/>
      <c r="K35" s="97">
        <f>K18+K33</f>
        <v>8905750</v>
      </c>
      <c r="L35" s="34"/>
      <c r="M35" s="97">
        <f>M18+M33</f>
        <v>9286388</v>
      </c>
      <c r="O35" s="97">
        <f>O18+O33</f>
        <v>0</v>
      </c>
      <c r="P35" s="74"/>
      <c r="Q35" s="97">
        <f>Q18+Q33</f>
        <v>0</v>
      </c>
    </row>
    <row r="36" spans="2:19" x14ac:dyDescent="0.2">
      <c r="B36" s="41"/>
      <c r="C36" s="83"/>
      <c r="D36" s="34"/>
      <c r="F36" s="34"/>
      <c r="G36" s="38"/>
      <c r="H36" s="38"/>
      <c r="I36" s="34"/>
      <c r="J36" s="34"/>
      <c r="K36" s="34"/>
      <c r="L36" s="34"/>
      <c r="M36" s="34"/>
      <c r="P36" s="74"/>
    </row>
    <row r="37" spans="2:19" x14ac:dyDescent="0.2">
      <c r="B37" s="41" t="s">
        <v>310</v>
      </c>
      <c r="C37" s="83">
        <v>4</v>
      </c>
      <c r="D37" s="34" t="e">
        <f>-SUMIFS(MAP!$T:$T,MAP!$C:$C,"SOCNE",MAP!$E:$E,SCNE!$B37)</f>
        <v>#VALUE!</v>
      </c>
      <c r="F37" s="34" t="e">
        <f>-SUMIFS(MAP!$N:$N,MAP!$C:$C,"SOCNE",MAP!$E:$E,SCNE!$B37)</f>
        <v>#VALUE!</v>
      </c>
      <c r="G37" s="348" t="e">
        <f>D37+('Note 4'!C17+'Note 4'!C26)</f>
        <v>#VALUE!</v>
      </c>
      <c r="H37" s="348" t="e">
        <f>F37+('Note 4'!E17+'Note 4'!E26)</f>
        <v>#VALUE!</v>
      </c>
      <c r="I37" s="34"/>
      <c r="J37" s="34"/>
      <c r="K37" s="342">
        <v>-375</v>
      </c>
      <c r="L37" s="34"/>
      <c r="M37" s="342">
        <v>-2392</v>
      </c>
      <c r="O37" s="34">
        <f>-SUMIFS(MAP!$U:$U,MAP!$C:$C,"SOCNE",MAP!$E:$E,SCNE!$B37)</f>
        <v>0</v>
      </c>
      <c r="P37" s="74"/>
      <c r="Q37" s="34">
        <f>-SUMIFS(MAP!$BD:$BD,MAP!$C:$C,"SOCNE",MAP!$E:$E,SCNE!$B37)</f>
        <v>0</v>
      </c>
    </row>
    <row r="38" spans="2:19" x14ac:dyDescent="0.2">
      <c r="B38" s="41"/>
      <c r="C38" s="83"/>
      <c r="D38" s="34"/>
      <c r="F38" s="34"/>
      <c r="G38" s="38"/>
      <c r="H38" s="38"/>
      <c r="I38" s="34"/>
      <c r="J38" s="34"/>
      <c r="K38" s="34"/>
      <c r="L38" s="34"/>
      <c r="M38" s="34"/>
      <c r="P38" s="74"/>
    </row>
    <row r="39" spans="2:19" x14ac:dyDescent="0.2">
      <c r="B39" s="41" t="s">
        <v>309</v>
      </c>
      <c r="C39" s="83">
        <v>3</v>
      </c>
      <c r="D39" s="34" t="e">
        <f>-SUMIFS(MAP!$T:$T,MAP!$C:$C,"SOCNE",MAP!$E:$E,SCNE!$B39)</f>
        <v>#VALUE!</v>
      </c>
      <c r="F39" s="34" t="e">
        <f>-SUMIFS(MAP!$N:$N,MAP!$C:$C,"SOCNE",MAP!$E:$E,SCNE!$B39)</f>
        <v>#VALUE!</v>
      </c>
      <c r="G39" s="348" t="e">
        <f>D39-(+'Note 3a'!D14+'Note 3a'!D16+'Note 3b &amp; 3c'!D15+'Note 3b &amp; 3c'!D16)</f>
        <v>#VALUE!</v>
      </c>
      <c r="H39" s="348" t="e">
        <f>F39-(+'Note 3a'!F14+'Note 3b &amp; 3c'!F15+'Note 3b &amp; 3c'!F16)</f>
        <v>#VALUE!</v>
      </c>
      <c r="I39" s="34"/>
      <c r="J39" s="34"/>
      <c r="K39" s="342">
        <v>10</v>
      </c>
      <c r="L39" s="34"/>
      <c r="M39" s="342">
        <v>14806</v>
      </c>
      <c r="O39" s="34">
        <f>SUMIFS(MAP!$U:$U,MAP!$C:$C,"SOCNE",MAP!$E:$E,SCNE!$B39)</f>
        <v>0</v>
      </c>
      <c r="P39" s="74"/>
      <c r="Q39" s="34">
        <f>-SUMIFS(MAP!$BD:$BD,MAP!$C:$C,"SOCNE",MAP!$E:$E,SCNE!$B39)</f>
        <v>0</v>
      </c>
    </row>
    <row r="40" spans="2:19" x14ac:dyDescent="0.2">
      <c r="B40" s="41"/>
      <c r="C40" s="83"/>
      <c r="D40" s="34"/>
      <c r="F40" s="34"/>
      <c r="G40" s="38"/>
      <c r="H40" s="38"/>
      <c r="I40" s="34"/>
      <c r="J40" s="34"/>
      <c r="K40" s="34"/>
      <c r="L40" s="34"/>
      <c r="M40" s="34"/>
      <c r="P40" s="74"/>
    </row>
    <row r="41" spans="2:19" ht="13.5" thickBot="1" x14ac:dyDescent="0.25">
      <c r="B41" s="106" t="s">
        <v>466</v>
      </c>
      <c r="C41" s="83"/>
      <c r="D41" s="53" t="e">
        <f>+D39+D37+D33+D18</f>
        <v>#VALUE!</v>
      </c>
      <c r="F41" s="53" t="e">
        <f>+F39+F37+F33+F18</f>
        <v>#VALUE!</v>
      </c>
      <c r="G41" s="348" t="e">
        <f>D41+D47+TE!D58</f>
        <v>#VALUE!</v>
      </c>
      <c r="H41" s="348" t="e">
        <f>F41+F47+F66+TE!I58-'CHECK 2'!F17</f>
        <v>#VALUE!</v>
      </c>
      <c r="I41" s="34"/>
      <c r="J41" s="34"/>
      <c r="K41" s="53">
        <f>+K39+K37+K33+K18</f>
        <v>8905385</v>
      </c>
      <c r="L41" s="34"/>
      <c r="M41" s="53">
        <f>+M39+M37+M33+M18</f>
        <v>9298802</v>
      </c>
      <c r="O41" s="53">
        <f>+O39+O37+O33+O18</f>
        <v>0</v>
      </c>
      <c r="P41" s="74"/>
      <c r="Q41" s="53">
        <f>+Q39+Q37+Q33+Q18</f>
        <v>0</v>
      </c>
    </row>
    <row r="42" spans="2:19" x14ac:dyDescent="0.2">
      <c r="B42" s="41"/>
      <c r="C42" s="83"/>
      <c r="D42" s="34"/>
      <c r="F42" s="34"/>
      <c r="G42" s="1088"/>
      <c r="H42" s="786"/>
      <c r="I42" s="34"/>
      <c r="J42" s="34"/>
      <c r="K42" s="34"/>
      <c r="M42" s="34"/>
      <c r="P42" s="74"/>
    </row>
    <row r="43" spans="2:19" x14ac:dyDescent="0.2">
      <c r="B43" s="931" t="s">
        <v>2328</v>
      </c>
      <c r="C43" s="83"/>
      <c r="D43" s="34" t="e">
        <f>-SUMIFS(MAP!$T:$T,MAP!$C:$C,"SOCNE",MAP!$E:$E,SCNE!$B43)</f>
        <v>#VALUE!</v>
      </c>
      <c r="F43" s="34" t="e">
        <f>-SUMIFS(MAP!$N:$N,MAP!$C:$C,"SOCNE",MAP!$E:$E,SCNE!$B43)</f>
        <v>#VALUE!</v>
      </c>
      <c r="G43" s="1088"/>
      <c r="H43" s="786"/>
      <c r="I43" s="34"/>
      <c r="J43" s="34"/>
      <c r="K43" s="34">
        <v>211</v>
      </c>
      <c r="M43" s="34">
        <v>1195</v>
      </c>
      <c r="P43" s="74"/>
    </row>
    <row r="44" spans="2:19" x14ac:dyDescent="0.2">
      <c r="B44" s="931"/>
      <c r="C44" s="83"/>
      <c r="D44" s="34"/>
      <c r="F44" s="34"/>
      <c r="G44" s="1088"/>
      <c r="H44" s="786"/>
      <c r="I44" s="34"/>
      <c r="J44" s="34"/>
      <c r="K44" s="34"/>
      <c r="M44" s="34"/>
      <c r="P44" s="74"/>
    </row>
    <row r="45" spans="2:19" x14ac:dyDescent="0.2">
      <c r="B45" s="931" t="s">
        <v>2329</v>
      </c>
      <c r="C45" s="83"/>
      <c r="D45" s="34" t="e">
        <f>-SUMIFS(MAP!$T:$T,MAP!$C:$C,"SOCNE",MAP!$E:$E,SCNE!$B45)</f>
        <v>#VALUE!</v>
      </c>
      <c r="F45" s="34" t="e">
        <f>-SUMIFS(MAP!$N:$N,MAP!$C:$C,"SOCNE",MAP!$E:$E,SCNE!$B45)</f>
        <v>#VALUE!</v>
      </c>
      <c r="G45" s="1088"/>
      <c r="H45" s="786"/>
      <c r="I45" s="34"/>
      <c r="J45" s="34"/>
      <c r="K45" s="34">
        <v>6318</v>
      </c>
      <c r="M45" s="34">
        <v>6316</v>
      </c>
      <c r="P45" s="74"/>
    </row>
    <row r="46" spans="2:19" x14ac:dyDescent="0.2">
      <c r="B46" s="931"/>
      <c r="C46" s="83"/>
      <c r="D46" s="34"/>
      <c r="F46" s="34"/>
      <c r="G46" s="1088"/>
      <c r="H46" s="786"/>
      <c r="I46" s="34"/>
      <c r="J46" s="34"/>
      <c r="K46" s="34"/>
      <c r="M46" s="34"/>
      <c r="P46" s="74"/>
    </row>
    <row r="47" spans="2:19" x14ac:dyDescent="0.2">
      <c r="B47" s="931" t="s">
        <v>2330</v>
      </c>
      <c r="C47" s="83"/>
      <c r="D47" s="45" t="e">
        <f>-SUMIFS(MAP!$T:$T,MAP!$C:$C,"SOCNE",MAP!$E:$E,SCNE!$B47)</f>
        <v>#VALUE!</v>
      </c>
      <c r="F47" s="45" t="e">
        <f>-SUMIFS(MAP!$N:$N,MAP!$C:$C,"SOCNE",MAP!$E:$E,SCNE!$B47)</f>
        <v>#VALUE!</v>
      </c>
      <c r="G47" s="1088"/>
      <c r="H47" s="786"/>
      <c r="I47" s="34"/>
      <c r="J47" s="34"/>
      <c r="K47" s="45">
        <f>SUM(K43:K46)</f>
        <v>6529</v>
      </c>
      <c r="M47" s="45">
        <f>SUM(M43:M46)</f>
        <v>7511</v>
      </c>
      <c r="P47" s="74"/>
    </row>
    <row r="48" spans="2:19" x14ac:dyDescent="0.2">
      <c r="B48" s="931"/>
      <c r="C48" s="83"/>
      <c r="D48" s="34"/>
      <c r="F48" s="34"/>
      <c r="G48" s="1088"/>
      <c r="H48" s="786"/>
      <c r="I48" s="34"/>
      <c r="J48" s="34"/>
      <c r="K48" s="34"/>
      <c r="M48" s="34"/>
      <c r="P48" s="74"/>
    </row>
    <row r="49" spans="2:19" ht="13.5" thickBot="1" x14ac:dyDescent="0.25">
      <c r="B49" s="937" t="s">
        <v>2331</v>
      </c>
      <c r="C49" s="83"/>
      <c r="D49" s="53" t="e">
        <f>+D41+D47</f>
        <v>#VALUE!</v>
      </c>
      <c r="F49" s="53" t="e">
        <f>+F41+F47</f>
        <v>#VALUE!</v>
      </c>
      <c r="G49" s="1088"/>
      <c r="H49" s="786"/>
      <c r="I49" s="34"/>
      <c r="J49" s="34"/>
      <c r="K49" s="53">
        <f>+K41+K47</f>
        <v>8911914</v>
      </c>
      <c r="M49" s="53">
        <f>+M41+M47</f>
        <v>9306313</v>
      </c>
      <c r="P49" s="74"/>
    </row>
    <row r="50" spans="2:19" x14ac:dyDescent="0.2">
      <c r="B50" s="41"/>
      <c r="C50" s="83"/>
      <c r="D50" s="34"/>
      <c r="F50" s="34"/>
      <c r="G50" s="1088"/>
      <c r="H50" s="786"/>
      <c r="I50" s="34"/>
      <c r="J50" s="34"/>
      <c r="K50" s="34"/>
      <c r="L50" s="34"/>
      <c r="M50" s="34"/>
      <c r="P50" s="74"/>
    </row>
    <row r="51" spans="2:19" hidden="1" outlineLevel="1" x14ac:dyDescent="0.2">
      <c r="B51" s="784" t="s">
        <v>1236</v>
      </c>
      <c r="C51" s="785"/>
      <c r="D51" s="347" t="e">
        <f>D41-D52</f>
        <v>#VALUE!</v>
      </c>
      <c r="E51" s="343"/>
      <c r="F51" s="347" t="e">
        <f>F41-F52</f>
        <v>#VALUE!</v>
      </c>
      <c r="G51" s="786"/>
      <c r="H51" s="786"/>
      <c r="I51" s="117"/>
      <c r="J51" s="117"/>
      <c r="K51" s="117"/>
      <c r="L51" s="117"/>
      <c r="M51" s="117"/>
      <c r="N51" s="89"/>
      <c r="O51" s="117"/>
      <c r="P51" s="343"/>
      <c r="Q51" s="117"/>
      <c r="R51" s="89"/>
      <c r="S51" s="89"/>
    </row>
    <row r="52" spans="2:19" hidden="1" outlineLevel="1" x14ac:dyDescent="0.2">
      <c r="B52" s="784" t="s">
        <v>1367</v>
      </c>
      <c r="C52" s="785"/>
      <c r="D52" s="34">
        <f>-SUMIFS(MAP!$T:$T,MAP!$C:$C,"SOCNE",MAP!$E:$E,SCNE!$B52)</f>
        <v>0</v>
      </c>
      <c r="E52" s="343"/>
      <c r="F52" s="34">
        <f>-SUMIFS(MAP!$N:$N,MAP!$C:$C,"SOCNE",MAP!$E:$E,SCNE!$B52)</f>
        <v>0</v>
      </c>
      <c r="G52" s="786"/>
      <c r="H52" s="786"/>
      <c r="I52" s="117"/>
      <c r="J52" s="117"/>
      <c r="K52" s="117"/>
      <c r="L52" s="117"/>
      <c r="M52" s="117"/>
      <c r="N52" s="89"/>
      <c r="O52" s="117"/>
      <c r="P52" s="343"/>
      <c r="Q52" s="117"/>
      <c r="R52" s="89"/>
      <c r="S52" s="89"/>
    </row>
    <row r="53" spans="2:19" collapsed="1" x14ac:dyDescent="0.2">
      <c r="B53" s="784"/>
      <c r="C53" s="785"/>
      <c r="D53" s="117"/>
      <c r="E53" s="343"/>
      <c r="F53" s="117"/>
      <c r="G53" s="786"/>
      <c r="H53" s="786"/>
      <c r="I53" s="117"/>
      <c r="J53" s="117"/>
      <c r="K53" s="117"/>
      <c r="L53" s="117"/>
      <c r="M53" s="117"/>
      <c r="N53" s="89"/>
      <c r="O53" s="117"/>
      <c r="P53" s="343"/>
      <c r="Q53" s="117"/>
      <c r="R53" s="89"/>
      <c r="S53" s="89"/>
    </row>
    <row r="54" spans="2:19" x14ac:dyDescent="0.2">
      <c r="B54" s="106" t="s">
        <v>467</v>
      </c>
      <c r="C54" s="83"/>
      <c r="D54" s="34"/>
      <c r="F54" s="34"/>
      <c r="G54" s="38"/>
      <c r="H54" s="38"/>
      <c r="I54" s="34"/>
      <c r="J54" s="34"/>
      <c r="K54" s="34"/>
      <c r="L54" s="34"/>
      <c r="M54" s="34"/>
      <c r="P54" s="74"/>
    </row>
    <row r="55" spans="2:19" x14ac:dyDescent="0.2">
      <c r="B55" s="41"/>
      <c r="C55" s="83"/>
      <c r="D55" s="34"/>
      <c r="F55" s="34"/>
      <c r="G55" s="38"/>
      <c r="H55" s="38"/>
      <c r="I55" s="34"/>
      <c r="J55" s="34"/>
      <c r="K55" s="34"/>
      <c r="L55" s="34"/>
      <c r="M55" s="34"/>
      <c r="P55" s="74"/>
    </row>
    <row r="56" spans="2:19" ht="25.5" x14ac:dyDescent="0.2">
      <c r="B56" s="784" t="s">
        <v>1692</v>
      </c>
      <c r="C56" s="83"/>
      <c r="D56" s="34"/>
      <c r="F56" s="34"/>
      <c r="G56" s="38"/>
      <c r="H56" s="38"/>
      <c r="I56" s="34"/>
      <c r="J56" s="34"/>
      <c r="K56" s="34"/>
      <c r="L56" s="34"/>
      <c r="M56" s="34"/>
      <c r="P56" s="74"/>
    </row>
    <row r="57" spans="2:19" x14ac:dyDescent="0.2">
      <c r="B57" s="41"/>
      <c r="C57" s="83"/>
      <c r="D57" s="34"/>
      <c r="F57" s="34"/>
      <c r="G57" s="38"/>
      <c r="H57" s="38"/>
      <c r="I57" s="34"/>
      <c r="J57" s="34"/>
      <c r="K57" s="34"/>
      <c r="L57" s="34"/>
      <c r="M57" s="34"/>
      <c r="P57" s="74"/>
    </row>
    <row r="58" spans="2:19" ht="25.5" x14ac:dyDescent="0.2">
      <c r="B58" s="41" t="s">
        <v>311</v>
      </c>
      <c r="C58" s="83">
        <v>5</v>
      </c>
      <c r="D58" s="34" t="e">
        <f>-SUMIFS(MAP!$T:$T,MAP!$C:$C,"SOCNE",MAP!$E:$E,SCNE!$B58)</f>
        <v>#VALUE!</v>
      </c>
      <c r="F58" s="34" t="e">
        <f>-SUMIFS(MAP!$N:$N,MAP!$C:$C,"SOCNE",MAP!$E:$E,SCNE!$B58)</f>
        <v>#VALUE!</v>
      </c>
      <c r="G58" s="348" t="e">
        <f>+D58-'Note 5 (C&amp;A)'!K18+'Note 5 (C&amp;A)'!K21+'Note 5 (C&amp;A)'!K22-'Note 5 (C&amp;A)'!K33-'Note 5 (C&amp;A)'!K36-'Note 5 (C&amp;A)'!K37</f>
        <v>#VALUE!</v>
      </c>
      <c r="H58" s="348" t="e">
        <f>F58+('Note 5'!K18+'Note 5'!K21+'Note 5'!K22)-('Note 5'!K33+'Note 5'!K36+'Note 5'!K37)</f>
        <v>#VALUE!</v>
      </c>
      <c r="I58" s="34" t="e">
        <f>'CHECK 2'!F95</f>
        <v>#VALUE!</v>
      </c>
      <c r="J58" s="34"/>
      <c r="K58" s="342">
        <v>-3378</v>
      </c>
      <c r="L58" s="34"/>
      <c r="M58" s="342">
        <v>-164105</v>
      </c>
      <c r="O58" s="34">
        <f>-SUMIFS(MAP!$U:$U,MAP!$C:$C,"SOCNE",MAP!$E:$E,SCNE!$B58)</f>
        <v>0</v>
      </c>
      <c r="P58" s="74"/>
      <c r="Q58" s="34">
        <f>-SUMIFS(MAP!$BD:$BD,MAP!$C:$C,"SOCNE",MAP!$E:$E,SCNE!$B58)</f>
        <v>0</v>
      </c>
    </row>
    <row r="59" spans="2:19" x14ac:dyDescent="0.2">
      <c r="B59" s="41"/>
      <c r="C59" s="83"/>
      <c r="D59" s="34"/>
      <c r="F59" s="34"/>
      <c r="G59" s="38"/>
      <c r="H59" s="38"/>
      <c r="I59" s="34"/>
      <c r="J59" s="34"/>
      <c r="K59" s="34"/>
      <c r="L59" s="34"/>
      <c r="M59" s="34"/>
      <c r="P59" s="74"/>
    </row>
    <row r="60" spans="2:19" x14ac:dyDescent="0.2">
      <c r="B60" s="41" t="s">
        <v>312</v>
      </c>
      <c r="C60" s="83"/>
      <c r="D60" s="34" t="e">
        <f>-SUMIFS(MAP!$T:$T,MAP!$C:$C,"SOCNE",MAP!$E:$E,SCNE!$B60)</f>
        <v>#VALUE!</v>
      </c>
      <c r="F60" s="34" t="e">
        <f>-SUMIFS(MAP!$N:$N,MAP!$C:$C,"SOCNE",MAP!$E:$E,SCNE!$B60)</f>
        <v>#VALUE!</v>
      </c>
      <c r="G60" s="348" t="e">
        <f>+D60-'Note 6 (C&amp;A)'!K21+'Note 6 (C&amp;A)'!K20+'Note 6 (C&amp;A)'!K23-'Note 6 (C&amp;A)'!K34-'Note 6 (C&amp;A)'!K35-'Note 6 (C&amp;A)'!K36-'Note 6 (C&amp;A)'!K38</f>
        <v>#VALUE!</v>
      </c>
      <c r="H60" s="348" t="e">
        <f>F60-(-'Note 6'!K20-'Note 6'!K23+'Note 6'!K38+'Note 6'!K34+'Note 6'!K35-'Note 6'!K21+'Note 6'!K36+MAP!N1152)</f>
        <v>#VALUE!</v>
      </c>
      <c r="I60" s="34"/>
      <c r="J60" s="34"/>
      <c r="K60" s="342">
        <v>-2</v>
      </c>
      <c r="L60" s="34"/>
      <c r="M60" s="342">
        <v>-2998</v>
      </c>
      <c r="O60" s="34">
        <f>-SUMIFS(MAP!$U:$U,MAP!$C:$C,"SOCNE",MAP!$E:$E,SCNE!$B60)</f>
        <v>0</v>
      </c>
      <c r="P60" s="74"/>
      <c r="Q60" s="34">
        <f>-SUMIFS(MAP!$BD:$BD,MAP!$C:$C,"SOCNE",MAP!$E:$E,SCNE!$B60)</f>
        <v>0</v>
      </c>
    </row>
    <row r="61" spans="2:19" x14ac:dyDescent="0.2">
      <c r="B61" s="41" t="s">
        <v>358</v>
      </c>
      <c r="C61" s="83"/>
      <c r="D61" s="34" t="e">
        <f>-SUMIFS(MAP!$T:$T,MAP!$C:$C,"SOCNE",MAP!$E:$E,SCNE!$B61)</f>
        <v>#VALUE!</v>
      </c>
      <c r="F61" s="34" t="e">
        <f>-SUMIFS(MAP!$N:$N,MAP!$C:$C,"SOCNE",MAP!$E:$E,SCNE!$B61)</f>
        <v>#VALUE!</v>
      </c>
      <c r="G61" s="348" t="e">
        <f>+D61+'Notes 8 &amp; 9'!C31+'Notes 8 &amp; 9'!C32</f>
        <v>#VALUE!</v>
      </c>
      <c r="H61" s="348" t="e">
        <f>+F61+'Notes 8 &amp; 9'!I31+'Notes 8 &amp; 9'!I32</f>
        <v>#VALUE!</v>
      </c>
      <c r="I61" s="34"/>
      <c r="J61" s="34"/>
      <c r="K61" s="342">
        <v>0</v>
      </c>
      <c r="L61" s="34"/>
      <c r="M61" s="342">
        <v>-289</v>
      </c>
      <c r="O61" s="34">
        <f>-SUMIFS(MAP!$U:$U,MAP!$C:$C,"SOCNE",MAP!$E:$E,SCNE!$B61)</f>
        <v>0</v>
      </c>
      <c r="P61" s="74"/>
      <c r="Q61" s="34">
        <f>-SUMIFS(MAP!$BD:$BD,MAP!$C:$C,"SOCNE",MAP!$E:$E,SCNE!$B61)</f>
        <v>0</v>
      </c>
    </row>
    <row r="62" spans="2:19" x14ac:dyDescent="0.2">
      <c r="B62" s="41"/>
      <c r="C62" s="83"/>
      <c r="D62" s="34"/>
      <c r="F62" s="34"/>
      <c r="G62" s="38"/>
      <c r="H62" s="38"/>
      <c r="I62" s="34"/>
      <c r="J62" s="34"/>
      <c r="K62" s="34"/>
      <c r="L62" s="34"/>
      <c r="M62" s="34"/>
      <c r="P62" s="74"/>
    </row>
    <row r="63" spans="2:19" ht="25.5" x14ac:dyDescent="0.2">
      <c r="B63" s="784" t="s">
        <v>1693</v>
      </c>
      <c r="C63" s="83"/>
      <c r="D63" s="34"/>
      <c r="F63" s="34"/>
      <c r="G63" s="38"/>
      <c r="H63" s="38"/>
      <c r="I63" s="34"/>
      <c r="J63" s="34"/>
      <c r="K63" s="34"/>
      <c r="L63" s="34"/>
      <c r="M63" s="34"/>
      <c r="P63" s="74"/>
    </row>
    <row r="64" spans="2:19" x14ac:dyDescent="0.2">
      <c r="B64" s="41"/>
      <c r="C64" s="83"/>
      <c r="D64" s="34"/>
      <c r="F64" s="34"/>
      <c r="G64" s="38"/>
      <c r="H64" s="38"/>
      <c r="I64" s="34"/>
      <c r="J64" s="34"/>
      <c r="K64" s="34"/>
      <c r="L64" s="34"/>
      <c r="M64" s="34"/>
      <c r="P64" s="74"/>
    </row>
    <row r="65" spans="2:17" x14ac:dyDescent="0.2">
      <c r="B65" s="41" t="s">
        <v>313</v>
      </c>
      <c r="C65" s="83"/>
      <c r="D65" s="34" t="e">
        <f>-SUMIFS(MAP!$T:$T,MAP!$C:$C,"SOCNE",MAP!$E:$E,SCNE!$B65)</f>
        <v>#VALUE!</v>
      </c>
      <c r="F65" s="34" t="e">
        <f>-SUMIFS(MAP!$N:$N,MAP!$C:$C,"SOCNE",MAP!$E:$E,SCNE!$B65)</f>
        <v>#VALUE!</v>
      </c>
      <c r="G65" s="348" t="e">
        <f>+D65+'Notes 8 &amp; 9'!F31+'Notes 8 &amp; 9'!F32+'Notes 8 &amp; 9'!E31+'Notes 8 &amp; 9'!E32</f>
        <v>#VALUE!</v>
      </c>
      <c r="H65" s="348" t="e">
        <f>+F65+'Notes 8 &amp; 9'!K31+'Notes 8 &amp; 9'!K32+'Notes 8 &amp; 9'!J31+'Notes 8 &amp; 9'!J32</f>
        <v>#VALUE!</v>
      </c>
      <c r="I65" s="34"/>
      <c r="J65" s="34"/>
      <c r="K65" s="342">
        <v>-2</v>
      </c>
      <c r="L65" s="34"/>
      <c r="M65" s="342">
        <v>-2</v>
      </c>
      <c r="O65" s="34">
        <f>-SUMIFS(MAP!$U:$U,MAP!$C:$C,"SOCNE",MAP!$E:$E,SCNE!$B65)</f>
        <v>0</v>
      </c>
      <c r="P65" s="74"/>
      <c r="Q65" s="34">
        <f>-SUMIFS(MAP!$BD:$BD,MAP!$C:$C,"SOCNE",MAP!$E:$E,SCNE!$B65)</f>
        <v>0</v>
      </c>
    </row>
    <row r="66" spans="2:17" x14ac:dyDescent="0.2">
      <c r="B66" s="41" t="s">
        <v>2048</v>
      </c>
      <c r="C66" s="83"/>
      <c r="D66" s="34" t="e">
        <f>-SUMIFS(MAP!$T:$T,MAP!$C:$C,"SOCNE",MAP!$E:$E,SCNE!$B66)</f>
        <v>#VALUE!</v>
      </c>
      <c r="F66" s="34" t="e">
        <f>-SUMIFS(MAP!$N:$N,MAP!$C:$C,"SOCNE",MAP!$E:$E,SCNE!$B66)</f>
        <v>#VALUE!</v>
      </c>
      <c r="G66" s="38"/>
      <c r="H66" s="348">
        <v>0</v>
      </c>
      <c r="I66" s="34"/>
      <c r="J66" s="34"/>
      <c r="K66" s="342">
        <v>0</v>
      </c>
      <c r="L66" s="34"/>
      <c r="M66" s="342">
        <v>-15738</v>
      </c>
      <c r="O66" s="34">
        <f>-SUMIFS(MAP!$U:$U,MAP!$C:$C,"SOCNE",MAP!$E:$E,SCNE!$B66)</f>
        <v>0</v>
      </c>
      <c r="P66" s="74"/>
      <c r="Q66" s="34">
        <f>-SUMIFS(MAP!$BD:$BD,MAP!$C:$C,"SOCNE",MAP!$E:$E,SCNE!$B66)</f>
        <v>0</v>
      </c>
    </row>
    <row r="67" spans="2:17" x14ac:dyDescent="0.2">
      <c r="B67" s="41" t="s">
        <v>751</v>
      </c>
      <c r="C67" s="83"/>
      <c r="D67" s="34" t="e">
        <f>-SUMIFS(MAP!$T:$T,MAP!$C:$C,"SOCNE",MAP!$E:$E,SCNE!$B67)</f>
        <v>#VALUE!</v>
      </c>
      <c r="F67" s="34" t="e">
        <f>-SUMIFS(MAP!$N:$N,MAP!$C:$C,"SOCNE",MAP!$E:$E,SCNE!$B67)</f>
        <v>#VALUE!</v>
      </c>
      <c r="G67" s="38"/>
      <c r="H67" s="38"/>
      <c r="I67" s="34"/>
      <c r="J67" s="34"/>
      <c r="K67" s="342">
        <v>0</v>
      </c>
      <c r="L67" s="34"/>
      <c r="M67" s="342">
        <v>0</v>
      </c>
      <c r="O67" s="34">
        <f>-SUMIFS(MAP!$U:$U,MAP!$C:$C,"SOCNE",MAP!$E:$E,SCNE!$B67)</f>
        <v>0</v>
      </c>
      <c r="P67" s="74"/>
      <c r="Q67" s="34">
        <f>-SUMIFS(MAP!$BD:$BD,MAP!$C:$C,"SOCNE",MAP!$E:$E,SCNE!$B67)</f>
        <v>0</v>
      </c>
    </row>
    <row r="68" spans="2:17" ht="13.5" thickBot="1" x14ac:dyDescent="0.25">
      <c r="B68" s="106" t="s">
        <v>1694</v>
      </c>
      <c r="C68" s="106"/>
      <c r="D68" s="53" t="e">
        <f>SUM(D55:D67)+D49</f>
        <v>#VALUE!</v>
      </c>
      <c r="E68" s="106"/>
      <c r="F68" s="53" t="e">
        <f>SUM(F55:F67)+F49</f>
        <v>#VALUE!</v>
      </c>
      <c r="G68" s="38"/>
      <c r="H68" s="38"/>
      <c r="I68" s="37"/>
      <c r="J68" s="37"/>
      <c r="K68" s="53">
        <f>SUM(K55:K67)+K49</f>
        <v>8908532</v>
      </c>
      <c r="L68" s="37"/>
      <c r="M68" s="53">
        <f>SUM(M55:M67)+M49</f>
        <v>9123181</v>
      </c>
      <c r="O68" s="118">
        <f>SUM(O55:O67)+O41</f>
        <v>0</v>
      </c>
      <c r="P68" s="106"/>
      <c r="Q68" s="118">
        <f>SUM(Q55:Q67)+Q41</f>
        <v>0</v>
      </c>
    </row>
    <row r="69" spans="2:17" x14ac:dyDescent="0.2">
      <c r="D69" s="34"/>
      <c r="F69" s="34"/>
      <c r="G69" s="38"/>
      <c r="H69" s="38"/>
      <c r="I69" s="34"/>
      <c r="J69" s="34"/>
      <c r="K69" s="34"/>
      <c r="L69" s="34"/>
      <c r="M69" s="34"/>
      <c r="P69" s="74"/>
    </row>
    <row r="70" spans="2:17" outlineLevel="1" x14ac:dyDescent="0.2">
      <c r="B70" s="34" t="s">
        <v>1012</v>
      </c>
      <c r="C70" s="52"/>
      <c r="D70" s="808"/>
      <c r="E70" s="52"/>
      <c r="F70" s="808"/>
      <c r="G70" s="38"/>
      <c r="H70" s="38"/>
      <c r="I70" s="46"/>
      <c r="J70" s="46"/>
      <c r="K70" s="34"/>
      <c r="L70" s="34"/>
      <c r="M70" s="34"/>
      <c r="P70" s="74"/>
    </row>
    <row r="71" spans="2:17" outlineLevel="1" x14ac:dyDescent="0.2">
      <c r="D71" s="34"/>
      <c r="F71" s="34"/>
      <c r="G71" s="38"/>
      <c r="H71" s="38"/>
      <c r="I71" s="34"/>
      <c r="J71" s="34"/>
      <c r="K71" s="34"/>
      <c r="L71" s="34"/>
      <c r="M71" s="34"/>
      <c r="P71" s="74"/>
    </row>
    <row r="72" spans="2:17" outlineLevel="1" x14ac:dyDescent="0.2">
      <c r="B72" s="34" t="s">
        <v>1389</v>
      </c>
      <c r="D72" s="246" t="e">
        <f>D49+SCF!D11</f>
        <v>#VALUE!</v>
      </c>
      <c r="F72" s="246" t="e">
        <f>F49+SCF!F11</f>
        <v>#VALUE!</v>
      </c>
      <c r="G72" s="38"/>
      <c r="H72" s="38"/>
      <c r="I72" s="46"/>
      <c r="J72" s="46"/>
      <c r="K72" s="34"/>
      <c r="L72" s="34"/>
      <c r="M72" s="34"/>
      <c r="O72" s="246">
        <f>O41+SCF!Q11</f>
        <v>0</v>
      </c>
      <c r="P72" s="74"/>
      <c r="Q72" s="246">
        <f>Q41+SCF!S11</f>
        <v>0</v>
      </c>
    </row>
    <row r="73" spans="2:17" outlineLevel="1" x14ac:dyDescent="0.2">
      <c r="B73" s="89" t="s">
        <v>1348</v>
      </c>
      <c r="D73" s="246" t="e">
        <f>D68+MAP!T39</f>
        <v>#VALUE!</v>
      </c>
      <c r="F73" s="246" t="e">
        <f>F68+MAP!N39</f>
        <v>#VALUE!</v>
      </c>
      <c r="G73" s="38"/>
      <c r="H73" s="34"/>
      <c r="I73" s="34"/>
      <c r="J73" s="34"/>
      <c r="K73" s="34"/>
      <c r="L73" s="34"/>
      <c r="M73" s="34"/>
      <c r="O73" s="246">
        <f>O68+MAP!U39</f>
        <v>0</v>
      </c>
      <c r="P73" s="74"/>
      <c r="Q73" s="246">
        <f>Q68+MAP!BD39</f>
        <v>0</v>
      </c>
    </row>
    <row r="74" spans="2:17" outlineLevel="1" x14ac:dyDescent="0.2">
      <c r="F74" s="38"/>
      <c r="G74" s="38"/>
      <c r="H74" s="34"/>
      <c r="I74" s="34"/>
      <c r="J74" s="34"/>
      <c r="K74" s="34"/>
      <c r="L74" s="34"/>
      <c r="M74" s="34"/>
      <c r="O74" s="74"/>
      <c r="P74" s="74"/>
    </row>
    <row r="75" spans="2:17" outlineLevel="1" x14ac:dyDescent="0.2">
      <c r="F75" s="34"/>
      <c r="G75" s="38"/>
      <c r="H75" s="34"/>
      <c r="I75" s="34"/>
      <c r="J75" s="34"/>
      <c r="K75" s="34"/>
      <c r="L75" s="34"/>
      <c r="M75" s="34"/>
      <c r="O75" s="74"/>
      <c r="P75" s="74"/>
    </row>
    <row r="76" spans="2:17" x14ac:dyDescent="0.2">
      <c r="F76" s="1331" t="e">
        <f>IF(+F41='SoAS 2'!D20,"OK","ERROR")</f>
        <v>#VALUE!</v>
      </c>
      <c r="G76" s="38"/>
      <c r="H76" s="34"/>
      <c r="I76" s="34"/>
      <c r="J76" s="34"/>
      <c r="K76" s="34"/>
      <c r="L76" s="34"/>
      <c r="M76" s="34"/>
      <c r="O76" s="74"/>
      <c r="P76" s="74"/>
    </row>
    <row r="77" spans="2:17" x14ac:dyDescent="0.2">
      <c r="G77" s="38"/>
    </row>
    <row r="78" spans="2:17" x14ac:dyDescent="0.2">
      <c r="F78" s="1331" t="e">
        <f>IF(+F49=-SCF!F11,"OK","ERROR")</f>
        <v>#VALUE!</v>
      </c>
      <c r="G78" s="38"/>
    </row>
    <row r="79" spans="2:17" x14ac:dyDescent="0.2">
      <c r="G79" s="38"/>
    </row>
    <row r="80" spans="2:17" x14ac:dyDescent="0.2">
      <c r="G80" s="38"/>
    </row>
    <row r="81" spans="7:7" x14ac:dyDescent="0.2">
      <c r="G81" s="38"/>
    </row>
    <row r="82" spans="7:7" x14ac:dyDescent="0.2">
      <c r="G82" s="38"/>
    </row>
    <row r="83" spans="7:7" x14ac:dyDescent="0.2">
      <c r="G83" s="38"/>
    </row>
    <row r="84" spans="7:7" x14ac:dyDescent="0.2">
      <c r="G84" s="38"/>
    </row>
    <row r="85" spans="7:7" x14ac:dyDescent="0.2">
      <c r="G85" s="38"/>
    </row>
    <row r="86" spans="7:7" x14ac:dyDescent="0.2">
      <c r="G86" s="38"/>
    </row>
    <row r="87" spans="7:7" x14ac:dyDescent="0.2">
      <c r="G87" s="38"/>
    </row>
    <row r="88" spans="7:7" x14ac:dyDescent="0.2">
      <c r="G88" s="38"/>
    </row>
    <row r="89" spans="7:7" x14ac:dyDescent="0.2">
      <c r="G89" s="38"/>
    </row>
    <row r="90" spans="7:7" x14ac:dyDescent="0.2">
      <c r="G90" s="38"/>
    </row>
    <row r="91" spans="7:7" x14ac:dyDescent="0.2">
      <c r="G91" s="38"/>
    </row>
    <row r="92" spans="7:7" x14ac:dyDescent="0.2">
      <c r="G92" s="38"/>
    </row>
    <row r="93" spans="7:7" x14ac:dyDescent="0.2">
      <c r="G93" s="38"/>
    </row>
    <row r="94" spans="7:7" x14ac:dyDescent="0.2">
      <c r="G94" s="38"/>
    </row>
    <row r="95" spans="7:7" x14ac:dyDescent="0.2">
      <c r="G95" s="38"/>
    </row>
    <row r="96" spans="7:7" x14ac:dyDescent="0.2">
      <c r="G96" s="38"/>
    </row>
  </sheetData>
  <mergeCells count="1">
    <mergeCell ref="B7:M7"/>
  </mergeCells>
  <pageMargins left="0.35433070866141736" right="0.47244094488188981" top="0.19685039370078741" bottom="0.19685039370078741" header="0.31496062992125984" footer="0.31496062992125984"/>
  <pageSetup paperSize="9" scale="65"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B0F0"/>
    <pageSetUpPr fitToPage="1"/>
  </sheetPr>
  <dimension ref="B1:X91"/>
  <sheetViews>
    <sheetView zoomScale="90" zoomScaleNormal="90" workbookViewId="0">
      <pane xSplit="2" ySplit="11" topLeftCell="C12"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3" style="34" customWidth="1"/>
    <col min="2" max="2" width="43" style="34" customWidth="1"/>
    <col min="3" max="3" width="9.140625" style="74"/>
    <col min="4" max="4" width="3.5703125" style="74" customWidth="1"/>
    <col min="5" max="5" width="14.7109375" style="74" customWidth="1"/>
    <col min="6" max="6" width="5.28515625" style="74" bestFit="1" customWidth="1"/>
    <col min="7" max="7" width="21.28515625" style="74" bestFit="1" customWidth="1"/>
    <col min="8" max="8" width="11.7109375" style="74" bestFit="1" customWidth="1" outlineLevel="1"/>
    <col min="9" max="9" width="13.140625" style="74" customWidth="1" outlineLevel="1"/>
    <col min="10" max="10" width="3.42578125" style="74" customWidth="1"/>
    <col min="11" max="11" width="15.85546875" style="74" bestFit="1" customWidth="1" outlineLevel="1"/>
    <col min="12" max="12" width="1.5703125" style="74" customWidth="1" outlineLevel="1"/>
    <col min="13" max="13" width="15.85546875" style="74" bestFit="1" customWidth="1" outlineLevel="1"/>
    <col min="14" max="15" width="6" style="74" customWidth="1" outlineLevel="1"/>
    <col min="16" max="16" width="14.5703125" style="74" hidden="1" customWidth="1" outlineLevel="1"/>
    <col min="17" max="17" width="3.42578125" style="74" hidden="1" customWidth="1" outlineLevel="1"/>
    <col min="18" max="18" width="15.28515625" style="74" hidden="1" customWidth="1" outlineLevel="1"/>
    <col min="19" max="19" width="9.28515625" style="34" hidden="1" customWidth="1"/>
    <col min="20" max="20" width="16.28515625" style="34" hidden="1" customWidth="1" outlineLevel="1"/>
    <col min="21" max="21" width="1.7109375" style="34" hidden="1" customWidth="1" outlineLevel="1"/>
    <col min="22" max="22" width="16.28515625" style="34" hidden="1" customWidth="1" outlineLevel="1"/>
    <col min="23" max="23" width="9.7109375" style="34" hidden="1" customWidth="1" outlineLevel="1"/>
    <col min="24" max="24" width="10.85546875" style="34" hidden="1" customWidth="1" collapsed="1"/>
    <col min="25" max="25" width="19" style="34" bestFit="1" customWidth="1"/>
    <col min="26" max="26" width="9.7109375" style="34" bestFit="1" customWidth="1"/>
    <col min="27" max="239" width="9.140625" style="34"/>
    <col min="240" max="240" width="3" style="34" customWidth="1"/>
    <col min="241" max="241" width="53.28515625" style="34" customWidth="1"/>
    <col min="242" max="242" width="9.140625" style="34"/>
    <col min="243" max="243" width="14.28515625" style="34" customWidth="1"/>
    <col min="244" max="244" width="14.5703125" style="34" bestFit="1" customWidth="1"/>
    <col min="245" max="245" width="4.7109375" style="34" customWidth="1"/>
    <col min="246" max="247" width="15.5703125" style="34" bestFit="1" customWidth="1"/>
    <col min="248" max="248" width="5.42578125" style="34" customWidth="1"/>
    <col min="249" max="250" width="0" style="34" hidden="1" customWidth="1"/>
    <col min="251" max="252" width="9.140625" style="34"/>
    <col min="253" max="253" width="0" style="34" hidden="1" customWidth="1"/>
    <col min="254" max="495" width="9.140625" style="34"/>
    <col min="496" max="496" width="3" style="34" customWidth="1"/>
    <col min="497" max="497" width="53.28515625" style="34" customWidth="1"/>
    <col min="498" max="498" width="9.140625" style="34"/>
    <col min="499" max="499" width="14.28515625" style="34" customWidth="1"/>
    <col min="500" max="500" width="14.5703125" style="34" bestFit="1" customWidth="1"/>
    <col min="501" max="501" width="4.7109375" style="34" customWidth="1"/>
    <col min="502" max="503" width="15.5703125" style="34" bestFit="1" customWidth="1"/>
    <col min="504" max="504" width="5.42578125" style="34" customWidth="1"/>
    <col min="505" max="506" width="0" style="34" hidden="1" customWidth="1"/>
    <col min="507" max="508" width="9.140625" style="34"/>
    <col min="509" max="509" width="0" style="34" hidden="1" customWidth="1"/>
    <col min="510" max="751" width="9.140625" style="34"/>
    <col min="752" max="752" width="3" style="34" customWidth="1"/>
    <col min="753" max="753" width="53.28515625" style="34" customWidth="1"/>
    <col min="754" max="754" width="9.140625" style="34"/>
    <col min="755" max="755" width="14.28515625" style="34" customWidth="1"/>
    <col min="756" max="756" width="14.5703125" style="34" bestFit="1" customWidth="1"/>
    <col min="757" max="757" width="4.7109375" style="34" customWidth="1"/>
    <col min="758" max="759" width="15.5703125" style="34" bestFit="1" customWidth="1"/>
    <col min="760" max="760" width="5.42578125" style="34" customWidth="1"/>
    <col min="761" max="762" width="0" style="34" hidden="1" customWidth="1"/>
    <col min="763" max="764" width="9.140625" style="34"/>
    <col min="765" max="765" width="0" style="34" hidden="1" customWidth="1"/>
    <col min="766" max="1007" width="9.140625" style="34"/>
    <col min="1008" max="1008" width="3" style="34" customWidth="1"/>
    <col min="1009" max="1009" width="53.28515625" style="34" customWidth="1"/>
    <col min="1010" max="1010" width="9.140625" style="34"/>
    <col min="1011" max="1011" width="14.28515625" style="34" customWidth="1"/>
    <col min="1012" max="1012" width="14.5703125" style="34" bestFit="1" customWidth="1"/>
    <col min="1013" max="1013" width="4.7109375" style="34" customWidth="1"/>
    <col min="1014" max="1015" width="15.5703125" style="34" bestFit="1" customWidth="1"/>
    <col min="1016" max="1016" width="5.42578125" style="34" customWidth="1"/>
    <col min="1017" max="1018" width="0" style="34" hidden="1" customWidth="1"/>
    <col min="1019" max="1020" width="9.140625" style="34"/>
    <col min="1021" max="1021" width="0" style="34" hidden="1" customWidth="1"/>
    <col min="1022" max="1263" width="9.140625" style="34"/>
    <col min="1264" max="1264" width="3" style="34" customWidth="1"/>
    <col min="1265" max="1265" width="53.28515625" style="34" customWidth="1"/>
    <col min="1266" max="1266" width="9.140625" style="34"/>
    <col min="1267" max="1267" width="14.28515625" style="34" customWidth="1"/>
    <col min="1268" max="1268" width="14.5703125" style="34" bestFit="1" customWidth="1"/>
    <col min="1269" max="1269" width="4.7109375" style="34" customWidth="1"/>
    <col min="1270" max="1271" width="15.5703125" style="34" bestFit="1" customWidth="1"/>
    <col min="1272" max="1272" width="5.42578125" style="34" customWidth="1"/>
    <col min="1273" max="1274" width="0" style="34" hidden="1" customWidth="1"/>
    <col min="1275" max="1276" width="9.140625" style="34"/>
    <col min="1277" max="1277" width="0" style="34" hidden="1" customWidth="1"/>
    <col min="1278" max="1519" width="9.140625" style="34"/>
    <col min="1520" max="1520" width="3" style="34" customWidth="1"/>
    <col min="1521" max="1521" width="53.28515625" style="34" customWidth="1"/>
    <col min="1522" max="1522" width="9.140625" style="34"/>
    <col min="1523" max="1523" width="14.28515625" style="34" customWidth="1"/>
    <col min="1524" max="1524" width="14.5703125" style="34" bestFit="1" customWidth="1"/>
    <col min="1525" max="1525" width="4.7109375" style="34" customWidth="1"/>
    <col min="1526" max="1527" width="15.5703125" style="34" bestFit="1" customWidth="1"/>
    <col min="1528" max="1528" width="5.42578125" style="34" customWidth="1"/>
    <col min="1529" max="1530" width="0" style="34" hidden="1" customWidth="1"/>
    <col min="1531" max="1532" width="9.140625" style="34"/>
    <col min="1533" max="1533" width="0" style="34" hidden="1" customWidth="1"/>
    <col min="1534" max="1775" width="9.140625" style="34"/>
    <col min="1776" max="1776" width="3" style="34" customWidth="1"/>
    <col min="1777" max="1777" width="53.28515625" style="34" customWidth="1"/>
    <col min="1778" max="1778" width="9.140625" style="34"/>
    <col min="1779" max="1779" width="14.28515625" style="34" customWidth="1"/>
    <col min="1780" max="1780" width="14.5703125" style="34" bestFit="1" customWidth="1"/>
    <col min="1781" max="1781" width="4.7109375" style="34" customWidth="1"/>
    <col min="1782" max="1783" width="15.5703125" style="34" bestFit="1" customWidth="1"/>
    <col min="1784" max="1784" width="5.42578125" style="34" customWidth="1"/>
    <col min="1785" max="1786" width="0" style="34" hidden="1" customWidth="1"/>
    <col min="1787" max="1788" width="9.140625" style="34"/>
    <col min="1789" max="1789" width="0" style="34" hidden="1" customWidth="1"/>
    <col min="1790" max="2031" width="9.140625" style="34"/>
    <col min="2032" max="2032" width="3" style="34" customWidth="1"/>
    <col min="2033" max="2033" width="53.28515625" style="34" customWidth="1"/>
    <col min="2034" max="2034" width="9.140625" style="34"/>
    <col min="2035" max="2035" width="14.28515625" style="34" customWidth="1"/>
    <col min="2036" max="2036" width="14.5703125" style="34" bestFit="1" customWidth="1"/>
    <col min="2037" max="2037" width="4.7109375" style="34" customWidth="1"/>
    <col min="2038" max="2039" width="15.5703125" style="34" bestFit="1" customWidth="1"/>
    <col min="2040" max="2040" width="5.42578125" style="34" customWidth="1"/>
    <col min="2041" max="2042" width="0" style="34" hidden="1" customWidth="1"/>
    <col min="2043" max="2044" width="9.140625" style="34"/>
    <col min="2045" max="2045" width="0" style="34" hidden="1" customWidth="1"/>
    <col min="2046" max="2287" width="9.140625" style="34"/>
    <col min="2288" max="2288" width="3" style="34" customWidth="1"/>
    <col min="2289" max="2289" width="53.28515625" style="34" customWidth="1"/>
    <col min="2290" max="2290" width="9.140625" style="34"/>
    <col min="2291" max="2291" width="14.28515625" style="34" customWidth="1"/>
    <col min="2292" max="2292" width="14.5703125" style="34" bestFit="1" customWidth="1"/>
    <col min="2293" max="2293" width="4.7109375" style="34" customWidth="1"/>
    <col min="2294" max="2295" width="15.5703125" style="34" bestFit="1" customWidth="1"/>
    <col min="2296" max="2296" width="5.42578125" style="34" customWidth="1"/>
    <col min="2297" max="2298" width="0" style="34" hidden="1" customWidth="1"/>
    <col min="2299" max="2300" width="9.140625" style="34"/>
    <col min="2301" max="2301" width="0" style="34" hidden="1" customWidth="1"/>
    <col min="2302" max="2543" width="9.140625" style="34"/>
    <col min="2544" max="2544" width="3" style="34" customWidth="1"/>
    <col min="2545" max="2545" width="53.28515625" style="34" customWidth="1"/>
    <col min="2546" max="2546" width="9.140625" style="34"/>
    <col min="2547" max="2547" width="14.28515625" style="34" customWidth="1"/>
    <col min="2548" max="2548" width="14.5703125" style="34" bestFit="1" customWidth="1"/>
    <col min="2549" max="2549" width="4.7109375" style="34" customWidth="1"/>
    <col min="2550" max="2551" width="15.5703125" style="34" bestFit="1" customWidth="1"/>
    <col min="2552" max="2552" width="5.42578125" style="34" customWidth="1"/>
    <col min="2553" max="2554" width="0" style="34" hidden="1" customWidth="1"/>
    <col min="2555" max="2556" width="9.140625" style="34"/>
    <col min="2557" max="2557" width="0" style="34" hidden="1" customWidth="1"/>
    <col min="2558" max="2799" width="9.140625" style="34"/>
    <col min="2800" max="2800" width="3" style="34" customWidth="1"/>
    <col min="2801" max="2801" width="53.28515625" style="34" customWidth="1"/>
    <col min="2802" max="2802" width="9.140625" style="34"/>
    <col min="2803" max="2803" width="14.28515625" style="34" customWidth="1"/>
    <col min="2804" max="2804" width="14.5703125" style="34" bestFit="1" customWidth="1"/>
    <col min="2805" max="2805" width="4.7109375" style="34" customWidth="1"/>
    <col min="2806" max="2807" width="15.5703125" style="34" bestFit="1" customWidth="1"/>
    <col min="2808" max="2808" width="5.42578125" style="34" customWidth="1"/>
    <col min="2809" max="2810" width="0" style="34" hidden="1" customWidth="1"/>
    <col min="2811" max="2812" width="9.140625" style="34"/>
    <col min="2813" max="2813" width="0" style="34" hidden="1" customWidth="1"/>
    <col min="2814" max="3055" width="9.140625" style="34"/>
    <col min="3056" max="3056" width="3" style="34" customWidth="1"/>
    <col min="3057" max="3057" width="53.28515625" style="34" customWidth="1"/>
    <col min="3058" max="3058" width="9.140625" style="34"/>
    <col min="3059" max="3059" width="14.28515625" style="34" customWidth="1"/>
    <col min="3060" max="3060" width="14.5703125" style="34" bestFit="1" customWidth="1"/>
    <col min="3061" max="3061" width="4.7109375" style="34" customWidth="1"/>
    <col min="3062" max="3063" width="15.5703125" style="34" bestFit="1" customWidth="1"/>
    <col min="3064" max="3064" width="5.42578125" style="34" customWidth="1"/>
    <col min="3065" max="3066" width="0" style="34" hidden="1" customWidth="1"/>
    <col min="3067" max="3068" width="9.140625" style="34"/>
    <col min="3069" max="3069" width="0" style="34" hidden="1" customWidth="1"/>
    <col min="3070" max="3311" width="9.140625" style="34"/>
    <col min="3312" max="3312" width="3" style="34" customWidth="1"/>
    <col min="3313" max="3313" width="53.28515625" style="34" customWidth="1"/>
    <col min="3314" max="3314" width="9.140625" style="34"/>
    <col min="3315" max="3315" width="14.28515625" style="34" customWidth="1"/>
    <col min="3316" max="3316" width="14.5703125" style="34" bestFit="1" customWidth="1"/>
    <col min="3317" max="3317" width="4.7109375" style="34" customWidth="1"/>
    <col min="3318" max="3319" width="15.5703125" style="34" bestFit="1" customWidth="1"/>
    <col min="3320" max="3320" width="5.42578125" style="34" customWidth="1"/>
    <col min="3321" max="3322" width="0" style="34" hidden="1" customWidth="1"/>
    <col min="3323" max="3324" width="9.140625" style="34"/>
    <col min="3325" max="3325" width="0" style="34" hidden="1" customWidth="1"/>
    <col min="3326" max="3567" width="9.140625" style="34"/>
    <col min="3568" max="3568" width="3" style="34" customWidth="1"/>
    <col min="3569" max="3569" width="53.28515625" style="34" customWidth="1"/>
    <col min="3570" max="3570" width="9.140625" style="34"/>
    <col min="3571" max="3571" width="14.28515625" style="34" customWidth="1"/>
    <col min="3572" max="3572" width="14.5703125" style="34" bestFit="1" customWidth="1"/>
    <col min="3573" max="3573" width="4.7109375" style="34" customWidth="1"/>
    <col min="3574" max="3575" width="15.5703125" style="34" bestFit="1" customWidth="1"/>
    <col min="3576" max="3576" width="5.42578125" style="34" customWidth="1"/>
    <col min="3577" max="3578" width="0" style="34" hidden="1" customWidth="1"/>
    <col min="3579" max="3580" width="9.140625" style="34"/>
    <col min="3581" max="3581" width="0" style="34" hidden="1" customWidth="1"/>
    <col min="3582" max="3823" width="9.140625" style="34"/>
    <col min="3824" max="3824" width="3" style="34" customWidth="1"/>
    <col min="3825" max="3825" width="53.28515625" style="34" customWidth="1"/>
    <col min="3826" max="3826" width="9.140625" style="34"/>
    <col min="3827" max="3827" width="14.28515625" style="34" customWidth="1"/>
    <col min="3828" max="3828" width="14.5703125" style="34" bestFit="1" customWidth="1"/>
    <col min="3829" max="3829" width="4.7109375" style="34" customWidth="1"/>
    <col min="3830" max="3831" width="15.5703125" style="34" bestFit="1" customWidth="1"/>
    <col min="3832" max="3832" width="5.42578125" style="34" customWidth="1"/>
    <col min="3833" max="3834" width="0" style="34" hidden="1" customWidth="1"/>
    <col min="3835" max="3836" width="9.140625" style="34"/>
    <col min="3837" max="3837" width="0" style="34" hidden="1" customWidth="1"/>
    <col min="3838" max="4079" width="9.140625" style="34"/>
    <col min="4080" max="4080" width="3" style="34" customWidth="1"/>
    <col min="4081" max="4081" width="53.28515625" style="34" customWidth="1"/>
    <col min="4082" max="4082" width="9.140625" style="34"/>
    <col min="4083" max="4083" width="14.28515625" style="34" customWidth="1"/>
    <col min="4084" max="4084" width="14.5703125" style="34" bestFit="1" customWidth="1"/>
    <col min="4085" max="4085" width="4.7109375" style="34" customWidth="1"/>
    <col min="4086" max="4087" width="15.5703125" style="34" bestFit="1" customWidth="1"/>
    <col min="4088" max="4088" width="5.42578125" style="34" customWidth="1"/>
    <col min="4089" max="4090" width="0" style="34" hidden="1" customWidth="1"/>
    <col min="4091" max="4092" width="9.140625" style="34"/>
    <col min="4093" max="4093" width="0" style="34" hidden="1" customWidth="1"/>
    <col min="4094" max="4335" width="9.140625" style="34"/>
    <col min="4336" max="4336" width="3" style="34" customWidth="1"/>
    <col min="4337" max="4337" width="53.28515625" style="34" customWidth="1"/>
    <col min="4338" max="4338" width="9.140625" style="34"/>
    <col min="4339" max="4339" width="14.28515625" style="34" customWidth="1"/>
    <col min="4340" max="4340" width="14.5703125" style="34" bestFit="1" customWidth="1"/>
    <col min="4341" max="4341" width="4.7109375" style="34" customWidth="1"/>
    <col min="4342" max="4343" width="15.5703125" style="34" bestFit="1" customWidth="1"/>
    <col min="4344" max="4344" width="5.42578125" style="34" customWidth="1"/>
    <col min="4345" max="4346" width="0" style="34" hidden="1" customWidth="1"/>
    <col min="4347" max="4348" width="9.140625" style="34"/>
    <col min="4349" max="4349" width="0" style="34" hidden="1" customWidth="1"/>
    <col min="4350" max="4591" width="9.140625" style="34"/>
    <col min="4592" max="4592" width="3" style="34" customWidth="1"/>
    <col min="4593" max="4593" width="53.28515625" style="34" customWidth="1"/>
    <col min="4594" max="4594" width="9.140625" style="34"/>
    <col min="4595" max="4595" width="14.28515625" style="34" customWidth="1"/>
    <col min="4596" max="4596" width="14.5703125" style="34" bestFit="1" customWidth="1"/>
    <col min="4597" max="4597" width="4.7109375" style="34" customWidth="1"/>
    <col min="4598" max="4599" width="15.5703125" style="34" bestFit="1" customWidth="1"/>
    <col min="4600" max="4600" width="5.42578125" style="34" customWidth="1"/>
    <col min="4601" max="4602" width="0" style="34" hidden="1" customWidth="1"/>
    <col min="4603" max="4604" width="9.140625" style="34"/>
    <col min="4605" max="4605" width="0" style="34" hidden="1" customWidth="1"/>
    <col min="4606" max="4847" width="9.140625" style="34"/>
    <col min="4848" max="4848" width="3" style="34" customWidth="1"/>
    <col min="4849" max="4849" width="53.28515625" style="34" customWidth="1"/>
    <col min="4850" max="4850" width="9.140625" style="34"/>
    <col min="4851" max="4851" width="14.28515625" style="34" customWidth="1"/>
    <col min="4852" max="4852" width="14.5703125" style="34" bestFit="1" customWidth="1"/>
    <col min="4853" max="4853" width="4.7109375" style="34" customWidth="1"/>
    <col min="4854" max="4855" width="15.5703125" style="34" bestFit="1" customWidth="1"/>
    <col min="4856" max="4856" width="5.42578125" style="34" customWidth="1"/>
    <col min="4857" max="4858" width="0" style="34" hidden="1" customWidth="1"/>
    <col min="4859" max="4860" width="9.140625" style="34"/>
    <col min="4861" max="4861" width="0" style="34" hidden="1" customWidth="1"/>
    <col min="4862" max="5103" width="9.140625" style="34"/>
    <col min="5104" max="5104" width="3" style="34" customWidth="1"/>
    <col min="5105" max="5105" width="53.28515625" style="34" customWidth="1"/>
    <col min="5106" max="5106" width="9.140625" style="34"/>
    <col min="5107" max="5107" width="14.28515625" style="34" customWidth="1"/>
    <col min="5108" max="5108" width="14.5703125" style="34" bestFit="1" customWidth="1"/>
    <col min="5109" max="5109" width="4.7109375" style="34" customWidth="1"/>
    <col min="5110" max="5111" width="15.5703125" style="34" bestFit="1" customWidth="1"/>
    <col min="5112" max="5112" width="5.42578125" style="34" customWidth="1"/>
    <col min="5113" max="5114" width="0" style="34" hidden="1" customWidth="1"/>
    <col min="5115" max="5116" width="9.140625" style="34"/>
    <col min="5117" max="5117" width="0" style="34" hidden="1" customWidth="1"/>
    <col min="5118" max="5359" width="9.140625" style="34"/>
    <col min="5360" max="5360" width="3" style="34" customWidth="1"/>
    <col min="5361" max="5361" width="53.28515625" style="34" customWidth="1"/>
    <col min="5362" max="5362" width="9.140625" style="34"/>
    <col min="5363" max="5363" width="14.28515625" style="34" customWidth="1"/>
    <col min="5364" max="5364" width="14.5703125" style="34" bestFit="1" customWidth="1"/>
    <col min="5365" max="5365" width="4.7109375" style="34" customWidth="1"/>
    <col min="5366" max="5367" width="15.5703125" style="34" bestFit="1" customWidth="1"/>
    <col min="5368" max="5368" width="5.42578125" style="34" customWidth="1"/>
    <col min="5369" max="5370" width="0" style="34" hidden="1" customWidth="1"/>
    <col min="5371" max="5372" width="9.140625" style="34"/>
    <col min="5373" max="5373" width="0" style="34" hidden="1" customWidth="1"/>
    <col min="5374" max="5615" width="9.140625" style="34"/>
    <col min="5616" max="5616" width="3" style="34" customWidth="1"/>
    <col min="5617" max="5617" width="53.28515625" style="34" customWidth="1"/>
    <col min="5618" max="5618" width="9.140625" style="34"/>
    <col min="5619" max="5619" width="14.28515625" style="34" customWidth="1"/>
    <col min="5620" max="5620" width="14.5703125" style="34" bestFit="1" customWidth="1"/>
    <col min="5621" max="5621" width="4.7109375" style="34" customWidth="1"/>
    <col min="5622" max="5623" width="15.5703125" style="34" bestFit="1" customWidth="1"/>
    <col min="5624" max="5624" width="5.42578125" style="34" customWidth="1"/>
    <col min="5625" max="5626" width="0" style="34" hidden="1" customWidth="1"/>
    <col min="5627" max="5628" width="9.140625" style="34"/>
    <col min="5629" max="5629" width="0" style="34" hidden="1" customWidth="1"/>
    <col min="5630" max="5871" width="9.140625" style="34"/>
    <col min="5872" max="5872" width="3" style="34" customWidth="1"/>
    <col min="5873" max="5873" width="53.28515625" style="34" customWidth="1"/>
    <col min="5874" max="5874" width="9.140625" style="34"/>
    <col min="5875" max="5875" width="14.28515625" style="34" customWidth="1"/>
    <col min="5876" max="5876" width="14.5703125" style="34" bestFit="1" customWidth="1"/>
    <col min="5877" max="5877" width="4.7109375" style="34" customWidth="1"/>
    <col min="5878" max="5879" width="15.5703125" style="34" bestFit="1" customWidth="1"/>
    <col min="5880" max="5880" width="5.42578125" style="34" customWidth="1"/>
    <col min="5881" max="5882" width="0" style="34" hidden="1" customWidth="1"/>
    <col min="5883" max="5884" width="9.140625" style="34"/>
    <col min="5885" max="5885" width="0" style="34" hidden="1" customWidth="1"/>
    <col min="5886" max="6127" width="9.140625" style="34"/>
    <col min="6128" max="6128" width="3" style="34" customWidth="1"/>
    <col min="6129" max="6129" width="53.28515625" style="34" customWidth="1"/>
    <col min="6130" max="6130" width="9.140625" style="34"/>
    <col min="6131" max="6131" width="14.28515625" style="34" customWidth="1"/>
    <col min="6132" max="6132" width="14.5703125" style="34" bestFit="1" customWidth="1"/>
    <col min="6133" max="6133" width="4.7109375" style="34" customWidth="1"/>
    <col min="6134" max="6135" width="15.5703125" style="34" bestFit="1" customWidth="1"/>
    <col min="6136" max="6136" width="5.42578125" style="34" customWidth="1"/>
    <col min="6137" max="6138" width="0" style="34" hidden="1" customWidth="1"/>
    <col min="6139" max="6140" width="9.140625" style="34"/>
    <col min="6141" max="6141" width="0" style="34" hidden="1" customWidth="1"/>
    <col min="6142" max="6383" width="9.140625" style="34"/>
    <col min="6384" max="6384" width="3" style="34" customWidth="1"/>
    <col min="6385" max="6385" width="53.28515625" style="34" customWidth="1"/>
    <col min="6386" max="6386" width="9.140625" style="34"/>
    <col min="6387" max="6387" width="14.28515625" style="34" customWidth="1"/>
    <col min="6388" max="6388" width="14.5703125" style="34" bestFit="1" customWidth="1"/>
    <col min="6389" max="6389" width="4.7109375" style="34" customWidth="1"/>
    <col min="6390" max="6391" width="15.5703125" style="34" bestFit="1" customWidth="1"/>
    <col min="6392" max="6392" width="5.42578125" style="34" customWidth="1"/>
    <col min="6393" max="6394" width="0" style="34" hidden="1" customWidth="1"/>
    <col min="6395" max="6396" width="9.140625" style="34"/>
    <col min="6397" max="6397" width="0" style="34" hidden="1" customWidth="1"/>
    <col min="6398" max="6639" width="9.140625" style="34"/>
    <col min="6640" max="6640" width="3" style="34" customWidth="1"/>
    <col min="6641" max="6641" width="53.28515625" style="34" customWidth="1"/>
    <col min="6642" max="6642" width="9.140625" style="34"/>
    <col min="6643" max="6643" width="14.28515625" style="34" customWidth="1"/>
    <col min="6644" max="6644" width="14.5703125" style="34" bestFit="1" customWidth="1"/>
    <col min="6645" max="6645" width="4.7109375" style="34" customWidth="1"/>
    <col min="6646" max="6647" width="15.5703125" style="34" bestFit="1" customWidth="1"/>
    <col min="6648" max="6648" width="5.42578125" style="34" customWidth="1"/>
    <col min="6649" max="6650" width="0" style="34" hidden="1" customWidth="1"/>
    <col min="6651" max="6652" width="9.140625" style="34"/>
    <col min="6653" max="6653" width="0" style="34" hidden="1" customWidth="1"/>
    <col min="6654" max="6895" width="9.140625" style="34"/>
    <col min="6896" max="6896" width="3" style="34" customWidth="1"/>
    <col min="6897" max="6897" width="53.28515625" style="34" customWidth="1"/>
    <col min="6898" max="6898" width="9.140625" style="34"/>
    <col min="6899" max="6899" width="14.28515625" style="34" customWidth="1"/>
    <col min="6900" max="6900" width="14.5703125" style="34" bestFit="1" customWidth="1"/>
    <col min="6901" max="6901" width="4.7109375" style="34" customWidth="1"/>
    <col min="6902" max="6903" width="15.5703125" style="34" bestFit="1" customWidth="1"/>
    <col min="6904" max="6904" width="5.42578125" style="34" customWidth="1"/>
    <col min="6905" max="6906" width="0" style="34" hidden="1" customWidth="1"/>
    <col min="6907" max="6908" width="9.140625" style="34"/>
    <col min="6909" max="6909" width="0" style="34" hidden="1" customWidth="1"/>
    <col min="6910" max="7151" width="9.140625" style="34"/>
    <col min="7152" max="7152" width="3" style="34" customWidth="1"/>
    <col min="7153" max="7153" width="53.28515625" style="34" customWidth="1"/>
    <col min="7154" max="7154" width="9.140625" style="34"/>
    <col min="7155" max="7155" width="14.28515625" style="34" customWidth="1"/>
    <col min="7156" max="7156" width="14.5703125" style="34" bestFit="1" customWidth="1"/>
    <col min="7157" max="7157" width="4.7109375" style="34" customWidth="1"/>
    <col min="7158" max="7159" width="15.5703125" style="34" bestFit="1" customWidth="1"/>
    <col min="7160" max="7160" width="5.42578125" style="34" customWidth="1"/>
    <col min="7161" max="7162" width="0" style="34" hidden="1" customWidth="1"/>
    <col min="7163" max="7164" width="9.140625" style="34"/>
    <col min="7165" max="7165" width="0" style="34" hidden="1" customWidth="1"/>
    <col min="7166" max="7407" width="9.140625" style="34"/>
    <col min="7408" max="7408" width="3" style="34" customWidth="1"/>
    <col min="7409" max="7409" width="53.28515625" style="34" customWidth="1"/>
    <col min="7410" max="7410" width="9.140625" style="34"/>
    <col min="7411" max="7411" width="14.28515625" style="34" customWidth="1"/>
    <col min="7412" max="7412" width="14.5703125" style="34" bestFit="1" customWidth="1"/>
    <col min="7413" max="7413" width="4.7109375" style="34" customWidth="1"/>
    <col min="7414" max="7415" width="15.5703125" style="34" bestFit="1" customWidth="1"/>
    <col min="7416" max="7416" width="5.42578125" style="34" customWidth="1"/>
    <col min="7417" max="7418" width="0" style="34" hidden="1" customWidth="1"/>
    <col min="7419" max="7420" width="9.140625" style="34"/>
    <col min="7421" max="7421" width="0" style="34" hidden="1" customWidth="1"/>
    <col min="7422" max="7663" width="9.140625" style="34"/>
    <col min="7664" max="7664" width="3" style="34" customWidth="1"/>
    <col min="7665" max="7665" width="53.28515625" style="34" customWidth="1"/>
    <col min="7666" max="7666" width="9.140625" style="34"/>
    <col min="7667" max="7667" width="14.28515625" style="34" customWidth="1"/>
    <col min="7668" max="7668" width="14.5703125" style="34" bestFit="1" customWidth="1"/>
    <col min="7669" max="7669" width="4.7109375" style="34" customWidth="1"/>
    <col min="7670" max="7671" width="15.5703125" style="34" bestFit="1" customWidth="1"/>
    <col min="7672" max="7672" width="5.42578125" style="34" customWidth="1"/>
    <col min="7673" max="7674" width="0" style="34" hidden="1" customWidth="1"/>
    <col min="7675" max="7676" width="9.140625" style="34"/>
    <col min="7677" max="7677" width="0" style="34" hidden="1" customWidth="1"/>
    <col min="7678" max="7919" width="9.140625" style="34"/>
    <col min="7920" max="7920" width="3" style="34" customWidth="1"/>
    <col min="7921" max="7921" width="53.28515625" style="34" customWidth="1"/>
    <col min="7922" max="7922" width="9.140625" style="34"/>
    <col min="7923" max="7923" width="14.28515625" style="34" customWidth="1"/>
    <col min="7924" max="7924" width="14.5703125" style="34" bestFit="1" customWidth="1"/>
    <col min="7925" max="7925" width="4.7109375" style="34" customWidth="1"/>
    <col min="7926" max="7927" width="15.5703125" style="34" bestFit="1" customWidth="1"/>
    <col min="7928" max="7928" width="5.42578125" style="34" customWidth="1"/>
    <col min="7929" max="7930" width="0" style="34" hidden="1" customWidth="1"/>
    <col min="7931" max="7932" width="9.140625" style="34"/>
    <col min="7933" max="7933" width="0" style="34" hidden="1" customWidth="1"/>
    <col min="7934" max="8175" width="9.140625" style="34"/>
    <col min="8176" max="8176" width="3" style="34" customWidth="1"/>
    <col min="8177" max="8177" width="53.28515625" style="34" customWidth="1"/>
    <col min="8178" max="8178" width="9.140625" style="34"/>
    <col min="8179" max="8179" width="14.28515625" style="34" customWidth="1"/>
    <col min="8180" max="8180" width="14.5703125" style="34" bestFit="1" customWidth="1"/>
    <col min="8181" max="8181" width="4.7109375" style="34" customWidth="1"/>
    <col min="8182" max="8183" width="15.5703125" style="34" bestFit="1" customWidth="1"/>
    <col min="8184" max="8184" width="5.42578125" style="34" customWidth="1"/>
    <col min="8185" max="8186" width="0" style="34" hidden="1" customWidth="1"/>
    <col min="8187" max="8188" width="9.140625" style="34"/>
    <col min="8189" max="8189" width="0" style="34" hidden="1" customWidth="1"/>
    <col min="8190" max="8431" width="9.140625" style="34"/>
    <col min="8432" max="8432" width="3" style="34" customWidth="1"/>
    <col min="8433" max="8433" width="53.28515625" style="34" customWidth="1"/>
    <col min="8434" max="8434" width="9.140625" style="34"/>
    <col min="8435" max="8435" width="14.28515625" style="34" customWidth="1"/>
    <col min="8436" max="8436" width="14.5703125" style="34" bestFit="1" customWidth="1"/>
    <col min="8437" max="8437" width="4.7109375" style="34" customWidth="1"/>
    <col min="8438" max="8439" width="15.5703125" style="34" bestFit="1" customWidth="1"/>
    <col min="8440" max="8440" width="5.42578125" style="34" customWidth="1"/>
    <col min="8441" max="8442" width="0" style="34" hidden="1" customWidth="1"/>
    <col min="8443" max="8444" width="9.140625" style="34"/>
    <col min="8445" max="8445" width="0" style="34" hidden="1" customWidth="1"/>
    <col min="8446" max="8687" width="9.140625" style="34"/>
    <col min="8688" max="8688" width="3" style="34" customWidth="1"/>
    <col min="8689" max="8689" width="53.28515625" style="34" customWidth="1"/>
    <col min="8690" max="8690" width="9.140625" style="34"/>
    <col min="8691" max="8691" width="14.28515625" style="34" customWidth="1"/>
    <col min="8692" max="8692" width="14.5703125" style="34" bestFit="1" customWidth="1"/>
    <col min="8693" max="8693" width="4.7109375" style="34" customWidth="1"/>
    <col min="8694" max="8695" width="15.5703125" style="34" bestFit="1" customWidth="1"/>
    <col min="8696" max="8696" width="5.42578125" style="34" customWidth="1"/>
    <col min="8697" max="8698" width="0" style="34" hidden="1" customWidth="1"/>
    <col min="8699" max="8700" width="9.140625" style="34"/>
    <col min="8701" max="8701" width="0" style="34" hidden="1" customWidth="1"/>
    <col min="8702" max="8943" width="9.140625" style="34"/>
    <col min="8944" max="8944" width="3" style="34" customWidth="1"/>
    <col min="8945" max="8945" width="53.28515625" style="34" customWidth="1"/>
    <col min="8946" max="8946" width="9.140625" style="34"/>
    <col min="8947" max="8947" width="14.28515625" style="34" customWidth="1"/>
    <col min="8948" max="8948" width="14.5703125" style="34" bestFit="1" customWidth="1"/>
    <col min="8949" max="8949" width="4.7109375" style="34" customWidth="1"/>
    <col min="8950" max="8951" width="15.5703125" style="34" bestFit="1" customWidth="1"/>
    <col min="8952" max="8952" width="5.42578125" style="34" customWidth="1"/>
    <col min="8953" max="8954" width="0" style="34" hidden="1" customWidth="1"/>
    <col min="8955" max="8956" width="9.140625" style="34"/>
    <col min="8957" max="8957" width="0" style="34" hidden="1" customWidth="1"/>
    <col min="8958" max="9199" width="9.140625" style="34"/>
    <col min="9200" max="9200" width="3" style="34" customWidth="1"/>
    <col min="9201" max="9201" width="53.28515625" style="34" customWidth="1"/>
    <col min="9202" max="9202" width="9.140625" style="34"/>
    <col min="9203" max="9203" width="14.28515625" style="34" customWidth="1"/>
    <col min="9204" max="9204" width="14.5703125" style="34" bestFit="1" customWidth="1"/>
    <col min="9205" max="9205" width="4.7109375" style="34" customWidth="1"/>
    <col min="9206" max="9207" width="15.5703125" style="34" bestFit="1" customWidth="1"/>
    <col min="9208" max="9208" width="5.42578125" style="34" customWidth="1"/>
    <col min="9209" max="9210" width="0" style="34" hidden="1" customWidth="1"/>
    <col min="9211" max="9212" width="9.140625" style="34"/>
    <col min="9213" max="9213" width="0" style="34" hidden="1" customWidth="1"/>
    <col min="9214" max="9455" width="9.140625" style="34"/>
    <col min="9456" max="9456" width="3" style="34" customWidth="1"/>
    <col min="9457" max="9457" width="53.28515625" style="34" customWidth="1"/>
    <col min="9458" max="9458" width="9.140625" style="34"/>
    <col min="9459" max="9459" width="14.28515625" style="34" customWidth="1"/>
    <col min="9460" max="9460" width="14.5703125" style="34" bestFit="1" customWidth="1"/>
    <col min="9461" max="9461" width="4.7109375" style="34" customWidth="1"/>
    <col min="9462" max="9463" width="15.5703125" style="34" bestFit="1" customWidth="1"/>
    <col min="9464" max="9464" width="5.42578125" style="34" customWidth="1"/>
    <col min="9465" max="9466" width="0" style="34" hidden="1" customWidth="1"/>
    <col min="9467" max="9468" width="9.140625" style="34"/>
    <col min="9469" max="9469" width="0" style="34" hidden="1" customWidth="1"/>
    <col min="9470" max="9711" width="9.140625" style="34"/>
    <col min="9712" max="9712" width="3" style="34" customWidth="1"/>
    <col min="9713" max="9713" width="53.28515625" style="34" customWidth="1"/>
    <col min="9714" max="9714" width="9.140625" style="34"/>
    <col min="9715" max="9715" width="14.28515625" style="34" customWidth="1"/>
    <col min="9716" max="9716" width="14.5703125" style="34" bestFit="1" customWidth="1"/>
    <col min="9717" max="9717" width="4.7109375" style="34" customWidth="1"/>
    <col min="9718" max="9719" width="15.5703125" style="34" bestFit="1" customWidth="1"/>
    <col min="9720" max="9720" width="5.42578125" style="34" customWidth="1"/>
    <col min="9721" max="9722" width="0" style="34" hidden="1" customWidth="1"/>
    <col min="9723" max="9724" width="9.140625" style="34"/>
    <col min="9725" max="9725" width="0" style="34" hidden="1" customWidth="1"/>
    <col min="9726" max="9967" width="9.140625" style="34"/>
    <col min="9968" max="9968" width="3" style="34" customWidth="1"/>
    <col min="9969" max="9969" width="53.28515625" style="34" customWidth="1"/>
    <col min="9970" max="9970" width="9.140625" style="34"/>
    <col min="9971" max="9971" width="14.28515625" style="34" customWidth="1"/>
    <col min="9972" max="9972" width="14.5703125" style="34" bestFit="1" customWidth="1"/>
    <col min="9973" max="9973" width="4.7109375" style="34" customWidth="1"/>
    <col min="9974" max="9975" width="15.5703125" style="34" bestFit="1" customWidth="1"/>
    <col min="9976" max="9976" width="5.42578125" style="34" customWidth="1"/>
    <col min="9977" max="9978" width="0" style="34" hidden="1" customWidth="1"/>
    <col min="9979" max="9980" width="9.140625" style="34"/>
    <col min="9981" max="9981" width="0" style="34" hidden="1" customWidth="1"/>
    <col min="9982" max="10223" width="9.140625" style="34"/>
    <col min="10224" max="10224" width="3" style="34" customWidth="1"/>
    <col min="10225" max="10225" width="53.28515625" style="34" customWidth="1"/>
    <col min="10226" max="10226" width="9.140625" style="34"/>
    <col min="10227" max="10227" width="14.28515625" style="34" customWidth="1"/>
    <col min="10228" max="10228" width="14.5703125" style="34" bestFit="1" customWidth="1"/>
    <col min="10229" max="10229" width="4.7109375" style="34" customWidth="1"/>
    <col min="10230" max="10231" width="15.5703125" style="34" bestFit="1" customWidth="1"/>
    <col min="10232" max="10232" width="5.42578125" style="34" customWidth="1"/>
    <col min="10233" max="10234" width="0" style="34" hidden="1" customWidth="1"/>
    <col min="10235" max="10236" width="9.140625" style="34"/>
    <col min="10237" max="10237" width="0" style="34" hidden="1" customWidth="1"/>
    <col min="10238" max="10479" width="9.140625" style="34"/>
    <col min="10480" max="10480" width="3" style="34" customWidth="1"/>
    <col min="10481" max="10481" width="53.28515625" style="34" customWidth="1"/>
    <col min="10482" max="10482" width="9.140625" style="34"/>
    <col min="10483" max="10483" width="14.28515625" style="34" customWidth="1"/>
    <col min="10484" max="10484" width="14.5703125" style="34" bestFit="1" customWidth="1"/>
    <col min="10485" max="10485" width="4.7109375" style="34" customWidth="1"/>
    <col min="10486" max="10487" width="15.5703125" style="34" bestFit="1" customWidth="1"/>
    <col min="10488" max="10488" width="5.42578125" style="34" customWidth="1"/>
    <col min="10489" max="10490" width="0" style="34" hidden="1" customWidth="1"/>
    <col min="10491" max="10492" width="9.140625" style="34"/>
    <col min="10493" max="10493" width="0" style="34" hidden="1" customWidth="1"/>
    <col min="10494" max="10735" width="9.140625" style="34"/>
    <col min="10736" max="10736" width="3" style="34" customWidth="1"/>
    <col min="10737" max="10737" width="53.28515625" style="34" customWidth="1"/>
    <col min="10738" max="10738" width="9.140625" style="34"/>
    <col min="10739" max="10739" width="14.28515625" style="34" customWidth="1"/>
    <col min="10740" max="10740" width="14.5703125" style="34" bestFit="1" customWidth="1"/>
    <col min="10741" max="10741" width="4.7109375" style="34" customWidth="1"/>
    <col min="10742" max="10743" width="15.5703125" style="34" bestFit="1" customWidth="1"/>
    <col min="10744" max="10744" width="5.42578125" style="34" customWidth="1"/>
    <col min="10745" max="10746" width="0" style="34" hidden="1" customWidth="1"/>
    <col min="10747" max="10748" width="9.140625" style="34"/>
    <col min="10749" max="10749" width="0" style="34" hidden="1" customWidth="1"/>
    <col min="10750" max="10991" width="9.140625" style="34"/>
    <col min="10992" max="10992" width="3" style="34" customWidth="1"/>
    <col min="10993" max="10993" width="53.28515625" style="34" customWidth="1"/>
    <col min="10994" max="10994" width="9.140625" style="34"/>
    <col min="10995" max="10995" width="14.28515625" style="34" customWidth="1"/>
    <col min="10996" max="10996" width="14.5703125" style="34" bestFit="1" customWidth="1"/>
    <col min="10997" max="10997" width="4.7109375" style="34" customWidth="1"/>
    <col min="10998" max="10999" width="15.5703125" style="34" bestFit="1" customWidth="1"/>
    <col min="11000" max="11000" width="5.42578125" style="34" customWidth="1"/>
    <col min="11001" max="11002" width="0" style="34" hidden="1" customWidth="1"/>
    <col min="11003" max="11004" width="9.140625" style="34"/>
    <col min="11005" max="11005" width="0" style="34" hidden="1" customWidth="1"/>
    <col min="11006" max="11247" width="9.140625" style="34"/>
    <col min="11248" max="11248" width="3" style="34" customWidth="1"/>
    <col min="11249" max="11249" width="53.28515625" style="34" customWidth="1"/>
    <col min="11250" max="11250" width="9.140625" style="34"/>
    <col min="11251" max="11251" width="14.28515625" style="34" customWidth="1"/>
    <col min="11252" max="11252" width="14.5703125" style="34" bestFit="1" customWidth="1"/>
    <col min="11253" max="11253" width="4.7109375" style="34" customWidth="1"/>
    <col min="11254" max="11255" width="15.5703125" style="34" bestFit="1" customWidth="1"/>
    <col min="11256" max="11256" width="5.42578125" style="34" customWidth="1"/>
    <col min="11257" max="11258" width="0" style="34" hidden="1" customWidth="1"/>
    <col min="11259" max="11260" width="9.140625" style="34"/>
    <col min="11261" max="11261" width="0" style="34" hidden="1" customWidth="1"/>
    <col min="11262" max="11503" width="9.140625" style="34"/>
    <col min="11504" max="11504" width="3" style="34" customWidth="1"/>
    <col min="11505" max="11505" width="53.28515625" style="34" customWidth="1"/>
    <col min="11506" max="11506" width="9.140625" style="34"/>
    <col min="11507" max="11507" width="14.28515625" style="34" customWidth="1"/>
    <col min="11508" max="11508" width="14.5703125" style="34" bestFit="1" customWidth="1"/>
    <col min="11509" max="11509" width="4.7109375" style="34" customWidth="1"/>
    <col min="11510" max="11511" width="15.5703125" style="34" bestFit="1" customWidth="1"/>
    <col min="11512" max="11512" width="5.42578125" style="34" customWidth="1"/>
    <col min="11513" max="11514" width="0" style="34" hidden="1" customWidth="1"/>
    <col min="11515" max="11516" width="9.140625" style="34"/>
    <col min="11517" max="11517" width="0" style="34" hidden="1" customWidth="1"/>
    <col min="11518" max="11759" width="9.140625" style="34"/>
    <col min="11760" max="11760" width="3" style="34" customWidth="1"/>
    <col min="11761" max="11761" width="53.28515625" style="34" customWidth="1"/>
    <col min="11762" max="11762" width="9.140625" style="34"/>
    <col min="11763" max="11763" width="14.28515625" style="34" customWidth="1"/>
    <col min="11764" max="11764" width="14.5703125" style="34" bestFit="1" customWidth="1"/>
    <col min="11765" max="11765" width="4.7109375" style="34" customWidth="1"/>
    <col min="11766" max="11767" width="15.5703125" style="34" bestFit="1" customWidth="1"/>
    <col min="11768" max="11768" width="5.42578125" style="34" customWidth="1"/>
    <col min="11769" max="11770" width="0" style="34" hidden="1" customWidth="1"/>
    <col min="11771" max="11772" width="9.140625" style="34"/>
    <col min="11773" max="11773" width="0" style="34" hidden="1" customWidth="1"/>
    <col min="11774" max="12015" width="9.140625" style="34"/>
    <col min="12016" max="12016" width="3" style="34" customWidth="1"/>
    <col min="12017" max="12017" width="53.28515625" style="34" customWidth="1"/>
    <col min="12018" max="12018" width="9.140625" style="34"/>
    <col min="12019" max="12019" width="14.28515625" style="34" customWidth="1"/>
    <col min="12020" max="12020" width="14.5703125" style="34" bestFit="1" customWidth="1"/>
    <col min="12021" max="12021" width="4.7109375" style="34" customWidth="1"/>
    <col min="12022" max="12023" width="15.5703125" style="34" bestFit="1" customWidth="1"/>
    <col min="12024" max="12024" width="5.42578125" style="34" customWidth="1"/>
    <col min="12025" max="12026" width="0" style="34" hidden="1" customWidth="1"/>
    <col min="12027" max="12028" width="9.140625" style="34"/>
    <col min="12029" max="12029" width="0" style="34" hidden="1" customWidth="1"/>
    <col min="12030" max="12271" width="9.140625" style="34"/>
    <col min="12272" max="12272" width="3" style="34" customWidth="1"/>
    <col min="12273" max="12273" width="53.28515625" style="34" customWidth="1"/>
    <col min="12274" max="12274" width="9.140625" style="34"/>
    <col min="12275" max="12275" width="14.28515625" style="34" customWidth="1"/>
    <col min="12276" max="12276" width="14.5703125" style="34" bestFit="1" customWidth="1"/>
    <col min="12277" max="12277" width="4.7109375" style="34" customWidth="1"/>
    <col min="12278" max="12279" width="15.5703125" style="34" bestFit="1" customWidth="1"/>
    <col min="12280" max="12280" width="5.42578125" style="34" customWidth="1"/>
    <col min="12281" max="12282" width="0" style="34" hidden="1" customWidth="1"/>
    <col min="12283" max="12284" width="9.140625" style="34"/>
    <col min="12285" max="12285" width="0" style="34" hidden="1" customWidth="1"/>
    <col min="12286" max="12527" width="9.140625" style="34"/>
    <col min="12528" max="12528" width="3" style="34" customWidth="1"/>
    <col min="12529" max="12529" width="53.28515625" style="34" customWidth="1"/>
    <col min="12530" max="12530" width="9.140625" style="34"/>
    <col min="12531" max="12531" width="14.28515625" style="34" customWidth="1"/>
    <col min="12532" max="12532" width="14.5703125" style="34" bestFit="1" customWidth="1"/>
    <col min="12533" max="12533" width="4.7109375" style="34" customWidth="1"/>
    <col min="12534" max="12535" width="15.5703125" style="34" bestFit="1" customWidth="1"/>
    <col min="12536" max="12536" width="5.42578125" style="34" customWidth="1"/>
    <col min="12537" max="12538" width="0" style="34" hidden="1" customWidth="1"/>
    <col min="12539" max="12540" width="9.140625" style="34"/>
    <col min="12541" max="12541" width="0" style="34" hidden="1" customWidth="1"/>
    <col min="12542" max="12783" width="9.140625" style="34"/>
    <col min="12784" max="12784" width="3" style="34" customWidth="1"/>
    <col min="12785" max="12785" width="53.28515625" style="34" customWidth="1"/>
    <col min="12786" max="12786" width="9.140625" style="34"/>
    <col min="12787" max="12787" width="14.28515625" style="34" customWidth="1"/>
    <col min="12788" max="12788" width="14.5703125" style="34" bestFit="1" customWidth="1"/>
    <col min="12789" max="12789" width="4.7109375" style="34" customWidth="1"/>
    <col min="12790" max="12791" width="15.5703125" style="34" bestFit="1" customWidth="1"/>
    <col min="12792" max="12792" width="5.42578125" style="34" customWidth="1"/>
    <col min="12793" max="12794" width="0" style="34" hidden="1" customWidth="1"/>
    <col min="12795" max="12796" width="9.140625" style="34"/>
    <col min="12797" max="12797" width="0" style="34" hidden="1" customWidth="1"/>
    <col min="12798" max="13039" width="9.140625" style="34"/>
    <col min="13040" max="13040" width="3" style="34" customWidth="1"/>
    <col min="13041" max="13041" width="53.28515625" style="34" customWidth="1"/>
    <col min="13042" max="13042" width="9.140625" style="34"/>
    <col min="13043" max="13043" width="14.28515625" style="34" customWidth="1"/>
    <col min="13044" max="13044" width="14.5703125" style="34" bestFit="1" customWidth="1"/>
    <col min="13045" max="13045" width="4.7109375" style="34" customWidth="1"/>
    <col min="13046" max="13047" width="15.5703125" style="34" bestFit="1" customWidth="1"/>
    <col min="13048" max="13048" width="5.42578125" style="34" customWidth="1"/>
    <col min="13049" max="13050" width="0" style="34" hidden="1" customWidth="1"/>
    <col min="13051" max="13052" width="9.140625" style="34"/>
    <col min="13053" max="13053" width="0" style="34" hidden="1" customWidth="1"/>
    <col min="13054" max="13295" width="9.140625" style="34"/>
    <col min="13296" max="13296" width="3" style="34" customWidth="1"/>
    <col min="13297" max="13297" width="53.28515625" style="34" customWidth="1"/>
    <col min="13298" max="13298" width="9.140625" style="34"/>
    <col min="13299" max="13299" width="14.28515625" style="34" customWidth="1"/>
    <col min="13300" max="13300" width="14.5703125" style="34" bestFit="1" customWidth="1"/>
    <col min="13301" max="13301" width="4.7109375" style="34" customWidth="1"/>
    <col min="13302" max="13303" width="15.5703125" style="34" bestFit="1" customWidth="1"/>
    <col min="13304" max="13304" width="5.42578125" style="34" customWidth="1"/>
    <col min="13305" max="13306" width="0" style="34" hidden="1" customWidth="1"/>
    <col min="13307" max="13308" width="9.140625" style="34"/>
    <col min="13309" max="13309" width="0" style="34" hidden="1" customWidth="1"/>
    <col min="13310" max="13551" width="9.140625" style="34"/>
    <col min="13552" max="13552" width="3" style="34" customWidth="1"/>
    <col min="13553" max="13553" width="53.28515625" style="34" customWidth="1"/>
    <col min="13554" max="13554" width="9.140625" style="34"/>
    <col min="13555" max="13555" width="14.28515625" style="34" customWidth="1"/>
    <col min="13556" max="13556" width="14.5703125" style="34" bestFit="1" customWidth="1"/>
    <col min="13557" max="13557" width="4.7109375" style="34" customWidth="1"/>
    <col min="13558" max="13559" width="15.5703125" style="34" bestFit="1" customWidth="1"/>
    <col min="13560" max="13560" width="5.42578125" style="34" customWidth="1"/>
    <col min="13561" max="13562" width="0" style="34" hidden="1" customWidth="1"/>
    <col min="13563" max="13564" width="9.140625" style="34"/>
    <col min="13565" max="13565" width="0" style="34" hidden="1" customWidth="1"/>
    <col min="13566" max="13807" width="9.140625" style="34"/>
    <col min="13808" max="13808" width="3" style="34" customWidth="1"/>
    <col min="13809" max="13809" width="53.28515625" style="34" customWidth="1"/>
    <col min="13810" max="13810" width="9.140625" style="34"/>
    <col min="13811" max="13811" width="14.28515625" style="34" customWidth="1"/>
    <col min="13812" max="13812" width="14.5703125" style="34" bestFit="1" customWidth="1"/>
    <col min="13813" max="13813" width="4.7109375" style="34" customWidth="1"/>
    <col min="13814" max="13815" width="15.5703125" style="34" bestFit="1" customWidth="1"/>
    <col min="13816" max="13816" width="5.42578125" style="34" customWidth="1"/>
    <col min="13817" max="13818" width="0" style="34" hidden="1" customWidth="1"/>
    <col min="13819" max="13820" width="9.140625" style="34"/>
    <col min="13821" max="13821" width="0" style="34" hidden="1" customWidth="1"/>
    <col min="13822" max="14063" width="9.140625" style="34"/>
    <col min="14064" max="14064" width="3" style="34" customWidth="1"/>
    <col min="14065" max="14065" width="53.28515625" style="34" customWidth="1"/>
    <col min="14066" max="14066" width="9.140625" style="34"/>
    <col min="14067" max="14067" width="14.28515625" style="34" customWidth="1"/>
    <col min="14068" max="14068" width="14.5703125" style="34" bestFit="1" customWidth="1"/>
    <col min="14069" max="14069" width="4.7109375" style="34" customWidth="1"/>
    <col min="14070" max="14071" width="15.5703125" style="34" bestFit="1" customWidth="1"/>
    <col min="14072" max="14072" width="5.42578125" style="34" customWidth="1"/>
    <col min="14073" max="14074" width="0" style="34" hidden="1" customWidth="1"/>
    <col min="14075" max="14076" width="9.140625" style="34"/>
    <col min="14077" max="14077" width="0" style="34" hidden="1" customWidth="1"/>
    <col min="14078" max="14319" width="9.140625" style="34"/>
    <col min="14320" max="14320" width="3" style="34" customWidth="1"/>
    <col min="14321" max="14321" width="53.28515625" style="34" customWidth="1"/>
    <col min="14322" max="14322" width="9.140625" style="34"/>
    <col min="14323" max="14323" width="14.28515625" style="34" customWidth="1"/>
    <col min="14324" max="14324" width="14.5703125" style="34" bestFit="1" customWidth="1"/>
    <col min="14325" max="14325" width="4.7109375" style="34" customWidth="1"/>
    <col min="14326" max="14327" width="15.5703125" style="34" bestFit="1" customWidth="1"/>
    <col min="14328" max="14328" width="5.42578125" style="34" customWidth="1"/>
    <col min="14329" max="14330" width="0" style="34" hidden="1" customWidth="1"/>
    <col min="14331" max="14332" width="9.140625" style="34"/>
    <col min="14333" max="14333" width="0" style="34" hidden="1" customWidth="1"/>
    <col min="14334" max="14575" width="9.140625" style="34"/>
    <col min="14576" max="14576" width="3" style="34" customWidth="1"/>
    <col min="14577" max="14577" width="53.28515625" style="34" customWidth="1"/>
    <col min="14578" max="14578" width="9.140625" style="34"/>
    <col min="14579" max="14579" width="14.28515625" style="34" customWidth="1"/>
    <col min="14580" max="14580" width="14.5703125" style="34" bestFit="1" customWidth="1"/>
    <col min="14581" max="14581" width="4.7109375" style="34" customWidth="1"/>
    <col min="14582" max="14583" width="15.5703125" style="34" bestFit="1" customWidth="1"/>
    <col min="14584" max="14584" width="5.42578125" style="34" customWidth="1"/>
    <col min="14585" max="14586" width="0" style="34" hidden="1" customWidth="1"/>
    <col min="14587" max="14588" width="9.140625" style="34"/>
    <col min="14589" max="14589" width="0" style="34" hidden="1" customWidth="1"/>
    <col min="14590" max="14831" width="9.140625" style="34"/>
    <col min="14832" max="14832" width="3" style="34" customWidth="1"/>
    <col min="14833" max="14833" width="53.28515625" style="34" customWidth="1"/>
    <col min="14834" max="14834" width="9.140625" style="34"/>
    <col min="14835" max="14835" width="14.28515625" style="34" customWidth="1"/>
    <col min="14836" max="14836" width="14.5703125" style="34" bestFit="1" customWidth="1"/>
    <col min="14837" max="14837" width="4.7109375" style="34" customWidth="1"/>
    <col min="14838" max="14839" width="15.5703125" style="34" bestFit="1" customWidth="1"/>
    <col min="14840" max="14840" width="5.42578125" style="34" customWidth="1"/>
    <col min="14841" max="14842" width="0" style="34" hidden="1" customWidth="1"/>
    <col min="14843" max="14844" width="9.140625" style="34"/>
    <col min="14845" max="14845" width="0" style="34" hidden="1" customWidth="1"/>
    <col min="14846" max="15087" width="9.140625" style="34"/>
    <col min="15088" max="15088" width="3" style="34" customWidth="1"/>
    <col min="15089" max="15089" width="53.28515625" style="34" customWidth="1"/>
    <col min="15090" max="15090" width="9.140625" style="34"/>
    <col min="15091" max="15091" width="14.28515625" style="34" customWidth="1"/>
    <col min="15092" max="15092" width="14.5703125" style="34" bestFit="1" customWidth="1"/>
    <col min="15093" max="15093" width="4.7109375" style="34" customWidth="1"/>
    <col min="15094" max="15095" width="15.5703125" style="34" bestFit="1" customWidth="1"/>
    <col min="15096" max="15096" width="5.42578125" style="34" customWidth="1"/>
    <col min="15097" max="15098" width="0" style="34" hidden="1" customWidth="1"/>
    <col min="15099" max="15100" width="9.140625" style="34"/>
    <col min="15101" max="15101" width="0" style="34" hidden="1" customWidth="1"/>
    <col min="15102" max="15343" width="9.140625" style="34"/>
    <col min="15344" max="15344" width="3" style="34" customWidth="1"/>
    <col min="15345" max="15345" width="53.28515625" style="34" customWidth="1"/>
    <col min="15346" max="15346" width="9.140625" style="34"/>
    <col min="15347" max="15347" width="14.28515625" style="34" customWidth="1"/>
    <col min="15348" max="15348" width="14.5703125" style="34" bestFit="1" customWidth="1"/>
    <col min="15349" max="15349" width="4.7109375" style="34" customWidth="1"/>
    <col min="15350" max="15351" width="15.5703125" style="34" bestFit="1" customWidth="1"/>
    <col min="15352" max="15352" width="5.42578125" style="34" customWidth="1"/>
    <col min="15353" max="15354" width="0" style="34" hidden="1" customWidth="1"/>
    <col min="15355" max="15356" width="9.140625" style="34"/>
    <col min="15357" max="15357" width="0" style="34" hidden="1" customWidth="1"/>
    <col min="15358" max="15599" width="9.140625" style="34"/>
    <col min="15600" max="15600" width="3" style="34" customWidth="1"/>
    <col min="15601" max="15601" width="53.28515625" style="34" customWidth="1"/>
    <col min="15602" max="15602" width="9.140625" style="34"/>
    <col min="15603" max="15603" width="14.28515625" style="34" customWidth="1"/>
    <col min="15604" max="15604" width="14.5703125" style="34" bestFit="1" customWidth="1"/>
    <col min="15605" max="15605" width="4.7109375" style="34" customWidth="1"/>
    <col min="15606" max="15607" width="15.5703125" style="34" bestFit="1" customWidth="1"/>
    <col min="15608" max="15608" width="5.42578125" style="34" customWidth="1"/>
    <col min="15609" max="15610" width="0" style="34" hidden="1" customWidth="1"/>
    <col min="15611" max="15612" width="9.140625" style="34"/>
    <col min="15613" max="15613" width="0" style="34" hidden="1" customWidth="1"/>
    <col min="15614" max="15855" width="9.140625" style="34"/>
    <col min="15856" max="15856" width="3" style="34" customWidth="1"/>
    <col min="15857" max="15857" width="53.28515625" style="34" customWidth="1"/>
    <col min="15858" max="15858" width="9.140625" style="34"/>
    <col min="15859" max="15859" width="14.28515625" style="34" customWidth="1"/>
    <col min="15860" max="15860" width="14.5703125" style="34" bestFit="1" customWidth="1"/>
    <col min="15861" max="15861" width="4.7109375" style="34" customWidth="1"/>
    <col min="15862" max="15863" width="15.5703125" style="34" bestFit="1" customWidth="1"/>
    <col min="15864" max="15864" width="5.42578125" style="34" customWidth="1"/>
    <col min="15865" max="15866" width="0" style="34" hidden="1" customWidth="1"/>
    <col min="15867" max="15868" width="9.140625" style="34"/>
    <col min="15869" max="15869" width="0" style="34" hidden="1" customWidth="1"/>
    <col min="15870" max="16111" width="9.140625" style="34"/>
    <col min="16112" max="16112" width="3" style="34" customWidth="1"/>
    <col min="16113" max="16113" width="53.28515625" style="34" customWidth="1"/>
    <col min="16114" max="16114" width="9.140625" style="34"/>
    <col min="16115" max="16115" width="14.28515625" style="34" customWidth="1"/>
    <col min="16116" max="16116" width="14.5703125" style="34" bestFit="1" customWidth="1"/>
    <col min="16117" max="16117" width="4.7109375" style="34" customWidth="1"/>
    <col min="16118" max="16119" width="15.5703125" style="34" bestFit="1" customWidth="1"/>
    <col min="16120" max="16120" width="5.42578125" style="34" customWidth="1"/>
    <col min="16121" max="16122" width="0" style="34" hidden="1" customWidth="1"/>
    <col min="16123" max="16124" width="9.140625" style="34"/>
    <col min="16125" max="16125" width="0" style="34" hidden="1" customWidth="1"/>
    <col min="16126" max="16384" width="9.140625" style="34"/>
  </cols>
  <sheetData>
    <row r="1" spans="2:22" x14ac:dyDescent="0.2">
      <c r="B1" s="35" t="str">
        <f>Update!$B$6</f>
        <v>Department of Health</v>
      </c>
    </row>
    <row r="2" spans="2:22" x14ac:dyDescent="0.2">
      <c r="B2" s="47" t="str">
        <f>Update!$B$9</f>
        <v>Consolidated Accounts</v>
      </c>
    </row>
    <row r="3" spans="2:22" x14ac:dyDescent="0.2">
      <c r="B3" s="64"/>
    </row>
    <row r="4" spans="2:22" x14ac:dyDescent="0.2">
      <c r="B4" s="37" t="s">
        <v>279</v>
      </c>
    </row>
    <row r="5" spans="2:22" x14ac:dyDescent="0.2">
      <c r="B5" s="37" t="str">
        <f>"as at"&amp;Update!$B$22</f>
        <v>as at 31 March 2026</v>
      </c>
    </row>
    <row r="6" spans="2:22" x14ac:dyDescent="0.2">
      <c r="B6" s="37"/>
    </row>
    <row r="7" spans="2:22" ht="42" customHeight="1" outlineLevel="1" x14ac:dyDescent="0.2">
      <c r="B7" s="2101" t="s">
        <v>536</v>
      </c>
      <c r="C7" s="2101"/>
      <c r="D7" s="2101"/>
      <c r="E7" s="2101"/>
      <c r="F7" s="2101"/>
      <c r="G7" s="2101"/>
      <c r="H7" s="2101"/>
      <c r="I7" s="2101"/>
      <c r="J7" s="2101"/>
      <c r="K7" s="2101"/>
      <c r="L7" s="2101"/>
      <c r="M7" s="2101"/>
      <c r="N7" s="328"/>
      <c r="O7" s="328"/>
      <c r="P7" s="328"/>
      <c r="Q7" s="328"/>
      <c r="R7" s="328"/>
    </row>
    <row r="8" spans="2:22" x14ac:dyDescent="0.2">
      <c r="B8" s="328"/>
      <c r="C8" s="328"/>
      <c r="D8" s="328"/>
      <c r="E8" s="328"/>
      <c r="F8" s="328"/>
      <c r="G8" s="328"/>
      <c r="H8" s="328"/>
      <c r="I8" s="328"/>
      <c r="J8" s="328"/>
      <c r="K8" s="328"/>
      <c r="L8" s="328"/>
      <c r="M8" s="328"/>
      <c r="N8" s="328"/>
      <c r="O8" s="328"/>
      <c r="P8" s="328"/>
      <c r="Q8" s="328"/>
      <c r="R8" s="328"/>
      <c r="T8" s="722" t="s">
        <v>64</v>
      </c>
      <c r="V8" s="722" t="s">
        <v>64</v>
      </c>
    </row>
    <row r="9" spans="2:22" ht="42" customHeight="1" x14ac:dyDescent="0.2">
      <c r="B9" s="328"/>
      <c r="C9" s="328"/>
      <c r="D9" s="328"/>
      <c r="E9" s="341" t="str">
        <f>Update!$B$7</f>
        <v>Core Department &amp; Agencies</v>
      </c>
      <c r="F9" s="341"/>
      <c r="G9" s="341" t="str">
        <f>Update!$B$8</f>
        <v>Departmental Group</v>
      </c>
      <c r="H9" s="341" t="str">
        <f>Update!$B$8</f>
        <v>Departmental Group</v>
      </c>
      <c r="I9" s="341" t="str">
        <f>Update!$B$7</f>
        <v>Core Department &amp; Agencies</v>
      </c>
      <c r="J9" s="328"/>
      <c r="K9" s="341" t="str">
        <f>Update!$B$7</f>
        <v>Core Department &amp; Agencies</v>
      </c>
      <c r="L9" s="341"/>
      <c r="M9" s="341" t="str">
        <f>Update!$B$8</f>
        <v>Departmental Group</v>
      </c>
      <c r="N9" s="328"/>
      <c r="O9" s="328"/>
      <c r="P9" s="341" t="str">
        <f>Update!$B$7</f>
        <v>Core Department &amp; Agencies</v>
      </c>
      <c r="Q9" s="341"/>
      <c r="R9" s="341" t="str">
        <f>Update!$B$8</f>
        <v>Departmental Group</v>
      </c>
      <c r="T9" s="341" t="str">
        <f>Update!$B$7</f>
        <v>Core Department &amp; Agencies</v>
      </c>
      <c r="U9" s="341"/>
      <c r="V9" s="341" t="str">
        <f>Update!$B$8</f>
        <v>Departmental Group</v>
      </c>
    </row>
    <row r="10" spans="2:22" x14ac:dyDescent="0.2">
      <c r="C10" s="38" t="s">
        <v>461</v>
      </c>
      <c r="D10" s="38"/>
      <c r="E10" s="329" t="str">
        <f>Update!$B$22</f>
        <v xml:space="preserve"> 31 March 2026</v>
      </c>
      <c r="F10" s="38"/>
      <c r="G10" s="329" t="str">
        <f>E10</f>
        <v xml:space="preserve"> 31 March 2026</v>
      </c>
      <c r="H10" s="38" t="s">
        <v>63</v>
      </c>
      <c r="I10" s="38" t="s">
        <v>63</v>
      </c>
      <c r="J10" s="38"/>
      <c r="K10" s="344">
        <f>Update!$D$24</f>
        <v>45747</v>
      </c>
      <c r="L10" s="38"/>
      <c r="M10" s="344">
        <f>K10</f>
        <v>45747</v>
      </c>
      <c r="N10" s="38"/>
      <c r="O10" s="38"/>
      <c r="P10" s="344" t="str">
        <f>Update!$B$17</f>
        <v xml:space="preserve"> 31 March 2024</v>
      </c>
      <c r="Q10" s="38"/>
      <c r="R10" s="344" t="str">
        <f>P10</f>
        <v xml:space="preserve"> 31 March 2024</v>
      </c>
      <c r="T10" s="329" t="str">
        <f>Update!$B$22</f>
        <v xml:space="preserve"> 31 March 2026</v>
      </c>
      <c r="U10" s="38"/>
      <c r="V10" s="329" t="str">
        <f>T10</f>
        <v xml:space="preserve"> 31 March 2026</v>
      </c>
    </row>
    <row r="11" spans="2:22" x14ac:dyDescent="0.2">
      <c r="E11" s="57" t="s">
        <v>62</v>
      </c>
      <c r="G11" s="57" t="s">
        <v>62</v>
      </c>
      <c r="K11" s="57" t="s">
        <v>62</v>
      </c>
      <c r="M11" s="57" t="s">
        <v>62</v>
      </c>
      <c r="P11" s="57" t="s">
        <v>62</v>
      </c>
      <c r="R11" s="57" t="s">
        <v>62</v>
      </c>
      <c r="T11" s="57" t="s">
        <v>62</v>
      </c>
      <c r="U11" s="74"/>
      <c r="V11" s="57" t="s">
        <v>62</v>
      </c>
    </row>
    <row r="12" spans="2:22" x14ac:dyDescent="0.2">
      <c r="E12" s="34"/>
      <c r="F12" s="74">
        <f>ROUND(SUMIF(MAP!$E$389:$E$406,$B12,MAP!$N$389:$N$406),0)</f>
        <v>0</v>
      </c>
      <c r="G12" s="34"/>
      <c r="K12" s="34"/>
      <c r="M12" s="34"/>
      <c r="P12" s="34"/>
      <c r="R12" s="34"/>
      <c r="U12" s="74"/>
    </row>
    <row r="13" spans="2:22" x14ac:dyDescent="0.2">
      <c r="B13" s="37" t="s">
        <v>538</v>
      </c>
      <c r="E13" s="34"/>
      <c r="G13" s="34"/>
      <c r="K13" s="34"/>
      <c r="M13" s="34"/>
      <c r="P13" s="34"/>
      <c r="R13" s="34"/>
      <c r="U13" s="74"/>
    </row>
    <row r="14" spans="2:22" x14ac:dyDescent="0.2">
      <c r="B14" s="34" t="s">
        <v>825</v>
      </c>
      <c r="C14" s="88">
        <f>'Note 5'!A5</f>
        <v>5</v>
      </c>
      <c r="D14" s="88"/>
      <c r="E14" s="34">
        <f>ROUND(SUMIFS(MAP!$T:$T,MAP!$C:$C,"SFP",MAP!$E:$E,$B14),0)</f>
        <v>54976</v>
      </c>
      <c r="F14" s="88"/>
      <c r="G14" s="34">
        <f>ROUND(SUMIFS(MAP!$N:$N,MAP!$C:$C,"SFP",MAP!$E:$E,$B14),0)</f>
        <v>54976</v>
      </c>
      <c r="H14" s="346">
        <f>G14-'Note 5'!K41+'Note 17'!S32</f>
        <v>0</v>
      </c>
      <c r="J14" s="88"/>
      <c r="K14" s="342">
        <v>75936</v>
      </c>
      <c r="L14" s="88"/>
      <c r="M14" s="342">
        <v>4586618</v>
      </c>
      <c r="N14" s="88"/>
      <c r="O14" s="88"/>
      <c r="P14" s="342">
        <v>66116</v>
      </c>
      <c r="Q14" s="88"/>
      <c r="R14" s="342">
        <v>4092440</v>
      </c>
      <c r="T14" s="34">
        <f>ROUND(SUMIFS(MAP!$U:$U,MAP!$C:$C,"SFP",MAP!$E:$E,$B14),0)</f>
        <v>0</v>
      </c>
      <c r="U14" s="88"/>
      <c r="V14" s="34">
        <f>ROUND(SUMIFS(MAP!$BD:$BD,MAP!$C:$C,"SFP",MAP!$E:$E,$B14),0)</f>
        <v>0</v>
      </c>
    </row>
    <row r="15" spans="2:22" x14ac:dyDescent="0.2">
      <c r="B15" s="34" t="s">
        <v>2831</v>
      </c>
      <c r="C15" s="120">
        <v>17.100000000000001</v>
      </c>
      <c r="D15" s="88"/>
      <c r="E15" s="34">
        <f>ROUND(SUMIFS(MAP!$T:$T,MAP!$C:$C,"SFP",MAP!$E:$E,$B15),0)</f>
        <v>366</v>
      </c>
      <c r="F15" s="88"/>
      <c r="G15" s="34">
        <f>ROUND(SUMIFS(MAP!$N:$N,MAP!$C:$C,"SFP",MAP!$E:$E,$B15),0)</f>
        <v>366</v>
      </c>
      <c r="H15" s="346">
        <f>G15-'Note 17'!S32</f>
        <v>0</v>
      </c>
      <c r="J15" s="88"/>
      <c r="K15" s="342">
        <v>529</v>
      </c>
      <c r="L15" s="88"/>
      <c r="M15" s="342">
        <v>128645</v>
      </c>
      <c r="N15" s="88"/>
      <c r="O15" s="88"/>
      <c r="P15" s="342"/>
      <c r="Q15" s="88"/>
      <c r="R15" s="342"/>
      <c r="U15" s="88"/>
    </row>
    <row r="16" spans="2:22" x14ac:dyDescent="0.2">
      <c r="B16" s="34" t="s">
        <v>289</v>
      </c>
      <c r="C16" s="88">
        <f>'Note 6'!A5</f>
        <v>6</v>
      </c>
      <c r="D16" s="88"/>
      <c r="E16" s="34">
        <f>ROUND(SUMIFS(MAP!$T:$T,MAP!$C:$C,"SFP",MAP!$E:$E,$B16),0)</f>
        <v>101</v>
      </c>
      <c r="F16" s="88"/>
      <c r="G16" s="34">
        <f>ROUND(SUMIFS(MAP!$N:$N,MAP!$C:$C,"SFP",MAP!$E:$E,$B16),0)</f>
        <v>101</v>
      </c>
      <c r="H16" s="346">
        <f>G16-'Note 6'!K41</f>
        <v>0</v>
      </c>
      <c r="J16" s="88"/>
      <c r="K16" s="342">
        <v>10611</v>
      </c>
      <c r="L16" s="88"/>
      <c r="M16" s="342">
        <v>366165</v>
      </c>
      <c r="N16" s="88"/>
      <c r="O16" s="88"/>
      <c r="P16" s="342">
        <v>14800</v>
      </c>
      <c r="Q16" s="88"/>
      <c r="R16" s="342">
        <v>206750</v>
      </c>
      <c r="T16" s="34">
        <f>ROUND(SUMIFS(MAP!$U:$U,MAP!$C:$C,"SFP",MAP!$E:$E,$B16),0)</f>
        <v>0</v>
      </c>
      <c r="U16" s="88"/>
      <c r="V16" s="34">
        <f>ROUND(SUMIFS(MAP!$BD:$BD,MAP!$C:$C,"SFP",MAP!$E:$E,$B16),0)</f>
        <v>0</v>
      </c>
    </row>
    <row r="17" spans="2:23" x14ac:dyDescent="0.2">
      <c r="B17" s="34" t="s">
        <v>343</v>
      </c>
      <c r="C17" s="74">
        <v>9</v>
      </c>
      <c r="E17" s="34">
        <f>ROUND(SUMIFS(MAP!$T:$T,MAP!$C:$C,"SFP",MAP!$E:$E,$B17),0)</f>
        <v>2009000</v>
      </c>
      <c r="G17" s="34">
        <f>ROUND(SUMIFS(MAP!$N:$N,MAP!$C:$C,"SFP",MAP!$E:$E,$B17),0)</f>
        <v>0</v>
      </c>
      <c r="H17" s="346">
        <f>G17-'Notes 8 &amp; 9'!L41</f>
        <v>0</v>
      </c>
      <c r="I17" s="346">
        <f>E17-'Notes 8 &amp; 9'!F41</f>
        <v>0</v>
      </c>
      <c r="K17" s="342">
        <v>2009061</v>
      </c>
      <c r="M17" s="342">
        <v>88145</v>
      </c>
      <c r="P17" s="342">
        <v>2009189</v>
      </c>
      <c r="R17" s="342">
        <v>85041</v>
      </c>
      <c r="T17" s="34">
        <f>ROUND(SUMIFS(MAP!$U:$U,MAP!$C:$C,"SFP",MAP!$E:$E,$B17),0)</f>
        <v>0</v>
      </c>
      <c r="U17" s="74"/>
      <c r="V17" s="34">
        <f>ROUND(SUMIFS(MAP!$BD:$BD,MAP!$C:$C,"SFP",MAP!$E:$E,$B17),0)</f>
        <v>2009000</v>
      </c>
    </row>
    <row r="18" spans="2:23" x14ac:dyDescent="0.2">
      <c r="B18" s="34" t="s">
        <v>290</v>
      </c>
      <c r="C18" s="88">
        <f>'Note 12'!$A$5</f>
        <v>12</v>
      </c>
      <c r="D18" s="88"/>
      <c r="E18" s="34">
        <f>ROUND(SUMIFS(MAP!$T:$T,MAP!$C:$C,"SFP",MAP!$E:$E,$B18),0)</f>
        <v>0</v>
      </c>
      <c r="F18" s="88"/>
      <c r="G18" s="34">
        <f>ROUND(SUMIFS(MAP!$N:$N,MAP!$C:$C,"SFP",MAP!$E:$E,$B18),0)</f>
        <v>0</v>
      </c>
      <c r="H18" s="346">
        <f>G18-'Note 12'!E35</f>
        <v>0</v>
      </c>
      <c r="J18" s="88"/>
      <c r="K18" s="342">
        <v>0</v>
      </c>
      <c r="L18" s="88"/>
      <c r="M18" s="342">
        <v>24344</v>
      </c>
      <c r="N18" s="88"/>
      <c r="O18" s="88"/>
      <c r="P18" s="342">
        <v>0</v>
      </c>
      <c r="Q18" s="88"/>
      <c r="R18" s="342">
        <v>1861</v>
      </c>
      <c r="T18" s="34">
        <f>ROUND(SUMIFS(MAP!$U:$U,MAP!$C:$C,"SFP",MAP!$E:$E,$B18),0)</f>
        <v>0</v>
      </c>
      <c r="U18" s="88"/>
      <c r="V18" s="34">
        <f>ROUND(SUMIFS(MAP!$BD:$BD,MAP!$C:$C,"SFP",MAP!$E:$E,$B18),0)</f>
        <v>0</v>
      </c>
    </row>
    <row r="19" spans="2:23" x14ac:dyDescent="0.2">
      <c r="B19" s="34" t="s">
        <v>344</v>
      </c>
      <c r="C19" s="88">
        <f>'Note 12'!$A$5</f>
        <v>12</v>
      </c>
      <c r="D19" s="88"/>
      <c r="E19" s="44">
        <f>ROUND(SUMIFS(MAP!$T:$T,MAP!$C:$C,"SFP",MAP!$E:$E,$B19),0)</f>
        <v>0</v>
      </c>
      <c r="F19" s="88"/>
      <c r="G19" s="44">
        <f>ROUND(SUMIFS(MAP!$N:$N,MAP!$C:$C,"SFP",MAP!$E:$E,$B19),0)</f>
        <v>0</v>
      </c>
      <c r="H19" s="346">
        <f>G19-'Note 12'!E40</f>
        <v>0</v>
      </c>
      <c r="J19" s="88"/>
      <c r="K19" s="345">
        <v>0</v>
      </c>
      <c r="L19" s="88"/>
      <c r="M19" s="345">
        <v>0</v>
      </c>
      <c r="N19" s="88"/>
      <c r="O19" s="88"/>
      <c r="P19" s="345">
        <v>0</v>
      </c>
      <c r="Q19" s="88"/>
      <c r="R19" s="345">
        <v>2</v>
      </c>
      <c r="T19" s="44">
        <f>ROUND(SUMIFS(MAP!$U:$U,MAP!$C:$C,"SFP",MAP!$E:$E,$B19),0)</f>
        <v>0</v>
      </c>
      <c r="U19" s="88"/>
      <c r="V19" s="44">
        <f>ROUND(SUMIFS(MAP!$BD:$BD,MAP!$C:$C,"SFP",MAP!$E:$E,$B19),0)</f>
        <v>0</v>
      </c>
    </row>
    <row r="20" spans="2:23" x14ac:dyDescent="0.2">
      <c r="B20" s="119" t="s">
        <v>540</v>
      </c>
      <c r="E20" s="37">
        <f>SUM(E14:E19)</f>
        <v>2064443</v>
      </c>
      <c r="F20" s="38">
        <f>ROUND(SUMIF(MAP!$E$389:$E$406,$B20,MAP!$N$389:$N$406),0)</f>
        <v>0</v>
      </c>
      <c r="G20" s="37">
        <f>SUM(G14:G19)</f>
        <v>55443</v>
      </c>
      <c r="K20" s="34">
        <f>SUM(K14:K19)</f>
        <v>2096137</v>
      </c>
      <c r="M20" s="34">
        <f>SUM(M14:M19)</f>
        <v>5193917</v>
      </c>
      <c r="P20" s="34">
        <f>SUM(P14:P19)</f>
        <v>2090105</v>
      </c>
      <c r="R20" s="34">
        <f>SUM(R14:R19)</f>
        <v>4386094</v>
      </c>
      <c r="T20" s="37">
        <f>SUM(T14:T19)</f>
        <v>0</v>
      </c>
      <c r="U20" s="38"/>
      <c r="V20" s="37">
        <f>SUM(V14:V19)</f>
        <v>2009000</v>
      </c>
    </row>
    <row r="21" spans="2:23" x14ac:dyDescent="0.2">
      <c r="B21" s="119"/>
      <c r="E21" s="34"/>
      <c r="G21" s="34"/>
      <c r="K21" s="34"/>
      <c r="M21" s="34"/>
      <c r="P21" s="34"/>
      <c r="R21" s="34"/>
      <c r="U21" s="74"/>
    </row>
    <row r="22" spans="2:23" x14ac:dyDescent="0.2">
      <c r="E22" s="34"/>
      <c r="G22" s="34"/>
      <c r="K22" s="34"/>
      <c r="M22" s="34"/>
      <c r="P22" s="34"/>
      <c r="R22" s="34"/>
      <c r="U22" s="74"/>
    </row>
    <row r="23" spans="2:23" x14ac:dyDescent="0.2">
      <c r="B23" s="37" t="s">
        <v>1685</v>
      </c>
      <c r="E23" s="34"/>
      <c r="G23" s="34"/>
      <c r="K23" s="34"/>
      <c r="M23" s="34"/>
      <c r="P23" s="34"/>
      <c r="R23" s="34"/>
      <c r="U23" s="74"/>
    </row>
    <row r="24" spans="2:23" x14ac:dyDescent="0.2">
      <c r="B24" s="34" t="s">
        <v>292</v>
      </c>
      <c r="C24" s="120">
        <f>'Note 5.4'!A6</f>
        <v>5.3999999999999986</v>
      </c>
      <c r="D24" s="120"/>
      <c r="E24" s="34">
        <f>ROUND(SUMIFS(MAP!$T:$T,MAP!$C:$C,"SFP",MAP!$E:$E,$B24),0)</f>
        <v>0</v>
      </c>
      <c r="F24" s="120"/>
      <c r="G24" s="34">
        <f>ROUND(SUMIFS(MAP!$N:$N,MAP!$C:$C,"SFP",MAP!$E:$E,$B24),0)</f>
        <v>0</v>
      </c>
      <c r="H24" s="346">
        <f>G24-'Note 5.4'!L20</f>
        <v>0</v>
      </c>
      <c r="J24" s="120"/>
      <c r="K24" s="342">
        <v>0</v>
      </c>
      <c r="L24" s="120"/>
      <c r="M24" s="342">
        <v>162</v>
      </c>
      <c r="N24" s="120"/>
      <c r="O24" s="120"/>
      <c r="P24" s="342">
        <v>0</v>
      </c>
      <c r="Q24" s="120"/>
      <c r="R24" s="342">
        <v>410</v>
      </c>
      <c r="T24" s="34">
        <f>ROUND(SUMIFS(MAP!$U:$U,MAP!$C:$C,"SFP",MAP!$E:$E,$B24),0)</f>
        <v>0</v>
      </c>
      <c r="U24" s="120"/>
      <c r="V24" s="34">
        <f>ROUND(SUMIFS(MAP!$BD:$BD,MAP!$C:$C,"SFP",MAP!$E:$E,$B24),0)</f>
        <v>0</v>
      </c>
    </row>
    <row r="25" spans="2:23" x14ac:dyDescent="0.2">
      <c r="B25" s="34" t="s">
        <v>293</v>
      </c>
      <c r="C25" s="88">
        <f>'Notes 10 &amp; 11'!A5</f>
        <v>10</v>
      </c>
      <c r="D25" s="88"/>
      <c r="E25" s="34">
        <f>ROUND(SUMIFS(MAP!$T:$T,MAP!$C:$C,"SFP",MAP!$E:$E,$B25),0)</f>
        <v>0</v>
      </c>
      <c r="F25" s="88"/>
      <c r="G25" s="34">
        <f>ROUND(SUMIFS(MAP!$N:$N,MAP!$C:$C,"SFP",MAP!$E:$E,$B25),0)</f>
        <v>0</v>
      </c>
      <c r="H25" s="346">
        <f>G25-'Notes 10 &amp; 11'!E14</f>
        <v>0</v>
      </c>
      <c r="I25" s="346">
        <f>E25-'Notes 10 &amp; 11'!C14</f>
        <v>0</v>
      </c>
      <c r="J25" s="88"/>
      <c r="K25" s="342">
        <v>1088</v>
      </c>
      <c r="L25" s="88"/>
      <c r="M25" s="342">
        <v>95311</v>
      </c>
      <c r="N25" s="88"/>
      <c r="O25" s="88"/>
      <c r="P25" s="342">
        <v>577</v>
      </c>
      <c r="Q25" s="88"/>
      <c r="R25" s="342">
        <v>213842</v>
      </c>
      <c r="T25" s="34">
        <f>ROUND(SUMIFS(MAP!$U:$U,MAP!$C:$C,"SFP",MAP!$E:$E,$B25),0)</f>
        <v>0</v>
      </c>
      <c r="U25" s="88"/>
      <c r="V25" s="34">
        <f>ROUND(SUMIFS(MAP!$BD:$BD,MAP!$C:$C,"SFP",MAP!$E:$E,$B25),0)</f>
        <v>0</v>
      </c>
    </row>
    <row r="26" spans="2:23" x14ac:dyDescent="0.2">
      <c r="B26" s="34" t="s">
        <v>1686</v>
      </c>
      <c r="C26" s="88">
        <f>'Note 12'!$A$5</f>
        <v>12</v>
      </c>
      <c r="D26" s="88"/>
      <c r="E26" s="34">
        <f>ROUND(SUMIFS(MAP!$T:$T,MAP!$C:$C,"SFP",MAP!$E:$E,$B26),0)</f>
        <v>0</v>
      </c>
      <c r="F26" s="88"/>
      <c r="G26" s="34">
        <f>ROUND(SUMIFS(MAP!$N:$N,MAP!$C:$C,"SFP",MAP!$E:$E,$B26),0)</f>
        <v>0</v>
      </c>
      <c r="H26" s="346">
        <f>G26-'Note 12'!E22</f>
        <v>0</v>
      </c>
      <c r="I26" s="346">
        <f>E26-'Note 12'!C22</f>
        <v>0</v>
      </c>
      <c r="J26" s="88"/>
      <c r="K26" s="342">
        <v>22669</v>
      </c>
      <c r="L26" s="88"/>
      <c r="M26" s="342">
        <v>215772</v>
      </c>
      <c r="N26" s="88"/>
      <c r="O26" s="88"/>
      <c r="P26" s="342">
        <v>196120</v>
      </c>
      <c r="Q26" s="88"/>
      <c r="R26" s="342">
        <v>192415</v>
      </c>
      <c r="T26" s="34">
        <f>ROUND(SUMIFS(MAP!$U:$U,MAP!$C:$C,"SFP",MAP!$E:$E,$B26),0)</f>
        <v>0</v>
      </c>
      <c r="U26" s="88"/>
      <c r="V26" s="34">
        <f>ROUND(SUMIFS(MAP!$BD:$BD,MAP!$C:$C,"SFP",MAP!$E:$E,$B26),0)</f>
        <v>0</v>
      </c>
      <c r="W26" s="346">
        <f>V26-'Note 12'!N22</f>
        <v>0</v>
      </c>
    </row>
    <row r="27" spans="2:23" x14ac:dyDescent="0.2">
      <c r="B27" s="34" t="s">
        <v>291</v>
      </c>
      <c r="C27" s="88">
        <f>'Note 12'!$A$5</f>
        <v>12</v>
      </c>
      <c r="D27" s="88"/>
      <c r="E27" s="34">
        <f>ROUND(SUMIFS(MAP!$T:$T,MAP!$C:$C,"SFP",MAP!$E:$E,$B27),0)</f>
        <v>0</v>
      </c>
      <c r="F27" s="88"/>
      <c r="G27" s="34">
        <f>ROUND(SUMIFS(MAP!$N:$N,MAP!$C:$C,"SFP",MAP!$E:$E,$B27),0)</f>
        <v>0</v>
      </c>
      <c r="H27" s="346">
        <f>G27-'Note 12'!E27</f>
        <v>0</v>
      </c>
      <c r="I27" s="346">
        <f>E27-'Note 12'!C27</f>
        <v>0</v>
      </c>
      <c r="J27" s="88"/>
      <c r="K27" s="342">
        <v>2575</v>
      </c>
      <c r="L27" s="88"/>
      <c r="M27" s="342">
        <v>32240</v>
      </c>
      <c r="N27" s="88"/>
      <c r="O27" s="88"/>
      <c r="P27" s="342">
        <v>313</v>
      </c>
      <c r="Q27" s="88"/>
      <c r="R27" s="342">
        <v>20304</v>
      </c>
      <c r="T27" s="34">
        <f>ROUND(SUMIFS(MAP!$U:$U,MAP!$C:$C,"SFP",MAP!$E:$E,$B27),0)</f>
        <v>0</v>
      </c>
      <c r="U27" s="88"/>
      <c r="V27" s="34">
        <f>ROUND(SUMIFS(MAP!$BD:$BD,MAP!$C:$C,"SFP",MAP!$E:$E,$B27),0)</f>
        <v>0</v>
      </c>
      <c r="W27" s="346">
        <f>V27-'Note 12'!N27</f>
        <v>0</v>
      </c>
    </row>
    <row r="28" spans="2:23" x14ac:dyDescent="0.2">
      <c r="B28" s="34" t="s">
        <v>826</v>
      </c>
      <c r="C28" s="74">
        <v>10</v>
      </c>
      <c r="E28" s="34">
        <f>ROUND(SUMIFS(MAP!$T:$T,MAP!$C:$C,"SFP",MAP!$E:$E,$B28),0)</f>
        <v>0</v>
      </c>
      <c r="G28" s="34">
        <f>ROUND(SUMIFS(MAP!$N:$N,MAP!$C:$C,"SFP",MAP!$E:$E,$B28),0)</f>
        <v>0</v>
      </c>
      <c r="H28" s="346">
        <f>G28-'Notes 8 &amp; 9'!L40</f>
        <v>0</v>
      </c>
      <c r="I28" s="346">
        <f>E28-'Notes 8 &amp; 9'!F40</f>
        <v>0</v>
      </c>
      <c r="K28" s="342">
        <v>36</v>
      </c>
      <c r="M28" s="342">
        <v>1536</v>
      </c>
      <c r="P28" s="342">
        <v>48</v>
      </c>
      <c r="R28" s="342">
        <v>4148</v>
      </c>
      <c r="T28" s="34">
        <f>ROUND(SUMIFS(MAP!$U:$U,MAP!$C:$C,"SFP",MAP!$E:$E,$B28),0)</f>
        <v>0</v>
      </c>
      <c r="U28" s="74"/>
      <c r="V28" s="34">
        <f>ROUND(SUMIFS(MAP!$BD:$BD,MAP!$C:$C,"SFP",MAP!$E:$E,$B28),0)</f>
        <v>0</v>
      </c>
    </row>
    <row r="29" spans="2:23" x14ac:dyDescent="0.2">
      <c r="B29" s="34" t="s">
        <v>1687</v>
      </c>
      <c r="C29" s="88">
        <f>'Notes 10 &amp; 11'!$A$17</f>
        <v>11</v>
      </c>
      <c r="D29" s="88"/>
      <c r="E29" s="44">
        <f>ROUND(SUMIFS(MAP!$T:$T,MAP!$C:$C,"SFP",MAP!$E:$E,$B29),0)</f>
        <v>0</v>
      </c>
      <c r="F29" s="88"/>
      <c r="G29" s="44">
        <f>ROUND(SUMIFS(MAP!$N:$N,MAP!$C:$C,"SFP",MAP!$E:$E,$B29),0)</f>
        <v>0</v>
      </c>
      <c r="H29" s="346">
        <f>G29-'Notes 10 &amp; 11'!E22-'Note 13'!E11</f>
        <v>0</v>
      </c>
      <c r="I29" s="346">
        <f>E29-'Notes 10 &amp; 11'!C22-'Note 13'!C11</f>
        <v>0</v>
      </c>
      <c r="J29" s="184"/>
      <c r="K29" s="345">
        <v>36109</v>
      </c>
      <c r="L29" s="88"/>
      <c r="M29" s="345">
        <v>96832</v>
      </c>
      <c r="N29" s="88"/>
      <c r="O29" s="88"/>
      <c r="P29" s="345">
        <v>3013</v>
      </c>
      <c r="Q29" s="88"/>
      <c r="R29" s="345">
        <v>82379</v>
      </c>
      <c r="T29" s="44">
        <f>ROUND(SUMIFS(MAP!$U:$U,MAP!$C:$C,"SFP",MAP!$E:$E,$B29),0)</f>
        <v>0</v>
      </c>
      <c r="U29" s="88"/>
      <c r="V29" s="44">
        <f>ROUND(SUMIFS(MAP!$BD:$BD,MAP!$C:$C,"SFP",MAP!$E:$E,$B29),0)</f>
        <v>0</v>
      </c>
    </row>
    <row r="30" spans="2:23" x14ac:dyDescent="0.2">
      <c r="B30" s="119"/>
      <c r="E30" s="37">
        <f>SUM(E24:E29)</f>
        <v>0</v>
      </c>
      <c r="F30" s="38"/>
      <c r="G30" s="37">
        <f>SUM(G24:G29)</f>
        <v>0</v>
      </c>
      <c r="K30" s="34">
        <f>SUM(K24:K29)</f>
        <v>62477</v>
      </c>
      <c r="M30" s="34">
        <f>SUM(M24:M29)</f>
        <v>441853</v>
      </c>
      <c r="P30" s="34">
        <f>SUM(P24:P29)</f>
        <v>200071</v>
      </c>
      <c r="R30" s="34">
        <f>SUM(R24:R29)</f>
        <v>513498</v>
      </c>
      <c r="T30" s="37">
        <f>SUM(T24:T29)</f>
        <v>0</v>
      </c>
      <c r="U30" s="38"/>
      <c r="V30" s="37">
        <f>SUM(V24:V29)</f>
        <v>0</v>
      </c>
      <c r="W30" s="920" t="e">
        <f>V30/G30</f>
        <v>#DIV/0!</v>
      </c>
    </row>
    <row r="31" spans="2:23" x14ac:dyDescent="0.2">
      <c r="B31" s="119"/>
      <c r="E31" s="34"/>
      <c r="G31" s="34"/>
      <c r="K31" s="34"/>
      <c r="M31" s="34"/>
      <c r="P31" s="34"/>
      <c r="R31" s="34"/>
      <c r="U31" s="74"/>
    </row>
    <row r="32" spans="2:23" x14ac:dyDescent="0.2">
      <c r="B32" s="37" t="s">
        <v>542</v>
      </c>
      <c r="E32" s="97">
        <f>E20+E30</f>
        <v>2064443</v>
      </c>
      <c r="F32" s="38"/>
      <c r="G32" s="97">
        <f>G20+G30</f>
        <v>55443</v>
      </c>
      <c r="K32" s="98">
        <f>K20+K30</f>
        <v>2158614</v>
      </c>
      <c r="M32" s="98">
        <f>M20+M30</f>
        <v>5635770</v>
      </c>
      <c r="P32" s="98">
        <f>P20+P30</f>
        <v>2290176</v>
      </c>
      <c r="R32" s="98">
        <f>R20+R30</f>
        <v>4899592</v>
      </c>
      <c r="T32" s="97">
        <f>T20+T30</f>
        <v>0</v>
      </c>
      <c r="U32" s="38"/>
      <c r="V32" s="97">
        <f>V20+V30</f>
        <v>2009000</v>
      </c>
    </row>
    <row r="33" spans="2:23" x14ac:dyDescent="0.2">
      <c r="E33" s="34"/>
      <c r="G33" s="34"/>
      <c r="K33" s="34"/>
      <c r="M33" s="34"/>
      <c r="P33" s="34"/>
      <c r="R33" s="34"/>
      <c r="U33" s="74"/>
    </row>
    <row r="34" spans="2:23" x14ac:dyDescent="0.2">
      <c r="B34" s="37" t="s">
        <v>543</v>
      </c>
      <c r="C34" s="34"/>
      <c r="D34" s="34"/>
      <c r="E34" s="34"/>
      <c r="F34" s="34"/>
      <c r="G34" s="34"/>
      <c r="H34" s="34"/>
      <c r="I34" s="34"/>
      <c r="J34" s="34"/>
      <c r="K34" s="34"/>
      <c r="L34" s="34"/>
      <c r="M34" s="34"/>
      <c r="N34" s="34"/>
      <c r="O34" s="34"/>
      <c r="P34" s="34"/>
      <c r="Q34" s="34"/>
      <c r="R34" s="34"/>
    </row>
    <row r="35" spans="2:23" x14ac:dyDescent="0.2">
      <c r="B35" s="34" t="s">
        <v>747</v>
      </c>
      <c r="C35" s="88">
        <f>'Note 13'!$A$5</f>
        <v>13</v>
      </c>
      <c r="D35" s="88"/>
      <c r="E35" s="34">
        <f>ROUND(SUMIFS(MAP!$T:$T,MAP!$C:$C,"SFP",MAP!$E:$E,$B35),0)</f>
        <v>0</v>
      </c>
      <c r="F35" s="88"/>
      <c r="G35" s="34">
        <f>ROUND(SUMIFS(MAP!$N:$N,MAP!$C:$C,"SFP",MAP!$E:$E,$B35),0)</f>
        <v>0</v>
      </c>
      <c r="H35" s="346">
        <f>G35+'Note 13'!E32</f>
        <v>0</v>
      </c>
      <c r="I35" s="346">
        <f>E35+'Note 13'!C32</f>
        <v>0</v>
      </c>
      <c r="J35" s="88"/>
      <c r="K35" s="342">
        <v>-219580</v>
      </c>
      <c r="L35" s="88"/>
      <c r="M35" s="342">
        <v>-1321660</v>
      </c>
      <c r="N35" s="88"/>
      <c r="O35" s="88"/>
      <c r="P35" s="342">
        <v>-256851</v>
      </c>
      <c r="Q35" s="88"/>
      <c r="R35" s="342">
        <v>-1285398</v>
      </c>
      <c r="T35" s="34">
        <f>ROUND(SUMIFS(MAP!$U:$U,MAP!$C:$C,"SFP",MAP!$E:$E,$B35),0)</f>
        <v>0</v>
      </c>
      <c r="U35" s="88"/>
      <c r="V35" s="34">
        <f>ROUND(SUMIFS(MAP!$BD:$BD,MAP!$C:$C,"SFP",MAP!$E:$E,$B35),0)</f>
        <v>0</v>
      </c>
      <c r="W35" s="346">
        <f>V35+'Note 13'!N32</f>
        <v>0</v>
      </c>
    </row>
    <row r="36" spans="2:23" x14ac:dyDescent="0.2">
      <c r="B36" s="34" t="s">
        <v>1075</v>
      </c>
      <c r="C36" s="88">
        <v>13</v>
      </c>
      <c r="D36" s="88"/>
      <c r="E36" s="34">
        <f>ROUND(SUMIFS(MAP!$T:$T,MAP!$C:$C,"SFP",MAP!$E:$E,$B36),0)</f>
        <v>0</v>
      </c>
      <c r="F36" s="88"/>
      <c r="G36" s="34">
        <f>ROUND(SUMIFS(MAP!$N:$N,MAP!$C:$C,"SFP",MAP!$E:$E,$B36),0)</f>
        <v>0</v>
      </c>
      <c r="H36" s="34"/>
      <c r="I36" s="34"/>
      <c r="J36" s="88"/>
      <c r="K36" s="342">
        <v>0</v>
      </c>
      <c r="L36" s="88"/>
      <c r="M36" s="342">
        <v>0</v>
      </c>
      <c r="N36" s="88"/>
      <c r="O36" s="88"/>
      <c r="P36" s="342">
        <v>0</v>
      </c>
      <c r="Q36" s="88"/>
      <c r="R36" s="342">
        <v>0</v>
      </c>
      <c r="T36" s="34">
        <f>ROUND(SUMIFS(MAP!$U:$U,MAP!$C:$C,"SFP",MAP!$E:$E,$B36),0)</f>
        <v>0</v>
      </c>
      <c r="U36" s="88"/>
      <c r="V36" s="34">
        <f>ROUND(SUMIFS(MAP!$BD:$BD,MAP!$C:$C,"SFP",MAP!$E:$E,$B36),0)</f>
        <v>0</v>
      </c>
    </row>
    <row r="37" spans="2:23" x14ac:dyDescent="0.2">
      <c r="B37" s="34" t="s">
        <v>748</v>
      </c>
      <c r="C37" s="88">
        <f>'Note 13'!$A$5</f>
        <v>13</v>
      </c>
      <c r="D37" s="88"/>
      <c r="E37" s="34">
        <f>ROUND(SUMIFS(MAP!$T:$T,MAP!$C:$C,"SFP",MAP!$E:$E,$B37),0)</f>
        <v>0</v>
      </c>
      <c r="F37" s="88"/>
      <c r="G37" s="34">
        <f>ROUND(SUMIFS(MAP!$N:$N,MAP!$C:$C,"SFP",MAP!$E:$E,$B37),0)</f>
        <v>0</v>
      </c>
      <c r="H37" s="346">
        <f>G37+'Note 13'!E39</f>
        <v>0</v>
      </c>
      <c r="I37" s="346">
        <f>E37+'Note 13'!C39</f>
        <v>0</v>
      </c>
      <c r="J37" s="88"/>
      <c r="K37" s="342">
        <v>-294</v>
      </c>
      <c r="L37" s="88"/>
      <c r="M37" s="342">
        <v>-16207</v>
      </c>
      <c r="N37" s="88"/>
      <c r="O37" s="88"/>
      <c r="P37" s="342">
        <v>0</v>
      </c>
      <c r="Q37" s="88"/>
      <c r="R37" s="342">
        <v>-7606</v>
      </c>
      <c r="T37" s="34">
        <f>ROUND(SUMIFS(MAP!$U:$U,MAP!$C:$C,"SFP",MAP!$E:$E,$B37),0)</f>
        <v>0</v>
      </c>
      <c r="U37" s="88"/>
      <c r="V37" s="34">
        <f>ROUND(SUMIFS(MAP!$BD:$BD,MAP!$C:$C,"SFP",MAP!$E:$E,$B37),0)</f>
        <v>0</v>
      </c>
      <c r="W37" s="346">
        <f>V37+'Note 13'!N39</f>
        <v>0</v>
      </c>
    </row>
    <row r="38" spans="2:23" x14ac:dyDescent="0.2">
      <c r="B38" s="34" t="s">
        <v>297</v>
      </c>
      <c r="C38" s="74">
        <f>'Note 14'!$A$5</f>
        <v>14</v>
      </c>
      <c r="E38" s="34">
        <f>ROUND(SUMIFS(MAP!$T:$T,MAP!$C:$C,"SFP",MAP!$E:$E,$B38),0)</f>
        <v>0</v>
      </c>
      <c r="G38" s="34">
        <f>ROUND(SUMIFS(MAP!$N:$N,MAP!$C:$C,"SFP",MAP!$E:$E,$B38),0)</f>
        <v>0</v>
      </c>
      <c r="H38" s="346">
        <f>G38+'Note 14'!AC24</f>
        <v>0</v>
      </c>
      <c r="I38" s="346">
        <f>E38+'Note 14'!U24</f>
        <v>0</v>
      </c>
      <c r="K38" s="342">
        <v>-4035</v>
      </c>
      <c r="M38" s="342">
        <v>-265753</v>
      </c>
      <c r="P38" s="342">
        <v>-4186</v>
      </c>
      <c r="R38" s="342">
        <v>-183048</v>
      </c>
      <c r="T38" s="34">
        <f>ROUND(SUMIFS(MAP!$U:$U,MAP!$C:$C,"SFP",MAP!$E:$E,$B38),0)</f>
        <v>0</v>
      </c>
      <c r="U38" s="74"/>
      <c r="V38" s="34">
        <f>ROUND(SUMIFS(MAP!$BD:$BD,MAP!$C:$C,"SFP",MAP!$E:$E,$B38),0)</f>
        <v>0</v>
      </c>
    </row>
    <row r="39" spans="2:23" x14ac:dyDescent="0.2">
      <c r="B39" s="34" t="s">
        <v>746</v>
      </c>
      <c r="C39" s="74">
        <v>10</v>
      </c>
      <c r="E39" s="44">
        <f>ROUND(SUMIFS(MAP!$T:$T,MAP!$C:$C,"SFP",MAP!$E:$E,$B39),0)</f>
        <v>0</v>
      </c>
      <c r="G39" s="44">
        <f>ROUND(SUMIFS(MAP!$N:$N,MAP!$C:$C,"SFP",MAP!$E:$E,$B39),0)</f>
        <v>0</v>
      </c>
      <c r="H39" s="346"/>
      <c r="K39" s="345">
        <v>0</v>
      </c>
      <c r="M39" s="345">
        <v>0</v>
      </c>
      <c r="P39" s="345">
        <v>0</v>
      </c>
      <c r="R39" s="345">
        <v>0</v>
      </c>
      <c r="T39" s="44">
        <f>ROUND(SUMIFS(MAP!$U:$U,MAP!$C:$C,"SFP",MAP!$E:$E,$B39),0)</f>
        <v>0</v>
      </c>
      <c r="U39" s="74"/>
      <c r="V39" s="44">
        <f>ROUND(SUMIFS(MAP!$BD:$BD,MAP!$C:$C,"SFP",MAP!$E:$E,$B39),0)</f>
        <v>0</v>
      </c>
    </row>
    <row r="40" spans="2:23" x14ac:dyDescent="0.2">
      <c r="B40" s="119" t="s">
        <v>544</v>
      </c>
      <c r="E40" s="37">
        <f>SUM(E35:E39)</f>
        <v>0</v>
      </c>
      <c r="F40" s="38"/>
      <c r="G40" s="37">
        <f>SUM(G35:G39)</f>
        <v>0</v>
      </c>
      <c r="K40" s="34">
        <f>SUM(K35:K39)</f>
        <v>-223909</v>
      </c>
      <c r="M40" s="34">
        <f>SUM(M35:M39)</f>
        <v>-1603620</v>
      </c>
      <c r="P40" s="34">
        <f>SUM(P35:P39)</f>
        <v>-261037</v>
      </c>
      <c r="R40" s="34">
        <f>SUM(R35:R39)</f>
        <v>-1476052</v>
      </c>
      <c r="T40" s="37">
        <f>SUM(T35:T39)</f>
        <v>0</v>
      </c>
      <c r="U40" s="38"/>
      <c r="V40" s="37">
        <f>SUM(V35:V39)</f>
        <v>0</v>
      </c>
      <c r="W40" s="920" t="e">
        <f>V40/G40</f>
        <v>#DIV/0!</v>
      </c>
    </row>
    <row r="41" spans="2:23" x14ac:dyDescent="0.2">
      <c r="B41" s="119"/>
      <c r="E41" s="34"/>
      <c r="G41" s="34"/>
      <c r="K41" s="34"/>
      <c r="M41" s="34"/>
      <c r="P41" s="34"/>
      <c r="R41" s="34"/>
      <c r="U41" s="74"/>
    </row>
    <row r="42" spans="2:23" ht="27.75" customHeight="1" x14ac:dyDescent="0.2">
      <c r="B42" s="55" t="s">
        <v>545</v>
      </c>
      <c r="E42" s="97">
        <f>E20+E30+E40</f>
        <v>2064443</v>
      </c>
      <c r="F42" s="38"/>
      <c r="G42" s="97">
        <f>G20+G30+G40</f>
        <v>55443</v>
      </c>
      <c r="K42" s="98">
        <f>K20+K30+K40</f>
        <v>1934705</v>
      </c>
      <c r="M42" s="98">
        <f>M20+M30+M40</f>
        <v>4032150</v>
      </c>
      <c r="P42" s="98">
        <f>P20+P30+P40</f>
        <v>2029139</v>
      </c>
      <c r="R42" s="98">
        <f>R20+R30+R40</f>
        <v>3423540</v>
      </c>
      <c r="T42" s="97">
        <f>T20+T30+T40</f>
        <v>0</v>
      </c>
      <c r="U42" s="38"/>
      <c r="V42" s="97">
        <f>V20+V30+V40</f>
        <v>2009000</v>
      </c>
    </row>
    <row r="43" spans="2:23" x14ac:dyDescent="0.2">
      <c r="E43" s="34"/>
      <c r="G43" s="34"/>
      <c r="K43" s="34"/>
      <c r="M43" s="34"/>
      <c r="P43" s="34"/>
      <c r="R43" s="34"/>
      <c r="U43" s="74"/>
    </row>
    <row r="44" spans="2:23" x14ac:dyDescent="0.2">
      <c r="E44" s="34"/>
      <c r="G44" s="34"/>
      <c r="K44" s="34"/>
      <c r="M44" s="34"/>
      <c r="P44" s="34"/>
      <c r="R44" s="34"/>
      <c r="U44" s="74"/>
    </row>
    <row r="45" spans="2:23" x14ac:dyDescent="0.2">
      <c r="B45" s="37" t="s">
        <v>546</v>
      </c>
      <c r="E45" s="34"/>
      <c r="G45" s="34"/>
      <c r="K45" s="34"/>
      <c r="M45" s="34"/>
      <c r="P45" s="34"/>
      <c r="R45" s="34"/>
      <c r="U45" s="74"/>
    </row>
    <row r="46" spans="2:23" x14ac:dyDescent="0.2">
      <c r="B46" s="34" t="s">
        <v>741</v>
      </c>
      <c r="C46" s="74">
        <f>'Note 14'!$A$5</f>
        <v>14</v>
      </c>
      <c r="D46" s="88"/>
      <c r="E46" s="34">
        <f>ROUND(SUMIFS(MAP!$T:$T,MAP!$C:$C,"SFP",MAP!$E:$E,$B46),0)</f>
        <v>0</v>
      </c>
      <c r="F46" s="88"/>
      <c r="G46" s="34">
        <f>ROUND(SUMIFS(MAP!$N:$N,MAP!$C:$C,"SFP",MAP!$E:$E,$B46),0)</f>
        <v>0</v>
      </c>
      <c r="H46" s="346">
        <f>G46+'Note 14'!AC25+'Note 14'!AC26</f>
        <v>0</v>
      </c>
      <c r="I46" s="346">
        <f>E46+'Note 14'!U25+'Note 14'!U26</f>
        <v>0</v>
      </c>
      <c r="J46" s="88"/>
      <c r="K46" s="342">
        <v>-23441</v>
      </c>
      <c r="L46" s="88"/>
      <c r="M46" s="342">
        <v>-1359339</v>
      </c>
      <c r="N46" s="88"/>
      <c r="O46" s="88"/>
      <c r="P46" s="342">
        <v>-38789</v>
      </c>
      <c r="Q46" s="88"/>
      <c r="R46" s="342">
        <v>-535225</v>
      </c>
      <c r="T46" s="34">
        <f>ROUND(SUMIFS(MAP!$U:$U,MAP!$C:$C,"SFP",MAP!$E:$E,$B46),0)</f>
        <v>0</v>
      </c>
      <c r="U46" s="88"/>
      <c r="V46" s="34">
        <f>ROUND(SUMIFS(MAP!$BD:$BD,MAP!$C:$C,"SFP",MAP!$E:$E,$B46),0)</f>
        <v>0</v>
      </c>
    </row>
    <row r="47" spans="2:23" x14ac:dyDescent="0.2">
      <c r="B47" s="34" t="s">
        <v>1688</v>
      </c>
      <c r="C47" s="88">
        <f>'Note 13'!$A$5</f>
        <v>13</v>
      </c>
      <c r="D47" s="88"/>
      <c r="E47" s="34">
        <f>ROUND(SUMIFS(MAP!$T:$T,MAP!$C:$C,"SFP",MAP!$E:$E,$B47),0)</f>
        <v>0</v>
      </c>
      <c r="F47" s="88"/>
      <c r="G47" s="34">
        <f>ROUND(SUMIFS(MAP!$N:$N,MAP!$C:$C,"SFP",MAP!$E:$E,$B47),0)</f>
        <v>0</v>
      </c>
      <c r="H47" s="346">
        <f>G47+'Note 13'!E53+'Note 13'!E47</f>
        <v>0</v>
      </c>
      <c r="I47" s="346">
        <f>E47+'Note 13'!C53</f>
        <v>0</v>
      </c>
      <c r="J47" s="88"/>
      <c r="K47" s="342">
        <v>-178</v>
      </c>
      <c r="L47" s="88"/>
      <c r="M47" s="342">
        <v>-261839</v>
      </c>
      <c r="N47" s="88"/>
      <c r="O47" s="88"/>
      <c r="P47" s="342">
        <v>0</v>
      </c>
      <c r="Q47" s="88"/>
      <c r="R47" s="342">
        <v>-182742</v>
      </c>
      <c r="T47" s="34">
        <f>ROUND(SUMIFS(MAP!$U:$U,MAP!$C:$C,"SFP",MAP!$E:$E,$B47),0)</f>
        <v>0</v>
      </c>
      <c r="U47" s="88"/>
      <c r="V47" s="34">
        <f>ROUND(SUMIFS(MAP!$BD:$BD,MAP!$C:$C,"SFP",MAP!$E:$E,$B47),0)</f>
        <v>0</v>
      </c>
    </row>
    <row r="48" spans="2:23" x14ac:dyDescent="0.2">
      <c r="B48" s="34" t="s">
        <v>1076</v>
      </c>
      <c r="C48" s="88">
        <v>16</v>
      </c>
      <c r="D48" s="88"/>
      <c r="E48" s="34">
        <f>ROUND(SUMIFS(MAP!$T:$T,MAP!$C:$C,"SFP",MAP!$E:$E,$B48),0)</f>
        <v>0</v>
      </c>
      <c r="F48" s="88"/>
      <c r="G48" s="34">
        <f>ROUND(SUMIFS(MAP!$N:$N,MAP!$C:$C,"SFP",MAP!$E:$E,$B48),0)</f>
        <v>0</v>
      </c>
      <c r="H48" s="346">
        <v>0</v>
      </c>
      <c r="J48" s="88"/>
      <c r="K48" s="342">
        <v>0</v>
      </c>
      <c r="L48" s="88"/>
      <c r="M48" s="342">
        <v>-698510</v>
      </c>
      <c r="N48" s="88"/>
      <c r="O48" s="88"/>
      <c r="P48" s="342">
        <v>0</v>
      </c>
      <c r="Q48" s="88"/>
      <c r="R48" s="342">
        <v>-1254288</v>
      </c>
      <c r="T48" s="34">
        <f>ROUND(SUMIFS(MAP!$U:$U,MAP!$C:$C,"SFP",MAP!$E:$E,$B48),0)</f>
        <v>0</v>
      </c>
      <c r="U48" s="88"/>
      <c r="V48" s="34">
        <f>ROUND(SUMIFS(MAP!$BD:$BD,MAP!$C:$C,"SFP",MAP!$E:$E,$B48),0)</f>
        <v>0</v>
      </c>
    </row>
    <row r="49" spans="2:24" x14ac:dyDescent="0.2">
      <c r="B49" s="34" t="s">
        <v>1689</v>
      </c>
      <c r="E49" s="44">
        <f>ROUND(SUMIFS(MAP!$T:$T,MAP!$C:$C,"SFP",MAP!$E:$E,$B49),0)</f>
        <v>0</v>
      </c>
      <c r="G49" s="44">
        <f>ROUND(SUMIFS(MAP!$N:$N,MAP!$C:$C,"SFP",MAP!$E:$E,$B49),0)</f>
        <v>0</v>
      </c>
      <c r="K49" s="345">
        <v>0</v>
      </c>
      <c r="M49" s="345">
        <v>0</v>
      </c>
      <c r="P49" s="345">
        <v>0</v>
      </c>
      <c r="R49" s="345">
        <v>0</v>
      </c>
      <c r="T49" s="44">
        <f>ROUND(SUMIFS(MAP!$U:$U,MAP!$C:$C,"SFP",MAP!$E:$E,$B49),0)</f>
        <v>0</v>
      </c>
      <c r="U49" s="74"/>
      <c r="V49" s="44">
        <f>ROUND(SUMIFS(MAP!$BD:$BD,MAP!$C:$C,"SFP",MAP!$E:$E,$B49),0)</f>
        <v>0</v>
      </c>
    </row>
    <row r="50" spans="2:24" x14ac:dyDescent="0.2">
      <c r="B50" s="37" t="s">
        <v>547</v>
      </c>
      <c r="E50" s="37">
        <f>SUM(E46:E49)</f>
        <v>0</v>
      </c>
      <c r="F50" s="38"/>
      <c r="G50" s="37">
        <f>SUM(G46:G49)</f>
        <v>0</v>
      </c>
      <c r="K50" s="34">
        <f>SUM(K46:K49)</f>
        <v>-23619</v>
      </c>
      <c r="M50" s="34">
        <f>SUM(M46:M49)</f>
        <v>-2319688</v>
      </c>
      <c r="P50" s="34">
        <f>SUM(P46:P49)</f>
        <v>-38789</v>
      </c>
      <c r="R50" s="34">
        <f>SUM(R46:R49)</f>
        <v>-1972255</v>
      </c>
      <c r="T50" s="37">
        <f>SUM(T46:T49)</f>
        <v>0</v>
      </c>
      <c r="U50" s="38"/>
      <c r="V50" s="37">
        <f>SUM(V46:V49)</f>
        <v>0</v>
      </c>
    </row>
    <row r="51" spans="2:24" x14ac:dyDescent="0.2">
      <c r="E51" s="34"/>
      <c r="G51" s="34"/>
      <c r="K51" s="34"/>
      <c r="M51" s="34"/>
      <c r="P51" s="34"/>
      <c r="R51" s="34"/>
      <c r="U51" s="74"/>
    </row>
    <row r="52" spans="2:24" ht="19.7" customHeight="1" x14ac:dyDescent="0.2">
      <c r="B52" s="37" t="s">
        <v>1217</v>
      </c>
      <c r="E52" s="97">
        <f>E20+E30+E40+E50</f>
        <v>2064443</v>
      </c>
      <c r="G52" s="97">
        <f>G20+G30+G40+G50</f>
        <v>55443</v>
      </c>
      <c r="K52" s="97">
        <f>K20+K30+K40+K50</f>
        <v>1911086</v>
      </c>
      <c r="M52" s="97">
        <f>M20+M30+M40+M50</f>
        <v>1712462</v>
      </c>
      <c r="P52" s="97">
        <f>P20+P30+P40+P50</f>
        <v>1990350</v>
      </c>
      <c r="R52" s="97">
        <f>R20+R30+R40+R50</f>
        <v>1451285</v>
      </c>
      <c r="T52" s="97">
        <f>T20+T30+T40+T50</f>
        <v>0</v>
      </c>
      <c r="U52" s="74"/>
      <c r="V52" s="97">
        <f>V20+V30+V40+V50</f>
        <v>2009000</v>
      </c>
    </row>
    <row r="53" spans="2:24" x14ac:dyDescent="0.2">
      <c r="B53" s="37"/>
      <c r="E53" s="34"/>
      <c r="G53" s="34"/>
      <c r="K53" s="34"/>
      <c r="M53" s="34"/>
      <c r="P53" s="34"/>
      <c r="R53" s="34"/>
      <c r="U53" s="74"/>
    </row>
    <row r="54" spans="2:24" x14ac:dyDescent="0.2">
      <c r="E54" s="34"/>
      <c r="G54" s="34"/>
      <c r="K54" s="34"/>
      <c r="M54" s="34"/>
      <c r="P54" s="34"/>
      <c r="R54" s="34"/>
      <c r="U54" s="74"/>
    </row>
    <row r="55" spans="2:24" x14ac:dyDescent="0.2">
      <c r="B55" s="37" t="s">
        <v>1690</v>
      </c>
      <c r="E55" s="34"/>
      <c r="G55" s="34"/>
      <c r="K55" s="34"/>
      <c r="M55" s="34"/>
      <c r="P55" s="34"/>
      <c r="R55" s="34"/>
      <c r="U55" s="74"/>
    </row>
    <row r="56" spans="2:24" x14ac:dyDescent="0.2">
      <c r="E56" s="34"/>
      <c r="G56" s="34"/>
      <c r="K56" s="34"/>
      <c r="M56" s="34"/>
      <c r="P56" s="34"/>
      <c r="R56" s="34"/>
      <c r="U56" s="74"/>
    </row>
    <row r="57" spans="2:24" x14ac:dyDescent="0.2">
      <c r="B57" s="34" t="s">
        <v>79</v>
      </c>
      <c r="E57" s="34">
        <f>SUMIFS(MAP!$T:$T,MAP!$C:$C,"SFP",MAP!$E:$E,$B57)</f>
        <v>1984321</v>
      </c>
      <c r="G57" s="34">
        <f>ROUND(SUMIFS(MAP!$N:$N,MAP!$C:$C,"SFP",MAP!$E:$E,$B57),0)</f>
        <v>-24679</v>
      </c>
      <c r="H57" s="346">
        <f>G57-TE!I75</f>
        <v>-6287</v>
      </c>
      <c r="I57" s="346">
        <f>E57-TE!D75</f>
        <v>106511</v>
      </c>
      <c r="K57" s="342">
        <v>1877810</v>
      </c>
      <c r="M57" s="342">
        <v>-18392</v>
      </c>
      <c r="N57" s="74">
        <f>+K57-TE!D46</f>
        <v>0</v>
      </c>
      <c r="O57" s="74">
        <f>+M57-TE!I46</f>
        <v>0</v>
      </c>
      <c r="P57" s="342">
        <v>1960444</v>
      </c>
      <c r="R57" s="342">
        <v>171884</v>
      </c>
      <c r="S57" s="34">
        <f>+P57-TE!D17</f>
        <v>142534</v>
      </c>
      <c r="T57" s="34">
        <f>SUMIFS(MAP!$U:$U,MAP!$C:$C,"SFP",MAP!$E:$E,$B57)</f>
        <v>0</v>
      </c>
      <c r="U57" s="74"/>
      <c r="V57" s="34">
        <f>SUMIFS(MAP!$BD:$BD,MAP!$C:$C,"SFP",MAP!$E:$E,$B57)</f>
        <v>2009000</v>
      </c>
      <c r="X57" s="34">
        <f>+R57-TE!I17</f>
        <v>-111524</v>
      </c>
    </row>
    <row r="58" spans="2:24" x14ac:dyDescent="0.2">
      <c r="B58" s="34" t="s">
        <v>80</v>
      </c>
      <c r="E58" s="34">
        <f>SUMIFS(MAP!$T:$T,MAP!$C:$C,"SFP",MAP!$E:$E,$B58)</f>
        <v>19953</v>
      </c>
      <c r="G58" s="34">
        <f>ROUND(SUMIFS(MAP!$N:$N,MAP!$C:$C,"SFP",MAP!$E:$E,$B58),0)</f>
        <v>19953</v>
      </c>
      <c r="H58" s="346">
        <f>G58-TE!J75</f>
        <v>-1616383</v>
      </c>
      <c r="I58" s="346">
        <f>E58-TE!E75</f>
        <v>-13323</v>
      </c>
      <c r="K58" s="342">
        <v>33276</v>
      </c>
      <c r="M58" s="342">
        <v>1636336</v>
      </c>
      <c r="N58" s="74">
        <f>+K58-TE!E46</f>
        <v>0</v>
      </c>
      <c r="O58" s="74">
        <f>+M58-TE!J46</f>
        <v>0</v>
      </c>
      <c r="P58" s="342">
        <v>29906</v>
      </c>
      <c r="R58" s="342">
        <v>1180756</v>
      </c>
      <c r="S58" s="34">
        <f>+P58-TE!E17</f>
        <v>11441</v>
      </c>
      <c r="T58" s="34">
        <f>SUMIFS(MAP!$U:$U,MAP!$C:$C,"SFP",MAP!$E:$E,$B58)</f>
        <v>0</v>
      </c>
      <c r="U58" s="74"/>
      <c r="V58" s="34">
        <f>SUMIFS(MAP!$BD:$BD,MAP!$C:$C,"SFP",MAP!$E:$E,$B58)</f>
        <v>0</v>
      </c>
      <c r="X58" s="34">
        <f>+R58-TE!J17</f>
        <v>-321683</v>
      </c>
    </row>
    <row r="59" spans="2:24" x14ac:dyDescent="0.2">
      <c r="B59" s="34" t="s">
        <v>809</v>
      </c>
      <c r="E59" s="34">
        <f>SUMIFS(MAP!$T:$T,MAP!$C:$C,"SFP",MAP!$E:$E,$B59)</f>
        <v>0</v>
      </c>
      <c r="G59" s="34">
        <f>ROUND(SUMIFS(MAP!$N:$N,MAP!$C:$C,"SFP",MAP!$E:$E,$B59),0)</f>
        <v>0</v>
      </c>
      <c r="H59" s="346">
        <f>G59-TE!K75</f>
        <v>-94518</v>
      </c>
      <c r="I59" s="346">
        <f>E59-TE!F75</f>
        <v>0</v>
      </c>
      <c r="K59" s="345">
        <v>0</v>
      </c>
      <c r="M59" s="345">
        <v>94518</v>
      </c>
      <c r="N59" s="74">
        <f>+K59-TE!F46</f>
        <v>0</v>
      </c>
      <c r="O59" s="74">
        <f>+M59-TE!K46</f>
        <v>0</v>
      </c>
      <c r="P59" s="345">
        <v>0</v>
      </c>
      <c r="R59" s="345">
        <v>98645</v>
      </c>
      <c r="S59" s="34">
        <f>+P59-TE!F17</f>
        <v>0</v>
      </c>
      <c r="T59" s="34">
        <f>SUMIFS(MAP!$U:$U,MAP!$C:$C,"SFP",MAP!$E:$E,$B59)</f>
        <v>0</v>
      </c>
      <c r="U59" s="74"/>
      <c r="V59" s="34">
        <f>SUMIFS(MAP!$BD:$BD,MAP!$C:$C,"SFP",MAP!$E:$E,$B59)</f>
        <v>0</v>
      </c>
      <c r="X59" s="34">
        <f>+R59-TE!K17</f>
        <v>-325</v>
      </c>
    </row>
    <row r="60" spans="2:24" x14ac:dyDescent="0.2">
      <c r="B60" s="37" t="s">
        <v>1215</v>
      </c>
      <c r="E60" s="97">
        <f>SUM(E57:E59)</f>
        <v>2004274</v>
      </c>
      <c r="G60" s="97">
        <f>SUM(G57:G59)</f>
        <v>-4726</v>
      </c>
      <c r="K60" s="97">
        <f>SUM(K57:K59)</f>
        <v>1911086</v>
      </c>
      <c r="M60" s="97">
        <f>SUM(M57:M59)</f>
        <v>1712462</v>
      </c>
      <c r="N60" s="74">
        <f>+K60-TE!G46</f>
        <v>0</v>
      </c>
      <c r="O60" s="74">
        <f>+M60-TE!L46</f>
        <v>0</v>
      </c>
      <c r="P60" s="97">
        <f>SUM(P57:P59)</f>
        <v>1990350</v>
      </c>
      <c r="R60" s="97">
        <f>SUM(R57:R59)</f>
        <v>1451285</v>
      </c>
      <c r="S60" s="34">
        <f>+P60-TE!G17</f>
        <v>153975</v>
      </c>
      <c r="T60" s="97">
        <f>SUM(T57:T59)</f>
        <v>0</v>
      </c>
      <c r="U60" s="74"/>
      <c r="V60" s="97">
        <f>SUM(V57:V59)</f>
        <v>2009000</v>
      </c>
      <c r="X60" s="34">
        <f>+R60-TE!L17</f>
        <v>-433532</v>
      </c>
    </row>
    <row r="61" spans="2:24" x14ac:dyDescent="0.2">
      <c r="E61" s="34"/>
      <c r="G61" s="34"/>
      <c r="K61" s="34"/>
      <c r="M61" s="34"/>
      <c r="P61" s="34"/>
      <c r="R61" s="34"/>
      <c r="U61" s="74"/>
    </row>
    <row r="62" spans="2:24" hidden="1" outlineLevel="1" x14ac:dyDescent="0.2">
      <c r="C62" s="343" t="s">
        <v>1049</v>
      </c>
      <c r="E62" s="340">
        <f>E52-E60</f>
        <v>60169</v>
      </c>
      <c r="G62" s="340">
        <f>G52-G60</f>
        <v>60169</v>
      </c>
      <c r="K62" s="340">
        <f>K52-K60</f>
        <v>0</v>
      </c>
      <c r="M62" s="340">
        <f>M52-M60</f>
        <v>0</v>
      </c>
      <c r="P62" s="340">
        <f>P52-P60</f>
        <v>0</v>
      </c>
      <c r="R62" s="340">
        <f>R52-R60</f>
        <v>0</v>
      </c>
      <c r="T62" s="340">
        <f>T52-T60</f>
        <v>0</v>
      </c>
      <c r="U62" s="74"/>
      <c r="V62" s="340">
        <f>V52-V60</f>
        <v>0</v>
      </c>
    </row>
    <row r="63" spans="2:24" collapsed="1" x14ac:dyDescent="0.2">
      <c r="E63" s="46">
        <f>+E52-E60</f>
        <v>60169</v>
      </c>
      <c r="G63" s="46">
        <f>+G52-G60</f>
        <v>60169</v>
      </c>
      <c r="M63" s="74">
        <f>+M52-M60</f>
        <v>0</v>
      </c>
      <c r="R63" s="74">
        <f>+R52-R60</f>
        <v>0</v>
      </c>
    </row>
    <row r="64" spans="2:24" x14ac:dyDescent="0.2">
      <c r="E64" s="121"/>
      <c r="G64" s="121"/>
    </row>
    <row r="65" spans="5:7" x14ac:dyDescent="0.2">
      <c r="E65" s="121"/>
      <c r="G65" s="121"/>
    </row>
    <row r="66" spans="5:7" x14ac:dyDescent="0.2">
      <c r="E66" s="121"/>
      <c r="G66" s="121"/>
    </row>
    <row r="67" spans="5:7" x14ac:dyDescent="0.2">
      <c r="E67" s="34"/>
      <c r="G67" s="34"/>
    </row>
    <row r="68" spans="5:7" x14ac:dyDescent="0.2">
      <c r="E68" s="34"/>
      <c r="G68" s="34"/>
    </row>
    <row r="69" spans="5:7" x14ac:dyDescent="0.2">
      <c r="E69" s="34"/>
      <c r="G69" s="34"/>
    </row>
    <row r="70" spans="5:7" x14ac:dyDescent="0.2">
      <c r="E70" s="34"/>
      <c r="G70" s="34"/>
    </row>
    <row r="71" spans="5:7" x14ac:dyDescent="0.2">
      <c r="E71" s="34"/>
      <c r="G71" s="34"/>
    </row>
    <row r="72" spans="5:7" x14ac:dyDescent="0.2">
      <c r="E72" s="34"/>
      <c r="G72" s="34"/>
    </row>
    <row r="73" spans="5:7" x14ac:dyDescent="0.2">
      <c r="E73" s="34"/>
      <c r="G73" s="34"/>
    </row>
    <row r="74" spans="5:7" x14ac:dyDescent="0.2">
      <c r="E74" s="34"/>
      <c r="G74" s="34"/>
    </row>
    <row r="75" spans="5:7" x14ac:dyDescent="0.2">
      <c r="E75" s="34"/>
      <c r="G75" s="34"/>
    </row>
    <row r="76" spans="5:7" x14ac:dyDescent="0.2">
      <c r="E76" s="34"/>
      <c r="G76" s="34"/>
    </row>
    <row r="77" spans="5:7" x14ac:dyDescent="0.2">
      <c r="E77" s="34"/>
      <c r="G77" s="34"/>
    </row>
    <row r="78" spans="5:7" x14ac:dyDescent="0.2">
      <c r="E78" s="34"/>
      <c r="G78" s="34"/>
    </row>
    <row r="79" spans="5:7" x14ac:dyDescent="0.2">
      <c r="E79" s="34"/>
      <c r="G79" s="34"/>
    </row>
    <row r="80" spans="5:7" x14ac:dyDescent="0.2">
      <c r="E80" s="34"/>
      <c r="G80" s="34"/>
    </row>
    <row r="81" spans="5:7" x14ac:dyDescent="0.2">
      <c r="E81" s="34"/>
      <c r="G81" s="34"/>
    </row>
    <row r="82" spans="5:7" x14ac:dyDescent="0.2">
      <c r="E82" s="34"/>
      <c r="G82" s="34"/>
    </row>
    <row r="83" spans="5:7" x14ac:dyDescent="0.2">
      <c r="E83" s="34"/>
      <c r="G83" s="34"/>
    </row>
    <row r="84" spans="5:7" x14ac:dyDescent="0.2">
      <c r="E84" s="34"/>
      <c r="G84" s="34"/>
    </row>
    <row r="85" spans="5:7" x14ac:dyDescent="0.2">
      <c r="E85" s="34"/>
      <c r="G85" s="34"/>
    </row>
    <row r="86" spans="5:7" x14ac:dyDescent="0.2">
      <c r="E86" s="34"/>
      <c r="G86" s="34"/>
    </row>
    <row r="87" spans="5:7" x14ac:dyDescent="0.2">
      <c r="E87" s="34"/>
      <c r="G87" s="34"/>
    </row>
    <row r="88" spans="5:7" x14ac:dyDescent="0.2">
      <c r="G88" s="34"/>
    </row>
    <row r="89" spans="5:7" x14ac:dyDescent="0.2">
      <c r="G89" s="34"/>
    </row>
    <row r="90" spans="5:7" x14ac:dyDescent="0.2">
      <c r="G90" s="34"/>
    </row>
    <row r="91" spans="5:7" x14ac:dyDescent="0.2">
      <c r="G91" s="34"/>
    </row>
  </sheetData>
  <mergeCells count="1">
    <mergeCell ref="B7:M7"/>
  </mergeCells>
  <pageMargins left="0.35433070866141736" right="0.47244094488188981" top="0.19685039370078741" bottom="0.19685039370078741" header="0.31496062992125984" footer="0.31496062992125984"/>
  <pageSetup paperSize="9" scale="68"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00B0F0"/>
    <pageSetUpPr fitToPage="1"/>
  </sheetPr>
  <dimension ref="A1:DI137"/>
  <sheetViews>
    <sheetView zoomScale="90" zoomScaleNormal="90" workbookViewId="0">
      <pane xSplit="6" ySplit="9" topLeftCell="G26"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2" x14ac:dyDescent="0.25"/>
  <cols>
    <col min="1" max="1" width="2.28515625" style="47" customWidth="1"/>
    <col min="2" max="2" width="58" style="51" customWidth="1"/>
    <col min="3" max="3" width="9.28515625" style="206" customWidth="1"/>
    <col min="4" max="4" width="21.28515625" style="206" customWidth="1"/>
    <col min="5" max="5" width="1.28515625" style="206" customWidth="1"/>
    <col min="6" max="6" width="13.85546875" style="206" customWidth="1"/>
    <col min="7" max="7" width="3" style="206" customWidth="1"/>
    <col min="8" max="8" width="11" style="206" customWidth="1" outlineLevel="1"/>
    <col min="9" max="9" width="1.28515625" style="206" customWidth="1" outlineLevel="1"/>
    <col min="10" max="10" width="11.42578125" style="206" customWidth="1" outlineLevel="1"/>
    <col min="11" max="11" width="30.5703125" style="206" customWidth="1" outlineLevel="1"/>
    <col min="12" max="12" width="7.28515625" style="206" bestFit="1" customWidth="1"/>
    <col min="13" max="13" width="16" style="206" customWidth="1" outlineLevel="1"/>
    <col min="14" max="14" width="1.5703125" style="206" customWidth="1" outlineLevel="1"/>
    <col min="15" max="15" width="15.5703125" style="206" customWidth="1" outlineLevel="1"/>
    <col min="16" max="16" width="3.7109375" style="206" customWidth="1"/>
    <col min="17" max="17" width="15.5703125" style="206" hidden="1" customWidth="1" outlineLevel="1"/>
    <col min="18" max="18" width="2.140625" style="206" hidden="1" customWidth="1" outlineLevel="1"/>
    <col min="19" max="19" width="15.5703125" style="206" hidden="1" customWidth="1" outlineLevel="1"/>
    <col min="20" max="20" width="3.5703125" style="206" customWidth="1" collapsed="1"/>
    <col min="21" max="21" width="12" style="51" hidden="1" customWidth="1" outlineLevel="1"/>
    <col min="22" max="26" width="0.85546875" style="51" hidden="1" customWidth="1" outlineLevel="2"/>
    <col min="27" max="27" width="12" style="51" hidden="1" customWidth="1" outlineLevel="1" collapsed="1"/>
    <col min="28" max="29" width="0.85546875" style="51" hidden="1" customWidth="1" outlineLevel="2"/>
    <col min="30" max="30" width="12" style="51" hidden="1" customWidth="1" outlineLevel="1" collapsed="1"/>
    <col min="31" max="31" width="12" style="51" hidden="1" customWidth="1" outlineLevel="1"/>
    <col min="32" max="32" width="9.85546875" style="51" hidden="1" customWidth="1" outlineLevel="1"/>
    <col min="33" max="33" width="12" style="51" hidden="1" customWidth="1" outlineLevel="1"/>
    <col min="34" max="36" width="9.85546875" style="51" hidden="1" customWidth="1" outlineLevel="1"/>
    <col min="37" max="37" width="10.28515625" style="51" hidden="1" customWidth="1" outlineLevel="1"/>
    <col min="38" max="38" width="14.85546875" style="51" hidden="1" customWidth="1" outlineLevel="1"/>
    <col min="39" max="39" width="9.85546875" style="51" hidden="1" customWidth="1" outlineLevel="1"/>
    <col min="40" max="40" width="15" style="51" hidden="1" customWidth="1" outlineLevel="1"/>
    <col min="41" max="41" width="19.5703125" style="51" hidden="1" customWidth="1" outlineLevel="1"/>
    <col min="42" max="42" width="9.85546875" style="51" hidden="1" customWidth="1" outlineLevel="1"/>
    <col min="43" max="43" width="10.28515625" style="51" hidden="1" customWidth="1" outlineLevel="1"/>
    <col min="44" max="44" width="9.85546875" style="51" hidden="1" customWidth="1" outlineLevel="1"/>
    <col min="45" max="45" width="15.140625" style="51" hidden="1" customWidth="1" outlineLevel="1"/>
    <col min="46" max="48" width="10.28515625" style="51" hidden="1" customWidth="1" outlineLevel="1"/>
    <col min="49" max="49" width="9.85546875" style="51" hidden="1" customWidth="1" outlineLevel="1"/>
    <col min="50" max="50" width="9.140625" style="51" hidden="1" customWidth="1" outlineLevel="1"/>
    <col min="51" max="51" width="11.5703125" style="51" bestFit="1" customWidth="1" collapsed="1"/>
    <col min="52" max="52" width="10.85546875" style="51" hidden="1" customWidth="1" outlineLevel="1"/>
    <col min="53" max="57" width="1.140625" style="51" hidden="1" customWidth="1" outlineLevel="2"/>
    <col min="58" max="58" width="10.85546875" style="51" hidden="1" customWidth="1" outlineLevel="2" collapsed="1"/>
    <col min="59" max="60" width="1.28515625" style="51" hidden="1" customWidth="1" outlineLevel="2"/>
    <col min="61" max="61" width="9.7109375" style="51" hidden="1" customWidth="1" outlineLevel="1"/>
    <col min="62" max="62" width="10.85546875" style="51" hidden="1" customWidth="1" outlineLevel="1"/>
    <col min="63" max="63" width="8.85546875" style="51" hidden="1" customWidth="1" outlineLevel="1"/>
    <col min="64" max="64" width="10.85546875" style="51" hidden="1" customWidth="1" outlineLevel="1"/>
    <col min="65" max="67" width="8.85546875" style="51" hidden="1" customWidth="1" outlineLevel="1"/>
    <col min="68" max="68" width="11.42578125" style="51" hidden="1" customWidth="1" outlineLevel="1"/>
    <col min="69" max="69" width="10.85546875" style="51" hidden="1" customWidth="1" outlineLevel="1"/>
    <col min="70" max="81" width="8.85546875" style="51" hidden="1" customWidth="1" outlineLevel="1"/>
    <col min="82" max="82" width="9.140625" style="51" collapsed="1"/>
    <col min="83" max="83" width="8.85546875" style="51" hidden="1" customWidth="1" outlineLevel="1"/>
    <col min="84" max="88" width="0.42578125" style="51" hidden="1" customWidth="1" outlineLevel="2"/>
    <col min="89" max="89" width="9.140625" style="51" hidden="1" customWidth="1" outlineLevel="2" collapsed="1"/>
    <col min="90" max="90" width="4.7109375" style="51" hidden="1" customWidth="1" outlineLevel="2"/>
    <col min="91" max="91" width="0.42578125" style="51" hidden="1" customWidth="1" outlineLevel="2"/>
    <col min="92" max="92" width="10.85546875" style="51" hidden="1" customWidth="1" outlineLevel="1"/>
    <col min="93" max="112" width="8.85546875" style="51" hidden="1" customWidth="1" outlineLevel="1"/>
    <col min="113" max="113" width="9.140625" style="51" collapsed="1"/>
    <col min="114" max="244" width="9.140625" style="51"/>
    <col min="245" max="245" width="7.28515625" style="51" customWidth="1"/>
    <col min="246" max="246" width="53.140625" style="51" customWidth="1"/>
    <col min="247" max="248" width="16" style="51" customWidth="1"/>
    <col min="249" max="249" width="6.85546875" style="51" customWidth="1"/>
    <col min="250" max="250" width="16" style="51" customWidth="1"/>
    <col min="251" max="251" width="9.140625" style="51"/>
    <col min="252" max="252" width="9.28515625" style="51" bestFit="1" customWidth="1"/>
    <col min="253" max="254" width="12" style="51" bestFit="1" customWidth="1"/>
    <col min="255" max="500" width="9.140625" style="51"/>
    <col min="501" max="501" width="7.28515625" style="51" customWidth="1"/>
    <col min="502" max="502" width="53.140625" style="51" customWidth="1"/>
    <col min="503" max="504" width="16" style="51" customWidth="1"/>
    <col min="505" max="505" width="6.85546875" style="51" customWidth="1"/>
    <col min="506" max="506" width="16" style="51" customWidth="1"/>
    <col min="507" max="507" width="9.140625" style="51"/>
    <col min="508" max="508" width="9.28515625" style="51" bestFit="1" customWidth="1"/>
    <col min="509" max="510" width="12" style="51" bestFit="1" customWidth="1"/>
    <col min="511" max="756" width="9.140625" style="51"/>
    <col min="757" max="757" width="7.28515625" style="51" customWidth="1"/>
    <col min="758" max="758" width="53.140625" style="51" customWidth="1"/>
    <col min="759" max="760" width="16" style="51" customWidth="1"/>
    <col min="761" max="761" width="6.85546875" style="51" customWidth="1"/>
    <col min="762" max="762" width="16" style="51" customWidth="1"/>
    <col min="763" max="763" width="9.140625" style="51"/>
    <col min="764" max="764" width="9.28515625" style="51" bestFit="1" customWidth="1"/>
    <col min="765" max="766" width="12" style="51" bestFit="1" customWidth="1"/>
    <col min="767" max="1012" width="9.140625" style="51"/>
    <col min="1013" max="1013" width="7.28515625" style="51" customWidth="1"/>
    <col min="1014" max="1014" width="53.140625" style="51" customWidth="1"/>
    <col min="1015" max="1016" width="16" style="51" customWidth="1"/>
    <col min="1017" max="1017" width="6.85546875" style="51" customWidth="1"/>
    <col min="1018" max="1018" width="16" style="51" customWidth="1"/>
    <col min="1019" max="1019" width="9.140625" style="51"/>
    <col min="1020" max="1020" width="9.28515625" style="51" bestFit="1" customWidth="1"/>
    <col min="1021" max="1022" width="12" style="51" bestFit="1" customWidth="1"/>
    <col min="1023" max="1268" width="9.140625" style="51"/>
    <col min="1269" max="1269" width="7.28515625" style="51" customWidth="1"/>
    <col min="1270" max="1270" width="53.140625" style="51" customWidth="1"/>
    <col min="1271" max="1272" width="16" style="51" customWidth="1"/>
    <col min="1273" max="1273" width="6.85546875" style="51" customWidth="1"/>
    <col min="1274" max="1274" width="16" style="51" customWidth="1"/>
    <col min="1275" max="1275" width="9.140625" style="51"/>
    <col min="1276" max="1276" width="9.28515625" style="51" bestFit="1" customWidth="1"/>
    <col min="1277" max="1278" width="12" style="51" bestFit="1" customWidth="1"/>
    <col min="1279" max="1524" width="9.140625" style="51"/>
    <col min="1525" max="1525" width="7.28515625" style="51" customWidth="1"/>
    <col min="1526" max="1526" width="53.140625" style="51" customWidth="1"/>
    <col min="1527" max="1528" width="16" style="51" customWidth="1"/>
    <col min="1529" max="1529" width="6.85546875" style="51" customWidth="1"/>
    <col min="1530" max="1530" width="16" style="51" customWidth="1"/>
    <col min="1531" max="1531" width="9.140625" style="51"/>
    <col min="1532" max="1532" width="9.28515625" style="51" bestFit="1" customWidth="1"/>
    <col min="1533" max="1534" width="12" style="51" bestFit="1" customWidth="1"/>
    <col min="1535" max="1780" width="9.140625" style="51"/>
    <col min="1781" max="1781" width="7.28515625" style="51" customWidth="1"/>
    <col min="1782" max="1782" width="53.140625" style="51" customWidth="1"/>
    <col min="1783" max="1784" width="16" style="51" customWidth="1"/>
    <col min="1785" max="1785" width="6.85546875" style="51" customWidth="1"/>
    <col min="1786" max="1786" width="16" style="51" customWidth="1"/>
    <col min="1787" max="1787" width="9.140625" style="51"/>
    <col min="1788" max="1788" width="9.28515625" style="51" bestFit="1" customWidth="1"/>
    <col min="1789" max="1790" width="12" style="51" bestFit="1" customWidth="1"/>
    <col min="1791" max="2036" width="9.140625" style="51"/>
    <col min="2037" max="2037" width="7.28515625" style="51" customWidth="1"/>
    <col min="2038" max="2038" width="53.140625" style="51" customWidth="1"/>
    <col min="2039" max="2040" width="16" style="51" customWidth="1"/>
    <col min="2041" max="2041" width="6.85546875" style="51" customWidth="1"/>
    <col min="2042" max="2042" width="16" style="51" customWidth="1"/>
    <col min="2043" max="2043" width="9.140625" style="51"/>
    <col min="2044" max="2044" width="9.28515625" style="51" bestFit="1" customWidth="1"/>
    <col min="2045" max="2046" width="12" style="51" bestFit="1" customWidth="1"/>
    <col min="2047" max="2292" width="9.140625" style="51"/>
    <col min="2293" max="2293" width="7.28515625" style="51" customWidth="1"/>
    <col min="2294" max="2294" width="53.140625" style="51" customWidth="1"/>
    <col min="2295" max="2296" width="16" style="51" customWidth="1"/>
    <col min="2297" max="2297" width="6.85546875" style="51" customWidth="1"/>
    <col min="2298" max="2298" width="16" style="51" customWidth="1"/>
    <col min="2299" max="2299" width="9.140625" style="51"/>
    <col min="2300" max="2300" width="9.28515625" style="51" bestFit="1" customWidth="1"/>
    <col min="2301" max="2302" width="12" style="51" bestFit="1" customWidth="1"/>
    <col min="2303" max="2548" width="9.140625" style="51"/>
    <col min="2549" max="2549" width="7.28515625" style="51" customWidth="1"/>
    <col min="2550" max="2550" width="53.140625" style="51" customWidth="1"/>
    <col min="2551" max="2552" width="16" style="51" customWidth="1"/>
    <col min="2553" max="2553" width="6.85546875" style="51" customWidth="1"/>
    <col min="2554" max="2554" width="16" style="51" customWidth="1"/>
    <col min="2555" max="2555" width="9.140625" style="51"/>
    <col min="2556" max="2556" width="9.28515625" style="51" bestFit="1" customWidth="1"/>
    <col min="2557" max="2558" width="12" style="51" bestFit="1" customWidth="1"/>
    <col min="2559" max="2804" width="9.140625" style="51"/>
    <col min="2805" max="2805" width="7.28515625" style="51" customWidth="1"/>
    <col min="2806" max="2806" width="53.140625" style="51" customWidth="1"/>
    <col min="2807" max="2808" width="16" style="51" customWidth="1"/>
    <col min="2809" max="2809" width="6.85546875" style="51" customWidth="1"/>
    <col min="2810" max="2810" width="16" style="51" customWidth="1"/>
    <col min="2811" max="2811" width="9.140625" style="51"/>
    <col min="2812" max="2812" width="9.28515625" style="51" bestFit="1" customWidth="1"/>
    <col min="2813" max="2814" width="12" style="51" bestFit="1" customWidth="1"/>
    <col min="2815" max="3060" width="9.140625" style="51"/>
    <col min="3061" max="3061" width="7.28515625" style="51" customWidth="1"/>
    <col min="3062" max="3062" width="53.140625" style="51" customWidth="1"/>
    <col min="3063" max="3064" width="16" style="51" customWidth="1"/>
    <col min="3065" max="3065" width="6.85546875" style="51" customWidth="1"/>
    <col min="3066" max="3066" width="16" style="51" customWidth="1"/>
    <col min="3067" max="3067" width="9.140625" style="51"/>
    <col min="3068" max="3068" width="9.28515625" style="51" bestFit="1" customWidth="1"/>
    <col min="3069" max="3070" width="12" style="51" bestFit="1" customWidth="1"/>
    <col min="3071" max="3316" width="9.140625" style="51"/>
    <col min="3317" max="3317" width="7.28515625" style="51" customWidth="1"/>
    <col min="3318" max="3318" width="53.140625" style="51" customWidth="1"/>
    <col min="3319" max="3320" width="16" style="51" customWidth="1"/>
    <col min="3321" max="3321" width="6.85546875" style="51" customWidth="1"/>
    <col min="3322" max="3322" width="16" style="51" customWidth="1"/>
    <col min="3323" max="3323" width="9.140625" style="51"/>
    <col min="3324" max="3324" width="9.28515625" style="51" bestFit="1" customWidth="1"/>
    <col min="3325" max="3326" width="12" style="51" bestFit="1" customWidth="1"/>
    <col min="3327" max="3572" width="9.140625" style="51"/>
    <col min="3573" max="3573" width="7.28515625" style="51" customWidth="1"/>
    <col min="3574" max="3574" width="53.140625" style="51" customWidth="1"/>
    <col min="3575" max="3576" width="16" style="51" customWidth="1"/>
    <col min="3577" max="3577" width="6.85546875" style="51" customWidth="1"/>
    <col min="3578" max="3578" width="16" style="51" customWidth="1"/>
    <col min="3579" max="3579" width="9.140625" style="51"/>
    <col min="3580" max="3580" width="9.28515625" style="51" bestFit="1" customWidth="1"/>
    <col min="3581" max="3582" width="12" style="51" bestFit="1" customWidth="1"/>
    <col min="3583" max="3828" width="9.140625" style="51"/>
    <col min="3829" max="3829" width="7.28515625" style="51" customWidth="1"/>
    <col min="3830" max="3830" width="53.140625" style="51" customWidth="1"/>
    <col min="3831" max="3832" width="16" style="51" customWidth="1"/>
    <col min="3833" max="3833" width="6.85546875" style="51" customWidth="1"/>
    <col min="3834" max="3834" width="16" style="51" customWidth="1"/>
    <col min="3835" max="3835" width="9.140625" style="51"/>
    <col min="3836" max="3836" width="9.28515625" style="51" bestFit="1" customWidth="1"/>
    <col min="3837" max="3838" width="12" style="51" bestFit="1" customWidth="1"/>
    <col min="3839" max="4084" width="9.140625" style="51"/>
    <col min="4085" max="4085" width="7.28515625" style="51" customWidth="1"/>
    <col min="4086" max="4086" width="53.140625" style="51" customWidth="1"/>
    <col min="4087" max="4088" width="16" style="51" customWidth="1"/>
    <col min="4089" max="4089" width="6.85546875" style="51" customWidth="1"/>
    <col min="4090" max="4090" width="16" style="51" customWidth="1"/>
    <col min="4091" max="4091" width="9.140625" style="51"/>
    <col min="4092" max="4092" width="9.28515625" style="51" bestFit="1" customWidth="1"/>
    <col min="4093" max="4094" width="12" style="51" bestFit="1" customWidth="1"/>
    <col min="4095" max="4340" width="9.140625" style="51"/>
    <col min="4341" max="4341" width="7.28515625" style="51" customWidth="1"/>
    <col min="4342" max="4342" width="53.140625" style="51" customWidth="1"/>
    <col min="4343" max="4344" width="16" style="51" customWidth="1"/>
    <col min="4345" max="4345" width="6.85546875" style="51" customWidth="1"/>
    <col min="4346" max="4346" width="16" style="51" customWidth="1"/>
    <col min="4347" max="4347" width="9.140625" style="51"/>
    <col min="4348" max="4348" width="9.28515625" style="51" bestFit="1" customWidth="1"/>
    <col min="4349" max="4350" width="12" style="51" bestFit="1" customWidth="1"/>
    <col min="4351" max="4596" width="9.140625" style="51"/>
    <col min="4597" max="4597" width="7.28515625" style="51" customWidth="1"/>
    <col min="4598" max="4598" width="53.140625" style="51" customWidth="1"/>
    <col min="4599" max="4600" width="16" style="51" customWidth="1"/>
    <col min="4601" max="4601" width="6.85546875" style="51" customWidth="1"/>
    <col min="4602" max="4602" width="16" style="51" customWidth="1"/>
    <col min="4603" max="4603" width="9.140625" style="51"/>
    <col min="4604" max="4604" width="9.28515625" style="51" bestFit="1" customWidth="1"/>
    <col min="4605" max="4606" width="12" style="51" bestFit="1" customWidth="1"/>
    <col min="4607" max="4852" width="9.140625" style="51"/>
    <col min="4853" max="4853" width="7.28515625" style="51" customWidth="1"/>
    <col min="4854" max="4854" width="53.140625" style="51" customWidth="1"/>
    <col min="4855" max="4856" width="16" style="51" customWidth="1"/>
    <col min="4857" max="4857" width="6.85546875" style="51" customWidth="1"/>
    <col min="4858" max="4858" width="16" style="51" customWidth="1"/>
    <col min="4859" max="4859" width="9.140625" style="51"/>
    <col min="4860" max="4860" width="9.28515625" style="51" bestFit="1" customWidth="1"/>
    <col min="4861" max="4862" width="12" style="51" bestFit="1" customWidth="1"/>
    <col min="4863" max="5108" width="9.140625" style="51"/>
    <col min="5109" max="5109" width="7.28515625" style="51" customWidth="1"/>
    <col min="5110" max="5110" width="53.140625" style="51" customWidth="1"/>
    <col min="5111" max="5112" width="16" style="51" customWidth="1"/>
    <col min="5113" max="5113" width="6.85546875" style="51" customWidth="1"/>
    <col min="5114" max="5114" width="16" style="51" customWidth="1"/>
    <col min="5115" max="5115" width="9.140625" style="51"/>
    <col min="5116" max="5116" width="9.28515625" style="51" bestFit="1" customWidth="1"/>
    <col min="5117" max="5118" width="12" style="51" bestFit="1" customWidth="1"/>
    <col min="5119" max="5364" width="9.140625" style="51"/>
    <col min="5365" max="5365" width="7.28515625" style="51" customWidth="1"/>
    <col min="5366" max="5366" width="53.140625" style="51" customWidth="1"/>
    <col min="5367" max="5368" width="16" style="51" customWidth="1"/>
    <col min="5369" max="5369" width="6.85546875" style="51" customWidth="1"/>
    <col min="5370" max="5370" width="16" style="51" customWidth="1"/>
    <col min="5371" max="5371" width="9.140625" style="51"/>
    <col min="5372" max="5372" width="9.28515625" style="51" bestFit="1" customWidth="1"/>
    <col min="5373" max="5374" width="12" style="51" bestFit="1" customWidth="1"/>
    <col min="5375" max="5620" width="9.140625" style="51"/>
    <col min="5621" max="5621" width="7.28515625" style="51" customWidth="1"/>
    <col min="5622" max="5622" width="53.140625" style="51" customWidth="1"/>
    <col min="5623" max="5624" width="16" style="51" customWidth="1"/>
    <col min="5625" max="5625" width="6.85546875" style="51" customWidth="1"/>
    <col min="5626" max="5626" width="16" style="51" customWidth="1"/>
    <col min="5627" max="5627" width="9.140625" style="51"/>
    <col min="5628" max="5628" width="9.28515625" style="51" bestFit="1" customWidth="1"/>
    <col min="5629" max="5630" width="12" style="51" bestFit="1" customWidth="1"/>
    <col min="5631" max="5876" width="9.140625" style="51"/>
    <col min="5877" max="5877" width="7.28515625" style="51" customWidth="1"/>
    <col min="5878" max="5878" width="53.140625" style="51" customWidth="1"/>
    <col min="5879" max="5880" width="16" style="51" customWidth="1"/>
    <col min="5881" max="5881" width="6.85546875" style="51" customWidth="1"/>
    <col min="5882" max="5882" width="16" style="51" customWidth="1"/>
    <col min="5883" max="5883" width="9.140625" style="51"/>
    <col min="5884" max="5884" width="9.28515625" style="51" bestFit="1" customWidth="1"/>
    <col min="5885" max="5886" width="12" style="51" bestFit="1" customWidth="1"/>
    <col min="5887" max="6132" width="9.140625" style="51"/>
    <col min="6133" max="6133" width="7.28515625" style="51" customWidth="1"/>
    <col min="6134" max="6134" width="53.140625" style="51" customWidth="1"/>
    <col min="6135" max="6136" width="16" style="51" customWidth="1"/>
    <col min="6137" max="6137" width="6.85546875" style="51" customWidth="1"/>
    <col min="6138" max="6138" width="16" style="51" customWidth="1"/>
    <col min="6139" max="6139" width="9.140625" style="51"/>
    <col min="6140" max="6140" width="9.28515625" style="51" bestFit="1" customWidth="1"/>
    <col min="6141" max="6142" width="12" style="51" bestFit="1" customWidth="1"/>
    <col min="6143" max="6388" width="9.140625" style="51"/>
    <col min="6389" max="6389" width="7.28515625" style="51" customWidth="1"/>
    <col min="6390" max="6390" width="53.140625" style="51" customWidth="1"/>
    <col min="6391" max="6392" width="16" style="51" customWidth="1"/>
    <col min="6393" max="6393" width="6.85546875" style="51" customWidth="1"/>
    <col min="6394" max="6394" width="16" style="51" customWidth="1"/>
    <col min="6395" max="6395" width="9.140625" style="51"/>
    <col min="6396" max="6396" width="9.28515625" style="51" bestFit="1" customWidth="1"/>
    <col min="6397" max="6398" width="12" style="51" bestFit="1" customWidth="1"/>
    <col min="6399" max="6644" width="9.140625" style="51"/>
    <col min="6645" max="6645" width="7.28515625" style="51" customWidth="1"/>
    <col min="6646" max="6646" width="53.140625" style="51" customWidth="1"/>
    <col min="6647" max="6648" width="16" style="51" customWidth="1"/>
    <col min="6649" max="6649" width="6.85546875" style="51" customWidth="1"/>
    <col min="6650" max="6650" width="16" style="51" customWidth="1"/>
    <col min="6651" max="6651" width="9.140625" style="51"/>
    <col min="6652" max="6652" width="9.28515625" style="51" bestFit="1" customWidth="1"/>
    <col min="6653" max="6654" width="12" style="51" bestFit="1" customWidth="1"/>
    <col min="6655" max="6900" width="9.140625" style="51"/>
    <col min="6901" max="6901" width="7.28515625" style="51" customWidth="1"/>
    <col min="6902" max="6902" width="53.140625" style="51" customWidth="1"/>
    <col min="6903" max="6904" width="16" style="51" customWidth="1"/>
    <col min="6905" max="6905" width="6.85546875" style="51" customWidth="1"/>
    <col min="6906" max="6906" width="16" style="51" customWidth="1"/>
    <col min="6907" max="6907" width="9.140625" style="51"/>
    <col min="6908" max="6908" width="9.28515625" style="51" bestFit="1" customWidth="1"/>
    <col min="6909" max="6910" width="12" style="51" bestFit="1" customWidth="1"/>
    <col min="6911" max="7156" width="9.140625" style="51"/>
    <col min="7157" max="7157" width="7.28515625" style="51" customWidth="1"/>
    <col min="7158" max="7158" width="53.140625" style="51" customWidth="1"/>
    <col min="7159" max="7160" width="16" style="51" customWidth="1"/>
    <col min="7161" max="7161" width="6.85546875" style="51" customWidth="1"/>
    <col min="7162" max="7162" width="16" style="51" customWidth="1"/>
    <col min="7163" max="7163" width="9.140625" style="51"/>
    <col min="7164" max="7164" width="9.28515625" style="51" bestFit="1" customWidth="1"/>
    <col min="7165" max="7166" width="12" style="51" bestFit="1" customWidth="1"/>
    <col min="7167" max="7412" width="9.140625" style="51"/>
    <col min="7413" max="7413" width="7.28515625" style="51" customWidth="1"/>
    <col min="7414" max="7414" width="53.140625" style="51" customWidth="1"/>
    <col min="7415" max="7416" width="16" style="51" customWidth="1"/>
    <col min="7417" max="7417" width="6.85546875" style="51" customWidth="1"/>
    <col min="7418" max="7418" width="16" style="51" customWidth="1"/>
    <col min="7419" max="7419" width="9.140625" style="51"/>
    <col min="7420" max="7420" width="9.28515625" style="51" bestFit="1" customWidth="1"/>
    <col min="7421" max="7422" width="12" style="51" bestFit="1" customWidth="1"/>
    <col min="7423" max="7668" width="9.140625" style="51"/>
    <col min="7669" max="7669" width="7.28515625" style="51" customWidth="1"/>
    <col min="7670" max="7670" width="53.140625" style="51" customWidth="1"/>
    <col min="7671" max="7672" width="16" style="51" customWidth="1"/>
    <col min="7673" max="7673" width="6.85546875" style="51" customWidth="1"/>
    <col min="7674" max="7674" width="16" style="51" customWidth="1"/>
    <col min="7675" max="7675" width="9.140625" style="51"/>
    <col min="7676" max="7676" width="9.28515625" style="51" bestFit="1" customWidth="1"/>
    <col min="7677" max="7678" width="12" style="51" bestFit="1" customWidth="1"/>
    <col min="7679" max="7924" width="9.140625" style="51"/>
    <col min="7925" max="7925" width="7.28515625" style="51" customWidth="1"/>
    <col min="7926" max="7926" width="53.140625" style="51" customWidth="1"/>
    <col min="7927" max="7928" width="16" style="51" customWidth="1"/>
    <col min="7929" max="7929" width="6.85546875" style="51" customWidth="1"/>
    <col min="7930" max="7930" width="16" style="51" customWidth="1"/>
    <col min="7931" max="7931" width="9.140625" style="51"/>
    <col min="7932" max="7932" width="9.28515625" style="51" bestFit="1" customWidth="1"/>
    <col min="7933" max="7934" width="12" style="51" bestFit="1" customWidth="1"/>
    <col min="7935" max="8180" width="9.140625" style="51"/>
    <col min="8181" max="8181" width="7.28515625" style="51" customWidth="1"/>
    <col min="8182" max="8182" width="53.140625" style="51" customWidth="1"/>
    <col min="8183" max="8184" width="16" style="51" customWidth="1"/>
    <col min="8185" max="8185" width="6.85546875" style="51" customWidth="1"/>
    <col min="8186" max="8186" width="16" style="51" customWidth="1"/>
    <col min="8187" max="8187" width="9.140625" style="51"/>
    <col min="8188" max="8188" width="9.28515625" style="51" bestFit="1" customWidth="1"/>
    <col min="8189" max="8190" width="12" style="51" bestFit="1" customWidth="1"/>
    <col min="8191" max="8436" width="9.140625" style="51"/>
    <col min="8437" max="8437" width="7.28515625" style="51" customWidth="1"/>
    <col min="8438" max="8438" width="53.140625" style="51" customWidth="1"/>
    <col min="8439" max="8440" width="16" style="51" customWidth="1"/>
    <col min="8441" max="8441" width="6.85546875" style="51" customWidth="1"/>
    <col min="8442" max="8442" width="16" style="51" customWidth="1"/>
    <col min="8443" max="8443" width="9.140625" style="51"/>
    <col min="8444" max="8444" width="9.28515625" style="51" bestFit="1" customWidth="1"/>
    <col min="8445" max="8446" width="12" style="51" bestFit="1" customWidth="1"/>
    <col min="8447" max="8692" width="9.140625" style="51"/>
    <col min="8693" max="8693" width="7.28515625" style="51" customWidth="1"/>
    <col min="8694" max="8694" width="53.140625" style="51" customWidth="1"/>
    <col min="8695" max="8696" width="16" style="51" customWidth="1"/>
    <col min="8697" max="8697" width="6.85546875" style="51" customWidth="1"/>
    <col min="8698" max="8698" width="16" style="51" customWidth="1"/>
    <col min="8699" max="8699" width="9.140625" style="51"/>
    <col min="8700" max="8700" width="9.28515625" style="51" bestFit="1" customWidth="1"/>
    <col min="8701" max="8702" width="12" style="51" bestFit="1" customWidth="1"/>
    <col min="8703" max="8948" width="9.140625" style="51"/>
    <col min="8949" max="8949" width="7.28515625" style="51" customWidth="1"/>
    <col min="8950" max="8950" width="53.140625" style="51" customWidth="1"/>
    <col min="8951" max="8952" width="16" style="51" customWidth="1"/>
    <col min="8953" max="8953" width="6.85546875" style="51" customWidth="1"/>
    <col min="8954" max="8954" width="16" style="51" customWidth="1"/>
    <col min="8955" max="8955" width="9.140625" style="51"/>
    <col min="8956" max="8956" width="9.28515625" style="51" bestFit="1" customWidth="1"/>
    <col min="8957" max="8958" width="12" style="51" bestFit="1" customWidth="1"/>
    <col min="8959" max="9204" width="9.140625" style="51"/>
    <col min="9205" max="9205" width="7.28515625" style="51" customWidth="1"/>
    <col min="9206" max="9206" width="53.140625" style="51" customWidth="1"/>
    <col min="9207" max="9208" width="16" style="51" customWidth="1"/>
    <col min="9209" max="9209" width="6.85546875" style="51" customWidth="1"/>
    <col min="9210" max="9210" width="16" style="51" customWidth="1"/>
    <col min="9211" max="9211" width="9.140625" style="51"/>
    <col min="9212" max="9212" width="9.28515625" style="51" bestFit="1" customWidth="1"/>
    <col min="9213" max="9214" width="12" style="51" bestFit="1" customWidth="1"/>
    <col min="9215" max="9460" width="9.140625" style="51"/>
    <col min="9461" max="9461" width="7.28515625" style="51" customWidth="1"/>
    <col min="9462" max="9462" width="53.140625" style="51" customWidth="1"/>
    <col min="9463" max="9464" width="16" style="51" customWidth="1"/>
    <col min="9465" max="9465" width="6.85546875" style="51" customWidth="1"/>
    <col min="9466" max="9466" width="16" style="51" customWidth="1"/>
    <col min="9467" max="9467" width="9.140625" style="51"/>
    <col min="9468" max="9468" width="9.28515625" style="51" bestFit="1" customWidth="1"/>
    <col min="9469" max="9470" width="12" style="51" bestFit="1" customWidth="1"/>
    <col min="9471" max="9716" width="9.140625" style="51"/>
    <col min="9717" max="9717" width="7.28515625" style="51" customWidth="1"/>
    <col min="9718" max="9718" width="53.140625" style="51" customWidth="1"/>
    <col min="9719" max="9720" width="16" style="51" customWidth="1"/>
    <col min="9721" max="9721" width="6.85546875" style="51" customWidth="1"/>
    <col min="9722" max="9722" width="16" style="51" customWidth="1"/>
    <col min="9723" max="9723" width="9.140625" style="51"/>
    <col min="9724" max="9724" width="9.28515625" style="51" bestFit="1" customWidth="1"/>
    <col min="9725" max="9726" width="12" style="51" bestFit="1" customWidth="1"/>
    <col min="9727" max="9972" width="9.140625" style="51"/>
    <col min="9973" max="9973" width="7.28515625" style="51" customWidth="1"/>
    <col min="9974" max="9974" width="53.140625" style="51" customWidth="1"/>
    <col min="9975" max="9976" width="16" style="51" customWidth="1"/>
    <col min="9977" max="9977" width="6.85546875" style="51" customWidth="1"/>
    <col min="9978" max="9978" width="16" style="51" customWidth="1"/>
    <col min="9979" max="9979" width="9.140625" style="51"/>
    <col min="9980" max="9980" width="9.28515625" style="51" bestFit="1" customWidth="1"/>
    <col min="9981" max="9982" width="12" style="51" bestFit="1" customWidth="1"/>
    <col min="9983" max="10228" width="9.140625" style="51"/>
    <col min="10229" max="10229" width="7.28515625" style="51" customWidth="1"/>
    <col min="10230" max="10230" width="53.140625" style="51" customWidth="1"/>
    <col min="10231" max="10232" width="16" style="51" customWidth="1"/>
    <col min="10233" max="10233" width="6.85546875" style="51" customWidth="1"/>
    <col min="10234" max="10234" width="16" style="51" customWidth="1"/>
    <col min="10235" max="10235" width="9.140625" style="51"/>
    <col min="10236" max="10236" width="9.28515625" style="51" bestFit="1" customWidth="1"/>
    <col min="10237" max="10238" width="12" style="51" bestFit="1" customWidth="1"/>
    <col min="10239" max="10484" width="9.140625" style="51"/>
    <col min="10485" max="10485" width="7.28515625" style="51" customWidth="1"/>
    <col min="10486" max="10486" width="53.140625" style="51" customWidth="1"/>
    <col min="10487" max="10488" width="16" style="51" customWidth="1"/>
    <col min="10489" max="10489" width="6.85546875" style="51" customWidth="1"/>
    <col min="10490" max="10490" width="16" style="51" customWidth="1"/>
    <col min="10491" max="10491" width="9.140625" style="51"/>
    <col min="10492" max="10492" width="9.28515625" style="51" bestFit="1" customWidth="1"/>
    <col min="10493" max="10494" width="12" style="51" bestFit="1" customWidth="1"/>
    <col min="10495" max="10740" width="9.140625" style="51"/>
    <col min="10741" max="10741" width="7.28515625" style="51" customWidth="1"/>
    <col min="10742" max="10742" width="53.140625" style="51" customWidth="1"/>
    <col min="10743" max="10744" width="16" style="51" customWidth="1"/>
    <col min="10745" max="10745" width="6.85546875" style="51" customWidth="1"/>
    <col min="10746" max="10746" width="16" style="51" customWidth="1"/>
    <col min="10747" max="10747" width="9.140625" style="51"/>
    <col min="10748" max="10748" width="9.28515625" style="51" bestFit="1" customWidth="1"/>
    <col min="10749" max="10750" width="12" style="51" bestFit="1" customWidth="1"/>
    <col min="10751" max="10996" width="9.140625" style="51"/>
    <col min="10997" max="10997" width="7.28515625" style="51" customWidth="1"/>
    <col min="10998" max="10998" width="53.140625" style="51" customWidth="1"/>
    <col min="10999" max="11000" width="16" style="51" customWidth="1"/>
    <col min="11001" max="11001" width="6.85546875" style="51" customWidth="1"/>
    <col min="11002" max="11002" width="16" style="51" customWidth="1"/>
    <col min="11003" max="11003" width="9.140625" style="51"/>
    <col min="11004" max="11004" width="9.28515625" style="51" bestFit="1" customWidth="1"/>
    <col min="11005" max="11006" width="12" style="51" bestFit="1" customWidth="1"/>
    <col min="11007" max="11252" width="9.140625" style="51"/>
    <col min="11253" max="11253" width="7.28515625" style="51" customWidth="1"/>
    <col min="11254" max="11254" width="53.140625" style="51" customWidth="1"/>
    <col min="11255" max="11256" width="16" style="51" customWidth="1"/>
    <col min="11257" max="11257" width="6.85546875" style="51" customWidth="1"/>
    <col min="11258" max="11258" width="16" style="51" customWidth="1"/>
    <col min="11259" max="11259" width="9.140625" style="51"/>
    <col min="11260" max="11260" width="9.28515625" style="51" bestFit="1" customWidth="1"/>
    <col min="11261" max="11262" width="12" style="51" bestFit="1" customWidth="1"/>
    <col min="11263" max="11508" width="9.140625" style="51"/>
    <col min="11509" max="11509" width="7.28515625" style="51" customWidth="1"/>
    <col min="11510" max="11510" width="53.140625" style="51" customWidth="1"/>
    <col min="11511" max="11512" width="16" style="51" customWidth="1"/>
    <col min="11513" max="11513" width="6.85546875" style="51" customWidth="1"/>
    <col min="11514" max="11514" width="16" style="51" customWidth="1"/>
    <col min="11515" max="11515" width="9.140625" style="51"/>
    <col min="11516" max="11516" width="9.28515625" style="51" bestFit="1" customWidth="1"/>
    <col min="11517" max="11518" width="12" style="51" bestFit="1" customWidth="1"/>
    <col min="11519" max="11764" width="9.140625" style="51"/>
    <col min="11765" max="11765" width="7.28515625" style="51" customWidth="1"/>
    <col min="11766" max="11766" width="53.140625" style="51" customWidth="1"/>
    <col min="11767" max="11768" width="16" style="51" customWidth="1"/>
    <col min="11769" max="11769" width="6.85546875" style="51" customWidth="1"/>
    <col min="11770" max="11770" width="16" style="51" customWidth="1"/>
    <col min="11771" max="11771" width="9.140625" style="51"/>
    <col min="11772" max="11772" width="9.28515625" style="51" bestFit="1" customWidth="1"/>
    <col min="11773" max="11774" width="12" style="51" bestFit="1" customWidth="1"/>
    <col min="11775" max="12020" width="9.140625" style="51"/>
    <col min="12021" max="12021" width="7.28515625" style="51" customWidth="1"/>
    <col min="12022" max="12022" width="53.140625" style="51" customWidth="1"/>
    <col min="12023" max="12024" width="16" style="51" customWidth="1"/>
    <col min="12025" max="12025" width="6.85546875" style="51" customWidth="1"/>
    <col min="12026" max="12026" width="16" style="51" customWidth="1"/>
    <col min="12027" max="12027" width="9.140625" style="51"/>
    <col min="12028" max="12028" width="9.28515625" style="51" bestFit="1" customWidth="1"/>
    <col min="12029" max="12030" width="12" style="51" bestFit="1" customWidth="1"/>
    <col min="12031" max="12276" width="9.140625" style="51"/>
    <col min="12277" max="12277" width="7.28515625" style="51" customWidth="1"/>
    <col min="12278" max="12278" width="53.140625" style="51" customWidth="1"/>
    <col min="12279" max="12280" width="16" style="51" customWidth="1"/>
    <col min="12281" max="12281" width="6.85546875" style="51" customWidth="1"/>
    <col min="12282" max="12282" width="16" style="51" customWidth="1"/>
    <col min="12283" max="12283" width="9.140625" style="51"/>
    <col min="12284" max="12284" width="9.28515625" style="51" bestFit="1" customWidth="1"/>
    <col min="12285" max="12286" width="12" style="51" bestFit="1" customWidth="1"/>
    <col min="12287" max="12532" width="9.140625" style="51"/>
    <col min="12533" max="12533" width="7.28515625" style="51" customWidth="1"/>
    <col min="12534" max="12534" width="53.140625" style="51" customWidth="1"/>
    <col min="12535" max="12536" width="16" style="51" customWidth="1"/>
    <col min="12537" max="12537" width="6.85546875" style="51" customWidth="1"/>
    <col min="12538" max="12538" width="16" style="51" customWidth="1"/>
    <col min="12539" max="12539" width="9.140625" style="51"/>
    <col min="12540" max="12540" width="9.28515625" style="51" bestFit="1" customWidth="1"/>
    <col min="12541" max="12542" width="12" style="51" bestFit="1" customWidth="1"/>
    <col min="12543" max="12788" width="9.140625" style="51"/>
    <col min="12789" max="12789" width="7.28515625" style="51" customWidth="1"/>
    <col min="12790" max="12790" width="53.140625" style="51" customWidth="1"/>
    <col min="12791" max="12792" width="16" style="51" customWidth="1"/>
    <col min="12793" max="12793" width="6.85546875" style="51" customWidth="1"/>
    <col min="12794" max="12794" width="16" style="51" customWidth="1"/>
    <col min="12795" max="12795" width="9.140625" style="51"/>
    <col min="12796" max="12796" width="9.28515625" style="51" bestFit="1" customWidth="1"/>
    <col min="12797" max="12798" width="12" style="51" bestFit="1" customWidth="1"/>
    <col min="12799" max="13044" width="9.140625" style="51"/>
    <col min="13045" max="13045" width="7.28515625" style="51" customWidth="1"/>
    <col min="13046" max="13046" width="53.140625" style="51" customWidth="1"/>
    <col min="13047" max="13048" width="16" style="51" customWidth="1"/>
    <col min="13049" max="13049" width="6.85546875" style="51" customWidth="1"/>
    <col min="13050" max="13050" width="16" style="51" customWidth="1"/>
    <col min="13051" max="13051" width="9.140625" style="51"/>
    <col min="13052" max="13052" width="9.28515625" style="51" bestFit="1" customWidth="1"/>
    <col min="13053" max="13054" width="12" style="51" bestFit="1" customWidth="1"/>
    <col min="13055" max="13300" width="9.140625" style="51"/>
    <col min="13301" max="13301" width="7.28515625" style="51" customWidth="1"/>
    <col min="13302" max="13302" width="53.140625" style="51" customWidth="1"/>
    <col min="13303" max="13304" width="16" style="51" customWidth="1"/>
    <col min="13305" max="13305" width="6.85546875" style="51" customWidth="1"/>
    <col min="13306" max="13306" width="16" style="51" customWidth="1"/>
    <col min="13307" max="13307" width="9.140625" style="51"/>
    <col min="13308" max="13308" width="9.28515625" style="51" bestFit="1" customWidth="1"/>
    <col min="13309" max="13310" width="12" style="51" bestFit="1" customWidth="1"/>
    <col min="13311" max="13556" width="9.140625" style="51"/>
    <col min="13557" max="13557" width="7.28515625" style="51" customWidth="1"/>
    <col min="13558" max="13558" width="53.140625" style="51" customWidth="1"/>
    <col min="13559" max="13560" width="16" style="51" customWidth="1"/>
    <col min="13561" max="13561" width="6.85546875" style="51" customWidth="1"/>
    <col min="13562" max="13562" width="16" style="51" customWidth="1"/>
    <col min="13563" max="13563" width="9.140625" style="51"/>
    <col min="13564" max="13564" width="9.28515625" style="51" bestFit="1" customWidth="1"/>
    <col min="13565" max="13566" width="12" style="51" bestFit="1" customWidth="1"/>
    <col min="13567" max="13812" width="9.140625" style="51"/>
    <col min="13813" max="13813" width="7.28515625" style="51" customWidth="1"/>
    <col min="13814" max="13814" width="53.140625" style="51" customWidth="1"/>
    <col min="13815" max="13816" width="16" style="51" customWidth="1"/>
    <col min="13817" max="13817" width="6.85546875" style="51" customWidth="1"/>
    <col min="13818" max="13818" width="16" style="51" customWidth="1"/>
    <col min="13819" max="13819" width="9.140625" style="51"/>
    <col min="13820" max="13820" width="9.28515625" style="51" bestFit="1" customWidth="1"/>
    <col min="13821" max="13822" width="12" style="51" bestFit="1" customWidth="1"/>
    <col min="13823" max="14068" width="9.140625" style="51"/>
    <col min="14069" max="14069" width="7.28515625" style="51" customWidth="1"/>
    <col min="14070" max="14070" width="53.140625" style="51" customWidth="1"/>
    <col min="14071" max="14072" width="16" style="51" customWidth="1"/>
    <col min="14073" max="14073" width="6.85546875" style="51" customWidth="1"/>
    <col min="14074" max="14074" width="16" style="51" customWidth="1"/>
    <col min="14075" max="14075" width="9.140625" style="51"/>
    <col min="14076" max="14076" width="9.28515625" style="51" bestFit="1" customWidth="1"/>
    <col min="14077" max="14078" width="12" style="51" bestFit="1" customWidth="1"/>
    <col min="14079" max="14324" width="9.140625" style="51"/>
    <col min="14325" max="14325" width="7.28515625" style="51" customWidth="1"/>
    <col min="14326" max="14326" width="53.140625" style="51" customWidth="1"/>
    <col min="14327" max="14328" width="16" style="51" customWidth="1"/>
    <col min="14329" max="14329" width="6.85546875" style="51" customWidth="1"/>
    <col min="14330" max="14330" width="16" style="51" customWidth="1"/>
    <col min="14331" max="14331" width="9.140625" style="51"/>
    <col min="14332" max="14332" width="9.28515625" style="51" bestFit="1" customWidth="1"/>
    <col min="14333" max="14334" width="12" style="51" bestFit="1" customWidth="1"/>
    <col min="14335" max="14580" width="9.140625" style="51"/>
    <col min="14581" max="14581" width="7.28515625" style="51" customWidth="1"/>
    <col min="14582" max="14582" width="53.140625" style="51" customWidth="1"/>
    <col min="14583" max="14584" width="16" style="51" customWidth="1"/>
    <col min="14585" max="14585" width="6.85546875" style="51" customWidth="1"/>
    <col min="14586" max="14586" width="16" style="51" customWidth="1"/>
    <col min="14587" max="14587" width="9.140625" style="51"/>
    <col min="14588" max="14588" width="9.28515625" style="51" bestFit="1" customWidth="1"/>
    <col min="14589" max="14590" width="12" style="51" bestFit="1" customWidth="1"/>
    <col min="14591" max="14836" width="9.140625" style="51"/>
    <col min="14837" max="14837" width="7.28515625" style="51" customWidth="1"/>
    <col min="14838" max="14838" width="53.140625" style="51" customWidth="1"/>
    <col min="14839" max="14840" width="16" style="51" customWidth="1"/>
    <col min="14841" max="14841" width="6.85546875" style="51" customWidth="1"/>
    <col min="14842" max="14842" width="16" style="51" customWidth="1"/>
    <col min="14843" max="14843" width="9.140625" style="51"/>
    <col min="14844" max="14844" width="9.28515625" style="51" bestFit="1" customWidth="1"/>
    <col min="14845" max="14846" width="12" style="51" bestFit="1" customWidth="1"/>
    <col min="14847" max="15092" width="9.140625" style="51"/>
    <col min="15093" max="15093" width="7.28515625" style="51" customWidth="1"/>
    <col min="15094" max="15094" width="53.140625" style="51" customWidth="1"/>
    <col min="15095" max="15096" width="16" style="51" customWidth="1"/>
    <col min="15097" max="15097" width="6.85546875" style="51" customWidth="1"/>
    <col min="15098" max="15098" width="16" style="51" customWidth="1"/>
    <col min="15099" max="15099" width="9.140625" style="51"/>
    <col min="15100" max="15100" width="9.28515625" style="51" bestFit="1" customWidth="1"/>
    <col min="15101" max="15102" width="12" style="51" bestFit="1" customWidth="1"/>
    <col min="15103" max="15348" width="9.140625" style="51"/>
    <col min="15349" max="15349" width="7.28515625" style="51" customWidth="1"/>
    <col min="15350" max="15350" width="53.140625" style="51" customWidth="1"/>
    <col min="15351" max="15352" width="16" style="51" customWidth="1"/>
    <col min="15353" max="15353" width="6.85546875" style="51" customWidth="1"/>
    <col min="15354" max="15354" width="16" style="51" customWidth="1"/>
    <col min="15355" max="15355" width="9.140625" style="51"/>
    <col min="15356" max="15356" width="9.28515625" style="51" bestFit="1" customWidth="1"/>
    <col min="15357" max="15358" width="12" style="51" bestFit="1" customWidth="1"/>
    <col min="15359" max="15604" width="9.140625" style="51"/>
    <col min="15605" max="15605" width="7.28515625" style="51" customWidth="1"/>
    <col min="15606" max="15606" width="53.140625" style="51" customWidth="1"/>
    <col min="15607" max="15608" width="16" style="51" customWidth="1"/>
    <col min="15609" max="15609" width="6.85546875" style="51" customWidth="1"/>
    <col min="15610" max="15610" width="16" style="51" customWidth="1"/>
    <col min="15611" max="15611" width="9.140625" style="51"/>
    <col min="15612" max="15612" width="9.28515625" style="51" bestFit="1" customWidth="1"/>
    <col min="15613" max="15614" width="12" style="51" bestFit="1" customWidth="1"/>
    <col min="15615" max="15860" width="9.140625" style="51"/>
    <col min="15861" max="15861" width="7.28515625" style="51" customWidth="1"/>
    <col min="15862" max="15862" width="53.140625" style="51" customWidth="1"/>
    <col min="15863" max="15864" width="16" style="51" customWidth="1"/>
    <col min="15865" max="15865" width="6.85546875" style="51" customWidth="1"/>
    <col min="15866" max="15866" width="16" style="51" customWidth="1"/>
    <col min="15867" max="15867" width="9.140625" style="51"/>
    <col min="15868" max="15868" width="9.28515625" style="51" bestFit="1" customWidth="1"/>
    <col min="15869" max="15870" width="12" style="51" bestFit="1" customWidth="1"/>
    <col min="15871" max="16116" width="9.140625" style="51"/>
    <col min="16117" max="16117" width="7.28515625" style="51" customWidth="1"/>
    <col min="16118" max="16118" width="53.140625" style="51" customWidth="1"/>
    <col min="16119" max="16120" width="16" style="51" customWidth="1"/>
    <col min="16121" max="16121" width="6.85546875" style="51" customWidth="1"/>
    <col min="16122" max="16122" width="16" style="51" customWidth="1"/>
    <col min="16123" max="16123" width="9.140625" style="51"/>
    <col min="16124" max="16124" width="9.28515625" style="51" bestFit="1" customWidth="1"/>
    <col min="16125" max="16126" width="12" style="51" bestFit="1" customWidth="1"/>
    <col min="16127" max="16384" width="9.140625" style="51"/>
  </cols>
  <sheetData>
    <row r="1" spans="1:112" x14ac:dyDescent="0.25">
      <c r="B1" s="47" t="str">
        <f>Update!$B$6</f>
        <v>Department of Health</v>
      </c>
    </row>
    <row r="2" spans="1:112" x14ac:dyDescent="0.25">
      <c r="B2" s="47" t="str">
        <f>Update!$B$9</f>
        <v>Consolidated Accounts</v>
      </c>
    </row>
    <row r="4" spans="1:112" ht="117.75" customHeight="1" outlineLevel="1" x14ac:dyDescent="0.25">
      <c r="B4" s="2102" t="s">
        <v>548</v>
      </c>
      <c r="C4" s="2102"/>
      <c r="D4" s="2102"/>
      <c r="E4" s="2102"/>
      <c r="F4" s="2102"/>
      <c r="G4" s="1678"/>
      <c r="H4" s="1678"/>
      <c r="I4" s="1678"/>
      <c r="J4" s="1678"/>
      <c r="K4" s="1678"/>
      <c r="L4" s="1678"/>
      <c r="M4" s="1678"/>
      <c r="N4" s="1678"/>
      <c r="O4" s="1678"/>
      <c r="P4" s="1678"/>
      <c r="Q4" s="1678"/>
      <c r="R4" s="1678"/>
      <c r="S4" s="1678"/>
      <c r="T4" s="1678"/>
    </row>
    <row r="5" spans="1:112" x14ac:dyDescent="0.25">
      <c r="A5" s="723"/>
      <c r="B5" s="47" t="s">
        <v>280</v>
      </c>
      <c r="Q5" s="722" t="s">
        <v>64</v>
      </c>
      <c r="R5" s="51"/>
      <c r="S5" s="722" t="s">
        <v>64</v>
      </c>
      <c r="U5" s="206" t="s">
        <v>42</v>
      </c>
      <c r="AA5" s="206" t="s">
        <v>42</v>
      </c>
      <c r="AD5" s="206" t="s">
        <v>42</v>
      </c>
      <c r="AE5" s="206" t="s">
        <v>42</v>
      </c>
      <c r="AF5" s="206" t="s">
        <v>42</v>
      </c>
      <c r="AG5" s="206" t="s">
        <v>42</v>
      </c>
      <c r="AH5" s="206" t="s">
        <v>42</v>
      </c>
      <c r="AI5" s="206" t="s">
        <v>42</v>
      </c>
      <c r="AJ5" s="206" t="s">
        <v>42</v>
      </c>
      <c r="AK5" s="206" t="s">
        <v>42</v>
      </c>
      <c r="AL5" s="206" t="s">
        <v>42</v>
      </c>
      <c r="AM5" s="206" t="s">
        <v>42</v>
      </c>
      <c r="AN5" s="206" t="s">
        <v>42</v>
      </c>
      <c r="AO5" s="206" t="s">
        <v>42</v>
      </c>
      <c r="AP5" s="206" t="s">
        <v>42</v>
      </c>
      <c r="AQ5" s="206" t="s">
        <v>42</v>
      </c>
      <c r="AR5" s="206" t="s">
        <v>42</v>
      </c>
      <c r="AS5" s="206" t="s">
        <v>42</v>
      </c>
      <c r="AT5" s="206" t="s">
        <v>42</v>
      </c>
      <c r="AU5" s="206" t="s">
        <v>42</v>
      </c>
      <c r="AV5" s="206" t="s">
        <v>42</v>
      </c>
      <c r="AW5" s="206" t="s">
        <v>42</v>
      </c>
      <c r="AX5" s="206" t="s">
        <v>42</v>
      </c>
      <c r="AZ5" s="51" t="s">
        <v>1378</v>
      </c>
      <c r="BA5" s="51" t="s">
        <v>1378</v>
      </c>
      <c r="BB5" s="51" t="s">
        <v>1378</v>
      </c>
      <c r="BC5" s="51" t="s">
        <v>1378</v>
      </c>
      <c r="BD5" s="51" t="s">
        <v>1378</v>
      </c>
      <c r="BE5" s="51" t="s">
        <v>1378</v>
      </c>
      <c r="BF5" s="51" t="s">
        <v>1378</v>
      </c>
      <c r="BG5" s="51" t="s">
        <v>1378</v>
      </c>
      <c r="BH5" s="51" t="s">
        <v>1378</v>
      </c>
      <c r="BI5" s="51" t="s">
        <v>1378</v>
      </c>
      <c r="BJ5" s="51" t="s">
        <v>1378</v>
      </c>
      <c r="BK5" s="51" t="s">
        <v>1378</v>
      </c>
      <c r="BL5" s="51" t="s">
        <v>1378</v>
      </c>
      <c r="BM5" s="51" t="s">
        <v>1378</v>
      </c>
      <c r="BN5" s="51" t="s">
        <v>1378</v>
      </c>
      <c r="BO5" s="51" t="s">
        <v>1378</v>
      </c>
      <c r="BP5" s="51" t="s">
        <v>1378</v>
      </c>
      <c r="BQ5" s="51" t="s">
        <v>1378</v>
      </c>
      <c r="BR5" s="51" t="s">
        <v>1378</v>
      </c>
      <c r="BS5" s="51" t="s">
        <v>1378</v>
      </c>
      <c r="BT5" s="51" t="s">
        <v>1378</v>
      </c>
      <c r="BU5" s="51" t="s">
        <v>1378</v>
      </c>
      <c r="BV5" s="51" t="s">
        <v>1378</v>
      </c>
      <c r="BW5" s="51" t="s">
        <v>1378</v>
      </c>
      <c r="BX5" s="51" t="s">
        <v>1378</v>
      </c>
      <c r="BY5" s="51" t="s">
        <v>1378</v>
      </c>
      <c r="BZ5" s="51" t="s">
        <v>1378</v>
      </c>
      <c r="CA5" s="51" t="s">
        <v>1378</v>
      </c>
      <c r="CB5" s="51" t="s">
        <v>1378</v>
      </c>
      <c r="CC5" s="51" t="s">
        <v>1378</v>
      </c>
      <c r="CE5" s="51" t="s">
        <v>722</v>
      </c>
      <c r="CF5" s="51" t="s">
        <v>722</v>
      </c>
      <c r="CG5" s="51" t="s">
        <v>722</v>
      </c>
      <c r="CH5" s="51" t="s">
        <v>722</v>
      </c>
      <c r="CI5" s="51" t="s">
        <v>722</v>
      </c>
      <c r="CJ5" s="51" t="s">
        <v>722</v>
      </c>
      <c r="CK5" s="51" t="s">
        <v>722</v>
      </c>
      <c r="CL5" s="51" t="s">
        <v>722</v>
      </c>
      <c r="CM5" s="51" t="s">
        <v>722</v>
      </c>
      <c r="CN5" s="51" t="s">
        <v>722</v>
      </c>
      <c r="CO5" s="51" t="s">
        <v>722</v>
      </c>
      <c r="CP5" s="51" t="s">
        <v>722</v>
      </c>
      <c r="CQ5" s="51" t="s">
        <v>722</v>
      </c>
      <c r="CR5" s="51" t="s">
        <v>722</v>
      </c>
      <c r="CS5" s="51" t="s">
        <v>722</v>
      </c>
      <c r="CT5" s="51" t="s">
        <v>722</v>
      </c>
      <c r="CU5" s="51" t="s">
        <v>722</v>
      </c>
      <c r="CV5" s="51" t="s">
        <v>722</v>
      </c>
      <c r="CW5" s="51" t="s">
        <v>722</v>
      </c>
      <c r="CX5" s="51" t="s">
        <v>722</v>
      </c>
      <c r="CY5" s="51" t="s">
        <v>722</v>
      </c>
      <c r="CZ5" s="51" t="s">
        <v>722</v>
      </c>
      <c r="DA5" s="51" t="s">
        <v>722</v>
      </c>
      <c r="DB5" s="51" t="s">
        <v>722</v>
      </c>
      <c r="DC5" s="51" t="s">
        <v>722</v>
      </c>
      <c r="DD5" s="51" t="s">
        <v>722</v>
      </c>
      <c r="DE5" s="51" t="s">
        <v>722</v>
      </c>
      <c r="DF5" s="51" t="s">
        <v>722</v>
      </c>
      <c r="DG5" s="51" t="s">
        <v>722</v>
      </c>
      <c r="DH5" s="51" t="s">
        <v>722</v>
      </c>
    </row>
    <row r="6" spans="1:112" ht="67.5" x14ac:dyDescent="0.25">
      <c r="A6" s="723"/>
      <c r="B6" s="47" t="str">
        <f>"for the year ended"&amp;Update!$B$22</f>
        <v>for the year ended 31 March 2026</v>
      </c>
      <c r="D6" s="201" t="str">
        <f>Update!$B$7</f>
        <v>Core Department &amp; Agencies</v>
      </c>
      <c r="F6" s="201" t="str">
        <f>Update!$B$8</f>
        <v>Departmental Group</v>
      </c>
      <c r="H6" s="349" t="s">
        <v>483</v>
      </c>
      <c r="I6" s="349"/>
      <c r="J6" s="349" t="s">
        <v>1029</v>
      </c>
      <c r="K6" s="349" t="s">
        <v>44</v>
      </c>
      <c r="M6" s="201" t="str">
        <f>Update!$B$7</f>
        <v>Core Department &amp; Agencies</v>
      </c>
      <c r="O6" s="201" t="str">
        <f>Update!$B$8</f>
        <v>Departmental Group</v>
      </c>
      <c r="Q6" s="201" t="str">
        <f>Update!$B$7</f>
        <v>Core Department &amp; Agencies</v>
      </c>
      <c r="S6" s="201" t="str">
        <f>Update!$B$8</f>
        <v>Departmental Group</v>
      </c>
      <c r="U6" s="685" t="s">
        <v>838</v>
      </c>
      <c r="AA6" s="685" t="s">
        <v>1047</v>
      </c>
      <c r="AD6" s="685" t="str">
        <f>MAP!W4</f>
        <v>DoH CORE</v>
      </c>
      <c r="AE6" s="685" t="str">
        <f>MAP!X4</f>
        <v xml:space="preserve">Strategic planning and performance group </v>
      </c>
      <c r="AF6" s="685" t="str">
        <f>MAP!Y4</f>
        <v>Public Health Agency</v>
      </c>
      <c r="AG6" s="685" t="str">
        <f>MAP!Z4</f>
        <v>Belfast HSC Trust</v>
      </c>
      <c r="AH6" s="685" t="str">
        <f>MAP!AA4</f>
        <v>Business Services Organisation</v>
      </c>
      <c r="AI6" s="685" t="str">
        <f>MAP!AB4</f>
        <v>NI Ambulance Service</v>
      </c>
      <c r="AJ6" s="685" t="str">
        <f>MAP!AC4</f>
        <v>NI Blood Transfusion Service</v>
      </c>
      <c r="AK6" s="685" t="str">
        <f>MAP!AD4</f>
        <v>NI Fire and Rescue Service</v>
      </c>
      <c r="AL6" s="685" t="str">
        <f>MAP!AE4</f>
        <v>NI Fire and Rescue Service
 PENSION</v>
      </c>
      <c r="AM6" s="685" t="str">
        <f>MAP!AF4</f>
        <v>Children's Court Guardian Agency for NI</v>
      </c>
      <c r="AN6" s="685" t="str">
        <f>MAP!AG4</f>
        <v>NI Medical and Dental Training Agency</v>
      </c>
      <c r="AO6" s="685" t="str">
        <f>MAP!AH4</f>
        <v>NI Practice and Education Council for Nursing and Midwifery</v>
      </c>
      <c r="AP6" s="685" t="str">
        <f>MAP!AI4</f>
        <v>NI Social Care Council</v>
      </c>
      <c r="AQ6" s="685" t="str">
        <f>MAP!AJ4</f>
        <v>Northern HSC Trust</v>
      </c>
      <c r="AR6" s="685" t="str">
        <f>MAP!AK4</f>
        <v>Patient Client Council</v>
      </c>
      <c r="AS6" s="685" t="str">
        <f>MAP!AL4</f>
        <v>Regulation and Quality Improvement Authority</v>
      </c>
      <c r="AT6" s="685" t="str">
        <f>MAP!AM4</f>
        <v>South Eastern HSC Trust</v>
      </c>
      <c r="AU6" s="685" t="str">
        <f>MAP!AN4</f>
        <v>Southern HSC Trust</v>
      </c>
      <c r="AV6" s="685" t="str">
        <f>MAP!AO4</f>
        <v>Western HSC Trust</v>
      </c>
      <c r="AW6" s="685" t="str">
        <f>MAP!AP4</f>
        <v>Institute of Public Health in Ireland</v>
      </c>
      <c r="AX6" s="685" t="str">
        <f>MAP!AQ4</f>
        <v>Safefood</v>
      </c>
      <c r="AZ6" s="685" t="s">
        <v>838</v>
      </c>
      <c r="BF6" s="685" t="s">
        <v>1047</v>
      </c>
      <c r="BI6" s="685" t="s">
        <v>1324</v>
      </c>
      <c r="BJ6" s="685" t="s">
        <v>2457</v>
      </c>
      <c r="BK6" s="685" t="s">
        <v>5</v>
      </c>
      <c r="BL6" s="685" t="s">
        <v>11</v>
      </c>
      <c r="BM6" s="685" t="s">
        <v>25</v>
      </c>
      <c r="BN6" s="685" t="s">
        <v>1011</v>
      </c>
      <c r="BO6" s="685" t="s">
        <v>19</v>
      </c>
      <c r="BP6" s="685" t="s">
        <v>35</v>
      </c>
      <c r="BQ6" s="685" t="s">
        <v>902</v>
      </c>
      <c r="BR6" s="685" t="s">
        <v>2446</v>
      </c>
      <c r="BS6" s="685" t="s">
        <v>23</v>
      </c>
      <c r="BT6" s="685" t="s">
        <v>33</v>
      </c>
      <c r="BU6" s="685" t="s">
        <v>31</v>
      </c>
      <c r="BV6" s="685" t="s">
        <v>7</v>
      </c>
      <c r="BW6" s="685" t="s">
        <v>27</v>
      </c>
      <c r="BX6" s="685" t="s">
        <v>29</v>
      </c>
      <c r="BY6" s="685" t="s">
        <v>13</v>
      </c>
      <c r="BZ6" s="685" t="s">
        <v>9</v>
      </c>
      <c r="CA6" s="685" t="s">
        <v>15</v>
      </c>
      <c r="CB6" s="685" t="s">
        <v>37</v>
      </c>
      <c r="CC6" s="685" t="s">
        <v>39</v>
      </c>
      <c r="CE6" s="685" t="s">
        <v>838</v>
      </c>
      <c r="CK6" s="685" t="s">
        <v>1047</v>
      </c>
      <c r="CN6" s="685" t="s">
        <v>1324</v>
      </c>
      <c r="CO6" s="685" t="s">
        <v>2457</v>
      </c>
      <c r="CP6" s="685" t="s">
        <v>5</v>
      </c>
      <c r="CQ6" s="685" t="s">
        <v>11</v>
      </c>
      <c r="CR6" s="685" t="s">
        <v>25</v>
      </c>
      <c r="CS6" s="685" t="s">
        <v>1011</v>
      </c>
      <c r="CT6" s="685" t="s">
        <v>19</v>
      </c>
      <c r="CU6" s="685" t="s">
        <v>35</v>
      </c>
      <c r="CV6" s="685" t="s">
        <v>902</v>
      </c>
      <c r="CW6" s="685" t="s">
        <v>2446</v>
      </c>
      <c r="CX6" s="685" t="s">
        <v>23</v>
      </c>
      <c r="CY6" s="685" t="s">
        <v>33</v>
      </c>
      <c r="CZ6" s="685" t="s">
        <v>31</v>
      </c>
      <c r="DA6" s="685" t="s">
        <v>7</v>
      </c>
      <c r="DB6" s="685" t="s">
        <v>27</v>
      </c>
      <c r="DC6" s="685" t="s">
        <v>29</v>
      </c>
      <c r="DD6" s="685" t="s">
        <v>13</v>
      </c>
      <c r="DE6" s="685" t="s">
        <v>9</v>
      </c>
      <c r="DF6" s="685" t="s">
        <v>15</v>
      </c>
      <c r="DG6" s="685" t="s">
        <v>37</v>
      </c>
      <c r="DH6" s="685" t="s">
        <v>39</v>
      </c>
    </row>
    <row r="7" spans="1:112" x14ac:dyDescent="0.25">
      <c r="B7" s="47"/>
      <c r="D7" s="724" t="str">
        <f>Update!$B$13</f>
        <v>2025-26</v>
      </c>
      <c r="F7" s="724" t="str">
        <f>D7</f>
        <v>2025-26</v>
      </c>
      <c r="M7" s="724" t="str">
        <f>Update!$B$15</f>
        <v>2024-25</v>
      </c>
      <c r="O7" s="724" t="str">
        <f>M7</f>
        <v>2024-25</v>
      </c>
      <c r="Q7" s="724" t="str">
        <f>Update!$B$13</f>
        <v>2025-26</v>
      </c>
      <c r="S7" s="724" t="str">
        <f>Q7</f>
        <v>2025-26</v>
      </c>
      <c r="U7" s="725" t="str">
        <f>Update!$B$13</f>
        <v>2025-26</v>
      </c>
      <c r="AA7" s="725" t="str">
        <f>Update!$B$13</f>
        <v>2025-26</v>
      </c>
      <c r="AD7" s="725" t="str">
        <f>Update!$B$13</f>
        <v>2025-26</v>
      </c>
      <c r="AE7" s="725" t="str">
        <f>Update!$B$13</f>
        <v>2025-26</v>
      </c>
      <c r="AF7" s="725" t="str">
        <f>Update!$B$13</f>
        <v>2025-26</v>
      </c>
      <c r="AG7" s="725" t="str">
        <f>Update!$B$13</f>
        <v>2025-26</v>
      </c>
      <c r="AH7" s="725" t="str">
        <f>Update!$B$13</f>
        <v>2025-26</v>
      </c>
      <c r="AI7" s="725" t="str">
        <f>Update!$B$13</f>
        <v>2025-26</v>
      </c>
      <c r="AJ7" s="725" t="str">
        <f>Update!$B$13</f>
        <v>2025-26</v>
      </c>
      <c r="AK7" s="725" t="str">
        <f>Update!$B$13</f>
        <v>2025-26</v>
      </c>
      <c r="AL7" s="725" t="str">
        <f>Update!$B$13</f>
        <v>2025-26</v>
      </c>
      <c r="AM7" s="725" t="str">
        <f>Update!$B$13</f>
        <v>2025-26</v>
      </c>
      <c r="AN7" s="725" t="str">
        <f>Update!$B$13</f>
        <v>2025-26</v>
      </c>
      <c r="AO7" s="725" t="str">
        <f>Update!$B$13</f>
        <v>2025-26</v>
      </c>
      <c r="AP7" s="725" t="str">
        <f>Update!$B$13</f>
        <v>2025-26</v>
      </c>
      <c r="AQ7" s="725" t="str">
        <f>Update!$B$13</f>
        <v>2025-26</v>
      </c>
      <c r="AR7" s="725" t="str">
        <f>Update!$B$13</f>
        <v>2025-26</v>
      </c>
      <c r="AS7" s="725" t="str">
        <f>Update!$B$13</f>
        <v>2025-26</v>
      </c>
      <c r="AT7" s="725" t="str">
        <f>Update!$B$13</f>
        <v>2025-26</v>
      </c>
      <c r="AU7" s="725" t="str">
        <f>Update!$B$13</f>
        <v>2025-26</v>
      </c>
      <c r="AV7" s="725" t="str">
        <f>Update!$B$13</f>
        <v>2025-26</v>
      </c>
      <c r="AW7" s="725" t="str">
        <f>Update!$B$13</f>
        <v>2025-26</v>
      </c>
      <c r="AX7" s="725" t="str">
        <f>Update!$B$13</f>
        <v>2025-26</v>
      </c>
      <c r="AZ7" s="725" t="str">
        <f>Update!$B$13</f>
        <v>2025-26</v>
      </c>
      <c r="BF7" s="725" t="str">
        <f>Update!$B$13</f>
        <v>2025-26</v>
      </c>
      <c r="BI7" s="725" t="str">
        <f>Update!$B$13</f>
        <v>2025-26</v>
      </c>
      <c r="BJ7" s="725" t="str">
        <f>Update!$B$13</f>
        <v>2025-26</v>
      </c>
      <c r="BK7" s="725" t="str">
        <f>Update!$B$13</f>
        <v>2025-26</v>
      </c>
      <c r="BL7" s="725" t="str">
        <f>Update!$B$13</f>
        <v>2025-26</v>
      </c>
      <c r="BM7" s="725" t="str">
        <f>Update!$B$13</f>
        <v>2025-26</v>
      </c>
      <c r="BN7" s="725" t="str">
        <f>Update!$B$13</f>
        <v>2025-26</v>
      </c>
      <c r="BO7" s="725" t="str">
        <f>Update!$B$13</f>
        <v>2025-26</v>
      </c>
      <c r="BP7" s="725" t="str">
        <f>Update!$B$13</f>
        <v>2025-26</v>
      </c>
      <c r="BQ7" s="725" t="str">
        <f>Update!$B$13</f>
        <v>2025-26</v>
      </c>
      <c r="BR7" s="725" t="str">
        <f>Update!$B$13</f>
        <v>2025-26</v>
      </c>
      <c r="BS7" s="725" t="str">
        <f>Update!$B$13</f>
        <v>2025-26</v>
      </c>
      <c r="BT7" s="725" t="str">
        <f>Update!$B$13</f>
        <v>2025-26</v>
      </c>
      <c r="BU7" s="725" t="str">
        <f>Update!$B$13</f>
        <v>2025-26</v>
      </c>
      <c r="BV7" s="725" t="str">
        <f>Update!$B$13</f>
        <v>2025-26</v>
      </c>
      <c r="BW7" s="725" t="str">
        <f>Update!$B$13</f>
        <v>2025-26</v>
      </c>
      <c r="BX7" s="725" t="str">
        <f>Update!$B$13</f>
        <v>2025-26</v>
      </c>
      <c r="BY7" s="725" t="str">
        <f>Update!$B$13</f>
        <v>2025-26</v>
      </c>
      <c r="BZ7" s="725" t="str">
        <f>Update!$B$13</f>
        <v>2025-26</v>
      </c>
      <c r="CA7" s="725" t="str">
        <f>Update!$B$13</f>
        <v>2025-26</v>
      </c>
      <c r="CB7" s="725" t="str">
        <f>Update!$B$13</f>
        <v>2025-26</v>
      </c>
      <c r="CC7" s="725" t="str">
        <f>Update!$B$13</f>
        <v>2025-26</v>
      </c>
      <c r="CE7" s="725" t="str">
        <f>Update!$B$13</f>
        <v>2025-26</v>
      </c>
      <c r="CK7" s="725" t="str">
        <f>Update!$B$13</f>
        <v>2025-26</v>
      </c>
      <c r="CN7" s="725" t="str">
        <f>Update!$B$13</f>
        <v>2025-26</v>
      </c>
      <c r="CO7" s="725" t="str">
        <f>Update!$B$13</f>
        <v>2025-26</v>
      </c>
      <c r="CP7" s="725" t="str">
        <f>Update!$B$13</f>
        <v>2025-26</v>
      </c>
      <c r="CQ7" s="725" t="str">
        <f>Update!$B$13</f>
        <v>2025-26</v>
      </c>
      <c r="CR7" s="725" t="str">
        <f>Update!$B$13</f>
        <v>2025-26</v>
      </c>
      <c r="CS7" s="725" t="str">
        <f>Update!$B$13</f>
        <v>2025-26</v>
      </c>
      <c r="CT7" s="725" t="str">
        <f>Update!$B$13</f>
        <v>2025-26</v>
      </c>
      <c r="CU7" s="725" t="str">
        <f>Update!$B$13</f>
        <v>2025-26</v>
      </c>
      <c r="CV7" s="725" t="str">
        <f>Update!$B$13</f>
        <v>2025-26</v>
      </c>
      <c r="CW7" s="725" t="str">
        <f>Update!$B$13</f>
        <v>2025-26</v>
      </c>
      <c r="CX7" s="725" t="str">
        <f>Update!$B$13</f>
        <v>2025-26</v>
      </c>
      <c r="CY7" s="725" t="str">
        <f>Update!$B$13</f>
        <v>2025-26</v>
      </c>
      <c r="CZ7" s="725" t="str">
        <f>Update!$B$13</f>
        <v>2025-26</v>
      </c>
      <c r="DA7" s="725" t="str">
        <f>Update!$B$13</f>
        <v>2025-26</v>
      </c>
      <c r="DB7" s="725" t="str">
        <f>Update!$B$13</f>
        <v>2025-26</v>
      </c>
      <c r="DC7" s="725" t="str">
        <f>Update!$B$13</f>
        <v>2025-26</v>
      </c>
      <c r="DD7" s="725" t="str">
        <f>Update!$B$13</f>
        <v>2025-26</v>
      </c>
      <c r="DE7" s="725" t="str">
        <f>Update!$B$13</f>
        <v>2025-26</v>
      </c>
      <c r="DF7" s="725" t="str">
        <f>Update!$B$13</f>
        <v>2025-26</v>
      </c>
      <c r="DG7" s="725" t="str">
        <f>Update!$B$13</f>
        <v>2025-26</v>
      </c>
      <c r="DH7" s="725" t="str">
        <f>Update!$B$13</f>
        <v>2025-26</v>
      </c>
    </row>
    <row r="8" spans="1:112" x14ac:dyDescent="0.25">
      <c r="B8" s="47"/>
      <c r="D8" s="724"/>
      <c r="F8" s="724"/>
      <c r="M8" s="724"/>
      <c r="O8" s="724"/>
      <c r="Q8" s="724"/>
      <c r="S8" s="724"/>
      <c r="U8" s="725"/>
      <c r="AA8" s="725"/>
      <c r="AD8" s="725"/>
      <c r="AE8" s="725"/>
      <c r="AF8" s="725"/>
      <c r="AG8" s="725"/>
      <c r="AH8" s="725"/>
      <c r="AI8" s="725"/>
      <c r="AJ8" s="725"/>
      <c r="AK8" s="725"/>
      <c r="AL8" s="725"/>
      <c r="AM8" s="725"/>
      <c r="AN8" s="725"/>
      <c r="AO8" s="725"/>
      <c r="AP8" s="725"/>
      <c r="AQ8" s="725"/>
      <c r="AR8" s="725"/>
      <c r="AS8" s="725"/>
      <c r="AT8" s="725"/>
      <c r="AU8" s="725"/>
      <c r="AV8" s="725"/>
      <c r="AW8" s="725"/>
      <c r="AX8" s="725"/>
      <c r="AZ8" s="725"/>
      <c r="BF8" s="725"/>
      <c r="BI8" s="725"/>
      <c r="BJ8" s="725"/>
      <c r="BK8" s="725"/>
      <c r="BL8" s="725"/>
      <c r="BM8" s="725"/>
      <c r="BN8" s="725"/>
      <c r="BO8" s="725"/>
      <c r="BP8" s="725"/>
      <c r="BQ8" s="725"/>
      <c r="BR8" s="725"/>
      <c r="BS8" s="725"/>
      <c r="BT8" s="725"/>
      <c r="BU8" s="725"/>
      <c r="BV8" s="725"/>
      <c r="BW8" s="725"/>
      <c r="BX8" s="725"/>
      <c r="BY8" s="725"/>
      <c r="BZ8" s="725"/>
      <c r="CA8" s="725"/>
      <c r="CB8" s="725"/>
      <c r="CC8" s="725"/>
      <c r="CE8" s="725"/>
      <c r="CK8" s="725"/>
      <c r="CN8" s="725"/>
      <c r="CO8" s="725"/>
      <c r="CP8" s="725"/>
      <c r="CQ8" s="725"/>
      <c r="CR8" s="725"/>
      <c r="CS8" s="725"/>
      <c r="CT8" s="725"/>
      <c r="CU8" s="725"/>
      <c r="CV8" s="725"/>
      <c r="CW8" s="725"/>
      <c r="CX8" s="725"/>
      <c r="CY8" s="725"/>
      <c r="CZ8" s="725"/>
      <c r="DA8" s="725"/>
      <c r="DB8" s="725"/>
      <c r="DC8" s="725"/>
      <c r="DD8" s="725"/>
      <c r="DE8" s="725"/>
      <c r="DF8" s="725"/>
      <c r="DG8" s="725"/>
      <c r="DH8" s="725"/>
    </row>
    <row r="9" spans="1:112" x14ac:dyDescent="0.25">
      <c r="C9" s="113" t="s">
        <v>461</v>
      </c>
      <c r="D9" s="224" t="s">
        <v>62</v>
      </c>
      <c r="E9" s="113"/>
      <c r="F9" s="224" t="s">
        <v>62</v>
      </c>
      <c r="G9" s="113"/>
      <c r="H9" s="113"/>
      <c r="I9" s="113"/>
      <c r="J9" s="113"/>
      <c r="K9" s="113"/>
      <c r="L9" s="113"/>
      <c r="M9" s="224" t="s">
        <v>62</v>
      </c>
      <c r="N9" s="113"/>
      <c r="O9" s="224" t="s">
        <v>62</v>
      </c>
      <c r="P9" s="113"/>
      <c r="Q9" s="224" t="s">
        <v>62</v>
      </c>
      <c r="R9" s="113"/>
      <c r="S9" s="224" t="s">
        <v>62</v>
      </c>
      <c r="T9" s="113"/>
      <c r="U9" s="224" t="s">
        <v>62</v>
      </c>
      <c r="AA9" s="224" t="s">
        <v>62</v>
      </c>
      <c r="AD9" s="224" t="s">
        <v>62</v>
      </c>
      <c r="AE9" s="224" t="s">
        <v>62</v>
      </c>
      <c r="AF9" s="224" t="s">
        <v>62</v>
      </c>
      <c r="AG9" s="224" t="s">
        <v>62</v>
      </c>
      <c r="AH9" s="224" t="s">
        <v>62</v>
      </c>
      <c r="AI9" s="224" t="s">
        <v>62</v>
      </c>
      <c r="AJ9" s="224" t="s">
        <v>62</v>
      </c>
      <c r="AK9" s="224" t="s">
        <v>62</v>
      </c>
      <c r="AL9" s="224" t="s">
        <v>62</v>
      </c>
      <c r="AM9" s="224" t="s">
        <v>62</v>
      </c>
      <c r="AN9" s="224" t="s">
        <v>62</v>
      </c>
      <c r="AO9" s="224" t="s">
        <v>62</v>
      </c>
      <c r="AP9" s="224" t="s">
        <v>62</v>
      </c>
      <c r="AQ9" s="224" t="s">
        <v>62</v>
      </c>
      <c r="AR9" s="224" t="s">
        <v>62</v>
      </c>
      <c r="AS9" s="224" t="s">
        <v>62</v>
      </c>
      <c r="AT9" s="224" t="s">
        <v>62</v>
      </c>
      <c r="AU9" s="224" t="s">
        <v>62</v>
      </c>
      <c r="AV9" s="224" t="s">
        <v>62</v>
      </c>
      <c r="AW9" s="224" t="s">
        <v>62</v>
      </c>
      <c r="AX9" s="224" t="s">
        <v>62</v>
      </c>
      <c r="AZ9" s="224" t="s">
        <v>62</v>
      </c>
      <c r="BF9" s="224" t="s">
        <v>62</v>
      </c>
      <c r="BI9" s="224" t="s">
        <v>62</v>
      </c>
      <c r="BJ9" s="224" t="s">
        <v>62</v>
      </c>
      <c r="BK9" s="224" t="s">
        <v>62</v>
      </c>
      <c r="BL9" s="224" t="s">
        <v>62</v>
      </c>
      <c r="BM9" s="224" t="s">
        <v>62</v>
      </c>
      <c r="BN9" s="224" t="s">
        <v>62</v>
      </c>
      <c r="BO9" s="224" t="s">
        <v>62</v>
      </c>
      <c r="BP9" s="224" t="s">
        <v>62</v>
      </c>
      <c r="BQ9" s="224" t="s">
        <v>62</v>
      </c>
      <c r="BR9" s="224" t="s">
        <v>62</v>
      </c>
      <c r="BS9" s="224" t="s">
        <v>62</v>
      </c>
      <c r="BT9" s="224" t="s">
        <v>62</v>
      </c>
      <c r="BU9" s="224" t="s">
        <v>62</v>
      </c>
      <c r="BV9" s="224" t="s">
        <v>62</v>
      </c>
      <c r="BW9" s="224" t="s">
        <v>62</v>
      </c>
      <c r="BX9" s="224" t="s">
        <v>62</v>
      </c>
      <c r="BY9" s="224" t="s">
        <v>62</v>
      </c>
      <c r="BZ9" s="224" t="s">
        <v>62</v>
      </c>
      <c r="CA9" s="224" t="s">
        <v>62</v>
      </c>
      <c r="CB9" s="224" t="s">
        <v>62</v>
      </c>
      <c r="CC9" s="224" t="s">
        <v>62</v>
      </c>
      <c r="CE9" s="224" t="s">
        <v>62</v>
      </c>
      <c r="CK9" s="224" t="s">
        <v>62</v>
      </c>
      <c r="CN9" s="224" t="s">
        <v>62</v>
      </c>
      <c r="CO9" s="224" t="s">
        <v>62</v>
      </c>
      <c r="CP9" s="224" t="s">
        <v>62</v>
      </c>
      <c r="CQ9" s="224" t="s">
        <v>62</v>
      </c>
      <c r="CR9" s="224" t="s">
        <v>62</v>
      </c>
      <c r="CS9" s="224" t="s">
        <v>62</v>
      </c>
      <c r="CT9" s="224" t="s">
        <v>62</v>
      </c>
      <c r="CU9" s="224" t="s">
        <v>62</v>
      </c>
      <c r="CV9" s="224" t="s">
        <v>62</v>
      </c>
      <c r="CW9" s="224" t="s">
        <v>62</v>
      </c>
      <c r="CX9" s="224" t="s">
        <v>62</v>
      </c>
      <c r="CY9" s="224" t="s">
        <v>62</v>
      </c>
      <c r="CZ9" s="224" t="s">
        <v>62</v>
      </c>
      <c r="DA9" s="224" t="s">
        <v>62</v>
      </c>
      <c r="DB9" s="224" t="s">
        <v>62</v>
      </c>
      <c r="DC9" s="224" t="s">
        <v>62</v>
      </c>
      <c r="DD9" s="224" t="s">
        <v>62</v>
      </c>
      <c r="DE9" s="224" t="s">
        <v>62</v>
      </c>
      <c r="DF9" s="224" t="s">
        <v>62</v>
      </c>
      <c r="DG9" s="224" t="s">
        <v>62</v>
      </c>
      <c r="DH9" s="224" t="s">
        <v>62</v>
      </c>
    </row>
    <row r="10" spans="1:112" x14ac:dyDescent="0.25">
      <c r="B10" s="47" t="s">
        <v>82</v>
      </c>
      <c r="C10" s="113"/>
      <c r="D10" s="51"/>
      <c r="E10" s="113"/>
      <c r="F10" s="51"/>
      <c r="G10" s="113"/>
      <c r="H10" s="113"/>
      <c r="I10" s="113"/>
      <c r="J10" s="113"/>
      <c r="K10" s="113"/>
      <c r="L10" s="113"/>
      <c r="M10" s="113"/>
      <c r="N10" s="113"/>
      <c r="O10" s="113"/>
      <c r="P10" s="113"/>
      <c r="Q10" s="51"/>
      <c r="R10" s="113"/>
      <c r="S10" s="51"/>
      <c r="T10" s="113"/>
    </row>
    <row r="11" spans="1:112" x14ac:dyDescent="0.25">
      <c r="B11" s="51" t="s">
        <v>2331</v>
      </c>
      <c r="C11" s="726"/>
      <c r="D11" s="51">
        <f>SUMIF(MAP!$E$93:$E$146,$B11,MAP!T$93:T$146)</f>
        <v>0</v>
      </c>
      <c r="E11" s="726"/>
      <c r="F11" s="51">
        <f>SUMIF(MAP!$E$93:$E$146,$B11,MAP!N$93:N$146)</f>
        <v>0</v>
      </c>
      <c r="G11" s="726"/>
      <c r="H11" s="247" t="e">
        <f>D11+SCNE!D49</f>
        <v>#VALUE!</v>
      </c>
      <c r="I11" s="113"/>
      <c r="J11" s="247" t="e">
        <f>F11+SCNE!F49</f>
        <v>#VALUE!</v>
      </c>
      <c r="K11" s="782" t="s">
        <v>2047</v>
      </c>
      <c r="L11" s="726"/>
      <c r="M11" s="727">
        <v>-8911914</v>
      </c>
      <c r="N11" s="726"/>
      <c r="O11" s="727">
        <v>-9306313</v>
      </c>
      <c r="P11" s="726"/>
      <c r="Q11" s="51">
        <f>SUMIF(MAP!$E$93:$E$146,$B11,MAP!U$93:U$146)</f>
        <v>0</v>
      </c>
      <c r="R11" s="726"/>
      <c r="S11" s="51">
        <f>SUMIF(MAP!$E$93:$E$146,$B11,MAP!BD$93:BD$146)</f>
        <v>0</v>
      </c>
      <c r="T11" s="726"/>
      <c r="U11" s="51">
        <f>SUMIF(MAP!$E$93:$E$146,$B11,MAP!N$93:N$146)</f>
        <v>0</v>
      </c>
      <c r="AA11" s="51">
        <f>SUMIF(MAP!$E$93:$E$146,$B11,MAP!T$93:T$146)</f>
        <v>0</v>
      </c>
      <c r="AD11" s="51">
        <f>SUMIF(MAP!$E$93:$E$146,$B11,MAP!W$93:W$146)</f>
        <v>0</v>
      </c>
      <c r="AE11" s="51">
        <f>SUMIF(MAP!$E$93:$E$146,$B11,MAP!X$93:X$146)</f>
        <v>0</v>
      </c>
      <c r="AF11" s="51">
        <f>SUMIF(MAP!$E$93:$E$146,$B11,MAP!Y$93:Y$146)</f>
        <v>0</v>
      </c>
      <c r="AG11" s="51">
        <f>SUMIF(MAP!$E$93:$E$146,$B11,MAP!Z$93:Z$146)</f>
        <v>0</v>
      </c>
      <c r="AH11" s="51">
        <f>SUMIF(MAP!$E$93:$E$146,$B11,MAP!AA$93:AA$146)</f>
        <v>0</v>
      </c>
      <c r="AI11" s="51">
        <f>SUMIF(MAP!$E$93:$E$146,$B11,MAP!AB$93:AB$146)</f>
        <v>0</v>
      </c>
      <c r="AJ11" s="51">
        <f>SUMIF(MAP!$E$93:$E$146,$B11,MAP!AC$93:AC$146)</f>
        <v>0</v>
      </c>
      <c r="AK11" s="51">
        <f>SUMIF(MAP!$E$93:$E$146,$B11,MAP!AD$93:AD$146)</f>
        <v>0</v>
      </c>
      <c r="AL11" s="51">
        <f>SUMIF(MAP!$E$93:$E$146,$B11,MAP!AE$93:AE$146)</f>
        <v>0</v>
      </c>
      <c r="AM11" s="51">
        <f>SUMIF(MAP!$E$93:$E$146,$B11,MAP!AF$93:AF$146)</f>
        <v>0</v>
      </c>
      <c r="AN11" s="51">
        <f>SUMIF(MAP!$E$93:$E$146,$B11,MAP!AG$93:AG$146)</f>
        <v>0</v>
      </c>
      <c r="AO11" s="51">
        <f>SUMIF(MAP!$E$93:$E$146,$B11,MAP!AH$93:AH$146)</f>
        <v>0</v>
      </c>
      <c r="AP11" s="51">
        <f>SUMIF(MAP!$E$93:$E$146,$B11,MAP!AI$93:AI$146)</f>
        <v>0</v>
      </c>
      <c r="AQ11" s="51">
        <f>SUMIF(MAP!$E$93:$E$146,$B11,MAP!AJ$93:AJ$146)</f>
        <v>0</v>
      </c>
      <c r="AR11" s="51">
        <f>SUMIF(MAP!$E$93:$E$146,$B11,MAP!AK$93:AK$146)</f>
        <v>0</v>
      </c>
      <c r="AS11" s="51">
        <f>SUMIF(MAP!$E$93:$E$146,$B11,MAP!AL$93:AL$146)</f>
        <v>0</v>
      </c>
      <c r="AT11" s="51">
        <f>SUMIF(MAP!$E$93:$E$146,$B11,MAP!AM$93:AM$146)</f>
        <v>0</v>
      </c>
      <c r="AU11" s="51">
        <f>SUMIF(MAP!$E$93:$E$146,$B11,MAP!AN$93:AN$146)</f>
        <v>0</v>
      </c>
      <c r="AV11" s="51">
        <f>SUMIF(MAP!$E$93:$E$146,$B11,MAP!AO$93:AO$146)</f>
        <v>0</v>
      </c>
      <c r="AW11" s="51">
        <f>SUMIF(MAP!$E$93:$E$146,$B11,MAP!AP$93:AP$146)</f>
        <v>0</v>
      </c>
      <c r="AX11" s="51">
        <f>SUMIF(MAP!$E$93:$E$146,$B11,MAP!AQ$93:AQ$146)</f>
        <v>0</v>
      </c>
      <c r="AZ11" s="51" t="e">
        <f>MAP!N24</f>
        <v>#VALUE!</v>
      </c>
      <c r="BA11" s="51">
        <f>MAP!O24</f>
        <v>0</v>
      </c>
      <c r="BB11" s="51">
        <f>MAP!P24</f>
        <v>0</v>
      </c>
      <c r="BC11" s="51">
        <f>MAP!Q24</f>
        <v>0</v>
      </c>
      <c r="BD11" s="51">
        <f>MAP!R24</f>
        <v>0</v>
      </c>
      <c r="BE11" s="51">
        <f>MAP!S24</f>
        <v>0</v>
      </c>
      <c r="BF11" s="51" t="e">
        <f>MAP!T24</f>
        <v>#VALUE!</v>
      </c>
      <c r="BG11" s="51">
        <f>MAP!U24</f>
        <v>0</v>
      </c>
      <c r="BH11" s="51">
        <f>MAP!V24</f>
        <v>0</v>
      </c>
      <c r="BI11" s="51" t="e">
        <f>MAP!W24</f>
        <v>#VALUE!</v>
      </c>
      <c r="BJ11" s="51">
        <f>MAP!X24</f>
        <v>0</v>
      </c>
      <c r="BK11" s="51">
        <f>MAP!Y24</f>
        <v>0</v>
      </c>
      <c r="BL11" s="51">
        <f>MAP!Z24</f>
        <v>0</v>
      </c>
      <c r="BM11" s="51">
        <f>MAP!AA24</f>
        <v>0</v>
      </c>
      <c r="BN11" s="51">
        <f>MAP!AB24</f>
        <v>0</v>
      </c>
      <c r="BO11" s="51">
        <f>MAP!AC24</f>
        <v>0</v>
      </c>
      <c r="BP11" s="51">
        <f>MAP!AD24</f>
        <v>0</v>
      </c>
      <c r="BQ11" s="51">
        <f>MAP!AE24</f>
        <v>0</v>
      </c>
      <c r="BR11" s="51">
        <f>MAP!AF24</f>
        <v>0</v>
      </c>
      <c r="BS11" s="51">
        <f>MAP!AG24</f>
        <v>0</v>
      </c>
      <c r="BT11" s="51">
        <f>MAP!AH24</f>
        <v>0</v>
      </c>
      <c r="BU11" s="51">
        <f>MAP!AI24</f>
        <v>0</v>
      </c>
      <c r="BV11" s="51">
        <f>MAP!AJ24</f>
        <v>0</v>
      </c>
      <c r="BW11" s="51">
        <f>MAP!AK24</f>
        <v>0</v>
      </c>
      <c r="BX11" s="51">
        <f>MAP!AL24</f>
        <v>0</v>
      </c>
      <c r="BY11" s="51">
        <f>MAP!AM24</f>
        <v>0</v>
      </c>
      <c r="BZ11" s="51">
        <f>MAP!AN24</f>
        <v>0</v>
      </c>
      <c r="CA11" s="51">
        <f>MAP!AO24</f>
        <v>0</v>
      </c>
      <c r="CB11" s="51">
        <f>MAP!AP24</f>
        <v>0</v>
      </c>
      <c r="CC11" s="51">
        <f>MAP!AQ24</f>
        <v>0</v>
      </c>
      <c r="CE11" s="742" t="e">
        <f>U11-AZ11</f>
        <v>#VALUE!</v>
      </c>
      <c r="CF11" s="51">
        <f t="shared" ref="CF11:CF67" si="0">V11-BA11</f>
        <v>0</v>
      </c>
      <c r="CG11" s="51">
        <f t="shared" ref="CG11:CG67" si="1">W11-BB11</f>
        <v>0</v>
      </c>
      <c r="CH11" s="51">
        <f t="shared" ref="CH11:CH67" si="2">X11-BC11</f>
        <v>0</v>
      </c>
      <c r="CI11" s="51">
        <f t="shared" ref="CI11:CI67" si="3">Y11-BD11</f>
        <v>0</v>
      </c>
      <c r="CJ11" s="51">
        <f t="shared" ref="CJ11:CJ67" si="4">Z11-BE11</f>
        <v>0</v>
      </c>
      <c r="CK11" s="51" t="e">
        <f t="shared" ref="CK11:CK67" si="5">AA11-BF11</f>
        <v>#VALUE!</v>
      </c>
      <c r="CL11" s="51">
        <f t="shared" ref="CL11:CL67" si="6">AB11-BG11</f>
        <v>0</v>
      </c>
      <c r="CM11" s="51">
        <f t="shared" ref="CM11:CM67" si="7">AC11-BH11</f>
        <v>0</v>
      </c>
      <c r="CN11" s="792" t="e">
        <f>AD11+BI11</f>
        <v>#VALUE!</v>
      </c>
      <c r="CO11" s="51">
        <f t="shared" ref="CO11:DH11" si="8">AE11-BJ11</f>
        <v>0</v>
      </c>
      <c r="CP11" s="51">
        <f t="shared" si="8"/>
        <v>0</v>
      </c>
      <c r="CQ11" s="51">
        <f t="shared" si="8"/>
        <v>0</v>
      </c>
      <c r="CR11" s="51">
        <f t="shared" si="8"/>
        <v>0</v>
      </c>
      <c r="CS11" s="51">
        <f t="shared" si="8"/>
        <v>0</v>
      </c>
      <c r="CT11" s="51">
        <f t="shared" si="8"/>
        <v>0</v>
      </c>
      <c r="CU11" s="51">
        <f t="shared" si="8"/>
        <v>0</v>
      </c>
      <c r="CV11" s="51">
        <f t="shared" si="8"/>
        <v>0</v>
      </c>
      <c r="CW11" s="51">
        <f t="shared" si="8"/>
        <v>0</v>
      </c>
      <c r="CX11" s="51">
        <f t="shared" si="8"/>
        <v>0</v>
      </c>
      <c r="CY11" s="51">
        <f t="shared" si="8"/>
        <v>0</v>
      </c>
      <c r="CZ11" s="51">
        <f t="shared" si="8"/>
        <v>0</v>
      </c>
      <c r="DA11" s="51">
        <f t="shared" si="8"/>
        <v>0</v>
      </c>
      <c r="DB11" s="51">
        <f t="shared" si="8"/>
        <v>0</v>
      </c>
      <c r="DC11" s="51">
        <f t="shared" si="8"/>
        <v>0</v>
      </c>
      <c r="DD11" s="51">
        <f t="shared" si="8"/>
        <v>0</v>
      </c>
      <c r="DE11" s="51">
        <f t="shared" si="8"/>
        <v>0</v>
      </c>
      <c r="DF11" s="51">
        <f t="shared" si="8"/>
        <v>0</v>
      </c>
      <c r="DG11" s="51">
        <f t="shared" si="8"/>
        <v>0</v>
      </c>
      <c r="DH11" s="51">
        <f t="shared" si="8"/>
        <v>0</v>
      </c>
    </row>
    <row r="12" spans="1:112" x14ac:dyDescent="0.25">
      <c r="B12" s="51" t="s">
        <v>318</v>
      </c>
      <c r="C12" s="206" t="s">
        <v>121</v>
      </c>
      <c r="D12" s="51">
        <f>SUMIF(MAP!$E$93:$E$146,$B12,MAP!T$93:T$146)</f>
        <v>0</v>
      </c>
      <c r="F12" s="51">
        <f>SUMIF(MAP!$E$93:$E$146,$B12,MAP!N$93:N$146)</f>
        <v>0</v>
      </c>
      <c r="H12" s="247">
        <f>D12-'Note 3a'!D31-'Note 3b &amp; 3c'!D42</f>
        <v>0</v>
      </c>
      <c r="J12" s="247">
        <f>F12-'Note 3a'!F31-'Note 3b &amp; 3c'!F42</f>
        <v>0</v>
      </c>
      <c r="K12" s="249" t="s">
        <v>2041</v>
      </c>
      <c r="M12" s="727">
        <v>40849</v>
      </c>
      <c r="O12" s="727">
        <v>1003451</v>
      </c>
      <c r="Q12" s="51">
        <f>SUMIF(MAP!$E$93:$E$146,$B12,MAP!U$93:U$146)</f>
        <v>0</v>
      </c>
      <c r="S12" s="51">
        <f>SUMIF(MAP!$E$93:$E$146,$B12,MAP!BD$93:BD$146)</f>
        <v>0</v>
      </c>
      <c r="U12" s="51">
        <f>SUMIF(MAP!$E$93:$E$146,$B12,MAP!N$93:N$146)</f>
        <v>0</v>
      </c>
      <c r="AA12" s="51">
        <f>SUMIF(MAP!$E$93:$E$146,$B12,MAP!T$93:T$146)</f>
        <v>0</v>
      </c>
      <c r="AD12" s="51">
        <f>SUMIF(MAP!$E$93:$E$146,$B12,MAP!W$93:W$146)</f>
        <v>0</v>
      </c>
      <c r="AE12" s="51">
        <f>SUMIF(MAP!$E$93:$E$146,$B12,MAP!X$93:X$146)</f>
        <v>0</v>
      </c>
      <c r="AF12" s="51">
        <f>SUMIF(MAP!$E$93:$E$146,$B12,MAP!Y$93:Y$146)</f>
        <v>0</v>
      </c>
      <c r="AG12" s="51">
        <f>SUMIF(MAP!$E$93:$E$146,$B12,MAP!Z$93:Z$146)</f>
        <v>0</v>
      </c>
      <c r="AH12" s="51">
        <f>SUMIF(MAP!$E$93:$E$146,$B12,MAP!AA$93:AA$146)</f>
        <v>0</v>
      </c>
      <c r="AI12" s="51">
        <f>SUMIF(MAP!$E$93:$E$146,$B12,MAP!AB$93:AB$146)</f>
        <v>0</v>
      </c>
      <c r="AJ12" s="51">
        <f>SUMIF(MAP!$E$93:$E$146,$B12,MAP!AC$93:AC$146)</f>
        <v>0</v>
      </c>
      <c r="AK12" s="51">
        <f>SUMIF(MAP!$E$93:$E$146,$B12,MAP!AD$93:AD$146)</f>
        <v>0</v>
      </c>
      <c r="AL12" s="51">
        <f>SUMIF(MAP!$E$93:$E$146,$B12,MAP!AE$93:AE$146)</f>
        <v>0</v>
      </c>
      <c r="AM12" s="51">
        <f>SUMIF(MAP!$E$93:$E$146,$B12,MAP!AF$93:AF$146)</f>
        <v>0</v>
      </c>
      <c r="AN12" s="51">
        <f>SUMIF(MAP!$E$93:$E$146,$B12,MAP!AG$93:AG$146)</f>
        <v>0</v>
      </c>
      <c r="AO12" s="51">
        <f>SUMIF(MAP!$E$93:$E$146,$B12,MAP!AH$93:AH$146)</f>
        <v>0</v>
      </c>
      <c r="AP12" s="51">
        <f>SUMIF(MAP!$E$93:$E$146,$B12,MAP!AI$93:AI$146)</f>
        <v>0</v>
      </c>
      <c r="AQ12" s="51">
        <f>SUMIF(MAP!$E$93:$E$146,$B12,MAP!AJ$93:AJ$146)</f>
        <v>0</v>
      </c>
      <c r="AR12" s="51">
        <f>SUMIF(MAP!$E$93:$E$146,$B12,MAP!AK$93:AK$146)</f>
        <v>0</v>
      </c>
      <c r="AS12" s="51">
        <f>SUMIF(MAP!$E$93:$E$146,$B12,MAP!AL$93:AL$146)</f>
        <v>0</v>
      </c>
      <c r="AT12" s="51">
        <f>SUMIF(MAP!$E$93:$E$146,$B12,MAP!AM$93:AM$146)</f>
        <v>0</v>
      </c>
      <c r="AU12" s="51">
        <f>SUMIF(MAP!$E$93:$E$146,$B12,MAP!AN$93:AN$146)</f>
        <v>0</v>
      </c>
      <c r="AV12" s="51">
        <f>SUMIF(MAP!$E$93:$E$146,$B12,MAP!AO$93:AO$146)</f>
        <v>0</v>
      </c>
      <c r="AW12" s="51">
        <f>SUMIF(MAP!$E$93:$E$146,$B12,MAP!AP$93:AP$146)</f>
        <v>0</v>
      </c>
      <c r="AX12" s="51">
        <f>SUMIF(MAP!$E$93:$E$146,$B12,MAP!AQ$93:AQ$146)</f>
        <v>0</v>
      </c>
      <c r="CE12" s="742"/>
      <c r="CF12" s="51">
        <f t="shared" si="0"/>
        <v>0</v>
      </c>
      <c r="CG12" s="51">
        <f t="shared" si="1"/>
        <v>0</v>
      </c>
      <c r="CH12" s="51">
        <f t="shared" si="2"/>
        <v>0</v>
      </c>
      <c r="CI12" s="51">
        <f t="shared" si="3"/>
        <v>0</v>
      </c>
      <c r="CJ12" s="51">
        <f t="shared" si="4"/>
        <v>0</v>
      </c>
      <c r="CK12" s="51">
        <f t="shared" si="5"/>
        <v>0</v>
      </c>
      <c r="CL12" s="51">
        <f t="shared" si="6"/>
        <v>0</v>
      </c>
      <c r="CM12" s="51">
        <f t="shared" si="7"/>
        <v>0</v>
      </c>
    </row>
    <row r="13" spans="1:112" x14ac:dyDescent="0.25">
      <c r="B13" s="51" t="s">
        <v>319</v>
      </c>
      <c r="C13" s="726">
        <v>12</v>
      </c>
      <c r="D13" s="51">
        <f>SUMIF(MAP!$E$93:$E$146,$B13,MAP!T$93:T$146)</f>
        <v>13821</v>
      </c>
      <c r="E13" s="726"/>
      <c r="F13" s="51">
        <f>SUMIF(MAP!$E$93:$E$146,$B13,MAP!N$93:N$146)</f>
        <v>-66727</v>
      </c>
      <c r="G13" s="726"/>
      <c r="H13" s="247">
        <f>D13+('Note 12'!C47-'Note 12'!G47)-SUM(H15,H16,H17,H18)</f>
        <v>-11423</v>
      </c>
      <c r="I13" s="730"/>
      <c r="J13" s="247">
        <f>F13+('Note 12'!E47-'Note 12'!I47)</f>
        <v>-339083</v>
      </c>
      <c r="K13" s="249" t="s">
        <v>2652</v>
      </c>
      <c r="L13" s="726"/>
      <c r="M13" s="727">
        <v>27280</v>
      </c>
      <c r="N13" s="726"/>
      <c r="O13" s="727">
        <v>-7412</v>
      </c>
      <c r="P13" s="726"/>
      <c r="Q13" s="51">
        <f>SUMIF(MAP!$E$93:$E$146,$B13,MAP!U$93:U$146)</f>
        <v>-434</v>
      </c>
      <c r="R13" s="726"/>
      <c r="S13" s="51">
        <f>SUMIF(MAP!$E$93:$E$146,$B13,MAP!BD$93:BD$146)</f>
        <v>0</v>
      </c>
      <c r="T13" s="726"/>
      <c r="U13" s="51">
        <f>SUMIF(MAP!$E$93:$E$146,$B13,MAP!N$93:N$146)</f>
        <v>-66727</v>
      </c>
      <c r="AA13" s="51">
        <f>SUMIF(MAP!$E$93:$E$146,$B13,MAP!T$93:T$146)</f>
        <v>13821</v>
      </c>
      <c r="AD13" s="51">
        <f>SUMIF(MAP!$E$93:$E$146,$B13,MAP!W$93:W$146)</f>
        <v>14255</v>
      </c>
      <c r="AE13" s="51">
        <f>SUMIF(MAP!$E$93:$E$146,$B13,MAP!X$93:X$146)</f>
        <v>0</v>
      </c>
      <c r="AF13" s="51">
        <f>SUMIF(MAP!$E$93:$E$146,$B13,MAP!Y$93:Y$146)</f>
        <v>0</v>
      </c>
      <c r="AG13" s="51">
        <f>SUMIF(MAP!$E$93:$E$146,$B13,MAP!Z$93:Z$146)</f>
        <v>0</v>
      </c>
      <c r="AH13" s="51">
        <f>SUMIF(MAP!$E$93:$E$146,$B13,MAP!AA$93:AA$146)</f>
        <v>0</v>
      </c>
      <c r="AI13" s="51">
        <f>SUMIF(MAP!$E$93:$E$146,$B13,MAP!AB$93:AB$146)</f>
        <v>0</v>
      </c>
      <c r="AJ13" s="51">
        <f>SUMIF(MAP!$E$93:$E$146,$B13,MAP!AC$93:AC$146)</f>
        <v>0</v>
      </c>
      <c r="AK13" s="51">
        <f>SUMIF(MAP!$E$93:$E$146,$B13,MAP!AD$93:AD$146)</f>
        <v>0</v>
      </c>
      <c r="AL13" s="51">
        <f>SUMIF(MAP!$E$93:$E$146,$B13,MAP!AE$93:AE$146)</f>
        <v>0</v>
      </c>
      <c r="AM13" s="51">
        <f>SUMIF(MAP!$E$93:$E$146,$B13,MAP!AF$93:AF$146)</f>
        <v>0</v>
      </c>
      <c r="AN13" s="51">
        <f>SUMIF(MAP!$E$93:$E$146,$B13,MAP!AG$93:AG$146)</f>
        <v>0</v>
      </c>
      <c r="AO13" s="51">
        <f>SUMIF(MAP!$E$93:$E$146,$B13,MAP!AH$93:AH$146)</f>
        <v>0</v>
      </c>
      <c r="AP13" s="51">
        <f>SUMIF(MAP!$E$93:$E$146,$B13,MAP!AI$93:AI$146)</f>
        <v>0</v>
      </c>
      <c r="AQ13" s="51">
        <f>SUMIF(MAP!$E$93:$E$146,$B13,MAP!AJ$93:AJ$146)</f>
        <v>0</v>
      </c>
      <c r="AR13" s="51">
        <f>SUMIF(MAP!$E$93:$E$146,$B13,MAP!AK$93:AK$146)</f>
        <v>0</v>
      </c>
      <c r="AS13" s="51">
        <f>SUMIF(MAP!$E$93:$E$146,$B13,MAP!AL$93:AL$146)</f>
        <v>0</v>
      </c>
      <c r="AT13" s="51">
        <f>SUMIF(MAP!$E$93:$E$146,$B13,MAP!AM$93:AM$146)</f>
        <v>0</v>
      </c>
      <c r="AU13" s="51">
        <f>SUMIF(MAP!$E$93:$E$146,$B13,MAP!AN$93:AN$146)</f>
        <v>0</v>
      </c>
      <c r="AV13" s="51">
        <f>SUMIF(MAP!$E$93:$E$146,$B13,MAP!AO$93:AO$146)</f>
        <v>0</v>
      </c>
      <c r="AW13" s="51">
        <f>SUMIF(MAP!$E$93:$E$146,$B13,MAP!AP$93:AP$146)</f>
        <v>0</v>
      </c>
      <c r="AX13" s="51">
        <f>SUMIF(MAP!$E$93:$E$146,$B13,MAP!AQ$93:AQ$146)</f>
        <v>0</v>
      </c>
      <c r="CE13" s="742"/>
      <c r="CF13" s="51">
        <f t="shared" si="0"/>
        <v>0</v>
      </c>
      <c r="CG13" s="51">
        <f t="shared" si="1"/>
        <v>0</v>
      </c>
      <c r="CH13" s="51">
        <f t="shared" si="2"/>
        <v>0</v>
      </c>
      <c r="CI13" s="51">
        <f t="shared" si="3"/>
        <v>0</v>
      </c>
      <c r="CJ13" s="51">
        <f t="shared" si="4"/>
        <v>0</v>
      </c>
      <c r="CK13" s="51">
        <f t="shared" si="5"/>
        <v>13821</v>
      </c>
      <c r="CL13" s="51">
        <f t="shared" si="6"/>
        <v>0</v>
      </c>
      <c r="CM13" s="51">
        <f t="shared" si="7"/>
        <v>0</v>
      </c>
    </row>
    <row r="14" spans="1:112" s="189" customFormat="1" ht="25.5" x14ac:dyDescent="0.25">
      <c r="A14" s="728"/>
      <c r="B14" s="729" t="s">
        <v>85</v>
      </c>
      <c r="C14" s="730"/>
      <c r="E14" s="730"/>
      <c r="G14" s="730"/>
      <c r="H14" s="730"/>
      <c r="I14" s="730"/>
      <c r="J14" s="730"/>
      <c r="K14" s="730"/>
      <c r="L14" s="730"/>
      <c r="N14" s="730"/>
      <c r="P14" s="730"/>
      <c r="Q14" s="189">
        <f>SUMIF(MAP!$E$93:$E$146,$B14,MAP!U$93:U$146)</f>
        <v>0</v>
      </c>
      <c r="R14" s="730"/>
      <c r="S14" s="189">
        <f>SUMIF(MAP!$E$93:$E$146,$B14,MAP!BD$93:BD$146)</f>
        <v>0</v>
      </c>
      <c r="T14" s="730"/>
      <c r="U14" s="51"/>
      <c r="AA14" s="51"/>
      <c r="AD14" s="51"/>
      <c r="AE14" s="51"/>
      <c r="AF14" s="51"/>
      <c r="AG14" s="51"/>
      <c r="AH14" s="51"/>
      <c r="AI14" s="51"/>
      <c r="AJ14" s="51"/>
      <c r="AK14" s="51"/>
      <c r="AL14" s="51"/>
      <c r="AM14" s="51"/>
      <c r="AN14" s="51"/>
      <c r="AO14" s="51"/>
      <c r="AP14" s="51"/>
      <c r="AQ14" s="51"/>
      <c r="AR14" s="51"/>
      <c r="AS14" s="51"/>
      <c r="AT14" s="51"/>
      <c r="AU14" s="51"/>
      <c r="AV14" s="51"/>
      <c r="AW14" s="51"/>
      <c r="AX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E14" s="742"/>
      <c r="CF14" s="189">
        <f t="shared" si="0"/>
        <v>0</v>
      </c>
      <c r="CG14" s="189">
        <f t="shared" si="1"/>
        <v>0</v>
      </c>
      <c r="CH14" s="189">
        <f t="shared" si="2"/>
        <v>0</v>
      </c>
      <c r="CI14" s="189">
        <f t="shared" si="3"/>
        <v>0</v>
      </c>
      <c r="CJ14" s="189">
        <f t="shared" si="4"/>
        <v>0</v>
      </c>
      <c r="CK14" s="51">
        <f t="shared" si="5"/>
        <v>0</v>
      </c>
      <c r="CL14" s="189">
        <f t="shared" si="6"/>
        <v>0</v>
      </c>
      <c r="CM14" s="189">
        <f t="shared" si="7"/>
        <v>0</v>
      </c>
      <c r="CN14" s="51"/>
      <c r="CO14" s="51"/>
      <c r="CP14" s="51"/>
      <c r="CQ14" s="51"/>
      <c r="CR14" s="51"/>
      <c r="CS14" s="51"/>
      <c r="CT14" s="51"/>
      <c r="CU14" s="51"/>
      <c r="CV14" s="51"/>
      <c r="CW14" s="51"/>
      <c r="CX14" s="51"/>
      <c r="CY14" s="51"/>
      <c r="CZ14" s="51"/>
      <c r="DA14" s="51"/>
      <c r="DB14" s="51"/>
      <c r="DC14" s="51"/>
      <c r="DD14" s="51"/>
      <c r="DE14" s="51"/>
      <c r="DF14" s="51"/>
      <c r="DG14" s="51"/>
      <c r="DH14" s="51"/>
    </row>
    <row r="15" spans="1:112" s="189" customFormat="1" x14ac:dyDescent="0.25">
      <c r="A15" s="728"/>
      <c r="B15" s="189" t="s">
        <v>86</v>
      </c>
      <c r="C15" s="730">
        <v>12</v>
      </c>
      <c r="D15" s="51">
        <f>SUMIF(MAP!$E$93:$E$146,$B15,MAP!T$93:T$146)</f>
        <v>0</v>
      </c>
      <c r="E15" s="730"/>
      <c r="F15" s="51">
        <f>SUMIF(MAP!$E$93:$E$146,$B15,MAP!N$93:N$146)</f>
        <v>0</v>
      </c>
      <c r="G15" s="730"/>
      <c r="H15" s="247">
        <f>D15-('Note 12'!C21-'Note 12'!G21)</f>
        <v>0</v>
      </c>
      <c r="I15" s="730"/>
      <c r="J15" s="247">
        <f>F15-('Note 12'!E21-'Note 12'!I21)</f>
        <v>0</v>
      </c>
      <c r="K15" s="800"/>
      <c r="L15" s="730"/>
      <c r="M15" s="727">
        <v>0</v>
      </c>
      <c r="N15" s="730"/>
      <c r="O15" s="727">
        <v>0</v>
      </c>
      <c r="P15" s="730"/>
      <c r="Q15" s="51">
        <f>SUMIF(MAP!$E$93:$E$146,$B15,MAP!U$93:U$146)</f>
        <v>0</v>
      </c>
      <c r="R15" s="730"/>
      <c r="S15" s="51">
        <f>SUMIF(MAP!$E$93:$E$146,$B15,MAP!BD$93:BD$146)</f>
        <v>0</v>
      </c>
      <c r="T15" s="730"/>
      <c r="U15" s="51">
        <f>SUMIF(MAP!$E$93:$E$146,$B15,MAP!N$93:N$146)</f>
        <v>0</v>
      </c>
      <c r="AA15" s="51">
        <f>SUMIF(MAP!$E$93:$E$146,$B15,MAP!T$93:T$146)</f>
        <v>0</v>
      </c>
      <c r="AD15" s="51">
        <f>SUMIF(MAP!$E$93:$E$146,$B15,MAP!W$93:W$146)</f>
        <v>0</v>
      </c>
      <c r="AE15" s="51">
        <f>SUMIF(MAP!$E$93:$E$146,$B15,MAP!X$93:X$146)</f>
        <v>0</v>
      </c>
      <c r="AF15" s="51">
        <f>SUMIF(MAP!$E$93:$E$146,$B15,MAP!Y$93:Y$146)</f>
        <v>0</v>
      </c>
      <c r="AG15" s="51">
        <f>SUMIF(MAP!$E$93:$E$146,$B15,MAP!Z$93:Z$146)</f>
        <v>0</v>
      </c>
      <c r="AH15" s="51">
        <f>SUMIF(MAP!$E$93:$E$146,$B15,MAP!AA$93:AA$146)</f>
        <v>0</v>
      </c>
      <c r="AI15" s="51">
        <f>SUMIF(MAP!$E$93:$E$146,$B15,MAP!AB$93:AB$146)</f>
        <v>0</v>
      </c>
      <c r="AJ15" s="51">
        <f>SUMIF(MAP!$E$93:$E$146,$B15,MAP!AC$93:AC$146)</f>
        <v>0</v>
      </c>
      <c r="AK15" s="51">
        <f>SUMIF(MAP!$E$93:$E$146,$B15,MAP!AD$93:AD$146)</f>
        <v>0</v>
      </c>
      <c r="AL15" s="51">
        <f>SUMIF(MAP!$E$93:$E$146,$B15,MAP!AE$93:AE$146)</f>
        <v>0</v>
      </c>
      <c r="AM15" s="51">
        <f>SUMIF(MAP!$E$93:$E$146,$B15,MAP!AF$93:AF$146)</f>
        <v>0</v>
      </c>
      <c r="AN15" s="51">
        <f>SUMIF(MAP!$E$93:$E$146,$B15,MAP!AG$93:AG$146)</f>
        <v>0</v>
      </c>
      <c r="AO15" s="51">
        <f>SUMIF(MAP!$E$93:$E$146,$B15,MAP!AH$93:AH$146)</f>
        <v>0</v>
      </c>
      <c r="AP15" s="51">
        <f>SUMIF(MAP!$E$93:$E$146,$B15,MAP!AI$93:AI$146)</f>
        <v>0</v>
      </c>
      <c r="AQ15" s="51">
        <f>SUMIF(MAP!$E$93:$E$146,$B15,MAP!AJ$93:AJ$146)</f>
        <v>0</v>
      </c>
      <c r="AR15" s="51">
        <f>SUMIF(MAP!$E$93:$E$146,$B15,MAP!AK$93:AK$146)</f>
        <v>0</v>
      </c>
      <c r="AS15" s="51">
        <f>SUMIF(MAP!$E$93:$E$146,$B15,MAP!AL$93:AL$146)</f>
        <v>0</v>
      </c>
      <c r="AT15" s="51">
        <f>SUMIF(MAP!$E$93:$E$146,$B15,MAP!AM$93:AM$146)</f>
        <v>0</v>
      </c>
      <c r="AU15" s="51">
        <f>SUMIF(MAP!$E$93:$E$146,$B15,MAP!AN$93:AN$146)</f>
        <v>0</v>
      </c>
      <c r="AV15" s="51">
        <f>SUMIF(MAP!$E$93:$E$146,$B15,MAP!AO$93:AO$146)</f>
        <v>0</v>
      </c>
      <c r="AW15" s="51">
        <f>SUMIF(MAP!$E$93:$E$146,$B15,MAP!AP$93:AP$146)</f>
        <v>0</v>
      </c>
      <c r="AX15" s="51">
        <f>SUMIF(MAP!$E$93:$E$146,$B15,MAP!AQ$93:AQ$146)</f>
        <v>0</v>
      </c>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E15" s="742"/>
      <c r="CF15" s="189">
        <f t="shared" si="0"/>
        <v>0</v>
      </c>
      <c r="CG15" s="189">
        <f t="shared" si="1"/>
        <v>0</v>
      </c>
      <c r="CH15" s="189">
        <f t="shared" si="2"/>
        <v>0</v>
      </c>
      <c r="CI15" s="189">
        <f t="shared" si="3"/>
        <v>0</v>
      </c>
      <c r="CJ15" s="189">
        <f t="shared" si="4"/>
        <v>0</v>
      </c>
      <c r="CK15" s="51">
        <f t="shared" si="5"/>
        <v>0</v>
      </c>
      <c r="CL15" s="189">
        <f t="shared" si="6"/>
        <v>0</v>
      </c>
      <c r="CM15" s="189">
        <f t="shared" si="7"/>
        <v>0</v>
      </c>
      <c r="CN15" s="51"/>
      <c r="CO15" s="51"/>
      <c r="CP15" s="51"/>
      <c r="CQ15" s="51"/>
      <c r="CR15" s="51"/>
      <c r="CS15" s="51"/>
      <c r="CT15" s="51"/>
      <c r="CU15" s="51"/>
      <c r="CV15" s="51"/>
      <c r="CW15" s="51"/>
      <c r="CX15" s="51"/>
      <c r="CY15" s="51"/>
      <c r="CZ15" s="51"/>
      <c r="DA15" s="51"/>
      <c r="DB15" s="51"/>
      <c r="DC15" s="51"/>
      <c r="DD15" s="51"/>
      <c r="DE15" s="51"/>
      <c r="DF15" s="51"/>
      <c r="DG15" s="51"/>
      <c r="DH15" s="51"/>
    </row>
    <row r="16" spans="1:112" s="189" customFormat="1" ht="25.5" x14ac:dyDescent="0.25">
      <c r="A16" s="728"/>
      <c r="B16" s="189" t="s">
        <v>300</v>
      </c>
      <c r="C16" s="730">
        <v>12</v>
      </c>
      <c r="D16" s="51">
        <f>SUMIF(MAP!$E$93:$E$146,$B16,MAP!T$93:T$146)</f>
        <v>0</v>
      </c>
      <c r="E16" s="730"/>
      <c r="F16" s="51">
        <f>SUMIF(MAP!$E$93:$E$146,$B16,MAP!N$93:N$146)</f>
        <v>0</v>
      </c>
      <c r="G16" s="730"/>
      <c r="H16" s="247">
        <f>D16-('Note 12'!C16-'Note 12'!G16)</f>
        <v>0</v>
      </c>
      <c r="I16" s="730"/>
      <c r="J16" s="247">
        <f>F16-('Note 12'!E16-'Note 12'!I16)</f>
        <v>0</v>
      </c>
      <c r="K16" s="249" t="s">
        <v>2653</v>
      </c>
      <c r="L16" s="730"/>
      <c r="M16" s="727">
        <v>0</v>
      </c>
      <c r="N16" s="730"/>
      <c r="O16" s="727">
        <v>-1</v>
      </c>
      <c r="P16" s="730"/>
      <c r="Q16" s="51">
        <f>SUMIF(MAP!$E$93:$E$146,$B16,MAP!U$93:U$146)</f>
        <v>0</v>
      </c>
      <c r="R16" s="730"/>
      <c r="S16" s="51">
        <f>SUMIF(MAP!$E$93:$E$146,$B16,MAP!BD$93:BD$146)</f>
        <v>0</v>
      </c>
      <c r="T16" s="730"/>
      <c r="U16" s="51">
        <f>SUMIF(MAP!$E$93:$E$146,$B16,MAP!N$93:N$146)</f>
        <v>0</v>
      </c>
      <c r="AA16" s="51">
        <f>SUMIF(MAP!$E$93:$E$146,$B16,MAP!T$93:T$146)</f>
        <v>0</v>
      </c>
      <c r="AD16" s="51">
        <f>SUMIF(MAP!$E$93:$E$146,$B16,MAP!W$93:W$146)</f>
        <v>0</v>
      </c>
      <c r="AE16" s="51">
        <f>SUMIF(MAP!$E$93:$E$146,$B16,MAP!X$93:X$146)</f>
        <v>0</v>
      </c>
      <c r="AF16" s="51">
        <f>SUMIF(MAP!$E$93:$E$146,$B16,MAP!Y$93:Y$146)</f>
        <v>0</v>
      </c>
      <c r="AG16" s="51">
        <f>SUMIF(MAP!$E$93:$E$146,$B16,MAP!Z$93:Z$146)</f>
        <v>0</v>
      </c>
      <c r="AH16" s="51">
        <f>SUMIF(MAP!$E$93:$E$146,$B16,MAP!AA$93:AA$146)</f>
        <v>0</v>
      </c>
      <c r="AI16" s="51">
        <f>SUMIF(MAP!$E$93:$E$146,$B16,MAP!AB$93:AB$146)</f>
        <v>0</v>
      </c>
      <c r="AJ16" s="51">
        <f>SUMIF(MAP!$E$93:$E$146,$B16,MAP!AC$93:AC$146)</f>
        <v>0</v>
      </c>
      <c r="AK16" s="51">
        <f>SUMIF(MAP!$E$93:$E$146,$B16,MAP!AD$93:AD$146)</f>
        <v>0</v>
      </c>
      <c r="AL16" s="51">
        <f>SUMIF(MAP!$E$93:$E$146,$B16,MAP!AE$93:AE$146)</f>
        <v>0</v>
      </c>
      <c r="AM16" s="51">
        <f>SUMIF(MAP!$E$93:$E$146,$B16,MAP!AF$93:AF$146)</f>
        <v>0</v>
      </c>
      <c r="AN16" s="51">
        <f>SUMIF(MAP!$E$93:$E$146,$B16,MAP!AG$93:AG$146)</f>
        <v>0</v>
      </c>
      <c r="AO16" s="51">
        <f>SUMIF(MAP!$E$93:$E$146,$B16,MAP!AH$93:AH$146)</f>
        <v>0</v>
      </c>
      <c r="AP16" s="51">
        <f>SUMIF(MAP!$E$93:$E$146,$B16,MAP!AI$93:AI$146)</f>
        <v>0</v>
      </c>
      <c r="AQ16" s="51">
        <f>SUMIF(MAP!$E$93:$E$146,$B16,MAP!AJ$93:AJ$146)</f>
        <v>0</v>
      </c>
      <c r="AR16" s="51">
        <f>SUMIF(MAP!$E$93:$E$146,$B16,MAP!AK$93:AK$146)</f>
        <v>0</v>
      </c>
      <c r="AS16" s="51">
        <f>SUMIF(MAP!$E$93:$E$146,$B16,MAP!AL$93:AL$146)</f>
        <v>0</v>
      </c>
      <c r="AT16" s="51">
        <f>SUMIF(MAP!$E$93:$E$146,$B16,MAP!AM$93:AM$146)</f>
        <v>0</v>
      </c>
      <c r="AU16" s="51">
        <f>SUMIF(MAP!$E$93:$E$146,$B16,MAP!AN$93:AN$146)</f>
        <v>0</v>
      </c>
      <c r="AV16" s="51">
        <f>SUMIF(MAP!$E$93:$E$146,$B16,MAP!AO$93:AO$146)</f>
        <v>0</v>
      </c>
      <c r="AW16" s="51">
        <f>SUMIF(MAP!$E$93:$E$146,$B16,MAP!AP$93:AP$146)</f>
        <v>0</v>
      </c>
      <c r="AX16" s="51">
        <f>SUMIF(MAP!$E$93:$E$146,$B16,MAP!AQ$93:AQ$146)</f>
        <v>0</v>
      </c>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E16" s="742"/>
      <c r="CF16" s="189">
        <f t="shared" si="0"/>
        <v>0</v>
      </c>
      <c r="CG16" s="189">
        <f t="shared" si="1"/>
        <v>0</v>
      </c>
      <c r="CH16" s="189">
        <f t="shared" si="2"/>
        <v>0</v>
      </c>
      <c r="CI16" s="189">
        <f t="shared" si="3"/>
        <v>0</v>
      </c>
      <c r="CJ16" s="189">
        <f t="shared" si="4"/>
        <v>0</v>
      </c>
      <c r="CK16" s="51">
        <f t="shared" si="5"/>
        <v>0</v>
      </c>
      <c r="CL16" s="189">
        <f t="shared" si="6"/>
        <v>0</v>
      </c>
      <c r="CM16" s="189">
        <f t="shared" si="7"/>
        <v>0</v>
      </c>
      <c r="CN16" s="51"/>
      <c r="CO16" s="51"/>
      <c r="CP16" s="51"/>
      <c r="CQ16" s="51"/>
      <c r="CR16" s="51"/>
      <c r="CS16" s="51"/>
      <c r="CT16" s="51"/>
      <c r="CU16" s="51"/>
      <c r="CV16" s="51"/>
      <c r="CW16" s="51"/>
      <c r="CX16" s="51"/>
      <c r="CY16" s="51"/>
      <c r="CZ16" s="51"/>
      <c r="DA16" s="51"/>
      <c r="DB16" s="51"/>
      <c r="DC16" s="51"/>
      <c r="DD16" s="51"/>
      <c r="DE16" s="51"/>
      <c r="DF16" s="51"/>
      <c r="DG16" s="51"/>
      <c r="DH16" s="51"/>
    </row>
    <row r="17" spans="1:112" s="189" customFormat="1" x14ac:dyDescent="0.25">
      <c r="A17" s="728"/>
      <c r="B17" s="189" t="s">
        <v>301</v>
      </c>
      <c r="C17" s="730">
        <v>12</v>
      </c>
      <c r="D17" s="51">
        <f>SUMIF(MAP!$E$93:$E$146,$B17,MAP!T$93:T$146)</f>
        <v>0</v>
      </c>
      <c r="E17" s="730"/>
      <c r="F17" s="51">
        <f>SUMIF(MAP!$E$93:$E$146,$B17,MAP!N$93:N$146)</f>
        <v>0</v>
      </c>
      <c r="G17" s="730"/>
      <c r="H17" s="247">
        <f>D17-('Note 12'!C17-'Note 12'!G17)</f>
        <v>0</v>
      </c>
      <c r="I17" s="730"/>
      <c r="J17" s="247">
        <f>F17-('Note 12'!E17-'Note 12'!I17)</f>
        <v>16</v>
      </c>
      <c r="K17" s="249" t="s">
        <v>2654</v>
      </c>
      <c r="L17" s="730"/>
      <c r="M17" s="727">
        <v>0</v>
      </c>
      <c r="N17" s="730"/>
      <c r="O17" s="727">
        <v>0</v>
      </c>
      <c r="P17" s="730"/>
      <c r="Q17" s="51">
        <f>SUMIF(MAP!$E$93:$E$146,$B17,MAP!U$93:U$146)</f>
        <v>0</v>
      </c>
      <c r="R17" s="730"/>
      <c r="S17" s="51">
        <f>SUMIF(MAP!$E$93:$E$146,$B17,MAP!BD$93:BD$146)</f>
        <v>0</v>
      </c>
      <c r="T17" s="730"/>
      <c r="U17" s="51">
        <f>SUMIF(MAP!$E$93:$E$146,$B17,MAP!N$93:N$146)</f>
        <v>0</v>
      </c>
      <c r="AA17" s="51">
        <f>SUMIF(MAP!$E$93:$E$146,$B17,MAP!T$93:T$146)</f>
        <v>0</v>
      </c>
      <c r="AD17" s="51">
        <f>SUMIF(MAP!$E$93:$E$146,$B17,MAP!W$93:W$146)</f>
        <v>0</v>
      </c>
      <c r="AE17" s="51">
        <f>SUMIF(MAP!$E$93:$E$146,$B17,MAP!X$93:X$146)</f>
        <v>0</v>
      </c>
      <c r="AF17" s="51">
        <f>SUMIF(MAP!$E$93:$E$146,$B17,MAP!Y$93:Y$146)</f>
        <v>0</v>
      </c>
      <c r="AG17" s="51">
        <f>SUMIF(MAP!$E$93:$E$146,$B17,MAP!Z$93:Z$146)</f>
        <v>0</v>
      </c>
      <c r="AH17" s="51">
        <f>SUMIF(MAP!$E$93:$E$146,$B17,MAP!AA$93:AA$146)</f>
        <v>0</v>
      </c>
      <c r="AI17" s="51">
        <f>SUMIF(MAP!$E$93:$E$146,$B17,MAP!AB$93:AB$146)</f>
        <v>0</v>
      </c>
      <c r="AJ17" s="51">
        <f>SUMIF(MAP!$E$93:$E$146,$B17,MAP!AC$93:AC$146)</f>
        <v>0</v>
      </c>
      <c r="AK17" s="51">
        <f>SUMIF(MAP!$E$93:$E$146,$B17,MAP!AD$93:AD$146)</f>
        <v>0</v>
      </c>
      <c r="AL17" s="51">
        <f>SUMIF(MAP!$E$93:$E$146,$B17,MAP!AE$93:AE$146)</f>
        <v>0</v>
      </c>
      <c r="AM17" s="51">
        <f>SUMIF(MAP!$E$93:$E$146,$B17,MAP!AF$93:AF$146)</f>
        <v>0</v>
      </c>
      <c r="AN17" s="51">
        <f>SUMIF(MAP!$E$93:$E$146,$B17,MAP!AG$93:AG$146)</f>
        <v>0</v>
      </c>
      <c r="AO17" s="51">
        <f>SUMIF(MAP!$E$93:$E$146,$B17,MAP!AH$93:AH$146)</f>
        <v>0</v>
      </c>
      <c r="AP17" s="51">
        <f>SUMIF(MAP!$E$93:$E$146,$B17,MAP!AI$93:AI$146)</f>
        <v>0</v>
      </c>
      <c r="AQ17" s="51">
        <f>SUMIF(MAP!$E$93:$E$146,$B17,MAP!AJ$93:AJ$146)</f>
        <v>0</v>
      </c>
      <c r="AR17" s="51">
        <f>SUMIF(MAP!$E$93:$E$146,$B17,MAP!AK$93:AK$146)</f>
        <v>0</v>
      </c>
      <c r="AS17" s="51">
        <f>SUMIF(MAP!$E$93:$E$146,$B17,MAP!AL$93:AL$146)</f>
        <v>0</v>
      </c>
      <c r="AT17" s="51">
        <f>SUMIF(MAP!$E$93:$E$146,$B17,MAP!AM$93:AM$146)</f>
        <v>0</v>
      </c>
      <c r="AU17" s="51">
        <f>SUMIF(MAP!$E$93:$E$146,$B17,MAP!AN$93:AN$146)</f>
        <v>0</v>
      </c>
      <c r="AV17" s="51">
        <f>SUMIF(MAP!$E$93:$E$146,$B17,MAP!AO$93:AO$146)</f>
        <v>0</v>
      </c>
      <c r="AW17" s="51">
        <f>SUMIF(MAP!$E$93:$E$146,$B17,MAP!AP$93:AP$146)</f>
        <v>0</v>
      </c>
      <c r="AX17" s="51">
        <f>SUMIF(MAP!$E$93:$E$146,$B17,MAP!AQ$93:AQ$146)</f>
        <v>0</v>
      </c>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E17" s="742"/>
      <c r="CF17" s="189">
        <f t="shared" si="0"/>
        <v>0</v>
      </c>
      <c r="CG17" s="189">
        <f t="shared" si="1"/>
        <v>0</v>
      </c>
      <c r="CH17" s="189">
        <f t="shared" si="2"/>
        <v>0</v>
      </c>
      <c r="CI17" s="189">
        <f t="shared" si="3"/>
        <v>0</v>
      </c>
      <c r="CJ17" s="189">
        <f t="shared" si="4"/>
        <v>0</v>
      </c>
      <c r="CK17" s="51">
        <f t="shared" si="5"/>
        <v>0</v>
      </c>
      <c r="CL17" s="189">
        <f t="shared" si="6"/>
        <v>0</v>
      </c>
      <c r="CM17" s="189">
        <f t="shared" si="7"/>
        <v>0</v>
      </c>
      <c r="CN17" s="51"/>
      <c r="CO17" s="51"/>
      <c r="CP17" s="51"/>
      <c r="CQ17" s="51"/>
      <c r="CR17" s="51"/>
      <c r="CS17" s="51"/>
      <c r="CT17" s="51"/>
      <c r="CU17" s="51"/>
      <c r="CV17" s="51"/>
      <c r="CW17" s="51"/>
      <c r="CX17" s="51"/>
      <c r="CY17" s="51"/>
      <c r="CZ17" s="51"/>
      <c r="DA17" s="51"/>
      <c r="DB17" s="51"/>
      <c r="DC17" s="51"/>
      <c r="DD17" s="51"/>
      <c r="DE17" s="51"/>
      <c r="DF17" s="51"/>
      <c r="DG17" s="51"/>
      <c r="DH17" s="51"/>
    </row>
    <row r="18" spans="1:112" s="189" customFormat="1" ht="25.5" x14ac:dyDescent="0.25">
      <c r="A18" s="728"/>
      <c r="B18" s="189" t="s">
        <v>321</v>
      </c>
      <c r="C18" s="730">
        <v>12</v>
      </c>
      <c r="D18" s="51">
        <f>SUMIF(MAP!$E$93:$E$146,$B18,MAP!T$93:T$146)</f>
        <v>0</v>
      </c>
      <c r="E18" s="730"/>
      <c r="F18" s="51">
        <f>SUMIF(MAP!$E$93:$E$146,$B18,MAP!N$93:N$146)</f>
        <v>0</v>
      </c>
      <c r="G18" s="730"/>
      <c r="H18" s="247">
        <f>D18-('Note 12'!C26-'Note 12'!G26)</f>
        <v>0</v>
      </c>
      <c r="I18" s="730"/>
      <c r="J18" s="247">
        <f>F18-('Note 12'!E26-'Note 12'!I26)</f>
        <v>0</v>
      </c>
      <c r="K18" s="800"/>
      <c r="L18" s="730"/>
      <c r="M18" s="727">
        <v>0</v>
      </c>
      <c r="N18" s="730"/>
      <c r="O18" s="727">
        <v>0</v>
      </c>
      <c r="P18" s="730"/>
      <c r="Q18" s="51">
        <f>SUMIF(MAP!$E$93:$E$146,$B18,MAP!U$93:U$146)</f>
        <v>0</v>
      </c>
      <c r="R18" s="730"/>
      <c r="S18" s="51">
        <f>SUMIF(MAP!$E$93:$E$146,$B18,MAP!BD$93:BD$146)</f>
        <v>0</v>
      </c>
      <c r="T18" s="730"/>
      <c r="U18" s="51">
        <f>SUMIF(MAP!$E$93:$E$146,$B18,MAP!N$93:N$146)</f>
        <v>0</v>
      </c>
      <c r="AA18" s="51">
        <f>SUMIF(MAP!$E$93:$E$146,$B18,MAP!T$93:T$146)</f>
        <v>0</v>
      </c>
      <c r="AD18" s="51">
        <f>SUMIF(MAP!$E$93:$E$146,$B18,MAP!W$93:W$146)</f>
        <v>0</v>
      </c>
      <c r="AE18" s="51">
        <f>SUMIF(MAP!$E$93:$E$146,$B18,MAP!X$93:X$146)</f>
        <v>0</v>
      </c>
      <c r="AF18" s="51">
        <f>SUMIF(MAP!$E$93:$E$146,$B18,MAP!Y$93:Y$146)</f>
        <v>0</v>
      </c>
      <c r="AG18" s="51">
        <f>SUMIF(MAP!$E$93:$E$146,$B18,MAP!Z$93:Z$146)</f>
        <v>0</v>
      </c>
      <c r="AH18" s="51">
        <f>SUMIF(MAP!$E$93:$E$146,$B18,MAP!AA$93:AA$146)</f>
        <v>0</v>
      </c>
      <c r="AI18" s="51">
        <f>SUMIF(MAP!$E$93:$E$146,$B18,MAP!AB$93:AB$146)</f>
        <v>0</v>
      </c>
      <c r="AJ18" s="51">
        <f>SUMIF(MAP!$E$93:$E$146,$B18,MAP!AC$93:AC$146)</f>
        <v>0</v>
      </c>
      <c r="AK18" s="51">
        <f>SUMIF(MAP!$E$93:$E$146,$B18,MAP!AD$93:AD$146)</f>
        <v>0</v>
      </c>
      <c r="AL18" s="51">
        <f>SUMIF(MAP!$E$93:$E$146,$B18,MAP!AE$93:AE$146)</f>
        <v>0</v>
      </c>
      <c r="AM18" s="51">
        <f>SUMIF(MAP!$E$93:$E$146,$B18,MAP!AF$93:AF$146)</f>
        <v>0</v>
      </c>
      <c r="AN18" s="51">
        <f>SUMIF(MAP!$E$93:$E$146,$B18,MAP!AG$93:AG$146)</f>
        <v>0</v>
      </c>
      <c r="AO18" s="51">
        <f>SUMIF(MAP!$E$93:$E$146,$B18,MAP!AH$93:AH$146)</f>
        <v>0</v>
      </c>
      <c r="AP18" s="51">
        <f>SUMIF(MAP!$E$93:$E$146,$B18,MAP!AI$93:AI$146)</f>
        <v>0</v>
      </c>
      <c r="AQ18" s="51">
        <f>SUMIF(MAP!$E$93:$E$146,$B18,MAP!AJ$93:AJ$146)</f>
        <v>0</v>
      </c>
      <c r="AR18" s="51">
        <f>SUMIF(MAP!$E$93:$E$146,$B18,MAP!AK$93:AK$146)</f>
        <v>0</v>
      </c>
      <c r="AS18" s="51">
        <f>SUMIF(MAP!$E$93:$E$146,$B18,MAP!AL$93:AL$146)</f>
        <v>0</v>
      </c>
      <c r="AT18" s="51">
        <f>SUMIF(MAP!$E$93:$E$146,$B18,MAP!AM$93:AM$146)</f>
        <v>0</v>
      </c>
      <c r="AU18" s="51">
        <f>SUMIF(MAP!$E$93:$E$146,$B18,MAP!AN$93:AN$146)</f>
        <v>0</v>
      </c>
      <c r="AV18" s="51">
        <f>SUMIF(MAP!$E$93:$E$146,$B18,MAP!AO$93:AO$146)</f>
        <v>0</v>
      </c>
      <c r="AW18" s="51">
        <f>SUMIF(MAP!$E$93:$E$146,$B18,MAP!AP$93:AP$146)</f>
        <v>0</v>
      </c>
      <c r="AX18" s="51">
        <f>SUMIF(MAP!$E$93:$E$146,$B18,MAP!AQ$93:AQ$146)</f>
        <v>0</v>
      </c>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E18" s="742"/>
      <c r="CF18" s="189">
        <f t="shared" si="0"/>
        <v>0</v>
      </c>
      <c r="CG18" s="189">
        <f t="shared" si="1"/>
        <v>0</v>
      </c>
      <c r="CH18" s="189">
        <f t="shared" si="2"/>
        <v>0</v>
      </c>
      <c r="CI18" s="189">
        <f t="shared" si="3"/>
        <v>0</v>
      </c>
      <c r="CJ18" s="189">
        <f t="shared" si="4"/>
        <v>0</v>
      </c>
      <c r="CK18" s="51">
        <f t="shared" si="5"/>
        <v>0</v>
      </c>
      <c r="CL18" s="189">
        <f t="shared" si="6"/>
        <v>0</v>
      </c>
      <c r="CM18" s="189">
        <f t="shared" si="7"/>
        <v>0</v>
      </c>
      <c r="CN18" s="51"/>
      <c r="CO18" s="51"/>
      <c r="CP18" s="51"/>
      <c r="CQ18" s="51"/>
      <c r="CR18" s="51"/>
      <c r="CS18" s="51"/>
      <c r="CT18" s="51"/>
      <c r="CU18" s="51"/>
      <c r="CV18" s="51"/>
      <c r="CW18" s="51"/>
      <c r="CX18" s="51"/>
      <c r="CY18" s="51"/>
      <c r="CZ18" s="51"/>
      <c r="DA18" s="51"/>
      <c r="DB18" s="51"/>
      <c r="DC18" s="51"/>
      <c r="DD18" s="51"/>
      <c r="DE18" s="51"/>
      <c r="DF18" s="51"/>
      <c r="DG18" s="51"/>
      <c r="DH18" s="51"/>
    </row>
    <row r="19" spans="1:112" s="189" customFormat="1" x14ac:dyDescent="0.25">
      <c r="A19" s="728"/>
      <c r="B19" s="189" t="s">
        <v>302</v>
      </c>
      <c r="C19" s="730">
        <v>12</v>
      </c>
      <c r="D19" s="51">
        <f>SUMIF(MAP!$E$93:$E$146,$B19,MAP!T$93:T$146)</f>
        <v>0</v>
      </c>
      <c r="E19" s="730"/>
      <c r="F19" s="51">
        <f>ROUND(SUMIF(MAP!$E$389:$E$406,$B19,MAP!$N$389:$N$406),0)</f>
        <v>0</v>
      </c>
      <c r="G19" s="730"/>
      <c r="H19" s="247"/>
      <c r="I19" s="730"/>
      <c r="J19" s="247"/>
      <c r="K19" s="800"/>
      <c r="L19" s="730"/>
      <c r="M19" s="727">
        <v>0</v>
      </c>
      <c r="N19" s="730"/>
      <c r="O19" s="727">
        <v>0</v>
      </c>
      <c r="P19" s="730"/>
      <c r="Q19" s="51"/>
      <c r="R19" s="730"/>
      <c r="S19" s="51"/>
      <c r="T19" s="730"/>
      <c r="U19" s="51">
        <f>SUMIF(MAP!$E$93:$E$146,$B19,MAP!N$93:N$146)</f>
        <v>0</v>
      </c>
      <c r="AA19" s="51">
        <f>SUMIF(MAP!$E$93:$E$146,$B19,MAP!T$93:T$146)</f>
        <v>0</v>
      </c>
      <c r="AD19" s="51">
        <f>SUMIF(MAP!$E$93:$E$146,$B19,MAP!W$93:W$146)</f>
        <v>0</v>
      </c>
      <c r="AE19" s="51">
        <f>SUMIF(MAP!$E$93:$E$146,$B19,MAP!X$93:X$146)</f>
        <v>0</v>
      </c>
      <c r="AF19" s="51">
        <f>SUMIF(MAP!$E$93:$E$146,$B19,MAP!Y$93:Y$146)</f>
        <v>0</v>
      </c>
      <c r="AG19" s="51">
        <f>SUMIF(MAP!$E$93:$E$146,$B19,MAP!Z$93:Z$146)</f>
        <v>0</v>
      </c>
      <c r="AH19" s="51">
        <f>SUMIF(MAP!$E$93:$E$146,$B19,MAP!AA$93:AA$146)</f>
        <v>0</v>
      </c>
      <c r="AI19" s="51">
        <f>SUMIF(MAP!$E$93:$E$146,$B19,MAP!AB$93:AB$146)</f>
        <v>0</v>
      </c>
      <c r="AJ19" s="51">
        <f>SUMIF(MAP!$E$93:$E$146,$B19,MAP!AC$93:AC$146)</f>
        <v>0</v>
      </c>
      <c r="AK19" s="51">
        <f>SUMIF(MAP!$E$93:$E$146,$B19,MAP!AD$93:AD$146)</f>
        <v>0</v>
      </c>
      <c r="AL19" s="51">
        <f>SUMIF(MAP!$E$93:$E$146,$B19,MAP!AE$93:AE$146)</f>
        <v>0</v>
      </c>
      <c r="AM19" s="51">
        <f>SUMIF(MAP!$E$93:$E$146,$B19,MAP!AF$93:AF$146)</f>
        <v>0</v>
      </c>
      <c r="AN19" s="51">
        <f>SUMIF(MAP!$E$93:$E$146,$B19,MAP!AG$93:AG$146)</f>
        <v>0</v>
      </c>
      <c r="AO19" s="51">
        <f>SUMIF(MAP!$E$93:$E$146,$B19,MAP!AH$93:AH$146)</f>
        <v>0</v>
      </c>
      <c r="AP19" s="51">
        <f>SUMIF(MAP!$E$93:$E$146,$B19,MAP!AI$93:AI$146)</f>
        <v>0</v>
      </c>
      <c r="AQ19" s="51">
        <f>SUMIF(MAP!$E$93:$E$146,$B19,MAP!AJ$93:AJ$146)</f>
        <v>0</v>
      </c>
      <c r="AR19" s="51">
        <f>SUMIF(MAP!$E$93:$E$146,$B19,MAP!AK$93:AK$146)</f>
        <v>0</v>
      </c>
      <c r="AS19" s="51">
        <f>SUMIF(MAP!$E$93:$E$146,$B19,MAP!AL$93:AL$146)</f>
        <v>0</v>
      </c>
      <c r="AT19" s="51">
        <f>SUMIF(MAP!$E$93:$E$146,$B19,MAP!AM$93:AM$146)</f>
        <v>0</v>
      </c>
      <c r="AU19" s="51">
        <f>SUMIF(MAP!$E$93:$E$146,$B19,MAP!AN$93:AN$146)</f>
        <v>0</v>
      </c>
      <c r="AV19" s="51">
        <f>SUMIF(MAP!$E$93:$E$146,$B19,MAP!AO$93:AO$146)</f>
        <v>0</v>
      </c>
      <c r="AW19" s="51">
        <f>SUMIF(MAP!$E$93:$E$146,$B19,MAP!AP$93:AP$146)</f>
        <v>0</v>
      </c>
      <c r="AX19" s="51">
        <f>SUMIF(MAP!$E$93:$E$146,$B19,MAP!AQ$93:AQ$146)</f>
        <v>0</v>
      </c>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E19" s="742"/>
      <c r="CK19" s="51"/>
      <c r="CN19" s="51"/>
      <c r="CO19" s="51"/>
      <c r="CP19" s="51"/>
      <c r="CQ19" s="51"/>
      <c r="CR19" s="51"/>
      <c r="CS19" s="51"/>
      <c r="CT19" s="51"/>
      <c r="CU19" s="51"/>
      <c r="CV19" s="51"/>
      <c r="CW19" s="51"/>
      <c r="CX19" s="51"/>
      <c r="CY19" s="51"/>
      <c r="CZ19" s="51"/>
      <c r="DA19" s="51"/>
      <c r="DB19" s="51"/>
      <c r="DC19" s="51"/>
      <c r="DD19" s="51"/>
      <c r="DE19" s="51"/>
      <c r="DF19" s="51"/>
      <c r="DG19" s="51"/>
      <c r="DH19" s="51"/>
    </row>
    <row r="20" spans="1:112" x14ac:dyDescent="0.25">
      <c r="B20" s="51" t="s">
        <v>322</v>
      </c>
      <c r="C20" s="726">
        <v>10</v>
      </c>
      <c r="D20" s="51">
        <f>SUMIF(MAP!$E$93:$E$146,$B20,MAP!T$93:T$146)</f>
        <v>0</v>
      </c>
      <c r="E20" s="726"/>
      <c r="F20" s="51">
        <f>SUMIF(MAP!$E$93:$E$146,$B20,MAP!N$93:N$146)</f>
        <v>0</v>
      </c>
      <c r="G20" s="726"/>
      <c r="H20" s="247">
        <f>SFP!K25-SFP!E25-D20</f>
        <v>1088</v>
      </c>
      <c r="I20" s="726"/>
      <c r="J20" s="247">
        <f>SFP!M25-SFP!G25-F20</f>
        <v>95311</v>
      </c>
      <c r="K20" s="800"/>
      <c r="L20" s="726"/>
      <c r="M20" s="727">
        <v>-1088</v>
      </c>
      <c r="N20" s="726"/>
      <c r="O20" s="727">
        <v>16565</v>
      </c>
      <c r="P20" s="726"/>
      <c r="Q20" s="51">
        <f>SUMIF(MAP!$E$93:$E$146,$B20,MAP!U$93:U$146)</f>
        <v>0</v>
      </c>
      <c r="R20" s="726"/>
      <c r="S20" s="51">
        <f>SUMIF(MAP!$E$93:$E$146,$B20,MAP!BD$93:BD$146)</f>
        <v>0</v>
      </c>
      <c r="T20" s="726"/>
      <c r="U20" s="51">
        <f>SUMIF(MAP!$E$93:$E$146,$B20,MAP!N$93:N$146)</f>
        <v>0</v>
      </c>
      <c r="AA20" s="51">
        <f>SUMIF(MAP!$E$93:$E$146,$B20,MAP!T$93:T$146)</f>
        <v>0</v>
      </c>
      <c r="AD20" s="51">
        <f>SUMIF(MAP!$E$93:$E$146,$B20,MAP!W$93:W$146)</f>
        <v>0</v>
      </c>
      <c r="AE20" s="51">
        <f>SUMIF(MAP!$E$93:$E$146,$B20,MAP!X$93:X$146)</f>
        <v>0</v>
      </c>
      <c r="AF20" s="51">
        <f>SUMIF(MAP!$E$93:$E$146,$B20,MAP!Y$93:Y$146)</f>
        <v>0</v>
      </c>
      <c r="AG20" s="51">
        <f>SUMIF(MAP!$E$93:$E$146,$B20,MAP!Z$93:Z$146)</f>
        <v>0</v>
      </c>
      <c r="AH20" s="51">
        <f>SUMIF(MAP!$E$93:$E$146,$B20,MAP!AA$93:AA$146)</f>
        <v>0</v>
      </c>
      <c r="AI20" s="51">
        <f>SUMIF(MAP!$E$93:$E$146,$B20,MAP!AB$93:AB$146)</f>
        <v>0</v>
      </c>
      <c r="AJ20" s="51">
        <f>SUMIF(MAP!$E$93:$E$146,$B20,MAP!AC$93:AC$146)</f>
        <v>0</v>
      </c>
      <c r="AK20" s="51">
        <f>SUMIF(MAP!$E$93:$E$146,$B20,MAP!AD$93:AD$146)</f>
        <v>0</v>
      </c>
      <c r="AL20" s="51">
        <f>SUMIF(MAP!$E$93:$E$146,$B20,MAP!AE$93:AE$146)</f>
        <v>0</v>
      </c>
      <c r="AM20" s="51">
        <f>SUMIF(MAP!$E$93:$E$146,$B20,MAP!AF$93:AF$146)</f>
        <v>0</v>
      </c>
      <c r="AN20" s="51">
        <f>SUMIF(MAP!$E$93:$E$146,$B20,MAP!AG$93:AG$146)</f>
        <v>0</v>
      </c>
      <c r="AO20" s="51">
        <f>SUMIF(MAP!$E$93:$E$146,$B20,MAP!AH$93:AH$146)</f>
        <v>0</v>
      </c>
      <c r="AP20" s="51">
        <f>SUMIF(MAP!$E$93:$E$146,$B20,MAP!AI$93:AI$146)</f>
        <v>0</v>
      </c>
      <c r="AQ20" s="51">
        <f>SUMIF(MAP!$E$93:$E$146,$B20,MAP!AJ$93:AJ$146)</f>
        <v>0</v>
      </c>
      <c r="AR20" s="51">
        <f>SUMIF(MAP!$E$93:$E$146,$B20,MAP!AK$93:AK$146)</f>
        <v>0</v>
      </c>
      <c r="AS20" s="51">
        <f>SUMIF(MAP!$E$93:$E$146,$B20,MAP!AL$93:AL$146)</f>
        <v>0</v>
      </c>
      <c r="AT20" s="51">
        <f>SUMIF(MAP!$E$93:$E$146,$B20,MAP!AM$93:AM$146)</f>
        <v>0</v>
      </c>
      <c r="AU20" s="51">
        <f>SUMIF(MAP!$E$93:$E$146,$B20,MAP!AN$93:AN$146)</f>
        <v>0</v>
      </c>
      <c r="AV20" s="51">
        <f>SUMIF(MAP!$E$93:$E$146,$B20,MAP!AO$93:AO$146)</f>
        <v>0</v>
      </c>
      <c r="AW20" s="51">
        <f>SUMIF(MAP!$E$93:$E$146,$B20,MAP!AP$93:AP$146)</f>
        <v>0</v>
      </c>
      <c r="AX20" s="51">
        <f>SUMIF(MAP!$E$93:$E$146,$B20,MAP!AQ$93:AQ$146)</f>
        <v>0</v>
      </c>
      <c r="CE20" s="742"/>
      <c r="CF20" s="51">
        <f t="shared" si="0"/>
        <v>0</v>
      </c>
      <c r="CG20" s="51">
        <f t="shared" si="1"/>
        <v>0</v>
      </c>
      <c r="CH20" s="51">
        <f t="shared" si="2"/>
        <v>0</v>
      </c>
      <c r="CI20" s="51">
        <f t="shared" si="3"/>
        <v>0</v>
      </c>
      <c r="CJ20" s="51">
        <f t="shared" si="4"/>
        <v>0</v>
      </c>
      <c r="CK20" s="51">
        <f t="shared" si="5"/>
        <v>0</v>
      </c>
      <c r="CL20" s="51">
        <f t="shared" si="6"/>
        <v>0</v>
      </c>
      <c r="CM20" s="51">
        <f t="shared" si="7"/>
        <v>0</v>
      </c>
    </row>
    <row r="21" spans="1:112" ht="25.5" x14ac:dyDescent="0.25">
      <c r="B21" s="189" t="s">
        <v>307</v>
      </c>
      <c r="C21" s="726">
        <v>13</v>
      </c>
      <c r="D21" s="51">
        <f>SUMIF(MAP!$E$93:$E$146,$B21,MAP!T$93:T$146)</f>
        <v>-65103</v>
      </c>
      <c r="E21" s="726"/>
      <c r="F21" s="51">
        <f>SUMIF(MAP!$E$93:$E$146,$B21,MAP!N$93:N$146)</f>
        <v>15445</v>
      </c>
      <c r="G21" s="726"/>
      <c r="H21" s="247">
        <f>D21-('Note 13'!C59-'Note 13'!G59-'Note 13'!C11+'Note 13'!G11)</f>
        <v>147462</v>
      </c>
      <c r="I21" s="726"/>
      <c r="J21" s="247">
        <f>F21-('Note 13'!E59-'Note 13'!I59-'Note 13'!E11+'Note 13'!I11)</f>
        <v>1606714</v>
      </c>
      <c r="K21" s="249" t="s">
        <v>2655</v>
      </c>
      <c r="L21" s="726"/>
      <c r="M21" s="727">
        <v>-117398</v>
      </c>
      <c r="N21" s="726"/>
      <c r="O21" s="727">
        <v>-264354</v>
      </c>
      <c r="P21" s="726"/>
      <c r="Q21" s="51">
        <f>SUMIF(MAP!$E$93:$E$146,$B21,MAP!U$93:U$146)</f>
        <v>434</v>
      </c>
      <c r="R21" s="726"/>
      <c r="S21" s="51">
        <f>SUMIF(MAP!$E$93:$E$146,$B21,MAP!BD$93:BD$146)</f>
        <v>0</v>
      </c>
      <c r="T21" s="726"/>
      <c r="U21" s="51">
        <f>SUMIF(MAP!$E$93:$E$146,$B21,MAP!N$93:N$146)</f>
        <v>15445</v>
      </c>
      <c r="AA21" s="51">
        <f>SUMIF(MAP!$E$93:$E$146,$B21,MAP!T$93:T$146)</f>
        <v>-65103</v>
      </c>
      <c r="AD21" s="51">
        <f>SUMIF(MAP!$E$93:$E$146,$B21,MAP!W$93:W$146)</f>
        <v>-65537</v>
      </c>
      <c r="AE21" s="51">
        <f>SUMIF(MAP!$E$93:$E$146,$B21,MAP!X$93:X$146)</f>
        <v>0</v>
      </c>
      <c r="AF21" s="51">
        <f>SUMIF(MAP!$E$93:$E$146,$B21,MAP!Y$93:Y$146)</f>
        <v>0</v>
      </c>
      <c r="AG21" s="51">
        <f>SUMIF(MAP!$E$93:$E$146,$B21,MAP!Z$93:Z$146)</f>
        <v>0</v>
      </c>
      <c r="AH21" s="51">
        <f>SUMIF(MAP!$E$93:$E$146,$B21,MAP!AA$93:AA$146)</f>
        <v>0</v>
      </c>
      <c r="AI21" s="51">
        <f>SUMIF(MAP!$E$93:$E$146,$B21,MAP!AB$93:AB$146)</f>
        <v>0</v>
      </c>
      <c r="AJ21" s="51">
        <f>SUMIF(MAP!$E$93:$E$146,$B21,MAP!AC$93:AC$146)</f>
        <v>0</v>
      </c>
      <c r="AK21" s="51">
        <f>SUMIF(MAP!$E$93:$E$146,$B21,MAP!AD$93:AD$146)</f>
        <v>0</v>
      </c>
      <c r="AL21" s="51">
        <f>SUMIF(MAP!$E$93:$E$146,$B21,MAP!AE$93:AE$146)</f>
        <v>0</v>
      </c>
      <c r="AM21" s="51">
        <f>SUMIF(MAP!$E$93:$E$146,$B21,MAP!AF$93:AF$146)</f>
        <v>0</v>
      </c>
      <c r="AN21" s="51">
        <f>SUMIF(MAP!$E$93:$E$146,$B21,MAP!AG$93:AG$146)</f>
        <v>0</v>
      </c>
      <c r="AO21" s="51">
        <f>SUMIF(MAP!$E$93:$E$146,$B21,MAP!AH$93:AH$146)</f>
        <v>0</v>
      </c>
      <c r="AP21" s="51">
        <f>SUMIF(MAP!$E$93:$E$146,$B21,MAP!AI$93:AI$146)</f>
        <v>0</v>
      </c>
      <c r="AQ21" s="51">
        <f>SUMIF(MAP!$E$93:$E$146,$B21,MAP!AJ$93:AJ$146)</f>
        <v>0</v>
      </c>
      <c r="AR21" s="51">
        <f>SUMIF(MAP!$E$93:$E$146,$B21,MAP!AK$93:AK$146)</f>
        <v>0</v>
      </c>
      <c r="AS21" s="51">
        <f>SUMIF(MAP!$E$93:$E$146,$B21,MAP!AL$93:AL$146)</f>
        <v>0</v>
      </c>
      <c r="AT21" s="51">
        <f>SUMIF(MAP!$E$93:$E$146,$B21,MAP!AM$93:AM$146)</f>
        <v>0</v>
      </c>
      <c r="AU21" s="51">
        <f>SUMIF(MAP!$E$93:$E$146,$B21,MAP!AN$93:AN$146)</f>
        <v>0</v>
      </c>
      <c r="AV21" s="51">
        <f>SUMIF(MAP!$E$93:$E$146,$B21,MAP!AO$93:AO$146)</f>
        <v>0</v>
      </c>
      <c r="AW21" s="51">
        <f>SUMIF(MAP!$E$93:$E$146,$B21,MAP!AP$93:AP$146)</f>
        <v>0</v>
      </c>
      <c r="AX21" s="51">
        <f>SUMIF(MAP!$E$93:$E$146,$B21,MAP!AQ$93:AQ$146)</f>
        <v>0</v>
      </c>
      <c r="CE21" s="742"/>
      <c r="CF21" s="51">
        <f t="shared" si="0"/>
        <v>0</v>
      </c>
      <c r="CG21" s="51">
        <f t="shared" si="1"/>
        <v>0</v>
      </c>
      <c r="CH21" s="51">
        <f t="shared" si="2"/>
        <v>0</v>
      </c>
      <c r="CI21" s="51">
        <f t="shared" si="3"/>
        <v>0</v>
      </c>
      <c r="CJ21" s="51">
        <f t="shared" si="4"/>
        <v>0</v>
      </c>
      <c r="CK21" s="51">
        <f t="shared" si="5"/>
        <v>-65103</v>
      </c>
      <c r="CL21" s="51">
        <f t="shared" si="6"/>
        <v>0</v>
      </c>
      <c r="CM21" s="51">
        <f t="shared" si="7"/>
        <v>0</v>
      </c>
    </row>
    <row r="22" spans="1:112" s="189" customFormat="1" ht="25.5" x14ac:dyDescent="0.25">
      <c r="A22" s="728"/>
      <c r="B22" s="729" t="s">
        <v>305</v>
      </c>
      <c r="C22" s="726"/>
      <c r="D22" s="1679"/>
      <c r="E22" s="726"/>
      <c r="F22" s="731"/>
      <c r="G22" s="726"/>
      <c r="H22" s="726"/>
      <c r="I22" s="726"/>
      <c r="J22" s="726"/>
      <c r="K22" s="726"/>
      <c r="L22" s="726"/>
      <c r="M22" s="113"/>
      <c r="N22" s="726"/>
      <c r="O22" s="113"/>
      <c r="P22" s="726"/>
      <c r="Q22" s="731">
        <f>SUMIF(MAP!$E$93:$E$146,$B22,MAP!U$93:U$146)</f>
        <v>0</v>
      </c>
      <c r="R22" s="726"/>
      <c r="S22" s="731">
        <f>SUMIF(MAP!$E$93:$E$146,$B22,MAP!BD$93:BD$146)</f>
        <v>0</v>
      </c>
      <c r="T22" s="726"/>
      <c r="U22" s="51">
        <f>SUMIF(MAP!$E$93:$E$146,$B22,MAP!N$93:N$146)</f>
        <v>0</v>
      </c>
      <c r="AA22" s="51">
        <f>SUMIF(MAP!$E$93:$E$146,$B22,MAP!T$93:T$146)</f>
        <v>0</v>
      </c>
      <c r="AD22" s="51">
        <f>SUMIF(MAP!$E$93:$E$146,$B22,MAP!W$93:W$146)</f>
        <v>0</v>
      </c>
      <c r="AE22" s="51">
        <f>SUMIF(MAP!$E$93:$E$146,$B22,MAP!X$93:X$146)</f>
        <v>0</v>
      </c>
      <c r="AF22" s="51">
        <f>SUMIF(MAP!$E$93:$E$146,$B22,MAP!Y$93:Y$146)</f>
        <v>0</v>
      </c>
      <c r="AG22" s="51">
        <f>SUMIF(MAP!$E$93:$E$146,$B22,MAP!Z$93:Z$146)</f>
        <v>0</v>
      </c>
      <c r="AH22" s="51">
        <f>SUMIF(MAP!$E$93:$E$146,$B22,MAP!AA$93:AA$146)</f>
        <v>0</v>
      </c>
      <c r="AI22" s="51">
        <f>SUMIF(MAP!$E$93:$E$146,$B22,MAP!AB$93:AB$146)</f>
        <v>0</v>
      </c>
      <c r="AJ22" s="51">
        <f>SUMIF(MAP!$E$93:$E$146,$B22,MAP!AC$93:AC$146)</f>
        <v>0</v>
      </c>
      <c r="AK22" s="51">
        <f>SUMIF(MAP!$E$93:$E$146,$B22,MAP!AD$93:AD$146)</f>
        <v>0</v>
      </c>
      <c r="AL22" s="51">
        <f>SUMIF(MAP!$E$93:$E$146,$B22,MAP!AE$93:AE$146)</f>
        <v>0</v>
      </c>
      <c r="AM22" s="51">
        <f>SUMIF(MAP!$E$93:$E$146,$B22,MAP!AF$93:AF$146)</f>
        <v>0</v>
      </c>
      <c r="AN22" s="51">
        <f>SUMIF(MAP!$E$93:$E$146,$B22,MAP!AG$93:AG$146)</f>
        <v>0</v>
      </c>
      <c r="AO22" s="51">
        <f>SUMIF(MAP!$E$93:$E$146,$B22,MAP!AH$93:AH$146)</f>
        <v>0</v>
      </c>
      <c r="AP22" s="51">
        <f>SUMIF(MAP!$E$93:$E$146,$B22,MAP!AI$93:AI$146)</f>
        <v>0</v>
      </c>
      <c r="AQ22" s="51">
        <f>SUMIF(MAP!$E$93:$E$146,$B22,MAP!AJ$93:AJ$146)</f>
        <v>0</v>
      </c>
      <c r="AR22" s="51">
        <f>SUMIF(MAP!$E$93:$E$146,$B22,MAP!AK$93:AK$146)</f>
        <v>0</v>
      </c>
      <c r="AS22" s="51">
        <f>SUMIF(MAP!$E$93:$E$146,$B22,MAP!AL$93:AL$146)</f>
        <v>0</v>
      </c>
      <c r="AT22" s="51">
        <f>SUMIF(MAP!$E$93:$E$146,$B22,MAP!AM$93:AM$146)</f>
        <v>0</v>
      </c>
      <c r="AU22" s="51">
        <f>SUMIF(MAP!$E$93:$E$146,$B22,MAP!AN$93:AN$146)</f>
        <v>0</v>
      </c>
      <c r="AV22" s="51">
        <f>SUMIF(MAP!$E$93:$E$146,$B22,MAP!AO$93:AO$146)</f>
        <v>0</v>
      </c>
      <c r="AW22" s="51">
        <f>SUMIF(MAP!$E$93:$E$146,$B22,MAP!AP$93:AP$146)</f>
        <v>0</v>
      </c>
      <c r="AX22" s="51">
        <f>SUMIF(MAP!$E$93:$E$146,$B22,MAP!AQ$93:AQ$146)</f>
        <v>0</v>
      </c>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E22" s="742"/>
      <c r="CF22" s="189">
        <f t="shared" si="0"/>
        <v>0</v>
      </c>
      <c r="CG22" s="189">
        <f t="shared" si="1"/>
        <v>0</v>
      </c>
      <c r="CH22" s="189">
        <f t="shared" si="2"/>
        <v>0</v>
      </c>
      <c r="CI22" s="189">
        <f t="shared" si="3"/>
        <v>0</v>
      </c>
      <c r="CJ22" s="189">
        <f t="shared" si="4"/>
        <v>0</v>
      </c>
      <c r="CK22" s="51">
        <f t="shared" si="5"/>
        <v>0</v>
      </c>
      <c r="CL22" s="189">
        <f t="shared" si="6"/>
        <v>0</v>
      </c>
      <c r="CM22" s="189">
        <f t="shared" si="7"/>
        <v>0</v>
      </c>
      <c r="CN22" s="51"/>
      <c r="CO22" s="51"/>
      <c r="CP22" s="51"/>
      <c r="CQ22" s="51"/>
      <c r="CR22" s="51"/>
      <c r="CS22" s="51"/>
      <c r="CT22" s="51"/>
      <c r="CU22" s="51"/>
      <c r="CV22" s="51"/>
      <c r="CW22" s="51"/>
      <c r="CX22" s="51"/>
      <c r="CY22" s="51"/>
      <c r="CZ22" s="51"/>
      <c r="DA22" s="51"/>
      <c r="DB22" s="51"/>
      <c r="DC22" s="51"/>
      <c r="DD22" s="51"/>
      <c r="DE22" s="51"/>
      <c r="DF22" s="51"/>
      <c r="DG22" s="51"/>
      <c r="DH22" s="51"/>
    </row>
    <row r="23" spans="1:112" s="189" customFormat="1" ht="25.5" x14ac:dyDescent="0.25">
      <c r="A23" s="728"/>
      <c r="B23" s="189" t="s">
        <v>306</v>
      </c>
      <c r="C23" s="726">
        <v>13</v>
      </c>
      <c r="D23" s="51">
        <f>SUMIF(MAP!$E$93:$E$146,$B23,MAP!T$93:T$146)</f>
        <v>0</v>
      </c>
      <c r="E23" s="726"/>
      <c r="F23" s="51">
        <f>SUMIF(MAP!$E$93:$E$146,$B23,MAP!N$93:N$146)</f>
        <v>0</v>
      </c>
      <c r="G23" s="726"/>
      <c r="H23" s="247">
        <f>D23+('Note 13'!C15+'Note 13'!C20-'Note 13'!G15-'Note 13'!G20)</f>
        <v>-172</v>
      </c>
      <c r="I23" s="726"/>
      <c r="J23" s="247">
        <f>F23+('Note 13'!E15+'Note 13'!E20-'Note 13'!I15-'Note 13'!I20)</f>
        <v>-122833</v>
      </c>
      <c r="K23" s="249" t="s">
        <v>2651</v>
      </c>
      <c r="L23" s="726"/>
      <c r="M23" s="727">
        <v>-70</v>
      </c>
      <c r="N23" s="726"/>
      <c r="O23" s="727">
        <v>16399</v>
      </c>
      <c r="P23" s="726"/>
      <c r="Q23" s="51">
        <f>SUMIF(MAP!$E$93:$E$146,$B23,MAP!U$93:U$146)</f>
        <v>0</v>
      </c>
      <c r="R23" s="726"/>
      <c r="S23" s="51">
        <f>SUMIF(MAP!$E$93:$E$146,$B23,MAP!BD$93:BD$146)</f>
        <v>0</v>
      </c>
      <c r="T23" s="726"/>
      <c r="U23" s="51">
        <f>SUMIF(MAP!$E$93:$E$146,$B23,MAP!N$93:N$146)</f>
        <v>0</v>
      </c>
      <c r="AA23" s="51">
        <f>SUMIF(MAP!$E$93:$E$146,$B23,MAP!T$93:T$146)</f>
        <v>0</v>
      </c>
      <c r="AD23" s="51">
        <f>SUMIF(MAP!$E$93:$E$146,$B23,MAP!W$93:W$146)</f>
        <v>0</v>
      </c>
      <c r="AE23" s="51">
        <f>SUMIF(MAP!$E$93:$E$146,$B23,MAP!X$93:X$146)</f>
        <v>0</v>
      </c>
      <c r="AF23" s="51">
        <f>SUMIF(MAP!$E$93:$E$146,$B23,MAP!Y$93:Y$146)</f>
        <v>0</v>
      </c>
      <c r="AG23" s="51">
        <f>SUMIF(MAP!$E$93:$E$146,$B23,MAP!Z$93:Z$146)</f>
        <v>0</v>
      </c>
      <c r="AH23" s="51">
        <f>SUMIF(MAP!$E$93:$E$146,$B23,MAP!AA$93:AA$146)</f>
        <v>0</v>
      </c>
      <c r="AI23" s="51">
        <f>SUMIF(MAP!$E$93:$E$146,$B23,MAP!AB$93:AB$146)</f>
        <v>0</v>
      </c>
      <c r="AJ23" s="51">
        <f>SUMIF(MAP!$E$93:$E$146,$B23,MAP!AC$93:AC$146)</f>
        <v>0</v>
      </c>
      <c r="AK23" s="51">
        <f>SUMIF(MAP!$E$93:$E$146,$B23,MAP!AD$93:AD$146)</f>
        <v>0</v>
      </c>
      <c r="AL23" s="51">
        <f>SUMIF(MAP!$E$93:$E$146,$B23,MAP!AE$93:AE$146)</f>
        <v>0</v>
      </c>
      <c r="AM23" s="51">
        <f>SUMIF(MAP!$E$93:$E$146,$B23,MAP!AF$93:AF$146)</f>
        <v>0</v>
      </c>
      <c r="AN23" s="51">
        <f>SUMIF(MAP!$E$93:$E$146,$B23,MAP!AG$93:AG$146)</f>
        <v>0</v>
      </c>
      <c r="AO23" s="51">
        <f>SUMIF(MAP!$E$93:$E$146,$B23,MAP!AH$93:AH$146)</f>
        <v>0</v>
      </c>
      <c r="AP23" s="51">
        <f>SUMIF(MAP!$E$93:$E$146,$B23,MAP!AI$93:AI$146)</f>
        <v>0</v>
      </c>
      <c r="AQ23" s="51">
        <f>SUMIF(MAP!$E$93:$E$146,$B23,MAP!AJ$93:AJ$146)</f>
        <v>0</v>
      </c>
      <c r="AR23" s="51">
        <f>SUMIF(MAP!$E$93:$E$146,$B23,MAP!AK$93:AK$146)</f>
        <v>0</v>
      </c>
      <c r="AS23" s="51">
        <f>SUMIF(MAP!$E$93:$E$146,$B23,MAP!AL$93:AL$146)</f>
        <v>0</v>
      </c>
      <c r="AT23" s="51">
        <f>SUMIF(MAP!$E$93:$E$146,$B23,MAP!AM$93:AM$146)</f>
        <v>0</v>
      </c>
      <c r="AU23" s="51">
        <f>SUMIF(MAP!$E$93:$E$146,$B23,MAP!AN$93:AN$146)</f>
        <v>0</v>
      </c>
      <c r="AV23" s="51">
        <f>SUMIF(MAP!$E$93:$E$146,$B23,MAP!AO$93:AO$146)</f>
        <v>0</v>
      </c>
      <c r="AW23" s="51">
        <f>SUMIF(MAP!$E$93:$E$146,$B23,MAP!AP$93:AP$146)</f>
        <v>0</v>
      </c>
      <c r="AX23" s="51">
        <f>SUMIF(MAP!$E$93:$E$146,$B23,MAP!AQ$93:AQ$146)</f>
        <v>0</v>
      </c>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E23" s="742"/>
      <c r="CF23" s="189">
        <f t="shared" si="0"/>
        <v>0</v>
      </c>
      <c r="CG23" s="189">
        <f t="shared" si="1"/>
        <v>0</v>
      </c>
      <c r="CH23" s="189">
        <f t="shared" si="2"/>
        <v>0</v>
      </c>
      <c r="CI23" s="189">
        <f t="shared" si="3"/>
        <v>0</v>
      </c>
      <c r="CJ23" s="189">
        <f t="shared" si="4"/>
        <v>0</v>
      </c>
      <c r="CK23" s="51">
        <f t="shared" si="5"/>
        <v>0</v>
      </c>
      <c r="CL23" s="189">
        <f t="shared" si="6"/>
        <v>0</v>
      </c>
      <c r="CM23" s="189">
        <f t="shared" si="7"/>
        <v>0</v>
      </c>
      <c r="CN23" s="51"/>
      <c r="CO23" s="51"/>
      <c r="CP23" s="51"/>
      <c r="CQ23" s="51"/>
      <c r="CR23" s="51"/>
      <c r="CS23" s="51"/>
      <c r="CT23" s="51"/>
      <c r="CU23" s="51"/>
      <c r="CV23" s="51"/>
      <c r="CW23" s="51"/>
      <c r="CX23" s="51"/>
      <c r="CY23" s="51"/>
      <c r="CZ23" s="51"/>
      <c r="DA23" s="51"/>
      <c r="DB23" s="51"/>
      <c r="DC23" s="51"/>
      <c r="DD23" s="51"/>
      <c r="DE23" s="51"/>
      <c r="DF23" s="51"/>
      <c r="DG23" s="51"/>
      <c r="DH23" s="51"/>
    </row>
    <row r="24" spans="1:112" s="189" customFormat="1" x14ac:dyDescent="0.25">
      <c r="A24" s="728"/>
      <c r="B24" s="189" t="s">
        <v>87</v>
      </c>
      <c r="C24" s="726">
        <v>13</v>
      </c>
      <c r="D24" s="51">
        <f>SUMIF(MAP!$E$93:$E$146,$B24,MAP!T$93:T$146)</f>
        <v>0</v>
      </c>
      <c r="E24" s="726"/>
      <c r="F24" s="51">
        <f>SUMIF(MAP!$E$93:$E$146,$B24,MAP!N$93:N$146)</f>
        <v>0</v>
      </c>
      <c r="G24" s="726"/>
      <c r="H24" s="247">
        <f>D24+('Note 13'!C16+'Note 13'!C21-'Note 13'!G16-'Note 13'!G21)</f>
        <v>-1138</v>
      </c>
      <c r="I24" s="726"/>
      <c r="J24" s="247">
        <f>F24+('Note 13'!E16+'Note 13'!E21-'Note 13'!I16-'Note 13'!I21)</f>
        <v>-26620</v>
      </c>
      <c r="K24" s="249" t="s">
        <v>2656</v>
      </c>
      <c r="L24" s="726"/>
      <c r="M24" s="727">
        <v>107</v>
      </c>
      <c r="N24" s="726"/>
      <c r="O24" s="727">
        <v>-3020</v>
      </c>
      <c r="P24" s="726"/>
      <c r="Q24" s="51">
        <f>SUMIF(MAP!$E$93:$E$146,$B24,MAP!U$93:U$146)</f>
        <v>0</v>
      </c>
      <c r="R24" s="726"/>
      <c r="S24" s="51">
        <f>SUMIF(MAP!$E$93:$E$146,$B24,MAP!BD$93:BD$146)</f>
        <v>0</v>
      </c>
      <c r="T24" s="726"/>
      <c r="U24" s="51">
        <f>SUMIF(MAP!$E$93:$E$146,$B24,MAP!N$93:N$146)</f>
        <v>0</v>
      </c>
      <c r="AA24" s="51">
        <f>SUMIF(MAP!$E$93:$E$146,$B24,MAP!T$93:T$146)</f>
        <v>0</v>
      </c>
      <c r="AD24" s="51">
        <f>SUMIF(MAP!$E$93:$E$146,$B24,MAP!W$93:W$146)</f>
        <v>0</v>
      </c>
      <c r="AE24" s="51">
        <f>SUMIF(MAP!$E$93:$E$146,$B24,MAP!X$93:X$146)</f>
        <v>0</v>
      </c>
      <c r="AF24" s="51">
        <f>SUMIF(MAP!$E$93:$E$146,$B24,MAP!Y$93:Y$146)</f>
        <v>0</v>
      </c>
      <c r="AG24" s="51">
        <f>SUMIF(MAP!$E$93:$E$146,$B24,MAP!Z$93:Z$146)</f>
        <v>0</v>
      </c>
      <c r="AH24" s="51">
        <f>SUMIF(MAP!$E$93:$E$146,$B24,MAP!AA$93:AA$146)</f>
        <v>0</v>
      </c>
      <c r="AI24" s="51">
        <f>SUMIF(MAP!$E$93:$E$146,$B24,MAP!AB$93:AB$146)</f>
        <v>0</v>
      </c>
      <c r="AJ24" s="51">
        <f>SUMIF(MAP!$E$93:$E$146,$B24,MAP!AC$93:AC$146)</f>
        <v>0</v>
      </c>
      <c r="AK24" s="51">
        <f>SUMIF(MAP!$E$93:$E$146,$B24,MAP!AD$93:AD$146)</f>
        <v>0</v>
      </c>
      <c r="AL24" s="51">
        <f>SUMIF(MAP!$E$93:$E$146,$B24,MAP!AE$93:AE$146)</f>
        <v>0</v>
      </c>
      <c r="AM24" s="51">
        <f>SUMIF(MAP!$E$93:$E$146,$B24,MAP!AF$93:AF$146)</f>
        <v>0</v>
      </c>
      <c r="AN24" s="51">
        <f>SUMIF(MAP!$E$93:$E$146,$B24,MAP!AG$93:AG$146)</f>
        <v>0</v>
      </c>
      <c r="AO24" s="51">
        <f>SUMIF(MAP!$E$93:$E$146,$B24,MAP!AH$93:AH$146)</f>
        <v>0</v>
      </c>
      <c r="AP24" s="51">
        <f>SUMIF(MAP!$E$93:$E$146,$B24,MAP!AI$93:AI$146)</f>
        <v>0</v>
      </c>
      <c r="AQ24" s="51">
        <f>SUMIF(MAP!$E$93:$E$146,$B24,MAP!AJ$93:AJ$146)</f>
        <v>0</v>
      </c>
      <c r="AR24" s="51">
        <f>SUMIF(MAP!$E$93:$E$146,$B24,MAP!AK$93:AK$146)</f>
        <v>0</v>
      </c>
      <c r="AS24" s="51">
        <f>SUMIF(MAP!$E$93:$E$146,$B24,MAP!AL$93:AL$146)</f>
        <v>0</v>
      </c>
      <c r="AT24" s="51">
        <f>SUMIF(MAP!$E$93:$E$146,$B24,MAP!AM$93:AM$146)</f>
        <v>0</v>
      </c>
      <c r="AU24" s="51">
        <f>SUMIF(MAP!$E$93:$E$146,$B24,MAP!AN$93:AN$146)</f>
        <v>0</v>
      </c>
      <c r="AV24" s="51">
        <f>SUMIF(MAP!$E$93:$E$146,$B24,MAP!AO$93:AO$146)</f>
        <v>0</v>
      </c>
      <c r="AW24" s="51">
        <f>SUMIF(MAP!$E$93:$E$146,$B24,MAP!AP$93:AP$146)</f>
        <v>0</v>
      </c>
      <c r="AX24" s="51">
        <f>SUMIF(MAP!$E$93:$E$146,$B24,MAP!AQ$93:AQ$146)</f>
        <v>0</v>
      </c>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E24" s="742"/>
      <c r="CF24" s="189">
        <f t="shared" si="0"/>
        <v>0</v>
      </c>
      <c r="CG24" s="189">
        <f t="shared" si="1"/>
        <v>0</v>
      </c>
      <c r="CH24" s="189">
        <f t="shared" si="2"/>
        <v>0</v>
      </c>
      <c r="CI24" s="189">
        <f t="shared" si="3"/>
        <v>0</v>
      </c>
      <c r="CJ24" s="189">
        <f t="shared" si="4"/>
        <v>0</v>
      </c>
      <c r="CK24" s="51">
        <f t="shared" si="5"/>
        <v>0</v>
      </c>
      <c r="CL24" s="189">
        <f t="shared" si="6"/>
        <v>0</v>
      </c>
      <c r="CM24" s="189">
        <f t="shared" si="7"/>
        <v>0</v>
      </c>
      <c r="CN24" s="51"/>
      <c r="CO24" s="51"/>
      <c r="CP24" s="51"/>
      <c r="CQ24" s="51"/>
      <c r="CR24" s="51"/>
      <c r="CS24" s="51"/>
      <c r="CT24" s="51"/>
      <c r="CU24" s="51"/>
      <c r="CV24" s="51"/>
      <c r="CW24" s="51"/>
      <c r="CX24" s="51"/>
      <c r="CY24" s="51"/>
      <c r="CZ24" s="51"/>
      <c r="DA24" s="51"/>
      <c r="DB24" s="51"/>
      <c r="DC24" s="51"/>
      <c r="DD24" s="51"/>
      <c r="DE24" s="51"/>
      <c r="DF24" s="51"/>
      <c r="DG24" s="51"/>
      <c r="DH24" s="51"/>
    </row>
    <row r="25" spans="1:112" s="189" customFormat="1" x14ac:dyDescent="0.25">
      <c r="A25" s="728"/>
      <c r="B25" s="189" t="s">
        <v>324</v>
      </c>
      <c r="C25" s="726">
        <v>13</v>
      </c>
      <c r="D25" s="51">
        <f>SUMIF(MAP!$E$93:$E$146,$B25,MAP!T$93:T$146)</f>
        <v>306</v>
      </c>
      <c r="E25" s="726"/>
      <c r="F25" s="51">
        <f>SUMIF(MAP!$E$93:$E$146,$B25,MAP!N$93:N$146)</f>
        <v>306</v>
      </c>
      <c r="G25" s="726"/>
      <c r="H25" s="247">
        <f>D25+('Note 13'!C35+'Note 13'!C49-'Note 13'!G35-'Note 13'!G49)</f>
        <v>-166</v>
      </c>
      <c r="I25" s="726"/>
      <c r="J25" s="247">
        <f>F25+('Note 13'!E35+'Note 13'!E49-'Note 13'!I35-'Note 13'!I49)</f>
        <v>-121759</v>
      </c>
      <c r="K25" s="249" t="s">
        <v>2658</v>
      </c>
      <c r="L25" s="726"/>
      <c r="M25" s="727">
        <v>298</v>
      </c>
      <c r="N25" s="726"/>
      <c r="O25" s="727">
        <v>-3739</v>
      </c>
      <c r="P25" s="726"/>
      <c r="Q25" s="51">
        <f>SUMIF(MAP!$E$93:$E$146,$B25,MAP!U$93:U$146)</f>
        <v>0</v>
      </c>
      <c r="R25" s="726"/>
      <c r="S25" s="51">
        <f>SUMIF(MAP!$E$93:$E$146,$B25,MAP!BD$93:BD$146)</f>
        <v>0</v>
      </c>
      <c r="T25" s="726"/>
      <c r="U25" s="51">
        <f>SUMIF(MAP!$E$93:$E$146,$B25,MAP!N$93:N$146)</f>
        <v>306</v>
      </c>
      <c r="AA25" s="51">
        <f>SUMIF(MAP!$E$93:$E$146,$B25,MAP!T$93:T$146)</f>
        <v>306</v>
      </c>
      <c r="AD25" s="51">
        <f>SUMIF(MAP!$E$93:$E$146,$B25,MAP!W$93:W$146)</f>
        <v>306</v>
      </c>
      <c r="AE25" s="51">
        <f>SUMIF(MAP!$E$93:$E$146,$B25,MAP!X$93:X$146)</f>
        <v>0</v>
      </c>
      <c r="AF25" s="51">
        <f>SUMIF(MAP!$E$93:$E$146,$B25,MAP!Y$93:Y$146)</f>
        <v>0</v>
      </c>
      <c r="AG25" s="51">
        <f>SUMIF(MAP!$E$93:$E$146,$B25,MAP!Z$93:Z$146)</f>
        <v>0</v>
      </c>
      <c r="AH25" s="51">
        <f>SUMIF(MAP!$E$93:$E$146,$B25,MAP!AA$93:AA$146)</f>
        <v>0</v>
      </c>
      <c r="AI25" s="51">
        <f>SUMIF(MAP!$E$93:$E$146,$B25,MAP!AB$93:AB$146)</f>
        <v>0</v>
      </c>
      <c r="AJ25" s="51">
        <f>SUMIF(MAP!$E$93:$E$146,$B25,MAP!AC$93:AC$146)</f>
        <v>0</v>
      </c>
      <c r="AK25" s="51">
        <f>SUMIF(MAP!$E$93:$E$146,$B25,MAP!AD$93:AD$146)</f>
        <v>0</v>
      </c>
      <c r="AL25" s="51">
        <f>SUMIF(MAP!$E$93:$E$146,$B25,MAP!AE$93:AE$146)</f>
        <v>0</v>
      </c>
      <c r="AM25" s="51">
        <f>SUMIF(MAP!$E$93:$E$146,$B25,MAP!AF$93:AF$146)</f>
        <v>0</v>
      </c>
      <c r="AN25" s="51">
        <f>SUMIF(MAP!$E$93:$E$146,$B25,MAP!AG$93:AG$146)</f>
        <v>0</v>
      </c>
      <c r="AO25" s="51">
        <f>SUMIF(MAP!$E$93:$E$146,$B25,MAP!AH$93:AH$146)</f>
        <v>0</v>
      </c>
      <c r="AP25" s="51">
        <f>SUMIF(MAP!$E$93:$E$146,$B25,MAP!AI$93:AI$146)</f>
        <v>0</v>
      </c>
      <c r="AQ25" s="51">
        <f>SUMIF(MAP!$E$93:$E$146,$B25,MAP!AJ$93:AJ$146)</f>
        <v>0</v>
      </c>
      <c r="AR25" s="51">
        <f>SUMIF(MAP!$E$93:$E$146,$B25,MAP!AK$93:AK$146)</f>
        <v>0</v>
      </c>
      <c r="AS25" s="51">
        <f>SUMIF(MAP!$E$93:$E$146,$B25,MAP!AL$93:AL$146)</f>
        <v>0</v>
      </c>
      <c r="AT25" s="51">
        <f>SUMIF(MAP!$E$93:$E$146,$B25,MAP!AM$93:AM$146)</f>
        <v>0</v>
      </c>
      <c r="AU25" s="51">
        <f>SUMIF(MAP!$E$93:$E$146,$B25,MAP!AN$93:AN$146)</f>
        <v>0</v>
      </c>
      <c r="AV25" s="51">
        <f>SUMIF(MAP!$E$93:$E$146,$B25,MAP!AO$93:AO$146)</f>
        <v>0</v>
      </c>
      <c r="AW25" s="51">
        <f>SUMIF(MAP!$E$93:$E$146,$B25,MAP!AP$93:AP$146)</f>
        <v>0</v>
      </c>
      <c r="AX25" s="51">
        <f>SUMIF(MAP!$E$93:$E$146,$B25,MAP!AQ$93:AQ$146)</f>
        <v>0</v>
      </c>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E25" s="742"/>
      <c r="CF25" s="189">
        <f t="shared" si="0"/>
        <v>0</v>
      </c>
      <c r="CG25" s="189">
        <f t="shared" si="1"/>
        <v>0</v>
      </c>
      <c r="CH25" s="189">
        <f t="shared" si="2"/>
        <v>0</v>
      </c>
      <c r="CI25" s="189">
        <f t="shared" si="3"/>
        <v>0</v>
      </c>
      <c r="CJ25" s="189">
        <f t="shared" si="4"/>
        <v>0</v>
      </c>
      <c r="CK25" s="51">
        <f t="shared" si="5"/>
        <v>306</v>
      </c>
      <c r="CL25" s="189">
        <f t="shared" si="6"/>
        <v>0</v>
      </c>
      <c r="CM25" s="189">
        <f t="shared" si="7"/>
        <v>0</v>
      </c>
      <c r="CN25" s="51"/>
      <c r="CO25" s="51"/>
      <c r="CP25" s="51"/>
      <c r="CQ25" s="51"/>
      <c r="CR25" s="51"/>
      <c r="CS25" s="51"/>
      <c r="CT25" s="51"/>
      <c r="CU25" s="51"/>
      <c r="CV25" s="51"/>
      <c r="CW25" s="51"/>
      <c r="CX25" s="51"/>
      <c r="CY25" s="51"/>
      <c r="CZ25" s="51"/>
      <c r="DA25" s="51"/>
      <c r="DB25" s="51"/>
      <c r="DC25" s="51"/>
      <c r="DD25" s="51"/>
      <c r="DE25" s="51"/>
      <c r="DF25" s="51"/>
      <c r="DG25" s="51"/>
      <c r="DH25" s="51"/>
    </row>
    <row r="26" spans="1:112" s="189" customFormat="1" ht="25.5" x14ac:dyDescent="0.25">
      <c r="A26" s="728"/>
      <c r="B26" s="189" t="s">
        <v>304</v>
      </c>
      <c r="C26" s="726">
        <v>13</v>
      </c>
      <c r="D26" s="51">
        <f>SUMIF(MAP!$E$93:$E$146,$B26,MAP!T$93:T$146)</f>
        <v>0</v>
      </c>
      <c r="E26" s="726"/>
      <c r="F26" s="51">
        <f>SUMIF(MAP!$E$93:$E$146,$B26,MAP!N$93:N$146)</f>
        <v>0</v>
      </c>
      <c r="G26" s="726"/>
      <c r="H26" s="247">
        <f>D26+('Note 13'!C36+'Note 13'!C50-'Note 13'!G36-'Note 13'!G50)</f>
        <v>0</v>
      </c>
      <c r="I26" s="726"/>
      <c r="J26" s="247">
        <f>F26+('Note 13'!E36+'Note 13'!E50-'Note 13'!I36-'Note 13'!I50)</f>
        <v>-137549</v>
      </c>
      <c r="K26" s="249" t="s">
        <v>2657</v>
      </c>
      <c r="L26" s="726"/>
      <c r="M26" s="727">
        <v>0</v>
      </c>
      <c r="N26" s="726"/>
      <c r="O26" s="727">
        <v>7960</v>
      </c>
      <c r="P26" s="726"/>
      <c r="Q26" s="51">
        <f>SUMIF(MAP!$E$93:$E$146,$B26,MAP!U$93:U$146)</f>
        <v>0</v>
      </c>
      <c r="R26" s="726"/>
      <c r="S26" s="51">
        <f>SUMIF(MAP!$E$93:$E$146,$B26,MAP!BD$93:BD$146)</f>
        <v>0</v>
      </c>
      <c r="T26" s="726"/>
      <c r="U26" s="51">
        <f>SUMIF(MAP!$E$93:$E$146,$B26,MAP!N$93:N$146)</f>
        <v>0</v>
      </c>
      <c r="AA26" s="51">
        <f>SUMIF(MAP!$E$93:$E$146,$B26,MAP!T$93:T$146)</f>
        <v>0</v>
      </c>
      <c r="AD26" s="51">
        <f>SUMIF(MAP!$E$93:$E$146,$B26,MAP!W$93:W$146)</f>
        <v>0</v>
      </c>
      <c r="AE26" s="51">
        <f>SUMIF(MAP!$E$93:$E$146,$B26,MAP!X$93:X$146)</f>
        <v>0</v>
      </c>
      <c r="AF26" s="51">
        <f>SUMIF(MAP!$E$93:$E$146,$B26,MAP!Y$93:Y$146)</f>
        <v>0</v>
      </c>
      <c r="AG26" s="51">
        <f>SUMIF(MAP!$E$93:$E$146,$B26,MAP!Z$93:Z$146)</f>
        <v>0</v>
      </c>
      <c r="AH26" s="51">
        <f>SUMIF(MAP!$E$93:$E$146,$B26,MAP!AA$93:AA$146)</f>
        <v>0</v>
      </c>
      <c r="AI26" s="51">
        <f>SUMIF(MAP!$E$93:$E$146,$B26,MAP!AB$93:AB$146)</f>
        <v>0</v>
      </c>
      <c r="AJ26" s="51">
        <f>SUMIF(MAP!$E$93:$E$146,$B26,MAP!AC$93:AC$146)</f>
        <v>0</v>
      </c>
      <c r="AK26" s="51">
        <f>SUMIF(MAP!$E$93:$E$146,$B26,MAP!AD$93:AD$146)</f>
        <v>0</v>
      </c>
      <c r="AL26" s="51">
        <f>SUMIF(MAP!$E$93:$E$146,$B26,MAP!AE$93:AE$146)</f>
        <v>0</v>
      </c>
      <c r="AM26" s="51">
        <f>SUMIF(MAP!$E$93:$E$146,$B26,MAP!AF$93:AF$146)</f>
        <v>0</v>
      </c>
      <c r="AN26" s="51">
        <f>SUMIF(MAP!$E$93:$E$146,$B26,MAP!AG$93:AG$146)</f>
        <v>0</v>
      </c>
      <c r="AO26" s="51">
        <f>SUMIF(MAP!$E$93:$E$146,$B26,MAP!AH$93:AH$146)</f>
        <v>0</v>
      </c>
      <c r="AP26" s="51">
        <f>SUMIF(MAP!$E$93:$E$146,$B26,MAP!AI$93:AI$146)</f>
        <v>0</v>
      </c>
      <c r="AQ26" s="51">
        <f>SUMIF(MAP!$E$93:$E$146,$B26,MAP!AJ$93:AJ$146)</f>
        <v>0</v>
      </c>
      <c r="AR26" s="51">
        <f>SUMIF(MAP!$E$93:$E$146,$B26,MAP!AK$93:AK$146)</f>
        <v>0</v>
      </c>
      <c r="AS26" s="51">
        <f>SUMIF(MAP!$E$93:$E$146,$B26,MAP!AL$93:AL$146)</f>
        <v>0</v>
      </c>
      <c r="AT26" s="51">
        <f>SUMIF(MAP!$E$93:$E$146,$B26,MAP!AM$93:AM$146)</f>
        <v>0</v>
      </c>
      <c r="AU26" s="51">
        <f>SUMIF(MAP!$E$93:$E$146,$B26,MAP!AN$93:AN$146)</f>
        <v>0</v>
      </c>
      <c r="AV26" s="51">
        <f>SUMIF(MAP!$E$93:$E$146,$B26,MAP!AO$93:AO$146)</f>
        <v>0</v>
      </c>
      <c r="AW26" s="51">
        <f>SUMIF(MAP!$E$93:$E$146,$B26,MAP!AP$93:AP$146)</f>
        <v>0</v>
      </c>
      <c r="AX26" s="51">
        <f>SUMIF(MAP!$E$93:$E$146,$B26,MAP!AQ$93:AQ$146)</f>
        <v>0</v>
      </c>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E26" s="742"/>
      <c r="CF26" s="189">
        <f t="shared" si="0"/>
        <v>0</v>
      </c>
      <c r="CG26" s="189">
        <f t="shared" si="1"/>
        <v>0</v>
      </c>
      <c r="CH26" s="189">
        <f t="shared" si="2"/>
        <v>0</v>
      </c>
      <c r="CI26" s="189">
        <f t="shared" si="3"/>
        <v>0</v>
      </c>
      <c r="CJ26" s="189">
        <f t="shared" si="4"/>
        <v>0</v>
      </c>
      <c r="CK26" s="51">
        <f t="shared" si="5"/>
        <v>0</v>
      </c>
      <c r="CL26" s="189">
        <f t="shared" si="6"/>
        <v>0</v>
      </c>
      <c r="CM26" s="189">
        <f t="shared" si="7"/>
        <v>0</v>
      </c>
      <c r="CN26" s="51"/>
      <c r="CO26" s="51"/>
      <c r="CP26" s="51"/>
      <c r="CQ26" s="51"/>
      <c r="CR26" s="51"/>
      <c r="CS26" s="51"/>
      <c r="CT26" s="51"/>
      <c r="CU26" s="51"/>
      <c r="CV26" s="51"/>
      <c r="CW26" s="51"/>
      <c r="CX26" s="51"/>
      <c r="CY26" s="51"/>
      <c r="CZ26" s="51"/>
      <c r="DA26" s="51"/>
      <c r="DB26" s="51"/>
      <c r="DC26" s="51"/>
      <c r="DD26" s="51"/>
      <c r="DE26" s="51"/>
      <c r="DF26" s="51"/>
      <c r="DG26" s="51"/>
      <c r="DH26" s="51"/>
    </row>
    <row r="27" spans="1:112" s="189" customFormat="1" outlineLevel="1" x14ac:dyDescent="0.25">
      <c r="A27" s="728"/>
      <c r="B27" s="189" t="s">
        <v>2044</v>
      </c>
      <c r="C27" s="726">
        <v>13</v>
      </c>
      <c r="D27" s="51">
        <f>SUMIF(MAP!$E$93:$E$146,$B27,MAP!T$93:T$146)</f>
        <v>0</v>
      </c>
      <c r="E27" s="726"/>
      <c r="F27" s="51">
        <f>SUMIF(MAP!$E$93:$E$146,$B27,MAP!N$93:N$146)</f>
        <v>0</v>
      </c>
      <c r="G27" s="726"/>
      <c r="H27" s="726"/>
      <c r="I27" s="726"/>
      <c r="J27" s="726"/>
      <c r="K27" s="726"/>
      <c r="L27" s="726"/>
      <c r="M27" s="727">
        <v>0</v>
      </c>
      <c r="N27" s="726"/>
      <c r="O27" s="727">
        <v>561</v>
      </c>
      <c r="P27" s="726"/>
      <c r="Q27" s="51">
        <f>SUMIF(MAP!$E$93:$E$146,$B27,MAP!U$93:U$146)</f>
        <v>0</v>
      </c>
      <c r="R27" s="726"/>
      <c r="S27" s="51">
        <f>SUMIF(MAP!$E$93:$E$146,$B27,MAP!BD$93:BD$146)</f>
        <v>0</v>
      </c>
      <c r="T27" s="726"/>
      <c r="U27" s="51">
        <f>SUMIF(MAP!$E$93:$E$146,$B27,MAP!N$93:N$146)</f>
        <v>0</v>
      </c>
      <c r="AA27" s="51">
        <f>SUMIF(MAP!$E$93:$E$146,$B27,MAP!T$93:T$146)</f>
        <v>0</v>
      </c>
      <c r="AD27" s="51">
        <f>SUMIF(MAP!$E$93:$E$146,$B27,MAP!W$93:W$146)</f>
        <v>0</v>
      </c>
      <c r="AE27" s="51">
        <f>SUMIF(MAP!$E$93:$E$146,$B27,MAP!X$93:X$146)</f>
        <v>0</v>
      </c>
      <c r="AF27" s="51">
        <f>SUMIF(MAP!$E$93:$E$146,$B27,MAP!Y$93:Y$146)</f>
        <v>0</v>
      </c>
      <c r="AG27" s="51">
        <f>SUMIF(MAP!$E$93:$E$146,$B27,MAP!Z$93:Z$146)</f>
        <v>0</v>
      </c>
      <c r="AH27" s="51">
        <f>SUMIF(MAP!$E$93:$E$146,$B27,MAP!AA$93:AA$146)</f>
        <v>0</v>
      </c>
      <c r="AI27" s="51">
        <f>SUMIF(MAP!$E$93:$E$146,$B27,MAP!AB$93:AB$146)</f>
        <v>0</v>
      </c>
      <c r="AJ27" s="51">
        <f>SUMIF(MAP!$E$93:$E$146,$B27,MAP!AC$93:AC$146)</f>
        <v>0</v>
      </c>
      <c r="AK27" s="51">
        <f>SUMIF(MAP!$E$93:$E$146,$B27,MAP!AD$93:AD$146)</f>
        <v>0</v>
      </c>
      <c r="AL27" s="51">
        <f>SUMIF(MAP!$E$93:$E$146,$B27,MAP!AE$93:AE$146)</f>
        <v>0</v>
      </c>
      <c r="AM27" s="51">
        <f>SUMIF(MAP!$E$93:$E$146,$B27,MAP!AF$93:AF$146)</f>
        <v>0</v>
      </c>
      <c r="AN27" s="51">
        <f>SUMIF(MAP!$E$93:$E$146,$B27,MAP!AG$93:AG$146)</f>
        <v>0</v>
      </c>
      <c r="AO27" s="51">
        <f>SUMIF(MAP!$E$93:$E$146,$B27,MAP!AH$93:AH$146)</f>
        <v>0</v>
      </c>
      <c r="AP27" s="51">
        <f>SUMIF(MAP!$E$93:$E$146,$B27,MAP!AI$93:AI$146)</f>
        <v>0</v>
      </c>
      <c r="AQ27" s="51">
        <f>SUMIF(MAP!$E$93:$E$146,$B27,MAP!AJ$93:AJ$146)</f>
        <v>0</v>
      </c>
      <c r="AR27" s="51">
        <f>SUMIF(MAP!$E$93:$E$146,$B27,MAP!AK$93:AK$146)</f>
        <v>0</v>
      </c>
      <c r="AS27" s="51">
        <f>SUMIF(MAP!$E$93:$E$146,$B27,MAP!AL$93:AL$146)</f>
        <v>0</v>
      </c>
      <c r="AT27" s="51">
        <f>SUMIF(MAP!$E$93:$E$146,$B27,MAP!AM$93:AM$146)</f>
        <v>0</v>
      </c>
      <c r="AU27" s="51">
        <f>SUMIF(MAP!$E$93:$E$146,$B27,MAP!AN$93:AN$146)</f>
        <v>0</v>
      </c>
      <c r="AV27" s="51">
        <f>SUMIF(MAP!$E$93:$E$146,$B27,MAP!AO$93:AO$146)</f>
        <v>0</v>
      </c>
      <c r="AW27" s="51">
        <f>SUMIF(MAP!$E$93:$E$146,$B27,MAP!AP$93:AP$146)</f>
        <v>0</v>
      </c>
      <c r="AX27" s="51">
        <f>SUMIF(MAP!$E$93:$E$146,$B27,MAP!AQ$93:AQ$146)</f>
        <v>0</v>
      </c>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E27" s="742"/>
      <c r="CF27" s="189">
        <f t="shared" si="0"/>
        <v>0</v>
      </c>
      <c r="CG27" s="189">
        <f t="shared" si="1"/>
        <v>0</v>
      </c>
      <c r="CH27" s="189">
        <f t="shared" si="2"/>
        <v>0</v>
      </c>
      <c r="CI27" s="189">
        <f t="shared" si="3"/>
        <v>0</v>
      </c>
      <c r="CJ27" s="189">
        <f t="shared" si="4"/>
        <v>0</v>
      </c>
      <c r="CK27" s="51">
        <f t="shared" si="5"/>
        <v>0</v>
      </c>
      <c r="CL27" s="189">
        <f t="shared" si="6"/>
        <v>0</v>
      </c>
      <c r="CM27" s="189">
        <f t="shared" si="7"/>
        <v>0</v>
      </c>
      <c r="CN27" s="51"/>
      <c r="CO27" s="51"/>
      <c r="CP27" s="51"/>
      <c r="CQ27" s="51"/>
      <c r="CR27" s="51"/>
      <c r="CS27" s="51"/>
      <c r="CT27" s="51"/>
      <c r="CU27" s="51"/>
      <c r="CV27" s="51"/>
      <c r="CW27" s="51"/>
      <c r="CX27" s="51"/>
      <c r="CY27" s="51"/>
      <c r="CZ27" s="51"/>
      <c r="DA27" s="51"/>
      <c r="DB27" s="51"/>
      <c r="DC27" s="51"/>
      <c r="DD27" s="51"/>
      <c r="DE27" s="51"/>
      <c r="DF27" s="51"/>
      <c r="DG27" s="51"/>
      <c r="DH27" s="51"/>
    </row>
    <row r="28" spans="1:112" s="189" customFormat="1" x14ac:dyDescent="0.25">
      <c r="A28" s="728"/>
      <c r="B28" s="189" t="s">
        <v>89</v>
      </c>
      <c r="C28" s="726">
        <v>13</v>
      </c>
      <c r="D28" s="51">
        <f>SUMIF(MAP!$E$93:$E$146,$B28,MAP!T$93:T$146)</f>
        <v>27203</v>
      </c>
      <c r="E28" s="726"/>
      <c r="F28" s="51">
        <f>SUMIF(MAP!$E$93:$E$146,$B28,MAP!N$93:N$146)</f>
        <v>27203</v>
      </c>
      <c r="G28" s="726"/>
      <c r="H28" s="247">
        <f>D28+'Note 13'!C27-'Note 13'!G27</f>
        <v>0</v>
      </c>
      <c r="I28" s="726"/>
      <c r="J28" s="247">
        <f>F28+'Note 13'!E27-+'Note 13'!I27</f>
        <v>0</v>
      </c>
      <c r="K28" s="800"/>
      <c r="L28" s="726"/>
      <c r="M28" s="727">
        <v>35871</v>
      </c>
      <c r="N28" s="726"/>
      <c r="O28" s="727">
        <v>35871</v>
      </c>
      <c r="P28" s="726"/>
      <c r="Q28" s="51">
        <f>SUMIF(MAP!$E$93:$E$146,$B28,MAP!U$93:U$146)</f>
        <v>0</v>
      </c>
      <c r="R28" s="726"/>
      <c r="S28" s="51">
        <f>SUMIF(MAP!$E$93:$E$146,$B28,MAP!BD$93:BD$146)</f>
        <v>0</v>
      </c>
      <c r="T28" s="726"/>
      <c r="U28" s="51">
        <f>SUMIF(MAP!$E$93:$E$146,$B28,MAP!N$93:N$146)</f>
        <v>27203</v>
      </c>
      <c r="AA28" s="51">
        <f>SUMIF(MAP!$E$93:$E$146,$B28,MAP!T$93:T$146)</f>
        <v>27203</v>
      </c>
      <c r="AD28" s="51">
        <f>SUMIF(MAP!$E$93:$E$146,$B28,MAP!W$93:W$146)</f>
        <v>27203</v>
      </c>
      <c r="AE28" s="51">
        <f>SUMIF(MAP!$E$93:$E$146,$B28,MAP!X$93:X$146)</f>
        <v>0</v>
      </c>
      <c r="AF28" s="51">
        <f>SUMIF(MAP!$E$93:$E$146,$B28,MAP!Y$93:Y$146)</f>
        <v>0</v>
      </c>
      <c r="AG28" s="51">
        <f>SUMIF(MAP!$E$93:$E$146,$B28,MAP!Z$93:Z$146)</f>
        <v>0</v>
      </c>
      <c r="AH28" s="51">
        <f>SUMIF(MAP!$E$93:$E$146,$B28,MAP!AA$93:AA$146)</f>
        <v>0</v>
      </c>
      <c r="AI28" s="51">
        <f>SUMIF(MAP!$E$93:$E$146,$B28,MAP!AB$93:AB$146)</f>
        <v>0</v>
      </c>
      <c r="AJ28" s="51">
        <f>SUMIF(MAP!$E$93:$E$146,$B28,MAP!AC$93:AC$146)</f>
        <v>0</v>
      </c>
      <c r="AK28" s="51">
        <f>SUMIF(MAP!$E$93:$E$146,$B28,MAP!AD$93:AD$146)</f>
        <v>0</v>
      </c>
      <c r="AL28" s="51">
        <f>SUMIF(MAP!$E$93:$E$146,$B28,MAP!AE$93:AE$146)</f>
        <v>0</v>
      </c>
      <c r="AM28" s="51">
        <f>SUMIF(MAP!$E$93:$E$146,$B28,MAP!AF$93:AF$146)</f>
        <v>0</v>
      </c>
      <c r="AN28" s="51">
        <f>SUMIF(MAP!$E$93:$E$146,$B28,MAP!AG$93:AG$146)</f>
        <v>0</v>
      </c>
      <c r="AO28" s="51">
        <f>SUMIF(MAP!$E$93:$E$146,$B28,MAP!AH$93:AH$146)</f>
        <v>0</v>
      </c>
      <c r="AP28" s="51">
        <f>SUMIF(MAP!$E$93:$E$146,$B28,MAP!AI$93:AI$146)</f>
        <v>0</v>
      </c>
      <c r="AQ28" s="51">
        <f>SUMIF(MAP!$E$93:$E$146,$B28,MAP!AJ$93:AJ$146)</f>
        <v>0</v>
      </c>
      <c r="AR28" s="51">
        <f>SUMIF(MAP!$E$93:$E$146,$B28,MAP!AK$93:AK$146)</f>
        <v>0</v>
      </c>
      <c r="AS28" s="51">
        <f>SUMIF(MAP!$E$93:$E$146,$B28,MAP!AL$93:AL$146)</f>
        <v>0</v>
      </c>
      <c r="AT28" s="51">
        <f>SUMIF(MAP!$E$93:$E$146,$B28,MAP!AM$93:AM$146)</f>
        <v>0</v>
      </c>
      <c r="AU28" s="51">
        <f>SUMIF(MAP!$E$93:$E$146,$B28,MAP!AN$93:AN$146)</f>
        <v>0</v>
      </c>
      <c r="AV28" s="51">
        <f>SUMIF(MAP!$E$93:$E$146,$B28,MAP!AO$93:AO$146)</f>
        <v>0</v>
      </c>
      <c r="AW28" s="51">
        <f>SUMIF(MAP!$E$93:$E$146,$B28,MAP!AP$93:AP$146)</f>
        <v>0</v>
      </c>
      <c r="AX28" s="51">
        <f>SUMIF(MAP!$E$93:$E$146,$B28,MAP!AQ$93:AQ$146)</f>
        <v>0</v>
      </c>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E28" s="742"/>
      <c r="CF28" s="189">
        <f t="shared" si="0"/>
        <v>0</v>
      </c>
      <c r="CG28" s="189">
        <f t="shared" si="1"/>
        <v>0</v>
      </c>
      <c r="CH28" s="189">
        <f t="shared" si="2"/>
        <v>0</v>
      </c>
      <c r="CI28" s="189">
        <f t="shared" si="3"/>
        <v>0</v>
      </c>
      <c r="CJ28" s="189">
        <f t="shared" si="4"/>
        <v>0</v>
      </c>
      <c r="CK28" s="51">
        <f t="shared" si="5"/>
        <v>27203</v>
      </c>
      <c r="CL28" s="189">
        <f t="shared" si="6"/>
        <v>0</v>
      </c>
      <c r="CM28" s="189">
        <f t="shared" si="7"/>
        <v>0</v>
      </c>
      <c r="CN28" s="51"/>
      <c r="CO28" s="51"/>
      <c r="CP28" s="51"/>
      <c r="CQ28" s="51"/>
      <c r="CR28" s="51"/>
      <c r="CS28" s="51"/>
      <c r="CT28" s="51"/>
      <c r="CU28" s="51"/>
      <c r="CV28" s="51"/>
      <c r="CW28" s="51"/>
      <c r="CX28" s="51"/>
      <c r="CY28" s="51"/>
      <c r="CZ28" s="51"/>
      <c r="DA28" s="51"/>
      <c r="DB28" s="51"/>
      <c r="DC28" s="51"/>
      <c r="DD28" s="51"/>
      <c r="DE28" s="51"/>
      <c r="DF28" s="51"/>
      <c r="DG28" s="51"/>
      <c r="DH28" s="51"/>
    </row>
    <row r="29" spans="1:112" s="189" customFormat="1" x14ac:dyDescent="0.25">
      <c r="A29" s="728"/>
      <c r="B29" s="189" t="s">
        <v>90</v>
      </c>
      <c r="C29" s="726">
        <v>13</v>
      </c>
      <c r="D29" s="51">
        <f>SUMIF(MAP!$E$93:$E$146,$B29,MAP!T$93:T$146)</f>
        <v>1419</v>
      </c>
      <c r="E29" s="726"/>
      <c r="F29" s="51">
        <f>SUMIF(MAP!$E$93:$E$146,$B29,MAP!N$93:N$146)</f>
        <v>1419</v>
      </c>
      <c r="G29" s="726"/>
      <c r="H29" s="247">
        <f>D29+('Note 13'!C29+'Note 13'!C30-'Note 13'!G29-'Note 13'!G30)</f>
        <v>0</v>
      </c>
      <c r="I29" s="726"/>
      <c r="J29" s="247">
        <f>F29+('Note 13'!E29+'Note 13'!E30-'Note 13'!I29-'Note 13'!I30)</f>
        <v>0</v>
      </c>
      <c r="K29" s="800"/>
      <c r="L29" s="726"/>
      <c r="M29" s="727">
        <v>-200</v>
      </c>
      <c r="N29" s="726"/>
      <c r="O29" s="727">
        <v>-200</v>
      </c>
      <c r="P29" s="726"/>
      <c r="Q29" s="51">
        <f>SUMIF(MAP!$E$93:$E$146,$B29,MAP!U$93:U$146)</f>
        <v>0</v>
      </c>
      <c r="R29" s="726"/>
      <c r="S29" s="51">
        <f>SUMIF(MAP!$E$93:$E$146,$B29,MAP!BD$93:BD$146)</f>
        <v>0</v>
      </c>
      <c r="T29" s="726"/>
      <c r="U29" s="51">
        <f>SUMIF(MAP!$E$93:$E$146,$B29,MAP!N$93:N$146)</f>
        <v>1419</v>
      </c>
      <c r="AA29" s="51">
        <f>SUMIF(MAP!$E$93:$E$146,$B29,MAP!T$93:T$146)</f>
        <v>1419</v>
      </c>
      <c r="AD29" s="51">
        <f>SUMIF(MAP!$E$93:$E$146,$B29,MAP!W$93:W$146)</f>
        <v>1419</v>
      </c>
      <c r="AE29" s="51">
        <f>SUMIF(MAP!$E$93:$E$146,$B29,MAP!X$93:X$146)</f>
        <v>0</v>
      </c>
      <c r="AF29" s="51">
        <f>SUMIF(MAP!$E$93:$E$146,$B29,MAP!Y$93:Y$146)</f>
        <v>0</v>
      </c>
      <c r="AG29" s="51">
        <f>SUMIF(MAP!$E$93:$E$146,$B29,MAP!Z$93:Z$146)</f>
        <v>0</v>
      </c>
      <c r="AH29" s="51">
        <f>SUMIF(MAP!$E$93:$E$146,$B29,MAP!AA$93:AA$146)</f>
        <v>0</v>
      </c>
      <c r="AI29" s="51">
        <f>SUMIF(MAP!$E$93:$E$146,$B29,MAP!AB$93:AB$146)</f>
        <v>0</v>
      </c>
      <c r="AJ29" s="51">
        <f>SUMIF(MAP!$E$93:$E$146,$B29,MAP!AC$93:AC$146)</f>
        <v>0</v>
      </c>
      <c r="AK29" s="51">
        <f>SUMIF(MAP!$E$93:$E$146,$B29,MAP!AD$93:AD$146)</f>
        <v>0</v>
      </c>
      <c r="AL29" s="51">
        <f>SUMIF(MAP!$E$93:$E$146,$B29,MAP!AE$93:AE$146)</f>
        <v>0</v>
      </c>
      <c r="AM29" s="51">
        <f>SUMIF(MAP!$E$93:$E$146,$B29,MAP!AF$93:AF$146)</f>
        <v>0</v>
      </c>
      <c r="AN29" s="51">
        <f>SUMIF(MAP!$E$93:$E$146,$B29,MAP!AG$93:AG$146)</f>
        <v>0</v>
      </c>
      <c r="AO29" s="51">
        <f>SUMIF(MAP!$E$93:$E$146,$B29,MAP!AH$93:AH$146)</f>
        <v>0</v>
      </c>
      <c r="AP29" s="51">
        <f>SUMIF(MAP!$E$93:$E$146,$B29,MAP!AI$93:AI$146)</f>
        <v>0</v>
      </c>
      <c r="AQ29" s="51">
        <f>SUMIF(MAP!$E$93:$E$146,$B29,MAP!AJ$93:AJ$146)</f>
        <v>0</v>
      </c>
      <c r="AR29" s="51">
        <f>SUMIF(MAP!$E$93:$E$146,$B29,MAP!AK$93:AK$146)</f>
        <v>0</v>
      </c>
      <c r="AS29" s="51">
        <f>SUMIF(MAP!$E$93:$E$146,$B29,MAP!AL$93:AL$146)</f>
        <v>0</v>
      </c>
      <c r="AT29" s="51">
        <f>SUMIF(MAP!$E$93:$E$146,$B29,MAP!AM$93:AM$146)</f>
        <v>0</v>
      </c>
      <c r="AU29" s="51">
        <f>SUMIF(MAP!$E$93:$E$146,$B29,MAP!AN$93:AN$146)</f>
        <v>0</v>
      </c>
      <c r="AV29" s="51">
        <f>SUMIF(MAP!$E$93:$E$146,$B29,MAP!AO$93:AO$146)</f>
        <v>0</v>
      </c>
      <c r="AW29" s="51">
        <f>SUMIF(MAP!$E$93:$E$146,$B29,MAP!AP$93:AP$146)</f>
        <v>0</v>
      </c>
      <c r="AX29" s="51">
        <f>SUMIF(MAP!$E$93:$E$146,$B29,MAP!AQ$93:AQ$146)</f>
        <v>0</v>
      </c>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E29" s="742"/>
      <c r="CF29" s="189">
        <f t="shared" si="0"/>
        <v>0</v>
      </c>
      <c r="CG29" s="189">
        <f t="shared" si="1"/>
        <v>0</v>
      </c>
      <c r="CH29" s="189">
        <f t="shared" si="2"/>
        <v>0</v>
      </c>
      <c r="CI29" s="189">
        <f t="shared" si="3"/>
        <v>0</v>
      </c>
      <c r="CJ29" s="189">
        <f t="shared" si="4"/>
        <v>0</v>
      </c>
      <c r="CK29" s="51">
        <f t="shared" si="5"/>
        <v>1419</v>
      </c>
      <c r="CL29" s="189">
        <f t="shared" si="6"/>
        <v>0</v>
      </c>
      <c r="CM29" s="189">
        <f t="shared" si="7"/>
        <v>0</v>
      </c>
      <c r="CN29" s="51"/>
      <c r="CO29" s="51"/>
      <c r="CP29" s="51"/>
      <c r="CQ29" s="51"/>
      <c r="CR29" s="51"/>
      <c r="CS29" s="51"/>
      <c r="CT29" s="51"/>
      <c r="CU29" s="51"/>
      <c r="CV29" s="51"/>
      <c r="CW29" s="51"/>
      <c r="CX29" s="51"/>
      <c r="CY29" s="51"/>
      <c r="CZ29" s="51"/>
      <c r="DA29" s="51"/>
      <c r="DB29" s="51"/>
      <c r="DC29" s="51"/>
      <c r="DD29" s="51"/>
      <c r="DE29" s="51"/>
      <c r="DF29" s="51"/>
      <c r="DG29" s="51"/>
      <c r="DH29" s="51"/>
    </row>
    <row r="30" spans="1:112" x14ac:dyDescent="0.25">
      <c r="B30" s="51" t="s">
        <v>91</v>
      </c>
      <c r="C30" s="726">
        <v>14</v>
      </c>
      <c r="D30" s="51">
        <f>SUMIF(MAP!$E$93:$E$146,$B30,MAP!T$93:T$146)</f>
        <v>0</v>
      </c>
      <c r="E30" s="726"/>
      <c r="F30" s="51">
        <f>SUMIF(MAP!$E$93:$E$146,$B30,MAP!N$93:N$146)</f>
        <v>0</v>
      </c>
      <c r="G30" s="726"/>
      <c r="H30" s="247">
        <f>D30-'Note 14'!U21</f>
        <v>0</v>
      </c>
      <c r="I30" s="726"/>
      <c r="J30" s="247">
        <f>F30-'Note 14'!AC21</f>
        <v>0</v>
      </c>
      <c r="K30" s="800"/>
      <c r="L30" s="726"/>
      <c r="M30" s="727">
        <v>-2305</v>
      </c>
      <c r="N30" s="726"/>
      <c r="O30" s="727">
        <v>-91099</v>
      </c>
      <c r="P30" s="726"/>
      <c r="Q30" s="51">
        <f>SUMIF(MAP!$E$93:$E$146,$B30,MAP!U$93:U$146)</f>
        <v>0</v>
      </c>
      <c r="R30" s="726"/>
      <c r="S30" s="51">
        <f>SUMIF(MAP!$E$93:$E$146,$B30,MAP!BD$93:BD$146)</f>
        <v>0</v>
      </c>
      <c r="T30" s="726"/>
      <c r="U30" s="51">
        <f>SUMIF(MAP!$E$93:$E$146,$B30,MAP!N$93:N$146)</f>
        <v>0</v>
      </c>
      <c r="AA30" s="51">
        <f>SUMIF(MAP!$E$93:$E$146,$B30,MAP!T$93:T$146)</f>
        <v>0</v>
      </c>
      <c r="AD30" s="51">
        <f>SUMIF(MAP!$E$93:$E$146,$B30,MAP!W$93:W$146)</f>
        <v>0</v>
      </c>
      <c r="AE30" s="51">
        <f>SUMIF(MAP!$E$93:$E$146,$B30,MAP!X$93:X$146)</f>
        <v>0</v>
      </c>
      <c r="AF30" s="51">
        <f>SUMIF(MAP!$E$93:$E$146,$B30,MAP!Y$93:Y$146)</f>
        <v>0</v>
      </c>
      <c r="AG30" s="51">
        <f>SUMIF(MAP!$E$93:$E$146,$B30,MAP!Z$93:Z$146)</f>
        <v>0</v>
      </c>
      <c r="AH30" s="51">
        <f>SUMIF(MAP!$E$93:$E$146,$B30,MAP!AA$93:AA$146)</f>
        <v>0</v>
      </c>
      <c r="AI30" s="51">
        <f>SUMIF(MAP!$E$93:$E$146,$B30,MAP!AB$93:AB$146)</f>
        <v>0</v>
      </c>
      <c r="AJ30" s="51">
        <f>SUMIF(MAP!$E$93:$E$146,$B30,MAP!AC$93:AC$146)</f>
        <v>0</v>
      </c>
      <c r="AK30" s="51">
        <f>SUMIF(MAP!$E$93:$E$146,$B30,MAP!AD$93:AD$146)</f>
        <v>0</v>
      </c>
      <c r="AL30" s="51">
        <f>SUMIF(MAP!$E$93:$E$146,$B30,MAP!AE$93:AE$146)</f>
        <v>0</v>
      </c>
      <c r="AM30" s="51">
        <f>SUMIF(MAP!$E$93:$E$146,$B30,MAP!AF$93:AF$146)</f>
        <v>0</v>
      </c>
      <c r="AN30" s="51">
        <f>SUMIF(MAP!$E$93:$E$146,$B30,MAP!AG$93:AG$146)</f>
        <v>0</v>
      </c>
      <c r="AO30" s="51">
        <f>SUMIF(MAP!$E$93:$E$146,$B30,MAP!AH$93:AH$146)</f>
        <v>0</v>
      </c>
      <c r="AP30" s="51">
        <f>SUMIF(MAP!$E$93:$E$146,$B30,MAP!AI$93:AI$146)</f>
        <v>0</v>
      </c>
      <c r="AQ30" s="51">
        <f>SUMIF(MAP!$E$93:$E$146,$B30,MAP!AJ$93:AJ$146)</f>
        <v>0</v>
      </c>
      <c r="AR30" s="51">
        <f>SUMIF(MAP!$E$93:$E$146,$B30,MAP!AK$93:AK$146)</f>
        <v>0</v>
      </c>
      <c r="AS30" s="51">
        <f>SUMIF(MAP!$E$93:$E$146,$B30,MAP!AL$93:AL$146)</f>
        <v>0</v>
      </c>
      <c r="AT30" s="51">
        <f>SUMIF(MAP!$E$93:$E$146,$B30,MAP!AM$93:AM$146)</f>
        <v>0</v>
      </c>
      <c r="AU30" s="51">
        <f>SUMIF(MAP!$E$93:$E$146,$B30,MAP!AN$93:AN$146)</f>
        <v>0</v>
      </c>
      <c r="AV30" s="51">
        <f>SUMIF(MAP!$E$93:$E$146,$B30,MAP!AO$93:AO$146)</f>
        <v>0</v>
      </c>
      <c r="AW30" s="51">
        <f>SUMIF(MAP!$E$93:$E$146,$B30,MAP!AP$93:AP$146)</f>
        <v>0</v>
      </c>
      <c r="AX30" s="51">
        <f>SUMIF(MAP!$E$93:$E$146,$B30,MAP!AQ$93:AQ$146)</f>
        <v>0</v>
      </c>
      <c r="CE30" s="742"/>
      <c r="CF30" s="51">
        <f t="shared" si="0"/>
        <v>0</v>
      </c>
      <c r="CG30" s="51">
        <f t="shared" si="1"/>
        <v>0</v>
      </c>
      <c r="CH30" s="51">
        <f t="shared" si="2"/>
        <v>0</v>
      </c>
      <c r="CI30" s="51">
        <f t="shared" si="3"/>
        <v>0</v>
      </c>
      <c r="CJ30" s="51">
        <f t="shared" si="4"/>
        <v>0</v>
      </c>
      <c r="CK30" s="51">
        <f t="shared" si="5"/>
        <v>0</v>
      </c>
      <c r="CL30" s="51">
        <f t="shared" si="6"/>
        <v>0</v>
      </c>
      <c r="CM30" s="51">
        <f t="shared" si="7"/>
        <v>0</v>
      </c>
    </row>
    <row r="31" spans="1:112" x14ac:dyDescent="0.25">
      <c r="B31" s="51" t="s">
        <v>92</v>
      </c>
      <c r="C31" s="206">
        <v>9</v>
      </c>
      <c r="D31" s="51">
        <f>SUMIF(MAP!$E$93:$E$146,$B31,MAP!T$93:T$146)</f>
        <v>0</v>
      </c>
      <c r="F31" s="51">
        <f>SUMIF(MAP!$E$93:$E$146,$B31,MAP!N$93:N$146)</f>
        <v>0</v>
      </c>
      <c r="I31" s="726"/>
      <c r="J31" s="247">
        <f>F31-SUM('Notes 8 &amp; 9'!I32:K32)</f>
        <v>0</v>
      </c>
      <c r="K31" s="800"/>
      <c r="M31" s="727">
        <v>0</v>
      </c>
      <c r="O31" s="727">
        <v>0</v>
      </c>
      <c r="Q31" s="51">
        <f>SUMIF(MAP!$E$93:$E$146,$B31,MAP!U$93:U$146)</f>
        <v>0</v>
      </c>
      <c r="S31" s="51">
        <f>SUMIF(MAP!$E$93:$E$146,$B31,MAP!BD$93:BD$146)</f>
        <v>0</v>
      </c>
      <c r="U31" s="51">
        <f>SUMIF(MAP!$E$93:$E$146,$B31,MAP!N$93:N$146)</f>
        <v>0</v>
      </c>
      <c r="AA31" s="51">
        <f>SUMIF(MAP!$E$93:$E$146,$B31,MAP!T$93:T$146)</f>
        <v>0</v>
      </c>
      <c r="AD31" s="51">
        <f>SUMIF(MAP!$E$93:$E$146,$B31,MAP!W$93:W$146)</f>
        <v>0</v>
      </c>
      <c r="AE31" s="51">
        <f>SUMIF(MAP!$E$93:$E$146,$B31,MAP!X$93:X$146)</f>
        <v>0</v>
      </c>
      <c r="AF31" s="51">
        <f>SUMIF(MAP!$E$93:$E$146,$B31,MAP!Y$93:Y$146)</f>
        <v>0</v>
      </c>
      <c r="AG31" s="51">
        <f>SUMIF(MAP!$E$93:$E$146,$B31,MAP!Z$93:Z$146)</f>
        <v>0</v>
      </c>
      <c r="AH31" s="51">
        <f>SUMIF(MAP!$E$93:$E$146,$B31,MAP!AA$93:AA$146)</f>
        <v>0</v>
      </c>
      <c r="AI31" s="51">
        <f>SUMIF(MAP!$E$93:$E$146,$B31,MAP!AB$93:AB$146)</f>
        <v>0</v>
      </c>
      <c r="AJ31" s="51">
        <f>SUMIF(MAP!$E$93:$E$146,$B31,MAP!AC$93:AC$146)</f>
        <v>0</v>
      </c>
      <c r="AK31" s="51">
        <f>SUMIF(MAP!$E$93:$E$146,$B31,MAP!AD$93:AD$146)</f>
        <v>0</v>
      </c>
      <c r="AL31" s="51">
        <f>SUMIF(MAP!$E$93:$E$146,$B31,MAP!AE$93:AE$146)</f>
        <v>0</v>
      </c>
      <c r="AM31" s="51">
        <f>SUMIF(MAP!$E$93:$E$146,$B31,MAP!AF$93:AF$146)</f>
        <v>0</v>
      </c>
      <c r="AN31" s="51">
        <f>SUMIF(MAP!$E$93:$E$146,$B31,MAP!AG$93:AG$146)</f>
        <v>0</v>
      </c>
      <c r="AO31" s="51">
        <f>SUMIF(MAP!$E$93:$E$146,$B31,MAP!AH$93:AH$146)</f>
        <v>0</v>
      </c>
      <c r="AP31" s="51">
        <f>SUMIF(MAP!$E$93:$E$146,$B31,MAP!AI$93:AI$146)</f>
        <v>0</v>
      </c>
      <c r="AQ31" s="51">
        <f>SUMIF(MAP!$E$93:$E$146,$B31,MAP!AJ$93:AJ$146)</f>
        <v>0</v>
      </c>
      <c r="AR31" s="51">
        <f>SUMIF(MAP!$E$93:$E$146,$B31,MAP!AK$93:AK$146)</f>
        <v>0</v>
      </c>
      <c r="AS31" s="51">
        <f>SUMIF(MAP!$E$93:$E$146,$B31,MAP!AL$93:AL$146)</f>
        <v>0</v>
      </c>
      <c r="AT31" s="51">
        <f>SUMIF(MAP!$E$93:$E$146,$B31,MAP!AM$93:AM$146)</f>
        <v>0</v>
      </c>
      <c r="AU31" s="51">
        <f>SUMIF(MAP!$E$93:$E$146,$B31,MAP!AN$93:AN$146)</f>
        <v>0</v>
      </c>
      <c r="AV31" s="51">
        <f>SUMIF(MAP!$E$93:$E$146,$B31,MAP!AO$93:AO$146)</f>
        <v>0</v>
      </c>
      <c r="AW31" s="51">
        <f>SUMIF(MAP!$E$93:$E$146,$B31,MAP!AP$93:AP$146)</f>
        <v>0</v>
      </c>
      <c r="AX31" s="51">
        <f>SUMIF(MAP!$E$93:$E$146,$B31,MAP!AQ$93:AQ$146)</f>
        <v>0</v>
      </c>
      <c r="CE31" s="742"/>
      <c r="CF31" s="51">
        <f t="shared" si="0"/>
        <v>0</v>
      </c>
      <c r="CG31" s="51">
        <f t="shared" si="1"/>
        <v>0</v>
      </c>
      <c r="CH31" s="51">
        <f t="shared" si="2"/>
        <v>0</v>
      </c>
      <c r="CI31" s="51">
        <f t="shared" si="3"/>
        <v>0</v>
      </c>
      <c r="CJ31" s="51">
        <f t="shared" si="4"/>
        <v>0</v>
      </c>
      <c r="CK31" s="51">
        <f t="shared" si="5"/>
        <v>0</v>
      </c>
      <c r="CL31" s="51">
        <f t="shared" si="6"/>
        <v>0</v>
      </c>
      <c r="CM31" s="51">
        <f t="shared" si="7"/>
        <v>0</v>
      </c>
    </row>
    <row r="32" spans="1:112" x14ac:dyDescent="0.25">
      <c r="B32" s="47" t="s">
        <v>549</v>
      </c>
      <c r="D32" s="214">
        <f>SUM(D11:D31)</f>
        <v>-22354</v>
      </c>
      <c r="F32" s="214">
        <f>SUM(F11:F31)</f>
        <v>-22354</v>
      </c>
      <c r="M32" s="214">
        <f>SUM(M11:M31)</f>
        <v>-8928570</v>
      </c>
      <c r="O32" s="214">
        <f>SUM(O11:O31)</f>
        <v>-8595331</v>
      </c>
      <c r="Q32" s="214">
        <f>SUM(Q11:Q31)</f>
        <v>0</v>
      </c>
      <c r="S32" s="214">
        <f>SUM(S11:S31)</f>
        <v>0</v>
      </c>
      <c r="U32" s="214">
        <f>SUM(U11:U31)</f>
        <v>-22354</v>
      </c>
      <c r="AA32" s="214">
        <f>SUM(AA11:AA31)</f>
        <v>-22354</v>
      </c>
      <c r="AD32" s="214">
        <f t="shared" ref="AD32:AX32" si="9">SUM(AD11:AD31)</f>
        <v>-22354</v>
      </c>
      <c r="AE32" s="214">
        <f t="shared" si="9"/>
        <v>0</v>
      </c>
      <c r="AF32" s="214">
        <f t="shared" si="9"/>
        <v>0</v>
      </c>
      <c r="AG32" s="214">
        <f t="shared" si="9"/>
        <v>0</v>
      </c>
      <c r="AH32" s="214">
        <f t="shared" si="9"/>
        <v>0</v>
      </c>
      <c r="AI32" s="214">
        <f t="shared" si="9"/>
        <v>0</v>
      </c>
      <c r="AJ32" s="214">
        <f t="shared" si="9"/>
        <v>0</v>
      </c>
      <c r="AK32" s="214">
        <f t="shared" si="9"/>
        <v>0</v>
      </c>
      <c r="AL32" s="214">
        <f t="shared" si="9"/>
        <v>0</v>
      </c>
      <c r="AM32" s="214">
        <f t="shared" si="9"/>
        <v>0</v>
      </c>
      <c r="AN32" s="214">
        <f t="shared" si="9"/>
        <v>0</v>
      </c>
      <c r="AO32" s="214">
        <f t="shared" si="9"/>
        <v>0</v>
      </c>
      <c r="AP32" s="214">
        <f t="shared" si="9"/>
        <v>0</v>
      </c>
      <c r="AQ32" s="214">
        <f t="shared" si="9"/>
        <v>0</v>
      </c>
      <c r="AR32" s="214">
        <f t="shared" si="9"/>
        <v>0</v>
      </c>
      <c r="AS32" s="214">
        <f t="shared" si="9"/>
        <v>0</v>
      </c>
      <c r="AT32" s="214">
        <f t="shared" si="9"/>
        <v>0</v>
      </c>
      <c r="AU32" s="214">
        <f t="shared" si="9"/>
        <v>0</v>
      </c>
      <c r="AV32" s="214">
        <f t="shared" si="9"/>
        <v>0</v>
      </c>
      <c r="AW32" s="214">
        <f t="shared" si="9"/>
        <v>0</v>
      </c>
      <c r="AX32" s="214">
        <f t="shared" si="9"/>
        <v>0</v>
      </c>
      <c r="CE32" s="793"/>
      <c r="CF32" s="51">
        <f t="shared" si="0"/>
        <v>0</v>
      </c>
      <c r="CG32" s="51">
        <f t="shared" si="1"/>
        <v>0</v>
      </c>
      <c r="CH32" s="51">
        <f t="shared" si="2"/>
        <v>0</v>
      </c>
      <c r="CI32" s="51">
        <f t="shared" si="3"/>
        <v>0</v>
      </c>
      <c r="CJ32" s="51">
        <f t="shared" si="4"/>
        <v>0</v>
      </c>
      <c r="CK32" s="214">
        <f t="shared" si="5"/>
        <v>-22354</v>
      </c>
      <c r="CL32" s="51">
        <f t="shared" si="6"/>
        <v>0</v>
      </c>
      <c r="CM32" s="51">
        <f t="shared" si="7"/>
        <v>0</v>
      </c>
    </row>
    <row r="33" spans="1:91" x14ac:dyDescent="0.25">
      <c r="D33" s="51"/>
      <c r="F33" s="51"/>
      <c r="M33" s="51"/>
      <c r="O33" s="51"/>
      <c r="Q33" s="51"/>
      <c r="S33" s="51"/>
      <c r="CE33" s="742"/>
      <c r="CF33" s="51">
        <f t="shared" si="0"/>
        <v>0</v>
      </c>
      <c r="CG33" s="51">
        <f t="shared" si="1"/>
        <v>0</v>
      </c>
      <c r="CH33" s="51">
        <f t="shared" si="2"/>
        <v>0</v>
      </c>
      <c r="CI33" s="51">
        <f t="shared" si="3"/>
        <v>0</v>
      </c>
      <c r="CJ33" s="51">
        <f t="shared" si="4"/>
        <v>0</v>
      </c>
      <c r="CK33" s="51">
        <f t="shared" si="5"/>
        <v>0</v>
      </c>
      <c r="CL33" s="51">
        <f t="shared" si="6"/>
        <v>0</v>
      </c>
      <c r="CM33" s="51">
        <f t="shared" si="7"/>
        <v>0</v>
      </c>
    </row>
    <row r="34" spans="1:91" x14ac:dyDescent="0.25">
      <c r="D34" s="51"/>
      <c r="F34" s="51"/>
      <c r="M34" s="51"/>
      <c r="O34" s="51"/>
      <c r="Q34" s="51"/>
      <c r="S34" s="51"/>
      <c r="CE34" s="742"/>
      <c r="CF34" s="51">
        <f t="shared" si="0"/>
        <v>0</v>
      </c>
      <c r="CG34" s="51">
        <f t="shared" si="1"/>
        <v>0</v>
      </c>
      <c r="CH34" s="51">
        <f t="shared" si="2"/>
        <v>0</v>
      </c>
      <c r="CI34" s="51">
        <f t="shared" si="3"/>
        <v>0</v>
      </c>
      <c r="CJ34" s="51">
        <f t="shared" si="4"/>
        <v>0</v>
      </c>
      <c r="CK34" s="51">
        <f t="shared" si="5"/>
        <v>0</v>
      </c>
      <c r="CL34" s="51">
        <f t="shared" si="6"/>
        <v>0</v>
      </c>
      <c r="CM34" s="51">
        <f t="shared" si="7"/>
        <v>0</v>
      </c>
    </row>
    <row r="35" spans="1:91" x14ac:dyDescent="0.25">
      <c r="A35" s="723"/>
      <c r="B35" s="47" t="s">
        <v>94</v>
      </c>
      <c r="D35" s="51"/>
      <c r="F35" s="51"/>
      <c r="M35" s="51"/>
      <c r="O35" s="51"/>
      <c r="Q35" s="51"/>
      <c r="S35" s="51"/>
      <c r="CE35" s="742"/>
      <c r="CF35" s="51">
        <f t="shared" si="0"/>
        <v>0</v>
      </c>
      <c r="CG35" s="51">
        <f t="shared" si="1"/>
        <v>0</v>
      </c>
      <c r="CH35" s="51">
        <f t="shared" si="2"/>
        <v>0</v>
      </c>
      <c r="CI35" s="51">
        <f t="shared" si="3"/>
        <v>0</v>
      </c>
      <c r="CJ35" s="51">
        <f t="shared" si="4"/>
        <v>0</v>
      </c>
      <c r="CK35" s="51">
        <f t="shared" si="5"/>
        <v>0</v>
      </c>
      <c r="CL35" s="51">
        <f t="shared" si="6"/>
        <v>0</v>
      </c>
      <c r="CM35" s="51">
        <f t="shared" si="7"/>
        <v>0</v>
      </c>
    </row>
    <row r="36" spans="1:91" x14ac:dyDescent="0.25">
      <c r="B36" s="189" t="s">
        <v>95</v>
      </c>
      <c r="C36" s="206" t="s">
        <v>2503</v>
      </c>
      <c r="D36" s="51">
        <f>SUMIF(MAP!$E$93:$E$146,$B36,MAP!T$93:T$146)</f>
        <v>0</v>
      </c>
      <c r="F36" s="51">
        <f>SUMIF(MAP!$E$93:$E$146,$B36,MAP!N$93:N$146)</f>
        <v>0</v>
      </c>
      <c r="H36" s="811">
        <f>D36+D37+('Note 5 (C&amp;A)'!K13+'Note 6 (C&amp;A)'!K15+'Note 13'!G15+'Note 13'!G16+'Note 13'!G20+'Note 13'!G21-'Note 13'!C15-'Note 13'!C16-'Note 13'!C20-'Note 13'!C21)</f>
        <v>1310</v>
      </c>
      <c r="J36" s="811">
        <f>F36+F37+('Note 5'!K13+'Note 6'!K15+'Note 13'!I15+'Note 13'!I16+'Note 13'!I20+'Note 13'!I21-'Note 13'!E15-'Note 13'!E16-'Note 13'!E20-'Note 13'!E21)</f>
        <v>149453</v>
      </c>
      <c r="K36" s="809" t="s">
        <v>2659</v>
      </c>
      <c r="M36" s="727">
        <v>-34945</v>
      </c>
      <c r="O36" s="727">
        <v>-291467</v>
      </c>
      <c r="Q36" s="51">
        <f>SUMIF(MAP!$E$93:$E$146,$B36,MAP!U$93:U$146)</f>
        <v>0</v>
      </c>
      <c r="S36" s="51">
        <f>SUMIF(MAP!$E$93:$E$146,$B36,MAP!BD$93:BD$146)</f>
        <v>0</v>
      </c>
      <c r="U36" s="51">
        <f>SUMIF(MAP!$E$93:$E$146,$B36,MAP!N$93:N$146)</f>
        <v>0</v>
      </c>
      <c r="AA36" s="51">
        <f>SUMIF(MAP!$E$93:$E$146,$B36,MAP!T$93:T$146)</f>
        <v>0</v>
      </c>
      <c r="AD36" s="51">
        <f>SUMIF(MAP!$E$93:$E$146,$B36,MAP!W$93:W$146)</f>
        <v>0</v>
      </c>
      <c r="AE36" s="51">
        <f>SUMIF(MAP!$E$93:$E$146,$B36,MAP!X$93:X$146)</f>
        <v>0</v>
      </c>
      <c r="AF36" s="51">
        <f>SUMIF(MAP!$E$93:$E$146,$B36,MAP!Y$93:Y$146)</f>
        <v>0</v>
      </c>
      <c r="AG36" s="51">
        <f>SUMIF(MAP!$E$93:$E$146,$B36,MAP!Z$93:Z$146)</f>
        <v>0</v>
      </c>
      <c r="AH36" s="51">
        <f>SUMIF(MAP!$E$93:$E$146,$B36,MAP!AA$93:AA$146)</f>
        <v>0</v>
      </c>
      <c r="AI36" s="51">
        <f>SUMIF(MAP!$E$93:$E$146,$B36,MAP!AB$93:AB$146)</f>
        <v>0</v>
      </c>
      <c r="AJ36" s="51">
        <f>SUMIF(MAP!$E$93:$E$146,$B36,MAP!AC$93:AC$146)</f>
        <v>0</v>
      </c>
      <c r="AK36" s="51">
        <f>SUMIF(MAP!$E$93:$E$146,$B36,MAP!AD$93:AD$146)</f>
        <v>0</v>
      </c>
      <c r="AL36" s="51">
        <f>SUMIF(MAP!$E$93:$E$146,$B36,MAP!AE$93:AE$146)</f>
        <v>0</v>
      </c>
      <c r="AM36" s="51">
        <f>SUMIF(MAP!$E$93:$E$146,$B36,MAP!AF$93:AF$146)</f>
        <v>0</v>
      </c>
      <c r="AN36" s="51">
        <f>SUMIF(MAP!$E$93:$E$146,$B36,MAP!AG$93:AG$146)</f>
        <v>0</v>
      </c>
      <c r="AO36" s="51">
        <f>SUMIF(MAP!$E$93:$E$146,$B36,MAP!AH$93:AH$146)</f>
        <v>0</v>
      </c>
      <c r="AP36" s="51">
        <f>SUMIF(MAP!$E$93:$E$146,$B36,MAP!AI$93:AI$146)</f>
        <v>0</v>
      </c>
      <c r="AQ36" s="51">
        <f>SUMIF(MAP!$E$93:$E$146,$B36,MAP!AJ$93:AJ$146)</f>
        <v>0</v>
      </c>
      <c r="AR36" s="51">
        <f>SUMIF(MAP!$E$93:$E$146,$B36,MAP!AK$93:AK$146)</f>
        <v>0</v>
      </c>
      <c r="AS36" s="51">
        <f>SUMIF(MAP!$E$93:$E$146,$B36,MAP!AL$93:AL$146)</f>
        <v>0</v>
      </c>
      <c r="AT36" s="51">
        <f>SUMIF(MAP!$E$93:$E$146,$B36,MAP!AM$93:AM$146)</f>
        <v>0</v>
      </c>
      <c r="AU36" s="51">
        <f>SUMIF(MAP!$E$93:$E$146,$B36,MAP!AN$93:AN$146)</f>
        <v>0</v>
      </c>
      <c r="AV36" s="51">
        <f>SUMIF(MAP!$E$93:$E$146,$B36,MAP!AO$93:AO$146)</f>
        <v>0</v>
      </c>
      <c r="AW36" s="51">
        <f>SUMIF(MAP!$E$93:$E$146,$B36,MAP!AP$93:AP$146)</f>
        <v>0</v>
      </c>
      <c r="AX36" s="51">
        <f>SUMIF(MAP!$E$93:$E$146,$B36,MAP!AQ$93:AQ$146)</f>
        <v>0</v>
      </c>
      <c r="CE36" s="742"/>
      <c r="CF36" s="51">
        <f t="shared" si="0"/>
        <v>0</v>
      </c>
      <c r="CG36" s="51">
        <f t="shared" si="1"/>
        <v>0</v>
      </c>
      <c r="CH36" s="51">
        <f t="shared" si="2"/>
        <v>0</v>
      </c>
      <c r="CI36" s="51">
        <f t="shared" si="3"/>
        <v>0</v>
      </c>
      <c r="CJ36" s="51">
        <f t="shared" si="4"/>
        <v>0</v>
      </c>
      <c r="CK36" s="51">
        <f t="shared" si="5"/>
        <v>0</v>
      </c>
      <c r="CL36" s="51">
        <f t="shared" si="6"/>
        <v>0</v>
      </c>
      <c r="CM36" s="51">
        <f t="shared" si="7"/>
        <v>0</v>
      </c>
    </row>
    <row r="37" spans="1:91" x14ac:dyDescent="0.25">
      <c r="B37" s="51" t="s">
        <v>96</v>
      </c>
      <c r="C37" s="206" t="s">
        <v>2504</v>
      </c>
      <c r="D37" s="51">
        <f>SUMIF(MAP!$E$93:$E$146,$B37,MAP!T$93:T$146)</f>
        <v>0</v>
      </c>
      <c r="F37" s="51">
        <f>SUMIF(MAP!$E$93:$E$146,$B37,MAP!N$93:N$146)</f>
        <v>0</v>
      </c>
      <c r="J37" s="812" t="s">
        <v>1392</v>
      </c>
      <c r="K37" s="810"/>
      <c r="M37" s="727">
        <v>-1374</v>
      </c>
      <c r="O37" s="727">
        <v>-101990</v>
      </c>
      <c r="Q37" s="51">
        <f>SUMIF(MAP!$E$93:$E$146,$B37,MAP!U$93:U$146)</f>
        <v>0</v>
      </c>
      <c r="S37" s="51">
        <f>SUMIF(MAP!$E$93:$E$146,$B37,MAP!BD$93:BD$146)</f>
        <v>0</v>
      </c>
      <c r="U37" s="51">
        <f>SUMIF(MAP!$E$93:$E$146,$B37,MAP!N$93:N$146)</f>
        <v>0</v>
      </c>
      <c r="AA37" s="51">
        <f>SUMIF(MAP!$E$93:$E$146,$B37,MAP!T$93:T$146)</f>
        <v>0</v>
      </c>
      <c r="AD37" s="51">
        <f>SUMIF(MAP!$E$93:$E$146,$B37,MAP!W$93:W$146)</f>
        <v>0</v>
      </c>
      <c r="AE37" s="51">
        <f>SUMIF(MAP!$E$93:$E$146,$B37,MAP!X$93:X$146)</f>
        <v>0</v>
      </c>
      <c r="AF37" s="51">
        <f>SUMIF(MAP!$E$93:$E$146,$B37,MAP!Y$93:Y$146)</f>
        <v>0</v>
      </c>
      <c r="AG37" s="51">
        <f>SUMIF(MAP!$E$93:$E$146,$B37,MAP!Z$93:Z$146)</f>
        <v>0</v>
      </c>
      <c r="AH37" s="51">
        <f>SUMIF(MAP!$E$93:$E$146,$B37,MAP!AA$93:AA$146)</f>
        <v>0</v>
      </c>
      <c r="AI37" s="51">
        <f>SUMIF(MAP!$E$93:$E$146,$B37,MAP!AB$93:AB$146)</f>
        <v>0</v>
      </c>
      <c r="AJ37" s="51">
        <f>SUMIF(MAP!$E$93:$E$146,$B37,MAP!AC$93:AC$146)</f>
        <v>0</v>
      </c>
      <c r="AK37" s="51">
        <f>SUMIF(MAP!$E$93:$E$146,$B37,MAP!AD$93:AD$146)</f>
        <v>0</v>
      </c>
      <c r="AL37" s="51">
        <f>SUMIF(MAP!$E$93:$E$146,$B37,MAP!AE$93:AE$146)</f>
        <v>0</v>
      </c>
      <c r="AM37" s="51">
        <f>SUMIF(MAP!$E$93:$E$146,$B37,MAP!AF$93:AF$146)</f>
        <v>0</v>
      </c>
      <c r="AN37" s="51">
        <f>SUMIF(MAP!$E$93:$E$146,$B37,MAP!AG$93:AG$146)</f>
        <v>0</v>
      </c>
      <c r="AO37" s="51">
        <f>SUMIF(MAP!$E$93:$E$146,$B37,MAP!AH$93:AH$146)</f>
        <v>0</v>
      </c>
      <c r="AP37" s="51">
        <f>SUMIF(MAP!$E$93:$E$146,$B37,MAP!AI$93:AI$146)</f>
        <v>0</v>
      </c>
      <c r="AQ37" s="51">
        <f>SUMIF(MAP!$E$93:$E$146,$B37,MAP!AJ$93:AJ$146)</f>
        <v>0</v>
      </c>
      <c r="AR37" s="51">
        <f>SUMIF(MAP!$E$93:$E$146,$B37,MAP!AK$93:AK$146)</f>
        <v>0</v>
      </c>
      <c r="AS37" s="51">
        <f>SUMIF(MAP!$E$93:$E$146,$B37,MAP!AL$93:AL$146)</f>
        <v>0</v>
      </c>
      <c r="AT37" s="51">
        <f>SUMIF(MAP!$E$93:$E$146,$B37,MAP!AM$93:AM$146)</f>
        <v>0</v>
      </c>
      <c r="AU37" s="51">
        <f>SUMIF(MAP!$E$93:$E$146,$B37,MAP!AN$93:AN$146)</f>
        <v>0</v>
      </c>
      <c r="AV37" s="51">
        <f>SUMIF(MAP!$E$93:$E$146,$B37,MAP!AO$93:AO$146)</f>
        <v>0</v>
      </c>
      <c r="AW37" s="51">
        <f>SUMIF(MAP!$E$93:$E$146,$B37,MAP!AP$93:AP$146)</f>
        <v>0</v>
      </c>
      <c r="AX37" s="51">
        <f>SUMIF(MAP!$E$93:$E$146,$B37,MAP!AQ$93:AQ$146)</f>
        <v>0</v>
      </c>
      <c r="CE37" s="742"/>
      <c r="CF37" s="51">
        <f t="shared" si="0"/>
        <v>0</v>
      </c>
      <c r="CG37" s="51">
        <f t="shared" si="1"/>
        <v>0</v>
      </c>
      <c r="CH37" s="51">
        <f t="shared" si="2"/>
        <v>0</v>
      </c>
      <c r="CI37" s="51">
        <f t="shared" si="3"/>
        <v>0</v>
      </c>
      <c r="CJ37" s="51">
        <f t="shared" si="4"/>
        <v>0</v>
      </c>
      <c r="CK37" s="51">
        <f t="shared" si="5"/>
        <v>0</v>
      </c>
      <c r="CL37" s="51">
        <f t="shared" si="6"/>
        <v>0</v>
      </c>
      <c r="CM37" s="51">
        <f t="shared" si="7"/>
        <v>0</v>
      </c>
    </row>
    <row r="38" spans="1:91" x14ac:dyDescent="0.25">
      <c r="B38" s="51" t="s">
        <v>97</v>
      </c>
      <c r="C38" s="206">
        <v>9</v>
      </c>
      <c r="D38" s="51">
        <f>SUMIF(MAP!$E$93:$E$146,$B38,MAP!T$93:T$146)</f>
        <v>0</v>
      </c>
      <c r="F38" s="51">
        <f>SUMIF(MAP!$E$93:$E$146,$B38,MAP!N$93:N$146)</f>
        <v>0</v>
      </c>
      <c r="M38" s="727">
        <v>0</v>
      </c>
      <c r="O38" s="727">
        <v>0</v>
      </c>
      <c r="Q38" s="51">
        <f>SUMIF(MAP!$E$93:$E$146,$B38,MAP!U$93:U$146)</f>
        <v>0</v>
      </c>
      <c r="S38" s="51">
        <f>SUMIF(MAP!$E$93:$E$146,$B38,MAP!BD$93:BD$146)</f>
        <v>0</v>
      </c>
      <c r="U38" s="51">
        <f>SUMIF(MAP!$E$93:$E$146,$B38,MAP!N$93:N$146)</f>
        <v>0</v>
      </c>
      <c r="AA38" s="51">
        <f>SUMIF(MAP!$E$93:$E$146,$B38,MAP!T$93:T$146)</f>
        <v>0</v>
      </c>
      <c r="AD38" s="51">
        <f>SUMIF(MAP!$E$93:$E$146,$B38,MAP!W$93:W$146)</f>
        <v>0</v>
      </c>
      <c r="AE38" s="51">
        <f>SUMIF(MAP!$E$93:$E$146,$B38,MAP!X$93:X$146)</f>
        <v>0</v>
      </c>
      <c r="AF38" s="51">
        <f>SUMIF(MAP!$E$93:$E$146,$B38,MAP!Y$93:Y$146)</f>
        <v>0</v>
      </c>
      <c r="AG38" s="51">
        <f>SUMIF(MAP!$E$93:$E$146,$B38,MAP!Z$93:Z$146)</f>
        <v>0</v>
      </c>
      <c r="AH38" s="51">
        <f>SUMIF(MAP!$E$93:$E$146,$B38,MAP!AA$93:AA$146)</f>
        <v>0</v>
      </c>
      <c r="AI38" s="51">
        <f>SUMIF(MAP!$E$93:$E$146,$B38,MAP!AB$93:AB$146)</f>
        <v>0</v>
      </c>
      <c r="AJ38" s="51">
        <f>SUMIF(MAP!$E$93:$E$146,$B38,MAP!AC$93:AC$146)</f>
        <v>0</v>
      </c>
      <c r="AK38" s="51">
        <f>SUMIF(MAP!$E$93:$E$146,$B38,MAP!AD$93:AD$146)</f>
        <v>0</v>
      </c>
      <c r="AL38" s="51">
        <f>SUMIF(MAP!$E$93:$E$146,$B38,MAP!AE$93:AE$146)</f>
        <v>0</v>
      </c>
      <c r="AM38" s="51">
        <f>SUMIF(MAP!$E$93:$E$146,$B38,MAP!AF$93:AF$146)</f>
        <v>0</v>
      </c>
      <c r="AN38" s="51">
        <f>SUMIF(MAP!$E$93:$E$146,$B38,MAP!AG$93:AG$146)</f>
        <v>0</v>
      </c>
      <c r="AO38" s="51">
        <f>SUMIF(MAP!$E$93:$E$146,$B38,MAP!AH$93:AH$146)</f>
        <v>0</v>
      </c>
      <c r="AP38" s="51">
        <f>SUMIF(MAP!$E$93:$E$146,$B38,MAP!AI$93:AI$146)</f>
        <v>0</v>
      </c>
      <c r="AQ38" s="51">
        <f>SUMIF(MAP!$E$93:$E$146,$B38,MAP!AJ$93:AJ$146)</f>
        <v>0</v>
      </c>
      <c r="AR38" s="51">
        <f>SUMIF(MAP!$E$93:$E$146,$B38,MAP!AK$93:AK$146)</f>
        <v>0</v>
      </c>
      <c r="AS38" s="51">
        <f>SUMIF(MAP!$E$93:$E$146,$B38,MAP!AL$93:AL$146)</f>
        <v>0</v>
      </c>
      <c r="AT38" s="51">
        <f>SUMIF(MAP!$E$93:$E$146,$B38,MAP!AM$93:AM$146)</f>
        <v>0</v>
      </c>
      <c r="AU38" s="51">
        <f>SUMIF(MAP!$E$93:$E$146,$B38,MAP!AN$93:AN$146)</f>
        <v>0</v>
      </c>
      <c r="AV38" s="51">
        <f>SUMIF(MAP!$E$93:$E$146,$B38,MAP!AO$93:AO$146)</f>
        <v>0</v>
      </c>
      <c r="AW38" s="51">
        <f>SUMIF(MAP!$E$93:$E$146,$B38,MAP!AP$93:AP$146)</f>
        <v>0</v>
      </c>
      <c r="AX38" s="51">
        <f>SUMIF(MAP!$E$93:$E$146,$B38,MAP!AQ$93:AQ$146)</f>
        <v>0</v>
      </c>
      <c r="CE38" s="742"/>
      <c r="CF38" s="51">
        <f t="shared" si="0"/>
        <v>0</v>
      </c>
      <c r="CG38" s="51">
        <f t="shared" si="1"/>
        <v>0</v>
      </c>
      <c r="CH38" s="51">
        <f t="shared" si="2"/>
        <v>0</v>
      </c>
      <c r="CI38" s="51">
        <f t="shared" si="3"/>
        <v>0</v>
      </c>
      <c r="CJ38" s="51">
        <f t="shared" si="4"/>
        <v>0</v>
      </c>
      <c r="CK38" s="51">
        <f t="shared" si="5"/>
        <v>0</v>
      </c>
      <c r="CL38" s="51">
        <f t="shared" si="6"/>
        <v>0</v>
      </c>
      <c r="CM38" s="51">
        <f t="shared" si="7"/>
        <v>0</v>
      </c>
    </row>
    <row r="39" spans="1:91" x14ac:dyDescent="0.25">
      <c r="B39" s="51" t="s">
        <v>98</v>
      </c>
      <c r="D39" s="51">
        <f>SUMIF(MAP!$E$93:$E$146,$B39,MAP!T$93:T$146)</f>
        <v>0</v>
      </c>
      <c r="F39" s="51">
        <f>SUMIF(MAP!$E$93:$E$146,$B39,MAP!N$93:N$146)</f>
        <v>0</v>
      </c>
      <c r="M39" s="727">
        <v>0</v>
      </c>
      <c r="O39" s="727">
        <v>1174</v>
      </c>
      <c r="Q39" s="51">
        <f>SUMIF(MAP!$E$93:$E$146,$B39,MAP!U$93:U$146)</f>
        <v>0</v>
      </c>
      <c r="S39" s="51">
        <f>SUMIF(MAP!$E$93:$E$146,$B39,MAP!BD$93:BD$146)</f>
        <v>0</v>
      </c>
      <c r="U39" s="51">
        <f>SUMIF(MAP!$E$93:$E$146,$B39,MAP!N$93:N$146)</f>
        <v>0</v>
      </c>
      <c r="AA39" s="51">
        <f>SUMIF(MAP!$E$93:$E$146,$B39,MAP!T$93:T$146)</f>
        <v>0</v>
      </c>
      <c r="AD39" s="51">
        <f>SUMIF(MAP!$E$93:$E$146,$B39,MAP!W$93:W$146)</f>
        <v>0</v>
      </c>
      <c r="AE39" s="51">
        <f>SUMIF(MAP!$E$93:$E$146,$B39,MAP!X$93:X$146)</f>
        <v>0</v>
      </c>
      <c r="AF39" s="51">
        <f>SUMIF(MAP!$E$93:$E$146,$B39,MAP!Y$93:Y$146)</f>
        <v>0</v>
      </c>
      <c r="AG39" s="51">
        <f>SUMIF(MAP!$E$93:$E$146,$B39,MAP!Z$93:Z$146)</f>
        <v>0</v>
      </c>
      <c r="AH39" s="51">
        <f>SUMIF(MAP!$E$93:$E$146,$B39,MAP!AA$93:AA$146)</f>
        <v>0</v>
      </c>
      <c r="AI39" s="51">
        <f>SUMIF(MAP!$E$93:$E$146,$B39,MAP!AB$93:AB$146)</f>
        <v>0</v>
      </c>
      <c r="AJ39" s="51">
        <f>SUMIF(MAP!$E$93:$E$146,$B39,MAP!AC$93:AC$146)</f>
        <v>0</v>
      </c>
      <c r="AK39" s="51">
        <f>SUMIF(MAP!$E$93:$E$146,$B39,MAP!AD$93:AD$146)</f>
        <v>0</v>
      </c>
      <c r="AL39" s="51">
        <f>SUMIF(MAP!$E$93:$E$146,$B39,MAP!AE$93:AE$146)</f>
        <v>0</v>
      </c>
      <c r="AM39" s="51">
        <f>SUMIF(MAP!$E$93:$E$146,$B39,MAP!AF$93:AF$146)</f>
        <v>0</v>
      </c>
      <c r="AN39" s="51">
        <f>SUMIF(MAP!$E$93:$E$146,$B39,MAP!AG$93:AG$146)</f>
        <v>0</v>
      </c>
      <c r="AO39" s="51">
        <f>SUMIF(MAP!$E$93:$E$146,$B39,MAP!AH$93:AH$146)</f>
        <v>0</v>
      </c>
      <c r="AP39" s="51">
        <f>SUMIF(MAP!$E$93:$E$146,$B39,MAP!AI$93:AI$146)</f>
        <v>0</v>
      </c>
      <c r="AQ39" s="51">
        <f>SUMIF(MAP!$E$93:$E$146,$B39,MAP!AJ$93:AJ$146)</f>
        <v>0</v>
      </c>
      <c r="AR39" s="51">
        <f>SUMIF(MAP!$E$93:$E$146,$B39,MAP!AK$93:AK$146)</f>
        <v>0</v>
      </c>
      <c r="AS39" s="51">
        <f>SUMIF(MAP!$E$93:$E$146,$B39,MAP!AL$93:AL$146)</f>
        <v>0</v>
      </c>
      <c r="AT39" s="51">
        <f>SUMIF(MAP!$E$93:$E$146,$B39,MAP!AM$93:AM$146)</f>
        <v>0</v>
      </c>
      <c r="AU39" s="51">
        <f>SUMIF(MAP!$E$93:$E$146,$B39,MAP!AN$93:AN$146)</f>
        <v>0</v>
      </c>
      <c r="AV39" s="51">
        <f>SUMIF(MAP!$E$93:$E$146,$B39,MAP!AO$93:AO$146)</f>
        <v>0</v>
      </c>
      <c r="AW39" s="51">
        <f>SUMIF(MAP!$E$93:$E$146,$B39,MAP!AP$93:AP$146)</f>
        <v>0</v>
      </c>
      <c r="AX39" s="51">
        <f>SUMIF(MAP!$E$93:$E$146,$B39,MAP!AQ$93:AQ$146)</f>
        <v>0</v>
      </c>
      <c r="CE39" s="742"/>
      <c r="CF39" s="51">
        <f t="shared" si="0"/>
        <v>0</v>
      </c>
      <c r="CG39" s="51">
        <f t="shared" si="1"/>
        <v>0</v>
      </c>
      <c r="CH39" s="51">
        <f t="shared" si="2"/>
        <v>0</v>
      </c>
      <c r="CI39" s="51">
        <f t="shared" si="3"/>
        <v>0</v>
      </c>
      <c r="CJ39" s="51">
        <f t="shared" si="4"/>
        <v>0</v>
      </c>
      <c r="CK39" s="51">
        <f t="shared" si="5"/>
        <v>0</v>
      </c>
      <c r="CL39" s="51">
        <f t="shared" si="6"/>
        <v>0</v>
      </c>
      <c r="CM39" s="51">
        <f t="shared" si="7"/>
        <v>0</v>
      </c>
    </row>
    <row r="40" spans="1:91" x14ac:dyDescent="0.25">
      <c r="B40" s="51" t="s">
        <v>99</v>
      </c>
      <c r="D40" s="51">
        <f>SUMIF(MAP!$E$93:$E$146,$B40,MAP!T$93:T$146)</f>
        <v>0</v>
      </c>
      <c r="F40" s="51">
        <f>SUMIF(MAP!$E$93:$E$146,$B40,MAP!N$93:N$146)</f>
        <v>0</v>
      </c>
      <c r="M40" s="727">
        <v>0</v>
      </c>
      <c r="O40" s="727">
        <v>0</v>
      </c>
      <c r="Q40" s="51">
        <f>SUMIF(MAP!$E$93:$E$146,$B40,MAP!U$93:U$146)</f>
        <v>0</v>
      </c>
      <c r="S40" s="51">
        <f>SUMIF(MAP!$E$93:$E$146,$B40,MAP!BD$93:BD$146)</f>
        <v>0</v>
      </c>
      <c r="U40" s="51">
        <f>SUMIF(MAP!$E$93:$E$146,$B40,MAP!N$93:N$146)</f>
        <v>0</v>
      </c>
      <c r="AA40" s="51">
        <f>SUMIF(MAP!$E$93:$E$146,$B40,MAP!T$93:T$146)</f>
        <v>0</v>
      </c>
      <c r="AD40" s="51">
        <f>SUMIF(MAP!$E$93:$E$146,$B40,MAP!W$93:W$146)</f>
        <v>0</v>
      </c>
      <c r="AE40" s="51">
        <f>SUMIF(MAP!$E$93:$E$146,$B40,MAP!X$93:X$146)</f>
        <v>0</v>
      </c>
      <c r="AF40" s="51">
        <f>SUMIF(MAP!$E$93:$E$146,$B40,MAP!Y$93:Y$146)</f>
        <v>0</v>
      </c>
      <c r="AG40" s="51">
        <f>SUMIF(MAP!$E$93:$E$146,$B40,MAP!Z$93:Z$146)</f>
        <v>0</v>
      </c>
      <c r="AH40" s="51">
        <f>SUMIF(MAP!$E$93:$E$146,$B40,MAP!AA$93:AA$146)</f>
        <v>0</v>
      </c>
      <c r="AI40" s="51">
        <f>SUMIF(MAP!$E$93:$E$146,$B40,MAP!AB$93:AB$146)</f>
        <v>0</v>
      </c>
      <c r="AJ40" s="51">
        <f>SUMIF(MAP!$E$93:$E$146,$B40,MAP!AC$93:AC$146)</f>
        <v>0</v>
      </c>
      <c r="AK40" s="51">
        <f>SUMIF(MAP!$E$93:$E$146,$B40,MAP!AD$93:AD$146)</f>
        <v>0</v>
      </c>
      <c r="AL40" s="51">
        <f>SUMIF(MAP!$E$93:$E$146,$B40,MAP!AE$93:AE$146)</f>
        <v>0</v>
      </c>
      <c r="AM40" s="51">
        <f>SUMIF(MAP!$E$93:$E$146,$B40,MAP!AF$93:AF$146)</f>
        <v>0</v>
      </c>
      <c r="AN40" s="51">
        <f>SUMIF(MAP!$E$93:$E$146,$B40,MAP!AG$93:AG$146)</f>
        <v>0</v>
      </c>
      <c r="AO40" s="51">
        <f>SUMIF(MAP!$E$93:$E$146,$B40,MAP!AH$93:AH$146)</f>
        <v>0</v>
      </c>
      <c r="AP40" s="51">
        <f>SUMIF(MAP!$E$93:$E$146,$B40,MAP!AI$93:AI$146)</f>
        <v>0</v>
      </c>
      <c r="AQ40" s="51">
        <f>SUMIF(MAP!$E$93:$E$146,$B40,MAP!AJ$93:AJ$146)</f>
        <v>0</v>
      </c>
      <c r="AR40" s="51">
        <f>SUMIF(MAP!$E$93:$E$146,$B40,MAP!AK$93:AK$146)</f>
        <v>0</v>
      </c>
      <c r="AS40" s="51">
        <f>SUMIF(MAP!$E$93:$E$146,$B40,MAP!AL$93:AL$146)</f>
        <v>0</v>
      </c>
      <c r="AT40" s="51">
        <f>SUMIF(MAP!$E$93:$E$146,$B40,MAP!AM$93:AM$146)</f>
        <v>0</v>
      </c>
      <c r="AU40" s="51">
        <f>SUMIF(MAP!$E$93:$E$146,$B40,MAP!AN$93:AN$146)</f>
        <v>0</v>
      </c>
      <c r="AV40" s="51">
        <f>SUMIF(MAP!$E$93:$E$146,$B40,MAP!AO$93:AO$146)</f>
        <v>0</v>
      </c>
      <c r="AW40" s="51">
        <f>SUMIF(MAP!$E$93:$E$146,$B40,MAP!AP$93:AP$146)</f>
        <v>0</v>
      </c>
      <c r="AX40" s="51">
        <f>SUMIF(MAP!$E$93:$E$146,$B40,MAP!AQ$93:AQ$146)</f>
        <v>0</v>
      </c>
      <c r="CE40" s="742"/>
      <c r="CF40" s="51">
        <f t="shared" si="0"/>
        <v>0</v>
      </c>
      <c r="CG40" s="51">
        <f t="shared" si="1"/>
        <v>0</v>
      </c>
      <c r="CH40" s="51">
        <f t="shared" si="2"/>
        <v>0</v>
      </c>
      <c r="CI40" s="51">
        <f t="shared" si="3"/>
        <v>0</v>
      </c>
      <c r="CJ40" s="51">
        <f t="shared" si="4"/>
        <v>0</v>
      </c>
      <c r="CK40" s="51">
        <f t="shared" si="5"/>
        <v>0</v>
      </c>
      <c r="CL40" s="51">
        <f t="shared" si="6"/>
        <v>0</v>
      </c>
      <c r="CM40" s="51">
        <f t="shared" si="7"/>
        <v>0</v>
      </c>
    </row>
    <row r="41" spans="1:91" x14ac:dyDescent="0.25">
      <c r="B41" s="51" t="s">
        <v>758</v>
      </c>
      <c r="D41" s="51">
        <f>SUMIF(MAP!$E$93:$E$146,$B41,MAP!T$93:T$146)</f>
        <v>0</v>
      </c>
      <c r="F41" s="51">
        <f>SUMIF(MAP!$E$93:$E$146,$B41,MAP!N$93:N$146)</f>
        <v>0</v>
      </c>
      <c r="M41" s="727">
        <v>0</v>
      </c>
      <c r="O41" s="727">
        <v>0</v>
      </c>
      <c r="Q41" s="51">
        <f>SUMIF(MAP!$E$93:$E$146,$B41,MAP!U$93:U$146)</f>
        <v>0</v>
      </c>
      <c r="S41" s="51">
        <f>SUMIF(MAP!$E$93:$E$146,$B41,MAP!BD$93:BD$146)</f>
        <v>0</v>
      </c>
      <c r="U41" s="51">
        <f>SUMIF(MAP!$E$93:$E$146,$B41,MAP!N$93:N$146)</f>
        <v>0</v>
      </c>
      <c r="AA41" s="51">
        <f>SUMIF(MAP!$E$93:$E$146,$B41,MAP!T$93:T$146)</f>
        <v>0</v>
      </c>
      <c r="AD41" s="51">
        <f>SUMIF(MAP!$E$93:$E$146,$B41,MAP!W$93:W$146)</f>
        <v>0</v>
      </c>
      <c r="AE41" s="51">
        <f>SUMIF(MAP!$E$93:$E$146,$B41,MAP!X$93:X$146)</f>
        <v>0</v>
      </c>
      <c r="AF41" s="51">
        <f>SUMIF(MAP!$E$93:$E$146,$B41,MAP!Y$93:Y$146)</f>
        <v>0</v>
      </c>
      <c r="AG41" s="51">
        <f>SUMIF(MAP!$E$93:$E$146,$B41,MAP!Z$93:Z$146)</f>
        <v>0</v>
      </c>
      <c r="AH41" s="51">
        <f>SUMIF(MAP!$E$93:$E$146,$B41,MAP!AA$93:AA$146)</f>
        <v>0</v>
      </c>
      <c r="AI41" s="51">
        <f>SUMIF(MAP!$E$93:$E$146,$B41,MAP!AB$93:AB$146)</f>
        <v>0</v>
      </c>
      <c r="AJ41" s="51">
        <f>SUMIF(MAP!$E$93:$E$146,$B41,MAP!AC$93:AC$146)</f>
        <v>0</v>
      </c>
      <c r="AK41" s="51">
        <f>SUMIF(MAP!$E$93:$E$146,$B41,MAP!AD$93:AD$146)</f>
        <v>0</v>
      </c>
      <c r="AL41" s="51">
        <f>SUMIF(MAP!$E$93:$E$146,$B41,MAP!AE$93:AE$146)</f>
        <v>0</v>
      </c>
      <c r="AM41" s="51">
        <f>SUMIF(MAP!$E$93:$E$146,$B41,MAP!AF$93:AF$146)</f>
        <v>0</v>
      </c>
      <c r="AN41" s="51">
        <f>SUMIF(MAP!$E$93:$E$146,$B41,MAP!AG$93:AG$146)</f>
        <v>0</v>
      </c>
      <c r="AO41" s="51">
        <f>SUMIF(MAP!$E$93:$E$146,$B41,MAP!AH$93:AH$146)</f>
        <v>0</v>
      </c>
      <c r="AP41" s="51">
        <f>SUMIF(MAP!$E$93:$E$146,$B41,MAP!AI$93:AI$146)</f>
        <v>0</v>
      </c>
      <c r="AQ41" s="51">
        <f>SUMIF(MAP!$E$93:$E$146,$B41,MAP!AJ$93:AJ$146)</f>
        <v>0</v>
      </c>
      <c r="AR41" s="51">
        <f>SUMIF(MAP!$E$93:$E$146,$B41,MAP!AK$93:AK$146)</f>
        <v>0</v>
      </c>
      <c r="AS41" s="51">
        <f>SUMIF(MAP!$E$93:$E$146,$B41,MAP!AL$93:AL$146)</f>
        <v>0</v>
      </c>
      <c r="AT41" s="51">
        <f>SUMIF(MAP!$E$93:$E$146,$B41,MAP!AM$93:AM$146)</f>
        <v>0</v>
      </c>
      <c r="AU41" s="51">
        <f>SUMIF(MAP!$E$93:$E$146,$B41,MAP!AN$93:AN$146)</f>
        <v>0</v>
      </c>
      <c r="AV41" s="51">
        <f>SUMIF(MAP!$E$93:$E$146,$B41,MAP!AO$93:AO$146)</f>
        <v>0</v>
      </c>
      <c r="AW41" s="51">
        <f>SUMIF(MAP!$E$93:$E$146,$B41,MAP!AP$93:AP$146)</f>
        <v>0</v>
      </c>
      <c r="AX41" s="51">
        <f>SUMIF(MAP!$E$93:$E$146,$B41,MAP!AQ$93:AQ$146)</f>
        <v>0</v>
      </c>
      <c r="CE41" s="742"/>
      <c r="CF41" s="51">
        <f t="shared" si="0"/>
        <v>0</v>
      </c>
      <c r="CG41" s="51">
        <f t="shared" si="1"/>
        <v>0</v>
      </c>
      <c r="CH41" s="51">
        <f t="shared" si="2"/>
        <v>0</v>
      </c>
      <c r="CI41" s="51">
        <f t="shared" si="3"/>
        <v>0</v>
      </c>
      <c r="CJ41" s="51">
        <f t="shared" si="4"/>
        <v>0</v>
      </c>
      <c r="CK41" s="51">
        <f t="shared" si="5"/>
        <v>0</v>
      </c>
      <c r="CL41" s="51">
        <f t="shared" si="6"/>
        <v>0</v>
      </c>
      <c r="CM41" s="51">
        <f t="shared" si="7"/>
        <v>0</v>
      </c>
    </row>
    <row r="42" spans="1:91" x14ac:dyDescent="0.25">
      <c r="B42" s="51" t="s">
        <v>100</v>
      </c>
      <c r="C42" s="206">
        <v>9</v>
      </c>
      <c r="D42" s="51">
        <f>SUMIF(MAP!$E$93:$E$146,$B42,MAP!T$93:T$146)</f>
        <v>0</v>
      </c>
      <c r="F42" s="51">
        <f>SUMIF(MAP!$E$93:$E$146,$B42,MAP!N$93:N$146)</f>
        <v>0</v>
      </c>
      <c r="M42" s="727">
        <v>0</v>
      </c>
      <c r="O42" s="727">
        <v>0</v>
      </c>
      <c r="Q42" s="51">
        <f>SUMIF(MAP!$E$93:$E$146,$B42,MAP!U$93:U$146)</f>
        <v>0</v>
      </c>
      <c r="S42" s="51">
        <f>SUMIF(MAP!$E$93:$E$146,$B42,MAP!BD$93:BD$146)</f>
        <v>0</v>
      </c>
      <c r="U42" s="51">
        <f>SUMIF(MAP!$E$93:$E$146,$B42,MAP!N$93:N$146)</f>
        <v>0</v>
      </c>
      <c r="AA42" s="51">
        <f>SUMIF(MAP!$E$93:$E$146,$B42,MAP!T$93:T$146)</f>
        <v>0</v>
      </c>
      <c r="AD42" s="51">
        <f>SUMIF(MAP!$E$93:$E$146,$B42,MAP!W$93:W$146)</f>
        <v>0</v>
      </c>
      <c r="AE42" s="51">
        <f>SUMIF(MAP!$E$93:$E$146,$B42,MAP!X$93:X$146)</f>
        <v>0</v>
      </c>
      <c r="AF42" s="51">
        <f>SUMIF(MAP!$E$93:$E$146,$B42,MAP!Y$93:Y$146)</f>
        <v>0</v>
      </c>
      <c r="AG42" s="51">
        <f>SUMIF(MAP!$E$93:$E$146,$B42,MAP!Z$93:Z$146)</f>
        <v>0</v>
      </c>
      <c r="AH42" s="51">
        <f>SUMIF(MAP!$E$93:$E$146,$B42,MAP!AA$93:AA$146)</f>
        <v>0</v>
      </c>
      <c r="AI42" s="51">
        <f>SUMIF(MAP!$E$93:$E$146,$B42,MAP!AB$93:AB$146)</f>
        <v>0</v>
      </c>
      <c r="AJ42" s="51">
        <f>SUMIF(MAP!$E$93:$E$146,$B42,MAP!AC$93:AC$146)</f>
        <v>0</v>
      </c>
      <c r="AK42" s="51">
        <f>SUMIF(MAP!$E$93:$E$146,$B42,MAP!AD$93:AD$146)</f>
        <v>0</v>
      </c>
      <c r="AL42" s="51">
        <f>SUMIF(MAP!$E$93:$E$146,$B42,MAP!AE$93:AE$146)</f>
        <v>0</v>
      </c>
      <c r="AM42" s="51">
        <f>SUMIF(MAP!$E$93:$E$146,$B42,MAP!AF$93:AF$146)</f>
        <v>0</v>
      </c>
      <c r="AN42" s="51">
        <f>SUMIF(MAP!$E$93:$E$146,$B42,MAP!AG$93:AG$146)</f>
        <v>0</v>
      </c>
      <c r="AO42" s="51">
        <f>SUMIF(MAP!$E$93:$E$146,$B42,MAP!AH$93:AH$146)</f>
        <v>0</v>
      </c>
      <c r="AP42" s="51">
        <f>SUMIF(MAP!$E$93:$E$146,$B42,MAP!AI$93:AI$146)</f>
        <v>0</v>
      </c>
      <c r="AQ42" s="51">
        <f>SUMIF(MAP!$E$93:$E$146,$B42,MAP!AJ$93:AJ$146)</f>
        <v>0</v>
      </c>
      <c r="AR42" s="51">
        <f>SUMIF(MAP!$E$93:$E$146,$B42,MAP!AK$93:AK$146)</f>
        <v>0</v>
      </c>
      <c r="AS42" s="51">
        <f>SUMIF(MAP!$E$93:$E$146,$B42,MAP!AL$93:AL$146)</f>
        <v>0</v>
      </c>
      <c r="AT42" s="51">
        <f>SUMIF(MAP!$E$93:$E$146,$B42,MAP!AM$93:AM$146)</f>
        <v>0</v>
      </c>
      <c r="AU42" s="51">
        <f>SUMIF(MAP!$E$93:$E$146,$B42,MAP!AN$93:AN$146)</f>
        <v>0</v>
      </c>
      <c r="AV42" s="51">
        <f>SUMIF(MAP!$E$93:$E$146,$B42,MAP!AO$93:AO$146)</f>
        <v>0</v>
      </c>
      <c r="AW42" s="51">
        <f>SUMIF(MAP!$E$93:$E$146,$B42,MAP!AP$93:AP$146)</f>
        <v>0</v>
      </c>
      <c r="AX42" s="51">
        <f>SUMIF(MAP!$E$93:$E$146,$B42,MAP!AQ$93:AQ$146)</f>
        <v>0</v>
      </c>
      <c r="CE42" s="742"/>
      <c r="CF42" s="51">
        <f t="shared" si="0"/>
        <v>0</v>
      </c>
      <c r="CG42" s="51">
        <f t="shared" si="1"/>
        <v>0</v>
      </c>
      <c r="CH42" s="51">
        <f t="shared" si="2"/>
        <v>0</v>
      </c>
      <c r="CI42" s="51">
        <f t="shared" si="3"/>
        <v>0</v>
      </c>
      <c r="CJ42" s="51">
        <f t="shared" si="4"/>
        <v>0</v>
      </c>
      <c r="CK42" s="51">
        <f t="shared" si="5"/>
        <v>0</v>
      </c>
      <c r="CL42" s="51">
        <f t="shared" si="6"/>
        <v>0</v>
      </c>
      <c r="CM42" s="51">
        <f t="shared" si="7"/>
        <v>0</v>
      </c>
    </row>
    <row r="43" spans="1:91" x14ac:dyDescent="0.25">
      <c r="B43" s="51" t="s">
        <v>360</v>
      </c>
      <c r="D43" s="51">
        <f>SUMIF(MAP!$E$93:$E$146,$B43,MAP!T$93:T$146)</f>
        <v>0</v>
      </c>
      <c r="F43" s="51">
        <f>SUMIF(MAP!$E$93:$E$146,$B43,MAP!N$93:N$146)</f>
        <v>0</v>
      </c>
      <c r="M43" s="727">
        <v>0</v>
      </c>
      <c r="O43" s="727">
        <v>4100</v>
      </c>
      <c r="Q43" s="51">
        <f>SUMIF(MAP!$E$93:$E$146,$B43,MAP!U$93:U$146)</f>
        <v>0</v>
      </c>
      <c r="S43" s="51">
        <f>SUMIF(MAP!$E$93:$E$146,$B43,MAP!BD$93:BD$146)</f>
        <v>0</v>
      </c>
      <c r="U43" s="51">
        <f>SUMIF(MAP!$E$93:$E$146,$B43,MAP!N$93:N$146)</f>
        <v>0</v>
      </c>
      <c r="AA43" s="51">
        <f>SUMIF(MAP!$E$93:$E$146,$B43,MAP!T$93:T$146)</f>
        <v>0</v>
      </c>
      <c r="AD43" s="51">
        <f>SUMIF(MAP!$E$93:$E$146,$B43,MAP!W$93:W$146)</f>
        <v>0</v>
      </c>
      <c r="AE43" s="51">
        <f>SUMIF(MAP!$E$93:$E$146,$B43,MAP!X$93:X$146)</f>
        <v>0</v>
      </c>
      <c r="AF43" s="51">
        <f>SUMIF(MAP!$E$93:$E$146,$B43,MAP!Y$93:Y$146)</f>
        <v>0</v>
      </c>
      <c r="AG43" s="51">
        <f>SUMIF(MAP!$E$93:$E$146,$B43,MAP!Z$93:Z$146)</f>
        <v>0</v>
      </c>
      <c r="AH43" s="51">
        <f>SUMIF(MAP!$E$93:$E$146,$B43,MAP!AA$93:AA$146)</f>
        <v>0</v>
      </c>
      <c r="AI43" s="51">
        <f>SUMIF(MAP!$E$93:$E$146,$B43,MAP!AB$93:AB$146)</f>
        <v>0</v>
      </c>
      <c r="AJ43" s="51">
        <f>SUMIF(MAP!$E$93:$E$146,$B43,MAP!AC$93:AC$146)</f>
        <v>0</v>
      </c>
      <c r="AK43" s="51">
        <f>SUMIF(MAP!$E$93:$E$146,$B43,MAP!AD$93:AD$146)</f>
        <v>0</v>
      </c>
      <c r="AL43" s="51">
        <f>SUMIF(MAP!$E$93:$E$146,$B43,MAP!AE$93:AE$146)</f>
        <v>0</v>
      </c>
      <c r="AM43" s="51">
        <f>SUMIF(MAP!$E$93:$E$146,$B43,MAP!AF$93:AF$146)</f>
        <v>0</v>
      </c>
      <c r="AN43" s="51">
        <f>SUMIF(MAP!$E$93:$E$146,$B43,MAP!AG$93:AG$146)</f>
        <v>0</v>
      </c>
      <c r="AO43" s="51">
        <f>SUMIF(MAP!$E$93:$E$146,$B43,MAP!AH$93:AH$146)</f>
        <v>0</v>
      </c>
      <c r="AP43" s="51">
        <f>SUMIF(MAP!$E$93:$E$146,$B43,MAP!AI$93:AI$146)</f>
        <v>0</v>
      </c>
      <c r="AQ43" s="51">
        <f>SUMIF(MAP!$E$93:$E$146,$B43,MAP!AJ$93:AJ$146)</f>
        <v>0</v>
      </c>
      <c r="AR43" s="51">
        <f>SUMIF(MAP!$E$93:$E$146,$B43,MAP!AK$93:AK$146)</f>
        <v>0</v>
      </c>
      <c r="AS43" s="51">
        <f>SUMIF(MAP!$E$93:$E$146,$B43,MAP!AL$93:AL$146)</f>
        <v>0</v>
      </c>
      <c r="AT43" s="51">
        <f>SUMIF(MAP!$E$93:$E$146,$B43,MAP!AM$93:AM$146)</f>
        <v>0</v>
      </c>
      <c r="AU43" s="51">
        <f>SUMIF(MAP!$E$93:$E$146,$B43,MAP!AN$93:AN$146)</f>
        <v>0</v>
      </c>
      <c r="AV43" s="51">
        <f>SUMIF(MAP!$E$93:$E$146,$B43,MAP!AO$93:AO$146)</f>
        <v>0</v>
      </c>
      <c r="AW43" s="51">
        <f>SUMIF(MAP!$E$93:$E$146,$B43,MAP!AP$93:AP$146)</f>
        <v>0</v>
      </c>
      <c r="AX43" s="51">
        <f>SUMIF(MAP!$E$93:$E$146,$B43,MAP!AQ$93:AQ$146)</f>
        <v>0</v>
      </c>
      <c r="CE43" s="742"/>
      <c r="CF43" s="51">
        <f t="shared" si="0"/>
        <v>0</v>
      </c>
      <c r="CG43" s="51">
        <f t="shared" si="1"/>
        <v>0</v>
      </c>
      <c r="CH43" s="51">
        <f t="shared" si="2"/>
        <v>0</v>
      </c>
      <c r="CI43" s="51">
        <f t="shared" si="3"/>
        <v>0</v>
      </c>
      <c r="CJ43" s="51">
        <f t="shared" si="4"/>
        <v>0</v>
      </c>
      <c r="CK43" s="51">
        <f t="shared" si="5"/>
        <v>0</v>
      </c>
      <c r="CL43" s="51">
        <f t="shared" si="6"/>
        <v>0</v>
      </c>
      <c r="CM43" s="51">
        <f t="shared" si="7"/>
        <v>0</v>
      </c>
    </row>
    <row r="44" spans="1:91" x14ac:dyDescent="0.25">
      <c r="B44" s="51" t="s">
        <v>361</v>
      </c>
      <c r="D44" s="51">
        <f>SUMIF(MAP!$E$93:$E$146,$B44,MAP!T$93:T$146)</f>
        <v>0</v>
      </c>
      <c r="F44" s="51">
        <f>SUMIF(MAP!$E$93:$E$146,$B44,MAP!N$93:N$146)</f>
        <v>0</v>
      </c>
      <c r="M44" s="727">
        <v>0</v>
      </c>
      <c r="O44" s="727">
        <v>-182</v>
      </c>
      <c r="Q44" s="51">
        <f>SUMIF(MAP!$E$93:$E$146,$B44,MAP!U$93:U$146)</f>
        <v>0</v>
      </c>
      <c r="S44" s="51">
        <f>SUMIF(MAP!$E$93:$E$146,$B44,MAP!BD$93:BD$146)</f>
        <v>0</v>
      </c>
      <c r="U44" s="51">
        <f>SUMIF(MAP!$E$93:$E$146,$B44,MAP!N$93:N$146)</f>
        <v>0</v>
      </c>
      <c r="AA44" s="51">
        <f>SUMIF(MAP!$E$93:$E$146,$B44,MAP!T$93:T$146)</f>
        <v>0</v>
      </c>
      <c r="AD44" s="51">
        <f>SUMIF(MAP!$E$93:$E$146,$B44,MAP!W$93:W$146)</f>
        <v>0</v>
      </c>
      <c r="AE44" s="51">
        <f>SUMIF(MAP!$E$93:$E$146,$B44,MAP!X$93:X$146)</f>
        <v>0</v>
      </c>
      <c r="AF44" s="51">
        <f>SUMIF(MAP!$E$93:$E$146,$B44,MAP!Y$93:Y$146)</f>
        <v>0</v>
      </c>
      <c r="AG44" s="51">
        <f>SUMIF(MAP!$E$93:$E$146,$B44,MAP!Z$93:Z$146)</f>
        <v>0</v>
      </c>
      <c r="AH44" s="51">
        <f>SUMIF(MAP!$E$93:$E$146,$B44,MAP!AA$93:AA$146)</f>
        <v>0</v>
      </c>
      <c r="AI44" s="51">
        <f>SUMIF(MAP!$E$93:$E$146,$B44,MAP!AB$93:AB$146)</f>
        <v>0</v>
      </c>
      <c r="AJ44" s="51">
        <f>SUMIF(MAP!$E$93:$E$146,$B44,MAP!AC$93:AC$146)</f>
        <v>0</v>
      </c>
      <c r="AK44" s="51">
        <f>SUMIF(MAP!$E$93:$E$146,$B44,MAP!AD$93:AD$146)</f>
        <v>0</v>
      </c>
      <c r="AL44" s="51">
        <f>SUMIF(MAP!$E$93:$E$146,$B44,MAP!AE$93:AE$146)</f>
        <v>0</v>
      </c>
      <c r="AM44" s="51">
        <f>SUMIF(MAP!$E$93:$E$146,$B44,MAP!AF$93:AF$146)</f>
        <v>0</v>
      </c>
      <c r="AN44" s="51">
        <f>SUMIF(MAP!$E$93:$E$146,$B44,MAP!AG$93:AG$146)</f>
        <v>0</v>
      </c>
      <c r="AO44" s="51">
        <f>SUMIF(MAP!$E$93:$E$146,$B44,MAP!AH$93:AH$146)</f>
        <v>0</v>
      </c>
      <c r="AP44" s="51">
        <f>SUMIF(MAP!$E$93:$E$146,$B44,MAP!AI$93:AI$146)</f>
        <v>0</v>
      </c>
      <c r="AQ44" s="51">
        <f>SUMIF(MAP!$E$93:$E$146,$B44,MAP!AJ$93:AJ$146)</f>
        <v>0</v>
      </c>
      <c r="AR44" s="51">
        <f>SUMIF(MAP!$E$93:$E$146,$B44,MAP!AK$93:AK$146)</f>
        <v>0</v>
      </c>
      <c r="AS44" s="51">
        <f>SUMIF(MAP!$E$93:$E$146,$B44,MAP!AL$93:AL$146)</f>
        <v>0</v>
      </c>
      <c r="AT44" s="51">
        <f>SUMIF(MAP!$E$93:$E$146,$B44,MAP!AM$93:AM$146)</f>
        <v>0</v>
      </c>
      <c r="AU44" s="51">
        <f>SUMIF(MAP!$E$93:$E$146,$B44,MAP!AN$93:AN$146)</f>
        <v>0</v>
      </c>
      <c r="AV44" s="51">
        <f>SUMIF(MAP!$E$93:$E$146,$B44,MAP!AO$93:AO$146)</f>
        <v>0</v>
      </c>
      <c r="AW44" s="51">
        <f>SUMIF(MAP!$E$93:$E$146,$B44,MAP!AP$93:AP$146)</f>
        <v>0</v>
      </c>
      <c r="AX44" s="51">
        <f>SUMIF(MAP!$E$93:$E$146,$B44,MAP!AQ$93:AQ$146)</f>
        <v>0</v>
      </c>
      <c r="CE44" s="742"/>
      <c r="CF44" s="51">
        <f t="shared" si="0"/>
        <v>0</v>
      </c>
      <c r="CG44" s="51">
        <f t="shared" si="1"/>
        <v>0</v>
      </c>
      <c r="CH44" s="51">
        <f t="shared" si="2"/>
        <v>0</v>
      </c>
      <c r="CI44" s="51">
        <f t="shared" si="3"/>
        <v>0</v>
      </c>
      <c r="CJ44" s="51">
        <f t="shared" si="4"/>
        <v>0</v>
      </c>
      <c r="CK44" s="51">
        <f t="shared" si="5"/>
        <v>0</v>
      </c>
      <c r="CL44" s="51">
        <f t="shared" si="6"/>
        <v>0</v>
      </c>
      <c r="CM44" s="51">
        <f t="shared" si="7"/>
        <v>0</v>
      </c>
    </row>
    <row r="45" spans="1:91" x14ac:dyDescent="0.25">
      <c r="B45" s="51" t="s">
        <v>101</v>
      </c>
      <c r="C45" s="206">
        <v>5</v>
      </c>
      <c r="D45" s="51">
        <f>SUMIF(MAP!$E$93:$E$146,$B45,MAP!T$93:T$146)</f>
        <v>0</v>
      </c>
      <c r="F45" s="51">
        <f>SUMIF(MAP!$E$93:$E$146,$B45,MAP!N$93:N$146)</f>
        <v>0</v>
      </c>
      <c r="M45" s="727">
        <v>0</v>
      </c>
      <c r="O45" s="727">
        <v>0</v>
      </c>
      <c r="Q45" s="51">
        <f>SUMIF(MAP!$E$93:$E$146,$B45,MAP!U$93:U$146)</f>
        <v>0</v>
      </c>
      <c r="S45" s="51">
        <f>SUMIF(MAP!$E$93:$E$146,$B45,MAP!BD$93:BD$146)</f>
        <v>0</v>
      </c>
      <c r="U45" s="51">
        <f>SUMIF(MAP!$E$93:$E$146,$B45,MAP!N$93:N$146)</f>
        <v>0</v>
      </c>
      <c r="AA45" s="51">
        <f>SUMIF(MAP!$E$93:$E$146,$B45,MAP!T$93:T$146)</f>
        <v>0</v>
      </c>
      <c r="AD45" s="51">
        <f>SUMIF(MAP!$E$93:$E$146,$B45,MAP!W$93:W$146)</f>
        <v>0</v>
      </c>
      <c r="AE45" s="51">
        <f>SUMIF(MAP!$E$93:$E$146,$B45,MAP!X$93:X$146)</f>
        <v>0</v>
      </c>
      <c r="AF45" s="51">
        <f>SUMIF(MAP!$E$93:$E$146,$B45,MAP!Y$93:Y$146)</f>
        <v>0</v>
      </c>
      <c r="AG45" s="51">
        <f>SUMIF(MAP!$E$93:$E$146,$B45,MAP!Z$93:Z$146)</f>
        <v>0</v>
      </c>
      <c r="AH45" s="51">
        <f>SUMIF(MAP!$E$93:$E$146,$B45,MAP!AA$93:AA$146)</f>
        <v>0</v>
      </c>
      <c r="AI45" s="51">
        <f>SUMIF(MAP!$E$93:$E$146,$B45,MAP!AB$93:AB$146)</f>
        <v>0</v>
      </c>
      <c r="AJ45" s="51">
        <f>SUMIF(MAP!$E$93:$E$146,$B45,MAP!AC$93:AC$146)</f>
        <v>0</v>
      </c>
      <c r="AK45" s="51">
        <f>SUMIF(MAP!$E$93:$E$146,$B45,MAP!AD$93:AD$146)</f>
        <v>0</v>
      </c>
      <c r="AL45" s="51">
        <f>SUMIF(MAP!$E$93:$E$146,$B45,MAP!AE$93:AE$146)</f>
        <v>0</v>
      </c>
      <c r="AM45" s="51">
        <f>SUMIF(MAP!$E$93:$E$146,$B45,MAP!AF$93:AF$146)</f>
        <v>0</v>
      </c>
      <c r="AN45" s="51">
        <f>SUMIF(MAP!$E$93:$E$146,$B45,MAP!AG$93:AG$146)</f>
        <v>0</v>
      </c>
      <c r="AO45" s="51">
        <f>SUMIF(MAP!$E$93:$E$146,$B45,MAP!AH$93:AH$146)</f>
        <v>0</v>
      </c>
      <c r="AP45" s="51">
        <f>SUMIF(MAP!$E$93:$E$146,$B45,MAP!AI$93:AI$146)</f>
        <v>0</v>
      </c>
      <c r="AQ45" s="51">
        <f>SUMIF(MAP!$E$93:$E$146,$B45,MAP!AJ$93:AJ$146)</f>
        <v>0</v>
      </c>
      <c r="AR45" s="51">
        <f>SUMIF(MAP!$E$93:$E$146,$B45,MAP!AK$93:AK$146)</f>
        <v>0</v>
      </c>
      <c r="AS45" s="51">
        <f>SUMIF(MAP!$E$93:$E$146,$B45,MAP!AL$93:AL$146)</f>
        <v>0</v>
      </c>
      <c r="AT45" s="51">
        <f>SUMIF(MAP!$E$93:$E$146,$B45,MAP!AM$93:AM$146)</f>
        <v>0</v>
      </c>
      <c r="AU45" s="51">
        <f>SUMIF(MAP!$E$93:$E$146,$B45,MAP!AN$93:AN$146)</f>
        <v>0</v>
      </c>
      <c r="AV45" s="51">
        <f>SUMIF(MAP!$E$93:$E$146,$B45,MAP!AO$93:AO$146)</f>
        <v>0</v>
      </c>
      <c r="AW45" s="51">
        <f>SUMIF(MAP!$E$93:$E$146,$B45,MAP!AP$93:AP$146)</f>
        <v>0</v>
      </c>
      <c r="AX45" s="51">
        <f>SUMIF(MAP!$E$93:$E$146,$B45,MAP!AQ$93:AQ$146)</f>
        <v>0</v>
      </c>
      <c r="CE45" s="742"/>
      <c r="CF45" s="51">
        <f t="shared" si="0"/>
        <v>0</v>
      </c>
      <c r="CG45" s="51">
        <f t="shared" si="1"/>
        <v>0</v>
      </c>
      <c r="CH45" s="51">
        <f t="shared" si="2"/>
        <v>0</v>
      </c>
      <c r="CI45" s="51">
        <f t="shared" si="3"/>
        <v>0</v>
      </c>
      <c r="CJ45" s="51">
        <f t="shared" si="4"/>
        <v>0</v>
      </c>
      <c r="CK45" s="51">
        <f t="shared" si="5"/>
        <v>0</v>
      </c>
      <c r="CL45" s="51">
        <f t="shared" si="6"/>
        <v>0</v>
      </c>
      <c r="CM45" s="51">
        <f t="shared" si="7"/>
        <v>0</v>
      </c>
    </row>
    <row r="46" spans="1:91" x14ac:dyDescent="0.25">
      <c r="B46" s="51" t="s">
        <v>1070</v>
      </c>
      <c r="D46" s="51">
        <f>SUMIF(MAP!$E$93:$E$146,$B46,MAP!T$93:T$146)</f>
        <v>0</v>
      </c>
      <c r="F46" s="51">
        <f>SUMIF(MAP!$E$93:$E$146,$B46,MAP!N$93:N$146)</f>
        <v>0</v>
      </c>
      <c r="M46" s="727">
        <v>51</v>
      </c>
      <c r="O46" s="727">
        <v>15853</v>
      </c>
      <c r="Q46" s="51">
        <f>SUMIF(MAP!$E$93:$E$146,$B46,MAP!U$93:U$146)</f>
        <v>0</v>
      </c>
      <c r="S46" s="51">
        <f>SUMIF(MAP!$E$93:$E$146,$B46,MAP!BD$93:BD$146)</f>
        <v>0</v>
      </c>
      <c r="U46" s="51">
        <f>SUMIF(MAP!$E$93:$E$146,$B46,MAP!N$93:N$146)</f>
        <v>0</v>
      </c>
      <c r="AA46" s="51">
        <f>SUMIF(MAP!$E$93:$E$146,$B46,MAP!T$93:T$146)</f>
        <v>0</v>
      </c>
      <c r="AD46" s="51">
        <f>SUMIF(MAP!$E$93:$E$146,$B46,MAP!W$93:W$146)</f>
        <v>0</v>
      </c>
      <c r="AE46" s="51">
        <f>SUMIF(MAP!$E$93:$E$146,$B46,MAP!X$93:X$146)</f>
        <v>0</v>
      </c>
      <c r="AF46" s="51">
        <f>SUMIF(MAP!$E$93:$E$146,$B46,MAP!Y$93:Y$146)</f>
        <v>0</v>
      </c>
      <c r="AG46" s="51">
        <f>SUMIF(MAP!$E$93:$E$146,$B46,MAP!Z$93:Z$146)</f>
        <v>0</v>
      </c>
      <c r="AH46" s="51">
        <f>SUMIF(MAP!$E$93:$E$146,$B46,MAP!AA$93:AA$146)</f>
        <v>0</v>
      </c>
      <c r="AI46" s="51">
        <f>SUMIF(MAP!$E$93:$E$146,$B46,MAP!AB$93:AB$146)</f>
        <v>0</v>
      </c>
      <c r="AJ46" s="51">
        <f>SUMIF(MAP!$E$93:$E$146,$B46,MAP!AC$93:AC$146)</f>
        <v>0</v>
      </c>
      <c r="AK46" s="51">
        <f>SUMIF(MAP!$E$93:$E$146,$B46,MAP!AD$93:AD$146)</f>
        <v>0</v>
      </c>
      <c r="AL46" s="51">
        <f>SUMIF(MAP!$E$93:$E$146,$B46,MAP!AE$93:AE$146)</f>
        <v>0</v>
      </c>
      <c r="AM46" s="51">
        <f>SUMIF(MAP!$E$93:$E$146,$B46,MAP!AF$93:AF$146)</f>
        <v>0</v>
      </c>
      <c r="AN46" s="51">
        <f>SUMIF(MAP!$E$93:$E$146,$B46,MAP!AG$93:AG$146)</f>
        <v>0</v>
      </c>
      <c r="AO46" s="51">
        <f>SUMIF(MAP!$E$93:$E$146,$B46,MAP!AH$93:AH$146)</f>
        <v>0</v>
      </c>
      <c r="AP46" s="51">
        <f>SUMIF(MAP!$E$93:$E$146,$B46,MAP!AI$93:AI$146)</f>
        <v>0</v>
      </c>
      <c r="AQ46" s="51">
        <f>SUMIF(MAP!$E$93:$E$146,$B46,MAP!AJ$93:AJ$146)</f>
        <v>0</v>
      </c>
      <c r="AR46" s="51">
        <f>SUMIF(MAP!$E$93:$E$146,$B46,MAP!AK$93:AK$146)</f>
        <v>0</v>
      </c>
      <c r="AS46" s="51">
        <f>SUMIF(MAP!$E$93:$E$146,$B46,MAP!AL$93:AL$146)</f>
        <v>0</v>
      </c>
      <c r="AT46" s="51">
        <f>SUMIF(MAP!$E$93:$E$146,$B46,MAP!AM$93:AM$146)</f>
        <v>0</v>
      </c>
      <c r="AU46" s="51">
        <f>SUMIF(MAP!$E$93:$E$146,$B46,MAP!AN$93:AN$146)</f>
        <v>0</v>
      </c>
      <c r="AV46" s="51">
        <f>SUMIF(MAP!$E$93:$E$146,$B46,MAP!AO$93:AO$146)</f>
        <v>0</v>
      </c>
      <c r="AW46" s="51">
        <f>SUMIF(MAP!$E$93:$E$146,$B46,MAP!AP$93:AP$146)</f>
        <v>0</v>
      </c>
      <c r="AX46" s="51">
        <f>SUMIF(MAP!$E$93:$E$146,$B46,MAP!AQ$93:AQ$146)</f>
        <v>0</v>
      </c>
      <c r="CE46" s="742"/>
      <c r="CF46" s="51">
        <f t="shared" si="0"/>
        <v>0</v>
      </c>
      <c r="CG46" s="51">
        <f t="shared" si="1"/>
        <v>0</v>
      </c>
      <c r="CH46" s="51">
        <f t="shared" si="2"/>
        <v>0</v>
      </c>
      <c r="CI46" s="51">
        <f t="shared" si="3"/>
        <v>0</v>
      </c>
      <c r="CJ46" s="51">
        <f t="shared" si="4"/>
        <v>0</v>
      </c>
      <c r="CK46" s="51">
        <f t="shared" si="5"/>
        <v>0</v>
      </c>
      <c r="CL46" s="51">
        <f t="shared" si="6"/>
        <v>0</v>
      </c>
      <c r="CM46" s="51">
        <f t="shared" si="7"/>
        <v>0</v>
      </c>
    </row>
    <row r="47" spans="1:91" x14ac:dyDescent="0.25">
      <c r="B47" s="51" t="s">
        <v>326</v>
      </c>
      <c r="C47" s="726">
        <v>9</v>
      </c>
      <c r="D47" s="51">
        <f>SUMIF(MAP!$E$93:$E$146,$B47,MAP!T$93:T$146)</f>
        <v>0</v>
      </c>
      <c r="E47" s="726"/>
      <c r="F47" s="51">
        <f>SUMIF(MAP!$E$93:$E$146,$B47,MAP!N$93:N$146)</f>
        <v>0</v>
      </c>
      <c r="G47" s="726"/>
      <c r="H47" s="726"/>
      <c r="I47" s="726"/>
      <c r="J47" s="726"/>
      <c r="K47" s="726"/>
      <c r="L47" s="726"/>
      <c r="M47" s="727">
        <v>0</v>
      </c>
      <c r="N47" s="726"/>
      <c r="O47" s="727">
        <v>0</v>
      </c>
      <c r="P47" s="726"/>
      <c r="Q47" s="51">
        <f>SUMIF(MAP!$E$93:$E$146,$B47,MAP!U$93:U$146)</f>
        <v>0</v>
      </c>
      <c r="R47" s="726"/>
      <c r="S47" s="51">
        <f>SUMIF(MAP!$E$93:$E$146,$B47,MAP!BD$93:BD$146)</f>
        <v>0</v>
      </c>
      <c r="T47" s="726"/>
      <c r="U47" s="51">
        <f>SUMIF(MAP!$E$93:$E$146,$B47,MAP!N$93:N$146)</f>
        <v>0</v>
      </c>
      <c r="AA47" s="51">
        <f>SUMIF(MAP!$E$93:$E$146,$B47,MAP!T$93:T$146)</f>
        <v>0</v>
      </c>
      <c r="AD47" s="51">
        <f>SUMIF(MAP!$E$93:$E$146,$B47,MAP!W$93:W$146)</f>
        <v>0</v>
      </c>
      <c r="AE47" s="51">
        <f>SUMIF(MAP!$E$93:$E$146,$B47,MAP!X$93:X$146)</f>
        <v>0</v>
      </c>
      <c r="AF47" s="51">
        <f>SUMIF(MAP!$E$93:$E$146,$B47,MAP!Y$93:Y$146)</f>
        <v>0</v>
      </c>
      <c r="AG47" s="51">
        <f>SUMIF(MAP!$E$93:$E$146,$B47,MAP!Z$93:Z$146)</f>
        <v>0</v>
      </c>
      <c r="AH47" s="51">
        <f>SUMIF(MAP!$E$93:$E$146,$B47,MAP!AA$93:AA$146)</f>
        <v>0</v>
      </c>
      <c r="AI47" s="51">
        <f>SUMIF(MAP!$E$93:$E$146,$B47,MAP!AB$93:AB$146)</f>
        <v>0</v>
      </c>
      <c r="AJ47" s="51">
        <f>SUMIF(MAP!$E$93:$E$146,$B47,MAP!AC$93:AC$146)</f>
        <v>0</v>
      </c>
      <c r="AK47" s="51">
        <f>SUMIF(MAP!$E$93:$E$146,$B47,MAP!AD$93:AD$146)</f>
        <v>0</v>
      </c>
      <c r="AL47" s="51">
        <f>SUMIF(MAP!$E$93:$E$146,$B47,MAP!AE$93:AE$146)</f>
        <v>0</v>
      </c>
      <c r="AM47" s="51">
        <f>SUMIF(MAP!$E$93:$E$146,$B47,MAP!AF$93:AF$146)</f>
        <v>0</v>
      </c>
      <c r="AN47" s="51">
        <f>SUMIF(MAP!$E$93:$E$146,$B47,MAP!AG$93:AG$146)</f>
        <v>0</v>
      </c>
      <c r="AO47" s="51">
        <f>SUMIF(MAP!$E$93:$E$146,$B47,MAP!AH$93:AH$146)</f>
        <v>0</v>
      </c>
      <c r="AP47" s="51">
        <f>SUMIF(MAP!$E$93:$E$146,$B47,MAP!AI$93:AI$146)</f>
        <v>0</v>
      </c>
      <c r="AQ47" s="51">
        <f>SUMIF(MAP!$E$93:$E$146,$B47,MAP!AJ$93:AJ$146)</f>
        <v>0</v>
      </c>
      <c r="AR47" s="51">
        <f>SUMIF(MAP!$E$93:$E$146,$B47,MAP!AK$93:AK$146)</f>
        <v>0</v>
      </c>
      <c r="AS47" s="51">
        <f>SUMIF(MAP!$E$93:$E$146,$B47,MAP!AL$93:AL$146)</f>
        <v>0</v>
      </c>
      <c r="AT47" s="51">
        <f>SUMIF(MAP!$E$93:$E$146,$B47,MAP!AM$93:AM$146)</f>
        <v>0</v>
      </c>
      <c r="AU47" s="51">
        <f>SUMIF(MAP!$E$93:$E$146,$B47,MAP!AN$93:AN$146)</f>
        <v>0</v>
      </c>
      <c r="AV47" s="51">
        <f>SUMIF(MAP!$E$93:$E$146,$B47,MAP!AO$93:AO$146)</f>
        <v>0</v>
      </c>
      <c r="AW47" s="51">
        <f>SUMIF(MAP!$E$93:$E$146,$B47,MAP!AP$93:AP$146)</f>
        <v>0</v>
      </c>
      <c r="AX47" s="51">
        <f>SUMIF(MAP!$E$93:$E$146,$B47,MAP!AQ$93:AQ$146)</f>
        <v>0</v>
      </c>
      <c r="CE47" s="742"/>
      <c r="CF47" s="51">
        <f t="shared" si="0"/>
        <v>0</v>
      </c>
      <c r="CG47" s="51">
        <f t="shared" si="1"/>
        <v>0</v>
      </c>
      <c r="CH47" s="51">
        <f t="shared" si="2"/>
        <v>0</v>
      </c>
      <c r="CI47" s="51">
        <f t="shared" si="3"/>
        <v>0</v>
      </c>
      <c r="CJ47" s="51">
        <f t="shared" si="4"/>
        <v>0</v>
      </c>
      <c r="CK47" s="51">
        <f t="shared" si="5"/>
        <v>0</v>
      </c>
      <c r="CL47" s="51">
        <f t="shared" si="6"/>
        <v>0</v>
      </c>
      <c r="CM47" s="51">
        <f t="shared" si="7"/>
        <v>0</v>
      </c>
    </row>
    <row r="48" spans="1:91" x14ac:dyDescent="0.25">
      <c r="B48" s="47" t="s">
        <v>102</v>
      </c>
      <c r="D48" s="214">
        <f>SUM(D36:D47)</f>
        <v>0</v>
      </c>
      <c r="F48" s="214">
        <f>SUM(F36:F47)</f>
        <v>0</v>
      </c>
      <c r="M48" s="214">
        <f>SUM(M36:M47)</f>
        <v>-36268</v>
      </c>
      <c r="O48" s="214">
        <f>SUM(O36:O47)</f>
        <v>-372512</v>
      </c>
      <c r="Q48" s="214">
        <f>SUM(Q36:Q47)</f>
        <v>0</v>
      </c>
      <c r="S48" s="214">
        <f>SUM(S36:S47)</f>
        <v>0</v>
      </c>
      <c r="U48" s="214">
        <f>SUM(U36:U47)</f>
        <v>0</v>
      </c>
      <c r="AA48" s="214">
        <f t="shared" ref="AA48:AX48" si="10">SUM(AA36:AA47)</f>
        <v>0</v>
      </c>
      <c r="AD48" s="214">
        <f t="shared" si="10"/>
        <v>0</v>
      </c>
      <c r="AE48" s="214">
        <f t="shared" si="10"/>
        <v>0</v>
      </c>
      <c r="AF48" s="214">
        <f t="shared" si="10"/>
        <v>0</v>
      </c>
      <c r="AG48" s="214">
        <f t="shared" si="10"/>
        <v>0</v>
      </c>
      <c r="AH48" s="214">
        <f t="shared" si="10"/>
        <v>0</v>
      </c>
      <c r="AI48" s="214">
        <f t="shared" si="10"/>
        <v>0</v>
      </c>
      <c r="AJ48" s="214">
        <f t="shared" si="10"/>
        <v>0</v>
      </c>
      <c r="AK48" s="214">
        <f t="shared" si="10"/>
        <v>0</v>
      </c>
      <c r="AL48" s="214">
        <f t="shared" si="10"/>
        <v>0</v>
      </c>
      <c r="AM48" s="214">
        <f t="shared" si="10"/>
        <v>0</v>
      </c>
      <c r="AN48" s="214">
        <f t="shared" si="10"/>
        <v>0</v>
      </c>
      <c r="AO48" s="214">
        <f t="shared" si="10"/>
        <v>0</v>
      </c>
      <c r="AP48" s="214">
        <f t="shared" si="10"/>
        <v>0</v>
      </c>
      <c r="AQ48" s="214">
        <f t="shared" si="10"/>
        <v>0</v>
      </c>
      <c r="AR48" s="214">
        <f t="shared" si="10"/>
        <v>0</v>
      </c>
      <c r="AS48" s="214">
        <f t="shared" si="10"/>
        <v>0</v>
      </c>
      <c r="AT48" s="214">
        <f t="shared" si="10"/>
        <v>0</v>
      </c>
      <c r="AU48" s="214">
        <f t="shared" si="10"/>
        <v>0</v>
      </c>
      <c r="AV48" s="214">
        <f t="shared" si="10"/>
        <v>0</v>
      </c>
      <c r="AW48" s="214">
        <f t="shared" si="10"/>
        <v>0</v>
      </c>
      <c r="AX48" s="214">
        <f t="shared" si="10"/>
        <v>0</v>
      </c>
      <c r="CE48" s="793"/>
      <c r="CF48" s="51">
        <f t="shared" si="0"/>
        <v>0</v>
      </c>
      <c r="CG48" s="51">
        <f t="shared" si="1"/>
        <v>0</v>
      </c>
      <c r="CH48" s="51">
        <f t="shared" si="2"/>
        <v>0</v>
      </c>
      <c r="CI48" s="51">
        <f t="shared" si="3"/>
        <v>0</v>
      </c>
      <c r="CJ48" s="51">
        <f t="shared" si="4"/>
        <v>0</v>
      </c>
      <c r="CK48" s="214">
        <f t="shared" si="5"/>
        <v>0</v>
      </c>
      <c r="CL48" s="51">
        <f t="shared" si="6"/>
        <v>0</v>
      </c>
      <c r="CM48" s="51">
        <f t="shared" si="7"/>
        <v>0</v>
      </c>
    </row>
    <row r="49" spans="1:112" x14ac:dyDescent="0.25">
      <c r="D49" s="51"/>
      <c r="F49" s="51"/>
      <c r="M49" s="51"/>
      <c r="O49" s="51"/>
      <c r="Q49" s="51"/>
      <c r="S49" s="51"/>
      <c r="CE49" s="742"/>
      <c r="CF49" s="51">
        <f t="shared" si="0"/>
        <v>0</v>
      </c>
      <c r="CG49" s="51">
        <f t="shared" si="1"/>
        <v>0</v>
      </c>
      <c r="CH49" s="51">
        <f t="shared" si="2"/>
        <v>0</v>
      </c>
      <c r="CI49" s="51">
        <f t="shared" si="3"/>
        <v>0</v>
      </c>
      <c r="CJ49" s="51">
        <f t="shared" si="4"/>
        <v>0</v>
      </c>
      <c r="CK49" s="51">
        <f t="shared" si="5"/>
        <v>0</v>
      </c>
      <c r="CL49" s="51">
        <f t="shared" si="6"/>
        <v>0</v>
      </c>
      <c r="CM49" s="51">
        <f t="shared" si="7"/>
        <v>0</v>
      </c>
    </row>
    <row r="50" spans="1:112" x14ac:dyDescent="0.25">
      <c r="D50" s="51"/>
      <c r="F50" s="51"/>
      <c r="M50" s="51"/>
      <c r="O50" s="51"/>
      <c r="Q50" s="51"/>
      <c r="S50" s="51"/>
      <c r="CE50" s="742"/>
      <c r="CF50" s="51">
        <f t="shared" si="0"/>
        <v>0</v>
      </c>
      <c r="CG50" s="51">
        <f t="shared" si="1"/>
        <v>0</v>
      </c>
      <c r="CH50" s="51">
        <f t="shared" si="2"/>
        <v>0</v>
      </c>
      <c r="CI50" s="51">
        <f t="shared" si="3"/>
        <v>0</v>
      </c>
      <c r="CJ50" s="51">
        <f t="shared" si="4"/>
        <v>0</v>
      </c>
      <c r="CK50" s="51">
        <f t="shared" si="5"/>
        <v>0</v>
      </c>
      <c r="CL50" s="51">
        <f t="shared" si="6"/>
        <v>0</v>
      </c>
      <c r="CM50" s="51">
        <f t="shared" si="7"/>
        <v>0</v>
      </c>
    </row>
    <row r="51" spans="1:112" x14ac:dyDescent="0.25">
      <c r="B51" s="47" t="s">
        <v>103</v>
      </c>
      <c r="D51" s="47"/>
      <c r="F51" s="47"/>
      <c r="M51" s="47"/>
      <c r="O51" s="47"/>
      <c r="Q51" s="47"/>
      <c r="S51" s="47"/>
      <c r="U51" s="47"/>
      <c r="AA51" s="47"/>
      <c r="AD51" s="47"/>
      <c r="AE51" s="47"/>
      <c r="AF51" s="47"/>
      <c r="AG51" s="47"/>
      <c r="AH51" s="47"/>
      <c r="AI51" s="47"/>
      <c r="AJ51" s="47"/>
      <c r="AK51" s="47"/>
      <c r="AL51" s="47"/>
      <c r="AM51" s="47"/>
      <c r="AN51" s="47"/>
      <c r="AO51" s="47"/>
      <c r="AP51" s="47"/>
      <c r="AQ51" s="47"/>
      <c r="AR51" s="47"/>
      <c r="AS51" s="47"/>
      <c r="AT51" s="47"/>
      <c r="AU51" s="47"/>
      <c r="AV51" s="47"/>
      <c r="AW51" s="47"/>
      <c r="AX51" s="47"/>
      <c r="CE51" s="794"/>
      <c r="CF51" s="51">
        <f t="shared" si="0"/>
        <v>0</v>
      </c>
      <c r="CG51" s="51">
        <f t="shared" si="1"/>
        <v>0</v>
      </c>
      <c r="CH51" s="51">
        <f t="shared" si="2"/>
        <v>0</v>
      </c>
      <c r="CI51" s="51">
        <f t="shared" si="3"/>
        <v>0</v>
      </c>
      <c r="CJ51" s="51">
        <f t="shared" si="4"/>
        <v>0</v>
      </c>
      <c r="CK51" s="47">
        <f t="shared" si="5"/>
        <v>0</v>
      </c>
      <c r="CL51" s="51">
        <f t="shared" si="6"/>
        <v>0</v>
      </c>
      <c r="CM51" s="51">
        <f t="shared" si="7"/>
        <v>0</v>
      </c>
    </row>
    <row r="52" spans="1:112" x14ac:dyDescent="0.25">
      <c r="B52" s="51" t="s">
        <v>104</v>
      </c>
      <c r="C52" s="206" t="s">
        <v>105</v>
      </c>
      <c r="D52" s="51">
        <f>SUMIF(MAP!$E$93:$E$146,$B52,MAP!T$93:T$146)</f>
        <v>0</v>
      </c>
      <c r="E52" s="51"/>
      <c r="F52" s="51">
        <f>SUMIF(MAP!$E$93:$E$146,$B52,MAP!N$93:N$146)</f>
        <v>0</v>
      </c>
      <c r="H52" s="247">
        <f>D52-TE!D48</f>
        <v>0</v>
      </c>
      <c r="J52" s="247">
        <f>F52-TE!L48</f>
        <v>0</v>
      </c>
      <c r="M52" s="727">
        <v>8136687</v>
      </c>
      <c r="O52" s="727">
        <v>8136687</v>
      </c>
      <c r="Q52" s="51">
        <f>SUMIF(MAP!$E$93:$E$146,$B52,MAP!U$93:U$146)</f>
        <v>0</v>
      </c>
      <c r="R52" s="51"/>
      <c r="S52" s="51">
        <f>SUMIF(MAP!$E$93:$E$146,$B52,MAP!BD$93:BD$146)</f>
        <v>0</v>
      </c>
      <c r="U52" s="51">
        <f>SUMIF(MAP!$E$93:$E$146,$B52,MAP!N$93:N$146)</f>
        <v>0</v>
      </c>
      <c r="AA52" s="51">
        <f>SUMIF(MAP!$E$93:$E$146,$B52,MAP!T$93:T$146)</f>
        <v>0</v>
      </c>
      <c r="AD52" s="51">
        <f>SUMIF(MAP!$E$93:$E$146,$B52,MAP!W$93:W$146)</f>
        <v>0</v>
      </c>
      <c r="AE52" s="51">
        <f>SUMIF(MAP!$E$93:$E$146,$B52,MAP!X$93:X$146)</f>
        <v>0</v>
      </c>
      <c r="AF52" s="51">
        <f>SUMIF(MAP!$E$93:$E$146,$B52,MAP!Y$93:Y$146)</f>
        <v>0</v>
      </c>
      <c r="AG52" s="51">
        <f>SUMIF(MAP!$E$93:$E$146,$B52,MAP!Z$93:Z$146)</f>
        <v>0</v>
      </c>
      <c r="AH52" s="51">
        <f>SUMIF(MAP!$E$93:$E$146,$B52,MAP!AA$93:AA$146)</f>
        <v>0</v>
      </c>
      <c r="AI52" s="51">
        <f>SUMIF(MAP!$E$93:$E$146,$B52,MAP!AB$93:AB$146)</f>
        <v>0</v>
      </c>
      <c r="AJ52" s="51">
        <f>SUMIF(MAP!$E$93:$E$146,$B52,MAP!AC$93:AC$146)</f>
        <v>0</v>
      </c>
      <c r="AK52" s="51">
        <f>SUMIF(MAP!$E$93:$E$146,$B52,MAP!AD$93:AD$146)</f>
        <v>0</v>
      </c>
      <c r="AL52" s="51">
        <f>SUMIF(MAP!$E$93:$E$146,$B52,MAP!AE$93:AE$146)</f>
        <v>0</v>
      </c>
      <c r="AM52" s="51">
        <f>SUMIF(MAP!$E$93:$E$146,$B52,MAP!AF$93:AF$146)</f>
        <v>0</v>
      </c>
      <c r="AN52" s="51">
        <f>SUMIF(MAP!$E$93:$E$146,$B52,MAP!AG$93:AG$146)</f>
        <v>0</v>
      </c>
      <c r="AO52" s="51">
        <f>SUMIF(MAP!$E$93:$E$146,$B52,MAP!AH$93:AH$146)</f>
        <v>0</v>
      </c>
      <c r="AP52" s="51">
        <f>SUMIF(MAP!$E$93:$E$146,$B52,MAP!AI$93:AI$146)</f>
        <v>0</v>
      </c>
      <c r="AQ52" s="51">
        <f>SUMIF(MAP!$E$93:$E$146,$B52,MAP!AJ$93:AJ$146)</f>
        <v>0</v>
      </c>
      <c r="AR52" s="51">
        <f>SUMIF(MAP!$E$93:$E$146,$B52,MAP!AK$93:AK$146)</f>
        <v>0</v>
      </c>
      <c r="AS52" s="51">
        <f>SUMIF(MAP!$E$93:$E$146,$B52,MAP!AL$93:AL$146)</f>
        <v>0</v>
      </c>
      <c r="AT52" s="51">
        <f>SUMIF(MAP!$E$93:$E$146,$B52,MAP!AM$93:AM$146)</f>
        <v>0</v>
      </c>
      <c r="AU52" s="51">
        <f>SUMIF(MAP!$E$93:$E$146,$B52,MAP!AN$93:AN$146)</f>
        <v>0</v>
      </c>
      <c r="AV52" s="51">
        <f>SUMIF(MAP!$E$93:$E$146,$B52,MAP!AO$93:AO$146)</f>
        <v>0</v>
      </c>
      <c r="AW52" s="51">
        <f>SUMIF(MAP!$E$93:$E$146,$B52,MAP!AP$93:AP$146)</f>
        <v>0</v>
      </c>
      <c r="AX52" s="51">
        <f>SUMIF(MAP!$E$93:$E$146,$B52,MAP!AQ$93:AQ$146)</f>
        <v>0</v>
      </c>
      <c r="CE52" s="742"/>
      <c r="CF52" s="51">
        <f t="shared" si="0"/>
        <v>0</v>
      </c>
      <c r="CG52" s="51">
        <f t="shared" si="1"/>
        <v>0</v>
      </c>
      <c r="CH52" s="51">
        <f t="shared" si="2"/>
        <v>0</v>
      </c>
      <c r="CI52" s="51">
        <f t="shared" si="3"/>
        <v>0</v>
      </c>
      <c r="CJ52" s="51">
        <f t="shared" si="4"/>
        <v>0</v>
      </c>
      <c r="CK52" s="51">
        <f t="shared" si="5"/>
        <v>0</v>
      </c>
      <c r="CL52" s="51">
        <f t="shared" si="6"/>
        <v>0</v>
      </c>
      <c r="CM52" s="51">
        <f t="shared" si="7"/>
        <v>0</v>
      </c>
    </row>
    <row r="53" spans="1:112" x14ac:dyDescent="0.25">
      <c r="B53" s="51" t="s">
        <v>106</v>
      </c>
      <c r="C53" s="206" t="s">
        <v>105</v>
      </c>
      <c r="D53" s="51">
        <f>SUMIF(MAP!$E$93:$E$146,$B53,MAP!T$93:T$146)</f>
        <v>0</v>
      </c>
      <c r="F53" s="51">
        <f>SUMIF(MAP!$E$93:$E$146,$B53,MAP!N$93:N$146)</f>
        <v>0</v>
      </c>
      <c r="H53" s="247">
        <f>D53-TE!D23-TE!D50</f>
        <v>27203</v>
      </c>
      <c r="J53" s="247">
        <f>F53-TE!L23-TE!L50</f>
        <v>27203</v>
      </c>
      <c r="M53" s="727">
        <v>0</v>
      </c>
      <c r="O53" s="727">
        <v>0</v>
      </c>
      <c r="Q53" s="51">
        <f>SUMIF(MAP!$E$93:$E$146,$B53,MAP!U$93:U$146)</f>
        <v>0</v>
      </c>
      <c r="S53" s="51">
        <f>SUMIF(MAP!$E$93:$E$146,$B53,MAP!BD$93:BD$146)</f>
        <v>0</v>
      </c>
      <c r="U53" s="51">
        <f>SUMIF(MAP!$E$93:$E$146,$B53,MAP!N$93:N$146)</f>
        <v>0</v>
      </c>
      <c r="AA53" s="51">
        <f>SUMIF(MAP!$E$93:$E$146,$B53,MAP!T$93:T$146)</f>
        <v>0</v>
      </c>
      <c r="AD53" s="51">
        <f>SUMIF(MAP!$E$93:$E$146,$B53,MAP!W$93:W$146)</f>
        <v>0</v>
      </c>
      <c r="AE53" s="51">
        <f>SUMIF(MAP!$E$93:$E$146,$B53,MAP!X$93:X$146)</f>
        <v>0</v>
      </c>
      <c r="AF53" s="51">
        <f>SUMIF(MAP!$E$93:$E$146,$B53,MAP!Y$93:Y$146)</f>
        <v>0</v>
      </c>
      <c r="AG53" s="51">
        <f>SUMIF(MAP!$E$93:$E$146,$B53,MAP!Z$93:Z$146)</f>
        <v>0</v>
      </c>
      <c r="AH53" s="51">
        <f>SUMIF(MAP!$E$93:$E$146,$B53,MAP!AA$93:AA$146)</f>
        <v>0</v>
      </c>
      <c r="AI53" s="51">
        <f>SUMIF(MAP!$E$93:$E$146,$B53,MAP!AB$93:AB$146)</f>
        <v>0</v>
      </c>
      <c r="AJ53" s="51">
        <f>SUMIF(MAP!$E$93:$E$146,$B53,MAP!AC$93:AC$146)</f>
        <v>0</v>
      </c>
      <c r="AK53" s="51">
        <f>SUMIF(MAP!$E$93:$E$146,$B53,MAP!AD$93:AD$146)</f>
        <v>0</v>
      </c>
      <c r="AL53" s="51">
        <f>SUMIF(MAP!$E$93:$E$146,$B53,MAP!AE$93:AE$146)</f>
        <v>0</v>
      </c>
      <c r="AM53" s="51">
        <f>SUMIF(MAP!$E$93:$E$146,$B53,MAP!AF$93:AF$146)</f>
        <v>0</v>
      </c>
      <c r="AN53" s="51">
        <f>SUMIF(MAP!$E$93:$E$146,$B53,MAP!AG$93:AG$146)</f>
        <v>0</v>
      </c>
      <c r="AO53" s="51">
        <f>SUMIF(MAP!$E$93:$E$146,$B53,MAP!AH$93:AH$146)</f>
        <v>0</v>
      </c>
      <c r="AP53" s="51">
        <f>SUMIF(MAP!$E$93:$E$146,$B53,MAP!AI$93:AI$146)</f>
        <v>0</v>
      </c>
      <c r="AQ53" s="51">
        <f>SUMIF(MAP!$E$93:$E$146,$B53,MAP!AJ$93:AJ$146)</f>
        <v>0</v>
      </c>
      <c r="AR53" s="51">
        <f>SUMIF(MAP!$E$93:$E$146,$B53,MAP!AK$93:AK$146)</f>
        <v>0</v>
      </c>
      <c r="AS53" s="51">
        <f>SUMIF(MAP!$E$93:$E$146,$B53,MAP!AL$93:AL$146)</f>
        <v>0</v>
      </c>
      <c r="AT53" s="51">
        <f>SUMIF(MAP!$E$93:$E$146,$B53,MAP!AM$93:AM$146)</f>
        <v>0</v>
      </c>
      <c r="AU53" s="51">
        <f>SUMIF(MAP!$E$93:$E$146,$B53,MAP!AN$93:AN$146)</f>
        <v>0</v>
      </c>
      <c r="AV53" s="51">
        <f>SUMIF(MAP!$E$93:$E$146,$B53,MAP!AO$93:AO$146)</f>
        <v>0</v>
      </c>
      <c r="AW53" s="51">
        <f>SUMIF(MAP!$E$93:$E$146,$B53,MAP!AP$93:AP$146)</f>
        <v>0</v>
      </c>
      <c r="AX53" s="51">
        <f>SUMIF(MAP!$E$93:$E$146,$B53,MAP!AQ$93:AQ$146)</f>
        <v>0</v>
      </c>
      <c r="CE53" s="742"/>
      <c r="CF53" s="51">
        <f t="shared" si="0"/>
        <v>0</v>
      </c>
      <c r="CG53" s="51">
        <f t="shared" si="1"/>
        <v>0</v>
      </c>
      <c r="CH53" s="51">
        <f t="shared" si="2"/>
        <v>0</v>
      </c>
      <c r="CI53" s="51">
        <f t="shared" si="3"/>
        <v>0</v>
      </c>
      <c r="CJ53" s="51">
        <f t="shared" si="4"/>
        <v>0</v>
      </c>
      <c r="CK53" s="51">
        <f t="shared" si="5"/>
        <v>0</v>
      </c>
      <c r="CL53" s="51">
        <f t="shared" si="6"/>
        <v>0</v>
      </c>
      <c r="CM53" s="51">
        <f t="shared" si="7"/>
        <v>0</v>
      </c>
    </row>
    <row r="54" spans="1:112" x14ac:dyDescent="0.25">
      <c r="B54" s="51" t="s">
        <v>2178</v>
      </c>
      <c r="D54" s="51">
        <f>SUMIF(MAP!$E$93:$E$146,$B54,MAP!T$93:T$146)</f>
        <v>0</v>
      </c>
      <c r="F54" s="51">
        <f>SUMIF(MAP!$E$93:$E$146,$B54,MAP!N$93:N$146)</f>
        <v>0</v>
      </c>
      <c r="H54" s="247">
        <f>D54-TE!D55</f>
        <v>0</v>
      </c>
      <c r="J54" s="247">
        <f>F54-TE!L55</f>
        <v>0</v>
      </c>
      <c r="M54" s="727">
        <v>792951</v>
      </c>
      <c r="O54" s="727">
        <v>792951</v>
      </c>
      <c r="Q54" s="51">
        <f>SUMIF(MAP!$E$93:$E$146,$B54,MAP!U$93:U$146)</f>
        <v>0</v>
      </c>
      <c r="S54" s="51">
        <f>SUMIF(MAP!$E$93:$E$146,$B54,MAP!BD$93:BD$146)</f>
        <v>0</v>
      </c>
      <c r="U54" s="51">
        <f>SUMIF(MAP!$E$93:$E$146,$B54,MAP!N$93:N$146)</f>
        <v>0</v>
      </c>
      <c r="AA54" s="51">
        <f>SUMIF(MAP!$E$93:$E$146,$B54,MAP!T$93:T$146)</f>
        <v>0</v>
      </c>
      <c r="AD54" s="51">
        <f>SUMIF(MAP!$E$93:$E$146,$B54,MAP!W$93:W$146)</f>
        <v>0</v>
      </c>
      <c r="CE54" s="742"/>
    </row>
    <row r="55" spans="1:112" x14ac:dyDescent="0.25">
      <c r="B55" s="51" t="s">
        <v>759</v>
      </c>
      <c r="D55" s="51">
        <f>SUMIF(MAP!$E$93:$E$146,$B55,MAP!T$93:T$146)</f>
        <v>0</v>
      </c>
      <c r="F55" s="51">
        <f>SUMIF(MAP!$E$93:$E$146,$B55,MAP!N$93:N$146)</f>
        <v>0</v>
      </c>
      <c r="H55" s="247">
        <f>D55-TE!D56</f>
        <v>0</v>
      </c>
      <c r="J55" s="247">
        <f>F55-TE!L56</f>
        <v>0</v>
      </c>
      <c r="M55" s="727">
        <v>0</v>
      </c>
      <c r="O55" s="727">
        <v>0</v>
      </c>
      <c r="Q55" s="51">
        <f>SUMIF(MAP!$E$93:$E$146,$B55,MAP!U$93:U$146)</f>
        <v>0</v>
      </c>
      <c r="S55" s="51">
        <f>SUMIF(MAP!$E$93:$E$146,$B55,MAP!BD$93:BD$146)</f>
        <v>0</v>
      </c>
      <c r="U55" s="51">
        <f>SUMIF(MAP!$E$93:$E$146,$B55,MAP!N$93:N$146)</f>
        <v>0</v>
      </c>
      <c r="AA55" s="51">
        <f>SUMIF(MAP!$E$93:$E$146,$B55,MAP!T$93:T$146)</f>
        <v>0</v>
      </c>
      <c r="AD55" s="51">
        <f>SUMIF(MAP!$E$93:$E$146,$B55,MAP!W$93:W$146)</f>
        <v>0</v>
      </c>
      <c r="AE55" s="51">
        <f>SUMIF(MAP!$E$93:$E$146,$B55,MAP!X$93:X$146)</f>
        <v>0</v>
      </c>
      <c r="AF55" s="51">
        <f>SUMIF(MAP!$E$93:$E$146,$B55,MAP!Y$93:Y$146)</f>
        <v>0</v>
      </c>
      <c r="AG55" s="51">
        <f>SUMIF(MAP!$E$93:$E$146,$B55,MAP!Z$93:Z$146)</f>
        <v>0</v>
      </c>
      <c r="AH55" s="51">
        <f>SUMIF(MAP!$E$93:$E$146,$B55,MAP!AA$93:AA$146)</f>
        <v>0</v>
      </c>
      <c r="AI55" s="51">
        <f>SUMIF(MAP!$E$93:$E$146,$B55,MAP!AB$93:AB$146)</f>
        <v>0</v>
      </c>
      <c r="AJ55" s="51">
        <f>SUMIF(MAP!$E$93:$E$146,$B55,MAP!AC$93:AC$146)</f>
        <v>0</v>
      </c>
      <c r="AK55" s="51">
        <f>SUMIF(MAP!$E$93:$E$146,$B55,MAP!AD$93:AD$146)</f>
        <v>0</v>
      </c>
      <c r="AL55" s="51">
        <f>SUMIF(MAP!$E$93:$E$146,$B55,MAP!AE$93:AE$146)</f>
        <v>0</v>
      </c>
      <c r="AM55" s="51">
        <f>SUMIF(MAP!$E$93:$E$146,$B55,MAP!AF$93:AF$146)</f>
        <v>0</v>
      </c>
      <c r="AN55" s="51">
        <f>SUMIF(MAP!$E$93:$E$146,$B55,MAP!AG$93:AG$146)</f>
        <v>0</v>
      </c>
      <c r="AO55" s="51">
        <f>SUMIF(MAP!$E$93:$E$146,$B55,MAP!AH$93:AH$146)</f>
        <v>0</v>
      </c>
      <c r="AP55" s="51">
        <f>SUMIF(MAP!$E$93:$E$146,$B55,MAP!AI$93:AI$146)</f>
        <v>0</v>
      </c>
      <c r="AQ55" s="51">
        <f>SUMIF(MAP!$E$93:$E$146,$B55,MAP!AJ$93:AJ$146)</f>
        <v>0</v>
      </c>
      <c r="AR55" s="51">
        <f>SUMIF(MAP!$E$93:$E$146,$B55,MAP!AK$93:AK$146)</f>
        <v>0</v>
      </c>
      <c r="AS55" s="51">
        <f>SUMIF(MAP!$E$93:$E$146,$B55,MAP!AL$93:AL$146)</f>
        <v>0</v>
      </c>
      <c r="AT55" s="51">
        <f>SUMIF(MAP!$E$93:$E$146,$B55,MAP!AM$93:AM$146)</f>
        <v>0</v>
      </c>
      <c r="AU55" s="51">
        <f>SUMIF(MAP!$E$93:$E$146,$B55,MAP!AN$93:AN$146)</f>
        <v>0</v>
      </c>
      <c r="AV55" s="51">
        <f>SUMIF(MAP!$E$93:$E$146,$B55,MAP!AO$93:AO$146)</f>
        <v>0</v>
      </c>
      <c r="AW55" s="51">
        <f>SUMIF(MAP!$E$93:$E$146,$B55,MAP!AP$93:AP$146)</f>
        <v>0</v>
      </c>
      <c r="AX55" s="51">
        <f>SUMIF(MAP!$E$93:$E$146,$B55,MAP!AQ$93:AQ$146)</f>
        <v>0</v>
      </c>
      <c r="CE55" s="742"/>
      <c r="CF55" s="51">
        <f t="shared" si="0"/>
        <v>0</v>
      </c>
      <c r="CG55" s="51">
        <f t="shared" si="1"/>
        <v>0</v>
      </c>
      <c r="CH55" s="51">
        <f t="shared" si="2"/>
        <v>0</v>
      </c>
      <c r="CI55" s="51">
        <f t="shared" si="3"/>
        <v>0</v>
      </c>
      <c r="CJ55" s="51">
        <f t="shared" si="4"/>
        <v>0</v>
      </c>
      <c r="CK55" s="51">
        <f t="shared" si="5"/>
        <v>0</v>
      </c>
      <c r="CL55" s="51">
        <f t="shared" si="6"/>
        <v>0</v>
      </c>
      <c r="CM55" s="51">
        <f t="shared" si="7"/>
        <v>0</v>
      </c>
    </row>
    <row r="56" spans="1:112" s="189" customFormat="1" ht="25.5" x14ac:dyDescent="0.25">
      <c r="A56" s="728"/>
      <c r="B56" s="733" t="s">
        <v>2367</v>
      </c>
      <c r="C56" s="201"/>
      <c r="D56" s="51">
        <f>SUMIF(MAP!$E$93:$E$146,$B56,MAP!T$93:T$146)</f>
        <v>0</v>
      </c>
      <c r="E56" s="201"/>
      <c r="F56" s="51">
        <f>SUMIF(MAP!$E$93:$E$146,$B56,MAP!N$93:N$146)</f>
        <v>0</v>
      </c>
      <c r="G56" s="201"/>
      <c r="H56" s="201"/>
      <c r="I56" s="201"/>
      <c r="J56" s="201"/>
      <c r="K56" s="201"/>
      <c r="L56" s="201"/>
      <c r="M56" s="727">
        <v>-298</v>
      </c>
      <c r="N56" s="201"/>
      <c r="O56" s="727">
        <v>-8477</v>
      </c>
      <c r="P56" s="201"/>
      <c r="Q56" s="51">
        <f>SUMIF(MAP!$E$93:$E$146,$B56,MAP!U$93:U$146)</f>
        <v>0</v>
      </c>
      <c r="R56" s="201"/>
      <c r="S56" s="51">
        <f>SUMIF(MAP!$E$93:$E$146,$B56,MAP!BD$93:BD$146)</f>
        <v>0</v>
      </c>
      <c r="T56" s="201"/>
      <c r="U56" s="51">
        <f>SUMIF(MAP!$E$93:$E$146,$B56,MAP!N$93:N$146)</f>
        <v>0</v>
      </c>
      <c r="AA56" s="51">
        <f>SUMIF(MAP!$E$93:$E$146,$B56,MAP!T$93:T$146)</f>
        <v>0</v>
      </c>
      <c r="AD56" s="51">
        <f>SUMIF(MAP!$E$93:$E$146,$B56,MAP!W$93:W$146)</f>
        <v>0</v>
      </c>
      <c r="AE56" s="51">
        <f>SUMIF(MAP!$E$93:$E$146,$B56,MAP!X$93:X$146)</f>
        <v>0</v>
      </c>
      <c r="AF56" s="51">
        <f>SUMIF(MAP!$E$93:$E$146,$B56,MAP!Y$93:Y$146)</f>
        <v>0</v>
      </c>
      <c r="AG56" s="51">
        <f>SUMIF(MAP!$E$93:$E$146,$B56,MAP!Z$93:Z$146)</f>
        <v>0</v>
      </c>
      <c r="AH56" s="51">
        <f>SUMIF(MAP!$E$93:$E$146,$B56,MAP!AA$93:AA$146)</f>
        <v>0</v>
      </c>
      <c r="AI56" s="51">
        <f>SUMIF(MAP!$E$93:$E$146,$B56,MAP!AB$93:AB$146)</f>
        <v>0</v>
      </c>
      <c r="AJ56" s="51">
        <f>SUMIF(MAP!$E$93:$E$146,$B56,MAP!AC$93:AC$146)</f>
        <v>0</v>
      </c>
      <c r="AK56" s="51">
        <f>SUMIF(MAP!$E$93:$E$146,$B56,MAP!AD$93:AD$146)</f>
        <v>0</v>
      </c>
      <c r="AL56" s="51">
        <f>SUMIF(MAP!$E$93:$E$146,$B56,MAP!AE$93:AE$146)</f>
        <v>0</v>
      </c>
      <c r="AM56" s="51">
        <f>SUMIF(MAP!$E$93:$E$146,$B56,MAP!AF$93:AF$146)</f>
        <v>0</v>
      </c>
      <c r="AN56" s="51">
        <f>SUMIF(MAP!$E$93:$E$146,$B56,MAP!AG$93:AG$146)</f>
        <v>0</v>
      </c>
      <c r="AO56" s="51">
        <f>SUMIF(MAP!$E$93:$E$146,$B56,MAP!AH$93:AH$146)</f>
        <v>0</v>
      </c>
      <c r="AP56" s="51">
        <f>SUMIF(MAP!$E$93:$E$146,$B56,MAP!AI$93:AI$146)</f>
        <v>0</v>
      </c>
      <c r="AQ56" s="51">
        <f>SUMIF(MAP!$E$93:$E$146,$B56,MAP!AJ$93:AJ$146)</f>
        <v>0</v>
      </c>
      <c r="AR56" s="51">
        <f>SUMIF(MAP!$E$93:$E$146,$B56,MAP!AK$93:AK$146)</f>
        <v>0</v>
      </c>
      <c r="AS56" s="51">
        <f>SUMIF(MAP!$E$93:$E$146,$B56,MAP!AL$93:AL$146)</f>
        <v>0</v>
      </c>
      <c r="AT56" s="51">
        <f>SUMIF(MAP!$E$93:$E$146,$B56,MAP!AM$93:AM$146)</f>
        <v>0</v>
      </c>
      <c r="AU56" s="51">
        <f>SUMIF(MAP!$E$93:$E$146,$B56,MAP!AN$93:AN$146)</f>
        <v>0</v>
      </c>
      <c r="AV56" s="51">
        <f>SUMIF(MAP!$E$93:$E$146,$B56,MAP!AO$93:AO$146)</f>
        <v>0</v>
      </c>
      <c r="AW56" s="51">
        <f>SUMIF(MAP!$E$93:$E$146,$B56,MAP!AP$93:AP$146)</f>
        <v>0</v>
      </c>
      <c r="AX56" s="51">
        <f>SUMIF(MAP!$E$93:$E$146,$B56,MAP!AQ$93:AQ$146)</f>
        <v>0</v>
      </c>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E56" s="742"/>
      <c r="CF56" s="189">
        <f t="shared" si="0"/>
        <v>0</v>
      </c>
      <c r="CG56" s="189">
        <f t="shared" si="1"/>
        <v>0</v>
      </c>
      <c r="CH56" s="189">
        <f t="shared" si="2"/>
        <v>0</v>
      </c>
      <c r="CI56" s="189">
        <f t="shared" si="3"/>
        <v>0</v>
      </c>
      <c r="CJ56" s="189">
        <f t="shared" si="4"/>
        <v>0</v>
      </c>
      <c r="CK56" s="51">
        <f t="shared" si="5"/>
        <v>0</v>
      </c>
      <c r="CL56" s="189">
        <f t="shared" si="6"/>
        <v>0</v>
      </c>
      <c r="CM56" s="189">
        <f t="shared" si="7"/>
        <v>0</v>
      </c>
      <c r="CN56" s="51"/>
      <c r="CO56" s="51"/>
      <c r="CP56" s="51"/>
      <c r="CQ56" s="51"/>
      <c r="CR56" s="51"/>
      <c r="CS56" s="51"/>
      <c r="CT56" s="51"/>
      <c r="CU56" s="51"/>
      <c r="CV56" s="51"/>
      <c r="CW56" s="51"/>
      <c r="CX56" s="51"/>
      <c r="CY56" s="51"/>
      <c r="CZ56" s="51"/>
      <c r="DA56" s="51"/>
      <c r="DB56" s="51"/>
      <c r="DC56" s="51"/>
      <c r="DD56" s="51"/>
      <c r="DE56" s="51"/>
      <c r="DF56" s="51"/>
      <c r="DG56" s="51"/>
      <c r="DH56" s="51"/>
    </row>
    <row r="57" spans="1:112" x14ac:dyDescent="0.25">
      <c r="B57" s="47" t="s">
        <v>107</v>
      </c>
      <c r="D57" s="214">
        <f>SUM(D52:D56)</f>
        <v>0</v>
      </c>
      <c r="F57" s="214">
        <f>SUM(F52:F56)</f>
        <v>0</v>
      </c>
      <c r="M57" s="214">
        <f>SUM(M52:M56)</f>
        <v>8929340</v>
      </c>
      <c r="O57" s="214">
        <f>SUM(O52:O56)</f>
        <v>8921161</v>
      </c>
      <c r="Q57" s="214">
        <f>SUM(Q52:Q56)</f>
        <v>0</v>
      </c>
      <c r="S57" s="214">
        <f>SUM(S52:S56)</f>
        <v>0</v>
      </c>
      <c r="U57" s="214">
        <f>SUM(U52:U56)</f>
        <v>0</v>
      </c>
      <c r="AA57" s="214">
        <f t="shared" ref="AA57:AX57" si="11">SUM(AA52:AA56)</f>
        <v>0</v>
      </c>
      <c r="AD57" s="214">
        <f t="shared" si="11"/>
        <v>0</v>
      </c>
      <c r="AE57" s="214">
        <f t="shared" si="11"/>
        <v>0</v>
      </c>
      <c r="AF57" s="214">
        <f t="shared" si="11"/>
        <v>0</v>
      </c>
      <c r="AG57" s="214">
        <f t="shared" si="11"/>
        <v>0</v>
      </c>
      <c r="AH57" s="214">
        <f t="shared" si="11"/>
        <v>0</v>
      </c>
      <c r="AI57" s="214">
        <f t="shared" si="11"/>
        <v>0</v>
      </c>
      <c r="AJ57" s="214">
        <f t="shared" si="11"/>
        <v>0</v>
      </c>
      <c r="AK57" s="214">
        <f t="shared" si="11"/>
        <v>0</v>
      </c>
      <c r="AL57" s="214">
        <f t="shared" si="11"/>
        <v>0</v>
      </c>
      <c r="AM57" s="214">
        <f t="shared" si="11"/>
        <v>0</v>
      </c>
      <c r="AN57" s="214">
        <f t="shared" si="11"/>
        <v>0</v>
      </c>
      <c r="AO57" s="214">
        <f t="shared" si="11"/>
        <v>0</v>
      </c>
      <c r="AP57" s="214">
        <f t="shared" si="11"/>
        <v>0</v>
      </c>
      <c r="AQ57" s="214">
        <f t="shared" si="11"/>
        <v>0</v>
      </c>
      <c r="AR57" s="214">
        <f t="shared" si="11"/>
        <v>0</v>
      </c>
      <c r="AS57" s="214">
        <f t="shared" si="11"/>
        <v>0</v>
      </c>
      <c r="AT57" s="214">
        <f t="shared" si="11"/>
        <v>0</v>
      </c>
      <c r="AU57" s="214">
        <f t="shared" si="11"/>
        <v>0</v>
      </c>
      <c r="AV57" s="214">
        <f t="shared" si="11"/>
        <v>0</v>
      </c>
      <c r="AW57" s="214">
        <f t="shared" si="11"/>
        <v>0</v>
      </c>
      <c r="AX57" s="214">
        <f t="shared" si="11"/>
        <v>0</v>
      </c>
      <c r="CE57" s="793"/>
      <c r="CF57" s="51">
        <f t="shared" si="0"/>
        <v>0</v>
      </c>
      <c r="CG57" s="51">
        <f t="shared" si="1"/>
        <v>0</v>
      </c>
      <c r="CH57" s="51">
        <f t="shared" si="2"/>
        <v>0</v>
      </c>
      <c r="CI57" s="51">
        <f t="shared" si="3"/>
        <v>0</v>
      </c>
      <c r="CJ57" s="51">
        <f t="shared" si="4"/>
        <v>0</v>
      </c>
      <c r="CK57" s="214">
        <f t="shared" si="5"/>
        <v>0</v>
      </c>
      <c r="CL57" s="51">
        <f t="shared" si="6"/>
        <v>0</v>
      </c>
      <c r="CM57" s="51">
        <f t="shared" si="7"/>
        <v>0</v>
      </c>
    </row>
    <row r="58" spans="1:112" x14ac:dyDescent="0.25">
      <c r="D58" s="51"/>
      <c r="F58" s="51"/>
      <c r="M58" s="51"/>
      <c r="O58" s="51"/>
      <c r="Q58" s="51"/>
      <c r="S58" s="51"/>
      <c r="CE58" s="742"/>
      <c r="CF58" s="51">
        <f t="shared" si="0"/>
        <v>0</v>
      </c>
      <c r="CG58" s="51">
        <f t="shared" si="1"/>
        <v>0</v>
      </c>
      <c r="CH58" s="51">
        <f t="shared" si="2"/>
        <v>0</v>
      </c>
      <c r="CI58" s="51">
        <f t="shared" si="3"/>
        <v>0</v>
      </c>
      <c r="CJ58" s="51">
        <f t="shared" si="4"/>
        <v>0</v>
      </c>
      <c r="CK58" s="51">
        <f t="shared" si="5"/>
        <v>0</v>
      </c>
      <c r="CL58" s="51">
        <f t="shared" si="6"/>
        <v>0</v>
      </c>
      <c r="CM58" s="51">
        <f t="shared" si="7"/>
        <v>0</v>
      </c>
    </row>
    <row r="59" spans="1:112" x14ac:dyDescent="0.25">
      <c r="D59" s="51"/>
      <c r="F59" s="51"/>
      <c r="M59" s="51"/>
      <c r="O59" s="51"/>
      <c r="Q59" s="51"/>
      <c r="S59" s="51"/>
      <c r="CE59" s="742"/>
      <c r="CF59" s="51">
        <f t="shared" si="0"/>
        <v>0</v>
      </c>
      <c r="CG59" s="51">
        <f t="shared" si="1"/>
        <v>0</v>
      </c>
      <c r="CH59" s="51">
        <f t="shared" si="2"/>
        <v>0</v>
      </c>
      <c r="CI59" s="51">
        <f t="shared" si="3"/>
        <v>0</v>
      </c>
      <c r="CJ59" s="51">
        <f t="shared" si="4"/>
        <v>0</v>
      </c>
      <c r="CK59" s="51">
        <f t="shared" si="5"/>
        <v>0</v>
      </c>
      <c r="CL59" s="51">
        <f t="shared" si="6"/>
        <v>0</v>
      </c>
      <c r="CM59" s="51">
        <f t="shared" si="7"/>
        <v>0</v>
      </c>
    </row>
    <row r="60" spans="1:112" ht="38.25" x14ac:dyDescent="0.25">
      <c r="B60" s="728" t="s">
        <v>551</v>
      </c>
      <c r="D60" s="734">
        <f>D32+D48+D57</f>
        <v>-22354</v>
      </c>
      <c r="F60" s="734">
        <f>F32+F48+F57</f>
        <v>-22354</v>
      </c>
      <c r="M60" s="734">
        <f>M32+M48+M57</f>
        <v>-35498</v>
      </c>
      <c r="O60" s="734">
        <f>O32+O48+O57</f>
        <v>-46682</v>
      </c>
      <c r="Q60" s="734">
        <f>Q32+Q48+Q57</f>
        <v>0</v>
      </c>
      <c r="S60" s="734">
        <f>S32+S48+S57</f>
        <v>0</v>
      </c>
      <c r="U60" s="734">
        <f>U32+U48+U57</f>
        <v>-22354</v>
      </c>
      <c r="AA60" s="734">
        <f t="shared" ref="AA60:AW60" si="12">AA32+AA48+AA57</f>
        <v>-22354</v>
      </c>
      <c r="AD60" s="734">
        <f t="shared" si="12"/>
        <v>-22354</v>
      </c>
      <c r="AE60" s="734">
        <f t="shared" si="12"/>
        <v>0</v>
      </c>
      <c r="AF60" s="734">
        <f t="shared" si="12"/>
        <v>0</v>
      </c>
      <c r="AG60" s="734">
        <f t="shared" si="12"/>
        <v>0</v>
      </c>
      <c r="AH60" s="734">
        <f t="shared" si="12"/>
        <v>0</v>
      </c>
      <c r="AI60" s="734">
        <f t="shared" si="12"/>
        <v>0</v>
      </c>
      <c r="AJ60" s="734">
        <f t="shared" si="12"/>
        <v>0</v>
      </c>
      <c r="AK60" s="734">
        <f t="shared" si="12"/>
        <v>0</v>
      </c>
      <c r="AL60" s="734">
        <f t="shared" si="12"/>
        <v>0</v>
      </c>
      <c r="AM60" s="734">
        <f t="shared" si="12"/>
        <v>0</v>
      </c>
      <c r="AN60" s="734">
        <f t="shared" si="12"/>
        <v>0</v>
      </c>
      <c r="AO60" s="734">
        <f t="shared" si="12"/>
        <v>0</v>
      </c>
      <c r="AP60" s="734">
        <f t="shared" si="12"/>
        <v>0</v>
      </c>
      <c r="AQ60" s="734">
        <f t="shared" si="12"/>
        <v>0</v>
      </c>
      <c r="AR60" s="734">
        <f t="shared" si="12"/>
        <v>0</v>
      </c>
      <c r="AS60" s="734">
        <f t="shared" si="12"/>
        <v>0</v>
      </c>
      <c r="AT60" s="734">
        <f t="shared" si="12"/>
        <v>0</v>
      </c>
      <c r="AU60" s="734">
        <f t="shared" si="12"/>
        <v>0</v>
      </c>
      <c r="AV60" s="734">
        <f t="shared" si="12"/>
        <v>0</v>
      </c>
      <c r="AW60" s="734">
        <f t="shared" si="12"/>
        <v>0</v>
      </c>
      <c r="AX60" s="734">
        <f>AX32+AX48+AX57</f>
        <v>0</v>
      </c>
      <c r="CE60" s="795"/>
      <c r="CF60" s="51">
        <f t="shared" si="0"/>
        <v>0</v>
      </c>
      <c r="CG60" s="51">
        <f t="shared" si="1"/>
        <v>0</v>
      </c>
      <c r="CH60" s="51">
        <f t="shared" si="2"/>
        <v>0</v>
      </c>
      <c r="CI60" s="51">
        <f t="shared" si="3"/>
        <v>0</v>
      </c>
      <c r="CJ60" s="51">
        <f t="shared" si="4"/>
        <v>0</v>
      </c>
      <c r="CK60" s="734">
        <f t="shared" si="5"/>
        <v>-22354</v>
      </c>
      <c r="CL60" s="51">
        <f t="shared" si="6"/>
        <v>0</v>
      </c>
      <c r="CM60" s="51">
        <f t="shared" si="7"/>
        <v>0</v>
      </c>
    </row>
    <row r="61" spans="1:112" x14ac:dyDescent="0.25">
      <c r="B61" s="728"/>
      <c r="D61" s="47"/>
      <c r="F61" s="47"/>
      <c r="M61" s="47"/>
      <c r="O61" s="47"/>
      <c r="Q61" s="47"/>
      <c r="S61" s="47"/>
      <c r="U61" s="47"/>
      <c r="AA61" s="47"/>
      <c r="AD61" s="47"/>
      <c r="AE61" s="47"/>
      <c r="AF61" s="47"/>
      <c r="AG61" s="47"/>
      <c r="AH61" s="47"/>
      <c r="AI61" s="47"/>
      <c r="AJ61" s="47"/>
      <c r="AK61" s="47"/>
      <c r="AL61" s="47"/>
      <c r="AM61" s="47"/>
      <c r="AN61" s="47"/>
      <c r="AO61" s="47"/>
      <c r="AP61" s="47"/>
      <c r="AQ61" s="47"/>
      <c r="AR61" s="47"/>
      <c r="AS61" s="47"/>
      <c r="AT61" s="47"/>
      <c r="AU61" s="47"/>
      <c r="AV61" s="47"/>
      <c r="AW61" s="47"/>
      <c r="AX61" s="47"/>
      <c r="CE61" s="794"/>
      <c r="CF61" s="51">
        <f t="shared" si="0"/>
        <v>0</v>
      </c>
      <c r="CG61" s="51">
        <f t="shared" si="1"/>
        <v>0</v>
      </c>
      <c r="CH61" s="51">
        <f t="shared" si="2"/>
        <v>0</v>
      </c>
      <c r="CI61" s="51">
        <f t="shared" si="3"/>
        <v>0</v>
      </c>
      <c r="CJ61" s="51">
        <f t="shared" si="4"/>
        <v>0</v>
      </c>
      <c r="CK61" s="47">
        <f t="shared" si="5"/>
        <v>0</v>
      </c>
      <c r="CL61" s="51">
        <f t="shared" si="6"/>
        <v>0</v>
      </c>
      <c r="CM61" s="51">
        <f t="shared" si="7"/>
        <v>0</v>
      </c>
    </row>
    <row r="62" spans="1:112" ht="25.5" x14ac:dyDescent="0.25">
      <c r="B62" s="189" t="s">
        <v>276</v>
      </c>
      <c r="D62" s="51"/>
      <c r="F62" s="51"/>
      <c r="M62" s="51"/>
      <c r="O62" s="51"/>
      <c r="Q62" s="51"/>
      <c r="S62" s="51"/>
      <c r="CE62" s="742"/>
      <c r="CF62" s="51">
        <f t="shared" si="0"/>
        <v>0</v>
      </c>
      <c r="CG62" s="51">
        <f t="shared" si="1"/>
        <v>0</v>
      </c>
      <c r="CH62" s="51">
        <f t="shared" si="2"/>
        <v>0</v>
      </c>
      <c r="CI62" s="51">
        <f t="shared" si="3"/>
        <v>0</v>
      </c>
      <c r="CJ62" s="51">
        <f t="shared" si="4"/>
        <v>0</v>
      </c>
      <c r="CK62" s="51">
        <f t="shared" si="5"/>
        <v>0</v>
      </c>
      <c r="CL62" s="51">
        <f t="shared" si="6"/>
        <v>0</v>
      </c>
      <c r="CM62" s="51">
        <f t="shared" si="7"/>
        <v>0</v>
      </c>
    </row>
    <row r="63" spans="1:112" x14ac:dyDescent="0.25">
      <c r="B63" s="51" t="s">
        <v>108</v>
      </c>
      <c r="D63" s="51">
        <f>SUMIF(MAP!$E$93:$E$146,$B63,MAP!T$93:T$146)</f>
        <v>0</v>
      </c>
      <c r="F63" s="51">
        <f>SUMIF(MAP!$E$93:$E$146,$B63,MAP!N$93:N$146)</f>
        <v>0</v>
      </c>
      <c r="M63" s="727">
        <v>-173</v>
      </c>
      <c r="O63" s="727">
        <v>-173</v>
      </c>
      <c r="Q63" s="51">
        <f>SUMIF(MAP!$E$93:$E$146,$B63,MAP!U$93:U$146)</f>
        <v>0</v>
      </c>
      <c r="S63" s="51">
        <f>SUMIF(MAP!$E$93:$E$146,$B63,MAP!BD$93:BD$146)</f>
        <v>0</v>
      </c>
      <c r="U63" s="51">
        <f>SUMIF(MAP!$E$93:$E$146,$B63,MAP!N$93:N$146)</f>
        <v>0</v>
      </c>
      <c r="AA63" s="51">
        <f>SUMIF(MAP!$E$93:$E$146,$B63,MAP!T$93:T$146)</f>
        <v>0</v>
      </c>
      <c r="AD63" s="51">
        <f>SUMIF(MAP!$E$93:$E$146,$B63,MAP!W$93:W$146)</f>
        <v>0</v>
      </c>
      <c r="AE63" s="51">
        <f>SUMIF(MAP!$E$93:$E$146,$B63,MAP!X$93:X$146)</f>
        <v>0</v>
      </c>
      <c r="AF63" s="51">
        <f>SUMIF(MAP!$E$93:$E$146,$B63,MAP!Y$93:Y$146)</f>
        <v>0</v>
      </c>
      <c r="AG63" s="51">
        <f>SUMIF(MAP!$E$93:$E$146,$B63,MAP!Z$93:Z$146)</f>
        <v>0</v>
      </c>
      <c r="AH63" s="51">
        <f>SUMIF(MAP!$E$93:$E$146,$B63,MAP!AA$93:AA$146)</f>
        <v>0</v>
      </c>
      <c r="AI63" s="51">
        <f>SUMIF(MAP!$E$93:$E$146,$B63,MAP!AB$93:AB$146)</f>
        <v>0</v>
      </c>
      <c r="AJ63" s="51">
        <f>SUMIF(MAP!$E$93:$E$146,$B63,MAP!AC$93:AC$146)</f>
        <v>0</v>
      </c>
      <c r="AK63" s="51">
        <f>SUMIF(MAP!$E$93:$E$146,$B63,MAP!AD$93:AD$146)</f>
        <v>0</v>
      </c>
      <c r="AL63" s="51">
        <f>SUMIF(MAP!$E$93:$E$146,$B63,MAP!AE$93:AE$146)</f>
        <v>0</v>
      </c>
      <c r="AM63" s="51">
        <f>SUMIF(MAP!$E$93:$E$146,$B63,MAP!AF$93:AF$146)</f>
        <v>0</v>
      </c>
      <c r="AN63" s="51">
        <f>SUMIF(MAP!$E$93:$E$146,$B63,MAP!AG$93:AG$146)</f>
        <v>0</v>
      </c>
      <c r="AO63" s="51">
        <f>SUMIF(MAP!$E$93:$E$146,$B63,MAP!AH$93:AH$146)</f>
        <v>0</v>
      </c>
      <c r="AP63" s="51">
        <f>SUMIF(MAP!$E$93:$E$146,$B63,MAP!AI$93:AI$146)</f>
        <v>0</v>
      </c>
      <c r="AQ63" s="51">
        <f>SUMIF(MAP!$E$93:$E$146,$B63,MAP!AJ$93:AJ$146)</f>
        <v>0</v>
      </c>
      <c r="AR63" s="51">
        <f>SUMIF(MAP!$E$93:$E$146,$B63,MAP!AK$93:AK$146)</f>
        <v>0</v>
      </c>
      <c r="AS63" s="51">
        <f>SUMIF(MAP!$E$93:$E$146,$B63,MAP!AL$93:AL$146)</f>
        <v>0</v>
      </c>
      <c r="AT63" s="51">
        <f>SUMIF(MAP!$E$93:$E$146,$B63,MAP!AM$93:AM$146)</f>
        <v>0</v>
      </c>
      <c r="AU63" s="51">
        <f>SUMIF(MAP!$E$93:$E$146,$B63,MAP!AN$93:AN$146)</f>
        <v>0</v>
      </c>
      <c r="AV63" s="51">
        <f>SUMIF(MAP!$E$93:$E$146,$B63,MAP!AO$93:AO$146)</f>
        <v>0</v>
      </c>
      <c r="AW63" s="51">
        <f>SUMIF(MAP!$E$93:$E$146,$B63,MAP!AP$93:AP$146)</f>
        <v>0</v>
      </c>
      <c r="AX63" s="51">
        <f>SUMIF(MAP!$E$93:$E$146,$B63,MAP!AQ$93:AQ$146)</f>
        <v>0</v>
      </c>
      <c r="CE63" s="742"/>
      <c r="CF63" s="51">
        <f t="shared" si="0"/>
        <v>0</v>
      </c>
      <c r="CG63" s="51">
        <f t="shared" si="1"/>
        <v>0</v>
      </c>
      <c r="CH63" s="51">
        <f t="shared" si="2"/>
        <v>0</v>
      </c>
      <c r="CI63" s="51">
        <f t="shared" si="3"/>
        <v>0</v>
      </c>
      <c r="CJ63" s="51">
        <f t="shared" si="4"/>
        <v>0</v>
      </c>
      <c r="CK63" s="51">
        <f t="shared" si="5"/>
        <v>0</v>
      </c>
      <c r="CL63" s="51">
        <f t="shared" si="6"/>
        <v>0</v>
      </c>
      <c r="CM63" s="51">
        <f t="shared" si="7"/>
        <v>0</v>
      </c>
    </row>
    <row r="64" spans="1:112" ht="38.25" x14ac:dyDescent="0.25">
      <c r="B64" s="728" t="s">
        <v>552</v>
      </c>
      <c r="D64" s="124">
        <f>D60+D63</f>
        <v>-22354</v>
      </c>
      <c r="F64" s="124">
        <f>F60+F63</f>
        <v>-22354</v>
      </c>
      <c r="H64" s="247">
        <f>D64-'Notes 10 &amp; 11'!C21</f>
        <v>-29841</v>
      </c>
      <c r="J64" s="247">
        <f>F64-'Notes 10 &amp; 11'!E21</f>
        <v>-29841</v>
      </c>
      <c r="M64" s="124">
        <f>M60+M63</f>
        <v>-35671</v>
      </c>
      <c r="O64" s="124">
        <f>O60+O63</f>
        <v>-46855</v>
      </c>
      <c r="Q64" s="124">
        <f>Q60+Q63</f>
        <v>0</v>
      </c>
      <c r="S64" s="124">
        <f>S60+S63</f>
        <v>0</v>
      </c>
      <c r="U64" s="124">
        <f>U60+U63</f>
        <v>-22354</v>
      </c>
      <c r="AA64" s="124">
        <f>AA60+AA63</f>
        <v>-22354</v>
      </c>
      <c r="AD64" s="124">
        <f t="shared" ref="AD64:AX64" si="13">AD60+AD63</f>
        <v>-22354</v>
      </c>
      <c r="AE64" s="124">
        <f t="shared" si="13"/>
        <v>0</v>
      </c>
      <c r="AF64" s="124">
        <f t="shared" si="13"/>
        <v>0</v>
      </c>
      <c r="AG64" s="124">
        <f t="shared" si="13"/>
        <v>0</v>
      </c>
      <c r="AH64" s="124">
        <f t="shared" si="13"/>
        <v>0</v>
      </c>
      <c r="AI64" s="124">
        <f t="shared" si="13"/>
        <v>0</v>
      </c>
      <c r="AJ64" s="124">
        <f t="shared" si="13"/>
        <v>0</v>
      </c>
      <c r="AK64" s="124">
        <f t="shared" si="13"/>
        <v>0</v>
      </c>
      <c r="AL64" s="124">
        <f t="shared" si="13"/>
        <v>0</v>
      </c>
      <c r="AM64" s="124">
        <f t="shared" si="13"/>
        <v>0</v>
      </c>
      <c r="AN64" s="124">
        <f t="shared" si="13"/>
        <v>0</v>
      </c>
      <c r="AO64" s="124">
        <f t="shared" si="13"/>
        <v>0</v>
      </c>
      <c r="AP64" s="124">
        <f t="shared" si="13"/>
        <v>0</v>
      </c>
      <c r="AQ64" s="124">
        <f t="shared" si="13"/>
        <v>0</v>
      </c>
      <c r="AR64" s="124">
        <f t="shared" si="13"/>
        <v>0</v>
      </c>
      <c r="AS64" s="124">
        <f t="shared" si="13"/>
        <v>0</v>
      </c>
      <c r="AT64" s="124">
        <f t="shared" si="13"/>
        <v>0</v>
      </c>
      <c r="AU64" s="124">
        <f t="shared" si="13"/>
        <v>0</v>
      </c>
      <c r="AV64" s="124">
        <f t="shared" si="13"/>
        <v>0</v>
      </c>
      <c r="AW64" s="124">
        <f t="shared" si="13"/>
        <v>0</v>
      </c>
      <c r="AX64" s="124">
        <f t="shared" si="13"/>
        <v>0</v>
      </c>
      <c r="CE64" s="796"/>
      <c r="CF64" s="51">
        <f t="shared" si="0"/>
        <v>0</v>
      </c>
      <c r="CG64" s="51">
        <f t="shared" si="1"/>
        <v>0</v>
      </c>
      <c r="CH64" s="51">
        <f t="shared" si="2"/>
        <v>0</v>
      </c>
      <c r="CI64" s="51">
        <f t="shared" si="3"/>
        <v>0</v>
      </c>
      <c r="CJ64" s="51">
        <f t="shared" si="4"/>
        <v>0</v>
      </c>
      <c r="CK64" s="124">
        <f t="shared" si="5"/>
        <v>-22354</v>
      </c>
      <c r="CL64" s="51">
        <f t="shared" si="6"/>
        <v>0</v>
      </c>
      <c r="CM64" s="51">
        <f t="shared" si="7"/>
        <v>0</v>
      </c>
    </row>
    <row r="65" spans="1:113" x14ac:dyDescent="0.25">
      <c r="D65" s="51"/>
      <c r="F65" s="51"/>
      <c r="M65" s="51"/>
      <c r="O65" s="51"/>
      <c r="Q65" s="51"/>
      <c r="S65" s="51"/>
      <c r="CE65" s="742"/>
      <c r="CF65" s="51">
        <f t="shared" si="0"/>
        <v>0</v>
      </c>
      <c r="CG65" s="51">
        <f t="shared" si="1"/>
        <v>0</v>
      </c>
      <c r="CH65" s="51">
        <f t="shared" si="2"/>
        <v>0</v>
      </c>
      <c r="CI65" s="51">
        <f t="shared" si="3"/>
        <v>0</v>
      </c>
      <c r="CJ65" s="51">
        <f t="shared" si="4"/>
        <v>0</v>
      </c>
      <c r="CK65" s="51">
        <f t="shared" si="5"/>
        <v>0</v>
      </c>
      <c r="CL65" s="51">
        <f t="shared" si="6"/>
        <v>0</v>
      </c>
      <c r="CM65" s="51">
        <f t="shared" si="7"/>
        <v>0</v>
      </c>
    </row>
    <row r="66" spans="1:113" x14ac:dyDescent="0.25">
      <c r="B66" s="47" t="s">
        <v>109</v>
      </c>
      <c r="C66" s="206">
        <v>11</v>
      </c>
      <c r="D66" s="124">
        <f>SUMIF(MAP!$E$93:$E$146,$B66,MAP!T$93:T$146)</f>
        <v>-7487</v>
      </c>
      <c r="F66" s="124">
        <f>SUMIF(MAP!$E$93:$E$146,$B66,MAP!N$93:N$146)</f>
        <v>-7487</v>
      </c>
      <c r="M66" s="124">
        <v>64293</v>
      </c>
      <c r="O66" s="124">
        <v>135250</v>
      </c>
      <c r="Q66" s="124">
        <f>SUMIF(MAP!$E$93:$E$146,$B66,MAP!U$93:U$146)</f>
        <v>0</v>
      </c>
      <c r="S66" s="124">
        <f>SUMIF(MAP!$E$93:$E$146,$B66,MAP!BD$93:BD$146)</f>
        <v>0</v>
      </c>
      <c r="U66" s="124">
        <f>SUMIF(MAP!$E$93:$E$146,$B66,MAP!N$93:N$146)</f>
        <v>-7487</v>
      </c>
      <c r="AA66" s="124">
        <f>SUMIF(MAP!$E$93:$E$146,$B66,MAP!T$93:T$146)</f>
        <v>-7487</v>
      </c>
      <c r="AD66" s="124">
        <f>SUMIF(MAP!$E$93:$E$146,$B66,MAP!W$93:W$146)</f>
        <v>-7487</v>
      </c>
      <c r="AE66" s="124">
        <f>SUMIF(MAP!$E$93:$E$146,$B66,MAP!X$93:X$146)</f>
        <v>0</v>
      </c>
      <c r="AF66" s="124">
        <f>SUMIF(MAP!$E$93:$E$146,$B66,MAP!Y$93:Y$146)</f>
        <v>0</v>
      </c>
      <c r="AG66" s="124">
        <f>SUMIF(MAP!$E$93:$E$146,$B66,MAP!Z$93:Z$146)</f>
        <v>0</v>
      </c>
      <c r="AH66" s="124">
        <f>SUMIF(MAP!$E$93:$E$146,$B66,MAP!AA$93:AA$146)</f>
        <v>0</v>
      </c>
      <c r="AI66" s="124">
        <f>SUMIF(MAP!$E$93:$E$146,$B66,MAP!AB$93:AB$146)</f>
        <v>0</v>
      </c>
      <c r="AJ66" s="124">
        <f>SUMIF(MAP!$E$93:$E$146,$B66,MAP!AC$93:AC$146)</f>
        <v>0</v>
      </c>
      <c r="AK66" s="124">
        <f>SUMIF(MAP!$E$93:$E$146,$B66,MAP!AD$93:AD$146)</f>
        <v>0</v>
      </c>
      <c r="AL66" s="124">
        <f>SUMIF(MAP!$E$93:$E$146,$B66,MAP!AE$93:AE$146)</f>
        <v>0</v>
      </c>
      <c r="AM66" s="124">
        <f>SUMIF(MAP!$E$93:$E$146,$B66,MAP!AF$93:AF$146)</f>
        <v>0</v>
      </c>
      <c r="AN66" s="124">
        <f>SUMIF(MAP!$E$93:$E$146,$B66,MAP!AG$93:AG$146)</f>
        <v>0</v>
      </c>
      <c r="AO66" s="124">
        <f>SUMIF(MAP!$E$93:$E$146,$B66,MAP!AH$93:AH$146)</f>
        <v>0</v>
      </c>
      <c r="AP66" s="124">
        <f>SUMIF(MAP!$E$93:$E$146,$B66,MAP!AI$93:AI$146)</f>
        <v>0</v>
      </c>
      <c r="AQ66" s="124">
        <f>SUMIF(MAP!$E$93:$E$146,$B66,MAP!AJ$93:AJ$146)</f>
        <v>0</v>
      </c>
      <c r="AR66" s="124">
        <f>SUMIF(MAP!$E$93:$E$146,$B66,MAP!AK$93:AK$146)</f>
        <v>0</v>
      </c>
      <c r="AS66" s="124">
        <f>SUMIF(MAP!$E$93:$E$146,$B66,MAP!AL$93:AL$146)</f>
        <v>0</v>
      </c>
      <c r="AT66" s="124">
        <f>SUMIF(MAP!$E$93:$E$146,$B66,MAP!AM$93:AM$146)</f>
        <v>0</v>
      </c>
      <c r="AU66" s="124">
        <f>SUMIF(MAP!$E$93:$E$146,$B66,MAP!AN$93:AN$146)</f>
        <v>0</v>
      </c>
      <c r="AV66" s="124">
        <f>SUMIF(MAP!$E$93:$E$146,$B66,MAP!AO$93:AO$146)</f>
        <v>0</v>
      </c>
      <c r="AW66" s="124">
        <f>SUMIF(MAP!$E$93:$E$146,$B66,MAP!AP$93:AP$146)</f>
        <v>0</v>
      </c>
      <c r="AX66" s="124">
        <f>SUMIF(MAP!$E$93:$E$146,$B66,MAP!AQ$93:AQ$146)</f>
        <v>0</v>
      </c>
      <c r="CE66" s="796"/>
      <c r="CF66" s="51">
        <f t="shared" si="0"/>
        <v>0</v>
      </c>
      <c r="CG66" s="51">
        <f t="shared" si="1"/>
        <v>0</v>
      </c>
      <c r="CH66" s="51">
        <f t="shared" si="2"/>
        <v>0</v>
      </c>
      <c r="CI66" s="51">
        <f t="shared" si="3"/>
        <v>0</v>
      </c>
      <c r="CJ66" s="51">
        <f t="shared" si="4"/>
        <v>0</v>
      </c>
      <c r="CK66" s="124">
        <f t="shared" si="5"/>
        <v>-7487</v>
      </c>
      <c r="CL66" s="51">
        <f t="shared" si="6"/>
        <v>0</v>
      </c>
      <c r="CM66" s="51">
        <f t="shared" si="7"/>
        <v>0</v>
      </c>
    </row>
    <row r="67" spans="1:113" x14ac:dyDescent="0.25">
      <c r="B67" s="47" t="s">
        <v>110</v>
      </c>
      <c r="C67" s="206">
        <v>11</v>
      </c>
      <c r="D67" s="124">
        <f>SUMIF(MAP!$E$93:$E$146,$B67,MAP!T$93:T$146)</f>
        <v>0</v>
      </c>
      <c r="F67" s="124">
        <f>SUMIF(MAP!$E$93:$E$146,$B67,MAP!N$93:N$146)</f>
        <v>0</v>
      </c>
      <c r="M67" s="735">
        <f>+M66+M64</f>
        <v>28622</v>
      </c>
      <c r="O67" s="735">
        <f>+O66+O64</f>
        <v>88395</v>
      </c>
      <c r="Q67" s="124">
        <f>SUMIF(MAP!$E$93:$E$146,$B67,MAP!U$93:U$146)</f>
        <v>0</v>
      </c>
      <c r="S67" s="124">
        <f>SUMIF(MAP!$E$93:$E$146,$B67,MAP!BD$93:BD$146)</f>
        <v>0</v>
      </c>
      <c r="U67" s="124">
        <f>SUMIF(MAP!$E$93:$E$146,$B67,MAP!N$93:N$146)</f>
        <v>0</v>
      </c>
      <c r="AA67" s="124">
        <f>SUMIF(MAP!$E$93:$E$146,$B67,MAP!T$93:T$146)</f>
        <v>0</v>
      </c>
      <c r="AD67" s="124">
        <f>SUMIF(MAP!$E$93:$E$146,$B67,MAP!W$93:W$146)</f>
        <v>0</v>
      </c>
      <c r="AE67" s="124">
        <f>SUMIF(MAP!$E$93:$E$146,$B67,MAP!X$93:X$146)</f>
        <v>0</v>
      </c>
      <c r="AF67" s="124">
        <f>SUMIF(MAP!$E$93:$E$146,$B67,MAP!Y$93:Y$146)</f>
        <v>0</v>
      </c>
      <c r="AG67" s="124">
        <f>SUMIF(MAP!$E$93:$E$146,$B67,MAP!Z$93:Z$146)</f>
        <v>0</v>
      </c>
      <c r="AH67" s="124">
        <f>SUMIF(MAP!$E$93:$E$146,$B67,MAP!AA$93:AA$146)</f>
        <v>0</v>
      </c>
      <c r="AI67" s="124">
        <f>SUMIF(MAP!$E$93:$E$146,$B67,MAP!AB$93:AB$146)</f>
        <v>0</v>
      </c>
      <c r="AJ67" s="124">
        <f>SUMIF(MAP!$E$93:$E$146,$B67,MAP!AC$93:AC$146)</f>
        <v>0</v>
      </c>
      <c r="AK67" s="124">
        <f>SUMIF(MAP!$E$93:$E$146,$B67,MAP!AD$93:AD$146)</f>
        <v>0</v>
      </c>
      <c r="AL67" s="124">
        <f>SUMIF(MAP!$E$93:$E$146,$B67,MAP!AE$93:AE$146)</f>
        <v>0</v>
      </c>
      <c r="AM67" s="124">
        <f>SUMIF(MAP!$E$93:$E$146,$B67,MAP!AF$93:AF$146)</f>
        <v>0</v>
      </c>
      <c r="AN67" s="124">
        <f>SUMIF(MAP!$E$93:$E$146,$B67,MAP!AG$93:AG$146)</f>
        <v>0</v>
      </c>
      <c r="AO67" s="124">
        <f>SUMIF(MAP!$E$93:$E$146,$B67,MAP!AH$93:AH$146)</f>
        <v>0</v>
      </c>
      <c r="AP67" s="124">
        <f>SUMIF(MAP!$E$93:$E$146,$B67,MAP!AI$93:AI$146)</f>
        <v>0</v>
      </c>
      <c r="AQ67" s="124">
        <f>SUMIF(MAP!$E$93:$E$146,$B67,MAP!AJ$93:AJ$146)</f>
        <v>0</v>
      </c>
      <c r="AR67" s="124">
        <f>SUMIF(MAP!$E$93:$E$146,$B67,MAP!AK$93:AK$146)</f>
        <v>0</v>
      </c>
      <c r="AS67" s="124">
        <f>SUMIF(MAP!$E$93:$E$146,$B67,MAP!AL$93:AL$146)</f>
        <v>0</v>
      </c>
      <c r="AT67" s="124">
        <f>SUMIF(MAP!$E$93:$E$146,$B67,MAP!AM$93:AM$146)</f>
        <v>0</v>
      </c>
      <c r="AU67" s="124">
        <f>SUMIF(MAP!$E$93:$E$146,$B67,MAP!AN$93:AN$146)</f>
        <v>0</v>
      </c>
      <c r="AV67" s="124">
        <f>SUMIF(MAP!$E$93:$E$146,$B67,MAP!AO$93:AO$146)</f>
        <v>0</v>
      </c>
      <c r="AW67" s="124">
        <f>SUMIF(MAP!$E$93:$E$146,$B67,MAP!AP$93:AP$146)</f>
        <v>0</v>
      </c>
      <c r="AX67" s="124">
        <f>SUMIF(MAP!$E$93:$E$146,$B67,MAP!AQ$93:AQ$146)</f>
        <v>0</v>
      </c>
      <c r="CE67" s="796"/>
      <c r="CF67" s="51">
        <f t="shared" si="0"/>
        <v>0</v>
      </c>
      <c r="CG67" s="51">
        <f t="shared" si="1"/>
        <v>0</v>
      </c>
      <c r="CH67" s="51">
        <f t="shared" si="2"/>
        <v>0</v>
      </c>
      <c r="CI67" s="51">
        <f t="shared" si="3"/>
        <v>0</v>
      </c>
      <c r="CJ67" s="51">
        <f t="shared" si="4"/>
        <v>0</v>
      </c>
      <c r="CK67" s="124">
        <f t="shared" si="5"/>
        <v>0</v>
      </c>
      <c r="CL67" s="51">
        <f t="shared" si="6"/>
        <v>0</v>
      </c>
      <c r="CM67" s="51">
        <f t="shared" si="7"/>
        <v>0</v>
      </c>
    </row>
    <row r="68" spans="1:113" outlineLevel="1" x14ac:dyDescent="0.25">
      <c r="M68" s="51"/>
      <c r="O68" s="51"/>
    </row>
    <row r="69" spans="1:113" outlineLevel="1" x14ac:dyDescent="0.25">
      <c r="D69" s="247">
        <f>D64+D66-D67</f>
        <v>-29841</v>
      </c>
      <c r="F69" s="247">
        <f>F64+F66-F67</f>
        <v>-29841</v>
      </c>
      <c r="M69" s="247">
        <f>M64+M66-M67</f>
        <v>0</v>
      </c>
      <c r="O69" s="247">
        <f>O64+O66-O67</f>
        <v>0</v>
      </c>
      <c r="Q69" s="247">
        <f>Q64+Q66-Q67</f>
        <v>0</v>
      </c>
      <c r="S69" s="247">
        <f>S64+S66-S67</f>
        <v>0</v>
      </c>
      <c r="U69" s="247">
        <f>U64+U66-U67</f>
        <v>-29841</v>
      </c>
      <c r="AA69" s="247">
        <f>AA64+AA66-AA67</f>
        <v>-29841</v>
      </c>
      <c r="AD69" s="247">
        <f t="shared" ref="AD69:AW69" si="14">AD64+AD66-AD67</f>
        <v>-29841</v>
      </c>
      <c r="AE69" s="247">
        <f t="shared" si="14"/>
        <v>0</v>
      </c>
      <c r="AF69" s="247">
        <f t="shared" si="14"/>
        <v>0</v>
      </c>
      <c r="AG69" s="247">
        <f t="shared" si="14"/>
        <v>0</v>
      </c>
      <c r="AH69" s="247">
        <f t="shared" si="14"/>
        <v>0</v>
      </c>
      <c r="AI69" s="247">
        <f t="shared" si="14"/>
        <v>0</v>
      </c>
      <c r="AJ69" s="247">
        <f t="shared" si="14"/>
        <v>0</v>
      </c>
      <c r="AK69" s="247">
        <f t="shared" si="14"/>
        <v>0</v>
      </c>
      <c r="AL69" s="247">
        <f t="shared" si="14"/>
        <v>0</v>
      </c>
      <c r="AM69" s="247">
        <f t="shared" si="14"/>
        <v>0</v>
      </c>
      <c r="AN69" s="247">
        <f t="shared" si="14"/>
        <v>0</v>
      </c>
      <c r="AO69" s="247">
        <f t="shared" si="14"/>
        <v>0</v>
      </c>
      <c r="AP69" s="247">
        <f t="shared" si="14"/>
        <v>0</v>
      </c>
      <c r="AQ69" s="247">
        <f t="shared" si="14"/>
        <v>0</v>
      </c>
      <c r="AR69" s="247">
        <f t="shared" si="14"/>
        <v>0</v>
      </c>
      <c r="AS69" s="247">
        <f t="shared" si="14"/>
        <v>0</v>
      </c>
      <c r="AT69" s="247">
        <f t="shared" si="14"/>
        <v>0</v>
      </c>
      <c r="AU69" s="247">
        <f t="shared" si="14"/>
        <v>0</v>
      </c>
      <c r="AV69" s="247">
        <f t="shared" si="14"/>
        <v>0</v>
      </c>
      <c r="AW69" s="247">
        <f t="shared" si="14"/>
        <v>0</v>
      </c>
      <c r="AX69" s="247">
        <f>AX64+AX66-AX67</f>
        <v>0</v>
      </c>
    </row>
    <row r="70" spans="1:113" outlineLevel="1" x14ac:dyDescent="0.25">
      <c r="B70" s="47"/>
      <c r="D70" s="247">
        <f>D67-D71</f>
        <v>0</v>
      </c>
      <c r="F70" s="247">
        <f>F67-F71</f>
        <v>0</v>
      </c>
      <c r="U70" s="247">
        <f>U67-U71</f>
        <v>0</v>
      </c>
      <c r="V70" s="247">
        <f t="shared" ref="V70:AX70" si="15">V67-V71</f>
        <v>0</v>
      </c>
      <c r="W70" s="247">
        <f t="shared" si="15"/>
        <v>0</v>
      </c>
      <c r="X70" s="247">
        <f t="shared" si="15"/>
        <v>0</v>
      </c>
      <c r="Y70" s="247">
        <f t="shared" si="15"/>
        <v>0</v>
      </c>
      <c r="Z70" s="247">
        <f t="shared" si="15"/>
        <v>0</v>
      </c>
      <c r="AA70" s="247">
        <f t="shared" si="15"/>
        <v>0</v>
      </c>
      <c r="AB70" s="247">
        <f t="shared" si="15"/>
        <v>0</v>
      </c>
      <c r="AC70" s="247">
        <f t="shared" si="15"/>
        <v>0</v>
      </c>
      <c r="AD70" s="247">
        <f t="shared" si="15"/>
        <v>0</v>
      </c>
      <c r="AE70" s="247">
        <f t="shared" si="15"/>
        <v>0</v>
      </c>
      <c r="AF70" s="247">
        <f t="shared" si="15"/>
        <v>0</v>
      </c>
      <c r="AG70" s="247">
        <f t="shared" si="15"/>
        <v>0</v>
      </c>
      <c r="AH70" s="247">
        <f t="shared" si="15"/>
        <v>0</v>
      </c>
      <c r="AI70" s="247">
        <f t="shared" si="15"/>
        <v>0</v>
      </c>
      <c r="AJ70" s="247">
        <f t="shared" si="15"/>
        <v>0</v>
      </c>
      <c r="AK70" s="247">
        <f t="shared" si="15"/>
        <v>0</v>
      </c>
      <c r="AL70" s="247">
        <f t="shared" si="15"/>
        <v>0</v>
      </c>
      <c r="AM70" s="247">
        <f t="shared" si="15"/>
        <v>0</v>
      </c>
      <c r="AN70" s="247">
        <f t="shared" si="15"/>
        <v>0</v>
      </c>
      <c r="AO70" s="247">
        <f t="shared" si="15"/>
        <v>0</v>
      </c>
      <c r="AP70" s="247">
        <f t="shared" si="15"/>
        <v>0</v>
      </c>
      <c r="AQ70" s="247">
        <f t="shared" si="15"/>
        <v>0</v>
      </c>
      <c r="AR70" s="247">
        <f t="shared" si="15"/>
        <v>0</v>
      </c>
      <c r="AS70" s="247">
        <f t="shared" si="15"/>
        <v>0</v>
      </c>
      <c r="AT70" s="247">
        <f t="shared" si="15"/>
        <v>0</v>
      </c>
      <c r="AU70" s="247">
        <f t="shared" si="15"/>
        <v>0</v>
      </c>
      <c r="AV70" s="247">
        <f t="shared" si="15"/>
        <v>0</v>
      </c>
      <c r="AW70" s="247">
        <f t="shared" si="15"/>
        <v>0</v>
      </c>
      <c r="AX70" s="247">
        <f t="shared" si="15"/>
        <v>0</v>
      </c>
      <c r="DI70" s="212"/>
    </row>
    <row r="71" spans="1:113" outlineLevel="1" x14ac:dyDescent="0.25">
      <c r="C71" s="736" t="s">
        <v>1056</v>
      </c>
      <c r="D71" s="212">
        <f>'Notes 10 &amp; 11'!C22</f>
        <v>0</v>
      </c>
      <c r="E71" s="212"/>
      <c r="F71" s="212">
        <f>'Notes 10 &amp; 11'!E22</f>
        <v>0</v>
      </c>
      <c r="G71" s="212"/>
      <c r="H71" s="212"/>
      <c r="I71" s="212"/>
      <c r="J71" s="212"/>
      <c r="K71" s="212"/>
      <c r="L71" s="212"/>
      <c r="M71" s="227"/>
      <c r="N71" s="212"/>
      <c r="O71" s="227"/>
      <c r="P71" s="212"/>
      <c r="Q71" s="212">
        <f>'Notes 10 &amp; 11'!K22</f>
        <v>0</v>
      </c>
      <c r="R71" s="212"/>
      <c r="S71" s="212">
        <f>'Notes 10 &amp; 11'!M22</f>
        <v>0</v>
      </c>
      <c r="T71" s="212"/>
      <c r="U71" s="212">
        <f>MAP!N1211</f>
        <v>0</v>
      </c>
      <c r="V71" s="212">
        <f>MAP!O1211</f>
        <v>0</v>
      </c>
      <c r="W71" s="212">
        <f>MAP!P1211</f>
        <v>0</v>
      </c>
      <c r="X71" s="212">
        <f>MAP!Q1211</f>
        <v>0</v>
      </c>
      <c r="Y71" s="212">
        <f>MAP!R1211</f>
        <v>0</v>
      </c>
      <c r="Z71" s="212">
        <f>MAP!S1211</f>
        <v>0</v>
      </c>
      <c r="AA71" s="212">
        <f>MAP!T1211</f>
        <v>0</v>
      </c>
      <c r="AB71" s="212">
        <f>MAP!U1211</f>
        <v>0</v>
      </c>
      <c r="AC71" s="212">
        <f>MAP!V1211</f>
        <v>0</v>
      </c>
      <c r="AD71" s="212">
        <f>MAP!W1211</f>
        <v>0</v>
      </c>
      <c r="AE71" s="212">
        <f>MAP!X1211</f>
        <v>0</v>
      </c>
      <c r="AF71" s="212">
        <f>MAP!Y1211</f>
        <v>0</v>
      </c>
      <c r="AG71" s="212">
        <f>MAP!Z1211</f>
        <v>0</v>
      </c>
      <c r="AH71" s="212">
        <f>MAP!AA1211</f>
        <v>0</v>
      </c>
      <c r="AI71" s="212">
        <f>MAP!AB1211</f>
        <v>0</v>
      </c>
      <c r="AJ71" s="212">
        <f>MAP!AC1211</f>
        <v>0</v>
      </c>
      <c r="AK71" s="212">
        <f>MAP!AD1211</f>
        <v>0</v>
      </c>
      <c r="AL71" s="212">
        <f>MAP!AE1211</f>
        <v>0</v>
      </c>
      <c r="AM71" s="212">
        <f>MAP!AF1211</f>
        <v>0</v>
      </c>
      <c r="AN71" s="212">
        <f>MAP!AG1211</f>
        <v>0</v>
      </c>
      <c r="AO71" s="212">
        <f>MAP!AH1211</f>
        <v>0</v>
      </c>
      <c r="AP71" s="212">
        <f>MAP!AI1211</f>
        <v>0</v>
      </c>
      <c r="AQ71" s="212">
        <f>MAP!AJ1211</f>
        <v>0</v>
      </c>
      <c r="AR71" s="212">
        <f>MAP!AK1211</f>
        <v>0</v>
      </c>
      <c r="AS71" s="212">
        <f>MAP!AL1211</f>
        <v>0</v>
      </c>
      <c r="AT71" s="212">
        <f>MAP!AM1211</f>
        <v>0</v>
      </c>
      <c r="AU71" s="212">
        <f>MAP!AN1211</f>
        <v>0</v>
      </c>
      <c r="AV71" s="212">
        <f>MAP!AO1211</f>
        <v>0</v>
      </c>
      <c r="AW71" s="212">
        <f>MAP!AP1211</f>
        <v>0</v>
      </c>
      <c r="AX71" s="212">
        <f>MAP!AQ1211</f>
        <v>0</v>
      </c>
      <c r="AY71" s="212"/>
      <c r="CD71" s="212"/>
      <c r="CE71" s="212"/>
      <c r="CF71" s="212"/>
      <c r="CG71" s="212"/>
      <c r="CH71" s="212"/>
      <c r="CI71" s="212"/>
      <c r="CJ71" s="212"/>
      <c r="CK71" s="212"/>
      <c r="CL71" s="212"/>
      <c r="CM71" s="212"/>
      <c r="DI71" s="212"/>
    </row>
    <row r="72" spans="1:113" outlineLevel="1" x14ac:dyDescent="0.25"/>
    <row r="73" spans="1:113" outlineLevel="1" x14ac:dyDescent="0.25">
      <c r="C73" s="736" t="s">
        <v>1055</v>
      </c>
      <c r="D73" s="212">
        <f>SFP!E29</f>
        <v>0</v>
      </c>
      <c r="E73" s="212"/>
      <c r="F73" s="212">
        <f>SFP!G29</f>
        <v>0</v>
      </c>
      <c r="G73" s="212"/>
      <c r="H73" s="212"/>
      <c r="I73" s="212"/>
      <c r="J73" s="212"/>
      <c r="K73" s="212"/>
      <c r="L73" s="212"/>
      <c r="M73" s="212"/>
      <c r="N73" s="212"/>
      <c r="O73" s="212"/>
      <c r="P73" s="212"/>
      <c r="Q73" s="212">
        <f>SFP!M29</f>
        <v>96832</v>
      </c>
      <c r="R73" s="212"/>
      <c r="S73" s="212">
        <f>SFP!P29</f>
        <v>3013</v>
      </c>
      <c r="T73" s="212"/>
      <c r="U73" s="212">
        <f>MAP!N57</f>
        <v>0</v>
      </c>
      <c r="V73" s="212"/>
      <c r="W73" s="212"/>
      <c r="X73" s="212"/>
      <c r="Y73" s="212"/>
      <c r="Z73" s="212"/>
      <c r="AA73" s="212">
        <f>MAP!T57</f>
        <v>0</v>
      </c>
      <c r="AB73" s="212"/>
      <c r="AC73" s="212"/>
      <c r="AD73" s="212">
        <f>MAP!W57</f>
        <v>0</v>
      </c>
      <c r="AE73" s="212">
        <f>MAP!X57</f>
        <v>0</v>
      </c>
      <c r="AF73" s="212">
        <f>MAP!Y57</f>
        <v>0</v>
      </c>
      <c r="AG73" s="212">
        <f>MAP!Z57</f>
        <v>0</v>
      </c>
      <c r="AH73" s="212">
        <f>MAP!AA57</f>
        <v>0</v>
      </c>
      <c r="AI73" s="212">
        <f>MAP!AB57</f>
        <v>0</v>
      </c>
      <c r="AJ73" s="212">
        <f>MAP!AC57</f>
        <v>0</v>
      </c>
      <c r="AK73" s="212">
        <f>MAP!AD57</f>
        <v>0</v>
      </c>
      <c r="AL73" s="212">
        <f>MAP!AE57</f>
        <v>0</v>
      </c>
      <c r="AM73" s="212">
        <f>MAP!AF57</f>
        <v>0</v>
      </c>
      <c r="AN73" s="212">
        <f>MAP!AG57</f>
        <v>0</v>
      </c>
      <c r="AO73" s="212">
        <f>MAP!AH57</f>
        <v>0</v>
      </c>
      <c r="AP73" s="212">
        <f>MAP!AI57</f>
        <v>0</v>
      </c>
      <c r="AQ73" s="212">
        <f>MAP!AJ57</f>
        <v>0</v>
      </c>
      <c r="AR73" s="212">
        <f>MAP!AK57</f>
        <v>0</v>
      </c>
      <c r="AS73" s="212">
        <f>MAP!AL57</f>
        <v>0</v>
      </c>
      <c r="AT73" s="212">
        <f>MAP!AM57</f>
        <v>0</v>
      </c>
      <c r="AU73" s="212">
        <f>MAP!AN57</f>
        <v>0</v>
      </c>
      <c r="AV73" s="212">
        <f>MAP!AO57</f>
        <v>0</v>
      </c>
      <c r="AW73" s="212">
        <f>MAP!AP57</f>
        <v>0</v>
      </c>
      <c r="AX73" s="212">
        <f>MAP!AQ57</f>
        <v>0</v>
      </c>
      <c r="AY73" s="212"/>
      <c r="CD73" s="212"/>
      <c r="CE73" s="212"/>
      <c r="CF73" s="212"/>
      <c r="CG73" s="212"/>
      <c r="CH73" s="212"/>
      <c r="CI73" s="212"/>
      <c r="CJ73" s="212"/>
      <c r="CK73" s="212"/>
      <c r="CL73" s="212"/>
      <c r="CM73" s="212"/>
    </row>
    <row r="74" spans="1:113" outlineLevel="1" x14ac:dyDescent="0.25">
      <c r="C74" s="212"/>
      <c r="D74" s="798">
        <f>D73-D67-'Note 13'!C11</f>
        <v>0</v>
      </c>
      <c r="E74" s="212"/>
      <c r="F74" s="798">
        <f>F73-F67-'Note 13'!E11</f>
        <v>0</v>
      </c>
      <c r="G74" s="212"/>
      <c r="H74" s="212"/>
      <c r="I74" s="212"/>
      <c r="J74" s="212"/>
      <c r="K74" s="212"/>
      <c r="L74" s="212"/>
      <c r="M74" s="212"/>
      <c r="N74" s="212"/>
      <c r="O74" s="212"/>
      <c r="P74" s="212"/>
      <c r="Q74" s="798">
        <f>Q73-Q67</f>
        <v>96832</v>
      </c>
      <c r="R74" s="212"/>
      <c r="S74" s="798">
        <f>S73-S67</f>
        <v>3013</v>
      </c>
      <c r="T74" s="212"/>
      <c r="U74" s="798">
        <f>U73-U67-'Note 13'!C11</f>
        <v>0</v>
      </c>
      <c r="V74" s="212"/>
      <c r="W74" s="212"/>
      <c r="X74" s="212"/>
      <c r="Y74" s="212"/>
      <c r="Z74" s="212"/>
      <c r="AA74" s="798">
        <f>AA73-AA67</f>
        <v>0</v>
      </c>
      <c r="AB74" s="212"/>
      <c r="AC74" s="212"/>
      <c r="AD74" s="798">
        <f t="shared" ref="AD74:AX74" si="16">AD73-AD67</f>
        <v>0</v>
      </c>
      <c r="AE74" s="798">
        <f t="shared" si="16"/>
        <v>0</v>
      </c>
      <c r="AF74" s="798">
        <f t="shared" si="16"/>
        <v>0</v>
      </c>
      <c r="AG74" s="798">
        <f t="shared" si="16"/>
        <v>0</v>
      </c>
      <c r="AH74" s="798">
        <f t="shared" si="16"/>
        <v>0</v>
      </c>
      <c r="AI74" s="798">
        <f t="shared" si="16"/>
        <v>0</v>
      </c>
      <c r="AJ74" s="798">
        <f t="shared" si="16"/>
        <v>0</v>
      </c>
      <c r="AK74" s="798">
        <f t="shared" si="16"/>
        <v>0</v>
      </c>
      <c r="AL74" s="798">
        <f t="shared" si="16"/>
        <v>0</v>
      </c>
      <c r="AM74" s="798">
        <f t="shared" si="16"/>
        <v>0</v>
      </c>
      <c r="AN74" s="798">
        <f t="shared" si="16"/>
        <v>0</v>
      </c>
      <c r="AO74" s="798">
        <f t="shared" si="16"/>
        <v>0</v>
      </c>
      <c r="AP74" s="798">
        <f t="shared" si="16"/>
        <v>0</v>
      </c>
      <c r="AQ74" s="798">
        <f t="shared" si="16"/>
        <v>0</v>
      </c>
      <c r="AR74" s="798">
        <f t="shared" si="16"/>
        <v>0</v>
      </c>
      <c r="AS74" s="798">
        <f t="shared" si="16"/>
        <v>0</v>
      </c>
      <c r="AT74" s="798">
        <f t="shared" si="16"/>
        <v>0</v>
      </c>
      <c r="AU74" s="798">
        <f t="shared" si="16"/>
        <v>0</v>
      </c>
      <c r="AV74" s="798">
        <f t="shared" si="16"/>
        <v>0</v>
      </c>
      <c r="AW74" s="798">
        <f t="shared" si="16"/>
        <v>0</v>
      </c>
      <c r="AX74" s="798">
        <f t="shared" si="16"/>
        <v>0</v>
      </c>
      <c r="AY74" s="212"/>
      <c r="CD74" s="212"/>
      <c r="CE74" s="212"/>
      <c r="CF74" s="212"/>
      <c r="CG74" s="212"/>
      <c r="CH74" s="212"/>
      <c r="CI74" s="212"/>
      <c r="CJ74" s="212"/>
      <c r="CK74" s="212"/>
      <c r="CL74" s="212"/>
      <c r="CM74" s="212"/>
    </row>
    <row r="75" spans="1:113" outlineLevel="1" x14ac:dyDescent="0.25">
      <c r="D75" s="206" t="str">
        <f>"Note Core cash in payables is £"&amp;'Note 13'!C11&amp;"k"</f>
        <v>Note Core cash in payables is £0k</v>
      </c>
      <c r="AD75" s="801" t="s">
        <v>1380</v>
      </c>
    </row>
    <row r="76" spans="1:113" outlineLevel="1" x14ac:dyDescent="0.25">
      <c r="D76" s="206" t="str">
        <f>"Note cash in payables is £"&amp;'Note 13'!E11&amp;"k"</f>
        <v>Note cash in payables is £0k</v>
      </c>
      <c r="AV76" s="799">
        <f>AV26-(-522)</f>
        <v>522</v>
      </c>
    </row>
    <row r="79" spans="1:113" ht="67.5" hidden="1" x14ac:dyDescent="0.25">
      <c r="A79" s="723"/>
      <c r="B79" s="47" t="str">
        <f>"for the year ended"&amp;Update!$B$22</f>
        <v>for the year ended 31 March 2026</v>
      </c>
      <c r="D79" s="201" t="str">
        <f>Update!$B$7</f>
        <v>Core Department &amp; Agencies</v>
      </c>
      <c r="F79" s="201" t="str">
        <f>Update!$B$8</f>
        <v>Departmental Group</v>
      </c>
      <c r="H79" s="349" t="s">
        <v>483</v>
      </c>
      <c r="I79" s="349"/>
      <c r="J79" s="349" t="s">
        <v>1029</v>
      </c>
      <c r="K79" s="349" t="s">
        <v>44</v>
      </c>
      <c r="M79" s="201" t="str">
        <f>Update!$B$7</f>
        <v>Core Department &amp; Agencies</v>
      </c>
      <c r="O79" s="201" t="str">
        <f>Update!$B$8</f>
        <v>Departmental Group</v>
      </c>
      <c r="Q79" s="201" t="str">
        <f>Update!$B$7</f>
        <v>Core Department &amp; Agencies</v>
      </c>
      <c r="S79" s="201" t="str">
        <f>Update!$B$8</f>
        <v>Departmental Group</v>
      </c>
      <c r="U79" s="685" t="s">
        <v>838</v>
      </c>
      <c r="AA79" s="685" t="s">
        <v>1047</v>
      </c>
      <c r="AD79" s="685">
        <f>MAP!W81</f>
        <v>0</v>
      </c>
      <c r="AE79" s="685">
        <f>MAP!X81</f>
        <v>0</v>
      </c>
      <c r="AF79" s="685">
        <f>MAP!Y81</f>
        <v>0</v>
      </c>
      <c r="AG79" s="685">
        <f>MAP!Z81</f>
        <v>0</v>
      </c>
      <c r="AH79" s="685">
        <f>MAP!AA81</f>
        <v>0</v>
      </c>
      <c r="AI79" s="685">
        <f>MAP!AB81</f>
        <v>0</v>
      </c>
      <c r="AJ79" s="685">
        <f>MAP!AC81</f>
        <v>0</v>
      </c>
      <c r="AK79" s="685">
        <f>MAP!AD81</f>
        <v>0</v>
      </c>
      <c r="AL79" s="685">
        <f>MAP!AE81</f>
        <v>0</v>
      </c>
      <c r="AM79" s="685">
        <f>MAP!AF81</f>
        <v>0</v>
      </c>
      <c r="AN79" s="685">
        <f>MAP!AG81</f>
        <v>0</v>
      </c>
      <c r="AO79" s="685">
        <f>MAP!AH81</f>
        <v>0</v>
      </c>
      <c r="AP79" s="685">
        <f>MAP!AI81</f>
        <v>0</v>
      </c>
      <c r="AQ79" s="685">
        <f>MAP!AJ81</f>
        <v>0</v>
      </c>
      <c r="AR79" s="685">
        <f>MAP!AK81</f>
        <v>0</v>
      </c>
      <c r="AS79" s="685">
        <f>MAP!AL81</f>
        <v>0</v>
      </c>
      <c r="AT79" s="685">
        <f>MAP!AM81</f>
        <v>0</v>
      </c>
      <c r="AU79" s="685">
        <f>MAP!AN81</f>
        <v>0</v>
      </c>
      <c r="AV79" s="685">
        <f>MAP!AO81</f>
        <v>0</v>
      </c>
      <c r="AW79" s="685">
        <f>MAP!AP81</f>
        <v>0</v>
      </c>
      <c r="AX79" s="685">
        <f>MAP!AQ81</f>
        <v>0</v>
      </c>
      <c r="AZ79" s="685" t="s">
        <v>838</v>
      </c>
      <c r="BF79" s="685" t="s">
        <v>1047</v>
      </c>
      <c r="BI79" s="685" t="s">
        <v>1324</v>
      </c>
      <c r="BJ79" s="685" t="s">
        <v>2457</v>
      </c>
      <c r="BK79" s="685" t="s">
        <v>5</v>
      </c>
      <c r="BL79" s="685" t="s">
        <v>11</v>
      </c>
      <c r="BM79" s="685" t="s">
        <v>25</v>
      </c>
      <c r="BN79" s="685" t="s">
        <v>1011</v>
      </c>
      <c r="BO79" s="685" t="s">
        <v>19</v>
      </c>
      <c r="BP79" s="685" t="s">
        <v>35</v>
      </c>
      <c r="BQ79" s="685" t="s">
        <v>902</v>
      </c>
      <c r="BR79" s="685" t="s">
        <v>2446</v>
      </c>
      <c r="BS79" s="685" t="s">
        <v>23</v>
      </c>
      <c r="BT79" s="685" t="s">
        <v>33</v>
      </c>
      <c r="BU79" s="685" t="s">
        <v>31</v>
      </c>
      <c r="BV79" s="685" t="s">
        <v>7</v>
      </c>
      <c r="BW79" s="685" t="s">
        <v>27</v>
      </c>
      <c r="BX79" s="685" t="s">
        <v>29</v>
      </c>
      <c r="BY79" s="685" t="s">
        <v>13</v>
      </c>
      <c r="BZ79" s="685" t="s">
        <v>9</v>
      </c>
      <c r="CA79" s="685" t="s">
        <v>15</v>
      </c>
      <c r="CB79" s="685" t="s">
        <v>37</v>
      </c>
      <c r="CC79" s="685" t="s">
        <v>39</v>
      </c>
      <c r="CE79" s="685" t="s">
        <v>838</v>
      </c>
      <c r="CK79" s="685" t="s">
        <v>1047</v>
      </c>
      <c r="CN79" s="685" t="s">
        <v>1324</v>
      </c>
      <c r="CO79" s="685" t="s">
        <v>2457</v>
      </c>
      <c r="CP79" s="685" t="s">
        <v>5</v>
      </c>
      <c r="CQ79" s="685" t="s">
        <v>11</v>
      </c>
      <c r="CR79" s="685" t="s">
        <v>25</v>
      </c>
      <c r="CS79" s="685" t="s">
        <v>1011</v>
      </c>
      <c r="CT79" s="685" t="s">
        <v>19</v>
      </c>
      <c r="CU79" s="685" t="s">
        <v>35</v>
      </c>
      <c r="CV79" s="685" t="s">
        <v>902</v>
      </c>
      <c r="CW79" s="685" t="s">
        <v>2446</v>
      </c>
      <c r="CX79" s="685" t="s">
        <v>23</v>
      </c>
      <c r="CY79" s="685" t="s">
        <v>33</v>
      </c>
      <c r="CZ79" s="685" t="s">
        <v>31</v>
      </c>
      <c r="DA79" s="685" t="s">
        <v>7</v>
      </c>
      <c r="DB79" s="685" t="s">
        <v>27</v>
      </c>
      <c r="DC79" s="685" t="s">
        <v>29</v>
      </c>
      <c r="DD79" s="685" t="s">
        <v>13</v>
      </c>
      <c r="DE79" s="685" t="s">
        <v>9</v>
      </c>
      <c r="DF79" s="685" t="s">
        <v>15</v>
      </c>
      <c r="DG79" s="685" t="s">
        <v>37</v>
      </c>
      <c r="DH79" s="685" t="s">
        <v>39</v>
      </c>
    </row>
    <row r="80" spans="1:113" hidden="1" x14ac:dyDescent="0.25">
      <c r="B80" s="47"/>
      <c r="D80" s="724" t="str">
        <f>Update!$B$13</f>
        <v>2025-26</v>
      </c>
      <c r="F80" s="724" t="str">
        <f>D80</f>
        <v>2025-26</v>
      </c>
      <c r="M80" s="724" t="str">
        <f>Update!$B$15</f>
        <v>2024-25</v>
      </c>
      <c r="O80" s="724" t="str">
        <f>M80</f>
        <v>2024-25</v>
      </c>
      <c r="Q80" s="724" t="str">
        <f>Update!$B$13</f>
        <v>2025-26</v>
      </c>
      <c r="S80" s="724" t="str">
        <f>Q80</f>
        <v>2025-26</v>
      </c>
      <c r="U80" s="725" t="str">
        <f>Update!$B$13</f>
        <v>2025-26</v>
      </c>
      <c r="AA80" s="725" t="str">
        <f>Update!$B$13</f>
        <v>2025-26</v>
      </c>
      <c r="AD80" s="725" t="str">
        <f>Update!$B$13</f>
        <v>2025-26</v>
      </c>
      <c r="AE80" s="725" t="str">
        <f>Update!$B$13</f>
        <v>2025-26</v>
      </c>
      <c r="AF80" s="725" t="str">
        <f>Update!$B$13</f>
        <v>2025-26</v>
      </c>
      <c r="AG80" s="725" t="str">
        <f>Update!$B$13</f>
        <v>2025-26</v>
      </c>
      <c r="AH80" s="725" t="str">
        <f>Update!$B$13</f>
        <v>2025-26</v>
      </c>
      <c r="AI80" s="725" t="str">
        <f>Update!$B$13</f>
        <v>2025-26</v>
      </c>
      <c r="AJ80" s="725" t="str">
        <f>Update!$B$13</f>
        <v>2025-26</v>
      </c>
      <c r="AK80" s="725" t="str">
        <f>Update!$B$13</f>
        <v>2025-26</v>
      </c>
      <c r="AL80" s="725" t="str">
        <f>Update!$B$13</f>
        <v>2025-26</v>
      </c>
      <c r="AM80" s="725" t="str">
        <f>Update!$B$13</f>
        <v>2025-26</v>
      </c>
      <c r="AN80" s="725" t="str">
        <f>Update!$B$13</f>
        <v>2025-26</v>
      </c>
      <c r="AO80" s="725" t="str">
        <f>Update!$B$13</f>
        <v>2025-26</v>
      </c>
      <c r="AP80" s="725" t="str">
        <f>Update!$B$13</f>
        <v>2025-26</v>
      </c>
      <c r="AQ80" s="725" t="str">
        <f>Update!$B$13</f>
        <v>2025-26</v>
      </c>
      <c r="AR80" s="725" t="str">
        <f>Update!$B$13</f>
        <v>2025-26</v>
      </c>
      <c r="AS80" s="725" t="str">
        <f>Update!$B$13</f>
        <v>2025-26</v>
      </c>
      <c r="AT80" s="725" t="str">
        <f>Update!$B$13</f>
        <v>2025-26</v>
      </c>
      <c r="AU80" s="725" t="str">
        <f>Update!$B$13</f>
        <v>2025-26</v>
      </c>
      <c r="AV80" s="725" t="str">
        <f>Update!$B$13</f>
        <v>2025-26</v>
      </c>
      <c r="AW80" s="725" t="str">
        <f>Update!$B$13</f>
        <v>2025-26</v>
      </c>
      <c r="AX80" s="725" t="str">
        <f>Update!$B$13</f>
        <v>2025-26</v>
      </c>
      <c r="AZ80" s="725" t="str">
        <f>Update!$B$13</f>
        <v>2025-26</v>
      </c>
      <c r="BF80" s="725" t="str">
        <f>Update!$B$13</f>
        <v>2025-26</v>
      </c>
      <c r="BI80" s="725" t="str">
        <f>Update!$B$13</f>
        <v>2025-26</v>
      </c>
      <c r="BJ80" s="725" t="str">
        <f>Update!$B$13</f>
        <v>2025-26</v>
      </c>
      <c r="BK80" s="725" t="str">
        <f>Update!$B$13</f>
        <v>2025-26</v>
      </c>
      <c r="BL80" s="725" t="str">
        <f>Update!$B$13</f>
        <v>2025-26</v>
      </c>
      <c r="BM80" s="725" t="str">
        <f>Update!$B$13</f>
        <v>2025-26</v>
      </c>
      <c r="BN80" s="725" t="str">
        <f>Update!$B$13</f>
        <v>2025-26</v>
      </c>
      <c r="BO80" s="725" t="str">
        <f>Update!$B$13</f>
        <v>2025-26</v>
      </c>
      <c r="BP80" s="725" t="str">
        <f>Update!$B$13</f>
        <v>2025-26</v>
      </c>
      <c r="BQ80" s="725" t="str">
        <f>Update!$B$13</f>
        <v>2025-26</v>
      </c>
      <c r="BR80" s="725" t="str">
        <f>Update!$B$13</f>
        <v>2025-26</v>
      </c>
      <c r="BS80" s="725" t="str">
        <f>Update!$B$13</f>
        <v>2025-26</v>
      </c>
      <c r="BT80" s="725" t="str">
        <f>Update!$B$13</f>
        <v>2025-26</v>
      </c>
      <c r="BU80" s="725" t="str">
        <f>Update!$B$13</f>
        <v>2025-26</v>
      </c>
      <c r="BV80" s="725" t="str">
        <f>Update!$B$13</f>
        <v>2025-26</v>
      </c>
      <c r="BW80" s="725" t="str">
        <f>Update!$B$13</f>
        <v>2025-26</v>
      </c>
      <c r="BX80" s="725" t="str">
        <f>Update!$B$13</f>
        <v>2025-26</v>
      </c>
      <c r="BY80" s="725" t="str">
        <f>Update!$B$13</f>
        <v>2025-26</v>
      </c>
      <c r="BZ80" s="725" t="str">
        <f>Update!$B$13</f>
        <v>2025-26</v>
      </c>
      <c r="CA80" s="725" t="str">
        <f>Update!$B$13</f>
        <v>2025-26</v>
      </c>
      <c r="CB80" s="725" t="str">
        <f>Update!$B$13</f>
        <v>2025-26</v>
      </c>
      <c r="CC80" s="725" t="str">
        <f>Update!$B$13</f>
        <v>2025-26</v>
      </c>
      <c r="CE80" s="725" t="str">
        <f>Update!$B$13</f>
        <v>2025-26</v>
      </c>
      <c r="CK80" s="725" t="str">
        <f>Update!$B$13</f>
        <v>2025-26</v>
      </c>
      <c r="CN80" s="725" t="str">
        <f>Update!$B$13</f>
        <v>2025-26</v>
      </c>
      <c r="CO80" s="725" t="str">
        <f>Update!$B$13</f>
        <v>2025-26</v>
      </c>
      <c r="CP80" s="725" t="str">
        <f>Update!$B$13</f>
        <v>2025-26</v>
      </c>
      <c r="CQ80" s="725" t="str">
        <f>Update!$B$13</f>
        <v>2025-26</v>
      </c>
      <c r="CR80" s="725" t="str">
        <f>Update!$B$13</f>
        <v>2025-26</v>
      </c>
      <c r="CS80" s="725" t="str">
        <f>Update!$B$13</f>
        <v>2025-26</v>
      </c>
      <c r="CT80" s="725" t="str">
        <f>Update!$B$13</f>
        <v>2025-26</v>
      </c>
      <c r="CU80" s="725" t="str">
        <f>Update!$B$13</f>
        <v>2025-26</v>
      </c>
      <c r="CV80" s="725" t="str">
        <f>Update!$B$13</f>
        <v>2025-26</v>
      </c>
      <c r="CW80" s="725" t="str">
        <f>Update!$B$13</f>
        <v>2025-26</v>
      </c>
      <c r="CX80" s="725" t="str">
        <f>Update!$B$13</f>
        <v>2025-26</v>
      </c>
      <c r="CY80" s="725" t="str">
        <f>Update!$B$13</f>
        <v>2025-26</v>
      </c>
      <c r="CZ80" s="725" t="str">
        <f>Update!$B$13</f>
        <v>2025-26</v>
      </c>
      <c r="DA80" s="725" t="str">
        <f>Update!$B$13</f>
        <v>2025-26</v>
      </c>
      <c r="DB80" s="725" t="str">
        <f>Update!$B$13</f>
        <v>2025-26</v>
      </c>
      <c r="DC80" s="725" t="str">
        <f>Update!$B$13</f>
        <v>2025-26</v>
      </c>
      <c r="DD80" s="725" t="str">
        <f>Update!$B$13</f>
        <v>2025-26</v>
      </c>
      <c r="DE80" s="725" t="str">
        <f>Update!$B$13</f>
        <v>2025-26</v>
      </c>
      <c r="DF80" s="725" t="str">
        <f>Update!$B$13</f>
        <v>2025-26</v>
      </c>
      <c r="DG80" s="725" t="str">
        <f>Update!$B$13</f>
        <v>2025-26</v>
      </c>
      <c r="DH80" s="725" t="str">
        <f>Update!$B$13</f>
        <v>2025-26</v>
      </c>
    </row>
    <row r="81" spans="1:112" hidden="1" x14ac:dyDescent="0.25">
      <c r="B81" s="47"/>
      <c r="D81" s="724"/>
      <c r="F81" s="724"/>
      <c r="M81" s="724"/>
      <c r="O81" s="724"/>
      <c r="Q81" s="724"/>
      <c r="S81" s="724"/>
      <c r="U81" s="725"/>
      <c r="AA81" s="725"/>
      <c r="AD81" s="725"/>
      <c r="AE81" s="725"/>
      <c r="AF81" s="725"/>
      <c r="AG81" s="725"/>
      <c r="AH81" s="725"/>
      <c r="AI81" s="725"/>
      <c r="AJ81" s="725"/>
      <c r="AK81" s="725"/>
      <c r="AL81" s="725"/>
      <c r="AM81" s="725"/>
      <c r="AN81" s="725"/>
      <c r="AO81" s="725"/>
      <c r="AP81" s="725"/>
      <c r="AQ81" s="725"/>
      <c r="AR81" s="725"/>
      <c r="AS81" s="725"/>
      <c r="AT81" s="725"/>
      <c r="AU81" s="725"/>
      <c r="AV81" s="725"/>
      <c r="AW81" s="725"/>
      <c r="AX81" s="725"/>
      <c r="AZ81" s="725"/>
      <c r="BF81" s="725"/>
      <c r="BI81" s="725"/>
      <c r="BJ81" s="725"/>
      <c r="BK81" s="725"/>
      <c r="BL81" s="725"/>
      <c r="BM81" s="725"/>
      <c r="BN81" s="725"/>
      <c r="BO81" s="725"/>
      <c r="BP81" s="725"/>
      <c r="BQ81" s="725"/>
      <c r="BR81" s="725"/>
      <c r="BS81" s="725"/>
      <c r="BT81" s="725"/>
      <c r="BU81" s="725"/>
      <c r="BV81" s="725"/>
      <c r="BW81" s="725"/>
      <c r="BX81" s="725"/>
      <c r="BY81" s="725"/>
      <c r="BZ81" s="725"/>
      <c r="CA81" s="725"/>
      <c r="CB81" s="725"/>
      <c r="CC81" s="725"/>
      <c r="CE81" s="725"/>
      <c r="CK81" s="725"/>
      <c r="CN81" s="725"/>
      <c r="CO81" s="725"/>
      <c r="CP81" s="725"/>
      <c r="CQ81" s="725"/>
      <c r="CR81" s="725"/>
      <c r="CS81" s="725"/>
      <c r="CT81" s="725"/>
      <c r="CU81" s="725"/>
      <c r="CV81" s="725"/>
      <c r="CW81" s="725"/>
      <c r="CX81" s="725"/>
      <c r="CY81" s="725"/>
      <c r="CZ81" s="725"/>
      <c r="DA81" s="725"/>
      <c r="DB81" s="725"/>
      <c r="DC81" s="725"/>
      <c r="DD81" s="725"/>
      <c r="DE81" s="725"/>
      <c r="DF81" s="725"/>
      <c r="DG81" s="725"/>
      <c r="DH81" s="725"/>
    </row>
    <row r="82" spans="1:112" hidden="1" x14ac:dyDescent="0.25">
      <c r="C82" s="113" t="s">
        <v>461</v>
      </c>
      <c r="D82" s="224" t="s">
        <v>62</v>
      </c>
      <c r="E82" s="113"/>
      <c r="F82" s="224" t="s">
        <v>62</v>
      </c>
      <c r="G82" s="113"/>
      <c r="H82" s="113"/>
      <c r="I82" s="113"/>
      <c r="J82" s="113"/>
      <c r="K82" s="113"/>
      <c r="L82" s="113"/>
      <c r="M82" s="224" t="s">
        <v>62</v>
      </c>
      <c r="N82" s="113"/>
      <c r="O82" s="224" t="s">
        <v>62</v>
      </c>
      <c r="P82" s="113"/>
      <c r="Q82" s="224" t="s">
        <v>62</v>
      </c>
      <c r="R82" s="113"/>
      <c r="S82" s="224" t="s">
        <v>62</v>
      </c>
      <c r="T82" s="113"/>
      <c r="U82" s="224" t="s">
        <v>62</v>
      </c>
      <c r="AA82" s="224" t="s">
        <v>62</v>
      </c>
      <c r="AD82" s="224" t="s">
        <v>62</v>
      </c>
      <c r="AE82" s="224" t="s">
        <v>62</v>
      </c>
      <c r="AF82" s="224" t="s">
        <v>62</v>
      </c>
      <c r="AG82" s="224" t="s">
        <v>62</v>
      </c>
      <c r="AH82" s="224" t="s">
        <v>62</v>
      </c>
      <c r="AI82" s="224" t="s">
        <v>62</v>
      </c>
      <c r="AJ82" s="224" t="s">
        <v>62</v>
      </c>
      <c r="AK82" s="224" t="s">
        <v>62</v>
      </c>
      <c r="AL82" s="224" t="s">
        <v>62</v>
      </c>
      <c r="AM82" s="224" t="s">
        <v>62</v>
      </c>
      <c r="AN82" s="224" t="s">
        <v>62</v>
      </c>
      <c r="AO82" s="224" t="s">
        <v>62</v>
      </c>
      <c r="AP82" s="224" t="s">
        <v>62</v>
      </c>
      <c r="AQ82" s="224" t="s">
        <v>62</v>
      </c>
      <c r="AR82" s="224" t="s">
        <v>62</v>
      </c>
      <c r="AS82" s="224" t="s">
        <v>62</v>
      </c>
      <c r="AT82" s="224" t="s">
        <v>62</v>
      </c>
      <c r="AU82" s="224" t="s">
        <v>62</v>
      </c>
      <c r="AV82" s="224" t="s">
        <v>62</v>
      </c>
      <c r="AW82" s="224" t="s">
        <v>62</v>
      </c>
      <c r="AX82" s="224" t="s">
        <v>62</v>
      </c>
      <c r="AZ82" s="224" t="s">
        <v>62</v>
      </c>
      <c r="BF82" s="224" t="s">
        <v>62</v>
      </c>
      <c r="BI82" s="224" t="s">
        <v>62</v>
      </c>
      <c r="BJ82" s="224" t="s">
        <v>62</v>
      </c>
      <c r="BK82" s="224" t="s">
        <v>62</v>
      </c>
      <c r="BL82" s="224" t="s">
        <v>62</v>
      </c>
      <c r="BM82" s="224" t="s">
        <v>62</v>
      </c>
      <c r="BN82" s="224" t="s">
        <v>62</v>
      </c>
      <c r="BO82" s="224" t="s">
        <v>62</v>
      </c>
      <c r="BP82" s="224" t="s">
        <v>62</v>
      </c>
      <c r="BQ82" s="224" t="s">
        <v>62</v>
      </c>
      <c r="BR82" s="224" t="s">
        <v>62</v>
      </c>
      <c r="BS82" s="224" t="s">
        <v>62</v>
      </c>
      <c r="BT82" s="224" t="s">
        <v>62</v>
      </c>
      <c r="BU82" s="224" t="s">
        <v>62</v>
      </c>
      <c r="BV82" s="224" t="s">
        <v>62</v>
      </c>
      <c r="BW82" s="224" t="s">
        <v>62</v>
      </c>
      <c r="BX82" s="224" t="s">
        <v>62</v>
      </c>
      <c r="BY82" s="224" t="s">
        <v>62</v>
      </c>
      <c r="BZ82" s="224" t="s">
        <v>62</v>
      </c>
      <c r="CA82" s="224" t="s">
        <v>62</v>
      </c>
      <c r="CB82" s="224" t="s">
        <v>62</v>
      </c>
      <c r="CC82" s="224" t="s">
        <v>62</v>
      </c>
      <c r="CE82" s="224" t="s">
        <v>62</v>
      </c>
      <c r="CK82" s="224" t="s">
        <v>62</v>
      </c>
      <c r="CN82" s="224" t="s">
        <v>62</v>
      </c>
      <c r="CO82" s="224" t="s">
        <v>62</v>
      </c>
      <c r="CP82" s="224" t="s">
        <v>62</v>
      </c>
      <c r="CQ82" s="224" t="s">
        <v>62</v>
      </c>
      <c r="CR82" s="224" t="s">
        <v>62</v>
      </c>
      <c r="CS82" s="224" t="s">
        <v>62</v>
      </c>
      <c r="CT82" s="224" t="s">
        <v>62</v>
      </c>
      <c r="CU82" s="224" t="s">
        <v>62</v>
      </c>
      <c r="CV82" s="224" t="s">
        <v>62</v>
      </c>
      <c r="CW82" s="224" t="s">
        <v>62</v>
      </c>
      <c r="CX82" s="224" t="s">
        <v>62</v>
      </c>
      <c r="CY82" s="224" t="s">
        <v>62</v>
      </c>
      <c r="CZ82" s="224" t="s">
        <v>62</v>
      </c>
      <c r="DA82" s="224" t="s">
        <v>62</v>
      </c>
      <c r="DB82" s="224" t="s">
        <v>62</v>
      </c>
      <c r="DC82" s="224" t="s">
        <v>62</v>
      </c>
      <c r="DD82" s="224" t="s">
        <v>62</v>
      </c>
      <c r="DE82" s="224" t="s">
        <v>62</v>
      </c>
      <c r="DF82" s="224" t="s">
        <v>62</v>
      </c>
      <c r="DG82" s="224" t="s">
        <v>62</v>
      </c>
      <c r="DH82" s="224" t="s">
        <v>62</v>
      </c>
    </row>
    <row r="83" spans="1:112" hidden="1" x14ac:dyDescent="0.25">
      <c r="B83" s="47" t="s">
        <v>82</v>
      </c>
      <c r="C83" s="113"/>
      <c r="D83" s="51"/>
      <c r="E83" s="113"/>
      <c r="F83" s="51"/>
      <c r="G83" s="113"/>
      <c r="H83" s="113"/>
      <c r="I83" s="113"/>
      <c r="J83" s="113"/>
      <c r="K83" s="113"/>
      <c r="L83" s="113"/>
      <c r="M83" s="113"/>
      <c r="N83" s="113"/>
      <c r="O83" s="113"/>
      <c r="P83" s="113"/>
      <c r="Q83" s="51"/>
      <c r="R83" s="113"/>
      <c r="S83" s="51"/>
      <c r="T83" s="113"/>
    </row>
    <row r="84" spans="1:112" hidden="1" x14ac:dyDescent="0.25">
      <c r="B84" s="51" t="s">
        <v>317</v>
      </c>
      <c r="C84" s="726"/>
      <c r="D84" s="51">
        <f>+D11</f>
        <v>0</v>
      </c>
      <c r="E84" s="726"/>
      <c r="F84" s="51">
        <f>+F11</f>
        <v>0</v>
      </c>
      <c r="G84" s="726"/>
      <c r="H84" s="247">
        <f>D84+SCNE!D120</f>
        <v>0</v>
      </c>
      <c r="I84" s="113"/>
      <c r="J84" s="247">
        <f>F84+SCNE!F120</f>
        <v>0</v>
      </c>
      <c r="K84" s="782" t="s">
        <v>2047</v>
      </c>
      <c r="L84" s="726"/>
      <c r="M84" s="727">
        <f>+M11</f>
        <v>-8911914</v>
      </c>
      <c r="N84" s="726"/>
      <c r="O84" s="727">
        <f>+O11</f>
        <v>-9306313</v>
      </c>
      <c r="P84" s="726"/>
      <c r="Q84" s="51">
        <f>SUMIF(MAP!$E$93:$E$146,$B84,MAP!U$93:U$146)</f>
        <v>0</v>
      </c>
      <c r="R84" s="726"/>
      <c r="S84" s="51">
        <f>SUMIF(MAP!$E$93:$E$146,$B84,MAP!BD$93:BD$146)</f>
        <v>0</v>
      </c>
      <c r="T84" s="726"/>
      <c r="U84" s="51">
        <f>SUMIF(MAP!$E$93:$E$146,$B84,MAP!N$93:N$146)</f>
        <v>0</v>
      </c>
      <c r="AA84" s="51">
        <f>SUMIF(MAP!$E$93:$E$146,$B84,MAP!T$93:T$146)</f>
        <v>0</v>
      </c>
      <c r="AD84" s="51">
        <f>SUMIF(MAP!$E$93:$E$146,$B84,MAP!W$93:W$146)</f>
        <v>0</v>
      </c>
      <c r="AE84" s="51">
        <f>SUMIF(MAP!$E$93:$E$146,$B84,MAP!X$93:X$146)</f>
        <v>0</v>
      </c>
      <c r="AF84" s="51">
        <f>SUMIF(MAP!$E$93:$E$146,$B84,MAP!Y$93:Y$146)</f>
        <v>0</v>
      </c>
      <c r="AG84" s="51">
        <f>SUMIF(MAP!$E$93:$E$146,$B84,MAP!Z$93:Z$146)</f>
        <v>0</v>
      </c>
      <c r="AH84" s="51">
        <f>SUMIF(MAP!$E$93:$E$146,$B84,MAP!AA$93:AA$146)</f>
        <v>0</v>
      </c>
      <c r="AI84" s="51">
        <f>SUMIF(MAP!$E$93:$E$146,$B84,MAP!AB$93:AB$146)</f>
        <v>0</v>
      </c>
      <c r="AJ84" s="51">
        <f>SUMIF(MAP!$E$93:$E$146,$B84,MAP!AC$93:AC$146)</f>
        <v>0</v>
      </c>
      <c r="AK84" s="51">
        <f>SUMIF(MAP!$E$93:$E$146,$B84,MAP!AD$93:AD$146)</f>
        <v>0</v>
      </c>
      <c r="AL84" s="51">
        <f>SUMIF(MAP!$E$93:$E$146,$B84,MAP!AE$93:AE$146)</f>
        <v>0</v>
      </c>
      <c r="AM84" s="51">
        <f>SUMIF(MAP!$E$93:$E$146,$B84,MAP!AF$93:AF$146)</f>
        <v>0</v>
      </c>
      <c r="AN84" s="51">
        <f>SUMIF(MAP!$E$93:$E$146,$B84,MAP!AG$93:AG$146)</f>
        <v>0</v>
      </c>
      <c r="AO84" s="51">
        <f>SUMIF(MAP!$E$93:$E$146,$B84,MAP!AH$93:AH$146)</f>
        <v>0</v>
      </c>
      <c r="AP84" s="51">
        <f>SUMIF(MAP!$E$93:$E$146,$B84,MAP!AI$93:AI$146)</f>
        <v>0</v>
      </c>
      <c r="AQ84" s="51">
        <f>SUMIF(MAP!$E$93:$E$146,$B84,MAP!AJ$93:AJ$146)</f>
        <v>0</v>
      </c>
      <c r="AR84" s="51">
        <f>SUMIF(MAP!$E$93:$E$146,$B84,MAP!AK$93:AK$146)</f>
        <v>0</v>
      </c>
      <c r="AS84" s="51">
        <f>SUMIF(MAP!$E$93:$E$146,$B84,MAP!AL$93:AL$146)</f>
        <v>0</v>
      </c>
      <c r="AT84" s="51">
        <f>SUMIF(MAP!$E$93:$E$146,$B84,MAP!AM$93:AM$146)</f>
        <v>0</v>
      </c>
      <c r="AU84" s="51">
        <f>SUMIF(MAP!$E$93:$E$146,$B84,MAP!AN$93:AN$146)</f>
        <v>0</v>
      </c>
      <c r="AV84" s="51">
        <f>SUMIF(MAP!$E$93:$E$146,$B84,MAP!AO$93:AO$146)</f>
        <v>0</v>
      </c>
      <c r="AW84" s="51">
        <f>SUMIF(MAP!$E$93:$E$146,$B84,MAP!AP$93:AP$146)</f>
        <v>0</v>
      </c>
      <c r="AX84" s="51">
        <f>SUMIF(MAP!$E$93:$E$146,$B84,MAP!AQ$93:AQ$146)</f>
        <v>0</v>
      </c>
      <c r="AZ84" s="51">
        <f>MAP!N102</f>
        <v>0</v>
      </c>
      <c r="BA84" s="51">
        <f>MAP!O102</f>
        <v>0</v>
      </c>
      <c r="BB84" s="51">
        <f>MAP!P102</f>
        <v>0</v>
      </c>
      <c r="BC84" s="51">
        <f>MAP!Q102</f>
        <v>0</v>
      </c>
      <c r="BD84" s="51">
        <f>MAP!R102</f>
        <v>0</v>
      </c>
      <c r="BE84" s="51">
        <f>MAP!S102</f>
        <v>0</v>
      </c>
      <c r="BF84" s="51">
        <f>MAP!T102</f>
        <v>0</v>
      </c>
      <c r="BG84" s="51">
        <f>MAP!U102</f>
        <v>0</v>
      </c>
      <c r="BH84" s="51">
        <f>MAP!V102</f>
        <v>0</v>
      </c>
      <c r="BI84" s="51">
        <f>MAP!W102</f>
        <v>0</v>
      </c>
      <c r="BJ84" s="51">
        <f>MAP!X102</f>
        <v>0</v>
      </c>
      <c r="BK84" s="51">
        <f>MAP!Y102</f>
        <v>0</v>
      </c>
      <c r="BL84" s="51">
        <f>MAP!Z102</f>
        <v>0</v>
      </c>
      <c r="BM84" s="51">
        <f>MAP!AA102</f>
        <v>0</v>
      </c>
      <c r="BN84" s="51">
        <f>MAP!AB102</f>
        <v>0</v>
      </c>
      <c r="BO84" s="51">
        <f>MAP!AC102</f>
        <v>0</v>
      </c>
      <c r="BP84" s="51">
        <f>MAP!AD102</f>
        <v>0</v>
      </c>
      <c r="BQ84" s="51">
        <f>MAP!AE102</f>
        <v>0</v>
      </c>
      <c r="BR84" s="51">
        <f>MAP!AF102</f>
        <v>0</v>
      </c>
      <c r="BS84" s="51">
        <f>MAP!AG102</f>
        <v>0</v>
      </c>
      <c r="BT84" s="51">
        <f>MAP!AH102</f>
        <v>0</v>
      </c>
      <c r="BU84" s="51">
        <f>MAP!AI102</f>
        <v>0</v>
      </c>
      <c r="BV84" s="51">
        <f>MAP!AJ102</f>
        <v>0</v>
      </c>
      <c r="BW84" s="51">
        <f>MAP!AK102</f>
        <v>0</v>
      </c>
      <c r="BX84" s="51">
        <f>MAP!AL102</f>
        <v>0</v>
      </c>
      <c r="BY84" s="51">
        <f>MAP!AM102</f>
        <v>0</v>
      </c>
      <c r="BZ84" s="51">
        <f>MAP!AN102</f>
        <v>0</v>
      </c>
      <c r="CA84" s="51">
        <f>MAP!AO102</f>
        <v>0</v>
      </c>
      <c r="CB84" s="51">
        <f>MAP!AP102</f>
        <v>0</v>
      </c>
      <c r="CC84" s="51">
        <f>MAP!AQ102</f>
        <v>0</v>
      </c>
      <c r="CE84" s="742">
        <f>U84-AZ84</f>
        <v>0</v>
      </c>
      <c r="CF84" s="51">
        <f t="shared" ref="CF84:CF135" si="17">V84-BA84</f>
        <v>0</v>
      </c>
      <c r="CG84" s="51">
        <f t="shared" ref="CG84:CG135" si="18">W84-BB84</f>
        <v>0</v>
      </c>
      <c r="CH84" s="51">
        <f t="shared" ref="CH84:CH135" si="19">X84-BC84</f>
        <v>0</v>
      </c>
      <c r="CI84" s="51">
        <f t="shared" ref="CI84:CI135" si="20">Y84-BD84</f>
        <v>0</v>
      </c>
      <c r="CJ84" s="51">
        <f t="shared" ref="CJ84:CJ135" si="21">Z84-BE84</f>
        <v>0</v>
      </c>
      <c r="CK84" s="51">
        <f t="shared" ref="CK84:CK135" si="22">AA84-BF84</f>
        <v>0</v>
      </c>
      <c r="CL84" s="51">
        <f t="shared" ref="CL84:CL135" si="23">AB84-BG84</f>
        <v>0</v>
      </c>
      <c r="CM84" s="51">
        <f t="shared" ref="CM84:CM135" si="24">AC84-BH84</f>
        <v>0</v>
      </c>
      <c r="CN84" s="792">
        <f>AD84+BI84</f>
        <v>0</v>
      </c>
      <c r="CO84" s="51">
        <f t="shared" ref="CO84:DH84" si="25">AE84-BJ84</f>
        <v>0</v>
      </c>
      <c r="CP84" s="51">
        <f t="shared" si="25"/>
        <v>0</v>
      </c>
      <c r="CQ84" s="51">
        <f t="shared" si="25"/>
        <v>0</v>
      </c>
      <c r="CR84" s="51">
        <f t="shared" si="25"/>
        <v>0</v>
      </c>
      <c r="CS84" s="51">
        <f t="shared" si="25"/>
        <v>0</v>
      </c>
      <c r="CT84" s="51">
        <f t="shared" si="25"/>
        <v>0</v>
      </c>
      <c r="CU84" s="51">
        <f t="shared" si="25"/>
        <v>0</v>
      </c>
      <c r="CV84" s="51">
        <f t="shared" si="25"/>
        <v>0</v>
      </c>
      <c r="CW84" s="51">
        <f t="shared" si="25"/>
        <v>0</v>
      </c>
      <c r="CX84" s="51">
        <f t="shared" si="25"/>
        <v>0</v>
      </c>
      <c r="CY84" s="51">
        <f t="shared" si="25"/>
        <v>0</v>
      </c>
      <c r="CZ84" s="51">
        <f t="shared" si="25"/>
        <v>0</v>
      </c>
      <c r="DA84" s="51">
        <f t="shared" si="25"/>
        <v>0</v>
      </c>
      <c r="DB84" s="51">
        <f t="shared" si="25"/>
        <v>0</v>
      </c>
      <c r="DC84" s="51">
        <f t="shared" si="25"/>
        <v>0</v>
      </c>
      <c r="DD84" s="51">
        <f t="shared" si="25"/>
        <v>0</v>
      </c>
      <c r="DE84" s="51">
        <f t="shared" si="25"/>
        <v>0</v>
      </c>
      <c r="DF84" s="51">
        <f t="shared" si="25"/>
        <v>0</v>
      </c>
      <c r="DG84" s="51">
        <f t="shared" si="25"/>
        <v>0</v>
      </c>
      <c r="DH84" s="51">
        <f t="shared" si="25"/>
        <v>0</v>
      </c>
    </row>
    <row r="85" spans="1:112" hidden="1" x14ac:dyDescent="0.25">
      <c r="B85" s="51" t="s">
        <v>318</v>
      </c>
      <c r="C85" s="206" t="s">
        <v>83</v>
      </c>
      <c r="D85" s="51">
        <f>+D12</f>
        <v>0</v>
      </c>
      <c r="F85" s="51">
        <f>+F12</f>
        <v>0</v>
      </c>
      <c r="H85" s="247">
        <f>D85-'Note 3a'!D102-'Note 3b &amp; 3c'!D114</f>
        <v>0</v>
      </c>
      <c r="J85" s="247">
        <f>F85-'Note 3a'!F102-'Note 3b &amp; 3c'!F114</f>
        <v>0</v>
      </c>
      <c r="K85" s="206" t="s">
        <v>2041</v>
      </c>
      <c r="M85" s="727">
        <f>+M12</f>
        <v>40849</v>
      </c>
      <c r="O85" s="727">
        <f>+O12</f>
        <v>1003451</v>
      </c>
      <c r="Q85" s="51">
        <f>SUMIF(MAP!$E$93:$E$146,$B85,MAP!U$93:U$146)</f>
        <v>0</v>
      </c>
      <c r="S85" s="51">
        <f>SUMIF(MAP!$E$93:$E$146,$B85,MAP!BD$93:BD$146)</f>
        <v>0</v>
      </c>
      <c r="U85" s="51">
        <f>SUMIF(MAP!$E$93:$E$146,$B85,MAP!N$93:N$146)</f>
        <v>0</v>
      </c>
      <c r="AA85" s="51">
        <f>SUMIF(MAP!$E$93:$E$146,$B85,MAP!T$93:T$146)</f>
        <v>0</v>
      </c>
      <c r="AD85" s="51">
        <f>SUMIF(MAP!$E$93:$E$146,$B85,MAP!W$93:W$146)</f>
        <v>0</v>
      </c>
      <c r="AE85" s="51">
        <f>SUMIF(MAP!$E$93:$E$146,$B85,MAP!X$93:X$146)</f>
        <v>0</v>
      </c>
      <c r="AF85" s="51">
        <f>SUMIF(MAP!$E$93:$E$146,$B85,MAP!Y$93:Y$146)</f>
        <v>0</v>
      </c>
      <c r="AG85" s="51">
        <f>SUMIF(MAP!$E$93:$E$146,$B85,MAP!Z$93:Z$146)</f>
        <v>0</v>
      </c>
      <c r="AH85" s="51">
        <f>SUMIF(MAP!$E$93:$E$146,$B85,MAP!AA$93:AA$146)</f>
        <v>0</v>
      </c>
      <c r="AI85" s="51">
        <f>SUMIF(MAP!$E$93:$E$146,$B85,MAP!AB$93:AB$146)</f>
        <v>0</v>
      </c>
      <c r="AJ85" s="51">
        <f>SUMIF(MAP!$E$93:$E$146,$B85,MAP!AC$93:AC$146)</f>
        <v>0</v>
      </c>
      <c r="AK85" s="51">
        <f>SUMIF(MAP!$E$93:$E$146,$B85,MAP!AD$93:AD$146)</f>
        <v>0</v>
      </c>
      <c r="AL85" s="51">
        <f>SUMIF(MAP!$E$93:$E$146,$B85,MAP!AE$93:AE$146)</f>
        <v>0</v>
      </c>
      <c r="AM85" s="51">
        <f>SUMIF(MAP!$E$93:$E$146,$B85,MAP!AF$93:AF$146)</f>
        <v>0</v>
      </c>
      <c r="AN85" s="51">
        <f>SUMIF(MAP!$E$93:$E$146,$B85,MAP!AG$93:AG$146)</f>
        <v>0</v>
      </c>
      <c r="AO85" s="51">
        <f>SUMIF(MAP!$E$93:$E$146,$B85,MAP!AH$93:AH$146)</f>
        <v>0</v>
      </c>
      <c r="AP85" s="51">
        <f>SUMIF(MAP!$E$93:$E$146,$B85,MAP!AI$93:AI$146)</f>
        <v>0</v>
      </c>
      <c r="AQ85" s="51">
        <f>SUMIF(MAP!$E$93:$E$146,$B85,MAP!AJ$93:AJ$146)</f>
        <v>0</v>
      </c>
      <c r="AR85" s="51">
        <f>SUMIF(MAP!$E$93:$E$146,$B85,MAP!AK$93:AK$146)</f>
        <v>0</v>
      </c>
      <c r="AS85" s="51">
        <f>SUMIF(MAP!$E$93:$E$146,$B85,MAP!AL$93:AL$146)</f>
        <v>0</v>
      </c>
      <c r="AT85" s="51">
        <f>SUMIF(MAP!$E$93:$E$146,$B85,MAP!AM$93:AM$146)</f>
        <v>0</v>
      </c>
      <c r="AU85" s="51">
        <f>SUMIF(MAP!$E$93:$E$146,$B85,MAP!AN$93:AN$146)</f>
        <v>0</v>
      </c>
      <c r="AV85" s="51">
        <f>SUMIF(MAP!$E$93:$E$146,$B85,MAP!AO$93:AO$146)</f>
        <v>0</v>
      </c>
      <c r="AW85" s="51">
        <f>SUMIF(MAP!$E$93:$E$146,$B85,MAP!AP$93:AP$146)</f>
        <v>0</v>
      </c>
      <c r="AX85" s="51">
        <f>SUMIF(MAP!$E$93:$E$146,$B85,MAP!AQ$93:AQ$146)</f>
        <v>0</v>
      </c>
      <c r="CE85" s="742"/>
      <c r="CF85" s="51">
        <f t="shared" si="17"/>
        <v>0</v>
      </c>
      <c r="CG85" s="51">
        <f t="shared" si="18"/>
        <v>0</v>
      </c>
      <c r="CH85" s="51">
        <f t="shared" si="19"/>
        <v>0</v>
      </c>
      <c r="CI85" s="51">
        <f t="shared" si="20"/>
        <v>0</v>
      </c>
      <c r="CJ85" s="51">
        <f t="shared" si="21"/>
        <v>0</v>
      </c>
      <c r="CK85" s="51">
        <f t="shared" si="22"/>
        <v>0</v>
      </c>
      <c r="CL85" s="51">
        <f t="shared" si="23"/>
        <v>0</v>
      </c>
      <c r="CM85" s="51">
        <f t="shared" si="24"/>
        <v>0</v>
      </c>
    </row>
    <row r="86" spans="1:112" hidden="1" x14ac:dyDescent="0.25">
      <c r="B86" s="51" t="s">
        <v>319</v>
      </c>
      <c r="C86" s="726">
        <v>13</v>
      </c>
      <c r="D86" s="51">
        <f>+D13+D16+D17+D18</f>
        <v>13821</v>
      </c>
      <c r="E86" s="726"/>
      <c r="F86" s="51">
        <f>+F13+F16+F17+F18</f>
        <v>-66727</v>
      </c>
      <c r="G86" s="726"/>
      <c r="H86" s="247" t="e">
        <f>D86+('Note 12'!C118-'Note 12'!G92-'Note 12'!G118)-SUM(H88,#REF!,#REF!,#REF!)</f>
        <v>#REF!</v>
      </c>
      <c r="I86" s="730"/>
      <c r="J86" s="247" t="e">
        <f>F86+('Note 12'!E118-'Note 12'!I92-'Note 12'!I118)-SUM(J88,#REF!,#REF!,#REF!)</f>
        <v>#REF!</v>
      </c>
      <c r="K86" s="800" t="s">
        <v>1350</v>
      </c>
      <c r="L86" s="726"/>
      <c r="M86" s="727">
        <f>+M13+M16+M17+M18</f>
        <v>27280</v>
      </c>
      <c r="N86" s="726"/>
      <c r="O86" s="727">
        <f>+O13+O16+O17+O18</f>
        <v>-7413</v>
      </c>
      <c r="P86" s="726"/>
      <c r="Q86" s="51">
        <f>SUMIF(MAP!$E$93:$E$146,$B86,MAP!U$93:U$146)</f>
        <v>-434</v>
      </c>
      <c r="R86" s="726"/>
      <c r="S86" s="51">
        <f>SUMIF(MAP!$E$93:$E$146,$B86,MAP!BD$93:BD$146)</f>
        <v>0</v>
      </c>
      <c r="T86" s="726"/>
      <c r="U86" s="51">
        <f>SUMIF(MAP!$E$93:$E$146,$B86,MAP!N$93:N$146)</f>
        <v>-66727</v>
      </c>
      <c r="AA86" s="51">
        <f>SUMIF(MAP!$E$93:$E$146,$B86,MAP!T$93:T$146)</f>
        <v>13821</v>
      </c>
      <c r="AD86" s="51">
        <f>SUMIF(MAP!$E$93:$E$146,$B86,MAP!W$93:W$146)</f>
        <v>14255</v>
      </c>
      <c r="AE86" s="51">
        <f>SUMIF(MAP!$E$93:$E$146,$B86,MAP!X$93:X$146)</f>
        <v>0</v>
      </c>
      <c r="AF86" s="51">
        <f>SUMIF(MAP!$E$93:$E$146,$B86,MAP!Y$93:Y$146)</f>
        <v>0</v>
      </c>
      <c r="AG86" s="51">
        <f>SUMIF(MAP!$E$93:$E$146,$B86,MAP!Z$93:Z$146)</f>
        <v>0</v>
      </c>
      <c r="AH86" s="51">
        <f>SUMIF(MAP!$E$93:$E$146,$B86,MAP!AA$93:AA$146)</f>
        <v>0</v>
      </c>
      <c r="AI86" s="51">
        <f>SUMIF(MAP!$E$93:$E$146,$B86,MAP!AB$93:AB$146)</f>
        <v>0</v>
      </c>
      <c r="AJ86" s="51">
        <f>SUMIF(MAP!$E$93:$E$146,$B86,MAP!AC$93:AC$146)</f>
        <v>0</v>
      </c>
      <c r="AK86" s="51">
        <f>SUMIF(MAP!$E$93:$E$146,$B86,MAP!AD$93:AD$146)</f>
        <v>0</v>
      </c>
      <c r="AL86" s="51">
        <f>SUMIF(MAP!$E$93:$E$146,$B86,MAP!AE$93:AE$146)</f>
        <v>0</v>
      </c>
      <c r="AM86" s="51">
        <f>SUMIF(MAP!$E$93:$E$146,$B86,MAP!AF$93:AF$146)</f>
        <v>0</v>
      </c>
      <c r="AN86" s="51">
        <f>SUMIF(MAP!$E$93:$E$146,$B86,MAP!AG$93:AG$146)</f>
        <v>0</v>
      </c>
      <c r="AO86" s="51">
        <f>SUMIF(MAP!$E$93:$E$146,$B86,MAP!AH$93:AH$146)</f>
        <v>0</v>
      </c>
      <c r="AP86" s="51">
        <f>SUMIF(MAP!$E$93:$E$146,$B86,MAP!AI$93:AI$146)</f>
        <v>0</v>
      </c>
      <c r="AQ86" s="51">
        <f>SUMIF(MAP!$E$93:$E$146,$B86,MAP!AJ$93:AJ$146)</f>
        <v>0</v>
      </c>
      <c r="AR86" s="51">
        <f>SUMIF(MAP!$E$93:$E$146,$B86,MAP!AK$93:AK$146)</f>
        <v>0</v>
      </c>
      <c r="AS86" s="51">
        <f>SUMIF(MAP!$E$93:$E$146,$B86,MAP!AL$93:AL$146)</f>
        <v>0</v>
      </c>
      <c r="AT86" s="51">
        <f>SUMIF(MAP!$E$93:$E$146,$B86,MAP!AM$93:AM$146)</f>
        <v>0</v>
      </c>
      <c r="AU86" s="51">
        <f>SUMIF(MAP!$E$93:$E$146,$B86,MAP!AN$93:AN$146)</f>
        <v>0</v>
      </c>
      <c r="AV86" s="51">
        <f>SUMIF(MAP!$E$93:$E$146,$B86,MAP!AO$93:AO$146)</f>
        <v>0</v>
      </c>
      <c r="AW86" s="51">
        <f>SUMIF(MAP!$E$93:$E$146,$B86,MAP!AP$93:AP$146)</f>
        <v>0</v>
      </c>
      <c r="AX86" s="51">
        <f>SUMIF(MAP!$E$93:$E$146,$B86,MAP!AQ$93:AQ$146)</f>
        <v>0</v>
      </c>
      <c r="CE86" s="742"/>
      <c r="CF86" s="51">
        <f t="shared" si="17"/>
        <v>0</v>
      </c>
      <c r="CG86" s="51">
        <f t="shared" si="18"/>
        <v>0</v>
      </c>
      <c r="CH86" s="51">
        <f t="shared" si="19"/>
        <v>0</v>
      </c>
      <c r="CI86" s="51">
        <f t="shared" si="20"/>
        <v>0</v>
      </c>
      <c r="CJ86" s="51">
        <f t="shared" si="21"/>
        <v>0</v>
      </c>
      <c r="CK86" s="51">
        <f t="shared" si="22"/>
        <v>13821</v>
      </c>
      <c r="CL86" s="51">
        <f t="shared" si="23"/>
        <v>0</v>
      </c>
      <c r="CM86" s="51">
        <f t="shared" si="24"/>
        <v>0</v>
      </c>
    </row>
    <row r="87" spans="1:112" s="189" customFormat="1" ht="25.5" hidden="1" x14ac:dyDescent="0.25">
      <c r="A87" s="728"/>
      <c r="B87" s="729" t="s">
        <v>85</v>
      </c>
      <c r="C87" s="730"/>
      <c r="E87" s="730"/>
      <c r="G87" s="730"/>
      <c r="H87" s="730"/>
      <c r="I87" s="730"/>
      <c r="J87" s="730"/>
      <c r="K87" s="730"/>
      <c r="L87" s="730"/>
      <c r="N87" s="730"/>
      <c r="P87" s="730"/>
      <c r="Q87" s="189">
        <f>SUMIF(MAP!$E$93:$E$146,$B87,MAP!U$93:U$146)</f>
        <v>0</v>
      </c>
      <c r="R87" s="730"/>
      <c r="S87" s="189">
        <f>SUMIF(MAP!$E$93:$E$146,$B87,MAP!BD$93:BD$146)</f>
        <v>0</v>
      </c>
      <c r="T87" s="730"/>
      <c r="U87" s="51"/>
      <c r="AA87" s="51"/>
      <c r="AD87" s="51"/>
      <c r="AE87" s="51"/>
      <c r="AF87" s="51"/>
      <c r="AG87" s="51"/>
      <c r="AH87" s="51"/>
      <c r="AI87" s="51"/>
      <c r="AJ87" s="51"/>
      <c r="AK87" s="51"/>
      <c r="AL87" s="51"/>
      <c r="AM87" s="51"/>
      <c r="AN87" s="51"/>
      <c r="AO87" s="51"/>
      <c r="AP87" s="51"/>
      <c r="AQ87" s="51"/>
      <c r="AR87" s="51"/>
      <c r="AS87" s="51"/>
      <c r="AT87" s="51"/>
      <c r="AU87" s="51"/>
      <c r="AV87" s="51"/>
      <c r="AW87" s="51"/>
      <c r="AX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E87" s="742"/>
      <c r="CF87" s="189">
        <f t="shared" si="17"/>
        <v>0</v>
      </c>
      <c r="CG87" s="189">
        <f t="shared" si="18"/>
        <v>0</v>
      </c>
      <c r="CH87" s="189">
        <f t="shared" si="19"/>
        <v>0</v>
      </c>
      <c r="CI87" s="189">
        <f t="shared" si="20"/>
        <v>0</v>
      </c>
      <c r="CJ87" s="189">
        <f t="shared" si="21"/>
        <v>0</v>
      </c>
      <c r="CK87" s="51">
        <f t="shared" si="22"/>
        <v>0</v>
      </c>
      <c r="CL87" s="189">
        <f t="shared" si="23"/>
        <v>0</v>
      </c>
      <c r="CM87" s="189">
        <f t="shared" si="24"/>
        <v>0</v>
      </c>
      <c r="CN87" s="51"/>
      <c r="CO87" s="51"/>
      <c r="CP87" s="51"/>
      <c r="CQ87" s="51"/>
      <c r="CR87" s="51"/>
      <c r="CS87" s="51"/>
      <c r="CT87" s="51"/>
      <c r="CU87" s="51"/>
      <c r="CV87" s="51"/>
      <c r="CW87" s="51"/>
      <c r="CX87" s="51"/>
      <c r="CY87" s="51"/>
      <c r="CZ87" s="51"/>
      <c r="DA87" s="51"/>
      <c r="DB87" s="51"/>
      <c r="DC87" s="51"/>
      <c r="DD87" s="51"/>
      <c r="DE87" s="51"/>
      <c r="DF87" s="51"/>
      <c r="DG87" s="51"/>
      <c r="DH87" s="51"/>
    </row>
    <row r="88" spans="1:112" s="189" customFormat="1" hidden="1" x14ac:dyDescent="0.25">
      <c r="A88" s="728"/>
      <c r="B88" s="189" t="s">
        <v>86</v>
      </c>
      <c r="C88" s="730">
        <v>13</v>
      </c>
      <c r="D88" s="51">
        <f>+D15</f>
        <v>0</v>
      </c>
      <c r="E88" s="730"/>
      <c r="F88" s="51">
        <f>+F15</f>
        <v>0</v>
      </c>
      <c r="G88" s="730"/>
      <c r="H88" s="247">
        <f>D88-('Note 12'!C92-'Note 12'!G92)</f>
        <v>0</v>
      </c>
      <c r="I88" s="730"/>
      <c r="J88" s="247">
        <f>F88-('Note 12'!E92-'Note 12'!I92)</f>
        <v>0</v>
      </c>
      <c r="K88" s="800" t="s">
        <v>1421</v>
      </c>
      <c r="L88" s="730"/>
      <c r="M88" s="727">
        <f>+M15</f>
        <v>0</v>
      </c>
      <c r="N88" s="730"/>
      <c r="O88" s="727">
        <f>+O15</f>
        <v>0</v>
      </c>
      <c r="P88" s="730"/>
      <c r="Q88" s="51">
        <f>SUMIF(MAP!$E$93:$E$146,$B88,MAP!U$93:U$146)</f>
        <v>0</v>
      </c>
      <c r="R88" s="730"/>
      <c r="S88" s="51">
        <f>SUMIF(MAP!$E$93:$E$146,$B88,MAP!BD$93:BD$146)</f>
        <v>0</v>
      </c>
      <c r="T88" s="730"/>
      <c r="U88" s="51">
        <f>SUMIF(MAP!$E$93:$E$146,$B88,MAP!N$93:N$146)</f>
        <v>0</v>
      </c>
      <c r="AA88" s="51">
        <f>SUMIF(MAP!$E$93:$E$146,$B88,MAP!T$93:T$146)</f>
        <v>0</v>
      </c>
      <c r="AD88" s="51">
        <f>SUMIF(MAP!$E$93:$E$146,$B88,MAP!W$93:W$146)</f>
        <v>0</v>
      </c>
      <c r="AE88" s="51">
        <f>SUMIF(MAP!$E$93:$E$146,$B88,MAP!X$93:X$146)</f>
        <v>0</v>
      </c>
      <c r="AF88" s="51">
        <f>SUMIF(MAP!$E$93:$E$146,$B88,MAP!Y$93:Y$146)</f>
        <v>0</v>
      </c>
      <c r="AG88" s="51">
        <f>SUMIF(MAP!$E$93:$E$146,$B88,MAP!Z$93:Z$146)</f>
        <v>0</v>
      </c>
      <c r="AH88" s="51">
        <f>SUMIF(MAP!$E$93:$E$146,$B88,MAP!AA$93:AA$146)</f>
        <v>0</v>
      </c>
      <c r="AI88" s="51">
        <f>SUMIF(MAP!$E$93:$E$146,$B88,MAP!AB$93:AB$146)</f>
        <v>0</v>
      </c>
      <c r="AJ88" s="51">
        <f>SUMIF(MAP!$E$93:$E$146,$B88,MAP!AC$93:AC$146)</f>
        <v>0</v>
      </c>
      <c r="AK88" s="51">
        <f>SUMIF(MAP!$E$93:$E$146,$B88,MAP!AD$93:AD$146)</f>
        <v>0</v>
      </c>
      <c r="AL88" s="51">
        <f>SUMIF(MAP!$E$93:$E$146,$B88,MAP!AE$93:AE$146)</f>
        <v>0</v>
      </c>
      <c r="AM88" s="51">
        <f>SUMIF(MAP!$E$93:$E$146,$B88,MAP!AF$93:AF$146)</f>
        <v>0</v>
      </c>
      <c r="AN88" s="51">
        <f>SUMIF(MAP!$E$93:$E$146,$B88,MAP!AG$93:AG$146)</f>
        <v>0</v>
      </c>
      <c r="AO88" s="51">
        <f>SUMIF(MAP!$E$93:$E$146,$B88,MAP!AH$93:AH$146)</f>
        <v>0</v>
      </c>
      <c r="AP88" s="51">
        <f>SUMIF(MAP!$E$93:$E$146,$B88,MAP!AI$93:AI$146)</f>
        <v>0</v>
      </c>
      <c r="AQ88" s="51">
        <f>SUMIF(MAP!$E$93:$E$146,$B88,MAP!AJ$93:AJ$146)</f>
        <v>0</v>
      </c>
      <c r="AR88" s="51">
        <f>SUMIF(MAP!$E$93:$E$146,$B88,MAP!AK$93:AK$146)</f>
        <v>0</v>
      </c>
      <c r="AS88" s="51">
        <f>SUMIF(MAP!$E$93:$E$146,$B88,MAP!AL$93:AL$146)</f>
        <v>0</v>
      </c>
      <c r="AT88" s="51">
        <f>SUMIF(MAP!$E$93:$E$146,$B88,MAP!AM$93:AM$146)</f>
        <v>0</v>
      </c>
      <c r="AU88" s="51">
        <f>SUMIF(MAP!$E$93:$E$146,$B88,MAP!AN$93:AN$146)</f>
        <v>0</v>
      </c>
      <c r="AV88" s="51">
        <f>SUMIF(MAP!$E$93:$E$146,$B88,MAP!AO$93:AO$146)</f>
        <v>0</v>
      </c>
      <c r="AW88" s="51">
        <f>SUMIF(MAP!$E$93:$E$146,$B88,MAP!AP$93:AP$146)</f>
        <v>0</v>
      </c>
      <c r="AX88" s="51">
        <f>SUMIF(MAP!$E$93:$E$146,$B88,MAP!AQ$93:AQ$146)</f>
        <v>0</v>
      </c>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E88" s="742"/>
      <c r="CF88" s="189">
        <f t="shared" si="17"/>
        <v>0</v>
      </c>
      <c r="CG88" s="189">
        <f t="shared" si="18"/>
        <v>0</v>
      </c>
      <c r="CH88" s="189">
        <f t="shared" si="19"/>
        <v>0</v>
      </c>
      <c r="CI88" s="189">
        <f t="shared" si="20"/>
        <v>0</v>
      </c>
      <c r="CJ88" s="189">
        <f t="shared" si="21"/>
        <v>0</v>
      </c>
      <c r="CK88" s="51">
        <f t="shared" si="22"/>
        <v>0</v>
      </c>
      <c r="CL88" s="189">
        <f t="shared" si="23"/>
        <v>0</v>
      </c>
      <c r="CM88" s="189">
        <f t="shared" si="24"/>
        <v>0</v>
      </c>
      <c r="CN88" s="51"/>
      <c r="CO88" s="51"/>
      <c r="CP88" s="51"/>
      <c r="CQ88" s="51"/>
      <c r="CR88" s="51"/>
      <c r="CS88" s="51"/>
      <c r="CT88" s="51"/>
      <c r="CU88" s="51"/>
      <c r="CV88" s="51"/>
      <c r="CW88" s="51"/>
      <c r="CX88" s="51"/>
      <c r="CY88" s="51"/>
      <c r="CZ88" s="51"/>
      <c r="DA88" s="51"/>
      <c r="DB88" s="51"/>
      <c r="DC88" s="51"/>
      <c r="DD88" s="51"/>
      <c r="DE88" s="51"/>
      <c r="DF88" s="51"/>
      <c r="DG88" s="51"/>
      <c r="DH88" s="51"/>
    </row>
    <row r="89" spans="1:112" hidden="1" x14ac:dyDescent="0.25">
      <c r="B89" s="51" t="s">
        <v>322</v>
      </c>
      <c r="C89" s="726">
        <v>11</v>
      </c>
      <c r="D89" s="51">
        <f>+D20</f>
        <v>0</v>
      </c>
      <c r="E89" s="726"/>
      <c r="F89" s="51">
        <f>+F20</f>
        <v>0</v>
      </c>
      <c r="G89" s="726"/>
      <c r="H89" s="247">
        <f>SFP!K96-SFP!E96-D89</f>
        <v>0</v>
      </c>
      <c r="I89" s="726"/>
      <c r="J89" s="247">
        <f>SFP!M96-SFP!G96-F89</f>
        <v>0</v>
      </c>
      <c r="K89" s="800" t="s">
        <v>1350</v>
      </c>
      <c r="L89" s="726"/>
      <c r="M89" s="727">
        <f>+M20</f>
        <v>-1088</v>
      </c>
      <c r="N89" s="726"/>
      <c r="O89" s="727">
        <f>+O20</f>
        <v>16565</v>
      </c>
      <c r="P89" s="726"/>
      <c r="Q89" s="51">
        <f>SUMIF(MAP!$E$93:$E$146,$B89,MAP!U$93:U$146)</f>
        <v>0</v>
      </c>
      <c r="R89" s="726"/>
      <c r="S89" s="51">
        <f>SUMIF(MAP!$E$93:$E$146,$B89,MAP!BD$93:BD$146)</f>
        <v>0</v>
      </c>
      <c r="T89" s="726"/>
      <c r="U89" s="51">
        <f>SUMIF(MAP!$E$93:$E$146,$B89,MAP!N$93:N$146)</f>
        <v>0</v>
      </c>
      <c r="AA89" s="51">
        <f>SUMIF(MAP!$E$93:$E$146,$B89,MAP!T$93:T$146)</f>
        <v>0</v>
      </c>
      <c r="AD89" s="51">
        <f>SUMIF(MAP!$E$93:$E$146,$B89,MAP!W$93:W$146)</f>
        <v>0</v>
      </c>
      <c r="AE89" s="51">
        <f>SUMIF(MAP!$E$93:$E$146,$B89,MAP!X$93:X$146)</f>
        <v>0</v>
      </c>
      <c r="AF89" s="51">
        <f>SUMIF(MAP!$E$93:$E$146,$B89,MAP!Y$93:Y$146)</f>
        <v>0</v>
      </c>
      <c r="AG89" s="51">
        <f>SUMIF(MAP!$E$93:$E$146,$B89,MAP!Z$93:Z$146)</f>
        <v>0</v>
      </c>
      <c r="AH89" s="51">
        <f>SUMIF(MAP!$E$93:$E$146,$B89,MAP!AA$93:AA$146)</f>
        <v>0</v>
      </c>
      <c r="AI89" s="51">
        <f>SUMIF(MAP!$E$93:$E$146,$B89,MAP!AB$93:AB$146)</f>
        <v>0</v>
      </c>
      <c r="AJ89" s="51">
        <f>SUMIF(MAP!$E$93:$E$146,$B89,MAP!AC$93:AC$146)</f>
        <v>0</v>
      </c>
      <c r="AK89" s="51">
        <f>SUMIF(MAP!$E$93:$E$146,$B89,MAP!AD$93:AD$146)</f>
        <v>0</v>
      </c>
      <c r="AL89" s="51">
        <f>SUMIF(MAP!$E$93:$E$146,$B89,MAP!AE$93:AE$146)</f>
        <v>0</v>
      </c>
      <c r="AM89" s="51">
        <f>SUMIF(MAP!$E$93:$E$146,$B89,MAP!AF$93:AF$146)</f>
        <v>0</v>
      </c>
      <c r="AN89" s="51">
        <f>SUMIF(MAP!$E$93:$E$146,$B89,MAP!AG$93:AG$146)</f>
        <v>0</v>
      </c>
      <c r="AO89" s="51">
        <f>SUMIF(MAP!$E$93:$E$146,$B89,MAP!AH$93:AH$146)</f>
        <v>0</v>
      </c>
      <c r="AP89" s="51">
        <f>SUMIF(MAP!$E$93:$E$146,$B89,MAP!AI$93:AI$146)</f>
        <v>0</v>
      </c>
      <c r="AQ89" s="51">
        <f>SUMIF(MAP!$E$93:$E$146,$B89,MAP!AJ$93:AJ$146)</f>
        <v>0</v>
      </c>
      <c r="AR89" s="51">
        <f>SUMIF(MAP!$E$93:$E$146,$B89,MAP!AK$93:AK$146)</f>
        <v>0</v>
      </c>
      <c r="AS89" s="51">
        <f>SUMIF(MAP!$E$93:$E$146,$B89,MAP!AL$93:AL$146)</f>
        <v>0</v>
      </c>
      <c r="AT89" s="51">
        <f>SUMIF(MAP!$E$93:$E$146,$B89,MAP!AM$93:AM$146)</f>
        <v>0</v>
      </c>
      <c r="AU89" s="51">
        <f>SUMIF(MAP!$E$93:$E$146,$B89,MAP!AN$93:AN$146)</f>
        <v>0</v>
      </c>
      <c r="AV89" s="51">
        <f>SUMIF(MAP!$E$93:$E$146,$B89,MAP!AO$93:AO$146)</f>
        <v>0</v>
      </c>
      <c r="AW89" s="51">
        <f>SUMIF(MAP!$E$93:$E$146,$B89,MAP!AP$93:AP$146)</f>
        <v>0</v>
      </c>
      <c r="AX89" s="51">
        <f>SUMIF(MAP!$E$93:$E$146,$B89,MAP!AQ$93:AQ$146)</f>
        <v>0</v>
      </c>
      <c r="CE89" s="742"/>
      <c r="CF89" s="51">
        <f t="shared" si="17"/>
        <v>0</v>
      </c>
      <c r="CG89" s="51">
        <f t="shared" si="18"/>
        <v>0</v>
      </c>
      <c r="CH89" s="51">
        <f t="shared" si="19"/>
        <v>0</v>
      </c>
      <c r="CI89" s="51">
        <f t="shared" si="20"/>
        <v>0</v>
      </c>
      <c r="CJ89" s="51">
        <f t="shared" si="21"/>
        <v>0</v>
      </c>
      <c r="CK89" s="51">
        <f t="shared" si="22"/>
        <v>0</v>
      </c>
      <c r="CL89" s="51">
        <f t="shared" si="23"/>
        <v>0</v>
      </c>
      <c r="CM89" s="51">
        <f t="shared" si="24"/>
        <v>0</v>
      </c>
    </row>
    <row r="90" spans="1:112" ht="25.5" hidden="1" x14ac:dyDescent="0.25">
      <c r="B90" s="189" t="s">
        <v>307</v>
      </c>
      <c r="C90" s="726">
        <v>14</v>
      </c>
      <c r="D90" s="51">
        <f>+D21</f>
        <v>-65103</v>
      </c>
      <c r="E90" s="726"/>
      <c r="F90" s="51">
        <f>+F21</f>
        <v>15445</v>
      </c>
      <c r="G90" s="726"/>
      <c r="H90" s="247">
        <f>D90-('Note 13'!C130-'Note 13'!G130)-H92-H93-H94-H95-H96-H97-H98</f>
        <v>-94031</v>
      </c>
      <c r="I90" s="726"/>
      <c r="J90" s="247">
        <f>F90+('Note 13'!E130-'Note 13'!I130)-J92-J93-J94-J95-J96-J97-J98</f>
        <v>-13483</v>
      </c>
      <c r="K90" s="782" t="s">
        <v>1351</v>
      </c>
      <c r="L90" s="726"/>
      <c r="M90" s="727">
        <f>+M21</f>
        <v>-117398</v>
      </c>
      <c r="N90" s="726"/>
      <c r="O90" s="727">
        <f>+O21</f>
        <v>-264354</v>
      </c>
      <c r="P90" s="726"/>
      <c r="Q90" s="51">
        <f>SUMIF(MAP!$E$93:$E$146,$B90,MAP!U$93:U$146)</f>
        <v>434</v>
      </c>
      <c r="R90" s="726"/>
      <c r="S90" s="51">
        <f>SUMIF(MAP!$E$93:$E$146,$B90,MAP!BD$93:BD$146)</f>
        <v>0</v>
      </c>
      <c r="T90" s="726"/>
      <c r="U90" s="51">
        <f>SUMIF(MAP!$E$93:$E$146,$B90,MAP!N$93:N$146)</f>
        <v>15445</v>
      </c>
      <c r="AA90" s="51">
        <f>SUMIF(MAP!$E$93:$E$146,$B90,MAP!T$93:T$146)</f>
        <v>-65103</v>
      </c>
      <c r="AD90" s="51">
        <f>SUMIF(MAP!$E$93:$E$146,$B90,MAP!W$93:W$146)</f>
        <v>-65537</v>
      </c>
      <c r="AE90" s="51">
        <f>SUMIF(MAP!$E$93:$E$146,$B90,MAP!X$93:X$146)</f>
        <v>0</v>
      </c>
      <c r="AF90" s="51">
        <f>SUMIF(MAP!$E$93:$E$146,$B90,MAP!Y$93:Y$146)</f>
        <v>0</v>
      </c>
      <c r="AG90" s="51">
        <f>SUMIF(MAP!$E$93:$E$146,$B90,MAP!Z$93:Z$146)</f>
        <v>0</v>
      </c>
      <c r="AH90" s="51">
        <f>SUMIF(MAP!$E$93:$E$146,$B90,MAP!AA$93:AA$146)</f>
        <v>0</v>
      </c>
      <c r="AI90" s="51">
        <f>SUMIF(MAP!$E$93:$E$146,$B90,MAP!AB$93:AB$146)</f>
        <v>0</v>
      </c>
      <c r="AJ90" s="51">
        <f>SUMIF(MAP!$E$93:$E$146,$B90,MAP!AC$93:AC$146)</f>
        <v>0</v>
      </c>
      <c r="AK90" s="51">
        <f>SUMIF(MAP!$E$93:$E$146,$B90,MAP!AD$93:AD$146)</f>
        <v>0</v>
      </c>
      <c r="AL90" s="51">
        <f>SUMIF(MAP!$E$93:$E$146,$B90,MAP!AE$93:AE$146)</f>
        <v>0</v>
      </c>
      <c r="AM90" s="51">
        <f>SUMIF(MAP!$E$93:$E$146,$B90,MAP!AF$93:AF$146)</f>
        <v>0</v>
      </c>
      <c r="AN90" s="51">
        <f>SUMIF(MAP!$E$93:$E$146,$B90,MAP!AG$93:AG$146)</f>
        <v>0</v>
      </c>
      <c r="AO90" s="51">
        <f>SUMIF(MAP!$E$93:$E$146,$B90,MAP!AH$93:AH$146)</f>
        <v>0</v>
      </c>
      <c r="AP90" s="51">
        <f>SUMIF(MAP!$E$93:$E$146,$B90,MAP!AI$93:AI$146)</f>
        <v>0</v>
      </c>
      <c r="AQ90" s="51">
        <f>SUMIF(MAP!$E$93:$E$146,$B90,MAP!AJ$93:AJ$146)</f>
        <v>0</v>
      </c>
      <c r="AR90" s="51">
        <f>SUMIF(MAP!$E$93:$E$146,$B90,MAP!AK$93:AK$146)</f>
        <v>0</v>
      </c>
      <c r="AS90" s="51">
        <f>SUMIF(MAP!$E$93:$E$146,$B90,MAP!AL$93:AL$146)</f>
        <v>0</v>
      </c>
      <c r="AT90" s="51">
        <f>SUMIF(MAP!$E$93:$E$146,$B90,MAP!AM$93:AM$146)</f>
        <v>0</v>
      </c>
      <c r="AU90" s="51">
        <f>SUMIF(MAP!$E$93:$E$146,$B90,MAP!AN$93:AN$146)</f>
        <v>0</v>
      </c>
      <c r="AV90" s="51">
        <f>SUMIF(MAP!$E$93:$E$146,$B90,MAP!AO$93:AO$146)</f>
        <v>0</v>
      </c>
      <c r="AW90" s="51">
        <f>SUMIF(MAP!$E$93:$E$146,$B90,MAP!AP$93:AP$146)</f>
        <v>0</v>
      </c>
      <c r="AX90" s="51">
        <f>SUMIF(MAP!$E$93:$E$146,$B90,MAP!AQ$93:AQ$146)</f>
        <v>0</v>
      </c>
      <c r="CE90" s="742"/>
      <c r="CF90" s="51">
        <f t="shared" si="17"/>
        <v>0</v>
      </c>
      <c r="CG90" s="51">
        <f t="shared" si="18"/>
        <v>0</v>
      </c>
      <c r="CH90" s="51">
        <f t="shared" si="19"/>
        <v>0</v>
      </c>
      <c r="CI90" s="51">
        <f t="shared" si="20"/>
        <v>0</v>
      </c>
      <c r="CJ90" s="51">
        <f t="shared" si="21"/>
        <v>0</v>
      </c>
      <c r="CK90" s="51">
        <f t="shared" si="22"/>
        <v>-65103</v>
      </c>
      <c r="CL90" s="51">
        <f t="shared" si="23"/>
        <v>0</v>
      </c>
      <c r="CM90" s="51">
        <f t="shared" si="24"/>
        <v>0</v>
      </c>
    </row>
    <row r="91" spans="1:112" s="189" customFormat="1" ht="25.5" hidden="1" x14ac:dyDescent="0.25">
      <c r="A91" s="728"/>
      <c r="B91" s="729" t="s">
        <v>305</v>
      </c>
      <c r="C91" s="726"/>
      <c r="D91" s="731"/>
      <c r="E91" s="726"/>
      <c r="F91" s="731"/>
      <c r="G91" s="726"/>
      <c r="H91" s="726"/>
      <c r="I91" s="726"/>
      <c r="J91" s="726"/>
      <c r="K91" s="726"/>
      <c r="L91" s="726"/>
      <c r="M91" s="113"/>
      <c r="N91" s="726"/>
      <c r="O91" s="113"/>
      <c r="P91" s="726"/>
      <c r="Q91" s="731">
        <f>SUMIF(MAP!$E$93:$E$146,$B91,MAP!U$93:U$146)</f>
        <v>0</v>
      </c>
      <c r="R91" s="726"/>
      <c r="S91" s="731">
        <f>SUMIF(MAP!$E$93:$E$146,$B91,MAP!BD$93:BD$146)</f>
        <v>0</v>
      </c>
      <c r="T91" s="726"/>
      <c r="U91" s="51">
        <f>SUMIF(MAP!$E$93:$E$146,$B91,MAP!N$93:N$146)</f>
        <v>0</v>
      </c>
      <c r="AA91" s="51">
        <f>SUMIF(MAP!$E$93:$E$146,$B91,MAP!T$93:T$146)</f>
        <v>0</v>
      </c>
      <c r="AD91" s="51">
        <f>SUMIF(MAP!$E$93:$E$146,$B91,MAP!W$93:W$146)</f>
        <v>0</v>
      </c>
      <c r="AE91" s="51">
        <f>SUMIF(MAP!$E$93:$E$146,$B91,MAP!X$93:X$146)</f>
        <v>0</v>
      </c>
      <c r="AF91" s="51">
        <f>SUMIF(MAP!$E$93:$E$146,$B91,MAP!Y$93:Y$146)</f>
        <v>0</v>
      </c>
      <c r="AG91" s="51">
        <f>SUMIF(MAP!$E$93:$E$146,$B91,MAP!Z$93:Z$146)</f>
        <v>0</v>
      </c>
      <c r="AH91" s="51">
        <f>SUMIF(MAP!$E$93:$E$146,$B91,MAP!AA$93:AA$146)</f>
        <v>0</v>
      </c>
      <c r="AI91" s="51">
        <f>SUMIF(MAP!$E$93:$E$146,$B91,MAP!AB$93:AB$146)</f>
        <v>0</v>
      </c>
      <c r="AJ91" s="51">
        <f>SUMIF(MAP!$E$93:$E$146,$B91,MAP!AC$93:AC$146)</f>
        <v>0</v>
      </c>
      <c r="AK91" s="51">
        <f>SUMIF(MAP!$E$93:$E$146,$B91,MAP!AD$93:AD$146)</f>
        <v>0</v>
      </c>
      <c r="AL91" s="51">
        <f>SUMIF(MAP!$E$93:$E$146,$B91,MAP!AE$93:AE$146)</f>
        <v>0</v>
      </c>
      <c r="AM91" s="51">
        <f>SUMIF(MAP!$E$93:$E$146,$B91,MAP!AF$93:AF$146)</f>
        <v>0</v>
      </c>
      <c r="AN91" s="51">
        <f>SUMIF(MAP!$E$93:$E$146,$B91,MAP!AG$93:AG$146)</f>
        <v>0</v>
      </c>
      <c r="AO91" s="51">
        <f>SUMIF(MAP!$E$93:$E$146,$B91,MAP!AH$93:AH$146)</f>
        <v>0</v>
      </c>
      <c r="AP91" s="51">
        <f>SUMIF(MAP!$E$93:$E$146,$B91,MAP!AI$93:AI$146)</f>
        <v>0</v>
      </c>
      <c r="AQ91" s="51">
        <f>SUMIF(MAP!$E$93:$E$146,$B91,MAP!AJ$93:AJ$146)</f>
        <v>0</v>
      </c>
      <c r="AR91" s="51">
        <f>SUMIF(MAP!$E$93:$E$146,$B91,MAP!AK$93:AK$146)</f>
        <v>0</v>
      </c>
      <c r="AS91" s="51">
        <f>SUMIF(MAP!$E$93:$E$146,$B91,MAP!AL$93:AL$146)</f>
        <v>0</v>
      </c>
      <c r="AT91" s="51">
        <f>SUMIF(MAP!$E$93:$E$146,$B91,MAP!AM$93:AM$146)</f>
        <v>0</v>
      </c>
      <c r="AU91" s="51">
        <f>SUMIF(MAP!$E$93:$E$146,$B91,MAP!AN$93:AN$146)</f>
        <v>0</v>
      </c>
      <c r="AV91" s="51">
        <f>SUMIF(MAP!$E$93:$E$146,$B91,MAP!AO$93:AO$146)</f>
        <v>0</v>
      </c>
      <c r="AW91" s="51">
        <f>SUMIF(MAP!$E$93:$E$146,$B91,MAP!AP$93:AP$146)</f>
        <v>0</v>
      </c>
      <c r="AX91" s="51">
        <f>SUMIF(MAP!$E$93:$E$146,$B91,MAP!AQ$93:AQ$146)</f>
        <v>0</v>
      </c>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E91" s="742"/>
      <c r="CF91" s="189">
        <f t="shared" si="17"/>
        <v>0</v>
      </c>
      <c r="CG91" s="189">
        <f t="shared" si="18"/>
        <v>0</v>
      </c>
      <c r="CH91" s="189">
        <f t="shared" si="19"/>
        <v>0</v>
      </c>
      <c r="CI91" s="189">
        <f t="shared" si="20"/>
        <v>0</v>
      </c>
      <c r="CJ91" s="189">
        <f t="shared" si="21"/>
        <v>0</v>
      </c>
      <c r="CK91" s="51">
        <f t="shared" si="22"/>
        <v>0</v>
      </c>
      <c r="CL91" s="189">
        <f t="shared" si="23"/>
        <v>0</v>
      </c>
      <c r="CM91" s="189">
        <f t="shared" si="24"/>
        <v>0</v>
      </c>
      <c r="CN91" s="51"/>
      <c r="CO91" s="51"/>
      <c r="CP91" s="51"/>
      <c r="CQ91" s="51"/>
      <c r="CR91" s="51"/>
      <c r="CS91" s="51"/>
      <c r="CT91" s="51"/>
      <c r="CU91" s="51"/>
      <c r="CV91" s="51"/>
      <c r="CW91" s="51"/>
      <c r="CX91" s="51"/>
      <c r="CY91" s="51"/>
      <c r="CZ91" s="51"/>
      <c r="DA91" s="51"/>
      <c r="DB91" s="51"/>
      <c r="DC91" s="51"/>
      <c r="DD91" s="51"/>
      <c r="DE91" s="51"/>
      <c r="DF91" s="51"/>
      <c r="DG91" s="51"/>
      <c r="DH91" s="51"/>
    </row>
    <row r="92" spans="1:112" s="189" customFormat="1" ht="25.5" hidden="1" x14ac:dyDescent="0.25">
      <c r="A92" s="728"/>
      <c r="B92" s="189" t="s">
        <v>306</v>
      </c>
      <c r="C92" s="726">
        <v>14</v>
      </c>
      <c r="D92" s="51">
        <f t="shared" ref="D92:D100" si="26">+D23</f>
        <v>0</v>
      </c>
      <c r="E92" s="726"/>
      <c r="F92" s="51">
        <f t="shared" ref="F92:F100" si="27">+F23</f>
        <v>0</v>
      </c>
      <c r="G92" s="726"/>
      <c r="H92" s="247">
        <f>D92+('Note 13'!C86+'Note 13'!C91-'Note 13'!E86-'Note 13'!E91)</f>
        <v>0</v>
      </c>
      <c r="I92" s="726"/>
      <c r="J92" s="247">
        <f>F92+('Note 13'!E86+'Note 13'!E91-'Note 13'!G86-'Note 13'!G91)</f>
        <v>0</v>
      </c>
      <c r="K92" s="800" t="s">
        <v>1350</v>
      </c>
      <c r="L92" s="726"/>
      <c r="M92" s="727">
        <f t="shared" ref="M92:M99" si="28">+M23</f>
        <v>-70</v>
      </c>
      <c r="N92" s="726"/>
      <c r="O92" s="727">
        <f t="shared" ref="O92:O99" si="29">+O23</f>
        <v>16399</v>
      </c>
      <c r="P92" s="726"/>
      <c r="Q92" s="51">
        <f>SUMIF(MAP!$E$93:$E$146,$B92,MAP!U$93:U$146)</f>
        <v>0</v>
      </c>
      <c r="R92" s="726"/>
      <c r="S92" s="51">
        <f>SUMIF(MAP!$E$93:$E$146,$B92,MAP!BD$93:BD$146)</f>
        <v>0</v>
      </c>
      <c r="T92" s="726"/>
      <c r="U92" s="51">
        <f>SUMIF(MAP!$E$93:$E$146,$B92,MAP!N$93:N$146)</f>
        <v>0</v>
      </c>
      <c r="AA92" s="51">
        <f>SUMIF(MAP!$E$93:$E$146,$B92,MAP!T$93:T$146)</f>
        <v>0</v>
      </c>
      <c r="AD92" s="51">
        <f>SUMIF(MAP!$E$93:$E$146,$B92,MAP!W$93:W$146)</f>
        <v>0</v>
      </c>
      <c r="AE92" s="51">
        <f>SUMIF(MAP!$E$93:$E$146,$B92,MAP!X$93:X$146)</f>
        <v>0</v>
      </c>
      <c r="AF92" s="51">
        <f>SUMIF(MAP!$E$93:$E$146,$B92,MAP!Y$93:Y$146)</f>
        <v>0</v>
      </c>
      <c r="AG92" s="51">
        <f>SUMIF(MAP!$E$93:$E$146,$B92,MAP!Z$93:Z$146)</f>
        <v>0</v>
      </c>
      <c r="AH92" s="51">
        <f>SUMIF(MAP!$E$93:$E$146,$B92,MAP!AA$93:AA$146)</f>
        <v>0</v>
      </c>
      <c r="AI92" s="51">
        <f>SUMIF(MAP!$E$93:$E$146,$B92,MAP!AB$93:AB$146)</f>
        <v>0</v>
      </c>
      <c r="AJ92" s="51">
        <f>SUMIF(MAP!$E$93:$E$146,$B92,MAP!AC$93:AC$146)</f>
        <v>0</v>
      </c>
      <c r="AK92" s="51">
        <f>SUMIF(MAP!$E$93:$E$146,$B92,MAP!AD$93:AD$146)</f>
        <v>0</v>
      </c>
      <c r="AL92" s="51">
        <f>SUMIF(MAP!$E$93:$E$146,$B92,MAP!AE$93:AE$146)</f>
        <v>0</v>
      </c>
      <c r="AM92" s="51">
        <f>SUMIF(MAP!$E$93:$E$146,$B92,MAP!AF$93:AF$146)</f>
        <v>0</v>
      </c>
      <c r="AN92" s="51">
        <f>SUMIF(MAP!$E$93:$E$146,$B92,MAP!AG$93:AG$146)</f>
        <v>0</v>
      </c>
      <c r="AO92" s="51">
        <f>SUMIF(MAP!$E$93:$E$146,$B92,MAP!AH$93:AH$146)</f>
        <v>0</v>
      </c>
      <c r="AP92" s="51">
        <f>SUMIF(MAP!$E$93:$E$146,$B92,MAP!AI$93:AI$146)</f>
        <v>0</v>
      </c>
      <c r="AQ92" s="51">
        <f>SUMIF(MAP!$E$93:$E$146,$B92,MAP!AJ$93:AJ$146)</f>
        <v>0</v>
      </c>
      <c r="AR92" s="51">
        <f>SUMIF(MAP!$E$93:$E$146,$B92,MAP!AK$93:AK$146)</f>
        <v>0</v>
      </c>
      <c r="AS92" s="51">
        <f>SUMIF(MAP!$E$93:$E$146,$B92,MAP!AL$93:AL$146)</f>
        <v>0</v>
      </c>
      <c r="AT92" s="51">
        <f>SUMIF(MAP!$E$93:$E$146,$B92,MAP!AM$93:AM$146)</f>
        <v>0</v>
      </c>
      <c r="AU92" s="51">
        <f>SUMIF(MAP!$E$93:$E$146,$B92,MAP!AN$93:AN$146)</f>
        <v>0</v>
      </c>
      <c r="AV92" s="51">
        <f>SUMIF(MAP!$E$93:$E$146,$B92,MAP!AO$93:AO$146)</f>
        <v>0</v>
      </c>
      <c r="AW92" s="51">
        <f>SUMIF(MAP!$E$93:$E$146,$B92,MAP!AP$93:AP$146)</f>
        <v>0</v>
      </c>
      <c r="AX92" s="51">
        <f>SUMIF(MAP!$E$93:$E$146,$B92,MAP!AQ$93:AQ$146)</f>
        <v>0</v>
      </c>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E92" s="742"/>
      <c r="CF92" s="189">
        <f t="shared" si="17"/>
        <v>0</v>
      </c>
      <c r="CG92" s="189">
        <f t="shared" si="18"/>
        <v>0</v>
      </c>
      <c r="CH92" s="189">
        <f t="shared" si="19"/>
        <v>0</v>
      </c>
      <c r="CI92" s="189">
        <f t="shared" si="20"/>
        <v>0</v>
      </c>
      <c r="CJ92" s="189">
        <f t="shared" si="21"/>
        <v>0</v>
      </c>
      <c r="CK92" s="51">
        <f t="shared" si="22"/>
        <v>0</v>
      </c>
      <c r="CL92" s="189">
        <f t="shared" si="23"/>
        <v>0</v>
      </c>
      <c r="CM92" s="189">
        <f t="shared" si="24"/>
        <v>0</v>
      </c>
      <c r="CN92" s="51"/>
      <c r="CO92" s="51"/>
      <c r="CP92" s="51"/>
      <c r="CQ92" s="51"/>
      <c r="CR92" s="51"/>
      <c r="CS92" s="51"/>
      <c r="CT92" s="51"/>
      <c r="CU92" s="51"/>
      <c r="CV92" s="51"/>
      <c r="CW92" s="51"/>
      <c r="CX92" s="51"/>
      <c r="CY92" s="51"/>
      <c r="CZ92" s="51"/>
      <c r="DA92" s="51"/>
      <c r="DB92" s="51"/>
      <c r="DC92" s="51"/>
      <c r="DD92" s="51"/>
      <c r="DE92" s="51"/>
      <c r="DF92" s="51"/>
      <c r="DG92" s="51"/>
      <c r="DH92" s="51"/>
    </row>
    <row r="93" spans="1:112" s="189" customFormat="1" hidden="1" x14ac:dyDescent="0.25">
      <c r="A93" s="728"/>
      <c r="B93" s="189" t="s">
        <v>87</v>
      </c>
      <c r="C93" s="726">
        <v>14</v>
      </c>
      <c r="D93" s="51">
        <f t="shared" si="26"/>
        <v>0</v>
      </c>
      <c r="E93" s="726"/>
      <c r="F93" s="51">
        <f t="shared" si="27"/>
        <v>0</v>
      </c>
      <c r="G93" s="726"/>
      <c r="H93" s="247">
        <f>D93+('Note 13'!C87+'Note 13'!C92-'Note 13'!E87-'Note 13'!E92)</f>
        <v>0</v>
      </c>
      <c r="I93" s="726"/>
      <c r="J93" s="247">
        <f>F93+('Note 13'!E87+'Note 13'!E92-'Note 13'!G87-'Note 13'!G92)</f>
        <v>0</v>
      </c>
      <c r="K93" s="800" t="s">
        <v>1350</v>
      </c>
      <c r="L93" s="726"/>
      <c r="M93" s="727">
        <f t="shared" si="28"/>
        <v>107</v>
      </c>
      <c r="N93" s="726"/>
      <c r="O93" s="727">
        <f t="shared" si="29"/>
        <v>-3020</v>
      </c>
      <c r="P93" s="726"/>
      <c r="Q93" s="51">
        <f>SUMIF(MAP!$E$93:$E$146,$B93,MAP!U$93:U$146)</f>
        <v>0</v>
      </c>
      <c r="R93" s="726"/>
      <c r="S93" s="51">
        <f>SUMIF(MAP!$E$93:$E$146,$B93,MAP!BD$93:BD$146)</f>
        <v>0</v>
      </c>
      <c r="T93" s="726"/>
      <c r="U93" s="51">
        <f>SUMIF(MAP!$E$93:$E$146,$B93,MAP!N$93:N$146)</f>
        <v>0</v>
      </c>
      <c r="AA93" s="51">
        <f>SUMIF(MAP!$E$93:$E$146,$B93,MAP!T$93:T$146)</f>
        <v>0</v>
      </c>
      <c r="AD93" s="51">
        <f>SUMIF(MAP!$E$93:$E$146,$B93,MAP!W$93:W$146)</f>
        <v>0</v>
      </c>
      <c r="AE93" s="51">
        <f>SUMIF(MAP!$E$93:$E$146,$B93,MAP!X$93:X$146)</f>
        <v>0</v>
      </c>
      <c r="AF93" s="51">
        <f>SUMIF(MAP!$E$93:$E$146,$B93,MAP!Y$93:Y$146)</f>
        <v>0</v>
      </c>
      <c r="AG93" s="51">
        <f>SUMIF(MAP!$E$93:$E$146,$B93,MAP!Z$93:Z$146)</f>
        <v>0</v>
      </c>
      <c r="AH93" s="51">
        <f>SUMIF(MAP!$E$93:$E$146,$B93,MAP!AA$93:AA$146)</f>
        <v>0</v>
      </c>
      <c r="AI93" s="51">
        <f>SUMIF(MAP!$E$93:$E$146,$B93,MAP!AB$93:AB$146)</f>
        <v>0</v>
      </c>
      <c r="AJ93" s="51">
        <f>SUMIF(MAP!$E$93:$E$146,$B93,MAP!AC$93:AC$146)</f>
        <v>0</v>
      </c>
      <c r="AK93" s="51">
        <f>SUMIF(MAP!$E$93:$E$146,$B93,MAP!AD$93:AD$146)</f>
        <v>0</v>
      </c>
      <c r="AL93" s="51">
        <f>SUMIF(MAP!$E$93:$E$146,$B93,MAP!AE$93:AE$146)</f>
        <v>0</v>
      </c>
      <c r="AM93" s="51">
        <f>SUMIF(MAP!$E$93:$E$146,$B93,MAP!AF$93:AF$146)</f>
        <v>0</v>
      </c>
      <c r="AN93" s="51">
        <f>SUMIF(MAP!$E$93:$E$146,$B93,MAP!AG$93:AG$146)</f>
        <v>0</v>
      </c>
      <c r="AO93" s="51">
        <f>SUMIF(MAP!$E$93:$E$146,$B93,MAP!AH$93:AH$146)</f>
        <v>0</v>
      </c>
      <c r="AP93" s="51">
        <f>SUMIF(MAP!$E$93:$E$146,$B93,MAP!AI$93:AI$146)</f>
        <v>0</v>
      </c>
      <c r="AQ93" s="51">
        <f>SUMIF(MAP!$E$93:$E$146,$B93,MAP!AJ$93:AJ$146)</f>
        <v>0</v>
      </c>
      <c r="AR93" s="51">
        <f>SUMIF(MAP!$E$93:$E$146,$B93,MAP!AK$93:AK$146)</f>
        <v>0</v>
      </c>
      <c r="AS93" s="51">
        <f>SUMIF(MAP!$E$93:$E$146,$B93,MAP!AL$93:AL$146)</f>
        <v>0</v>
      </c>
      <c r="AT93" s="51">
        <f>SUMIF(MAP!$E$93:$E$146,$B93,MAP!AM$93:AM$146)</f>
        <v>0</v>
      </c>
      <c r="AU93" s="51">
        <f>SUMIF(MAP!$E$93:$E$146,$B93,MAP!AN$93:AN$146)</f>
        <v>0</v>
      </c>
      <c r="AV93" s="51">
        <f>SUMIF(MAP!$E$93:$E$146,$B93,MAP!AO$93:AO$146)</f>
        <v>0</v>
      </c>
      <c r="AW93" s="51">
        <f>SUMIF(MAP!$E$93:$E$146,$B93,MAP!AP$93:AP$146)</f>
        <v>0</v>
      </c>
      <c r="AX93" s="51">
        <f>SUMIF(MAP!$E$93:$E$146,$B93,MAP!AQ$93:AQ$146)</f>
        <v>0</v>
      </c>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E93" s="742"/>
      <c r="CF93" s="189">
        <f t="shared" si="17"/>
        <v>0</v>
      </c>
      <c r="CG93" s="189">
        <f t="shared" si="18"/>
        <v>0</v>
      </c>
      <c r="CH93" s="189">
        <f t="shared" si="19"/>
        <v>0</v>
      </c>
      <c r="CI93" s="189">
        <f t="shared" si="20"/>
        <v>0</v>
      </c>
      <c r="CJ93" s="189">
        <f t="shared" si="21"/>
        <v>0</v>
      </c>
      <c r="CK93" s="51">
        <f t="shared" si="22"/>
        <v>0</v>
      </c>
      <c r="CL93" s="189">
        <f t="shared" si="23"/>
        <v>0</v>
      </c>
      <c r="CM93" s="189">
        <f t="shared" si="24"/>
        <v>0</v>
      </c>
      <c r="CN93" s="51"/>
      <c r="CO93" s="51"/>
      <c r="CP93" s="51"/>
      <c r="CQ93" s="51"/>
      <c r="CR93" s="51"/>
      <c r="CS93" s="51"/>
      <c r="CT93" s="51"/>
      <c r="CU93" s="51"/>
      <c r="CV93" s="51"/>
      <c r="CW93" s="51"/>
      <c r="CX93" s="51"/>
      <c r="CY93" s="51"/>
      <c r="CZ93" s="51"/>
      <c r="DA93" s="51"/>
      <c r="DB93" s="51"/>
      <c r="DC93" s="51"/>
      <c r="DD93" s="51"/>
      <c r="DE93" s="51"/>
      <c r="DF93" s="51"/>
      <c r="DG93" s="51"/>
      <c r="DH93" s="51"/>
    </row>
    <row r="94" spans="1:112" s="189" customFormat="1" hidden="1" x14ac:dyDescent="0.25">
      <c r="A94" s="728"/>
      <c r="B94" s="189" t="s">
        <v>324</v>
      </c>
      <c r="C94" s="726">
        <v>14</v>
      </c>
      <c r="D94" s="51">
        <f t="shared" si="26"/>
        <v>306</v>
      </c>
      <c r="E94" s="726"/>
      <c r="F94" s="51">
        <f t="shared" si="27"/>
        <v>306</v>
      </c>
      <c r="G94" s="726"/>
      <c r="H94" s="247">
        <f>D94+('Note 13'!C106+'Note 13'!C120-'Note 13'!G106-'Note 13'!G120)</f>
        <v>306</v>
      </c>
      <c r="I94" s="726"/>
      <c r="J94" s="247">
        <f>F94+('Note 13'!E106+'Note 13'!E120-'Note 13'!I106-'Note 13'!I120)</f>
        <v>306</v>
      </c>
      <c r="K94" s="800" t="s">
        <v>1350</v>
      </c>
      <c r="L94" s="726"/>
      <c r="M94" s="727">
        <f t="shared" si="28"/>
        <v>298</v>
      </c>
      <c r="N94" s="726"/>
      <c r="O94" s="727">
        <f t="shared" si="29"/>
        <v>-3739</v>
      </c>
      <c r="P94" s="726"/>
      <c r="Q94" s="51">
        <f>SUMIF(MAP!$E$93:$E$146,$B94,MAP!U$93:U$146)</f>
        <v>0</v>
      </c>
      <c r="R94" s="726"/>
      <c r="S94" s="51">
        <f>SUMIF(MAP!$E$93:$E$146,$B94,MAP!BD$93:BD$146)</f>
        <v>0</v>
      </c>
      <c r="T94" s="726"/>
      <c r="U94" s="51">
        <f>SUMIF(MAP!$E$93:$E$146,$B94,MAP!N$93:N$146)</f>
        <v>306</v>
      </c>
      <c r="AA94" s="51">
        <f>SUMIF(MAP!$E$93:$E$146,$B94,MAP!T$93:T$146)</f>
        <v>306</v>
      </c>
      <c r="AD94" s="51">
        <f>SUMIF(MAP!$E$93:$E$146,$B94,MAP!W$93:W$146)</f>
        <v>306</v>
      </c>
      <c r="AE94" s="51">
        <f>SUMIF(MAP!$E$93:$E$146,$B94,MAP!X$93:X$146)</f>
        <v>0</v>
      </c>
      <c r="AF94" s="51">
        <f>SUMIF(MAP!$E$93:$E$146,$B94,MAP!Y$93:Y$146)</f>
        <v>0</v>
      </c>
      <c r="AG94" s="51">
        <f>SUMIF(MAP!$E$93:$E$146,$B94,MAP!Z$93:Z$146)</f>
        <v>0</v>
      </c>
      <c r="AH94" s="51">
        <f>SUMIF(MAP!$E$93:$E$146,$B94,MAP!AA$93:AA$146)</f>
        <v>0</v>
      </c>
      <c r="AI94" s="51">
        <f>SUMIF(MAP!$E$93:$E$146,$B94,MAP!AB$93:AB$146)</f>
        <v>0</v>
      </c>
      <c r="AJ94" s="51">
        <f>SUMIF(MAP!$E$93:$E$146,$B94,MAP!AC$93:AC$146)</f>
        <v>0</v>
      </c>
      <c r="AK94" s="51">
        <f>SUMIF(MAP!$E$93:$E$146,$B94,MAP!AD$93:AD$146)</f>
        <v>0</v>
      </c>
      <c r="AL94" s="51">
        <f>SUMIF(MAP!$E$93:$E$146,$B94,MAP!AE$93:AE$146)</f>
        <v>0</v>
      </c>
      <c r="AM94" s="51">
        <f>SUMIF(MAP!$E$93:$E$146,$B94,MAP!AF$93:AF$146)</f>
        <v>0</v>
      </c>
      <c r="AN94" s="51">
        <f>SUMIF(MAP!$E$93:$E$146,$B94,MAP!AG$93:AG$146)</f>
        <v>0</v>
      </c>
      <c r="AO94" s="51">
        <f>SUMIF(MAP!$E$93:$E$146,$B94,MAP!AH$93:AH$146)</f>
        <v>0</v>
      </c>
      <c r="AP94" s="51">
        <f>SUMIF(MAP!$E$93:$E$146,$B94,MAP!AI$93:AI$146)</f>
        <v>0</v>
      </c>
      <c r="AQ94" s="51">
        <f>SUMIF(MAP!$E$93:$E$146,$B94,MAP!AJ$93:AJ$146)</f>
        <v>0</v>
      </c>
      <c r="AR94" s="51">
        <f>SUMIF(MAP!$E$93:$E$146,$B94,MAP!AK$93:AK$146)</f>
        <v>0</v>
      </c>
      <c r="AS94" s="51">
        <f>SUMIF(MAP!$E$93:$E$146,$B94,MAP!AL$93:AL$146)</f>
        <v>0</v>
      </c>
      <c r="AT94" s="51">
        <f>SUMIF(MAP!$E$93:$E$146,$B94,MAP!AM$93:AM$146)</f>
        <v>0</v>
      </c>
      <c r="AU94" s="51">
        <f>SUMIF(MAP!$E$93:$E$146,$B94,MAP!AN$93:AN$146)</f>
        <v>0</v>
      </c>
      <c r="AV94" s="51">
        <f>SUMIF(MAP!$E$93:$E$146,$B94,MAP!AO$93:AO$146)</f>
        <v>0</v>
      </c>
      <c r="AW94" s="51">
        <f>SUMIF(MAP!$E$93:$E$146,$B94,MAP!AP$93:AP$146)</f>
        <v>0</v>
      </c>
      <c r="AX94" s="51">
        <f>SUMIF(MAP!$E$93:$E$146,$B94,MAP!AQ$93:AQ$146)</f>
        <v>0</v>
      </c>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E94" s="742"/>
      <c r="CF94" s="189">
        <f t="shared" si="17"/>
        <v>0</v>
      </c>
      <c r="CG94" s="189">
        <f t="shared" si="18"/>
        <v>0</v>
      </c>
      <c r="CH94" s="189">
        <f t="shared" si="19"/>
        <v>0</v>
      </c>
      <c r="CI94" s="189">
        <f t="shared" si="20"/>
        <v>0</v>
      </c>
      <c r="CJ94" s="189">
        <f t="shared" si="21"/>
        <v>0</v>
      </c>
      <c r="CK94" s="51">
        <f t="shared" si="22"/>
        <v>306</v>
      </c>
      <c r="CL94" s="189">
        <f t="shared" si="23"/>
        <v>0</v>
      </c>
      <c r="CM94" s="189">
        <f t="shared" si="24"/>
        <v>0</v>
      </c>
      <c r="CN94" s="51"/>
      <c r="CO94" s="51"/>
      <c r="CP94" s="51"/>
      <c r="CQ94" s="51"/>
      <c r="CR94" s="51"/>
      <c r="CS94" s="51"/>
      <c r="CT94" s="51"/>
      <c r="CU94" s="51"/>
      <c r="CV94" s="51"/>
      <c r="CW94" s="51"/>
      <c r="CX94" s="51"/>
      <c r="CY94" s="51"/>
      <c r="CZ94" s="51"/>
      <c r="DA94" s="51"/>
      <c r="DB94" s="51"/>
      <c r="DC94" s="51"/>
      <c r="DD94" s="51"/>
      <c r="DE94" s="51"/>
      <c r="DF94" s="51"/>
      <c r="DG94" s="51"/>
      <c r="DH94" s="51"/>
    </row>
    <row r="95" spans="1:112" s="189" customFormat="1" ht="25.5" hidden="1" x14ac:dyDescent="0.25">
      <c r="A95" s="728"/>
      <c r="B95" s="189" t="s">
        <v>304</v>
      </c>
      <c r="C95" s="726">
        <v>14</v>
      </c>
      <c r="D95" s="51">
        <f t="shared" si="26"/>
        <v>0</v>
      </c>
      <c r="E95" s="726"/>
      <c r="F95" s="51">
        <f t="shared" si="27"/>
        <v>0</v>
      </c>
      <c r="G95" s="726"/>
      <c r="H95" s="247">
        <f>D95+('Note 13'!C107+'Note 13'!C121-'Note 13'!E107-'Note 13'!G121)</f>
        <v>0</v>
      </c>
      <c r="I95" s="726"/>
      <c r="J95" s="247">
        <f>F95+('Note 13'!E107+'Note 13'!E121-'Note 13'!G107-'Note 13'!I121)</f>
        <v>0</v>
      </c>
      <c r="K95" s="800" t="s">
        <v>1350</v>
      </c>
      <c r="L95" s="726"/>
      <c r="M95" s="727">
        <f t="shared" si="28"/>
        <v>0</v>
      </c>
      <c r="N95" s="726"/>
      <c r="O95" s="727">
        <f t="shared" si="29"/>
        <v>7960</v>
      </c>
      <c r="P95" s="726"/>
      <c r="Q95" s="51">
        <f>SUMIF(MAP!$E$93:$E$146,$B95,MAP!U$93:U$146)</f>
        <v>0</v>
      </c>
      <c r="R95" s="726"/>
      <c r="S95" s="51">
        <f>SUMIF(MAP!$E$93:$E$146,$B95,MAP!BD$93:BD$146)</f>
        <v>0</v>
      </c>
      <c r="T95" s="726"/>
      <c r="U95" s="51">
        <f>SUMIF(MAP!$E$93:$E$146,$B95,MAP!N$93:N$146)</f>
        <v>0</v>
      </c>
      <c r="AA95" s="51">
        <f>SUMIF(MAP!$E$93:$E$146,$B95,MAP!T$93:T$146)</f>
        <v>0</v>
      </c>
      <c r="AD95" s="51">
        <f>SUMIF(MAP!$E$93:$E$146,$B95,MAP!W$93:W$146)</f>
        <v>0</v>
      </c>
      <c r="AE95" s="51">
        <f>SUMIF(MAP!$E$93:$E$146,$B95,MAP!X$93:X$146)</f>
        <v>0</v>
      </c>
      <c r="AF95" s="51">
        <f>SUMIF(MAP!$E$93:$E$146,$B95,MAP!Y$93:Y$146)</f>
        <v>0</v>
      </c>
      <c r="AG95" s="51">
        <f>SUMIF(MAP!$E$93:$E$146,$B95,MAP!Z$93:Z$146)</f>
        <v>0</v>
      </c>
      <c r="AH95" s="51">
        <f>SUMIF(MAP!$E$93:$E$146,$B95,MAP!AA$93:AA$146)</f>
        <v>0</v>
      </c>
      <c r="AI95" s="51">
        <f>SUMIF(MAP!$E$93:$E$146,$B95,MAP!AB$93:AB$146)</f>
        <v>0</v>
      </c>
      <c r="AJ95" s="51">
        <f>SUMIF(MAP!$E$93:$E$146,$B95,MAP!AC$93:AC$146)</f>
        <v>0</v>
      </c>
      <c r="AK95" s="51">
        <f>SUMIF(MAP!$E$93:$E$146,$B95,MAP!AD$93:AD$146)</f>
        <v>0</v>
      </c>
      <c r="AL95" s="51">
        <f>SUMIF(MAP!$E$93:$E$146,$B95,MAP!AE$93:AE$146)</f>
        <v>0</v>
      </c>
      <c r="AM95" s="51">
        <f>SUMIF(MAP!$E$93:$E$146,$B95,MAP!AF$93:AF$146)</f>
        <v>0</v>
      </c>
      <c r="AN95" s="51">
        <f>SUMIF(MAP!$E$93:$E$146,$B95,MAP!AG$93:AG$146)</f>
        <v>0</v>
      </c>
      <c r="AO95" s="51">
        <f>SUMIF(MAP!$E$93:$E$146,$B95,MAP!AH$93:AH$146)</f>
        <v>0</v>
      </c>
      <c r="AP95" s="51">
        <f>SUMIF(MAP!$E$93:$E$146,$B95,MAP!AI$93:AI$146)</f>
        <v>0</v>
      </c>
      <c r="AQ95" s="51">
        <f>SUMIF(MAP!$E$93:$E$146,$B95,MAP!AJ$93:AJ$146)</f>
        <v>0</v>
      </c>
      <c r="AR95" s="51">
        <f>SUMIF(MAP!$E$93:$E$146,$B95,MAP!AK$93:AK$146)</f>
        <v>0</v>
      </c>
      <c r="AS95" s="51">
        <f>SUMIF(MAP!$E$93:$E$146,$B95,MAP!AL$93:AL$146)</f>
        <v>0</v>
      </c>
      <c r="AT95" s="51">
        <f>SUMIF(MAP!$E$93:$E$146,$B95,MAP!AM$93:AM$146)</f>
        <v>0</v>
      </c>
      <c r="AU95" s="51">
        <f>SUMIF(MAP!$E$93:$E$146,$B95,MAP!AN$93:AN$146)</f>
        <v>0</v>
      </c>
      <c r="AV95" s="51">
        <f>SUMIF(MAP!$E$93:$E$146,$B95,MAP!AO$93:AO$146)</f>
        <v>0</v>
      </c>
      <c r="AW95" s="51">
        <f>SUMIF(MAP!$E$93:$E$146,$B95,MAP!AP$93:AP$146)</f>
        <v>0</v>
      </c>
      <c r="AX95" s="51">
        <f>SUMIF(MAP!$E$93:$E$146,$B95,MAP!AQ$93:AQ$146)</f>
        <v>0</v>
      </c>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E95" s="742"/>
      <c r="CF95" s="189">
        <f t="shared" si="17"/>
        <v>0</v>
      </c>
      <c r="CG95" s="189">
        <f t="shared" si="18"/>
        <v>0</v>
      </c>
      <c r="CH95" s="189">
        <f t="shared" si="19"/>
        <v>0</v>
      </c>
      <c r="CI95" s="189">
        <f t="shared" si="20"/>
        <v>0</v>
      </c>
      <c r="CJ95" s="189">
        <f t="shared" si="21"/>
        <v>0</v>
      </c>
      <c r="CK95" s="51">
        <f t="shared" si="22"/>
        <v>0</v>
      </c>
      <c r="CL95" s="189">
        <f t="shared" si="23"/>
        <v>0</v>
      </c>
      <c r="CM95" s="189">
        <f t="shared" si="24"/>
        <v>0</v>
      </c>
      <c r="CN95" s="51"/>
      <c r="CO95" s="51"/>
      <c r="CP95" s="51"/>
      <c r="CQ95" s="51"/>
      <c r="CR95" s="51"/>
      <c r="CS95" s="51"/>
      <c r="CT95" s="51"/>
      <c r="CU95" s="51"/>
      <c r="CV95" s="51"/>
      <c r="CW95" s="51"/>
      <c r="CX95" s="51"/>
      <c r="CY95" s="51"/>
      <c r="CZ95" s="51"/>
      <c r="DA95" s="51"/>
      <c r="DB95" s="51"/>
      <c r="DC95" s="51"/>
      <c r="DD95" s="51"/>
      <c r="DE95" s="51"/>
      <c r="DF95" s="51"/>
      <c r="DG95" s="51"/>
      <c r="DH95" s="51"/>
    </row>
    <row r="96" spans="1:112" s="189" customFormat="1" hidden="1" outlineLevel="1" x14ac:dyDescent="0.25">
      <c r="A96" s="728"/>
      <c r="B96" s="1212" t="s">
        <v>2044</v>
      </c>
      <c r="C96" s="726">
        <v>14</v>
      </c>
      <c r="D96" s="51">
        <f t="shared" si="26"/>
        <v>0</v>
      </c>
      <c r="E96" s="726"/>
      <c r="F96" s="51">
        <f t="shared" si="27"/>
        <v>0</v>
      </c>
      <c r="G96" s="726"/>
      <c r="H96" s="726"/>
      <c r="I96" s="726"/>
      <c r="J96" s="726"/>
      <c r="K96" s="726"/>
      <c r="L96" s="726"/>
      <c r="M96" s="727">
        <f t="shared" si="28"/>
        <v>0</v>
      </c>
      <c r="N96" s="726"/>
      <c r="O96" s="727">
        <f t="shared" si="29"/>
        <v>561</v>
      </c>
      <c r="P96" s="726"/>
      <c r="Q96" s="51">
        <f>SUMIF(MAP!$E$93:$E$146,$B96,MAP!U$93:U$146)</f>
        <v>0</v>
      </c>
      <c r="R96" s="726"/>
      <c r="S96" s="51">
        <f>SUMIF(MAP!$E$93:$E$146,$B96,MAP!BD$93:BD$146)</f>
        <v>0</v>
      </c>
      <c r="T96" s="726"/>
      <c r="U96" s="51">
        <f>SUMIF(MAP!$E$93:$E$146,$B96,MAP!N$93:N$146)</f>
        <v>0</v>
      </c>
      <c r="AA96" s="51">
        <f>SUMIF(MAP!$E$93:$E$146,$B96,MAP!T$93:T$146)</f>
        <v>0</v>
      </c>
      <c r="AD96" s="51">
        <f>SUMIF(MAP!$E$93:$E$146,$B96,MAP!W$93:W$146)</f>
        <v>0</v>
      </c>
      <c r="AE96" s="51">
        <f>SUMIF(MAP!$E$93:$E$146,$B96,MAP!X$93:X$146)</f>
        <v>0</v>
      </c>
      <c r="AF96" s="51">
        <f>SUMIF(MAP!$E$93:$E$146,$B96,MAP!Y$93:Y$146)</f>
        <v>0</v>
      </c>
      <c r="AG96" s="51">
        <f>SUMIF(MAP!$E$93:$E$146,$B96,MAP!Z$93:Z$146)</f>
        <v>0</v>
      </c>
      <c r="AH96" s="51">
        <f>SUMIF(MAP!$E$93:$E$146,$B96,MAP!AA$93:AA$146)</f>
        <v>0</v>
      </c>
      <c r="AI96" s="51">
        <f>SUMIF(MAP!$E$93:$E$146,$B96,MAP!AB$93:AB$146)</f>
        <v>0</v>
      </c>
      <c r="AJ96" s="51">
        <f>SUMIF(MAP!$E$93:$E$146,$B96,MAP!AC$93:AC$146)</f>
        <v>0</v>
      </c>
      <c r="AK96" s="51">
        <f>SUMIF(MAP!$E$93:$E$146,$B96,MAP!AD$93:AD$146)</f>
        <v>0</v>
      </c>
      <c r="AL96" s="51">
        <f>SUMIF(MAP!$E$93:$E$146,$B96,MAP!AE$93:AE$146)</f>
        <v>0</v>
      </c>
      <c r="AM96" s="51">
        <f>SUMIF(MAP!$E$93:$E$146,$B96,MAP!AF$93:AF$146)</f>
        <v>0</v>
      </c>
      <c r="AN96" s="51">
        <f>SUMIF(MAP!$E$93:$E$146,$B96,MAP!AG$93:AG$146)</f>
        <v>0</v>
      </c>
      <c r="AO96" s="51">
        <f>SUMIF(MAP!$E$93:$E$146,$B96,MAP!AH$93:AH$146)</f>
        <v>0</v>
      </c>
      <c r="AP96" s="51">
        <f>SUMIF(MAP!$E$93:$E$146,$B96,MAP!AI$93:AI$146)</f>
        <v>0</v>
      </c>
      <c r="AQ96" s="51">
        <f>SUMIF(MAP!$E$93:$E$146,$B96,MAP!AJ$93:AJ$146)</f>
        <v>0</v>
      </c>
      <c r="AR96" s="51">
        <f>SUMIF(MAP!$E$93:$E$146,$B96,MAP!AK$93:AK$146)</f>
        <v>0</v>
      </c>
      <c r="AS96" s="51">
        <f>SUMIF(MAP!$E$93:$E$146,$B96,MAP!AL$93:AL$146)</f>
        <v>0</v>
      </c>
      <c r="AT96" s="51">
        <f>SUMIF(MAP!$E$93:$E$146,$B96,MAP!AM$93:AM$146)</f>
        <v>0</v>
      </c>
      <c r="AU96" s="51">
        <f>SUMIF(MAP!$E$93:$E$146,$B96,MAP!AN$93:AN$146)</f>
        <v>0</v>
      </c>
      <c r="AV96" s="51">
        <f>SUMIF(MAP!$E$93:$E$146,$B96,MAP!AO$93:AO$146)</f>
        <v>0</v>
      </c>
      <c r="AW96" s="51">
        <f>SUMIF(MAP!$E$93:$E$146,$B96,MAP!AP$93:AP$146)</f>
        <v>0</v>
      </c>
      <c r="AX96" s="51">
        <f>SUMIF(MAP!$E$93:$E$146,$B96,MAP!AQ$93:AQ$146)</f>
        <v>0</v>
      </c>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E96" s="742"/>
      <c r="CF96" s="189">
        <f t="shared" si="17"/>
        <v>0</v>
      </c>
      <c r="CG96" s="189">
        <f t="shared" si="18"/>
        <v>0</v>
      </c>
      <c r="CH96" s="189">
        <f t="shared" si="19"/>
        <v>0</v>
      </c>
      <c r="CI96" s="189">
        <f t="shared" si="20"/>
        <v>0</v>
      </c>
      <c r="CJ96" s="189">
        <f t="shared" si="21"/>
        <v>0</v>
      </c>
      <c r="CK96" s="51">
        <f t="shared" si="22"/>
        <v>0</v>
      </c>
      <c r="CL96" s="189">
        <f t="shared" si="23"/>
        <v>0</v>
      </c>
      <c r="CM96" s="189">
        <f t="shared" si="24"/>
        <v>0</v>
      </c>
      <c r="CN96" s="51"/>
      <c r="CO96" s="51"/>
      <c r="CP96" s="51"/>
      <c r="CQ96" s="51"/>
      <c r="CR96" s="51"/>
      <c r="CS96" s="51"/>
      <c r="CT96" s="51"/>
      <c r="CU96" s="51"/>
      <c r="CV96" s="51"/>
      <c r="CW96" s="51"/>
      <c r="CX96" s="51"/>
      <c r="CY96" s="51"/>
      <c r="CZ96" s="51"/>
      <c r="DA96" s="51"/>
      <c r="DB96" s="51"/>
      <c r="DC96" s="51"/>
      <c r="DD96" s="51"/>
      <c r="DE96" s="51"/>
      <c r="DF96" s="51"/>
      <c r="DG96" s="51"/>
      <c r="DH96" s="51"/>
    </row>
    <row r="97" spans="1:112" s="189" customFormat="1" hidden="1" collapsed="1" x14ac:dyDescent="0.25">
      <c r="A97" s="728"/>
      <c r="B97" s="189" t="s">
        <v>89</v>
      </c>
      <c r="C97" s="726">
        <v>14</v>
      </c>
      <c r="D97" s="51">
        <f t="shared" si="26"/>
        <v>27203</v>
      </c>
      <c r="E97" s="726"/>
      <c r="F97" s="51">
        <f t="shared" si="27"/>
        <v>27203</v>
      </c>
      <c r="G97" s="726"/>
      <c r="H97" s="247">
        <f>D97+'Note 13'!C98-'Note 13'!G98</f>
        <v>27203</v>
      </c>
      <c r="I97" s="726"/>
      <c r="J97" s="247">
        <f>F97+'Note 13'!E98</f>
        <v>27203</v>
      </c>
      <c r="K97" s="800" t="s">
        <v>1350</v>
      </c>
      <c r="L97" s="726"/>
      <c r="M97" s="727">
        <f t="shared" si="28"/>
        <v>35871</v>
      </c>
      <c r="N97" s="726"/>
      <c r="O97" s="727">
        <f t="shared" si="29"/>
        <v>35871</v>
      </c>
      <c r="P97" s="726"/>
      <c r="Q97" s="51">
        <f>SUMIF(MAP!$E$93:$E$146,$B97,MAP!U$93:U$146)</f>
        <v>0</v>
      </c>
      <c r="R97" s="726"/>
      <c r="S97" s="51">
        <f>SUMIF(MAP!$E$93:$E$146,$B97,MAP!BD$93:BD$146)</f>
        <v>0</v>
      </c>
      <c r="T97" s="726"/>
      <c r="U97" s="51">
        <f>SUMIF(MAP!$E$93:$E$146,$B97,MAP!N$93:N$146)</f>
        <v>27203</v>
      </c>
      <c r="AA97" s="51">
        <f>SUMIF(MAP!$E$93:$E$146,$B97,MAP!T$93:T$146)</f>
        <v>27203</v>
      </c>
      <c r="AD97" s="51">
        <f>SUMIF(MAP!$E$93:$E$146,$B97,MAP!W$93:W$146)</f>
        <v>27203</v>
      </c>
      <c r="AE97" s="51">
        <f>SUMIF(MAP!$E$93:$E$146,$B97,MAP!X$93:X$146)</f>
        <v>0</v>
      </c>
      <c r="AF97" s="51">
        <f>SUMIF(MAP!$E$93:$E$146,$B97,MAP!Y$93:Y$146)</f>
        <v>0</v>
      </c>
      <c r="AG97" s="51">
        <f>SUMIF(MAP!$E$93:$E$146,$B97,MAP!Z$93:Z$146)</f>
        <v>0</v>
      </c>
      <c r="AH97" s="51">
        <f>SUMIF(MAP!$E$93:$E$146,$B97,MAP!AA$93:AA$146)</f>
        <v>0</v>
      </c>
      <c r="AI97" s="51">
        <f>SUMIF(MAP!$E$93:$E$146,$B97,MAP!AB$93:AB$146)</f>
        <v>0</v>
      </c>
      <c r="AJ97" s="51">
        <f>SUMIF(MAP!$E$93:$E$146,$B97,MAP!AC$93:AC$146)</f>
        <v>0</v>
      </c>
      <c r="AK97" s="51">
        <f>SUMIF(MAP!$E$93:$E$146,$B97,MAP!AD$93:AD$146)</f>
        <v>0</v>
      </c>
      <c r="AL97" s="51">
        <f>SUMIF(MAP!$E$93:$E$146,$B97,MAP!AE$93:AE$146)</f>
        <v>0</v>
      </c>
      <c r="AM97" s="51">
        <f>SUMIF(MAP!$E$93:$E$146,$B97,MAP!AF$93:AF$146)</f>
        <v>0</v>
      </c>
      <c r="AN97" s="51">
        <f>SUMIF(MAP!$E$93:$E$146,$B97,MAP!AG$93:AG$146)</f>
        <v>0</v>
      </c>
      <c r="AO97" s="51">
        <f>SUMIF(MAP!$E$93:$E$146,$B97,MAP!AH$93:AH$146)</f>
        <v>0</v>
      </c>
      <c r="AP97" s="51">
        <f>SUMIF(MAP!$E$93:$E$146,$B97,MAP!AI$93:AI$146)</f>
        <v>0</v>
      </c>
      <c r="AQ97" s="51">
        <f>SUMIF(MAP!$E$93:$E$146,$B97,MAP!AJ$93:AJ$146)</f>
        <v>0</v>
      </c>
      <c r="AR97" s="51">
        <f>SUMIF(MAP!$E$93:$E$146,$B97,MAP!AK$93:AK$146)</f>
        <v>0</v>
      </c>
      <c r="AS97" s="51">
        <f>SUMIF(MAP!$E$93:$E$146,$B97,MAP!AL$93:AL$146)</f>
        <v>0</v>
      </c>
      <c r="AT97" s="51">
        <f>SUMIF(MAP!$E$93:$E$146,$B97,MAP!AM$93:AM$146)</f>
        <v>0</v>
      </c>
      <c r="AU97" s="51">
        <f>SUMIF(MAP!$E$93:$E$146,$B97,MAP!AN$93:AN$146)</f>
        <v>0</v>
      </c>
      <c r="AV97" s="51">
        <f>SUMIF(MAP!$E$93:$E$146,$B97,MAP!AO$93:AO$146)</f>
        <v>0</v>
      </c>
      <c r="AW97" s="51">
        <f>SUMIF(MAP!$E$93:$E$146,$B97,MAP!AP$93:AP$146)</f>
        <v>0</v>
      </c>
      <c r="AX97" s="51">
        <f>SUMIF(MAP!$E$93:$E$146,$B97,MAP!AQ$93:AQ$146)</f>
        <v>0</v>
      </c>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E97" s="742"/>
      <c r="CF97" s="189">
        <f t="shared" si="17"/>
        <v>0</v>
      </c>
      <c r="CG97" s="189">
        <f t="shared" si="18"/>
        <v>0</v>
      </c>
      <c r="CH97" s="189">
        <f t="shared" si="19"/>
        <v>0</v>
      </c>
      <c r="CI97" s="189">
        <f t="shared" si="20"/>
        <v>0</v>
      </c>
      <c r="CJ97" s="189">
        <f t="shared" si="21"/>
        <v>0</v>
      </c>
      <c r="CK97" s="51">
        <f t="shared" si="22"/>
        <v>27203</v>
      </c>
      <c r="CL97" s="189">
        <f t="shared" si="23"/>
        <v>0</v>
      </c>
      <c r="CM97" s="189">
        <f t="shared" si="24"/>
        <v>0</v>
      </c>
      <c r="CN97" s="51"/>
      <c r="CO97" s="51"/>
      <c r="CP97" s="51"/>
      <c r="CQ97" s="51"/>
      <c r="CR97" s="51"/>
      <c r="CS97" s="51"/>
      <c r="CT97" s="51"/>
      <c r="CU97" s="51"/>
      <c r="CV97" s="51"/>
      <c r="CW97" s="51"/>
      <c r="CX97" s="51"/>
      <c r="CY97" s="51"/>
      <c r="CZ97" s="51"/>
      <c r="DA97" s="51"/>
      <c r="DB97" s="51"/>
      <c r="DC97" s="51"/>
      <c r="DD97" s="51"/>
      <c r="DE97" s="51"/>
      <c r="DF97" s="51"/>
      <c r="DG97" s="51"/>
      <c r="DH97" s="51"/>
    </row>
    <row r="98" spans="1:112" s="189" customFormat="1" hidden="1" x14ac:dyDescent="0.25">
      <c r="A98" s="728"/>
      <c r="B98" s="189" t="s">
        <v>90</v>
      </c>
      <c r="C98" s="726">
        <v>14</v>
      </c>
      <c r="D98" s="51">
        <f t="shared" si="26"/>
        <v>1419</v>
      </c>
      <c r="E98" s="726"/>
      <c r="F98" s="51">
        <f t="shared" si="27"/>
        <v>1419</v>
      </c>
      <c r="G98" s="726"/>
      <c r="H98" s="247">
        <f>D98-('Note 13'!C100+'Note 13'!C101-'Note 13'!G100-'Note 13'!G101)</f>
        <v>1419</v>
      </c>
      <c r="I98" s="726"/>
      <c r="J98" s="247">
        <f>F98+('Note 13'!E100+'Note 13'!E101-'Note 13'!I100-'Note 13'!I101)</f>
        <v>1419</v>
      </c>
      <c r="K98" s="800" t="s">
        <v>1350</v>
      </c>
      <c r="L98" s="726"/>
      <c r="M98" s="727">
        <f t="shared" si="28"/>
        <v>-200</v>
      </c>
      <c r="N98" s="726"/>
      <c r="O98" s="727">
        <f t="shared" si="29"/>
        <v>-200</v>
      </c>
      <c r="P98" s="726"/>
      <c r="Q98" s="51">
        <f>SUMIF(MAP!$E$93:$E$146,$B98,MAP!U$93:U$146)</f>
        <v>0</v>
      </c>
      <c r="R98" s="726"/>
      <c r="S98" s="51">
        <f>SUMIF(MAP!$E$93:$E$146,$B98,MAP!BD$93:BD$146)</f>
        <v>0</v>
      </c>
      <c r="T98" s="726"/>
      <c r="U98" s="51">
        <f>SUMIF(MAP!$E$93:$E$146,$B98,MAP!N$93:N$146)</f>
        <v>1419</v>
      </c>
      <c r="AA98" s="51">
        <f>SUMIF(MAP!$E$93:$E$146,$B98,MAP!T$93:T$146)</f>
        <v>1419</v>
      </c>
      <c r="AD98" s="51">
        <f>SUMIF(MAP!$E$93:$E$146,$B98,MAP!W$93:W$146)</f>
        <v>1419</v>
      </c>
      <c r="AE98" s="51">
        <f>SUMIF(MAP!$E$93:$E$146,$B98,MAP!X$93:X$146)</f>
        <v>0</v>
      </c>
      <c r="AF98" s="51">
        <f>SUMIF(MAP!$E$93:$E$146,$B98,MAP!Y$93:Y$146)</f>
        <v>0</v>
      </c>
      <c r="AG98" s="51">
        <f>SUMIF(MAP!$E$93:$E$146,$B98,MAP!Z$93:Z$146)</f>
        <v>0</v>
      </c>
      <c r="AH98" s="51">
        <f>SUMIF(MAP!$E$93:$E$146,$B98,MAP!AA$93:AA$146)</f>
        <v>0</v>
      </c>
      <c r="AI98" s="51">
        <f>SUMIF(MAP!$E$93:$E$146,$B98,MAP!AB$93:AB$146)</f>
        <v>0</v>
      </c>
      <c r="AJ98" s="51">
        <f>SUMIF(MAP!$E$93:$E$146,$B98,MAP!AC$93:AC$146)</f>
        <v>0</v>
      </c>
      <c r="AK98" s="51">
        <f>SUMIF(MAP!$E$93:$E$146,$B98,MAP!AD$93:AD$146)</f>
        <v>0</v>
      </c>
      <c r="AL98" s="51">
        <f>SUMIF(MAP!$E$93:$E$146,$B98,MAP!AE$93:AE$146)</f>
        <v>0</v>
      </c>
      <c r="AM98" s="51">
        <f>SUMIF(MAP!$E$93:$E$146,$B98,MAP!AF$93:AF$146)</f>
        <v>0</v>
      </c>
      <c r="AN98" s="51">
        <f>SUMIF(MAP!$E$93:$E$146,$B98,MAP!AG$93:AG$146)</f>
        <v>0</v>
      </c>
      <c r="AO98" s="51">
        <f>SUMIF(MAP!$E$93:$E$146,$B98,MAP!AH$93:AH$146)</f>
        <v>0</v>
      </c>
      <c r="AP98" s="51">
        <f>SUMIF(MAP!$E$93:$E$146,$B98,MAP!AI$93:AI$146)</f>
        <v>0</v>
      </c>
      <c r="AQ98" s="51">
        <f>SUMIF(MAP!$E$93:$E$146,$B98,MAP!AJ$93:AJ$146)</f>
        <v>0</v>
      </c>
      <c r="AR98" s="51">
        <f>SUMIF(MAP!$E$93:$E$146,$B98,MAP!AK$93:AK$146)</f>
        <v>0</v>
      </c>
      <c r="AS98" s="51">
        <f>SUMIF(MAP!$E$93:$E$146,$B98,MAP!AL$93:AL$146)</f>
        <v>0</v>
      </c>
      <c r="AT98" s="51">
        <f>SUMIF(MAP!$E$93:$E$146,$B98,MAP!AM$93:AM$146)</f>
        <v>0</v>
      </c>
      <c r="AU98" s="51">
        <f>SUMIF(MAP!$E$93:$E$146,$B98,MAP!AN$93:AN$146)</f>
        <v>0</v>
      </c>
      <c r="AV98" s="51">
        <f>SUMIF(MAP!$E$93:$E$146,$B98,MAP!AO$93:AO$146)</f>
        <v>0</v>
      </c>
      <c r="AW98" s="51">
        <f>SUMIF(MAP!$E$93:$E$146,$B98,MAP!AP$93:AP$146)</f>
        <v>0</v>
      </c>
      <c r="AX98" s="51">
        <f>SUMIF(MAP!$E$93:$E$146,$B98,MAP!AQ$93:AQ$146)</f>
        <v>0</v>
      </c>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E98" s="742"/>
      <c r="CF98" s="189">
        <f t="shared" si="17"/>
        <v>0</v>
      </c>
      <c r="CG98" s="189">
        <f t="shared" si="18"/>
        <v>0</v>
      </c>
      <c r="CH98" s="189">
        <f t="shared" si="19"/>
        <v>0</v>
      </c>
      <c r="CI98" s="189">
        <f t="shared" si="20"/>
        <v>0</v>
      </c>
      <c r="CJ98" s="189">
        <f t="shared" si="21"/>
        <v>0</v>
      </c>
      <c r="CK98" s="51">
        <f t="shared" si="22"/>
        <v>1419</v>
      </c>
      <c r="CL98" s="189">
        <f t="shared" si="23"/>
        <v>0</v>
      </c>
      <c r="CM98" s="189">
        <f t="shared" si="24"/>
        <v>0</v>
      </c>
      <c r="CN98" s="51"/>
      <c r="CO98" s="51"/>
      <c r="CP98" s="51"/>
      <c r="CQ98" s="51"/>
      <c r="CR98" s="51"/>
      <c r="CS98" s="51"/>
      <c r="CT98" s="51"/>
      <c r="CU98" s="51"/>
      <c r="CV98" s="51"/>
      <c r="CW98" s="51"/>
      <c r="CX98" s="51"/>
      <c r="CY98" s="51"/>
      <c r="CZ98" s="51"/>
      <c r="DA98" s="51"/>
      <c r="DB98" s="51"/>
      <c r="DC98" s="51"/>
      <c r="DD98" s="51"/>
      <c r="DE98" s="51"/>
      <c r="DF98" s="51"/>
      <c r="DG98" s="51"/>
      <c r="DH98" s="51"/>
    </row>
    <row r="99" spans="1:112" hidden="1" x14ac:dyDescent="0.25">
      <c r="B99" s="51" t="s">
        <v>91</v>
      </c>
      <c r="C99" s="726">
        <v>15</v>
      </c>
      <c r="D99" s="51">
        <f t="shared" si="26"/>
        <v>0</v>
      </c>
      <c r="E99" s="726"/>
      <c r="F99" s="51">
        <f t="shared" si="27"/>
        <v>0</v>
      </c>
      <c r="G99" s="726"/>
      <c r="H99" s="247">
        <f>D99-'Note 14'!L86</f>
        <v>0</v>
      </c>
      <c r="I99" s="726"/>
      <c r="J99" s="247">
        <f>F99-'Note 14'!L136</f>
        <v>0</v>
      </c>
      <c r="K99" s="800" t="s">
        <v>1350</v>
      </c>
      <c r="L99" s="726"/>
      <c r="M99" s="727">
        <f t="shared" si="28"/>
        <v>-2305</v>
      </c>
      <c r="N99" s="726"/>
      <c r="O99" s="727">
        <f t="shared" si="29"/>
        <v>-91099</v>
      </c>
      <c r="P99" s="726"/>
      <c r="Q99" s="51">
        <f>SUMIF(MAP!$E$93:$E$146,$B99,MAP!U$93:U$146)</f>
        <v>0</v>
      </c>
      <c r="R99" s="726"/>
      <c r="S99" s="51">
        <f>SUMIF(MAP!$E$93:$E$146,$B99,MAP!BD$93:BD$146)</f>
        <v>0</v>
      </c>
      <c r="T99" s="726"/>
      <c r="U99" s="51">
        <f>SUMIF(MAP!$E$93:$E$146,$B99,MAP!N$93:N$146)</f>
        <v>0</v>
      </c>
      <c r="AA99" s="51">
        <f>SUMIF(MAP!$E$93:$E$146,$B99,MAP!T$93:T$146)</f>
        <v>0</v>
      </c>
      <c r="AD99" s="51">
        <f>SUMIF(MAP!$E$93:$E$146,$B99,MAP!W$93:W$146)</f>
        <v>0</v>
      </c>
      <c r="AE99" s="51">
        <f>SUMIF(MAP!$E$93:$E$146,$B99,MAP!X$93:X$146)</f>
        <v>0</v>
      </c>
      <c r="AF99" s="51">
        <f>SUMIF(MAP!$E$93:$E$146,$B99,MAP!Y$93:Y$146)</f>
        <v>0</v>
      </c>
      <c r="AG99" s="51">
        <f>SUMIF(MAP!$E$93:$E$146,$B99,MAP!Z$93:Z$146)</f>
        <v>0</v>
      </c>
      <c r="AH99" s="51">
        <f>SUMIF(MAP!$E$93:$E$146,$B99,MAP!AA$93:AA$146)</f>
        <v>0</v>
      </c>
      <c r="AI99" s="51">
        <f>SUMIF(MAP!$E$93:$E$146,$B99,MAP!AB$93:AB$146)</f>
        <v>0</v>
      </c>
      <c r="AJ99" s="51">
        <f>SUMIF(MAP!$E$93:$E$146,$B99,MAP!AC$93:AC$146)</f>
        <v>0</v>
      </c>
      <c r="AK99" s="51">
        <f>SUMIF(MAP!$E$93:$E$146,$B99,MAP!AD$93:AD$146)</f>
        <v>0</v>
      </c>
      <c r="AL99" s="51">
        <f>SUMIF(MAP!$E$93:$E$146,$B99,MAP!AE$93:AE$146)</f>
        <v>0</v>
      </c>
      <c r="AM99" s="51">
        <f>SUMIF(MAP!$E$93:$E$146,$B99,MAP!AF$93:AF$146)</f>
        <v>0</v>
      </c>
      <c r="AN99" s="51">
        <f>SUMIF(MAP!$E$93:$E$146,$B99,MAP!AG$93:AG$146)</f>
        <v>0</v>
      </c>
      <c r="AO99" s="51">
        <f>SUMIF(MAP!$E$93:$E$146,$B99,MAP!AH$93:AH$146)</f>
        <v>0</v>
      </c>
      <c r="AP99" s="51">
        <f>SUMIF(MAP!$E$93:$E$146,$B99,MAP!AI$93:AI$146)</f>
        <v>0</v>
      </c>
      <c r="AQ99" s="51">
        <f>SUMIF(MAP!$E$93:$E$146,$B99,MAP!AJ$93:AJ$146)</f>
        <v>0</v>
      </c>
      <c r="AR99" s="51">
        <f>SUMIF(MAP!$E$93:$E$146,$B99,MAP!AK$93:AK$146)</f>
        <v>0</v>
      </c>
      <c r="AS99" s="51">
        <f>SUMIF(MAP!$E$93:$E$146,$B99,MAP!AL$93:AL$146)</f>
        <v>0</v>
      </c>
      <c r="AT99" s="51">
        <f>SUMIF(MAP!$E$93:$E$146,$B99,MAP!AM$93:AM$146)</f>
        <v>0</v>
      </c>
      <c r="AU99" s="51">
        <f>SUMIF(MAP!$E$93:$E$146,$B99,MAP!AN$93:AN$146)</f>
        <v>0</v>
      </c>
      <c r="AV99" s="51">
        <f>SUMIF(MAP!$E$93:$E$146,$B99,MAP!AO$93:AO$146)</f>
        <v>0</v>
      </c>
      <c r="AW99" s="51">
        <f>SUMIF(MAP!$E$93:$E$146,$B99,MAP!AP$93:AP$146)</f>
        <v>0</v>
      </c>
      <c r="AX99" s="51">
        <f>SUMIF(MAP!$E$93:$E$146,$B99,MAP!AQ$93:AQ$146)</f>
        <v>0</v>
      </c>
      <c r="CE99" s="742"/>
      <c r="CF99" s="51">
        <f t="shared" si="17"/>
        <v>0</v>
      </c>
      <c r="CG99" s="51">
        <f t="shared" si="18"/>
        <v>0</v>
      </c>
      <c r="CH99" s="51">
        <f t="shared" si="19"/>
        <v>0</v>
      </c>
      <c r="CI99" s="51">
        <f t="shared" si="20"/>
        <v>0</v>
      </c>
      <c r="CJ99" s="51">
        <f t="shared" si="21"/>
        <v>0</v>
      </c>
      <c r="CK99" s="51">
        <f t="shared" si="22"/>
        <v>0</v>
      </c>
      <c r="CL99" s="51">
        <f t="shared" si="23"/>
        <v>0</v>
      </c>
      <c r="CM99" s="51">
        <f t="shared" si="24"/>
        <v>0</v>
      </c>
    </row>
    <row r="100" spans="1:112" hidden="1" x14ac:dyDescent="0.25">
      <c r="B100" s="51" t="s">
        <v>92</v>
      </c>
      <c r="C100" s="206" t="s">
        <v>298</v>
      </c>
      <c r="D100" s="51">
        <f t="shared" si="26"/>
        <v>0</v>
      </c>
      <c r="F100" s="51">
        <f t="shared" si="27"/>
        <v>0</v>
      </c>
      <c r="I100" s="726"/>
      <c r="J100" s="247">
        <f>F100-SUM('Notes 8 &amp; 9'!I103:K103)</f>
        <v>0</v>
      </c>
      <c r="K100" s="800"/>
      <c r="M100" s="727">
        <f>+M31</f>
        <v>0</v>
      </c>
      <c r="O100" s="727">
        <f>+O31</f>
        <v>0</v>
      </c>
      <c r="Q100" s="51">
        <f>SUMIF(MAP!$E$93:$E$146,$B100,MAP!U$93:U$146)</f>
        <v>0</v>
      </c>
      <c r="S100" s="51">
        <f>SUMIF(MAP!$E$93:$E$146,$B100,MAP!BD$93:BD$146)</f>
        <v>0</v>
      </c>
      <c r="U100" s="51">
        <f>SUMIF(MAP!$E$93:$E$146,$B100,MAP!N$93:N$146)</f>
        <v>0</v>
      </c>
      <c r="AA100" s="51">
        <f>SUMIF(MAP!$E$93:$E$146,$B100,MAP!T$93:T$146)</f>
        <v>0</v>
      </c>
      <c r="AD100" s="51">
        <f>SUMIF(MAP!$E$93:$E$146,$B100,MAP!W$93:W$146)</f>
        <v>0</v>
      </c>
      <c r="AE100" s="51">
        <f>SUMIF(MAP!$E$93:$E$146,$B100,MAP!X$93:X$146)</f>
        <v>0</v>
      </c>
      <c r="AF100" s="51">
        <f>SUMIF(MAP!$E$93:$E$146,$B100,MAP!Y$93:Y$146)</f>
        <v>0</v>
      </c>
      <c r="AG100" s="51">
        <f>SUMIF(MAP!$E$93:$E$146,$B100,MAP!Z$93:Z$146)</f>
        <v>0</v>
      </c>
      <c r="AH100" s="51">
        <f>SUMIF(MAP!$E$93:$E$146,$B100,MAP!AA$93:AA$146)</f>
        <v>0</v>
      </c>
      <c r="AI100" s="51">
        <f>SUMIF(MAP!$E$93:$E$146,$B100,MAP!AB$93:AB$146)</f>
        <v>0</v>
      </c>
      <c r="AJ100" s="51">
        <f>SUMIF(MAP!$E$93:$E$146,$B100,MAP!AC$93:AC$146)</f>
        <v>0</v>
      </c>
      <c r="AK100" s="51">
        <f>SUMIF(MAP!$E$93:$E$146,$B100,MAP!AD$93:AD$146)</f>
        <v>0</v>
      </c>
      <c r="AL100" s="51">
        <f>SUMIF(MAP!$E$93:$E$146,$B100,MAP!AE$93:AE$146)</f>
        <v>0</v>
      </c>
      <c r="AM100" s="51">
        <f>SUMIF(MAP!$E$93:$E$146,$B100,MAP!AF$93:AF$146)</f>
        <v>0</v>
      </c>
      <c r="AN100" s="51">
        <f>SUMIF(MAP!$E$93:$E$146,$B100,MAP!AG$93:AG$146)</f>
        <v>0</v>
      </c>
      <c r="AO100" s="51">
        <f>SUMIF(MAP!$E$93:$E$146,$B100,MAP!AH$93:AH$146)</f>
        <v>0</v>
      </c>
      <c r="AP100" s="51">
        <f>SUMIF(MAP!$E$93:$E$146,$B100,MAP!AI$93:AI$146)</f>
        <v>0</v>
      </c>
      <c r="AQ100" s="51">
        <f>SUMIF(MAP!$E$93:$E$146,$B100,MAP!AJ$93:AJ$146)</f>
        <v>0</v>
      </c>
      <c r="AR100" s="51">
        <f>SUMIF(MAP!$E$93:$E$146,$B100,MAP!AK$93:AK$146)</f>
        <v>0</v>
      </c>
      <c r="AS100" s="51">
        <f>SUMIF(MAP!$E$93:$E$146,$B100,MAP!AL$93:AL$146)</f>
        <v>0</v>
      </c>
      <c r="AT100" s="51">
        <f>SUMIF(MAP!$E$93:$E$146,$B100,MAP!AM$93:AM$146)</f>
        <v>0</v>
      </c>
      <c r="AU100" s="51">
        <f>SUMIF(MAP!$E$93:$E$146,$B100,MAP!AN$93:AN$146)</f>
        <v>0</v>
      </c>
      <c r="AV100" s="51">
        <f>SUMIF(MAP!$E$93:$E$146,$B100,MAP!AO$93:AO$146)</f>
        <v>0</v>
      </c>
      <c r="AW100" s="51">
        <f>SUMIF(MAP!$E$93:$E$146,$B100,MAP!AP$93:AP$146)</f>
        <v>0</v>
      </c>
      <c r="AX100" s="51">
        <f>SUMIF(MAP!$E$93:$E$146,$B100,MAP!AQ$93:AQ$146)</f>
        <v>0</v>
      </c>
      <c r="CE100" s="742"/>
      <c r="CF100" s="51">
        <f t="shared" si="17"/>
        <v>0</v>
      </c>
      <c r="CG100" s="51">
        <f t="shared" si="18"/>
        <v>0</v>
      </c>
      <c r="CH100" s="51">
        <f t="shared" si="19"/>
        <v>0</v>
      </c>
      <c r="CI100" s="51">
        <f t="shared" si="20"/>
        <v>0</v>
      </c>
      <c r="CJ100" s="51">
        <f t="shared" si="21"/>
        <v>0</v>
      </c>
      <c r="CK100" s="51">
        <f t="shared" si="22"/>
        <v>0</v>
      </c>
      <c r="CL100" s="51">
        <f t="shared" si="23"/>
        <v>0</v>
      </c>
      <c r="CM100" s="51">
        <f t="shared" si="24"/>
        <v>0</v>
      </c>
    </row>
    <row r="101" spans="1:112" hidden="1" x14ac:dyDescent="0.25">
      <c r="B101" s="47" t="s">
        <v>549</v>
      </c>
      <c r="D101" s="214">
        <f>SUM(D84:D100)</f>
        <v>-22354</v>
      </c>
      <c r="F101" s="214">
        <f>SUM(F84:F100)</f>
        <v>-22354</v>
      </c>
      <c r="M101" s="214">
        <f>SUM(M84:M100)</f>
        <v>-8928570</v>
      </c>
      <c r="O101" s="214">
        <f>SUM(O84:O100)</f>
        <v>-8595331</v>
      </c>
      <c r="Q101" s="214">
        <f>SUM(Q84:Q100)</f>
        <v>0</v>
      </c>
      <c r="S101" s="214">
        <f>SUM(S84:S100)</f>
        <v>0</v>
      </c>
      <c r="U101" s="214">
        <f>SUM(U84:U100)</f>
        <v>-22354</v>
      </c>
      <c r="AA101" s="214">
        <f>SUM(AA84:AA100)</f>
        <v>-22354</v>
      </c>
      <c r="AD101" s="214">
        <f t="shared" ref="AD101:AX101" si="30">SUM(AD84:AD100)</f>
        <v>-22354</v>
      </c>
      <c r="AE101" s="214">
        <f t="shared" si="30"/>
        <v>0</v>
      </c>
      <c r="AF101" s="214">
        <f t="shared" si="30"/>
        <v>0</v>
      </c>
      <c r="AG101" s="214">
        <f t="shared" si="30"/>
        <v>0</v>
      </c>
      <c r="AH101" s="214">
        <f t="shared" si="30"/>
        <v>0</v>
      </c>
      <c r="AI101" s="214">
        <f t="shared" si="30"/>
        <v>0</v>
      </c>
      <c r="AJ101" s="214">
        <f t="shared" si="30"/>
        <v>0</v>
      </c>
      <c r="AK101" s="214">
        <f t="shared" si="30"/>
        <v>0</v>
      </c>
      <c r="AL101" s="214">
        <f t="shared" si="30"/>
        <v>0</v>
      </c>
      <c r="AM101" s="214">
        <f t="shared" si="30"/>
        <v>0</v>
      </c>
      <c r="AN101" s="214">
        <f t="shared" si="30"/>
        <v>0</v>
      </c>
      <c r="AO101" s="214">
        <f t="shared" si="30"/>
        <v>0</v>
      </c>
      <c r="AP101" s="214">
        <f t="shared" si="30"/>
        <v>0</v>
      </c>
      <c r="AQ101" s="214">
        <f t="shared" si="30"/>
        <v>0</v>
      </c>
      <c r="AR101" s="214">
        <f t="shared" si="30"/>
        <v>0</v>
      </c>
      <c r="AS101" s="214">
        <f t="shared" si="30"/>
        <v>0</v>
      </c>
      <c r="AT101" s="214">
        <f t="shared" si="30"/>
        <v>0</v>
      </c>
      <c r="AU101" s="214">
        <f t="shared" si="30"/>
        <v>0</v>
      </c>
      <c r="AV101" s="214">
        <f t="shared" si="30"/>
        <v>0</v>
      </c>
      <c r="AW101" s="214">
        <f t="shared" si="30"/>
        <v>0</v>
      </c>
      <c r="AX101" s="214">
        <f t="shared" si="30"/>
        <v>0</v>
      </c>
      <c r="CE101" s="793"/>
      <c r="CF101" s="51">
        <f t="shared" si="17"/>
        <v>0</v>
      </c>
      <c r="CG101" s="51">
        <f t="shared" si="18"/>
        <v>0</v>
      </c>
      <c r="CH101" s="51">
        <f t="shared" si="19"/>
        <v>0</v>
      </c>
      <c r="CI101" s="51">
        <f t="shared" si="20"/>
        <v>0</v>
      </c>
      <c r="CJ101" s="51">
        <f t="shared" si="21"/>
        <v>0</v>
      </c>
      <c r="CK101" s="214">
        <f t="shared" si="22"/>
        <v>-22354</v>
      </c>
      <c r="CL101" s="51">
        <f t="shared" si="23"/>
        <v>0</v>
      </c>
      <c r="CM101" s="51">
        <f t="shared" si="24"/>
        <v>0</v>
      </c>
    </row>
    <row r="102" spans="1:112" hidden="1" x14ac:dyDescent="0.25">
      <c r="D102" s="51"/>
      <c r="F102" s="51"/>
      <c r="M102" s="51"/>
      <c r="O102" s="51"/>
      <c r="Q102" s="51"/>
      <c r="S102" s="51"/>
      <c r="CE102" s="742"/>
      <c r="CF102" s="51">
        <f t="shared" si="17"/>
        <v>0</v>
      </c>
      <c r="CG102" s="51">
        <f t="shared" si="18"/>
        <v>0</v>
      </c>
      <c r="CH102" s="51">
        <f t="shared" si="19"/>
        <v>0</v>
      </c>
      <c r="CI102" s="51">
        <f t="shared" si="20"/>
        <v>0</v>
      </c>
      <c r="CJ102" s="51">
        <f t="shared" si="21"/>
        <v>0</v>
      </c>
      <c r="CK102" s="51">
        <f t="shared" si="22"/>
        <v>0</v>
      </c>
      <c r="CL102" s="51">
        <f t="shared" si="23"/>
        <v>0</v>
      </c>
      <c r="CM102" s="51">
        <f t="shared" si="24"/>
        <v>0</v>
      </c>
    </row>
    <row r="103" spans="1:112" hidden="1" x14ac:dyDescent="0.25">
      <c r="D103" s="51"/>
      <c r="F103" s="51"/>
      <c r="M103" s="51"/>
      <c r="O103" s="51"/>
      <c r="Q103" s="51"/>
      <c r="S103" s="51"/>
      <c r="CE103" s="742"/>
      <c r="CF103" s="51">
        <f t="shared" si="17"/>
        <v>0</v>
      </c>
      <c r="CG103" s="51">
        <f t="shared" si="18"/>
        <v>0</v>
      </c>
      <c r="CH103" s="51">
        <f t="shared" si="19"/>
        <v>0</v>
      </c>
      <c r="CI103" s="51">
        <f t="shared" si="20"/>
        <v>0</v>
      </c>
      <c r="CJ103" s="51">
        <f t="shared" si="21"/>
        <v>0</v>
      </c>
      <c r="CK103" s="51">
        <f t="shared" si="22"/>
        <v>0</v>
      </c>
      <c r="CL103" s="51">
        <f t="shared" si="23"/>
        <v>0</v>
      </c>
      <c r="CM103" s="51">
        <f t="shared" si="24"/>
        <v>0</v>
      </c>
    </row>
    <row r="104" spans="1:112" hidden="1" x14ac:dyDescent="0.25">
      <c r="A104" s="723"/>
      <c r="B104" s="47" t="s">
        <v>94</v>
      </c>
      <c r="D104" s="51"/>
      <c r="F104" s="51"/>
      <c r="M104" s="727"/>
      <c r="O104" s="727"/>
      <c r="Q104" s="51"/>
      <c r="S104" s="51"/>
      <c r="CE104" s="742"/>
      <c r="CF104" s="51">
        <f t="shared" si="17"/>
        <v>0</v>
      </c>
      <c r="CG104" s="51">
        <f t="shared" si="18"/>
        <v>0</v>
      </c>
      <c r="CH104" s="51">
        <f t="shared" si="19"/>
        <v>0</v>
      </c>
      <c r="CI104" s="51">
        <f t="shared" si="20"/>
        <v>0</v>
      </c>
      <c r="CJ104" s="51">
        <f t="shared" si="21"/>
        <v>0</v>
      </c>
      <c r="CK104" s="51">
        <f t="shared" si="22"/>
        <v>0</v>
      </c>
      <c r="CL104" s="51">
        <f t="shared" si="23"/>
        <v>0</v>
      </c>
      <c r="CM104" s="51">
        <f t="shared" si="24"/>
        <v>0</v>
      </c>
    </row>
    <row r="105" spans="1:112" hidden="1" x14ac:dyDescent="0.25">
      <c r="B105" s="189" t="s">
        <v>2058</v>
      </c>
      <c r="C105" s="206" t="s">
        <v>550</v>
      </c>
      <c r="D105" s="51">
        <f>+D36+D37</f>
        <v>0</v>
      </c>
      <c r="F105" s="51">
        <f>+F36+F37</f>
        <v>0</v>
      </c>
      <c r="J105" s="811" t="e">
        <f>F105+#REF!+('Note 5'!K84+'Note 6'!K87+'Note 13'!I86+'Note 13'!I87+'Note 13'!I88+'Note 13'!I91+'Note 13'!I92+'Note 13'!I93-'Note 13'!E86-'Note 13'!E87-'Note 13'!E88-'Note 13'!E91-'Note 13'!E92-'Note 13'!E93)</f>
        <v>#REF!</v>
      </c>
      <c r="K105" s="809" t="s">
        <v>1390</v>
      </c>
      <c r="M105" s="727">
        <f>+M36+M37</f>
        <v>-36319</v>
      </c>
      <c r="O105" s="727">
        <f>+O36+O37</f>
        <v>-393457</v>
      </c>
      <c r="Q105" s="51">
        <f>SUMIF(MAP!$E$93:$E$146,$B105,MAP!U$93:U$146)</f>
        <v>0</v>
      </c>
      <c r="S105" s="51">
        <f>SUMIF(MAP!$E$93:$E$146,$B105,MAP!BD$93:BD$146)</f>
        <v>0</v>
      </c>
      <c r="U105" s="51">
        <f>SUMIF(MAP!$E$93:$E$146,$B105,MAP!N$93:N$146)</f>
        <v>0</v>
      </c>
      <c r="AA105" s="51">
        <f>SUMIF(MAP!$E$93:$E$146,$B105,MAP!T$93:T$146)</f>
        <v>0</v>
      </c>
      <c r="AD105" s="51">
        <f>SUMIF(MAP!$E$93:$E$146,$B105,MAP!W$93:W$146)</f>
        <v>0</v>
      </c>
      <c r="AE105" s="51">
        <f>SUMIF(MAP!$E$93:$E$146,$B105,MAP!X$93:X$146)</f>
        <v>0</v>
      </c>
      <c r="AF105" s="51">
        <f>SUMIF(MAP!$E$93:$E$146,$B105,MAP!Y$93:Y$146)</f>
        <v>0</v>
      </c>
      <c r="AG105" s="51">
        <f>SUMIF(MAP!$E$93:$E$146,$B105,MAP!Z$93:Z$146)</f>
        <v>0</v>
      </c>
      <c r="AH105" s="51">
        <f>SUMIF(MAP!$E$93:$E$146,$B105,MAP!AA$93:AA$146)</f>
        <v>0</v>
      </c>
      <c r="AI105" s="51">
        <f>SUMIF(MAP!$E$93:$E$146,$B105,MAP!AB$93:AB$146)</f>
        <v>0</v>
      </c>
      <c r="AJ105" s="51">
        <f>SUMIF(MAP!$E$93:$E$146,$B105,MAP!AC$93:AC$146)</f>
        <v>0</v>
      </c>
      <c r="AK105" s="51">
        <f>SUMIF(MAP!$E$93:$E$146,$B105,MAP!AD$93:AD$146)</f>
        <v>0</v>
      </c>
      <c r="AL105" s="51">
        <f>SUMIF(MAP!$E$93:$E$146,$B105,MAP!AE$93:AE$146)</f>
        <v>0</v>
      </c>
      <c r="AM105" s="51">
        <f>SUMIF(MAP!$E$93:$E$146,$B105,MAP!AF$93:AF$146)</f>
        <v>0</v>
      </c>
      <c r="AN105" s="51">
        <f>SUMIF(MAP!$E$93:$E$146,$B105,MAP!AG$93:AG$146)</f>
        <v>0</v>
      </c>
      <c r="AO105" s="51">
        <f>SUMIF(MAP!$E$93:$E$146,$B105,MAP!AH$93:AH$146)</f>
        <v>0</v>
      </c>
      <c r="AP105" s="51">
        <f>SUMIF(MAP!$E$93:$E$146,$B105,MAP!AI$93:AI$146)</f>
        <v>0</v>
      </c>
      <c r="AQ105" s="51">
        <f>SUMIF(MAP!$E$93:$E$146,$B105,MAP!AJ$93:AJ$146)</f>
        <v>0</v>
      </c>
      <c r="AR105" s="51">
        <f>SUMIF(MAP!$E$93:$E$146,$B105,MAP!AK$93:AK$146)</f>
        <v>0</v>
      </c>
      <c r="AS105" s="51">
        <f>SUMIF(MAP!$E$93:$E$146,$B105,MAP!AL$93:AL$146)</f>
        <v>0</v>
      </c>
      <c r="AT105" s="51">
        <f>SUMIF(MAP!$E$93:$E$146,$B105,MAP!AM$93:AM$146)</f>
        <v>0</v>
      </c>
      <c r="AU105" s="51">
        <f>SUMIF(MAP!$E$93:$E$146,$B105,MAP!AN$93:AN$146)</f>
        <v>0</v>
      </c>
      <c r="AV105" s="51">
        <f>SUMIF(MAP!$E$93:$E$146,$B105,MAP!AO$93:AO$146)</f>
        <v>0</v>
      </c>
      <c r="AW105" s="51">
        <f>SUMIF(MAP!$E$93:$E$146,$B105,MAP!AP$93:AP$146)</f>
        <v>0</v>
      </c>
      <c r="AX105" s="51">
        <f>SUMIF(MAP!$E$93:$E$146,$B105,MAP!AQ$93:AQ$146)</f>
        <v>0</v>
      </c>
      <c r="CE105" s="742"/>
      <c r="CF105" s="51">
        <f t="shared" si="17"/>
        <v>0</v>
      </c>
      <c r="CG105" s="51">
        <f t="shared" si="18"/>
        <v>0</v>
      </c>
      <c r="CH105" s="51">
        <f t="shared" si="19"/>
        <v>0</v>
      </c>
      <c r="CI105" s="51">
        <f t="shared" si="20"/>
        <v>0</v>
      </c>
      <c r="CJ105" s="51">
        <f t="shared" si="21"/>
        <v>0</v>
      </c>
      <c r="CK105" s="51">
        <f t="shared" si="22"/>
        <v>0</v>
      </c>
      <c r="CL105" s="51">
        <f t="shared" si="23"/>
        <v>0</v>
      </c>
      <c r="CM105" s="51">
        <f t="shared" si="24"/>
        <v>0</v>
      </c>
    </row>
    <row r="106" spans="1:112" hidden="1" x14ac:dyDescent="0.25">
      <c r="B106" s="51" t="s">
        <v>2060</v>
      </c>
      <c r="D106" s="51">
        <f>+D39+D40+D41</f>
        <v>0</v>
      </c>
      <c r="F106" s="51">
        <f>+F39+F40+F41</f>
        <v>0</v>
      </c>
      <c r="M106" s="727">
        <f>+M39+M40+M41</f>
        <v>0</v>
      </c>
      <c r="O106" s="727">
        <f>+O39+O40+O41</f>
        <v>1174</v>
      </c>
      <c r="Q106" s="51">
        <f>SUMIF(MAP!$E$93:$E$146,$B106,MAP!U$93:U$146)</f>
        <v>0</v>
      </c>
      <c r="S106" s="51">
        <f>SUMIF(MAP!$E$93:$E$146,$B106,MAP!BD$93:BD$146)</f>
        <v>0</v>
      </c>
      <c r="U106" s="51">
        <f>SUMIF(MAP!$E$93:$E$146,$B106,MAP!N$93:N$146)</f>
        <v>0</v>
      </c>
      <c r="AA106" s="51">
        <f>SUMIF(MAP!$E$93:$E$146,$B106,MAP!T$93:T$146)</f>
        <v>0</v>
      </c>
      <c r="AD106" s="51">
        <f>SUMIF(MAP!$E$93:$E$146,$B106,MAP!W$93:W$146)</f>
        <v>0</v>
      </c>
      <c r="AE106" s="51">
        <f>SUMIF(MAP!$E$93:$E$146,$B106,MAP!X$93:X$146)</f>
        <v>0</v>
      </c>
      <c r="AF106" s="51">
        <f>SUMIF(MAP!$E$93:$E$146,$B106,MAP!Y$93:Y$146)</f>
        <v>0</v>
      </c>
      <c r="AG106" s="51">
        <f>SUMIF(MAP!$E$93:$E$146,$B106,MAP!Z$93:Z$146)</f>
        <v>0</v>
      </c>
      <c r="AH106" s="51">
        <f>SUMIF(MAP!$E$93:$E$146,$B106,MAP!AA$93:AA$146)</f>
        <v>0</v>
      </c>
      <c r="AI106" s="51">
        <f>SUMIF(MAP!$E$93:$E$146,$B106,MAP!AB$93:AB$146)</f>
        <v>0</v>
      </c>
      <c r="AJ106" s="51">
        <f>SUMIF(MAP!$E$93:$E$146,$B106,MAP!AC$93:AC$146)</f>
        <v>0</v>
      </c>
      <c r="AK106" s="51">
        <f>SUMIF(MAP!$E$93:$E$146,$B106,MAP!AD$93:AD$146)</f>
        <v>0</v>
      </c>
      <c r="AL106" s="51">
        <f>SUMIF(MAP!$E$93:$E$146,$B106,MAP!AE$93:AE$146)</f>
        <v>0</v>
      </c>
      <c r="AM106" s="51">
        <f>SUMIF(MAP!$E$93:$E$146,$B106,MAP!AF$93:AF$146)</f>
        <v>0</v>
      </c>
      <c r="AN106" s="51">
        <f>SUMIF(MAP!$E$93:$E$146,$B106,MAP!AG$93:AG$146)</f>
        <v>0</v>
      </c>
      <c r="AO106" s="51">
        <f>SUMIF(MAP!$E$93:$E$146,$B106,MAP!AH$93:AH$146)</f>
        <v>0</v>
      </c>
      <c r="AP106" s="51">
        <f>SUMIF(MAP!$E$93:$E$146,$B106,MAP!AI$93:AI$146)</f>
        <v>0</v>
      </c>
      <c r="AQ106" s="51">
        <f>SUMIF(MAP!$E$93:$E$146,$B106,MAP!AJ$93:AJ$146)</f>
        <v>0</v>
      </c>
      <c r="AR106" s="51">
        <f>SUMIF(MAP!$E$93:$E$146,$B106,MAP!AK$93:AK$146)</f>
        <v>0</v>
      </c>
      <c r="AS106" s="51">
        <f>SUMIF(MAP!$E$93:$E$146,$B106,MAP!AL$93:AL$146)</f>
        <v>0</v>
      </c>
      <c r="AT106" s="51">
        <f>SUMIF(MAP!$E$93:$E$146,$B106,MAP!AM$93:AM$146)</f>
        <v>0</v>
      </c>
      <c r="AU106" s="51">
        <f>SUMIF(MAP!$E$93:$E$146,$B106,MAP!AN$93:AN$146)</f>
        <v>0</v>
      </c>
      <c r="AV106" s="51">
        <f>SUMIF(MAP!$E$93:$E$146,$B106,MAP!AO$93:AO$146)</f>
        <v>0</v>
      </c>
      <c r="AW106" s="51">
        <f>SUMIF(MAP!$E$93:$E$146,$B106,MAP!AP$93:AP$146)</f>
        <v>0</v>
      </c>
      <c r="AX106" s="51">
        <f>SUMIF(MAP!$E$93:$E$146,$B106,MAP!AQ$93:AQ$146)</f>
        <v>0</v>
      </c>
      <c r="CE106" s="742"/>
      <c r="CF106" s="51">
        <f t="shared" ref="CF106:CM106" si="31">V106-BA106</f>
        <v>0</v>
      </c>
      <c r="CG106" s="51">
        <f t="shared" si="31"/>
        <v>0</v>
      </c>
      <c r="CH106" s="51">
        <f t="shared" si="31"/>
        <v>0</v>
      </c>
      <c r="CI106" s="51">
        <f t="shared" si="31"/>
        <v>0</v>
      </c>
      <c r="CJ106" s="51">
        <f t="shared" si="31"/>
        <v>0</v>
      </c>
      <c r="CK106" s="51">
        <f t="shared" si="31"/>
        <v>0</v>
      </c>
      <c r="CL106" s="51">
        <f t="shared" si="31"/>
        <v>0</v>
      </c>
      <c r="CM106" s="51">
        <f t="shared" si="31"/>
        <v>0</v>
      </c>
    </row>
    <row r="107" spans="1:112" hidden="1" x14ac:dyDescent="0.25">
      <c r="B107" s="189" t="s">
        <v>2059</v>
      </c>
      <c r="D107" s="51"/>
      <c r="F107" s="51"/>
      <c r="M107" s="727"/>
      <c r="O107" s="727"/>
      <c r="Q107" s="51">
        <f>SUMIF(MAP!$E$93:$E$146,$B107,MAP!U$93:U$146)</f>
        <v>0</v>
      </c>
      <c r="S107" s="51">
        <f>SUMIF(MAP!$E$93:$E$146,$B107,MAP!BD$93:BD$146)</f>
        <v>0</v>
      </c>
      <c r="U107" s="51">
        <f>SUMIF(MAP!$E$93:$E$146,$B107,MAP!N$93:N$146)</f>
        <v>0</v>
      </c>
      <c r="AA107" s="51">
        <f>SUMIF(MAP!$E$93:$E$146,$B107,MAP!T$93:T$146)</f>
        <v>0</v>
      </c>
      <c r="AD107" s="51">
        <f>SUMIF(MAP!$E$93:$E$146,$B107,MAP!W$93:W$146)</f>
        <v>0</v>
      </c>
      <c r="AE107" s="51">
        <f>SUMIF(MAP!$E$93:$E$146,$B107,MAP!X$93:X$146)</f>
        <v>0</v>
      </c>
      <c r="AF107" s="51">
        <f>SUMIF(MAP!$E$93:$E$146,$B107,MAP!Y$93:Y$146)</f>
        <v>0</v>
      </c>
      <c r="AG107" s="51">
        <f>SUMIF(MAP!$E$93:$E$146,$B107,MAP!Z$93:Z$146)</f>
        <v>0</v>
      </c>
      <c r="AH107" s="51">
        <f>SUMIF(MAP!$E$93:$E$146,$B107,MAP!AA$93:AA$146)</f>
        <v>0</v>
      </c>
      <c r="AI107" s="51">
        <f>SUMIF(MAP!$E$93:$E$146,$B107,MAP!AB$93:AB$146)</f>
        <v>0</v>
      </c>
      <c r="AJ107" s="51">
        <f>SUMIF(MAP!$E$93:$E$146,$B107,MAP!AC$93:AC$146)</f>
        <v>0</v>
      </c>
      <c r="AK107" s="51">
        <f>SUMIF(MAP!$E$93:$E$146,$B107,MAP!AD$93:AD$146)</f>
        <v>0</v>
      </c>
      <c r="AL107" s="51">
        <f>SUMIF(MAP!$E$93:$E$146,$B107,MAP!AE$93:AE$146)</f>
        <v>0</v>
      </c>
      <c r="AM107" s="51">
        <f>SUMIF(MAP!$E$93:$E$146,$B107,MAP!AF$93:AF$146)</f>
        <v>0</v>
      </c>
      <c r="AN107" s="51">
        <f>SUMIF(MAP!$E$93:$E$146,$B107,MAP!AG$93:AG$146)</f>
        <v>0</v>
      </c>
      <c r="AO107" s="51">
        <f>SUMIF(MAP!$E$93:$E$146,$B107,MAP!AH$93:AH$146)</f>
        <v>0</v>
      </c>
      <c r="AP107" s="51">
        <f>SUMIF(MAP!$E$93:$E$146,$B107,MAP!AI$93:AI$146)</f>
        <v>0</v>
      </c>
      <c r="AQ107" s="51">
        <f>SUMIF(MAP!$E$93:$E$146,$B107,MAP!AJ$93:AJ$146)</f>
        <v>0</v>
      </c>
      <c r="AR107" s="51">
        <f>SUMIF(MAP!$E$93:$E$146,$B107,MAP!AK$93:AK$146)</f>
        <v>0</v>
      </c>
      <c r="AS107" s="51">
        <f>SUMIF(MAP!$E$93:$E$146,$B107,MAP!AL$93:AL$146)</f>
        <v>0</v>
      </c>
      <c r="AT107" s="51">
        <f>SUMIF(MAP!$E$93:$E$146,$B107,MAP!AM$93:AM$146)</f>
        <v>0</v>
      </c>
      <c r="AU107" s="51">
        <f>SUMIF(MAP!$E$93:$E$146,$B107,MAP!AN$93:AN$146)</f>
        <v>0</v>
      </c>
      <c r="AV107" s="51">
        <f>SUMIF(MAP!$E$93:$E$146,$B107,MAP!AO$93:AO$146)</f>
        <v>0</v>
      </c>
      <c r="AW107" s="51">
        <f>SUMIF(MAP!$E$93:$E$146,$B107,MAP!AP$93:AP$146)</f>
        <v>0</v>
      </c>
      <c r="AX107" s="51">
        <f>SUMIF(MAP!$E$93:$E$146,$B107,MAP!AQ$93:AQ$146)</f>
        <v>0</v>
      </c>
      <c r="CE107" s="742"/>
      <c r="CF107" s="51">
        <f t="shared" si="17"/>
        <v>0</v>
      </c>
      <c r="CG107" s="51">
        <f t="shared" si="18"/>
        <v>0</v>
      </c>
      <c r="CH107" s="51">
        <f t="shared" si="19"/>
        <v>0</v>
      </c>
      <c r="CI107" s="51">
        <f t="shared" si="20"/>
        <v>0</v>
      </c>
      <c r="CJ107" s="51">
        <f t="shared" si="21"/>
        <v>0</v>
      </c>
      <c r="CK107" s="51">
        <f t="shared" si="22"/>
        <v>0</v>
      </c>
      <c r="CL107" s="51">
        <f t="shared" si="23"/>
        <v>0</v>
      </c>
      <c r="CM107" s="51">
        <f t="shared" si="24"/>
        <v>0</v>
      </c>
    </row>
    <row r="108" spans="1:112" hidden="1" x14ac:dyDescent="0.25">
      <c r="B108" s="51" t="s">
        <v>2061</v>
      </c>
      <c r="D108" s="51"/>
      <c r="F108" s="51"/>
      <c r="M108" s="727"/>
      <c r="O108" s="727"/>
      <c r="Q108" s="51">
        <f>SUMIF(MAP!$E$93:$E$146,$B108,MAP!U$93:U$146)</f>
        <v>0</v>
      </c>
      <c r="S108" s="51">
        <f>SUMIF(MAP!$E$93:$E$146,$B108,MAP!BD$93:BD$146)</f>
        <v>0</v>
      </c>
      <c r="U108" s="51">
        <f>SUMIF(MAP!$E$93:$E$146,$B108,MAP!N$93:N$146)</f>
        <v>0</v>
      </c>
      <c r="AA108" s="51">
        <f>SUMIF(MAP!$E$93:$E$146,$B108,MAP!T$93:T$146)</f>
        <v>0</v>
      </c>
      <c r="AD108" s="51">
        <f>SUMIF(MAP!$E$93:$E$146,$B108,MAP!W$93:W$146)</f>
        <v>0</v>
      </c>
      <c r="AE108" s="51">
        <f>SUMIF(MAP!$E$93:$E$146,$B108,MAP!X$93:X$146)</f>
        <v>0</v>
      </c>
      <c r="AF108" s="51">
        <f>SUMIF(MAP!$E$93:$E$146,$B108,MAP!Y$93:Y$146)</f>
        <v>0</v>
      </c>
      <c r="AG108" s="51">
        <f>SUMIF(MAP!$E$93:$E$146,$B108,MAP!Z$93:Z$146)</f>
        <v>0</v>
      </c>
      <c r="AH108" s="51">
        <f>SUMIF(MAP!$E$93:$E$146,$B108,MAP!AA$93:AA$146)</f>
        <v>0</v>
      </c>
      <c r="AI108" s="51">
        <f>SUMIF(MAP!$E$93:$E$146,$B108,MAP!AB$93:AB$146)</f>
        <v>0</v>
      </c>
      <c r="AJ108" s="51">
        <f>SUMIF(MAP!$E$93:$E$146,$B108,MAP!AC$93:AC$146)</f>
        <v>0</v>
      </c>
      <c r="AK108" s="51">
        <f>SUMIF(MAP!$E$93:$E$146,$B108,MAP!AD$93:AD$146)</f>
        <v>0</v>
      </c>
      <c r="AL108" s="51">
        <f>SUMIF(MAP!$E$93:$E$146,$B108,MAP!AE$93:AE$146)</f>
        <v>0</v>
      </c>
      <c r="AM108" s="51">
        <f>SUMIF(MAP!$E$93:$E$146,$B108,MAP!AF$93:AF$146)</f>
        <v>0</v>
      </c>
      <c r="AN108" s="51">
        <f>SUMIF(MAP!$E$93:$E$146,$B108,MAP!AG$93:AG$146)</f>
        <v>0</v>
      </c>
      <c r="AO108" s="51">
        <f>SUMIF(MAP!$E$93:$E$146,$B108,MAP!AH$93:AH$146)</f>
        <v>0</v>
      </c>
      <c r="AP108" s="51">
        <f>SUMIF(MAP!$E$93:$E$146,$B108,MAP!AI$93:AI$146)</f>
        <v>0</v>
      </c>
      <c r="AQ108" s="51">
        <f>SUMIF(MAP!$E$93:$E$146,$B108,MAP!AJ$93:AJ$146)</f>
        <v>0</v>
      </c>
      <c r="AR108" s="51">
        <f>SUMIF(MAP!$E$93:$E$146,$B108,MAP!AK$93:AK$146)</f>
        <v>0</v>
      </c>
      <c r="AS108" s="51">
        <f>SUMIF(MAP!$E$93:$E$146,$B108,MAP!AL$93:AL$146)</f>
        <v>0</v>
      </c>
      <c r="AT108" s="51">
        <f>SUMIF(MAP!$E$93:$E$146,$B108,MAP!AM$93:AM$146)</f>
        <v>0</v>
      </c>
      <c r="AU108" s="51">
        <f>SUMIF(MAP!$E$93:$E$146,$B108,MAP!AN$93:AN$146)</f>
        <v>0</v>
      </c>
      <c r="AV108" s="51">
        <f>SUMIF(MAP!$E$93:$E$146,$B108,MAP!AO$93:AO$146)</f>
        <v>0</v>
      </c>
      <c r="AW108" s="51">
        <f>SUMIF(MAP!$E$93:$E$146,$B108,MAP!AP$93:AP$146)</f>
        <v>0</v>
      </c>
      <c r="AX108" s="51">
        <f>SUMIF(MAP!$E$93:$E$146,$B108,MAP!AQ$93:AQ$146)</f>
        <v>0</v>
      </c>
      <c r="CE108" s="742"/>
      <c r="CF108" s="51">
        <f t="shared" si="17"/>
        <v>0</v>
      </c>
      <c r="CG108" s="51">
        <f t="shared" si="18"/>
        <v>0</v>
      </c>
      <c r="CH108" s="51">
        <f t="shared" si="19"/>
        <v>0</v>
      </c>
      <c r="CI108" s="51">
        <f t="shared" si="20"/>
        <v>0</v>
      </c>
      <c r="CJ108" s="51">
        <f t="shared" si="21"/>
        <v>0</v>
      </c>
      <c r="CK108" s="51">
        <f t="shared" si="22"/>
        <v>0</v>
      </c>
      <c r="CL108" s="51">
        <f t="shared" si="23"/>
        <v>0</v>
      </c>
      <c r="CM108" s="51">
        <f t="shared" si="24"/>
        <v>0</v>
      </c>
    </row>
    <row r="109" spans="1:112" hidden="1" x14ac:dyDescent="0.25">
      <c r="B109" s="51" t="s">
        <v>97</v>
      </c>
      <c r="C109" s="206">
        <v>9</v>
      </c>
      <c r="D109" s="51">
        <f>+D38</f>
        <v>0</v>
      </c>
      <c r="F109" s="51">
        <f>+F38</f>
        <v>0</v>
      </c>
      <c r="M109" s="727">
        <f>+M38</f>
        <v>0</v>
      </c>
      <c r="O109" s="727">
        <f>+O38</f>
        <v>0</v>
      </c>
      <c r="Q109" s="51">
        <f>SUMIF(MAP!$E$93:$E$146,$B109,MAP!U$93:U$146)</f>
        <v>0</v>
      </c>
      <c r="S109" s="51">
        <f>SUMIF(MAP!$E$93:$E$146,$B109,MAP!BD$93:BD$146)</f>
        <v>0</v>
      </c>
      <c r="U109" s="51">
        <f>SUMIF(MAP!$E$93:$E$146,$B109,MAP!N$93:N$146)</f>
        <v>0</v>
      </c>
      <c r="AA109" s="51">
        <f>SUMIF(MAP!$E$93:$E$146,$B109,MAP!T$93:T$146)</f>
        <v>0</v>
      </c>
      <c r="AD109" s="51">
        <f>SUMIF(MAP!$E$93:$E$146,$B109,MAP!W$93:W$146)</f>
        <v>0</v>
      </c>
      <c r="AE109" s="51">
        <f>SUMIF(MAP!$E$93:$E$146,$B109,MAP!X$93:X$146)</f>
        <v>0</v>
      </c>
      <c r="AF109" s="51">
        <f>SUMIF(MAP!$E$93:$E$146,$B109,MAP!Y$93:Y$146)</f>
        <v>0</v>
      </c>
      <c r="AG109" s="51">
        <f>SUMIF(MAP!$E$93:$E$146,$B109,MAP!Z$93:Z$146)</f>
        <v>0</v>
      </c>
      <c r="AH109" s="51">
        <f>SUMIF(MAP!$E$93:$E$146,$B109,MAP!AA$93:AA$146)</f>
        <v>0</v>
      </c>
      <c r="AI109" s="51">
        <f>SUMIF(MAP!$E$93:$E$146,$B109,MAP!AB$93:AB$146)</f>
        <v>0</v>
      </c>
      <c r="AJ109" s="51">
        <f>SUMIF(MAP!$E$93:$E$146,$B109,MAP!AC$93:AC$146)</f>
        <v>0</v>
      </c>
      <c r="AK109" s="51">
        <f>SUMIF(MAP!$E$93:$E$146,$B109,MAP!AD$93:AD$146)</f>
        <v>0</v>
      </c>
      <c r="AL109" s="51">
        <f>SUMIF(MAP!$E$93:$E$146,$B109,MAP!AE$93:AE$146)</f>
        <v>0</v>
      </c>
      <c r="AM109" s="51">
        <f>SUMIF(MAP!$E$93:$E$146,$B109,MAP!AF$93:AF$146)</f>
        <v>0</v>
      </c>
      <c r="AN109" s="51">
        <f>SUMIF(MAP!$E$93:$E$146,$B109,MAP!AG$93:AG$146)</f>
        <v>0</v>
      </c>
      <c r="AO109" s="51">
        <f>SUMIF(MAP!$E$93:$E$146,$B109,MAP!AH$93:AH$146)</f>
        <v>0</v>
      </c>
      <c r="AP109" s="51">
        <f>SUMIF(MAP!$E$93:$E$146,$B109,MAP!AI$93:AI$146)</f>
        <v>0</v>
      </c>
      <c r="AQ109" s="51">
        <f>SUMIF(MAP!$E$93:$E$146,$B109,MAP!AJ$93:AJ$146)</f>
        <v>0</v>
      </c>
      <c r="AR109" s="51">
        <f>SUMIF(MAP!$E$93:$E$146,$B109,MAP!AK$93:AK$146)</f>
        <v>0</v>
      </c>
      <c r="AS109" s="51">
        <f>SUMIF(MAP!$E$93:$E$146,$B109,MAP!AL$93:AL$146)</f>
        <v>0</v>
      </c>
      <c r="AT109" s="51">
        <f>SUMIF(MAP!$E$93:$E$146,$B109,MAP!AM$93:AM$146)</f>
        <v>0</v>
      </c>
      <c r="AU109" s="51">
        <f>SUMIF(MAP!$E$93:$E$146,$B109,MAP!AN$93:AN$146)</f>
        <v>0</v>
      </c>
      <c r="AV109" s="51">
        <f>SUMIF(MAP!$E$93:$E$146,$B109,MAP!AO$93:AO$146)</f>
        <v>0</v>
      </c>
      <c r="AW109" s="51">
        <f>SUMIF(MAP!$E$93:$E$146,$B109,MAP!AP$93:AP$146)</f>
        <v>0</v>
      </c>
      <c r="AX109" s="51">
        <f>SUMIF(MAP!$E$93:$E$146,$B109,MAP!AQ$93:AQ$146)</f>
        <v>0</v>
      </c>
      <c r="CE109" s="742"/>
      <c r="CF109" s="51">
        <f t="shared" ref="CF109:CM109" si="32">V109-BA109</f>
        <v>0</v>
      </c>
      <c r="CG109" s="51">
        <f t="shared" si="32"/>
        <v>0</v>
      </c>
      <c r="CH109" s="51">
        <f t="shared" si="32"/>
        <v>0</v>
      </c>
      <c r="CI109" s="51">
        <f t="shared" si="32"/>
        <v>0</v>
      </c>
      <c r="CJ109" s="51">
        <f t="shared" si="32"/>
        <v>0</v>
      </c>
      <c r="CK109" s="51">
        <f t="shared" si="32"/>
        <v>0</v>
      </c>
      <c r="CL109" s="51">
        <f t="shared" si="32"/>
        <v>0</v>
      </c>
      <c r="CM109" s="51">
        <f t="shared" si="32"/>
        <v>0</v>
      </c>
    </row>
    <row r="110" spans="1:112" hidden="1" x14ac:dyDescent="0.25">
      <c r="B110" s="51" t="s">
        <v>100</v>
      </c>
      <c r="C110" s="206">
        <v>9</v>
      </c>
      <c r="D110" s="51">
        <f t="shared" ref="D110:D115" si="33">+D42</f>
        <v>0</v>
      </c>
      <c r="F110" s="51">
        <f t="shared" ref="F110:F115" si="34">+F42</f>
        <v>0</v>
      </c>
      <c r="M110" s="727">
        <f t="shared" ref="M110:M115" si="35">+M42</f>
        <v>0</v>
      </c>
      <c r="O110" s="727">
        <f t="shared" ref="O110:O115" si="36">+O42</f>
        <v>0</v>
      </c>
      <c r="Q110" s="51">
        <f>SUMIF(MAP!$E$93:$E$146,$B110,MAP!U$93:U$146)</f>
        <v>0</v>
      </c>
      <c r="S110" s="51">
        <f>SUMIF(MAP!$E$93:$E$146,$B110,MAP!BD$93:BD$146)</f>
        <v>0</v>
      </c>
      <c r="U110" s="51">
        <f>SUMIF(MAP!$E$93:$E$146,$B110,MAP!N$93:N$146)</f>
        <v>0</v>
      </c>
      <c r="AA110" s="51">
        <f>SUMIF(MAP!$E$93:$E$146,$B110,MAP!T$93:T$146)</f>
        <v>0</v>
      </c>
      <c r="AD110" s="51">
        <f>SUMIF(MAP!$E$93:$E$146,$B110,MAP!W$93:W$146)</f>
        <v>0</v>
      </c>
      <c r="AE110" s="51">
        <f>SUMIF(MAP!$E$93:$E$146,$B110,MAP!X$93:X$146)</f>
        <v>0</v>
      </c>
      <c r="AF110" s="51">
        <f>SUMIF(MAP!$E$93:$E$146,$B110,MAP!Y$93:Y$146)</f>
        <v>0</v>
      </c>
      <c r="AG110" s="51">
        <f>SUMIF(MAP!$E$93:$E$146,$B110,MAP!Z$93:Z$146)</f>
        <v>0</v>
      </c>
      <c r="AH110" s="51">
        <f>SUMIF(MAP!$E$93:$E$146,$B110,MAP!AA$93:AA$146)</f>
        <v>0</v>
      </c>
      <c r="AI110" s="51">
        <f>SUMIF(MAP!$E$93:$E$146,$B110,MAP!AB$93:AB$146)</f>
        <v>0</v>
      </c>
      <c r="AJ110" s="51">
        <f>SUMIF(MAP!$E$93:$E$146,$B110,MAP!AC$93:AC$146)</f>
        <v>0</v>
      </c>
      <c r="AK110" s="51">
        <f>SUMIF(MAP!$E$93:$E$146,$B110,MAP!AD$93:AD$146)</f>
        <v>0</v>
      </c>
      <c r="AL110" s="51">
        <f>SUMIF(MAP!$E$93:$E$146,$B110,MAP!AE$93:AE$146)</f>
        <v>0</v>
      </c>
      <c r="AM110" s="51">
        <f>SUMIF(MAP!$E$93:$E$146,$B110,MAP!AF$93:AF$146)</f>
        <v>0</v>
      </c>
      <c r="AN110" s="51">
        <f>SUMIF(MAP!$E$93:$E$146,$B110,MAP!AG$93:AG$146)</f>
        <v>0</v>
      </c>
      <c r="AO110" s="51">
        <f>SUMIF(MAP!$E$93:$E$146,$B110,MAP!AH$93:AH$146)</f>
        <v>0</v>
      </c>
      <c r="AP110" s="51">
        <f>SUMIF(MAP!$E$93:$E$146,$B110,MAP!AI$93:AI$146)</f>
        <v>0</v>
      </c>
      <c r="AQ110" s="51">
        <f>SUMIF(MAP!$E$93:$E$146,$B110,MAP!AJ$93:AJ$146)</f>
        <v>0</v>
      </c>
      <c r="AR110" s="51">
        <f>SUMIF(MAP!$E$93:$E$146,$B110,MAP!AK$93:AK$146)</f>
        <v>0</v>
      </c>
      <c r="AS110" s="51">
        <f>SUMIF(MAP!$E$93:$E$146,$B110,MAP!AL$93:AL$146)</f>
        <v>0</v>
      </c>
      <c r="AT110" s="51">
        <f>SUMIF(MAP!$E$93:$E$146,$B110,MAP!AM$93:AM$146)</f>
        <v>0</v>
      </c>
      <c r="AU110" s="51">
        <f>SUMIF(MAP!$E$93:$E$146,$B110,MAP!AN$93:AN$146)</f>
        <v>0</v>
      </c>
      <c r="AV110" s="51">
        <f>SUMIF(MAP!$E$93:$E$146,$B110,MAP!AO$93:AO$146)</f>
        <v>0</v>
      </c>
      <c r="AW110" s="51">
        <f>SUMIF(MAP!$E$93:$E$146,$B110,MAP!AP$93:AP$146)</f>
        <v>0</v>
      </c>
      <c r="AX110" s="51">
        <f>SUMIF(MAP!$E$93:$E$146,$B110,MAP!AQ$93:AQ$146)</f>
        <v>0</v>
      </c>
      <c r="CE110" s="742"/>
      <c r="CF110" s="51">
        <f t="shared" si="17"/>
        <v>0</v>
      </c>
      <c r="CG110" s="51">
        <f t="shared" si="18"/>
        <v>0</v>
      </c>
      <c r="CH110" s="51">
        <f t="shared" si="19"/>
        <v>0</v>
      </c>
      <c r="CI110" s="51">
        <f t="shared" si="20"/>
        <v>0</v>
      </c>
      <c r="CJ110" s="51">
        <f t="shared" si="21"/>
        <v>0</v>
      </c>
      <c r="CK110" s="51">
        <f t="shared" si="22"/>
        <v>0</v>
      </c>
      <c r="CL110" s="51">
        <f t="shared" si="23"/>
        <v>0</v>
      </c>
      <c r="CM110" s="51">
        <f t="shared" si="24"/>
        <v>0</v>
      </c>
    </row>
    <row r="111" spans="1:112" hidden="1" x14ac:dyDescent="0.25">
      <c r="B111" s="51" t="s">
        <v>360</v>
      </c>
      <c r="D111" s="51">
        <f t="shared" si="33"/>
        <v>0</v>
      </c>
      <c r="F111" s="51">
        <f t="shared" si="34"/>
        <v>0</v>
      </c>
      <c r="M111" s="727">
        <f t="shared" si="35"/>
        <v>0</v>
      </c>
      <c r="O111" s="727">
        <f t="shared" si="36"/>
        <v>4100</v>
      </c>
      <c r="Q111" s="51">
        <f>SUMIF(MAP!$E$93:$E$146,$B111,MAP!U$93:U$146)</f>
        <v>0</v>
      </c>
      <c r="S111" s="51">
        <f>SUMIF(MAP!$E$93:$E$146,$B111,MAP!BD$93:BD$146)</f>
        <v>0</v>
      </c>
      <c r="U111" s="51">
        <f>SUMIF(MAP!$E$93:$E$146,$B111,MAP!N$93:N$146)</f>
        <v>0</v>
      </c>
      <c r="AA111" s="51">
        <f>SUMIF(MAP!$E$93:$E$146,$B111,MAP!T$93:T$146)</f>
        <v>0</v>
      </c>
      <c r="AD111" s="51">
        <f>SUMIF(MAP!$E$93:$E$146,$B111,MAP!W$93:W$146)</f>
        <v>0</v>
      </c>
      <c r="AE111" s="51">
        <f>SUMIF(MAP!$E$93:$E$146,$B111,MAP!X$93:X$146)</f>
        <v>0</v>
      </c>
      <c r="AF111" s="51">
        <f>SUMIF(MAP!$E$93:$E$146,$B111,MAP!Y$93:Y$146)</f>
        <v>0</v>
      </c>
      <c r="AG111" s="51">
        <f>SUMIF(MAP!$E$93:$E$146,$B111,MAP!Z$93:Z$146)</f>
        <v>0</v>
      </c>
      <c r="AH111" s="51">
        <f>SUMIF(MAP!$E$93:$E$146,$B111,MAP!AA$93:AA$146)</f>
        <v>0</v>
      </c>
      <c r="AI111" s="51">
        <f>SUMIF(MAP!$E$93:$E$146,$B111,MAP!AB$93:AB$146)</f>
        <v>0</v>
      </c>
      <c r="AJ111" s="51">
        <f>SUMIF(MAP!$E$93:$E$146,$B111,MAP!AC$93:AC$146)</f>
        <v>0</v>
      </c>
      <c r="AK111" s="51">
        <f>SUMIF(MAP!$E$93:$E$146,$B111,MAP!AD$93:AD$146)</f>
        <v>0</v>
      </c>
      <c r="AL111" s="51">
        <f>SUMIF(MAP!$E$93:$E$146,$B111,MAP!AE$93:AE$146)</f>
        <v>0</v>
      </c>
      <c r="AM111" s="51">
        <f>SUMIF(MAP!$E$93:$E$146,$B111,MAP!AF$93:AF$146)</f>
        <v>0</v>
      </c>
      <c r="AN111" s="51">
        <f>SUMIF(MAP!$E$93:$E$146,$B111,MAP!AG$93:AG$146)</f>
        <v>0</v>
      </c>
      <c r="AO111" s="51">
        <f>SUMIF(MAP!$E$93:$E$146,$B111,MAP!AH$93:AH$146)</f>
        <v>0</v>
      </c>
      <c r="AP111" s="51">
        <f>SUMIF(MAP!$E$93:$E$146,$B111,MAP!AI$93:AI$146)</f>
        <v>0</v>
      </c>
      <c r="AQ111" s="51">
        <f>SUMIF(MAP!$E$93:$E$146,$B111,MAP!AJ$93:AJ$146)</f>
        <v>0</v>
      </c>
      <c r="AR111" s="51">
        <f>SUMIF(MAP!$E$93:$E$146,$B111,MAP!AK$93:AK$146)</f>
        <v>0</v>
      </c>
      <c r="AS111" s="51">
        <f>SUMIF(MAP!$E$93:$E$146,$B111,MAP!AL$93:AL$146)</f>
        <v>0</v>
      </c>
      <c r="AT111" s="51">
        <f>SUMIF(MAP!$E$93:$E$146,$B111,MAP!AM$93:AM$146)</f>
        <v>0</v>
      </c>
      <c r="AU111" s="51">
        <f>SUMIF(MAP!$E$93:$E$146,$B111,MAP!AN$93:AN$146)</f>
        <v>0</v>
      </c>
      <c r="AV111" s="51">
        <f>SUMIF(MAP!$E$93:$E$146,$B111,MAP!AO$93:AO$146)</f>
        <v>0</v>
      </c>
      <c r="AW111" s="51">
        <f>SUMIF(MAP!$E$93:$E$146,$B111,MAP!AP$93:AP$146)</f>
        <v>0</v>
      </c>
      <c r="AX111" s="51">
        <f>SUMIF(MAP!$E$93:$E$146,$B111,MAP!AQ$93:AQ$146)</f>
        <v>0</v>
      </c>
      <c r="CE111" s="742"/>
      <c r="CF111" s="51">
        <f t="shared" si="17"/>
        <v>0</v>
      </c>
      <c r="CG111" s="51">
        <f t="shared" si="18"/>
        <v>0</v>
      </c>
      <c r="CH111" s="51">
        <f t="shared" si="19"/>
        <v>0</v>
      </c>
      <c r="CI111" s="51">
        <f t="shared" si="20"/>
        <v>0</v>
      </c>
      <c r="CJ111" s="51">
        <f t="shared" si="21"/>
        <v>0</v>
      </c>
      <c r="CK111" s="51">
        <f t="shared" si="22"/>
        <v>0</v>
      </c>
      <c r="CL111" s="51">
        <f t="shared" si="23"/>
        <v>0</v>
      </c>
      <c r="CM111" s="51">
        <f t="shared" si="24"/>
        <v>0</v>
      </c>
    </row>
    <row r="112" spans="1:112" hidden="1" x14ac:dyDescent="0.25">
      <c r="B112" s="51" t="s">
        <v>361</v>
      </c>
      <c r="D112" s="51">
        <f t="shared" si="33"/>
        <v>0</v>
      </c>
      <c r="F112" s="51">
        <f t="shared" si="34"/>
        <v>0</v>
      </c>
      <c r="M112" s="727">
        <f t="shared" si="35"/>
        <v>0</v>
      </c>
      <c r="O112" s="727">
        <f t="shared" si="36"/>
        <v>-182</v>
      </c>
      <c r="Q112" s="51">
        <f>SUMIF(MAP!$E$93:$E$146,$B112,MAP!U$93:U$146)</f>
        <v>0</v>
      </c>
      <c r="S112" s="51">
        <f>SUMIF(MAP!$E$93:$E$146,$B112,MAP!BD$93:BD$146)</f>
        <v>0</v>
      </c>
      <c r="U112" s="51">
        <f>SUMIF(MAP!$E$93:$E$146,$B112,MAP!N$93:N$146)</f>
        <v>0</v>
      </c>
      <c r="AA112" s="51">
        <f>SUMIF(MAP!$E$93:$E$146,$B112,MAP!T$93:T$146)</f>
        <v>0</v>
      </c>
      <c r="AD112" s="51">
        <f>SUMIF(MAP!$E$93:$E$146,$B112,MAP!W$93:W$146)</f>
        <v>0</v>
      </c>
      <c r="AE112" s="51">
        <f>SUMIF(MAP!$E$93:$E$146,$B112,MAP!X$93:X$146)</f>
        <v>0</v>
      </c>
      <c r="AF112" s="51">
        <f>SUMIF(MAP!$E$93:$E$146,$B112,MAP!Y$93:Y$146)</f>
        <v>0</v>
      </c>
      <c r="AG112" s="51">
        <f>SUMIF(MAP!$E$93:$E$146,$B112,MAP!Z$93:Z$146)</f>
        <v>0</v>
      </c>
      <c r="AH112" s="51">
        <f>SUMIF(MAP!$E$93:$E$146,$B112,MAP!AA$93:AA$146)</f>
        <v>0</v>
      </c>
      <c r="AI112" s="51">
        <f>SUMIF(MAP!$E$93:$E$146,$B112,MAP!AB$93:AB$146)</f>
        <v>0</v>
      </c>
      <c r="AJ112" s="51">
        <f>SUMIF(MAP!$E$93:$E$146,$B112,MAP!AC$93:AC$146)</f>
        <v>0</v>
      </c>
      <c r="AK112" s="51">
        <f>SUMIF(MAP!$E$93:$E$146,$B112,MAP!AD$93:AD$146)</f>
        <v>0</v>
      </c>
      <c r="AL112" s="51">
        <f>SUMIF(MAP!$E$93:$E$146,$B112,MAP!AE$93:AE$146)</f>
        <v>0</v>
      </c>
      <c r="AM112" s="51">
        <f>SUMIF(MAP!$E$93:$E$146,$B112,MAP!AF$93:AF$146)</f>
        <v>0</v>
      </c>
      <c r="AN112" s="51">
        <f>SUMIF(MAP!$E$93:$E$146,$B112,MAP!AG$93:AG$146)</f>
        <v>0</v>
      </c>
      <c r="AO112" s="51">
        <f>SUMIF(MAP!$E$93:$E$146,$B112,MAP!AH$93:AH$146)</f>
        <v>0</v>
      </c>
      <c r="AP112" s="51">
        <f>SUMIF(MAP!$E$93:$E$146,$B112,MAP!AI$93:AI$146)</f>
        <v>0</v>
      </c>
      <c r="AQ112" s="51">
        <f>SUMIF(MAP!$E$93:$E$146,$B112,MAP!AJ$93:AJ$146)</f>
        <v>0</v>
      </c>
      <c r="AR112" s="51">
        <f>SUMIF(MAP!$E$93:$E$146,$B112,MAP!AK$93:AK$146)</f>
        <v>0</v>
      </c>
      <c r="AS112" s="51">
        <f>SUMIF(MAP!$E$93:$E$146,$B112,MAP!AL$93:AL$146)</f>
        <v>0</v>
      </c>
      <c r="AT112" s="51">
        <f>SUMIF(MAP!$E$93:$E$146,$B112,MAP!AM$93:AM$146)</f>
        <v>0</v>
      </c>
      <c r="AU112" s="51">
        <f>SUMIF(MAP!$E$93:$E$146,$B112,MAP!AN$93:AN$146)</f>
        <v>0</v>
      </c>
      <c r="AV112" s="51">
        <f>SUMIF(MAP!$E$93:$E$146,$B112,MAP!AO$93:AO$146)</f>
        <v>0</v>
      </c>
      <c r="AW112" s="51">
        <f>SUMIF(MAP!$E$93:$E$146,$B112,MAP!AP$93:AP$146)</f>
        <v>0</v>
      </c>
      <c r="AX112" s="51">
        <f>SUMIF(MAP!$E$93:$E$146,$B112,MAP!AQ$93:AQ$146)</f>
        <v>0</v>
      </c>
      <c r="CE112" s="742"/>
      <c r="CF112" s="51">
        <f t="shared" si="17"/>
        <v>0</v>
      </c>
      <c r="CG112" s="51">
        <f t="shared" si="18"/>
        <v>0</v>
      </c>
      <c r="CH112" s="51">
        <f t="shared" si="19"/>
        <v>0</v>
      </c>
      <c r="CI112" s="51">
        <f t="shared" si="20"/>
        <v>0</v>
      </c>
      <c r="CJ112" s="51">
        <f t="shared" si="21"/>
        <v>0</v>
      </c>
      <c r="CK112" s="51">
        <f t="shared" si="22"/>
        <v>0</v>
      </c>
      <c r="CL112" s="51">
        <f t="shared" si="23"/>
        <v>0</v>
      </c>
      <c r="CM112" s="51">
        <f t="shared" si="24"/>
        <v>0</v>
      </c>
    </row>
    <row r="113" spans="1:112" hidden="1" x14ac:dyDescent="0.25">
      <c r="B113" s="51" t="s">
        <v>101</v>
      </c>
      <c r="C113" s="206">
        <v>4</v>
      </c>
      <c r="D113" s="51">
        <f t="shared" si="33"/>
        <v>0</v>
      </c>
      <c r="F113" s="51">
        <f t="shared" si="34"/>
        <v>0</v>
      </c>
      <c r="M113" s="727">
        <f t="shared" si="35"/>
        <v>0</v>
      </c>
      <c r="O113" s="727">
        <f t="shared" si="36"/>
        <v>0</v>
      </c>
      <c r="Q113" s="51">
        <f>SUMIF(MAP!$E$93:$E$146,$B113,MAP!U$93:U$146)</f>
        <v>0</v>
      </c>
      <c r="S113" s="51">
        <f>SUMIF(MAP!$E$93:$E$146,$B113,MAP!BD$93:BD$146)</f>
        <v>0</v>
      </c>
      <c r="U113" s="51">
        <f>SUMIF(MAP!$E$93:$E$146,$B113,MAP!N$93:N$146)</f>
        <v>0</v>
      </c>
      <c r="AA113" s="51">
        <f>SUMIF(MAP!$E$93:$E$146,$B113,MAP!T$93:T$146)</f>
        <v>0</v>
      </c>
      <c r="AD113" s="51">
        <f>SUMIF(MAP!$E$93:$E$146,$B113,MAP!W$93:W$146)</f>
        <v>0</v>
      </c>
      <c r="AE113" s="51">
        <f>SUMIF(MAP!$E$93:$E$146,$B113,MAP!X$93:X$146)</f>
        <v>0</v>
      </c>
      <c r="AF113" s="51">
        <f>SUMIF(MAP!$E$93:$E$146,$B113,MAP!Y$93:Y$146)</f>
        <v>0</v>
      </c>
      <c r="AG113" s="51">
        <f>SUMIF(MAP!$E$93:$E$146,$B113,MAP!Z$93:Z$146)</f>
        <v>0</v>
      </c>
      <c r="AH113" s="51">
        <f>SUMIF(MAP!$E$93:$E$146,$B113,MAP!AA$93:AA$146)</f>
        <v>0</v>
      </c>
      <c r="AI113" s="51">
        <f>SUMIF(MAP!$E$93:$E$146,$B113,MAP!AB$93:AB$146)</f>
        <v>0</v>
      </c>
      <c r="AJ113" s="51">
        <f>SUMIF(MAP!$E$93:$E$146,$B113,MAP!AC$93:AC$146)</f>
        <v>0</v>
      </c>
      <c r="AK113" s="51">
        <f>SUMIF(MAP!$E$93:$E$146,$B113,MAP!AD$93:AD$146)</f>
        <v>0</v>
      </c>
      <c r="AL113" s="51">
        <f>SUMIF(MAP!$E$93:$E$146,$B113,MAP!AE$93:AE$146)</f>
        <v>0</v>
      </c>
      <c r="AM113" s="51">
        <f>SUMIF(MAP!$E$93:$E$146,$B113,MAP!AF$93:AF$146)</f>
        <v>0</v>
      </c>
      <c r="AN113" s="51">
        <f>SUMIF(MAP!$E$93:$E$146,$B113,MAP!AG$93:AG$146)</f>
        <v>0</v>
      </c>
      <c r="AO113" s="51">
        <f>SUMIF(MAP!$E$93:$E$146,$B113,MAP!AH$93:AH$146)</f>
        <v>0</v>
      </c>
      <c r="AP113" s="51">
        <f>SUMIF(MAP!$E$93:$E$146,$B113,MAP!AI$93:AI$146)</f>
        <v>0</v>
      </c>
      <c r="AQ113" s="51">
        <f>SUMIF(MAP!$E$93:$E$146,$B113,MAP!AJ$93:AJ$146)</f>
        <v>0</v>
      </c>
      <c r="AR113" s="51">
        <f>SUMIF(MAP!$E$93:$E$146,$B113,MAP!AK$93:AK$146)</f>
        <v>0</v>
      </c>
      <c r="AS113" s="51">
        <f>SUMIF(MAP!$E$93:$E$146,$B113,MAP!AL$93:AL$146)</f>
        <v>0</v>
      </c>
      <c r="AT113" s="51">
        <f>SUMIF(MAP!$E$93:$E$146,$B113,MAP!AM$93:AM$146)</f>
        <v>0</v>
      </c>
      <c r="AU113" s="51">
        <f>SUMIF(MAP!$E$93:$E$146,$B113,MAP!AN$93:AN$146)</f>
        <v>0</v>
      </c>
      <c r="AV113" s="51">
        <f>SUMIF(MAP!$E$93:$E$146,$B113,MAP!AO$93:AO$146)</f>
        <v>0</v>
      </c>
      <c r="AW113" s="51">
        <f>SUMIF(MAP!$E$93:$E$146,$B113,MAP!AP$93:AP$146)</f>
        <v>0</v>
      </c>
      <c r="AX113" s="51">
        <f>SUMIF(MAP!$E$93:$E$146,$B113,MAP!AQ$93:AQ$146)</f>
        <v>0</v>
      </c>
      <c r="CE113" s="742"/>
      <c r="CF113" s="51">
        <f t="shared" si="17"/>
        <v>0</v>
      </c>
      <c r="CG113" s="51">
        <f t="shared" si="18"/>
        <v>0</v>
      </c>
      <c r="CH113" s="51">
        <f t="shared" si="19"/>
        <v>0</v>
      </c>
      <c r="CI113" s="51">
        <f t="shared" si="20"/>
        <v>0</v>
      </c>
      <c r="CJ113" s="51">
        <f t="shared" si="21"/>
        <v>0</v>
      </c>
      <c r="CK113" s="51">
        <f t="shared" si="22"/>
        <v>0</v>
      </c>
      <c r="CL113" s="51">
        <f t="shared" si="23"/>
        <v>0</v>
      </c>
      <c r="CM113" s="51">
        <f t="shared" si="24"/>
        <v>0</v>
      </c>
    </row>
    <row r="114" spans="1:112" hidden="1" x14ac:dyDescent="0.25">
      <c r="B114" s="51" t="s">
        <v>1070</v>
      </c>
      <c r="D114" s="51">
        <f t="shared" si="33"/>
        <v>0</v>
      </c>
      <c r="F114" s="51">
        <f t="shared" si="34"/>
        <v>0</v>
      </c>
      <c r="M114" s="727">
        <f t="shared" si="35"/>
        <v>51</v>
      </c>
      <c r="O114" s="727">
        <f t="shared" si="36"/>
        <v>15853</v>
      </c>
      <c r="Q114" s="51">
        <f>SUMIF(MAP!$E$93:$E$146,$B114,MAP!U$93:U$146)</f>
        <v>0</v>
      </c>
      <c r="S114" s="51">
        <f>SUMIF(MAP!$E$93:$E$146,$B114,MAP!BD$93:BD$146)</f>
        <v>0</v>
      </c>
      <c r="U114" s="51">
        <f>SUMIF(MAP!$E$93:$E$146,$B114,MAP!N$93:N$146)</f>
        <v>0</v>
      </c>
      <c r="AA114" s="51">
        <f>SUMIF(MAP!$E$93:$E$146,$B114,MAP!T$93:T$146)</f>
        <v>0</v>
      </c>
      <c r="AD114" s="51">
        <f>SUMIF(MAP!$E$93:$E$146,$B114,MAP!W$93:W$146)</f>
        <v>0</v>
      </c>
      <c r="AE114" s="51">
        <f>SUMIF(MAP!$E$93:$E$146,$B114,MAP!X$93:X$146)</f>
        <v>0</v>
      </c>
      <c r="AF114" s="51">
        <f>SUMIF(MAP!$E$93:$E$146,$B114,MAP!Y$93:Y$146)</f>
        <v>0</v>
      </c>
      <c r="AG114" s="51">
        <f>SUMIF(MAP!$E$93:$E$146,$B114,MAP!Z$93:Z$146)</f>
        <v>0</v>
      </c>
      <c r="AH114" s="51">
        <f>SUMIF(MAP!$E$93:$E$146,$B114,MAP!AA$93:AA$146)</f>
        <v>0</v>
      </c>
      <c r="AI114" s="51">
        <f>SUMIF(MAP!$E$93:$E$146,$B114,MAP!AB$93:AB$146)</f>
        <v>0</v>
      </c>
      <c r="AJ114" s="51">
        <f>SUMIF(MAP!$E$93:$E$146,$B114,MAP!AC$93:AC$146)</f>
        <v>0</v>
      </c>
      <c r="AK114" s="51">
        <f>SUMIF(MAP!$E$93:$E$146,$B114,MAP!AD$93:AD$146)</f>
        <v>0</v>
      </c>
      <c r="AL114" s="51">
        <f>SUMIF(MAP!$E$93:$E$146,$B114,MAP!AE$93:AE$146)</f>
        <v>0</v>
      </c>
      <c r="AM114" s="51">
        <f>SUMIF(MAP!$E$93:$E$146,$B114,MAP!AF$93:AF$146)</f>
        <v>0</v>
      </c>
      <c r="AN114" s="51">
        <f>SUMIF(MAP!$E$93:$E$146,$B114,MAP!AG$93:AG$146)</f>
        <v>0</v>
      </c>
      <c r="AO114" s="51">
        <f>SUMIF(MAP!$E$93:$E$146,$B114,MAP!AH$93:AH$146)</f>
        <v>0</v>
      </c>
      <c r="AP114" s="51">
        <f>SUMIF(MAP!$E$93:$E$146,$B114,MAP!AI$93:AI$146)</f>
        <v>0</v>
      </c>
      <c r="AQ114" s="51">
        <f>SUMIF(MAP!$E$93:$E$146,$B114,MAP!AJ$93:AJ$146)</f>
        <v>0</v>
      </c>
      <c r="AR114" s="51">
        <f>SUMIF(MAP!$E$93:$E$146,$B114,MAP!AK$93:AK$146)</f>
        <v>0</v>
      </c>
      <c r="AS114" s="51">
        <f>SUMIF(MAP!$E$93:$E$146,$B114,MAP!AL$93:AL$146)</f>
        <v>0</v>
      </c>
      <c r="AT114" s="51">
        <f>SUMIF(MAP!$E$93:$E$146,$B114,MAP!AM$93:AM$146)</f>
        <v>0</v>
      </c>
      <c r="AU114" s="51">
        <f>SUMIF(MAP!$E$93:$E$146,$B114,MAP!AN$93:AN$146)</f>
        <v>0</v>
      </c>
      <c r="AV114" s="51">
        <f>SUMIF(MAP!$E$93:$E$146,$B114,MAP!AO$93:AO$146)</f>
        <v>0</v>
      </c>
      <c r="AW114" s="51">
        <f>SUMIF(MAP!$E$93:$E$146,$B114,MAP!AP$93:AP$146)</f>
        <v>0</v>
      </c>
      <c r="AX114" s="51">
        <f>SUMIF(MAP!$E$93:$E$146,$B114,MAP!AQ$93:AQ$146)</f>
        <v>0</v>
      </c>
      <c r="CE114" s="742"/>
      <c r="CF114" s="51">
        <f t="shared" si="17"/>
        <v>0</v>
      </c>
      <c r="CG114" s="51">
        <f t="shared" si="18"/>
        <v>0</v>
      </c>
      <c r="CH114" s="51">
        <f t="shared" si="19"/>
        <v>0</v>
      </c>
      <c r="CI114" s="51">
        <f t="shared" si="20"/>
        <v>0</v>
      </c>
      <c r="CJ114" s="51">
        <f t="shared" si="21"/>
        <v>0</v>
      </c>
      <c r="CK114" s="51">
        <f t="shared" si="22"/>
        <v>0</v>
      </c>
      <c r="CL114" s="51">
        <f t="shared" si="23"/>
        <v>0</v>
      </c>
      <c r="CM114" s="51">
        <f t="shared" si="24"/>
        <v>0</v>
      </c>
    </row>
    <row r="115" spans="1:112" hidden="1" x14ac:dyDescent="0.25">
      <c r="B115" s="51" t="s">
        <v>326</v>
      </c>
      <c r="C115" s="726">
        <v>10</v>
      </c>
      <c r="D115" s="51">
        <f t="shared" si="33"/>
        <v>0</v>
      </c>
      <c r="E115" s="726"/>
      <c r="F115" s="51">
        <f t="shared" si="34"/>
        <v>0</v>
      </c>
      <c r="G115" s="726"/>
      <c r="H115" s="726"/>
      <c r="I115" s="726"/>
      <c r="J115" s="726"/>
      <c r="K115" s="726"/>
      <c r="L115" s="726"/>
      <c r="M115" s="727">
        <f t="shared" si="35"/>
        <v>0</v>
      </c>
      <c r="N115" s="726"/>
      <c r="O115" s="727">
        <f t="shared" si="36"/>
        <v>0</v>
      </c>
      <c r="P115" s="726"/>
      <c r="Q115" s="51">
        <f>SUMIF(MAP!$E$93:$E$146,$B115,MAP!U$93:U$146)</f>
        <v>0</v>
      </c>
      <c r="R115" s="726"/>
      <c r="S115" s="51">
        <f>SUMIF(MAP!$E$93:$E$146,$B115,MAP!BD$93:BD$146)</f>
        <v>0</v>
      </c>
      <c r="T115" s="726"/>
      <c r="U115" s="51">
        <f>SUMIF(MAP!$E$93:$E$146,$B115,MAP!N$93:N$146)</f>
        <v>0</v>
      </c>
      <c r="AA115" s="51">
        <f>SUMIF(MAP!$E$93:$E$146,$B115,MAP!T$93:T$146)</f>
        <v>0</v>
      </c>
      <c r="AD115" s="51">
        <f>SUMIF(MAP!$E$93:$E$146,$B115,MAP!W$93:W$146)</f>
        <v>0</v>
      </c>
      <c r="AE115" s="51">
        <f>SUMIF(MAP!$E$93:$E$146,$B115,MAP!X$93:X$146)</f>
        <v>0</v>
      </c>
      <c r="AF115" s="51">
        <f>SUMIF(MAP!$E$93:$E$146,$B115,MAP!Y$93:Y$146)</f>
        <v>0</v>
      </c>
      <c r="AG115" s="51">
        <f>SUMIF(MAP!$E$93:$E$146,$B115,MAP!Z$93:Z$146)</f>
        <v>0</v>
      </c>
      <c r="AH115" s="51">
        <f>SUMIF(MAP!$E$93:$E$146,$B115,MAP!AA$93:AA$146)</f>
        <v>0</v>
      </c>
      <c r="AI115" s="51">
        <f>SUMIF(MAP!$E$93:$E$146,$B115,MAP!AB$93:AB$146)</f>
        <v>0</v>
      </c>
      <c r="AJ115" s="51">
        <f>SUMIF(MAP!$E$93:$E$146,$B115,MAP!AC$93:AC$146)</f>
        <v>0</v>
      </c>
      <c r="AK115" s="51">
        <f>SUMIF(MAP!$E$93:$E$146,$B115,MAP!AD$93:AD$146)</f>
        <v>0</v>
      </c>
      <c r="AL115" s="51">
        <f>SUMIF(MAP!$E$93:$E$146,$B115,MAP!AE$93:AE$146)</f>
        <v>0</v>
      </c>
      <c r="AM115" s="51">
        <f>SUMIF(MAP!$E$93:$E$146,$B115,MAP!AF$93:AF$146)</f>
        <v>0</v>
      </c>
      <c r="AN115" s="51">
        <f>SUMIF(MAP!$E$93:$E$146,$B115,MAP!AG$93:AG$146)</f>
        <v>0</v>
      </c>
      <c r="AO115" s="51">
        <f>SUMIF(MAP!$E$93:$E$146,$B115,MAP!AH$93:AH$146)</f>
        <v>0</v>
      </c>
      <c r="AP115" s="51">
        <f>SUMIF(MAP!$E$93:$E$146,$B115,MAP!AI$93:AI$146)</f>
        <v>0</v>
      </c>
      <c r="AQ115" s="51">
        <f>SUMIF(MAP!$E$93:$E$146,$B115,MAP!AJ$93:AJ$146)</f>
        <v>0</v>
      </c>
      <c r="AR115" s="51">
        <f>SUMIF(MAP!$E$93:$E$146,$B115,MAP!AK$93:AK$146)</f>
        <v>0</v>
      </c>
      <c r="AS115" s="51">
        <f>SUMIF(MAP!$E$93:$E$146,$B115,MAP!AL$93:AL$146)</f>
        <v>0</v>
      </c>
      <c r="AT115" s="51">
        <f>SUMIF(MAP!$E$93:$E$146,$B115,MAP!AM$93:AM$146)</f>
        <v>0</v>
      </c>
      <c r="AU115" s="51">
        <f>SUMIF(MAP!$E$93:$E$146,$B115,MAP!AN$93:AN$146)</f>
        <v>0</v>
      </c>
      <c r="AV115" s="51">
        <f>SUMIF(MAP!$E$93:$E$146,$B115,MAP!AO$93:AO$146)</f>
        <v>0</v>
      </c>
      <c r="AW115" s="51">
        <f>SUMIF(MAP!$E$93:$E$146,$B115,MAP!AP$93:AP$146)</f>
        <v>0</v>
      </c>
      <c r="AX115" s="51">
        <f>SUMIF(MAP!$E$93:$E$146,$B115,MAP!AQ$93:AQ$146)</f>
        <v>0</v>
      </c>
      <c r="CE115" s="742"/>
      <c r="CF115" s="51">
        <f t="shared" si="17"/>
        <v>0</v>
      </c>
      <c r="CG115" s="51">
        <f t="shared" si="18"/>
        <v>0</v>
      </c>
      <c r="CH115" s="51">
        <f t="shared" si="19"/>
        <v>0</v>
      </c>
      <c r="CI115" s="51">
        <f t="shared" si="20"/>
        <v>0</v>
      </c>
      <c r="CJ115" s="51">
        <f t="shared" si="21"/>
        <v>0</v>
      </c>
      <c r="CK115" s="51">
        <f t="shared" si="22"/>
        <v>0</v>
      </c>
      <c r="CL115" s="51">
        <f t="shared" si="23"/>
        <v>0</v>
      </c>
      <c r="CM115" s="51">
        <f t="shared" si="24"/>
        <v>0</v>
      </c>
    </row>
    <row r="116" spans="1:112" hidden="1" x14ac:dyDescent="0.25">
      <c r="B116" s="47" t="s">
        <v>102</v>
      </c>
      <c r="D116" s="214">
        <f>SUM(D105:D115)</f>
        <v>0</v>
      </c>
      <c r="F116" s="214">
        <f>SUM(F105:F115)</f>
        <v>0</v>
      </c>
      <c r="M116" s="214">
        <f>SUM(M105:M115)</f>
        <v>-36268</v>
      </c>
      <c r="O116" s="214">
        <f>SUM(O105:O115)</f>
        <v>-372512</v>
      </c>
      <c r="Q116" s="214">
        <f>SUM(Q105:Q115)</f>
        <v>0</v>
      </c>
      <c r="S116" s="214">
        <f>SUM(S105:S115)</f>
        <v>0</v>
      </c>
      <c r="U116" s="214">
        <f>SUM(U105:U115)</f>
        <v>0</v>
      </c>
      <c r="AA116" s="214">
        <f>SUM(AA105:AA115)</f>
        <v>0</v>
      </c>
      <c r="AD116" s="214">
        <f t="shared" ref="AD116:AX116" si="37">SUM(AD105:AD115)</f>
        <v>0</v>
      </c>
      <c r="AE116" s="214">
        <f t="shared" si="37"/>
        <v>0</v>
      </c>
      <c r="AF116" s="214">
        <f t="shared" si="37"/>
        <v>0</v>
      </c>
      <c r="AG116" s="214">
        <f t="shared" si="37"/>
        <v>0</v>
      </c>
      <c r="AH116" s="214">
        <f t="shared" si="37"/>
        <v>0</v>
      </c>
      <c r="AI116" s="214">
        <f t="shared" si="37"/>
        <v>0</v>
      </c>
      <c r="AJ116" s="214">
        <f t="shared" si="37"/>
        <v>0</v>
      </c>
      <c r="AK116" s="214">
        <f t="shared" si="37"/>
        <v>0</v>
      </c>
      <c r="AL116" s="214">
        <f t="shared" si="37"/>
        <v>0</v>
      </c>
      <c r="AM116" s="214">
        <f t="shared" si="37"/>
        <v>0</v>
      </c>
      <c r="AN116" s="214">
        <f t="shared" si="37"/>
        <v>0</v>
      </c>
      <c r="AO116" s="214">
        <f t="shared" si="37"/>
        <v>0</v>
      </c>
      <c r="AP116" s="214">
        <f t="shared" si="37"/>
        <v>0</v>
      </c>
      <c r="AQ116" s="214">
        <f t="shared" si="37"/>
        <v>0</v>
      </c>
      <c r="AR116" s="214">
        <f t="shared" si="37"/>
        <v>0</v>
      </c>
      <c r="AS116" s="214">
        <f t="shared" si="37"/>
        <v>0</v>
      </c>
      <c r="AT116" s="214">
        <f t="shared" si="37"/>
        <v>0</v>
      </c>
      <c r="AU116" s="214">
        <f t="shared" si="37"/>
        <v>0</v>
      </c>
      <c r="AV116" s="214">
        <f t="shared" si="37"/>
        <v>0</v>
      </c>
      <c r="AW116" s="214">
        <f t="shared" si="37"/>
        <v>0</v>
      </c>
      <c r="AX116" s="214">
        <f t="shared" si="37"/>
        <v>0</v>
      </c>
      <c r="CE116" s="793"/>
      <c r="CF116" s="51">
        <f t="shared" si="17"/>
        <v>0</v>
      </c>
      <c r="CG116" s="51">
        <f t="shared" si="18"/>
        <v>0</v>
      </c>
      <c r="CH116" s="51">
        <f t="shared" si="19"/>
        <v>0</v>
      </c>
      <c r="CI116" s="51">
        <f t="shared" si="20"/>
        <v>0</v>
      </c>
      <c r="CJ116" s="51">
        <f t="shared" si="21"/>
        <v>0</v>
      </c>
      <c r="CK116" s="214">
        <f t="shared" si="22"/>
        <v>0</v>
      </c>
      <c r="CL116" s="51">
        <f t="shared" si="23"/>
        <v>0</v>
      </c>
      <c r="CM116" s="51">
        <f t="shared" si="24"/>
        <v>0</v>
      </c>
    </row>
    <row r="117" spans="1:112" hidden="1" x14ac:dyDescent="0.25">
      <c r="D117" s="51"/>
      <c r="F117" s="51"/>
      <c r="M117" s="51"/>
      <c r="O117" s="51"/>
      <c r="Q117" s="51"/>
      <c r="S117" s="51"/>
      <c r="CE117" s="742"/>
      <c r="CF117" s="51">
        <f t="shared" si="17"/>
        <v>0</v>
      </c>
      <c r="CG117" s="51">
        <f t="shared" si="18"/>
        <v>0</v>
      </c>
      <c r="CH117" s="51">
        <f t="shared" si="19"/>
        <v>0</v>
      </c>
      <c r="CI117" s="51">
        <f t="shared" si="20"/>
        <v>0</v>
      </c>
      <c r="CJ117" s="51">
        <f t="shared" si="21"/>
        <v>0</v>
      </c>
      <c r="CK117" s="51">
        <f t="shared" si="22"/>
        <v>0</v>
      </c>
      <c r="CL117" s="51">
        <f t="shared" si="23"/>
        <v>0</v>
      </c>
      <c r="CM117" s="51">
        <f t="shared" si="24"/>
        <v>0</v>
      </c>
    </row>
    <row r="118" spans="1:112" hidden="1" x14ac:dyDescent="0.25">
      <c r="D118" s="51"/>
      <c r="F118" s="51"/>
      <c r="M118" s="51"/>
      <c r="O118" s="51"/>
      <c r="Q118" s="51"/>
      <c r="S118" s="51"/>
      <c r="CE118" s="742"/>
      <c r="CF118" s="51">
        <f t="shared" si="17"/>
        <v>0</v>
      </c>
      <c r="CG118" s="51">
        <f t="shared" si="18"/>
        <v>0</v>
      </c>
      <c r="CH118" s="51">
        <f t="shared" si="19"/>
        <v>0</v>
      </c>
      <c r="CI118" s="51">
        <f t="shared" si="20"/>
        <v>0</v>
      </c>
      <c r="CJ118" s="51">
        <f t="shared" si="21"/>
        <v>0</v>
      </c>
      <c r="CK118" s="51">
        <f t="shared" si="22"/>
        <v>0</v>
      </c>
      <c r="CL118" s="51">
        <f t="shared" si="23"/>
        <v>0</v>
      </c>
      <c r="CM118" s="51">
        <f t="shared" si="24"/>
        <v>0</v>
      </c>
    </row>
    <row r="119" spans="1:112" hidden="1" x14ac:dyDescent="0.25">
      <c r="B119" s="47" t="s">
        <v>103</v>
      </c>
      <c r="D119" s="47"/>
      <c r="F119" s="47"/>
      <c r="M119" s="47"/>
      <c r="O119" s="47"/>
      <c r="Q119" s="47"/>
      <c r="S119" s="47"/>
      <c r="U119" s="47"/>
      <c r="AA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CE119" s="794"/>
      <c r="CF119" s="51">
        <f t="shared" si="17"/>
        <v>0</v>
      </c>
      <c r="CG119" s="51">
        <f t="shared" si="18"/>
        <v>0</v>
      </c>
      <c r="CH119" s="51">
        <f t="shared" si="19"/>
        <v>0</v>
      </c>
      <c r="CI119" s="51">
        <f t="shared" si="20"/>
        <v>0</v>
      </c>
      <c r="CJ119" s="51">
        <f t="shared" si="21"/>
        <v>0</v>
      </c>
      <c r="CK119" s="47">
        <f t="shared" si="22"/>
        <v>0</v>
      </c>
      <c r="CL119" s="51">
        <f t="shared" si="23"/>
        <v>0</v>
      </c>
      <c r="CM119" s="51">
        <f t="shared" si="24"/>
        <v>0</v>
      </c>
    </row>
    <row r="120" spans="1:112" hidden="1" x14ac:dyDescent="0.25">
      <c r="B120" s="51" t="s">
        <v>104</v>
      </c>
      <c r="C120" s="206" t="s">
        <v>105</v>
      </c>
      <c r="D120" s="51">
        <f>SUMIF(MAP!$E$93:$E$146,$B120,MAP!T$93:T$146)</f>
        <v>0</v>
      </c>
      <c r="E120" s="51"/>
      <c r="F120" s="51">
        <f>SUMIF(MAP!$E$93:$E$146,$B120,MAP!N$93:N$146)</f>
        <v>0</v>
      </c>
      <c r="H120" s="247">
        <f>D120-TE!D120</f>
        <v>0</v>
      </c>
      <c r="J120" s="247">
        <f>F120-TE!L120</f>
        <v>0</v>
      </c>
      <c r="M120" s="727">
        <f>+M52</f>
        <v>8136687</v>
      </c>
      <c r="O120" s="727">
        <f>+O52</f>
        <v>8136687</v>
      </c>
      <c r="Q120" s="51">
        <f>SUMIF(MAP!$E$93:$E$146,$B120,MAP!U$93:U$146)</f>
        <v>0</v>
      </c>
      <c r="R120" s="51"/>
      <c r="S120" s="51">
        <f>SUMIF(MAP!$E$93:$E$146,$B120,MAP!BD$93:BD$146)</f>
        <v>0</v>
      </c>
      <c r="U120" s="51">
        <f>SUMIF(MAP!$E$93:$E$146,$B120,MAP!N$93:N$146)</f>
        <v>0</v>
      </c>
      <c r="AA120" s="51">
        <f>SUMIF(MAP!$E$93:$E$146,$B120,MAP!T$93:T$146)</f>
        <v>0</v>
      </c>
      <c r="AD120" s="51">
        <f>SUMIF(MAP!$E$93:$E$146,$B120,MAP!W$93:W$146)</f>
        <v>0</v>
      </c>
      <c r="AE120" s="51">
        <f>SUMIF(MAP!$E$93:$E$146,$B120,MAP!X$93:X$146)</f>
        <v>0</v>
      </c>
      <c r="AF120" s="51">
        <f>SUMIF(MAP!$E$93:$E$146,$B120,MAP!Y$93:Y$146)</f>
        <v>0</v>
      </c>
      <c r="AG120" s="51">
        <f>SUMIF(MAP!$E$93:$E$146,$B120,MAP!Z$93:Z$146)</f>
        <v>0</v>
      </c>
      <c r="AH120" s="51">
        <f>SUMIF(MAP!$E$93:$E$146,$B120,MAP!AA$93:AA$146)</f>
        <v>0</v>
      </c>
      <c r="AI120" s="51">
        <f>SUMIF(MAP!$E$93:$E$146,$B120,MAP!AB$93:AB$146)</f>
        <v>0</v>
      </c>
      <c r="AJ120" s="51">
        <f>SUMIF(MAP!$E$93:$E$146,$B120,MAP!AC$93:AC$146)</f>
        <v>0</v>
      </c>
      <c r="AK120" s="51">
        <f>SUMIF(MAP!$E$93:$E$146,$B120,MAP!AD$93:AD$146)</f>
        <v>0</v>
      </c>
      <c r="AL120" s="51">
        <f>SUMIF(MAP!$E$93:$E$146,$B120,MAP!AE$93:AE$146)</f>
        <v>0</v>
      </c>
      <c r="AM120" s="51">
        <f>SUMIF(MAP!$E$93:$E$146,$B120,MAP!AF$93:AF$146)</f>
        <v>0</v>
      </c>
      <c r="AN120" s="51">
        <f>SUMIF(MAP!$E$93:$E$146,$B120,MAP!AG$93:AG$146)</f>
        <v>0</v>
      </c>
      <c r="AO120" s="51">
        <f>SUMIF(MAP!$E$93:$E$146,$B120,MAP!AH$93:AH$146)</f>
        <v>0</v>
      </c>
      <c r="AP120" s="51">
        <f>SUMIF(MAP!$E$93:$E$146,$B120,MAP!AI$93:AI$146)</f>
        <v>0</v>
      </c>
      <c r="AQ120" s="51">
        <f>SUMIF(MAP!$E$93:$E$146,$B120,MAP!AJ$93:AJ$146)</f>
        <v>0</v>
      </c>
      <c r="AR120" s="51">
        <f>SUMIF(MAP!$E$93:$E$146,$B120,MAP!AK$93:AK$146)</f>
        <v>0</v>
      </c>
      <c r="AS120" s="51">
        <f>SUMIF(MAP!$E$93:$E$146,$B120,MAP!AL$93:AL$146)</f>
        <v>0</v>
      </c>
      <c r="AT120" s="51">
        <f>SUMIF(MAP!$E$93:$E$146,$B120,MAP!AM$93:AM$146)</f>
        <v>0</v>
      </c>
      <c r="AU120" s="51">
        <f>SUMIF(MAP!$E$93:$E$146,$B120,MAP!AN$93:AN$146)</f>
        <v>0</v>
      </c>
      <c r="AV120" s="51">
        <f>SUMIF(MAP!$E$93:$E$146,$B120,MAP!AO$93:AO$146)</f>
        <v>0</v>
      </c>
      <c r="AW120" s="51">
        <f>SUMIF(MAP!$E$93:$E$146,$B120,MAP!AP$93:AP$146)</f>
        <v>0</v>
      </c>
      <c r="AX120" s="51">
        <f>SUMIF(MAP!$E$93:$E$146,$B120,MAP!AQ$93:AQ$146)</f>
        <v>0</v>
      </c>
      <c r="CE120" s="742"/>
      <c r="CF120" s="51">
        <f t="shared" si="17"/>
        <v>0</v>
      </c>
      <c r="CG120" s="51">
        <f t="shared" si="18"/>
        <v>0</v>
      </c>
      <c r="CH120" s="51">
        <f t="shared" si="19"/>
        <v>0</v>
      </c>
      <c r="CI120" s="51">
        <f t="shared" si="20"/>
        <v>0</v>
      </c>
      <c r="CJ120" s="51">
        <f t="shared" si="21"/>
        <v>0</v>
      </c>
      <c r="CK120" s="51">
        <f t="shared" si="22"/>
        <v>0</v>
      </c>
      <c r="CL120" s="51">
        <f t="shared" si="23"/>
        <v>0</v>
      </c>
      <c r="CM120" s="51">
        <f t="shared" si="24"/>
        <v>0</v>
      </c>
    </row>
    <row r="121" spans="1:112" hidden="1" x14ac:dyDescent="0.25">
      <c r="B121" s="51" t="s">
        <v>106</v>
      </c>
      <c r="C121" s="206" t="s">
        <v>105</v>
      </c>
      <c r="D121" s="51">
        <f>SUMIF(MAP!$E$93:$E$146,$B121,MAP!T$93:T$146)</f>
        <v>0</v>
      </c>
      <c r="F121" s="51">
        <f>SUMIF(MAP!$E$93:$E$146,$B121,MAP!N$93:N$146)</f>
        <v>0</v>
      </c>
      <c r="H121" s="247">
        <f>D121-TE!D97-TE!D122</f>
        <v>0</v>
      </c>
      <c r="J121" s="247">
        <f>F121-TE!L97-TE!L122</f>
        <v>0</v>
      </c>
      <c r="K121" s="206" t="s">
        <v>2042</v>
      </c>
      <c r="M121" s="727">
        <f>+M53</f>
        <v>0</v>
      </c>
      <c r="O121" s="727">
        <f>+O53</f>
        <v>0</v>
      </c>
      <c r="Q121" s="51">
        <f>SUMIF(MAP!$E$93:$E$146,$B121,MAP!U$93:U$146)</f>
        <v>0</v>
      </c>
      <c r="S121" s="51">
        <f>SUMIF(MAP!$E$93:$E$146,$B121,MAP!BD$93:BD$146)</f>
        <v>0</v>
      </c>
      <c r="U121" s="51">
        <f>SUMIF(MAP!$E$93:$E$146,$B121,MAP!N$93:N$146)</f>
        <v>0</v>
      </c>
      <c r="AA121" s="51">
        <f>SUMIF(MAP!$E$93:$E$146,$B121,MAP!T$93:T$146)</f>
        <v>0</v>
      </c>
      <c r="AD121" s="51">
        <f>SUMIF(MAP!$E$93:$E$146,$B121,MAP!W$93:W$146)</f>
        <v>0</v>
      </c>
      <c r="AE121" s="51">
        <f>SUMIF(MAP!$E$93:$E$146,$B121,MAP!X$93:X$146)</f>
        <v>0</v>
      </c>
      <c r="AF121" s="51">
        <f>SUMIF(MAP!$E$93:$E$146,$B121,MAP!Y$93:Y$146)</f>
        <v>0</v>
      </c>
      <c r="AG121" s="51">
        <f>SUMIF(MAP!$E$93:$E$146,$B121,MAP!Z$93:Z$146)</f>
        <v>0</v>
      </c>
      <c r="AH121" s="51">
        <f>SUMIF(MAP!$E$93:$E$146,$B121,MAP!AA$93:AA$146)</f>
        <v>0</v>
      </c>
      <c r="AI121" s="51">
        <f>SUMIF(MAP!$E$93:$E$146,$B121,MAP!AB$93:AB$146)</f>
        <v>0</v>
      </c>
      <c r="AJ121" s="51">
        <f>SUMIF(MAP!$E$93:$E$146,$B121,MAP!AC$93:AC$146)</f>
        <v>0</v>
      </c>
      <c r="AK121" s="51">
        <f>SUMIF(MAP!$E$93:$E$146,$B121,MAP!AD$93:AD$146)</f>
        <v>0</v>
      </c>
      <c r="AL121" s="51">
        <f>SUMIF(MAP!$E$93:$E$146,$B121,MAP!AE$93:AE$146)</f>
        <v>0</v>
      </c>
      <c r="AM121" s="51">
        <f>SUMIF(MAP!$E$93:$E$146,$B121,MAP!AF$93:AF$146)</f>
        <v>0</v>
      </c>
      <c r="AN121" s="51">
        <f>SUMIF(MAP!$E$93:$E$146,$B121,MAP!AG$93:AG$146)</f>
        <v>0</v>
      </c>
      <c r="AO121" s="51">
        <f>SUMIF(MAP!$E$93:$E$146,$B121,MAP!AH$93:AH$146)</f>
        <v>0</v>
      </c>
      <c r="AP121" s="51">
        <f>SUMIF(MAP!$E$93:$E$146,$B121,MAP!AI$93:AI$146)</f>
        <v>0</v>
      </c>
      <c r="AQ121" s="51">
        <f>SUMIF(MAP!$E$93:$E$146,$B121,MAP!AJ$93:AJ$146)</f>
        <v>0</v>
      </c>
      <c r="AR121" s="51">
        <f>SUMIF(MAP!$E$93:$E$146,$B121,MAP!AK$93:AK$146)</f>
        <v>0</v>
      </c>
      <c r="AS121" s="51">
        <f>SUMIF(MAP!$E$93:$E$146,$B121,MAP!AL$93:AL$146)</f>
        <v>0</v>
      </c>
      <c r="AT121" s="51">
        <f>SUMIF(MAP!$E$93:$E$146,$B121,MAP!AM$93:AM$146)</f>
        <v>0</v>
      </c>
      <c r="AU121" s="51">
        <f>SUMIF(MAP!$E$93:$E$146,$B121,MAP!AN$93:AN$146)</f>
        <v>0</v>
      </c>
      <c r="AV121" s="51">
        <f>SUMIF(MAP!$E$93:$E$146,$B121,MAP!AO$93:AO$146)</f>
        <v>0</v>
      </c>
      <c r="AW121" s="51">
        <f>SUMIF(MAP!$E$93:$E$146,$B121,MAP!AP$93:AP$146)</f>
        <v>0</v>
      </c>
      <c r="AX121" s="51">
        <f>SUMIF(MAP!$E$93:$E$146,$B121,MAP!AQ$93:AQ$146)</f>
        <v>0</v>
      </c>
      <c r="CE121" s="742"/>
      <c r="CF121" s="51">
        <f t="shared" si="17"/>
        <v>0</v>
      </c>
      <c r="CG121" s="51">
        <f t="shared" si="18"/>
        <v>0</v>
      </c>
      <c r="CH121" s="51">
        <f t="shared" si="19"/>
        <v>0</v>
      </c>
      <c r="CI121" s="51">
        <f t="shared" si="20"/>
        <v>0</v>
      </c>
      <c r="CJ121" s="51">
        <f t="shared" si="21"/>
        <v>0</v>
      </c>
      <c r="CK121" s="51">
        <f t="shared" si="22"/>
        <v>0</v>
      </c>
      <c r="CL121" s="51">
        <f t="shared" si="23"/>
        <v>0</v>
      </c>
      <c r="CM121" s="51">
        <f t="shared" si="24"/>
        <v>0</v>
      </c>
    </row>
    <row r="122" spans="1:112" hidden="1" x14ac:dyDescent="0.25">
      <c r="B122" s="51" t="s">
        <v>2178</v>
      </c>
      <c r="D122" s="51">
        <f>SUMIF(MAP!$E$93:$E$146,$B122,MAP!T$93:T$146)</f>
        <v>0</v>
      </c>
      <c r="F122" s="51">
        <f>SUMIF(MAP!$E$93:$E$146,$B122,MAP!N$93:N$146)</f>
        <v>0</v>
      </c>
      <c r="H122" s="247"/>
      <c r="J122" s="247"/>
      <c r="M122" s="727">
        <f>+M54</f>
        <v>792951</v>
      </c>
      <c r="O122" s="727">
        <f>+O54</f>
        <v>792951</v>
      </c>
      <c r="Q122" s="51"/>
      <c r="S122" s="51"/>
      <c r="CE122" s="742"/>
    </row>
    <row r="123" spans="1:112" hidden="1" x14ac:dyDescent="0.25">
      <c r="B123" s="51" t="s">
        <v>759</v>
      </c>
      <c r="D123" s="51">
        <f>SUMIF(MAP!$E$93:$E$146,$B123,MAP!T$93:T$146)</f>
        <v>0</v>
      </c>
      <c r="F123" s="51">
        <f>SUMIF(MAP!$E$93:$E$146,$B123,MAP!N$93:N$146)</f>
        <v>0</v>
      </c>
      <c r="H123" s="247">
        <f>D123-TE!D127</f>
        <v>0</v>
      </c>
      <c r="J123" s="247">
        <f>F123-TE!L127</f>
        <v>0</v>
      </c>
      <c r="K123" s="206" t="s">
        <v>1379</v>
      </c>
      <c r="M123" s="727">
        <f>+M55</f>
        <v>0</v>
      </c>
      <c r="O123" s="727">
        <f>+O55</f>
        <v>0</v>
      </c>
      <c r="Q123" s="51">
        <f>SUMIF(MAP!$E$93:$E$146,$B123,MAP!U$93:U$146)</f>
        <v>0</v>
      </c>
      <c r="S123" s="51">
        <f>SUMIF(MAP!$E$93:$E$146,$B123,MAP!BD$93:BD$146)</f>
        <v>0</v>
      </c>
      <c r="U123" s="51">
        <f>SUMIF(MAP!$E$93:$E$146,$B123,MAP!N$93:N$146)</f>
        <v>0</v>
      </c>
      <c r="AA123" s="51">
        <f>SUMIF(MAP!$E$93:$E$146,$B123,MAP!T$93:T$146)</f>
        <v>0</v>
      </c>
      <c r="AD123" s="51">
        <f>SUMIF(MAP!$E$93:$E$146,$B123,MAP!W$93:W$146)</f>
        <v>0</v>
      </c>
      <c r="AE123" s="51">
        <f>SUMIF(MAP!$E$93:$E$146,$B123,MAP!X$93:X$146)</f>
        <v>0</v>
      </c>
      <c r="AF123" s="51">
        <f>SUMIF(MAP!$E$93:$E$146,$B123,MAP!Y$93:Y$146)</f>
        <v>0</v>
      </c>
      <c r="AG123" s="51">
        <f>SUMIF(MAP!$E$93:$E$146,$B123,MAP!Z$93:Z$146)</f>
        <v>0</v>
      </c>
      <c r="AH123" s="51">
        <f>SUMIF(MAP!$E$93:$E$146,$B123,MAP!AA$93:AA$146)</f>
        <v>0</v>
      </c>
      <c r="AI123" s="51">
        <f>SUMIF(MAP!$E$93:$E$146,$B123,MAP!AB$93:AB$146)</f>
        <v>0</v>
      </c>
      <c r="AJ123" s="51">
        <f>SUMIF(MAP!$E$93:$E$146,$B123,MAP!AC$93:AC$146)</f>
        <v>0</v>
      </c>
      <c r="AK123" s="51">
        <f>SUMIF(MAP!$E$93:$E$146,$B123,MAP!AD$93:AD$146)</f>
        <v>0</v>
      </c>
      <c r="AL123" s="51">
        <f>SUMIF(MAP!$E$93:$E$146,$B123,MAP!AE$93:AE$146)</f>
        <v>0</v>
      </c>
      <c r="AM123" s="51">
        <f>SUMIF(MAP!$E$93:$E$146,$B123,MAP!AF$93:AF$146)</f>
        <v>0</v>
      </c>
      <c r="AN123" s="51">
        <f>SUMIF(MAP!$E$93:$E$146,$B123,MAP!AG$93:AG$146)</f>
        <v>0</v>
      </c>
      <c r="AO123" s="51">
        <f>SUMIF(MAP!$E$93:$E$146,$B123,MAP!AH$93:AH$146)</f>
        <v>0</v>
      </c>
      <c r="AP123" s="51">
        <f>SUMIF(MAP!$E$93:$E$146,$B123,MAP!AI$93:AI$146)</f>
        <v>0</v>
      </c>
      <c r="AQ123" s="51">
        <f>SUMIF(MAP!$E$93:$E$146,$B123,MAP!AJ$93:AJ$146)</f>
        <v>0</v>
      </c>
      <c r="AR123" s="51">
        <f>SUMIF(MAP!$E$93:$E$146,$B123,MAP!AK$93:AK$146)</f>
        <v>0</v>
      </c>
      <c r="AS123" s="51">
        <f>SUMIF(MAP!$E$93:$E$146,$B123,MAP!AL$93:AL$146)</f>
        <v>0</v>
      </c>
      <c r="AT123" s="51">
        <f>SUMIF(MAP!$E$93:$E$146,$B123,MAP!AM$93:AM$146)</f>
        <v>0</v>
      </c>
      <c r="AU123" s="51">
        <f>SUMIF(MAP!$E$93:$E$146,$B123,MAP!AN$93:AN$146)</f>
        <v>0</v>
      </c>
      <c r="AV123" s="51">
        <f>SUMIF(MAP!$E$93:$E$146,$B123,MAP!AO$93:AO$146)</f>
        <v>0</v>
      </c>
      <c r="AW123" s="51">
        <f>SUMIF(MAP!$E$93:$E$146,$B123,MAP!AP$93:AP$146)</f>
        <v>0</v>
      </c>
      <c r="AX123" s="51">
        <f>SUMIF(MAP!$E$93:$E$146,$B123,MAP!AQ$93:AQ$146)</f>
        <v>0</v>
      </c>
      <c r="CE123" s="742"/>
      <c r="CF123" s="51">
        <f t="shared" si="17"/>
        <v>0</v>
      </c>
      <c r="CG123" s="51">
        <f t="shared" si="18"/>
        <v>0</v>
      </c>
      <c r="CH123" s="51">
        <f t="shared" si="19"/>
        <v>0</v>
      </c>
      <c r="CI123" s="51">
        <f t="shared" si="20"/>
        <v>0</v>
      </c>
      <c r="CJ123" s="51">
        <f t="shared" si="21"/>
        <v>0</v>
      </c>
      <c r="CK123" s="51">
        <f t="shared" si="22"/>
        <v>0</v>
      </c>
      <c r="CL123" s="51">
        <f t="shared" si="23"/>
        <v>0</v>
      </c>
      <c r="CM123" s="51">
        <f t="shared" si="24"/>
        <v>0</v>
      </c>
    </row>
    <row r="124" spans="1:112" s="189" customFormat="1" ht="25.5" hidden="1" x14ac:dyDescent="0.25">
      <c r="A124" s="728"/>
      <c r="B124" s="733" t="s">
        <v>2367</v>
      </c>
      <c r="C124" s="201"/>
      <c r="D124" s="51">
        <f>SUMIF(MAP!$E$93:$E$146,$B124,MAP!T$93:T$146)</f>
        <v>0</v>
      </c>
      <c r="E124" s="201"/>
      <c r="F124" s="51">
        <f>SUMIF(MAP!$E$93:$E$146,$B124,MAP!N$93:N$146)</f>
        <v>0</v>
      </c>
      <c r="G124" s="201"/>
      <c r="H124" s="201"/>
      <c r="I124" s="201"/>
      <c r="J124" s="201"/>
      <c r="K124" s="201"/>
      <c r="L124" s="201"/>
      <c r="M124" s="727">
        <f>+M56</f>
        <v>-298</v>
      </c>
      <c r="N124" s="201"/>
      <c r="O124" s="727">
        <f>+O56</f>
        <v>-8477</v>
      </c>
      <c r="P124" s="201"/>
      <c r="Q124" s="51">
        <f>SUMIF(MAP!$E$93:$E$146,$B124,MAP!U$93:U$146)</f>
        <v>0</v>
      </c>
      <c r="R124" s="201"/>
      <c r="S124" s="51">
        <f>SUMIF(MAP!$E$93:$E$146,$B124,MAP!BD$93:BD$146)</f>
        <v>0</v>
      </c>
      <c r="T124" s="201"/>
      <c r="U124" s="51">
        <f>SUMIF(MAP!$E$93:$E$146,$B124,MAP!N$93:N$146)</f>
        <v>0</v>
      </c>
      <c r="AA124" s="51">
        <f>SUMIF(MAP!$E$93:$E$146,$B124,MAP!T$93:T$146)</f>
        <v>0</v>
      </c>
      <c r="AD124" s="51">
        <f>SUMIF(MAP!$E$93:$E$146,$B124,MAP!W$93:W$146)</f>
        <v>0</v>
      </c>
      <c r="AE124" s="51">
        <f>SUMIF(MAP!$E$93:$E$146,$B124,MAP!X$93:X$146)</f>
        <v>0</v>
      </c>
      <c r="AF124" s="51">
        <f>SUMIF(MAP!$E$93:$E$146,$B124,MAP!Y$93:Y$146)</f>
        <v>0</v>
      </c>
      <c r="AG124" s="51">
        <f>SUMIF(MAP!$E$93:$E$146,$B124,MAP!Z$93:Z$146)</f>
        <v>0</v>
      </c>
      <c r="AH124" s="51">
        <f>SUMIF(MAP!$E$93:$E$146,$B124,MAP!AA$93:AA$146)</f>
        <v>0</v>
      </c>
      <c r="AI124" s="51">
        <f>SUMIF(MAP!$E$93:$E$146,$B124,MAP!AB$93:AB$146)</f>
        <v>0</v>
      </c>
      <c r="AJ124" s="51">
        <f>SUMIF(MAP!$E$93:$E$146,$B124,MAP!AC$93:AC$146)</f>
        <v>0</v>
      </c>
      <c r="AK124" s="51">
        <f>SUMIF(MAP!$E$93:$E$146,$B124,MAP!AD$93:AD$146)</f>
        <v>0</v>
      </c>
      <c r="AL124" s="51">
        <f>SUMIF(MAP!$E$93:$E$146,$B124,MAP!AE$93:AE$146)</f>
        <v>0</v>
      </c>
      <c r="AM124" s="51">
        <f>SUMIF(MAP!$E$93:$E$146,$B124,MAP!AF$93:AF$146)</f>
        <v>0</v>
      </c>
      <c r="AN124" s="51">
        <f>SUMIF(MAP!$E$93:$E$146,$B124,MAP!AG$93:AG$146)</f>
        <v>0</v>
      </c>
      <c r="AO124" s="51">
        <f>SUMIF(MAP!$E$93:$E$146,$B124,MAP!AH$93:AH$146)</f>
        <v>0</v>
      </c>
      <c r="AP124" s="51">
        <f>SUMIF(MAP!$E$93:$E$146,$B124,MAP!AI$93:AI$146)</f>
        <v>0</v>
      </c>
      <c r="AQ124" s="51">
        <f>SUMIF(MAP!$E$93:$E$146,$B124,MAP!AJ$93:AJ$146)</f>
        <v>0</v>
      </c>
      <c r="AR124" s="51">
        <f>SUMIF(MAP!$E$93:$E$146,$B124,MAP!AK$93:AK$146)</f>
        <v>0</v>
      </c>
      <c r="AS124" s="51">
        <f>SUMIF(MAP!$E$93:$E$146,$B124,MAP!AL$93:AL$146)</f>
        <v>0</v>
      </c>
      <c r="AT124" s="51">
        <f>SUMIF(MAP!$E$93:$E$146,$B124,MAP!AM$93:AM$146)</f>
        <v>0</v>
      </c>
      <c r="AU124" s="51">
        <f>SUMIF(MAP!$E$93:$E$146,$B124,MAP!AN$93:AN$146)</f>
        <v>0</v>
      </c>
      <c r="AV124" s="51">
        <f>SUMIF(MAP!$E$93:$E$146,$B124,MAP!AO$93:AO$146)</f>
        <v>0</v>
      </c>
      <c r="AW124" s="51">
        <f>SUMIF(MAP!$E$93:$E$146,$B124,MAP!AP$93:AP$146)</f>
        <v>0</v>
      </c>
      <c r="AX124" s="51">
        <f>SUMIF(MAP!$E$93:$E$146,$B124,MAP!AQ$93:AQ$146)</f>
        <v>0</v>
      </c>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E124" s="742"/>
      <c r="CF124" s="189">
        <f t="shared" si="17"/>
        <v>0</v>
      </c>
      <c r="CG124" s="189">
        <f t="shared" si="18"/>
        <v>0</v>
      </c>
      <c r="CH124" s="189">
        <f t="shared" si="19"/>
        <v>0</v>
      </c>
      <c r="CI124" s="189">
        <f t="shared" si="20"/>
        <v>0</v>
      </c>
      <c r="CJ124" s="189">
        <f t="shared" si="21"/>
        <v>0</v>
      </c>
      <c r="CK124" s="51">
        <f t="shared" si="22"/>
        <v>0</v>
      </c>
      <c r="CL124" s="189">
        <f t="shared" si="23"/>
        <v>0</v>
      </c>
      <c r="CM124" s="189">
        <f t="shared" si="24"/>
        <v>0</v>
      </c>
      <c r="CN124" s="51"/>
      <c r="CO124" s="51"/>
      <c r="CP124" s="51"/>
      <c r="CQ124" s="51"/>
      <c r="CR124" s="51"/>
      <c r="CS124" s="51"/>
      <c r="CT124" s="51"/>
      <c r="CU124" s="51"/>
      <c r="CV124" s="51"/>
      <c r="CW124" s="51"/>
      <c r="CX124" s="51"/>
      <c r="CY124" s="51"/>
      <c r="CZ124" s="51"/>
      <c r="DA124" s="51"/>
      <c r="DB124" s="51"/>
      <c r="DC124" s="51"/>
      <c r="DD124" s="51"/>
      <c r="DE124" s="51"/>
      <c r="DF124" s="51"/>
      <c r="DG124" s="51"/>
      <c r="DH124" s="51"/>
    </row>
    <row r="125" spans="1:112" hidden="1" x14ac:dyDescent="0.25">
      <c r="B125" s="47" t="s">
        <v>107</v>
      </c>
      <c r="D125" s="214">
        <f>SUM(D120:D124)</f>
        <v>0</v>
      </c>
      <c r="F125" s="214">
        <f>SUM(F120:F124)</f>
        <v>0</v>
      </c>
      <c r="M125" s="214">
        <f>SUM(M120:M124)</f>
        <v>8929340</v>
      </c>
      <c r="O125" s="214">
        <f>SUM(O120:O124)</f>
        <v>8921161</v>
      </c>
      <c r="Q125" s="214">
        <f>SUM(Q120:Q124)</f>
        <v>0</v>
      </c>
      <c r="S125" s="214">
        <f>SUM(S120:S124)</f>
        <v>0</v>
      </c>
      <c r="U125" s="214">
        <f>SUM(U120:U124)</f>
        <v>0</v>
      </c>
      <c r="AA125" s="214">
        <f>SUM(AA120:AA124)</f>
        <v>0</v>
      </c>
      <c r="AD125" s="214">
        <f t="shared" ref="AD125:AX125" si="38">SUM(AD120:AD124)</f>
        <v>0</v>
      </c>
      <c r="AE125" s="214">
        <f t="shared" si="38"/>
        <v>0</v>
      </c>
      <c r="AF125" s="214">
        <f t="shared" si="38"/>
        <v>0</v>
      </c>
      <c r="AG125" s="214">
        <f t="shared" si="38"/>
        <v>0</v>
      </c>
      <c r="AH125" s="214">
        <f t="shared" si="38"/>
        <v>0</v>
      </c>
      <c r="AI125" s="214">
        <f t="shared" si="38"/>
        <v>0</v>
      </c>
      <c r="AJ125" s="214">
        <f t="shared" si="38"/>
        <v>0</v>
      </c>
      <c r="AK125" s="214">
        <f t="shared" si="38"/>
        <v>0</v>
      </c>
      <c r="AL125" s="214">
        <f t="shared" si="38"/>
        <v>0</v>
      </c>
      <c r="AM125" s="214">
        <f t="shared" si="38"/>
        <v>0</v>
      </c>
      <c r="AN125" s="214">
        <f t="shared" si="38"/>
        <v>0</v>
      </c>
      <c r="AO125" s="214">
        <f t="shared" si="38"/>
        <v>0</v>
      </c>
      <c r="AP125" s="214">
        <f t="shared" si="38"/>
        <v>0</v>
      </c>
      <c r="AQ125" s="214">
        <f t="shared" si="38"/>
        <v>0</v>
      </c>
      <c r="AR125" s="214">
        <f t="shared" si="38"/>
        <v>0</v>
      </c>
      <c r="AS125" s="214">
        <f t="shared" si="38"/>
        <v>0</v>
      </c>
      <c r="AT125" s="214">
        <f t="shared" si="38"/>
        <v>0</v>
      </c>
      <c r="AU125" s="214">
        <f t="shared" si="38"/>
        <v>0</v>
      </c>
      <c r="AV125" s="214">
        <f t="shared" si="38"/>
        <v>0</v>
      </c>
      <c r="AW125" s="214">
        <f t="shared" si="38"/>
        <v>0</v>
      </c>
      <c r="AX125" s="214">
        <f t="shared" si="38"/>
        <v>0</v>
      </c>
      <c r="CE125" s="793"/>
      <c r="CF125" s="51">
        <f t="shared" si="17"/>
        <v>0</v>
      </c>
      <c r="CG125" s="51">
        <f t="shared" si="18"/>
        <v>0</v>
      </c>
      <c r="CH125" s="51">
        <f t="shared" si="19"/>
        <v>0</v>
      </c>
      <c r="CI125" s="51">
        <f t="shared" si="20"/>
        <v>0</v>
      </c>
      <c r="CJ125" s="51">
        <f t="shared" si="21"/>
        <v>0</v>
      </c>
      <c r="CK125" s="214">
        <f t="shared" si="22"/>
        <v>0</v>
      </c>
      <c r="CL125" s="51">
        <f t="shared" si="23"/>
        <v>0</v>
      </c>
      <c r="CM125" s="51">
        <f t="shared" si="24"/>
        <v>0</v>
      </c>
    </row>
    <row r="126" spans="1:112" hidden="1" x14ac:dyDescent="0.25">
      <c r="D126" s="51"/>
      <c r="F126" s="51"/>
      <c r="M126" s="51"/>
      <c r="O126" s="51"/>
      <c r="Q126" s="51"/>
      <c r="S126" s="51"/>
      <c r="CE126" s="742"/>
      <c r="CF126" s="51">
        <f t="shared" si="17"/>
        <v>0</v>
      </c>
      <c r="CG126" s="51">
        <f t="shared" si="18"/>
        <v>0</v>
      </c>
      <c r="CH126" s="51">
        <f t="shared" si="19"/>
        <v>0</v>
      </c>
      <c r="CI126" s="51">
        <f t="shared" si="20"/>
        <v>0</v>
      </c>
      <c r="CJ126" s="51">
        <f t="shared" si="21"/>
        <v>0</v>
      </c>
      <c r="CK126" s="51">
        <f t="shared" si="22"/>
        <v>0</v>
      </c>
      <c r="CL126" s="51">
        <f t="shared" si="23"/>
        <v>0</v>
      </c>
      <c r="CM126" s="51">
        <f t="shared" si="24"/>
        <v>0</v>
      </c>
    </row>
    <row r="127" spans="1:112" hidden="1" x14ac:dyDescent="0.25">
      <c r="D127" s="51"/>
      <c r="F127" s="51"/>
      <c r="M127" s="51"/>
      <c r="O127" s="51"/>
      <c r="Q127" s="51"/>
      <c r="S127" s="51"/>
      <c r="CE127" s="742"/>
      <c r="CF127" s="51">
        <f t="shared" si="17"/>
        <v>0</v>
      </c>
      <c r="CG127" s="51">
        <f t="shared" si="18"/>
        <v>0</v>
      </c>
      <c r="CH127" s="51">
        <f t="shared" si="19"/>
        <v>0</v>
      </c>
      <c r="CI127" s="51">
        <f t="shared" si="20"/>
        <v>0</v>
      </c>
      <c r="CJ127" s="51">
        <f t="shared" si="21"/>
        <v>0</v>
      </c>
      <c r="CK127" s="51">
        <f t="shared" si="22"/>
        <v>0</v>
      </c>
      <c r="CL127" s="51">
        <f t="shared" si="23"/>
        <v>0</v>
      </c>
      <c r="CM127" s="51">
        <f t="shared" si="24"/>
        <v>0</v>
      </c>
    </row>
    <row r="128" spans="1:112" ht="38.25" hidden="1" x14ac:dyDescent="0.25">
      <c r="B128" s="728" t="s">
        <v>551</v>
      </c>
      <c r="D128" s="734">
        <f>D101+D116+D125</f>
        <v>-22354</v>
      </c>
      <c r="F128" s="734">
        <f>F101+F116+F125</f>
        <v>-22354</v>
      </c>
      <c r="M128" s="734">
        <f>M101+M116+M125</f>
        <v>-35498</v>
      </c>
      <c r="O128" s="734">
        <f>O101+O116+O125</f>
        <v>-46682</v>
      </c>
      <c r="Q128" s="734">
        <f>Q101+Q116+Q125</f>
        <v>0</v>
      </c>
      <c r="S128" s="734">
        <f>S101+S116+S125</f>
        <v>0</v>
      </c>
      <c r="U128" s="734">
        <f>U101+U116+U125</f>
        <v>-22354</v>
      </c>
      <c r="AA128" s="734">
        <f>AA101+AA116+AA125</f>
        <v>-22354</v>
      </c>
      <c r="AD128" s="734">
        <f t="shared" ref="AD128:AX128" si="39">AD101+AD116+AD125</f>
        <v>-22354</v>
      </c>
      <c r="AE128" s="734">
        <f t="shared" si="39"/>
        <v>0</v>
      </c>
      <c r="AF128" s="734">
        <f t="shared" si="39"/>
        <v>0</v>
      </c>
      <c r="AG128" s="734">
        <f t="shared" si="39"/>
        <v>0</v>
      </c>
      <c r="AH128" s="734">
        <f t="shared" si="39"/>
        <v>0</v>
      </c>
      <c r="AI128" s="734">
        <f t="shared" si="39"/>
        <v>0</v>
      </c>
      <c r="AJ128" s="734">
        <f t="shared" si="39"/>
        <v>0</v>
      </c>
      <c r="AK128" s="734">
        <f t="shared" si="39"/>
        <v>0</v>
      </c>
      <c r="AL128" s="734">
        <f t="shared" si="39"/>
        <v>0</v>
      </c>
      <c r="AM128" s="734">
        <f t="shared" si="39"/>
        <v>0</v>
      </c>
      <c r="AN128" s="734">
        <f t="shared" si="39"/>
        <v>0</v>
      </c>
      <c r="AO128" s="734">
        <f t="shared" si="39"/>
        <v>0</v>
      </c>
      <c r="AP128" s="734">
        <f t="shared" si="39"/>
        <v>0</v>
      </c>
      <c r="AQ128" s="734">
        <f t="shared" si="39"/>
        <v>0</v>
      </c>
      <c r="AR128" s="734">
        <f t="shared" si="39"/>
        <v>0</v>
      </c>
      <c r="AS128" s="734">
        <f t="shared" si="39"/>
        <v>0</v>
      </c>
      <c r="AT128" s="734">
        <f t="shared" si="39"/>
        <v>0</v>
      </c>
      <c r="AU128" s="734">
        <f t="shared" si="39"/>
        <v>0</v>
      </c>
      <c r="AV128" s="734">
        <f t="shared" si="39"/>
        <v>0</v>
      </c>
      <c r="AW128" s="734">
        <f t="shared" si="39"/>
        <v>0</v>
      </c>
      <c r="AX128" s="734">
        <f t="shared" si="39"/>
        <v>0</v>
      </c>
      <c r="CE128" s="795"/>
      <c r="CF128" s="51">
        <f t="shared" si="17"/>
        <v>0</v>
      </c>
      <c r="CG128" s="51">
        <f t="shared" si="18"/>
        <v>0</v>
      </c>
      <c r="CH128" s="51">
        <f t="shared" si="19"/>
        <v>0</v>
      </c>
      <c r="CI128" s="51">
        <f t="shared" si="20"/>
        <v>0</v>
      </c>
      <c r="CJ128" s="51">
        <f t="shared" si="21"/>
        <v>0</v>
      </c>
      <c r="CK128" s="734">
        <f t="shared" si="22"/>
        <v>-22354</v>
      </c>
      <c r="CL128" s="51">
        <f t="shared" si="23"/>
        <v>0</v>
      </c>
      <c r="CM128" s="51">
        <f t="shared" si="24"/>
        <v>0</v>
      </c>
    </row>
    <row r="129" spans="2:91" hidden="1" x14ac:dyDescent="0.25">
      <c r="B129" s="728"/>
      <c r="D129" s="47"/>
      <c r="F129" s="47"/>
      <c r="M129" s="47"/>
      <c r="O129" s="47"/>
      <c r="Q129" s="47"/>
      <c r="S129" s="47"/>
      <c r="U129" s="47"/>
      <c r="AA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CE129" s="794"/>
      <c r="CF129" s="51">
        <f t="shared" si="17"/>
        <v>0</v>
      </c>
      <c r="CG129" s="51">
        <f t="shared" si="18"/>
        <v>0</v>
      </c>
      <c r="CH129" s="51">
        <f t="shared" si="19"/>
        <v>0</v>
      </c>
      <c r="CI129" s="51">
        <f t="shared" si="20"/>
        <v>0</v>
      </c>
      <c r="CJ129" s="51">
        <f t="shared" si="21"/>
        <v>0</v>
      </c>
      <c r="CK129" s="47">
        <f t="shared" si="22"/>
        <v>0</v>
      </c>
      <c r="CL129" s="51">
        <f t="shared" si="23"/>
        <v>0</v>
      </c>
      <c r="CM129" s="51">
        <f t="shared" si="24"/>
        <v>0</v>
      </c>
    </row>
    <row r="130" spans="2:91" ht="25.5" hidden="1" x14ac:dyDescent="0.25">
      <c r="B130" s="189" t="s">
        <v>276</v>
      </c>
      <c r="D130" s="51"/>
      <c r="F130" s="51"/>
      <c r="M130" s="51"/>
      <c r="O130" s="51"/>
      <c r="Q130" s="51"/>
      <c r="S130" s="51"/>
      <c r="CE130" s="742"/>
      <c r="CF130" s="51">
        <f t="shared" si="17"/>
        <v>0</v>
      </c>
      <c r="CG130" s="51">
        <f t="shared" si="18"/>
        <v>0</v>
      </c>
      <c r="CH130" s="51">
        <f t="shared" si="19"/>
        <v>0</v>
      </c>
      <c r="CI130" s="51">
        <f t="shared" si="20"/>
        <v>0</v>
      </c>
      <c r="CJ130" s="51">
        <f t="shared" si="21"/>
        <v>0</v>
      </c>
      <c r="CK130" s="51">
        <f t="shared" si="22"/>
        <v>0</v>
      </c>
      <c r="CL130" s="51">
        <f t="shared" si="23"/>
        <v>0</v>
      </c>
      <c r="CM130" s="51">
        <f t="shared" si="24"/>
        <v>0</v>
      </c>
    </row>
    <row r="131" spans="2:91" hidden="1" x14ac:dyDescent="0.25">
      <c r="B131" s="51" t="s">
        <v>108</v>
      </c>
      <c r="D131" s="51">
        <f>SUMIF(MAP!$E$93:$E$146,$B131,MAP!T$93:T$146)</f>
        <v>0</v>
      </c>
      <c r="F131" s="51">
        <f>SUMIF(MAP!$E$93:$E$146,$B131,MAP!N$93:N$146)</f>
        <v>0</v>
      </c>
      <c r="M131" s="727">
        <f>+M63</f>
        <v>-173</v>
      </c>
      <c r="O131" s="727">
        <f>+O63</f>
        <v>-173</v>
      </c>
      <c r="Q131" s="51">
        <f>SUMIF(MAP!$E$93:$E$146,$B131,MAP!U$93:U$146)</f>
        <v>0</v>
      </c>
      <c r="S131" s="51">
        <f>SUMIF(MAP!$E$93:$E$146,$B131,MAP!BD$93:BD$146)</f>
        <v>0</v>
      </c>
      <c r="U131" s="51">
        <f>SUMIF(MAP!$E$93:$E$146,$B131,MAP!N$93:N$146)</f>
        <v>0</v>
      </c>
      <c r="AA131" s="51">
        <f>SUMIF(MAP!$E$93:$E$146,$B131,MAP!T$93:T$146)</f>
        <v>0</v>
      </c>
      <c r="AD131" s="51">
        <f>SUMIF(MAP!$E$93:$E$146,$B131,MAP!W$93:W$146)</f>
        <v>0</v>
      </c>
      <c r="AE131" s="51">
        <f>SUMIF(MAP!$E$93:$E$146,$B131,MAP!X$93:X$146)</f>
        <v>0</v>
      </c>
      <c r="AF131" s="51">
        <f>SUMIF(MAP!$E$93:$E$146,$B131,MAP!Y$93:Y$146)</f>
        <v>0</v>
      </c>
      <c r="AG131" s="51">
        <f>SUMIF(MAP!$E$93:$E$146,$B131,MAP!Z$93:Z$146)</f>
        <v>0</v>
      </c>
      <c r="AH131" s="51">
        <f>SUMIF(MAP!$E$93:$E$146,$B131,MAP!AA$93:AA$146)</f>
        <v>0</v>
      </c>
      <c r="AI131" s="51">
        <f>SUMIF(MAP!$E$93:$E$146,$B131,MAP!AB$93:AB$146)</f>
        <v>0</v>
      </c>
      <c r="AJ131" s="51">
        <f>SUMIF(MAP!$E$93:$E$146,$B131,MAP!AC$93:AC$146)</f>
        <v>0</v>
      </c>
      <c r="AK131" s="51">
        <f>SUMIF(MAP!$E$93:$E$146,$B131,MAP!AD$93:AD$146)</f>
        <v>0</v>
      </c>
      <c r="AL131" s="51">
        <f>SUMIF(MAP!$E$93:$E$146,$B131,MAP!AE$93:AE$146)</f>
        <v>0</v>
      </c>
      <c r="AM131" s="51">
        <f>SUMIF(MAP!$E$93:$E$146,$B131,MAP!AF$93:AF$146)</f>
        <v>0</v>
      </c>
      <c r="AN131" s="51">
        <f>SUMIF(MAP!$E$93:$E$146,$B131,MAP!AG$93:AG$146)</f>
        <v>0</v>
      </c>
      <c r="AO131" s="51">
        <f>SUMIF(MAP!$E$93:$E$146,$B131,MAP!AH$93:AH$146)</f>
        <v>0</v>
      </c>
      <c r="AP131" s="51">
        <f>SUMIF(MAP!$E$93:$E$146,$B131,MAP!AI$93:AI$146)</f>
        <v>0</v>
      </c>
      <c r="AQ131" s="51">
        <f>SUMIF(MAP!$E$93:$E$146,$B131,MAP!AJ$93:AJ$146)</f>
        <v>0</v>
      </c>
      <c r="AR131" s="51">
        <f>SUMIF(MAP!$E$93:$E$146,$B131,MAP!AK$93:AK$146)</f>
        <v>0</v>
      </c>
      <c r="AS131" s="51">
        <f>SUMIF(MAP!$E$93:$E$146,$B131,MAP!AL$93:AL$146)</f>
        <v>0</v>
      </c>
      <c r="AT131" s="51">
        <f>SUMIF(MAP!$E$93:$E$146,$B131,MAP!AM$93:AM$146)</f>
        <v>0</v>
      </c>
      <c r="AU131" s="51">
        <f>SUMIF(MAP!$E$93:$E$146,$B131,MAP!AN$93:AN$146)</f>
        <v>0</v>
      </c>
      <c r="AV131" s="51">
        <f>SUMIF(MAP!$E$93:$E$146,$B131,MAP!AO$93:AO$146)</f>
        <v>0</v>
      </c>
      <c r="AW131" s="51">
        <f>SUMIF(MAP!$E$93:$E$146,$B131,MAP!AP$93:AP$146)</f>
        <v>0</v>
      </c>
      <c r="AX131" s="51">
        <f>SUMIF(MAP!$E$93:$E$146,$B131,MAP!AQ$93:AQ$146)</f>
        <v>0</v>
      </c>
      <c r="CE131" s="742"/>
      <c r="CF131" s="51">
        <f t="shared" si="17"/>
        <v>0</v>
      </c>
      <c r="CG131" s="51">
        <f t="shared" si="18"/>
        <v>0</v>
      </c>
      <c r="CH131" s="51">
        <f t="shared" si="19"/>
        <v>0</v>
      </c>
      <c r="CI131" s="51">
        <f t="shared" si="20"/>
        <v>0</v>
      </c>
      <c r="CJ131" s="51">
        <f t="shared" si="21"/>
        <v>0</v>
      </c>
      <c r="CK131" s="51">
        <f t="shared" si="22"/>
        <v>0</v>
      </c>
      <c r="CL131" s="51">
        <f t="shared" si="23"/>
        <v>0</v>
      </c>
      <c r="CM131" s="51">
        <f t="shared" si="24"/>
        <v>0</v>
      </c>
    </row>
    <row r="132" spans="2:91" ht="38.25" hidden="1" x14ac:dyDescent="0.25">
      <c r="B132" s="728" t="s">
        <v>552</v>
      </c>
      <c r="D132" s="124">
        <f>D128+D131</f>
        <v>-22354</v>
      </c>
      <c r="F132" s="124">
        <f>F128+F131</f>
        <v>-22354</v>
      </c>
      <c r="H132" s="247">
        <f>D132-'Notes 10 &amp; 11'!C95</f>
        <v>-22354</v>
      </c>
      <c r="J132" s="247">
        <f>F132-'Notes 10 &amp; 11'!E95</f>
        <v>-22354</v>
      </c>
      <c r="M132" s="124">
        <f>M128+M131</f>
        <v>-35671</v>
      </c>
      <c r="O132" s="124">
        <f>O128+O131</f>
        <v>-46855</v>
      </c>
      <c r="Q132" s="124">
        <f>Q128+Q131</f>
        <v>0</v>
      </c>
      <c r="S132" s="124">
        <f>S128+S131</f>
        <v>0</v>
      </c>
      <c r="U132" s="124">
        <f>U128+U131</f>
        <v>-22354</v>
      </c>
      <c r="AA132" s="124">
        <f>AA128+AA131</f>
        <v>-22354</v>
      </c>
      <c r="AD132" s="124">
        <f t="shared" ref="AD132:AX132" si="40">AD128+AD131</f>
        <v>-22354</v>
      </c>
      <c r="AE132" s="124">
        <f t="shared" si="40"/>
        <v>0</v>
      </c>
      <c r="AF132" s="124">
        <f t="shared" si="40"/>
        <v>0</v>
      </c>
      <c r="AG132" s="124">
        <f t="shared" si="40"/>
        <v>0</v>
      </c>
      <c r="AH132" s="124">
        <f t="shared" si="40"/>
        <v>0</v>
      </c>
      <c r="AI132" s="124">
        <f t="shared" si="40"/>
        <v>0</v>
      </c>
      <c r="AJ132" s="124">
        <f t="shared" si="40"/>
        <v>0</v>
      </c>
      <c r="AK132" s="124">
        <f t="shared" si="40"/>
        <v>0</v>
      </c>
      <c r="AL132" s="124">
        <f t="shared" si="40"/>
        <v>0</v>
      </c>
      <c r="AM132" s="124">
        <f t="shared" si="40"/>
        <v>0</v>
      </c>
      <c r="AN132" s="124">
        <f t="shared" si="40"/>
        <v>0</v>
      </c>
      <c r="AO132" s="124">
        <f t="shared" si="40"/>
        <v>0</v>
      </c>
      <c r="AP132" s="124">
        <f t="shared" si="40"/>
        <v>0</v>
      </c>
      <c r="AQ132" s="124">
        <f t="shared" si="40"/>
        <v>0</v>
      </c>
      <c r="AR132" s="124">
        <f t="shared" si="40"/>
        <v>0</v>
      </c>
      <c r="AS132" s="124">
        <f t="shared" si="40"/>
        <v>0</v>
      </c>
      <c r="AT132" s="124">
        <f t="shared" si="40"/>
        <v>0</v>
      </c>
      <c r="AU132" s="124">
        <f t="shared" si="40"/>
        <v>0</v>
      </c>
      <c r="AV132" s="124">
        <f t="shared" si="40"/>
        <v>0</v>
      </c>
      <c r="AW132" s="124">
        <f t="shared" si="40"/>
        <v>0</v>
      </c>
      <c r="AX132" s="124">
        <f t="shared" si="40"/>
        <v>0</v>
      </c>
      <c r="CE132" s="796"/>
      <c r="CF132" s="51">
        <f t="shared" si="17"/>
        <v>0</v>
      </c>
      <c r="CG132" s="51">
        <f t="shared" si="18"/>
        <v>0</v>
      </c>
      <c r="CH132" s="51">
        <f t="shared" si="19"/>
        <v>0</v>
      </c>
      <c r="CI132" s="51">
        <f t="shared" si="20"/>
        <v>0</v>
      </c>
      <c r="CJ132" s="51">
        <f t="shared" si="21"/>
        <v>0</v>
      </c>
      <c r="CK132" s="124">
        <f t="shared" si="22"/>
        <v>-22354</v>
      </c>
      <c r="CL132" s="51">
        <f t="shared" si="23"/>
        <v>0</v>
      </c>
      <c r="CM132" s="51">
        <f t="shared" si="24"/>
        <v>0</v>
      </c>
    </row>
    <row r="133" spans="2:91" hidden="1" x14ac:dyDescent="0.25">
      <c r="D133" s="51"/>
      <c r="F133" s="51"/>
      <c r="M133" s="51"/>
      <c r="O133" s="51"/>
      <c r="Q133" s="51"/>
      <c r="S133" s="51"/>
      <c r="CE133" s="742"/>
      <c r="CF133" s="51">
        <f t="shared" si="17"/>
        <v>0</v>
      </c>
      <c r="CG133" s="51">
        <f t="shared" si="18"/>
        <v>0</v>
      </c>
      <c r="CH133" s="51">
        <f t="shared" si="19"/>
        <v>0</v>
      </c>
      <c r="CI133" s="51">
        <f t="shared" si="20"/>
        <v>0</v>
      </c>
      <c r="CJ133" s="51">
        <f t="shared" si="21"/>
        <v>0</v>
      </c>
      <c r="CK133" s="51">
        <f t="shared" si="22"/>
        <v>0</v>
      </c>
      <c r="CL133" s="51">
        <f t="shared" si="23"/>
        <v>0</v>
      </c>
      <c r="CM133" s="51">
        <f t="shared" si="24"/>
        <v>0</v>
      </c>
    </row>
    <row r="134" spans="2:91" hidden="1" x14ac:dyDescent="0.25">
      <c r="B134" s="47" t="s">
        <v>109</v>
      </c>
      <c r="C134" s="206">
        <v>12</v>
      </c>
      <c r="D134" s="124">
        <f>SUMIF(MAP!$E$93:$E$146,$B134,MAP!T$93:T$146)</f>
        <v>-7487</v>
      </c>
      <c r="F134" s="124">
        <f>SUMIF(MAP!$E$93:$E$146,$B134,MAP!N$93:N$146)</f>
        <v>-7487</v>
      </c>
      <c r="M134" s="124">
        <f>+M66</f>
        <v>64293</v>
      </c>
      <c r="O134" s="124">
        <f>+O66</f>
        <v>135250</v>
      </c>
      <c r="Q134" s="124">
        <f>SUMIF(MAP!$E$93:$E$146,$B134,MAP!U$93:U$146)</f>
        <v>0</v>
      </c>
      <c r="S134" s="124">
        <f>SUMIF(MAP!$E$93:$E$146,$B134,MAP!BD$93:BD$146)</f>
        <v>0</v>
      </c>
      <c r="U134" s="124">
        <f>SUMIF(MAP!$E$93:$E$146,$B134,MAP!N$93:N$146)</f>
        <v>-7487</v>
      </c>
      <c r="AA134" s="124">
        <f>SUMIF(MAP!$E$93:$E$146,$B134,MAP!T$93:T$146)</f>
        <v>-7487</v>
      </c>
      <c r="AD134" s="124">
        <f>SUMIF(MAP!$E$93:$E$146,$B134,MAP!W$93:W$146)</f>
        <v>-7487</v>
      </c>
      <c r="AE134" s="124">
        <f>SUMIF(MAP!$E$93:$E$146,$B134,MAP!X$93:X$146)</f>
        <v>0</v>
      </c>
      <c r="AF134" s="124">
        <f>SUMIF(MAP!$E$93:$E$146,$B134,MAP!Y$93:Y$146)</f>
        <v>0</v>
      </c>
      <c r="AG134" s="124">
        <f>SUMIF(MAP!$E$93:$E$146,$B134,MAP!Z$93:Z$146)</f>
        <v>0</v>
      </c>
      <c r="AH134" s="124">
        <f>SUMIF(MAP!$E$93:$E$146,$B134,MAP!AA$93:AA$146)</f>
        <v>0</v>
      </c>
      <c r="AI134" s="124">
        <f>SUMIF(MAP!$E$93:$E$146,$B134,MAP!AB$93:AB$146)</f>
        <v>0</v>
      </c>
      <c r="AJ134" s="124">
        <f>SUMIF(MAP!$E$93:$E$146,$B134,MAP!AC$93:AC$146)</f>
        <v>0</v>
      </c>
      <c r="AK134" s="124">
        <f>SUMIF(MAP!$E$93:$E$146,$B134,MAP!AD$93:AD$146)</f>
        <v>0</v>
      </c>
      <c r="AL134" s="124">
        <f>SUMIF(MAP!$E$93:$E$146,$B134,MAP!AE$93:AE$146)</f>
        <v>0</v>
      </c>
      <c r="AM134" s="124">
        <f>SUMIF(MAP!$E$93:$E$146,$B134,MAP!AF$93:AF$146)</f>
        <v>0</v>
      </c>
      <c r="AN134" s="124">
        <f>SUMIF(MAP!$E$93:$E$146,$B134,MAP!AG$93:AG$146)</f>
        <v>0</v>
      </c>
      <c r="AO134" s="124">
        <f>SUMIF(MAP!$E$93:$E$146,$B134,MAP!AH$93:AH$146)</f>
        <v>0</v>
      </c>
      <c r="AP134" s="124">
        <f>SUMIF(MAP!$E$93:$E$146,$B134,MAP!AI$93:AI$146)</f>
        <v>0</v>
      </c>
      <c r="AQ134" s="124">
        <f>SUMIF(MAP!$E$93:$E$146,$B134,MAP!AJ$93:AJ$146)</f>
        <v>0</v>
      </c>
      <c r="AR134" s="124">
        <f>SUMIF(MAP!$E$93:$E$146,$B134,MAP!AK$93:AK$146)</f>
        <v>0</v>
      </c>
      <c r="AS134" s="124">
        <f>SUMIF(MAP!$E$93:$E$146,$B134,MAP!AL$93:AL$146)</f>
        <v>0</v>
      </c>
      <c r="AT134" s="124">
        <f>SUMIF(MAP!$E$93:$E$146,$B134,MAP!AM$93:AM$146)</f>
        <v>0</v>
      </c>
      <c r="AU134" s="124">
        <f>SUMIF(MAP!$E$93:$E$146,$B134,MAP!AN$93:AN$146)</f>
        <v>0</v>
      </c>
      <c r="AV134" s="124">
        <f>SUMIF(MAP!$E$93:$E$146,$B134,MAP!AO$93:AO$146)</f>
        <v>0</v>
      </c>
      <c r="AW134" s="124">
        <f>SUMIF(MAP!$E$93:$E$146,$B134,MAP!AP$93:AP$146)</f>
        <v>0</v>
      </c>
      <c r="AX134" s="124">
        <f>SUMIF(MAP!$E$93:$E$146,$B134,MAP!AQ$93:AQ$146)</f>
        <v>0</v>
      </c>
      <c r="CE134" s="796"/>
      <c r="CF134" s="51">
        <f t="shared" si="17"/>
        <v>0</v>
      </c>
      <c r="CG134" s="51">
        <f t="shared" si="18"/>
        <v>0</v>
      </c>
      <c r="CH134" s="51">
        <f t="shared" si="19"/>
        <v>0</v>
      </c>
      <c r="CI134" s="51">
        <f t="shared" si="20"/>
        <v>0</v>
      </c>
      <c r="CJ134" s="51">
        <f t="shared" si="21"/>
        <v>0</v>
      </c>
      <c r="CK134" s="124">
        <f t="shared" si="22"/>
        <v>-7487</v>
      </c>
      <c r="CL134" s="51">
        <f t="shared" si="23"/>
        <v>0</v>
      </c>
      <c r="CM134" s="51">
        <f t="shared" si="24"/>
        <v>0</v>
      </c>
    </row>
    <row r="135" spans="2:91" hidden="1" x14ac:dyDescent="0.25">
      <c r="B135" s="47" t="s">
        <v>110</v>
      </c>
      <c r="C135" s="206">
        <v>12</v>
      </c>
      <c r="D135" s="124">
        <f>SUMIF(MAP!$E$93:$E$146,$B135,MAP!T$93:T$146)</f>
        <v>0</v>
      </c>
      <c r="F135" s="124">
        <f>SUMIF(MAP!$E$93:$E$146,$B135,MAP!N$93:N$146)</f>
        <v>0</v>
      </c>
      <c r="M135" s="735">
        <f>+M134+M132</f>
        <v>28622</v>
      </c>
      <c r="O135" s="735">
        <f>+O134+O132-1</f>
        <v>88394</v>
      </c>
      <c r="Q135" s="124">
        <f>SUMIF(MAP!$E$93:$E$146,$B135,MAP!U$93:U$146)</f>
        <v>0</v>
      </c>
      <c r="S135" s="124">
        <f>SUMIF(MAP!$E$93:$E$146,$B135,MAP!BD$93:BD$146)</f>
        <v>0</v>
      </c>
      <c r="U135" s="124">
        <f>SUMIF(MAP!$E$93:$E$146,$B135,MAP!N$93:N$146)</f>
        <v>0</v>
      </c>
      <c r="AA135" s="124">
        <f>SUMIF(MAP!$E$93:$E$146,$B135,MAP!T$93:T$146)</f>
        <v>0</v>
      </c>
      <c r="AD135" s="124">
        <f>SUMIF(MAP!$E$93:$E$146,$B135,MAP!W$93:W$146)</f>
        <v>0</v>
      </c>
      <c r="AE135" s="124">
        <f>SUMIF(MAP!$E$93:$E$146,$B135,MAP!X$93:X$146)</f>
        <v>0</v>
      </c>
      <c r="AF135" s="124">
        <f>SUMIF(MAP!$E$93:$E$146,$B135,MAP!Y$93:Y$146)</f>
        <v>0</v>
      </c>
      <c r="AG135" s="124">
        <f>SUMIF(MAP!$E$93:$E$146,$B135,MAP!Z$93:Z$146)</f>
        <v>0</v>
      </c>
      <c r="AH135" s="124">
        <f>SUMIF(MAP!$E$93:$E$146,$B135,MAP!AA$93:AA$146)</f>
        <v>0</v>
      </c>
      <c r="AI135" s="124">
        <f>SUMIF(MAP!$E$93:$E$146,$B135,MAP!AB$93:AB$146)</f>
        <v>0</v>
      </c>
      <c r="AJ135" s="124">
        <f>SUMIF(MAP!$E$93:$E$146,$B135,MAP!AC$93:AC$146)</f>
        <v>0</v>
      </c>
      <c r="AK135" s="124">
        <f>SUMIF(MAP!$E$93:$E$146,$B135,MAP!AD$93:AD$146)</f>
        <v>0</v>
      </c>
      <c r="AL135" s="124">
        <f>SUMIF(MAP!$E$93:$E$146,$B135,MAP!AE$93:AE$146)</f>
        <v>0</v>
      </c>
      <c r="AM135" s="124">
        <f>SUMIF(MAP!$E$93:$E$146,$B135,MAP!AF$93:AF$146)</f>
        <v>0</v>
      </c>
      <c r="AN135" s="124">
        <f>SUMIF(MAP!$E$93:$E$146,$B135,MAP!AG$93:AG$146)</f>
        <v>0</v>
      </c>
      <c r="AO135" s="124">
        <f>SUMIF(MAP!$E$93:$E$146,$B135,MAP!AH$93:AH$146)</f>
        <v>0</v>
      </c>
      <c r="AP135" s="124">
        <f>SUMIF(MAP!$E$93:$E$146,$B135,MAP!AI$93:AI$146)</f>
        <v>0</v>
      </c>
      <c r="AQ135" s="124">
        <f>SUMIF(MAP!$E$93:$E$146,$B135,MAP!AJ$93:AJ$146)</f>
        <v>0</v>
      </c>
      <c r="AR135" s="124">
        <f>SUMIF(MAP!$E$93:$E$146,$B135,MAP!AK$93:AK$146)</f>
        <v>0</v>
      </c>
      <c r="AS135" s="124">
        <f>SUMIF(MAP!$E$93:$E$146,$B135,MAP!AL$93:AL$146)</f>
        <v>0</v>
      </c>
      <c r="AT135" s="124">
        <f>SUMIF(MAP!$E$93:$E$146,$B135,MAP!AM$93:AM$146)</f>
        <v>0</v>
      </c>
      <c r="AU135" s="124">
        <f>SUMIF(MAP!$E$93:$E$146,$B135,MAP!AN$93:AN$146)</f>
        <v>0</v>
      </c>
      <c r="AV135" s="124">
        <f>SUMIF(MAP!$E$93:$E$146,$B135,MAP!AO$93:AO$146)</f>
        <v>0</v>
      </c>
      <c r="AW135" s="124">
        <f>SUMIF(MAP!$E$93:$E$146,$B135,MAP!AP$93:AP$146)</f>
        <v>0</v>
      </c>
      <c r="AX135" s="124">
        <f>SUMIF(MAP!$E$93:$E$146,$B135,MAP!AQ$93:AQ$146)</f>
        <v>0</v>
      </c>
      <c r="CE135" s="796"/>
      <c r="CF135" s="51">
        <f t="shared" si="17"/>
        <v>0</v>
      </c>
      <c r="CG135" s="51">
        <f t="shared" si="18"/>
        <v>0</v>
      </c>
      <c r="CH135" s="51">
        <f t="shared" si="19"/>
        <v>0</v>
      </c>
      <c r="CI135" s="51">
        <f t="shared" si="20"/>
        <v>0</v>
      </c>
      <c r="CJ135" s="51">
        <f t="shared" si="21"/>
        <v>0</v>
      </c>
      <c r="CK135" s="124">
        <f t="shared" si="22"/>
        <v>0</v>
      </c>
      <c r="CL135" s="51">
        <f t="shared" si="23"/>
        <v>0</v>
      </c>
      <c r="CM135" s="51">
        <f t="shared" si="24"/>
        <v>0</v>
      </c>
    </row>
    <row r="136" spans="2:91" hidden="1" outlineLevel="1" x14ac:dyDescent="0.25">
      <c r="M136" s="51"/>
      <c r="O136" s="51"/>
    </row>
    <row r="137" spans="2:91" collapsed="1" x14ac:dyDescent="0.25"/>
  </sheetData>
  <mergeCells count="1">
    <mergeCell ref="B4:F4"/>
  </mergeCells>
  <pageMargins left="0.35433070866141736" right="0.47244094488188981" top="0.19685039370078741" bottom="0.19685039370078741" header="0.31496062992125984" footer="0.31496062992125984"/>
  <pageSetup paperSize="9" scale="7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00B0F0"/>
    <pageSetUpPr fitToPage="1"/>
  </sheetPr>
  <dimension ref="B1:Z107"/>
  <sheetViews>
    <sheetView zoomScale="90" zoomScaleNormal="90" workbookViewId="0">
      <pane xSplit="3" ySplit="11" topLeftCell="D30"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2" outlineLevelCol="1" x14ac:dyDescent="0.2"/>
  <cols>
    <col min="1" max="1" width="1.5703125" style="34" customWidth="1"/>
    <col min="2" max="2" width="68" style="34" bestFit="1" customWidth="1"/>
    <col min="3" max="3" width="9.7109375" style="74" bestFit="1" customWidth="1"/>
    <col min="4" max="4" width="14.140625" style="74" customWidth="1"/>
    <col min="5" max="5" width="13.42578125" style="74" bestFit="1" customWidth="1"/>
    <col min="6" max="6" width="11.28515625" style="74" bestFit="1" customWidth="1"/>
    <col min="7" max="7" width="14" style="74" bestFit="1" customWidth="1"/>
    <col min="8" max="8" width="2.42578125" style="74" customWidth="1"/>
    <col min="9" max="9" width="14" style="34" bestFit="1" customWidth="1"/>
    <col min="10" max="10" width="13.7109375" style="34" bestFit="1" customWidth="1"/>
    <col min="11" max="11" width="11" style="34" bestFit="1" customWidth="1"/>
    <col min="12" max="12" width="14" style="34" bestFit="1" customWidth="1"/>
    <col min="13" max="13" width="10.85546875" style="34" customWidth="1" outlineLevel="1"/>
    <col min="14" max="14" width="10.28515625" style="34" customWidth="1" outlineLevel="1"/>
    <col min="15" max="15" width="19.42578125" style="34" customWidth="1" outlineLevel="1"/>
    <col min="16" max="16" width="11.7109375" style="34" bestFit="1" customWidth="1"/>
    <col min="17" max="17" width="10.85546875" style="34" hidden="1" customWidth="1" outlineLevel="1"/>
    <col min="18" max="18" width="12.42578125" style="34" hidden="1" customWidth="1" outlineLevel="1"/>
    <col min="19" max="19" width="10.42578125" style="34" hidden="1" customWidth="1" outlineLevel="1"/>
    <col min="20" max="20" width="10.85546875" style="34" hidden="1" customWidth="1" outlineLevel="1"/>
    <col min="21" max="21" width="2.28515625" style="34" hidden="1" customWidth="1" outlineLevel="1"/>
    <col min="22" max="22" width="10.85546875" style="34" hidden="1" customWidth="1" outlineLevel="1"/>
    <col min="23" max="23" width="12.42578125" style="34" hidden="1" customWidth="1" outlineLevel="1"/>
    <col min="24" max="25" width="11" style="34" hidden="1" customWidth="1" outlineLevel="1"/>
    <col min="26" max="26" width="11.85546875" style="34" bestFit="1" customWidth="1" collapsed="1"/>
    <col min="27" max="27" width="11.85546875" style="34" bestFit="1" customWidth="1"/>
    <col min="28" max="28" width="9.7109375" style="34" bestFit="1" customWidth="1"/>
    <col min="29" max="244" width="9.140625" style="34"/>
    <col min="245" max="245" width="5.85546875" style="34" customWidth="1"/>
    <col min="246" max="246" width="52.7109375" style="34" customWidth="1"/>
    <col min="247" max="247" width="9.140625" style="34"/>
    <col min="248" max="248" width="16" style="34" customWidth="1"/>
    <col min="249" max="249" width="13.85546875" style="34" customWidth="1"/>
    <col min="250" max="250" width="11" style="34" customWidth="1"/>
    <col min="251" max="251" width="13.140625" style="34" customWidth="1"/>
    <col min="252" max="252" width="11.28515625" style="34" customWidth="1"/>
    <col min="253" max="253" width="8.5703125" style="34" customWidth="1"/>
    <col min="254" max="254" width="10.140625" style="34" bestFit="1" customWidth="1"/>
    <col min="255" max="255" width="12" style="34" bestFit="1" customWidth="1"/>
    <col min="256" max="500" width="9.140625" style="34"/>
    <col min="501" max="501" width="5.85546875" style="34" customWidth="1"/>
    <col min="502" max="502" width="52.7109375" style="34" customWidth="1"/>
    <col min="503" max="503" width="9.140625" style="34"/>
    <col min="504" max="504" width="16" style="34" customWidth="1"/>
    <col min="505" max="505" width="13.85546875" style="34" customWidth="1"/>
    <col min="506" max="506" width="11" style="34" customWidth="1"/>
    <col min="507" max="507" width="13.140625" style="34" customWidth="1"/>
    <col min="508" max="508" width="11.28515625" style="34" customWidth="1"/>
    <col min="509" max="509" width="8.5703125" style="34" customWidth="1"/>
    <col min="510" max="510" width="10.140625" style="34" bestFit="1" customWidth="1"/>
    <col min="511" max="511" width="12" style="34" bestFit="1" customWidth="1"/>
    <col min="512" max="756" width="9.140625" style="34"/>
    <col min="757" max="757" width="5.85546875" style="34" customWidth="1"/>
    <col min="758" max="758" width="52.7109375" style="34" customWidth="1"/>
    <col min="759" max="759" width="9.140625" style="34"/>
    <col min="760" max="760" width="16" style="34" customWidth="1"/>
    <col min="761" max="761" width="13.85546875" style="34" customWidth="1"/>
    <col min="762" max="762" width="11" style="34" customWidth="1"/>
    <col min="763" max="763" width="13.140625" style="34" customWidth="1"/>
    <col min="764" max="764" width="11.28515625" style="34" customWidth="1"/>
    <col min="765" max="765" width="8.5703125" style="34" customWidth="1"/>
    <col min="766" max="766" width="10.140625" style="34" bestFit="1" customWidth="1"/>
    <col min="767" max="767" width="12" style="34" bestFit="1" customWidth="1"/>
    <col min="768" max="1012" width="9.140625" style="34"/>
    <col min="1013" max="1013" width="5.85546875" style="34" customWidth="1"/>
    <col min="1014" max="1014" width="52.7109375" style="34" customWidth="1"/>
    <col min="1015" max="1015" width="9.140625" style="34"/>
    <col min="1016" max="1016" width="16" style="34" customWidth="1"/>
    <col min="1017" max="1017" width="13.85546875" style="34" customWidth="1"/>
    <col min="1018" max="1018" width="11" style="34" customWidth="1"/>
    <col min="1019" max="1019" width="13.140625" style="34" customWidth="1"/>
    <col min="1020" max="1020" width="11.28515625" style="34" customWidth="1"/>
    <col min="1021" max="1021" width="8.5703125" style="34" customWidth="1"/>
    <col min="1022" max="1022" width="10.140625" style="34" bestFit="1" customWidth="1"/>
    <col min="1023" max="1023" width="12" style="34" bestFit="1" customWidth="1"/>
    <col min="1024" max="1268" width="9.140625" style="34"/>
    <col min="1269" max="1269" width="5.85546875" style="34" customWidth="1"/>
    <col min="1270" max="1270" width="52.7109375" style="34" customWidth="1"/>
    <col min="1271" max="1271" width="9.140625" style="34"/>
    <col min="1272" max="1272" width="16" style="34" customWidth="1"/>
    <col min="1273" max="1273" width="13.85546875" style="34" customWidth="1"/>
    <col min="1274" max="1274" width="11" style="34" customWidth="1"/>
    <col min="1275" max="1275" width="13.140625" style="34" customWidth="1"/>
    <col min="1276" max="1276" width="11.28515625" style="34" customWidth="1"/>
    <col min="1277" max="1277" width="8.5703125" style="34" customWidth="1"/>
    <col min="1278" max="1278" width="10.140625" style="34" bestFit="1" customWidth="1"/>
    <col min="1279" max="1279" width="12" style="34" bestFit="1" customWidth="1"/>
    <col min="1280" max="1524" width="9.140625" style="34"/>
    <col min="1525" max="1525" width="5.85546875" style="34" customWidth="1"/>
    <col min="1526" max="1526" width="52.7109375" style="34" customWidth="1"/>
    <col min="1527" max="1527" width="9.140625" style="34"/>
    <col min="1528" max="1528" width="16" style="34" customWidth="1"/>
    <col min="1529" max="1529" width="13.85546875" style="34" customWidth="1"/>
    <col min="1530" max="1530" width="11" style="34" customWidth="1"/>
    <col min="1531" max="1531" width="13.140625" style="34" customWidth="1"/>
    <col min="1532" max="1532" width="11.28515625" style="34" customWidth="1"/>
    <col min="1533" max="1533" width="8.5703125" style="34" customWidth="1"/>
    <col min="1534" max="1534" width="10.140625" style="34" bestFit="1" customWidth="1"/>
    <col min="1535" max="1535" width="12" style="34" bestFit="1" customWidth="1"/>
    <col min="1536" max="1780" width="9.140625" style="34"/>
    <col min="1781" max="1781" width="5.85546875" style="34" customWidth="1"/>
    <col min="1782" max="1782" width="52.7109375" style="34" customWidth="1"/>
    <col min="1783" max="1783" width="9.140625" style="34"/>
    <col min="1784" max="1784" width="16" style="34" customWidth="1"/>
    <col min="1785" max="1785" width="13.85546875" style="34" customWidth="1"/>
    <col min="1786" max="1786" width="11" style="34" customWidth="1"/>
    <col min="1787" max="1787" width="13.140625" style="34" customWidth="1"/>
    <col min="1788" max="1788" width="11.28515625" style="34" customWidth="1"/>
    <col min="1789" max="1789" width="8.5703125" style="34" customWidth="1"/>
    <col min="1790" max="1790" width="10.140625" style="34" bestFit="1" customWidth="1"/>
    <col min="1791" max="1791" width="12" style="34" bestFit="1" customWidth="1"/>
    <col min="1792" max="2036" width="9.140625" style="34"/>
    <col min="2037" max="2037" width="5.85546875" style="34" customWidth="1"/>
    <col min="2038" max="2038" width="52.7109375" style="34" customWidth="1"/>
    <col min="2039" max="2039" width="9.140625" style="34"/>
    <col min="2040" max="2040" width="16" style="34" customWidth="1"/>
    <col min="2041" max="2041" width="13.85546875" style="34" customWidth="1"/>
    <col min="2042" max="2042" width="11" style="34" customWidth="1"/>
    <col min="2043" max="2043" width="13.140625" style="34" customWidth="1"/>
    <col min="2044" max="2044" width="11.28515625" style="34" customWidth="1"/>
    <col min="2045" max="2045" width="8.5703125" style="34" customWidth="1"/>
    <col min="2046" max="2046" width="10.140625" style="34" bestFit="1" customWidth="1"/>
    <col min="2047" max="2047" width="12" style="34" bestFit="1" customWidth="1"/>
    <col min="2048" max="2292" width="9.140625" style="34"/>
    <col min="2293" max="2293" width="5.85546875" style="34" customWidth="1"/>
    <col min="2294" max="2294" width="52.7109375" style="34" customWidth="1"/>
    <col min="2295" max="2295" width="9.140625" style="34"/>
    <col min="2296" max="2296" width="16" style="34" customWidth="1"/>
    <col min="2297" max="2297" width="13.85546875" style="34" customWidth="1"/>
    <col min="2298" max="2298" width="11" style="34" customWidth="1"/>
    <col min="2299" max="2299" width="13.140625" style="34" customWidth="1"/>
    <col min="2300" max="2300" width="11.28515625" style="34" customWidth="1"/>
    <col min="2301" max="2301" width="8.5703125" style="34" customWidth="1"/>
    <col min="2302" max="2302" width="10.140625" style="34" bestFit="1" customWidth="1"/>
    <col min="2303" max="2303" width="12" style="34" bestFit="1" customWidth="1"/>
    <col min="2304" max="2548" width="9.140625" style="34"/>
    <col min="2549" max="2549" width="5.85546875" style="34" customWidth="1"/>
    <col min="2550" max="2550" width="52.7109375" style="34" customWidth="1"/>
    <col min="2551" max="2551" width="9.140625" style="34"/>
    <col min="2552" max="2552" width="16" style="34" customWidth="1"/>
    <col min="2553" max="2553" width="13.85546875" style="34" customWidth="1"/>
    <col min="2554" max="2554" width="11" style="34" customWidth="1"/>
    <col min="2555" max="2555" width="13.140625" style="34" customWidth="1"/>
    <col min="2556" max="2556" width="11.28515625" style="34" customWidth="1"/>
    <col min="2557" max="2557" width="8.5703125" style="34" customWidth="1"/>
    <col min="2558" max="2558" width="10.140625" style="34" bestFit="1" customWidth="1"/>
    <col min="2559" max="2559" width="12" style="34" bestFit="1" customWidth="1"/>
    <col min="2560" max="2804" width="9.140625" style="34"/>
    <col min="2805" max="2805" width="5.85546875" style="34" customWidth="1"/>
    <col min="2806" max="2806" width="52.7109375" style="34" customWidth="1"/>
    <col min="2807" max="2807" width="9.140625" style="34"/>
    <col min="2808" max="2808" width="16" style="34" customWidth="1"/>
    <col min="2809" max="2809" width="13.85546875" style="34" customWidth="1"/>
    <col min="2810" max="2810" width="11" style="34" customWidth="1"/>
    <col min="2811" max="2811" width="13.140625" style="34" customWidth="1"/>
    <col min="2812" max="2812" width="11.28515625" style="34" customWidth="1"/>
    <col min="2813" max="2813" width="8.5703125" style="34" customWidth="1"/>
    <col min="2814" max="2814" width="10.140625" style="34" bestFit="1" customWidth="1"/>
    <col min="2815" max="2815" width="12" style="34" bestFit="1" customWidth="1"/>
    <col min="2816" max="3060" width="9.140625" style="34"/>
    <col min="3061" max="3061" width="5.85546875" style="34" customWidth="1"/>
    <col min="3062" max="3062" width="52.7109375" style="34" customWidth="1"/>
    <col min="3063" max="3063" width="9.140625" style="34"/>
    <col min="3064" max="3064" width="16" style="34" customWidth="1"/>
    <col min="3065" max="3065" width="13.85546875" style="34" customWidth="1"/>
    <col min="3066" max="3066" width="11" style="34" customWidth="1"/>
    <col min="3067" max="3067" width="13.140625" style="34" customWidth="1"/>
    <col min="3068" max="3068" width="11.28515625" style="34" customWidth="1"/>
    <col min="3069" max="3069" width="8.5703125" style="34" customWidth="1"/>
    <col min="3070" max="3070" width="10.140625" style="34" bestFit="1" customWidth="1"/>
    <col min="3071" max="3071" width="12" style="34" bestFit="1" customWidth="1"/>
    <col min="3072" max="3316" width="9.140625" style="34"/>
    <col min="3317" max="3317" width="5.85546875" style="34" customWidth="1"/>
    <col min="3318" max="3318" width="52.7109375" style="34" customWidth="1"/>
    <col min="3319" max="3319" width="9.140625" style="34"/>
    <col min="3320" max="3320" width="16" style="34" customWidth="1"/>
    <col min="3321" max="3321" width="13.85546875" style="34" customWidth="1"/>
    <col min="3322" max="3322" width="11" style="34" customWidth="1"/>
    <col min="3323" max="3323" width="13.140625" style="34" customWidth="1"/>
    <col min="3324" max="3324" width="11.28515625" style="34" customWidth="1"/>
    <col min="3325" max="3325" width="8.5703125" style="34" customWidth="1"/>
    <col min="3326" max="3326" width="10.140625" style="34" bestFit="1" customWidth="1"/>
    <col min="3327" max="3327" width="12" style="34" bestFit="1" customWidth="1"/>
    <col min="3328" max="3572" width="9.140625" style="34"/>
    <col min="3573" max="3573" width="5.85546875" style="34" customWidth="1"/>
    <col min="3574" max="3574" width="52.7109375" style="34" customWidth="1"/>
    <col min="3575" max="3575" width="9.140625" style="34"/>
    <col min="3576" max="3576" width="16" style="34" customWidth="1"/>
    <col min="3577" max="3577" width="13.85546875" style="34" customWidth="1"/>
    <col min="3578" max="3578" width="11" style="34" customWidth="1"/>
    <col min="3579" max="3579" width="13.140625" style="34" customWidth="1"/>
    <col min="3580" max="3580" width="11.28515625" style="34" customWidth="1"/>
    <col min="3581" max="3581" width="8.5703125" style="34" customWidth="1"/>
    <col min="3582" max="3582" width="10.140625" style="34" bestFit="1" customWidth="1"/>
    <col min="3583" max="3583" width="12" style="34" bestFit="1" customWidth="1"/>
    <col min="3584" max="3828" width="9.140625" style="34"/>
    <col min="3829" max="3829" width="5.85546875" style="34" customWidth="1"/>
    <col min="3830" max="3830" width="52.7109375" style="34" customWidth="1"/>
    <col min="3831" max="3831" width="9.140625" style="34"/>
    <col min="3832" max="3832" width="16" style="34" customWidth="1"/>
    <col min="3833" max="3833" width="13.85546875" style="34" customWidth="1"/>
    <col min="3834" max="3834" width="11" style="34" customWidth="1"/>
    <col min="3835" max="3835" width="13.140625" style="34" customWidth="1"/>
    <col min="3836" max="3836" width="11.28515625" style="34" customWidth="1"/>
    <col min="3837" max="3837" width="8.5703125" style="34" customWidth="1"/>
    <col min="3838" max="3838" width="10.140625" style="34" bestFit="1" customWidth="1"/>
    <col min="3839" max="3839" width="12" style="34" bestFit="1" customWidth="1"/>
    <col min="3840" max="4084" width="9.140625" style="34"/>
    <col min="4085" max="4085" width="5.85546875" style="34" customWidth="1"/>
    <col min="4086" max="4086" width="52.7109375" style="34" customWidth="1"/>
    <col min="4087" max="4087" width="9.140625" style="34"/>
    <col min="4088" max="4088" width="16" style="34" customWidth="1"/>
    <col min="4089" max="4089" width="13.85546875" style="34" customWidth="1"/>
    <col min="4090" max="4090" width="11" style="34" customWidth="1"/>
    <col min="4091" max="4091" width="13.140625" style="34" customWidth="1"/>
    <col min="4092" max="4092" width="11.28515625" style="34" customWidth="1"/>
    <col min="4093" max="4093" width="8.5703125" style="34" customWidth="1"/>
    <col min="4094" max="4094" width="10.140625" style="34" bestFit="1" customWidth="1"/>
    <col min="4095" max="4095" width="12" style="34" bestFit="1" customWidth="1"/>
    <col min="4096" max="4340" width="9.140625" style="34"/>
    <col min="4341" max="4341" width="5.85546875" style="34" customWidth="1"/>
    <col min="4342" max="4342" width="52.7109375" style="34" customWidth="1"/>
    <col min="4343" max="4343" width="9.140625" style="34"/>
    <col min="4344" max="4344" width="16" style="34" customWidth="1"/>
    <col min="4345" max="4345" width="13.85546875" style="34" customWidth="1"/>
    <col min="4346" max="4346" width="11" style="34" customWidth="1"/>
    <col min="4347" max="4347" width="13.140625" style="34" customWidth="1"/>
    <col min="4348" max="4348" width="11.28515625" style="34" customWidth="1"/>
    <col min="4349" max="4349" width="8.5703125" style="34" customWidth="1"/>
    <col min="4350" max="4350" width="10.140625" style="34" bestFit="1" customWidth="1"/>
    <col min="4351" max="4351" width="12" style="34" bestFit="1" customWidth="1"/>
    <col min="4352" max="4596" width="9.140625" style="34"/>
    <col min="4597" max="4597" width="5.85546875" style="34" customWidth="1"/>
    <col min="4598" max="4598" width="52.7109375" style="34" customWidth="1"/>
    <col min="4599" max="4599" width="9.140625" style="34"/>
    <col min="4600" max="4600" width="16" style="34" customWidth="1"/>
    <col min="4601" max="4601" width="13.85546875" style="34" customWidth="1"/>
    <col min="4602" max="4602" width="11" style="34" customWidth="1"/>
    <col min="4603" max="4603" width="13.140625" style="34" customWidth="1"/>
    <col min="4604" max="4604" width="11.28515625" style="34" customWidth="1"/>
    <col min="4605" max="4605" width="8.5703125" style="34" customWidth="1"/>
    <col min="4606" max="4606" width="10.140625" style="34" bestFit="1" customWidth="1"/>
    <col min="4607" max="4607" width="12" style="34" bestFit="1" customWidth="1"/>
    <col min="4608" max="4852" width="9.140625" style="34"/>
    <col min="4853" max="4853" width="5.85546875" style="34" customWidth="1"/>
    <col min="4854" max="4854" width="52.7109375" style="34" customWidth="1"/>
    <col min="4855" max="4855" width="9.140625" style="34"/>
    <col min="4856" max="4856" width="16" style="34" customWidth="1"/>
    <col min="4857" max="4857" width="13.85546875" style="34" customWidth="1"/>
    <col min="4858" max="4858" width="11" style="34" customWidth="1"/>
    <col min="4859" max="4859" width="13.140625" style="34" customWidth="1"/>
    <col min="4860" max="4860" width="11.28515625" style="34" customWidth="1"/>
    <col min="4861" max="4861" width="8.5703125" style="34" customWidth="1"/>
    <col min="4862" max="4862" width="10.140625" style="34" bestFit="1" customWidth="1"/>
    <col min="4863" max="4863" width="12" style="34" bestFit="1" customWidth="1"/>
    <col min="4864" max="5108" width="9.140625" style="34"/>
    <col min="5109" max="5109" width="5.85546875" style="34" customWidth="1"/>
    <col min="5110" max="5110" width="52.7109375" style="34" customWidth="1"/>
    <col min="5111" max="5111" width="9.140625" style="34"/>
    <col min="5112" max="5112" width="16" style="34" customWidth="1"/>
    <col min="5113" max="5113" width="13.85546875" style="34" customWidth="1"/>
    <col min="5114" max="5114" width="11" style="34" customWidth="1"/>
    <col min="5115" max="5115" width="13.140625" style="34" customWidth="1"/>
    <col min="5116" max="5116" width="11.28515625" style="34" customWidth="1"/>
    <col min="5117" max="5117" width="8.5703125" style="34" customWidth="1"/>
    <col min="5118" max="5118" width="10.140625" style="34" bestFit="1" customWidth="1"/>
    <col min="5119" max="5119" width="12" style="34" bestFit="1" customWidth="1"/>
    <col min="5120" max="5364" width="9.140625" style="34"/>
    <col min="5365" max="5365" width="5.85546875" style="34" customWidth="1"/>
    <col min="5366" max="5366" width="52.7109375" style="34" customWidth="1"/>
    <col min="5367" max="5367" width="9.140625" style="34"/>
    <col min="5368" max="5368" width="16" style="34" customWidth="1"/>
    <col min="5369" max="5369" width="13.85546875" style="34" customWidth="1"/>
    <col min="5370" max="5370" width="11" style="34" customWidth="1"/>
    <col min="5371" max="5371" width="13.140625" style="34" customWidth="1"/>
    <col min="5372" max="5372" width="11.28515625" style="34" customWidth="1"/>
    <col min="5373" max="5373" width="8.5703125" style="34" customWidth="1"/>
    <col min="5374" max="5374" width="10.140625" style="34" bestFit="1" customWidth="1"/>
    <col min="5375" max="5375" width="12" style="34" bestFit="1" customWidth="1"/>
    <col min="5376" max="5620" width="9.140625" style="34"/>
    <col min="5621" max="5621" width="5.85546875" style="34" customWidth="1"/>
    <col min="5622" max="5622" width="52.7109375" style="34" customWidth="1"/>
    <col min="5623" max="5623" width="9.140625" style="34"/>
    <col min="5624" max="5624" width="16" style="34" customWidth="1"/>
    <col min="5625" max="5625" width="13.85546875" style="34" customWidth="1"/>
    <col min="5626" max="5626" width="11" style="34" customWidth="1"/>
    <col min="5627" max="5627" width="13.140625" style="34" customWidth="1"/>
    <col min="5628" max="5628" width="11.28515625" style="34" customWidth="1"/>
    <col min="5629" max="5629" width="8.5703125" style="34" customWidth="1"/>
    <col min="5630" max="5630" width="10.140625" style="34" bestFit="1" customWidth="1"/>
    <col min="5631" max="5631" width="12" style="34" bestFit="1" customWidth="1"/>
    <col min="5632" max="5876" width="9.140625" style="34"/>
    <col min="5877" max="5877" width="5.85546875" style="34" customWidth="1"/>
    <col min="5878" max="5878" width="52.7109375" style="34" customWidth="1"/>
    <col min="5879" max="5879" width="9.140625" style="34"/>
    <col min="5880" max="5880" width="16" style="34" customWidth="1"/>
    <col min="5881" max="5881" width="13.85546875" style="34" customWidth="1"/>
    <col min="5882" max="5882" width="11" style="34" customWidth="1"/>
    <col min="5883" max="5883" width="13.140625" style="34" customWidth="1"/>
    <col min="5884" max="5884" width="11.28515625" style="34" customWidth="1"/>
    <col min="5885" max="5885" width="8.5703125" style="34" customWidth="1"/>
    <col min="5886" max="5886" width="10.140625" style="34" bestFit="1" customWidth="1"/>
    <col min="5887" max="5887" width="12" style="34" bestFit="1" customWidth="1"/>
    <col min="5888" max="6132" width="9.140625" style="34"/>
    <col min="6133" max="6133" width="5.85546875" style="34" customWidth="1"/>
    <col min="6134" max="6134" width="52.7109375" style="34" customWidth="1"/>
    <col min="6135" max="6135" width="9.140625" style="34"/>
    <col min="6136" max="6136" width="16" style="34" customWidth="1"/>
    <col min="6137" max="6137" width="13.85546875" style="34" customWidth="1"/>
    <col min="6138" max="6138" width="11" style="34" customWidth="1"/>
    <col min="6139" max="6139" width="13.140625" style="34" customWidth="1"/>
    <col min="6140" max="6140" width="11.28515625" style="34" customWidth="1"/>
    <col min="6141" max="6141" width="8.5703125" style="34" customWidth="1"/>
    <col min="6142" max="6142" width="10.140625" style="34" bestFit="1" customWidth="1"/>
    <col min="6143" max="6143" width="12" style="34" bestFit="1" customWidth="1"/>
    <col min="6144" max="6388" width="9.140625" style="34"/>
    <col min="6389" max="6389" width="5.85546875" style="34" customWidth="1"/>
    <col min="6390" max="6390" width="52.7109375" style="34" customWidth="1"/>
    <col min="6391" max="6391" width="9.140625" style="34"/>
    <col min="6392" max="6392" width="16" style="34" customWidth="1"/>
    <col min="6393" max="6393" width="13.85546875" style="34" customWidth="1"/>
    <col min="6394" max="6394" width="11" style="34" customWidth="1"/>
    <col min="6395" max="6395" width="13.140625" style="34" customWidth="1"/>
    <col min="6396" max="6396" width="11.28515625" style="34" customWidth="1"/>
    <col min="6397" max="6397" width="8.5703125" style="34" customWidth="1"/>
    <col min="6398" max="6398" width="10.140625" style="34" bestFit="1" customWidth="1"/>
    <col min="6399" max="6399" width="12" style="34" bestFit="1" customWidth="1"/>
    <col min="6400" max="6644" width="9.140625" style="34"/>
    <col min="6645" max="6645" width="5.85546875" style="34" customWidth="1"/>
    <col min="6646" max="6646" width="52.7109375" style="34" customWidth="1"/>
    <col min="6647" max="6647" width="9.140625" style="34"/>
    <col min="6648" max="6648" width="16" style="34" customWidth="1"/>
    <col min="6649" max="6649" width="13.85546875" style="34" customWidth="1"/>
    <col min="6650" max="6650" width="11" style="34" customWidth="1"/>
    <col min="6651" max="6651" width="13.140625" style="34" customWidth="1"/>
    <col min="6652" max="6652" width="11.28515625" style="34" customWidth="1"/>
    <col min="6653" max="6653" width="8.5703125" style="34" customWidth="1"/>
    <col min="6654" max="6654" width="10.140625" style="34" bestFit="1" customWidth="1"/>
    <col min="6655" max="6655" width="12" style="34" bestFit="1" customWidth="1"/>
    <col min="6656" max="6900" width="9.140625" style="34"/>
    <col min="6901" max="6901" width="5.85546875" style="34" customWidth="1"/>
    <col min="6902" max="6902" width="52.7109375" style="34" customWidth="1"/>
    <col min="6903" max="6903" width="9.140625" style="34"/>
    <col min="6904" max="6904" width="16" style="34" customWidth="1"/>
    <col min="6905" max="6905" width="13.85546875" style="34" customWidth="1"/>
    <col min="6906" max="6906" width="11" style="34" customWidth="1"/>
    <col min="6907" max="6907" width="13.140625" style="34" customWidth="1"/>
    <col min="6908" max="6908" width="11.28515625" style="34" customWidth="1"/>
    <col min="6909" max="6909" width="8.5703125" style="34" customWidth="1"/>
    <col min="6910" max="6910" width="10.140625" style="34" bestFit="1" customWidth="1"/>
    <col min="6911" max="6911" width="12" style="34" bestFit="1" customWidth="1"/>
    <col min="6912" max="7156" width="9.140625" style="34"/>
    <col min="7157" max="7157" width="5.85546875" style="34" customWidth="1"/>
    <col min="7158" max="7158" width="52.7109375" style="34" customWidth="1"/>
    <col min="7159" max="7159" width="9.140625" style="34"/>
    <col min="7160" max="7160" width="16" style="34" customWidth="1"/>
    <col min="7161" max="7161" width="13.85546875" style="34" customWidth="1"/>
    <col min="7162" max="7162" width="11" style="34" customWidth="1"/>
    <col min="7163" max="7163" width="13.140625" style="34" customWidth="1"/>
    <col min="7164" max="7164" width="11.28515625" style="34" customWidth="1"/>
    <col min="7165" max="7165" width="8.5703125" style="34" customWidth="1"/>
    <col min="7166" max="7166" width="10.140625" style="34" bestFit="1" customWidth="1"/>
    <col min="7167" max="7167" width="12" style="34" bestFit="1" customWidth="1"/>
    <col min="7168" max="7412" width="9.140625" style="34"/>
    <col min="7413" max="7413" width="5.85546875" style="34" customWidth="1"/>
    <col min="7414" max="7414" width="52.7109375" style="34" customWidth="1"/>
    <col min="7415" max="7415" width="9.140625" style="34"/>
    <col min="7416" max="7416" width="16" style="34" customWidth="1"/>
    <col min="7417" max="7417" width="13.85546875" style="34" customWidth="1"/>
    <col min="7418" max="7418" width="11" style="34" customWidth="1"/>
    <col min="7419" max="7419" width="13.140625" style="34" customWidth="1"/>
    <col min="7420" max="7420" width="11.28515625" style="34" customWidth="1"/>
    <col min="7421" max="7421" width="8.5703125" style="34" customWidth="1"/>
    <col min="7422" max="7422" width="10.140625" style="34" bestFit="1" customWidth="1"/>
    <col min="7423" max="7423" width="12" style="34" bestFit="1" customWidth="1"/>
    <col min="7424" max="7668" width="9.140625" style="34"/>
    <col min="7669" max="7669" width="5.85546875" style="34" customWidth="1"/>
    <col min="7670" max="7670" width="52.7109375" style="34" customWidth="1"/>
    <col min="7671" max="7671" width="9.140625" style="34"/>
    <col min="7672" max="7672" width="16" style="34" customWidth="1"/>
    <col min="7673" max="7673" width="13.85546875" style="34" customWidth="1"/>
    <col min="7674" max="7674" width="11" style="34" customWidth="1"/>
    <col min="7675" max="7675" width="13.140625" style="34" customWidth="1"/>
    <col min="7676" max="7676" width="11.28515625" style="34" customWidth="1"/>
    <col min="7677" max="7677" width="8.5703125" style="34" customWidth="1"/>
    <col min="7678" max="7678" width="10.140625" style="34" bestFit="1" customWidth="1"/>
    <col min="7679" max="7679" width="12" style="34" bestFit="1" customWidth="1"/>
    <col min="7680" max="7924" width="9.140625" style="34"/>
    <col min="7925" max="7925" width="5.85546875" style="34" customWidth="1"/>
    <col min="7926" max="7926" width="52.7109375" style="34" customWidth="1"/>
    <col min="7927" max="7927" width="9.140625" style="34"/>
    <col min="7928" max="7928" width="16" style="34" customWidth="1"/>
    <col min="7929" max="7929" width="13.85546875" style="34" customWidth="1"/>
    <col min="7930" max="7930" width="11" style="34" customWidth="1"/>
    <col min="7931" max="7931" width="13.140625" style="34" customWidth="1"/>
    <col min="7932" max="7932" width="11.28515625" style="34" customWidth="1"/>
    <col min="7933" max="7933" width="8.5703125" style="34" customWidth="1"/>
    <col min="7934" max="7934" width="10.140625" style="34" bestFit="1" customWidth="1"/>
    <col min="7935" max="7935" width="12" style="34" bestFit="1" customWidth="1"/>
    <col min="7936" max="8180" width="9.140625" style="34"/>
    <col min="8181" max="8181" width="5.85546875" style="34" customWidth="1"/>
    <col min="8182" max="8182" width="52.7109375" style="34" customWidth="1"/>
    <col min="8183" max="8183" width="9.140625" style="34"/>
    <col min="8184" max="8184" width="16" style="34" customWidth="1"/>
    <col min="8185" max="8185" width="13.85546875" style="34" customWidth="1"/>
    <col min="8186" max="8186" width="11" style="34" customWidth="1"/>
    <col min="8187" max="8187" width="13.140625" style="34" customWidth="1"/>
    <col min="8188" max="8188" width="11.28515625" style="34" customWidth="1"/>
    <col min="8189" max="8189" width="8.5703125" style="34" customWidth="1"/>
    <col min="8190" max="8190" width="10.140625" style="34" bestFit="1" customWidth="1"/>
    <col min="8191" max="8191" width="12" style="34" bestFit="1" customWidth="1"/>
    <col min="8192" max="8436" width="9.140625" style="34"/>
    <col min="8437" max="8437" width="5.85546875" style="34" customWidth="1"/>
    <col min="8438" max="8438" width="52.7109375" style="34" customWidth="1"/>
    <col min="8439" max="8439" width="9.140625" style="34"/>
    <col min="8440" max="8440" width="16" style="34" customWidth="1"/>
    <col min="8441" max="8441" width="13.85546875" style="34" customWidth="1"/>
    <col min="8442" max="8442" width="11" style="34" customWidth="1"/>
    <col min="8443" max="8443" width="13.140625" style="34" customWidth="1"/>
    <col min="8444" max="8444" width="11.28515625" style="34" customWidth="1"/>
    <col min="8445" max="8445" width="8.5703125" style="34" customWidth="1"/>
    <col min="8446" max="8446" width="10.140625" style="34" bestFit="1" customWidth="1"/>
    <col min="8447" max="8447" width="12" style="34" bestFit="1" customWidth="1"/>
    <col min="8448" max="8692" width="9.140625" style="34"/>
    <col min="8693" max="8693" width="5.85546875" style="34" customWidth="1"/>
    <col min="8694" max="8694" width="52.7109375" style="34" customWidth="1"/>
    <col min="8695" max="8695" width="9.140625" style="34"/>
    <col min="8696" max="8696" width="16" style="34" customWidth="1"/>
    <col min="8697" max="8697" width="13.85546875" style="34" customWidth="1"/>
    <col min="8698" max="8698" width="11" style="34" customWidth="1"/>
    <col min="8699" max="8699" width="13.140625" style="34" customWidth="1"/>
    <col min="8700" max="8700" width="11.28515625" style="34" customWidth="1"/>
    <col min="8701" max="8701" width="8.5703125" style="34" customWidth="1"/>
    <col min="8702" max="8702" width="10.140625" style="34" bestFit="1" customWidth="1"/>
    <col min="8703" max="8703" width="12" style="34" bestFit="1" customWidth="1"/>
    <col min="8704" max="8948" width="9.140625" style="34"/>
    <col min="8949" max="8949" width="5.85546875" style="34" customWidth="1"/>
    <col min="8950" max="8950" width="52.7109375" style="34" customWidth="1"/>
    <col min="8951" max="8951" width="9.140625" style="34"/>
    <col min="8952" max="8952" width="16" style="34" customWidth="1"/>
    <col min="8953" max="8953" width="13.85546875" style="34" customWidth="1"/>
    <col min="8954" max="8954" width="11" style="34" customWidth="1"/>
    <col min="8955" max="8955" width="13.140625" style="34" customWidth="1"/>
    <col min="8956" max="8956" width="11.28515625" style="34" customWidth="1"/>
    <col min="8957" max="8957" width="8.5703125" style="34" customWidth="1"/>
    <col min="8958" max="8958" width="10.140625" style="34" bestFit="1" customWidth="1"/>
    <col min="8959" max="8959" width="12" style="34" bestFit="1" customWidth="1"/>
    <col min="8960" max="9204" width="9.140625" style="34"/>
    <col min="9205" max="9205" width="5.85546875" style="34" customWidth="1"/>
    <col min="9206" max="9206" width="52.7109375" style="34" customWidth="1"/>
    <col min="9207" max="9207" width="9.140625" style="34"/>
    <col min="9208" max="9208" width="16" style="34" customWidth="1"/>
    <col min="9209" max="9209" width="13.85546875" style="34" customWidth="1"/>
    <col min="9210" max="9210" width="11" style="34" customWidth="1"/>
    <col min="9211" max="9211" width="13.140625" style="34" customWidth="1"/>
    <col min="9212" max="9212" width="11.28515625" style="34" customWidth="1"/>
    <col min="9213" max="9213" width="8.5703125" style="34" customWidth="1"/>
    <col min="9214" max="9214" width="10.140625" style="34" bestFit="1" customWidth="1"/>
    <col min="9215" max="9215" width="12" style="34" bestFit="1" customWidth="1"/>
    <col min="9216" max="9460" width="9.140625" style="34"/>
    <col min="9461" max="9461" width="5.85546875" style="34" customWidth="1"/>
    <col min="9462" max="9462" width="52.7109375" style="34" customWidth="1"/>
    <col min="9463" max="9463" width="9.140625" style="34"/>
    <col min="9464" max="9464" width="16" style="34" customWidth="1"/>
    <col min="9465" max="9465" width="13.85546875" style="34" customWidth="1"/>
    <col min="9466" max="9466" width="11" style="34" customWidth="1"/>
    <col min="9467" max="9467" width="13.140625" style="34" customWidth="1"/>
    <col min="9468" max="9468" width="11.28515625" style="34" customWidth="1"/>
    <col min="9469" max="9469" width="8.5703125" style="34" customWidth="1"/>
    <col min="9470" max="9470" width="10.140625" style="34" bestFit="1" customWidth="1"/>
    <col min="9471" max="9471" width="12" style="34" bestFit="1" customWidth="1"/>
    <col min="9472" max="9716" width="9.140625" style="34"/>
    <col min="9717" max="9717" width="5.85546875" style="34" customWidth="1"/>
    <col min="9718" max="9718" width="52.7109375" style="34" customWidth="1"/>
    <col min="9719" max="9719" width="9.140625" style="34"/>
    <col min="9720" max="9720" width="16" style="34" customWidth="1"/>
    <col min="9721" max="9721" width="13.85546875" style="34" customWidth="1"/>
    <col min="9722" max="9722" width="11" style="34" customWidth="1"/>
    <col min="9723" max="9723" width="13.140625" style="34" customWidth="1"/>
    <col min="9724" max="9724" width="11.28515625" style="34" customWidth="1"/>
    <col min="9725" max="9725" width="8.5703125" style="34" customWidth="1"/>
    <col min="9726" max="9726" width="10.140625" style="34" bestFit="1" customWidth="1"/>
    <col min="9727" max="9727" width="12" style="34" bestFit="1" customWidth="1"/>
    <col min="9728" max="9972" width="9.140625" style="34"/>
    <col min="9973" max="9973" width="5.85546875" style="34" customWidth="1"/>
    <col min="9974" max="9974" width="52.7109375" style="34" customWidth="1"/>
    <col min="9975" max="9975" width="9.140625" style="34"/>
    <col min="9976" max="9976" width="16" style="34" customWidth="1"/>
    <col min="9977" max="9977" width="13.85546875" style="34" customWidth="1"/>
    <col min="9978" max="9978" width="11" style="34" customWidth="1"/>
    <col min="9979" max="9979" width="13.140625" style="34" customWidth="1"/>
    <col min="9980" max="9980" width="11.28515625" style="34" customWidth="1"/>
    <col min="9981" max="9981" width="8.5703125" style="34" customWidth="1"/>
    <col min="9982" max="9982" width="10.140625" style="34" bestFit="1" customWidth="1"/>
    <col min="9983" max="9983" width="12" style="34" bestFit="1" customWidth="1"/>
    <col min="9984" max="10228" width="9.140625" style="34"/>
    <col min="10229" max="10229" width="5.85546875" style="34" customWidth="1"/>
    <col min="10230" max="10230" width="52.7109375" style="34" customWidth="1"/>
    <col min="10231" max="10231" width="9.140625" style="34"/>
    <col min="10232" max="10232" width="16" style="34" customWidth="1"/>
    <col min="10233" max="10233" width="13.85546875" style="34" customWidth="1"/>
    <col min="10234" max="10234" width="11" style="34" customWidth="1"/>
    <col min="10235" max="10235" width="13.140625" style="34" customWidth="1"/>
    <col min="10236" max="10236" width="11.28515625" style="34" customWidth="1"/>
    <col min="10237" max="10237" width="8.5703125" style="34" customWidth="1"/>
    <col min="10238" max="10238" width="10.140625" style="34" bestFit="1" customWidth="1"/>
    <col min="10239" max="10239" width="12" style="34" bestFit="1" customWidth="1"/>
    <col min="10240" max="10484" width="9.140625" style="34"/>
    <col min="10485" max="10485" width="5.85546875" style="34" customWidth="1"/>
    <col min="10486" max="10486" width="52.7109375" style="34" customWidth="1"/>
    <col min="10487" max="10487" width="9.140625" style="34"/>
    <col min="10488" max="10488" width="16" style="34" customWidth="1"/>
    <col min="10489" max="10489" width="13.85546875" style="34" customWidth="1"/>
    <col min="10490" max="10490" width="11" style="34" customWidth="1"/>
    <col min="10491" max="10491" width="13.140625" style="34" customWidth="1"/>
    <col min="10492" max="10492" width="11.28515625" style="34" customWidth="1"/>
    <col min="10493" max="10493" width="8.5703125" style="34" customWidth="1"/>
    <col min="10494" max="10494" width="10.140625" style="34" bestFit="1" customWidth="1"/>
    <col min="10495" max="10495" width="12" style="34" bestFit="1" customWidth="1"/>
    <col min="10496" max="10740" width="9.140625" style="34"/>
    <col min="10741" max="10741" width="5.85546875" style="34" customWidth="1"/>
    <col min="10742" max="10742" width="52.7109375" style="34" customWidth="1"/>
    <col min="10743" max="10743" width="9.140625" style="34"/>
    <col min="10744" max="10744" width="16" style="34" customWidth="1"/>
    <col min="10745" max="10745" width="13.85546875" style="34" customWidth="1"/>
    <col min="10746" max="10746" width="11" style="34" customWidth="1"/>
    <col min="10747" max="10747" width="13.140625" style="34" customWidth="1"/>
    <col min="10748" max="10748" width="11.28515625" style="34" customWidth="1"/>
    <col min="10749" max="10749" width="8.5703125" style="34" customWidth="1"/>
    <col min="10750" max="10750" width="10.140625" style="34" bestFit="1" customWidth="1"/>
    <col min="10751" max="10751" width="12" style="34" bestFit="1" customWidth="1"/>
    <col min="10752" max="10996" width="9.140625" style="34"/>
    <col min="10997" max="10997" width="5.85546875" style="34" customWidth="1"/>
    <col min="10998" max="10998" width="52.7109375" style="34" customWidth="1"/>
    <col min="10999" max="10999" width="9.140625" style="34"/>
    <col min="11000" max="11000" width="16" style="34" customWidth="1"/>
    <col min="11001" max="11001" width="13.85546875" style="34" customWidth="1"/>
    <col min="11002" max="11002" width="11" style="34" customWidth="1"/>
    <col min="11003" max="11003" width="13.140625" style="34" customWidth="1"/>
    <col min="11004" max="11004" width="11.28515625" style="34" customWidth="1"/>
    <col min="11005" max="11005" width="8.5703125" style="34" customWidth="1"/>
    <col min="11006" max="11006" width="10.140625" style="34" bestFit="1" customWidth="1"/>
    <col min="11007" max="11007" width="12" style="34" bestFit="1" customWidth="1"/>
    <col min="11008" max="11252" width="9.140625" style="34"/>
    <col min="11253" max="11253" width="5.85546875" style="34" customWidth="1"/>
    <col min="11254" max="11254" width="52.7109375" style="34" customWidth="1"/>
    <col min="11255" max="11255" width="9.140625" style="34"/>
    <col min="11256" max="11256" width="16" style="34" customWidth="1"/>
    <col min="11257" max="11257" width="13.85546875" style="34" customWidth="1"/>
    <col min="11258" max="11258" width="11" style="34" customWidth="1"/>
    <col min="11259" max="11259" width="13.140625" style="34" customWidth="1"/>
    <col min="11260" max="11260" width="11.28515625" style="34" customWidth="1"/>
    <col min="11261" max="11261" width="8.5703125" style="34" customWidth="1"/>
    <col min="11262" max="11262" width="10.140625" style="34" bestFit="1" customWidth="1"/>
    <col min="11263" max="11263" width="12" style="34" bestFit="1" customWidth="1"/>
    <col min="11264" max="11508" width="9.140625" style="34"/>
    <col min="11509" max="11509" width="5.85546875" style="34" customWidth="1"/>
    <col min="11510" max="11510" width="52.7109375" style="34" customWidth="1"/>
    <col min="11511" max="11511" width="9.140625" style="34"/>
    <col min="11512" max="11512" width="16" style="34" customWidth="1"/>
    <col min="11513" max="11513" width="13.85546875" style="34" customWidth="1"/>
    <col min="11514" max="11514" width="11" style="34" customWidth="1"/>
    <col min="11515" max="11515" width="13.140625" style="34" customWidth="1"/>
    <col min="11516" max="11516" width="11.28515625" style="34" customWidth="1"/>
    <col min="11517" max="11517" width="8.5703125" style="34" customWidth="1"/>
    <col min="11518" max="11518" width="10.140625" style="34" bestFit="1" customWidth="1"/>
    <col min="11519" max="11519" width="12" style="34" bestFit="1" customWidth="1"/>
    <col min="11520" max="11764" width="9.140625" style="34"/>
    <col min="11765" max="11765" width="5.85546875" style="34" customWidth="1"/>
    <col min="11766" max="11766" width="52.7109375" style="34" customWidth="1"/>
    <col min="11767" max="11767" width="9.140625" style="34"/>
    <col min="11768" max="11768" width="16" style="34" customWidth="1"/>
    <col min="11769" max="11769" width="13.85546875" style="34" customWidth="1"/>
    <col min="11770" max="11770" width="11" style="34" customWidth="1"/>
    <col min="11771" max="11771" width="13.140625" style="34" customWidth="1"/>
    <col min="11772" max="11772" width="11.28515625" style="34" customWidth="1"/>
    <col min="11773" max="11773" width="8.5703125" style="34" customWidth="1"/>
    <col min="11774" max="11774" width="10.140625" style="34" bestFit="1" customWidth="1"/>
    <col min="11775" max="11775" width="12" style="34" bestFit="1" customWidth="1"/>
    <col min="11776" max="12020" width="9.140625" style="34"/>
    <col min="12021" max="12021" width="5.85546875" style="34" customWidth="1"/>
    <col min="12022" max="12022" width="52.7109375" style="34" customWidth="1"/>
    <col min="12023" max="12023" width="9.140625" style="34"/>
    <col min="12024" max="12024" width="16" style="34" customWidth="1"/>
    <col min="12025" max="12025" width="13.85546875" style="34" customWidth="1"/>
    <col min="12026" max="12026" width="11" style="34" customWidth="1"/>
    <col min="12027" max="12027" width="13.140625" style="34" customWidth="1"/>
    <col min="12028" max="12028" width="11.28515625" style="34" customWidth="1"/>
    <col min="12029" max="12029" width="8.5703125" style="34" customWidth="1"/>
    <col min="12030" max="12030" width="10.140625" style="34" bestFit="1" customWidth="1"/>
    <col min="12031" max="12031" width="12" style="34" bestFit="1" customWidth="1"/>
    <col min="12032" max="12276" width="9.140625" style="34"/>
    <col min="12277" max="12277" width="5.85546875" style="34" customWidth="1"/>
    <col min="12278" max="12278" width="52.7109375" style="34" customWidth="1"/>
    <col min="12279" max="12279" width="9.140625" style="34"/>
    <col min="12280" max="12280" width="16" style="34" customWidth="1"/>
    <col min="12281" max="12281" width="13.85546875" style="34" customWidth="1"/>
    <col min="12282" max="12282" width="11" style="34" customWidth="1"/>
    <col min="12283" max="12283" width="13.140625" style="34" customWidth="1"/>
    <col min="12284" max="12284" width="11.28515625" style="34" customWidth="1"/>
    <col min="12285" max="12285" width="8.5703125" style="34" customWidth="1"/>
    <col min="12286" max="12286" width="10.140625" style="34" bestFit="1" customWidth="1"/>
    <col min="12287" max="12287" width="12" style="34" bestFit="1" customWidth="1"/>
    <col min="12288" max="12532" width="9.140625" style="34"/>
    <col min="12533" max="12533" width="5.85546875" style="34" customWidth="1"/>
    <col min="12534" max="12534" width="52.7109375" style="34" customWidth="1"/>
    <col min="12535" max="12535" width="9.140625" style="34"/>
    <col min="12536" max="12536" width="16" style="34" customWidth="1"/>
    <col min="12537" max="12537" width="13.85546875" style="34" customWidth="1"/>
    <col min="12538" max="12538" width="11" style="34" customWidth="1"/>
    <col min="12539" max="12539" width="13.140625" style="34" customWidth="1"/>
    <col min="12540" max="12540" width="11.28515625" style="34" customWidth="1"/>
    <col min="12541" max="12541" width="8.5703125" style="34" customWidth="1"/>
    <col min="12542" max="12542" width="10.140625" style="34" bestFit="1" customWidth="1"/>
    <col min="12543" max="12543" width="12" style="34" bestFit="1" customWidth="1"/>
    <col min="12544" max="12788" width="9.140625" style="34"/>
    <col min="12789" max="12789" width="5.85546875" style="34" customWidth="1"/>
    <col min="12790" max="12790" width="52.7109375" style="34" customWidth="1"/>
    <col min="12791" max="12791" width="9.140625" style="34"/>
    <col min="12792" max="12792" width="16" style="34" customWidth="1"/>
    <col min="12793" max="12793" width="13.85546875" style="34" customWidth="1"/>
    <col min="12794" max="12794" width="11" style="34" customWidth="1"/>
    <col min="12795" max="12795" width="13.140625" style="34" customWidth="1"/>
    <col min="12796" max="12796" width="11.28515625" style="34" customWidth="1"/>
    <col min="12797" max="12797" width="8.5703125" style="34" customWidth="1"/>
    <col min="12798" max="12798" width="10.140625" style="34" bestFit="1" customWidth="1"/>
    <col min="12799" max="12799" width="12" style="34" bestFit="1" customWidth="1"/>
    <col min="12800" max="13044" width="9.140625" style="34"/>
    <col min="13045" max="13045" width="5.85546875" style="34" customWidth="1"/>
    <col min="13046" max="13046" width="52.7109375" style="34" customWidth="1"/>
    <col min="13047" max="13047" width="9.140625" style="34"/>
    <col min="13048" max="13048" width="16" style="34" customWidth="1"/>
    <col min="13049" max="13049" width="13.85546875" style="34" customWidth="1"/>
    <col min="13050" max="13050" width="11" style="34" customWidth="1"/>
    <col min="13051" max="13051" width="13.140625" style="34" customWidth="1"/>
    <col min="13052" max="13052" width="11.28515625" style="34" customWidth="1"/>
    <col min="13053" max="13053" width="8.5703125" style="34" customWidth="1"/>
    <col min="13054" max="13054" width="10.140625" style="34" bestFit="1" customWidth="1"/>
    <col min="13055" max="13055" width="12" style="34" bestFit="1" customWidth="1"/>
    <col min="13056" max="13300" width="9.140625" style="34"/>
    <col min="13301" max="13301" width="5.85546875" style="34" customWidth="1"/>
    <col min="13302" max="13302" width="52.7109375" style="34" customWidth="1"/>
    <col min="13303" max="13303" width="9.140625" style="34"/>
    <col min="13304" max="13304" width="16" style="34" customWidth="1"/>
    <col min="13305" max="13305" width="13.85546875" style="34" customWidth="1"/>
    <col min="13306" max="13306" width="11" style="34" customWidth="1"/>
    <col min="13307" max="13307" width="13.140625" style="34" customWidth="1"/>
    <col min="13308" max="13308" width="11.28515625" style="34" customWidth="1"/>
    <col min="13309" max="13309" width="8.5703125" style="34" customWidth="1"/>
    <col min="13310" max="13310" width="10.140625" style="34" bestFit="1" customWidth="1"/>
    <col min="13311" max="13311" width="12" style="34" bestFit="1" customWidth="1"/>
    <col min="13312" max="13556" width="9.140625" style="34"/>
    <col min="13557" max="13557" width="5.85546875" style="34" customWidth="1"/>
    <col min="13558" max="13558" width="52.7109375" style="34" customWidth="1"/>
    <col min="13559" max="13559" width="9.140625" style="34"/>
    <col min="13560" max="13560" width="16" style="34" customWidth="1"/>
    <col min="13561" max="13561" width="13.85546875" style="34" customWidth="1"/>
    <col min="13562" max="13562" width="11" style="34" customWidth="1"/>
    <col min="13563" max="13563" width="13.140625" style="34" customWidth="1"/>
    <col min="13564" max="13564" width="11.28515625" style="34" customWidth="1"/>
    <col min="13565" max="13565" width="8.5703125" style="34" customWidth="1"/>
    <col min="13566" max="13566" width="10.140625" style="34" bestFit="1" customWidth="1"/>
    <col min="13567" max="13567" width="12" style="34" bestFit="1" customWidth="1"/>
    <col min="13568" max="13812" width="9.140625" style="34"/>
    <col min="13813" max="13813" width="5.85546875" style="34" customWidth="1"/>
    <col min="13814" max="13814" width="52.7109375" style="34" customWidth="1"/>
    <col min="13815" max="13815" width="9.140625" style="34"/>
    <col min="13816" max="13816" width="16" style="34" customWidth="1"/>
    <col min="13817" max="13817" width="13.85546875" style="34" customWidth="1"/>
    <col min="13818" max="13818" width="11" style="34" customWidth="1"/>
    <col min="13819" max="13819" width="13.140625" style="34" customWidth="1"/>
    <col min="13820" max="13820" width="11.28515625" style="34" customWidth="1"/>
    <col min="13821" max="13821" width="8.5703125" style="34" customWidth="1"/>
    <col min="13822" max="13822" width="10.140625" style="34" bestFit="1" customWidth="1"/>
    <col min="13823" max="13823" width="12" style="34" bestFit="1" customWidth="1"/>
    <col min="13824" max="14068" width="9.140625" style="34"/>
    <col min="14069" max="14069" width="5.85546875" style="34" customWidth="1"/>
    <col min="14070" max="14070" width="52.7109375" style="34" customWidth="1"/>
    <col min="14071" max="14071" width="9.140625" style="34"/>
    <col min="14072" max="14072" width="16" style="34" customWidth="1"/>
    <col min="14073" max="14073" width="13.85546875" style="34" customWidth="1"/>
    <col min="14074" max="14074" width="11" style="34" customWidth="1"/>
    <col min="14075" max="14075" width="13.140625" style="34" customWidth="1"/>
    <col min="14076" max="14076" width="11.28515625" style="34" customWidth="1"/>
    <col min="14077" max="14077" width="8.5703125" style="34" customWidth="1"/>
    <col min="14078" max="14078" width="10.140625" style="34" bestFit="1" customWidth="1"/>
    <col min="14079" max="14079" width="12" style="34" bestFit="1" customWidth="1"/>
    <col min="14080" max="14324" width="9.140625" style="34"/>
    <col min="14325" max="14325" width="5.85546875" style="34" customWidth="1"/>
    <col min="14326" max="14326" width="52.7109375" style="34" customWidth="1"/>
    <col min="14327" max="14327" width="9.140625" style="34"/>
    <col min="14328" max="14328" width="16" style="34" customWidth="1"/>
    <col min="14329" max="14329" width="13.85546875" style="34" customWidth="1"/>
    <col min="14330" max="14330" width="11" style="34" customWidth="1"/>
    <col min="14331" max="14331" width="13.140625" style="34" customWidth="1"/>
    <col min="14332" max="14332" width="11.28515625" style="34" customWidth="1"/>
    <col min="14333" max="14333" width="8.5703125" style="34" customWidth="1"/>
    <col min="14334" max="14334" width="10.140625" style="34" bestFit="1" customWidth="1"/>
    <col min="14335" max="14335" width="12" style="34" bestFit="1" customWidth="1"/>
    <col min="14336" max="14580" width="9.140625" style="34"/>
    <col min="14581" max="14581" width="5.85546875" style="34" customWidth="1"/>
    <col min="14582" max="14582" width="52.7109375" style="34" customWidth="1"/>
    <col min="14583" max="14583" width="9.140625" style="34"/>
    <col min="14584" max="14584" width="16" style="34" customWidth="1"/>
    <col min="14585" max="14585" width="13.85546875" style="34" customWidth="1"/>
    <col min="14586" max="14586" width="11" style="34" customWidth="1"/>
    <col min="14587" max="14587" width="13.140625" style="34" customWidth="1"/>
    <col min="14588" max="14588" width="11.28515625" style="34" customWidth="1"/>
    <col min="14589" max="14589" width="8.5703125" style="34" customWidth="1"/>
    <col min="14590" max="14590" width="10.140625" style="34" bestFit="1" customWidth="1"/>
    <col min="14591" max="14591" width="12" style="34" bestFit="1" customWidth="1"/>
    <col min="14592" max="14836" width="9.140625" style="34"/>
    <col min="14837" max="14837" width="5.85546875" style="34" customWidth="1"/>
    <col min="14838" max="14838" width="52.7109375" style="34" customWidth="1"/>
    <col min="14839" max="14839" width="9.140625" style="34"/>
    <col min="14840" max="14840" width="16" style="34" customWidth="1"/>
    <col min="14841" max="14841" width="13.85546875" style="34" customWidth="1"/>
    <col min="14842" max="14842" width="11" style="34" customWidth="1"/>
    <col min="14843" max="14843" width="13.140625" style="34" customWidth="1"/>
    <col min="14844" max="14844" width="11.28515625" style="34" customWidth="1"/>
    <col min="14845" max="14845" width="8.5703125" style="34" customWidth="1"/>
    <col min="14846" max="14846" width="10.140625" style="34" bestFit="1" customWidth="1"/>
    <col min="14847" max="14847" width="12" style="34" bestFit="1" customWidth="1"/>
    <col min="14848" max="15092" width="9.140625" style="34"/>
    <col min="15093" max="15093" width="5.85546875" style="34" customWidth="1"/>
    <col min="15094" max="15094" width="52.7109375" style="34" customWidth="1"/>
    <col min="15095" max="15095" width="9.140625" style="34"/>
    <col min="15096" max="15096" width="16" style="34" customWidth="1"/>
    <col min="15097" max="15097" width="13.85546875" style="34" customWidth="1"/>
    <col min="15098" max="15098" width="11" style="34" customWidth="1"/>
    <col min="15099" max="15099" width="13.140625" style="34" customWidth="1"/>
    <col min="15100" max="15100" width="11.28515625" style="34" customWidth="1"/>
    <col min="15101" max="15101" width="8.5703125" style="34" customWidth="1"/>
    <col min="15102" max="15102" width="10.140625" style="34" bestFit="1" customWidth="1"/>
    <col min="15103" max="15103" width="12" style="34" bestFit="1" customWidth="1"/>
    <col min="15104" max="15348" width="9.140625" style="34"/>
    <col min="15349" max="15349" width="5.85546875" style="34" customWidth="1"/>
    <col min="15350" max="15350" width="52.7109375" style="34" customWidth="1"/>
    <col min="15351" max="15351" width="9.140625" style="34"/>
    <col min="15352" max="15352" width="16" style="34" customWidth="1"/>
    <col min="15353" max="15353" width="13.85546875" style="34" customWidth="1"/>
    <col min="15354" max="15354" width="11" style="34" customWidth="1"/>
    <col min="15355" max="15355" width="13.140625" style="34" customWidth="1"/>
    <col min="15356" max="15356" width="11.28515625" style="34" customWidth="1"/>
    <col min="15357" max="15357" width="8.5703125" style="34" customWidth="1"/>
    <col min="15358" max="15358" width="10.140625" style="34" bestFit="1" customWidth="1"/>
    <col min="15359" max="15359" width="12" style="34" bestFit="1" customWidth="1"/>
    <col min="15360" max="15604" width="9.140625" style="34"/>
    <col min="15605" max="15605" width="5.85546875" style="34" customWidth="1"/>
    <col min="15606" max="15606" width="52.7109375" style="34" customWidth="1"/>
    <col min="15607" max="15607" width="9.140625" style="34"/>
    <col min="15608" max="15608" width="16" style="34" customWidth="1"/>
    <col min="15609" max="15609" width="13.85546875" style="34" customWidth="1"/>
    <col min="15610" max="15610" width="11" style="34" customWidth="1"/>
    <col min="15611" max="15611" width="13.140625" style="34" customWidth="1"/>
    <col min="15612" max="15612" width="11.28515625" style="34" customWidth="1"/>
    <col min="15613" max="15613" width="8.5703125" style="34" customWidth="1"/>
    <col min="15614" max="15614" width="10.140625" style="34" bestFit="1" customWidth="1"/>
    <col min="15615" max="15615" width="12" style="34" bestFit="1" customWidth="1"/>
    <col min="15616" max="15860" width="9.140625" style="34"/>
    <col min="15861" max="15861" width="5.85546875" style="34" customWidth="1"/>
    <col min="15862" max="15862" width="52.7109375" style="34" customWidth="1"/>
    <col min="15863" max="15863" width="9.140625" style="34"/>
    <col min="15864" max="15864" width="16" style="34" customWidth="1"/>
    <col min="15865" max="15865" width="13.85546875" style="34" customWidth="1"/>
    <col min="15866" max="15866" width="11" style="34" customWidth="1"/>
    <col min="15867" max="15867" width="13.140625" style="34" customWidth="1"/>
    <col min="15868" max="15868" width="11.28515625" style="34" customWidth="1"/>
    <col min="15869" max="15869" width="8.5703125" style="34" customWidth="1"/>
    <col min="15870" max="15870" width="10.140625" style="34" bestFit="1" customWidth="1"/>
    <col min="15871" max="15871" width="12" style="34" bestFit="1" customWidth="1"/>
    <col min="15872" max="16116" width="9.140625" style="34"/>
    <col min="16117" max="16117" width="5.85546875" style="34" customWidth="1"/>
    <col min="16118" max="16118" width="52.7109375" style="34" customWidth="1"/>
    <col min="16119" max="16119" width="9.140625" style="34"/>
    <col min="16120" max="16120" width="16" style="34" customWidth="1"/>
    <col min="16121" max="16121" width="13.85546875" style="34" customWidth="1"/>
    <col min="16122" max="16122" width="11" style="34" customWidth="1"/>
    <col min="16123" max="16123" width="13.140625" style="34" customWidth="1"/>
    <col min="16124" max="16124" width="11.28515625" style="34" customWidth="1"/>
    <col min="16125" max="16125" width="8.5703125" style="34" customWidth="1"/>
    <col min="16126" max="16126" width="10.140625" style="34" bestFit="1" customWidth="1"/>
    <col min="16127" max="16127" width="12" style="34" bestFit="1" customWidth="1"/>
    <col min="16128" max="16384" width="9.140625" style="34"/>
  </cols>
  <sheetData>
    <row r="1" spans="2:25" x14ac:dyDescent="0.2">
      <c r="B1" s="47" t="str">
        <f>Update!$B$6</f>
        <v>Department of Health</v>
      </c>
      <c r="C1" s="206"/>
      <c r="D1" s="206"/>
      <c r="E1" s="206"/>
      <c r="F1" s="206"/>
      <c r="G1" s="206"/>
      <c r="H1" s="206"/>
      <c r="I1" s="47"/>
      <c r="J1" s="51"/>
      <c r="K1" s="51"/>
      <c r="L1" s="51"/>
      <c r="M1" s="51"/>
      <c r="N1" s="51"/>
      <c r="O1" s="51"/>
      <c r="P1" s="51"/>
      <c r="Q1" s="51"/>
      <c r="R1" s="51"/>
      <c r="S1" s="51"/>
      <c r="T1" s="51"/>
      <c r="U1" s="51"/>
      <c r="V1" s="51"/>
      <c r="W1" s="51"/>
      <c r="X1" s="51"/>
      <c r="Y1" s="51"/>
    </row>
    <row r="2" spans="2:25" x14ac:dyDescent="0.2">
      <c r="B2" s="47" t="str">
        <f>Update!$B$9</f>
        <v>Consolidated Accounts</v>
      </c>
      <c r="C2" s="206"/>
      <c r="D2" s="206"/>
      <c r="E2" s="206"/>
      <c r="F2" s="206"/>
      <c r="G2" s="206"/>
      <c r="H2" s="206"/>
      <c r="I2" s="47"/>
      <c r="J2" s="51"/>
      <c r="K2" s="51"/>
      <c r="L2" s="51"/>
      <c r="M2" s="51"/>
      <c r="N2" s="51"/>
      <c r="O2" s="51"/>
      <c r="P2" s="51"/>
      <c r="Q2" s="51"/>
      <c r="R2" s="51"/>
      <c r="S2" s="51"/>
      <c r="T2" s="51"/>
      <c r="U2" s="51"/>
      <c r="V2" s="51"/>
      <c r="W2" s="51"/>
      <c r="X2" s="51"/>
      <c r="Y2" s="51"/>
    </row>
    <row r="3" spans="2:25" x14ac:dyDescent="0.2">
      <c r="B3" s="47"/>
      <c r="C3" s="206"/>
      <c r="D3" s="206"/>
      <c r="E3" s="206"/>
      <c r="F3" s="206"/>
      <c r="G3" s="206"/>
      <c r="H3" s="206"/>
      <c r="I3" s="738"/>
      <c r="J3" s="51"/>
      <c r="K3" s="51"/>
      <c r="L3" s="51"/>
      <c r="M3" s="51"/>
      <c r="N3" s="51"/>
      <c r="O3" s="51"/>
      <c r="P3" s="51"/>
      <c r="Q3" s="51"/>
      <c r="R3" s="51"/>
      <c r="S3" s="51"/>
      <c r="T3" s="51"/>
      <c r="U3" s="51"/>
      <c r="V3" s="51"/>
      <c r="W3" s="51"/>
      <c r="X3" s="51"/>
      <c r="Y3" s="51"/>
    </row>
    <row r="4" spans="2:25" x14ac:dyDescent="0.2">
      <c r="B4" s="47" t="s">
        <v>554</v>
      </c>
      <c r="C4" s="206"/>
      <c r="D4" s="206"/>
      <c r="E4" s="206"/>
      <c r="F4" s="206"/>
      <c r="G4" s="206"/>
      <c r="H4" s="206"/>
      <c r="I4" s="47"/>
      <c r="J4" s="51"/>
      <c r="K4" s="51"/>
      <c r="L4" s="51"/>
      <c r="M4" s="51"/>
      <c r="N4" s="51"/>
      <c r="O4" s="51"/>
      <c r="P4" s="51"/>
      <c r="Q4" s="51"/>
      <c r="R4" s="51"/>
      <c r="S4" s="51"/>
      <c r="T4" s="51"/>
      <c r="U4" s="51"/>
      <c r="V4" s="51"/>
      <c r="W4" s="51"/>
      <c r="X4" s="51"/>
      <c r="Y4" s="51"/>
    </row>
    <row r="5" spans="2:25" x14ac:dyDescent="0.2">
      <c r="B5" s="47" t="str">
        <f>"as at"&amp;Update!$B$22</f>
        <v>as at 31 March 2026</v>
      </c>
      <c r="C5" s="206"/>
      <c r="D5" s="206"/>
      <c r="E5" s="206"/>
      <c r="F5" s="206"/>
      <c r="G5" s="206"/>
      <c r="H5" s="206"/>
      <c r="I5" s="47"/>
      <c r="J5" s="51"/>
      <c r="K5" s="51"/>
      <c r="L5" s="51"/>
      <c r="M5" s="51"/>
      <c r="N5" s="51"/>
      <c r="O5" s="51"/>
      <c r="P5" s="51"/>
      <c r="Q5" s="51"/>
      <c r="R5" s="51"/>
      <c r="S5" s="51"/>
      <c r="T5" s="51"/>
      <c r="U5" s="51"/>
      <c r="V5" s="51"/>
      <c r="W5" s="51"/>
      <c r="X5" s="51"/>
      <c r="Y5" s="51"/>
    </row>
    <row r="6" spans="2:25" hidden="1" outlineLevel="1" x14ac:dyDescent="0.2">
      <c r="B6" s="47"/>
      <c r="C6" s="206"/>
      <c r="D6" s="206"/>
      <c r="E6" s="206"/>
      <c r="F6" s="206"/>
      <c r="G6" s="206"/>
      <c r="H6" s="206"/>
      <c r="I6" s="47"/>
      <c r="J6" s="51"/>
      <c r="K6" s="51"/>
      <c r="L6" s="51"/>
      <c r="M6" s="51"/>
      <c r="N6" s="51"/>
      <c r="O6" s="51"/>
      <c r="P6" s="51"/>
      <c r="Q6" s="51"/>
      <c r="R6" s="51"/>
      <c r="S6" s="51"/>
      <c r="T6" s="51"/>
      <c r="U6" s="51"/>
      <c r="V6" s="51"/>
      <c r="W6" s="51"/>
      <c r="X6" s="51"/>
      <c r="Y6" s="51"/>
    </row>
    <row r="7" spans="2:25" hidden="1" outlineLevel="1" x14ac:dyDescent="0.2">
      <c r="B7" s="2100" t="s">
        <v>553</v>
      </c>
      <c r="C7" s="2100"/>
      <c r="D7" s="2100"/>
      <c r="E7" s="2100"/>
      <c r="F7" s="2100"/>
      <c r="G7" s="2100"/>
      <c r="H7" s="2100"/>
      <c r="I7" s="2100"/>
      <c r="J7" s="2100"/>
      <c r="K7" s="2100"/>
      <c r="L7" s="2100"/>
      <c r="M7" s="51"/>
      <c r="N7" s="51"/>
      <c r="O7" s="51"/>
      <c r="P7" s="51"/>
      <c r="Q7" s="51"/>
      <c r="R7" s="51"/>
      <c r="S7" s="51"/>
      <c r="T7" s="51"/>
      <c r="U7" s="51"/>
      <c r="V7" s="51"/>
      <c r="W7" s="51"/>
      <c r="X7" s="51"/>
      <c r="Y7" s="51"/>
    </row>
    <row r="8" spans="2:25" collapsed="1" x14ac:dyDescent="0.2">
      <c r="B8" s="51"/>
      <c r="C8" s="206"/>
      <c r="D8" s="206"/>
      <c r="E8" s="206"/>
      <c r="F8" s="206"/>
      <c r="G8" s="206"/>
      <c r="H8" s="206"/>
      <c r="I8" s="51"/>
      <c r="J8" s="51"/>
      <c r="K8" s="51"/>
      <c r="L8" s="51"/>
      <c r="M8" s="51"/>
      <c r="N8" s="51"/>
      <c r="O8" s="51"/>
      <c r="P8" s="51"/>
      <c r="Q8" s="2104" t="s">
        <v>64</v>
      </c>
      <c r="R8" s="2104"/>
      <c r="S8" s="2104"/>
      <c r="T8" s="2104"/>
      <c r="U8" s="51"/>
      <c r="V8" s="2104" t="s">
        <v>64</v>
      </c>
      <c r="W8" s="2104"/>
      <c r="X8" s="2104"/>
      <c r="Y8" s="2104"/>
    </row>
    <row r="9" spans="2:25" x14ac:dyDescent="0.2">
      <c r="B9" s="51"/>
      <c r="C9" s="206"/>
      <c r="D9" s="2103" t="str">
        <f>Update!$B$7</f>
        <v>Core Department &amp; Agencies</v>
      </c>
      <c r="E9" s="2103"/>
      <c r="F9" s="2103"/>
      <c r="G9" s="2103"/>
      <c r="H9" s="206"/>
      <c r="I9" s="2103" t="str">
        <f>Update!$B$8</f>
        <v>Departmental Group</v>
      </c>
      <c r="J9" s="2103"/>
      <c r="K9" s="2103"/>
      <c r="L9" s="2103"/>
      <c r="M9" s="51"/>
      <c r="N9" s="51"/>
      <c r="O9" s="51"/>
      <c r="P9" s="51"/>
      <c r="Q9" s="2103" t="str">
        <f>Update!$B$7</f>
        <v>Core Department &amp; Agencies</v>
      </c>
      <c r="R9" s="2103"/>
      <c r="S9" s="2103"/>
      <c r="T9" s="2103"/>
      <c r="U9" s="206"/>
      <c r="V9" s="2103" t="str">
        <f>Update!$B$8</f>
        <v>Departmental Group</v>
      </c>
      <c r="W9" s="2103"/>
      <c r="X9" s="2103"/>
      <c r="Y9" s="2103"/>
    </row>
    <row r="10" spans="2:25" s="41" customFormat="1" ht="38.25" x14ac:dyDescent="0.2">
      <c r="B10" s="733"/>
      <c r="C10" s="201"/>
      <c r="D10" s="737" t="s">
        <v>126</v>
      </c>
      <c r="E10" s="737" t="s">
        <v>127</v>
      </c>
      <c r="F10" s="737" t="s">
        <v>1050</v>
      </c>
      <c r="G10" s="737" t="s">
        <v>1078</v>
      </c>
      <c r="H10" s="201"/>
      <c r="I10" s="737" t="s">
        <v>126</v>
      </c>
      <c r="J10" s="737" t="s">
        <v>127</v>
      </c>
      <c r="K10" s="737" t="s">
        <v>809</v>
      </c>
      <c r="L10" s="737" t="s">
        <v>1078</v>
      </c>
      <c r="M10" s="740"/>
      <c r="N10" s="733"/>
      <c r="O10" s="189"/>
      <c r="P10" s="189"/>
      <c r="Q10" s="737" t="s">
        <v>126</v>
      </c>
      <c r="R10" s="737" t="s">
        <v>127</v>
      </c>
      <c r="S10" s="737" t="s">
        <v>1050</v>
      </c>
      <c r="T10" s="737" t="s">
        <v>1078</v>
      </c>
      <c r="U10" s="201"/>
      <c r="V10" s="737" t="s">
        <v>126</v>
      </c>
      <c r="W10" s="737" t="s">
        <v>127</v>
      </c>
      <c r="X10" s="737" t="s">
        <v>1050</v>
      </c>
      <c r="Y10" s="737" t="s">
        <v>1078</v>
      </c>
    </row>
    <row r="11" spans="2:25" x14ac:dyDescent="0.2">
      <c r="B11" s="51"/>
      <c r="C11" s="113" t="s">
        <v>461</v>
      </c>
      <c r="D11" s="224" t="s">
        <v>62</v>
      </c>
      <c r="E11" s="224" t="s">
        <v>62</v>
      </c>
      <c r="F11" s="224" t="s">
        <v>62</v>
      </c>
      <c r="G11" s="224" t="s">
        <v>62</v>
      </c>
      <c r="H11" s="113"/>
      <c r="I11" s="224" t="s">
        <v>62</v>
      </c>
      <c r="J11" s="224" t="s">
        <v>62</v>
      </c>
      <c r="K11" s="224" t="s">
        <v>62</v>
      </c>
      <c r="L11" s="224" t="s">
        <v>62</v>
      </c>
      <c r="M11" s="225"/>
      <c r="N11" s="225"/>
      <c r="O11" s="51"/>
      <c r="P11" s="51"/>
      <c r="Q11" s="224" t="s">
        <v>62</v>
      </c>
      <c r="R11" s="224" t="s">
        <v>62</v>
      </c>
      <c r="S11" s="224" t="s">
        <v>62</v>
      </c>
      <c r="T11" s="224" t="s">
        <v>62</v>
      </c>
      <c r="U11" s="113"/>
      <c r="V11" s="224" t="s">
        <v>62</v>
      </c>
      <c r="W11" s="224" t="s">
        <v>62</v>
      </c>
      <c r="X11" s="224" t="s">
        <v>62</v>
      </c>
      <c r="Y11" s="224" t="s">
        <v>62</v>
      </c>
    </row>
    <row r="12" spans="2:25" x14ac:dyDescent="0.2">
      <c r="B12" s="51"/>
      <c r="C12" s="206"/>
      <c r="D12" s="51"/>
      <c r="E12" s="51"/>
      <c r="F12" s="51">
        <f>ROUND(SUMIF(MAP!$E$389:$E$406,$B12,MAP!$N$389:$N$406),0)</f>
        <v>0</v>
      </c>
      <c r="G12" s="51">
        <f>SUM(D12:E12)</f>
        <v>0</v>
      </c>
      <c r="H12" s="206"/>
      <c r="I12" s="51"/>
      <c r="J12" s="51"/>
      <c r="K12" s="51"/>
      <c r="L12" s="51"/>
      <c r="M12" s="51"/>
      <c r="N12" s="51"/>
      <c r="O12" s="51"/>
      <c r="P12" s="51"/>
      <c r="Q12" s="51"/>
      <c r="R12" s="51"/>
      <c r="S12" s="51"/>
      <c r="T12" s="51">
        <f>SUM(Q12:R12)</f>
        <v>0</v>
      </c>
      <c r="U12" s="206"/>
      <c r="V12" s="51"/>
      <c r="W12" s="51"/>
      <c r="X12" s="51"/>
      <c r="Y12" s="51">
        <f t="shared" ref="Y12:Y17" si="0">SUM(V12:X12)</f>
        <v>0</v>
      </c>
    </row>
    <row r="13" spans="2:25" x14ac:dyDescent="0.2">
      <c r="B13" s="51" t="str">
        <f>"Balance at"&amp;Update!$B$17</f>
        <v>Balance at 31 March 2024</v>
      </c>
      <c r="C13" s="206"/>
      <c r="D13" s="1835">
        <v>1817910</v>
      </c>
      <c r="E13" s="1835">
        <v>18465</v>
      </c>
      <c r="F13" s="1835">
        <v>0</v>
      </c>
      <c r="G13" s="51">
        <f>SUM(D13:F13)</f>
        <v>1836375</v>
      </c>
      <c r="H13" s="206"/>
      <c r="I13" s="1835">
        <v>283408</v>
      </c>
      <c r="J13" s="1835">
        <v>1502439</v>
      </c>
      <c r="K13" s="1835">
        <v>98970</v>
      </c>
      <c r="L13" s="51">
        <f>SUM(I13:K13)</f>
        <v>1884817</v>
      </c>
      <c r="M13" s="51"/>
      <c r="N13" s="51"/>
      <c r="O13" s="51"/>
      <c r="P13" s="51"/>
      <c r="Q13" s="51">
        <f>SUMIFS(MAP!$U:$U,MAP!$D:$D,TE!$D$10,MAP!$E:$E,TE!$B13)</f>
        <v>0</v>
      </c>
      <c r="R13" s="51">
        <f>SUMIFS(MAP!$U:$U,MAP!$D:$D,TE!$E$10,MAP!$E:$E,TE!$B13)</f>
        <v>0</v>
      </c>
      <c r="S13" s="51">
        <f>SUMIFS(MAP!$U:$U,MAP!$D:$D,TE!$F$10,MAP!$E:$E,TE!$B13)</f>
        <v>0</v>
      </c>
      <c r="T13" s="51">
        <f>SUM(Q13:R13)</f>
        <v>0</v>
      </c>
      <c r="U13" s="206"/>
      <c r="V13" s="51">
        <f>SUMIFS(MAP!$BD:$BD,MAP!$D:$D,TE!$I$10,MAP!$E:$E,TE!$B13)</f>
        <v>0</v>
      </c>
      <c r="W13" s="51">
        <f>SUMIFS(MAP!$BD:$BD,MAP!$D:$D,TE!$J$10,MAP!$E:$E,TE!$B13)</f>
        <v>0</v>
      </c>
      <c r="X13" s="51">
        <f>SUMIFS(MAP!$BD:$BD,MAP!$D:$D,TE!$K$10,MAP!$E:$E,TE!$B13)</f>
        <v>0</v>
      </c>
      <c r="Y13" s="51">
        <f t="shared" si="0"/>
        <v>0</v>
      </c>
    </row>
    <row r="14" spans="2:25" x14ac:dyDescent="0.2">
      <c r="B14" s="51" t="s">
        <v>2074</v>
      </c>
      <c r="C14" s="206"/>
      <c r="D14" s="1835">
        <f>SUMIFS(MAP!$T:$T,MAP!$D:$D,TE!$D$10,MAP!$E:$E,TE!$B14)</f>
        <v>0</v>
      </c>
      <c r="E14" s="1835">
        <f>SUMIFS(MAP!$T:$T,MAP!$D:$D,TE!$E$10,MAP!$E:$E,TE!$B14)</f>
        <v>0</v>
      </c>
      <c r="F14" s="1835">
        <f>SUMIFS(MAP!$T:$T,MAP!$D:$D,TE!$F$10,MAP!$E:$E,TE!$B14)</f>
        <v>0</v>
      </c>
      <c r="G14" s="51">
        <f>SUM(D14:F14)</f>
        <v>0</v>
      </c>
      <c r="H14" s="206"/>
      <c r="I14" s="1835">
        <v>0</v>
      </c>
      <c r="J14" s="1835">
        <f>SUMIFS(MAP!$N:$N,MAP!$D:$D,TE!$J$10,MAP!$E:$E,TE!$B14)</f>
        <v>0</v>
      </c>
      <c r="K14" s="1835">
        <f>SUMIFS(MAP!$N:$N,MAP!$D:$D,TE!$K$10,MAP!$E:$E,TE!$B14)</f>
        <v>0</v>
      </c>
      <c r="L14" s="51">
        <f>SUM(I14:K14)</f>
        <v>0</v>
      </c>
      <c r="M14" s="742"/>
      <c r="N14" s="51"/>
      <c r="O14" s="1098"/>
      <c r="P14" s="51"/>
      <c r="Q14" s="51">
        <f>SUMIFS(MAP!$U:$U,MAP!$D:$D,TE!$D$10,MAP!$E:$E,TE!$B14)</f>
        <v>0</v>
      </c>
      <c r="R14" s="51">
        <f>SUMIFS(MAP!$U:$U,MAP!$D:$D,TE!$E$10,MAP!$E:$E,TE!$B14)</f>
        <v>0</v>
      </c>
      <c r="S14" s="51">
        <f>SUMIFS(MAP!$U:$U,MAP!$D:$D,TE!$F$10,MAP!$E:$E,TE!$B14)</f>
        <v>0</v>
      </c>
      <c r="T14" s="51">
        <f>SUM(Q14:R14)</f>
        <v>0</v>
      </c>
      <c r="U14" s="206"/>
      <c r="V14" s="51">
        <f>SUMIFS(MAP!$BD:$BD,MAP!$D:$D,TE!$I$10,MAP!$E:$E,TE!$B14)</f>
        <v>2009000</v>
      </c>
      <c r="W14" s="51">
        <f>SUMIFS(MAP!$BD:$BD,MAP!$D:$D,TE!$J$10,MAP!$E:$E,TE!$B14)</f>
        <v>0</v>
      </c>
      <c r="X14" s="51">
        <f>SUMIFS(MAP!$BD:$BD,MAP!$D:$D,TE!$K$10,MAP!$E:$E,TE!$B14)</f>
        <v>0</v>
      </c>
      <c r="Y14" s="51">
        <f t="shared" si="0"/>
        <v>2009000</v>
      </c>
    </row>
    <row r="15" spans="2:25" x14ac:dyDescent="0.2">
      <c r="B15" s="189" t="s">
        <v>111</v>
      </c>
      <c r="C15" s="206"/>
      <c r="D15" s="1835">
        <f>SUMIFS(MAP!$T:$T,MAP!$D:$D,TE!$D$10,MAP!$E:$E,TE!$B15)</f>
        <v>0</v>
      </c>
      <c r="E15" s="1835">
        <f>SUMIFS(MAP!$T:$T,MAP!$D:$D,TE!$E$10,MAP!$E:$E,TE!$B15)</f>
        <v>0</v>
      </c>
      <c r="F15" s="1835">
        <f>SUMIFS(MAP!$T:$T,MAP!$D:$D,TE!$F$10,MAP!$E:$E,TE!$B15)</f>
        <v>0</v>
      </c>
      <c r="G15" s="51">
        <f>SUM(D15:F15)</f>
        <v>0</v>
      </c>
      <c r="H15" s="206"/>
      <c r="I15" s="1835"/>
      <c r="J15" s="1835"/>
      <c r="K15" s="1835">
        <f>SUMIFS(MAP!$N:$N,MAP!$D:$D,TE!$K$10,MAP!$E:$E,TE!$B15)</f>
        <v>0</v>
      </c>
      <c r="L15" s="51">
        <f>SUM(I15:K15)</f>
        <v>0</v>
      </c>
      <c r="M15" s="51"/>
      <c r="N15" s="51"/>
      <c r="O15" s="51"/>
      <c r="P15" s="51"/>
      <c r="Q15" s="51">
        <f>SUMIFS(MAP!$U:$U,MAP!$D:$D,TE!$D$10,MAP!$E:$E,TE!$B15)</f>
        <v>0</v>
      </c>
      <c r="R15" s="51">
        <f>SUMIFS(MAP!$U:$U,MAP!$D:$D,TE!$E$10,MAP!$E:$E,TE!$B15)</f>
        <v>0</v>
      </c>
      <c r="S15" s="51">
        <f>SUMIFS(MAP!$U:$U,MAP!$D:$D,TE!$F$10,MAP!$E:$E,TE!$B15)</f>
        <v>0</v>
      </c>
      <c r="T15" s="51">
        <f>SUM(Q15:R15)</f>
        <v>0</v>
      </c>
      <c r="U15" s="206"/>
      <c r="V15" s="51">
        <f>SUMIFS(MAP!$BD:$BD,MAP!$D:$D,TE!$I$10,MAP!$E:$E,TE!$B15)</f>
        <v>0</v>
      </c>
      <c r="W15" s="51">
        <f>SUMIFS(MAP!$BD:$BD,MAP!$D:$D,TE!$J$10,MAP!$E:$E,TE!$B15)</f>
        <v>0</v>
      </c>
      <c r="X15" s="51">
        <f>SUMIFS(MAP!$BD:$BD,MAP!$D:$D,TE!$K$10,MAP!$E:$E,TE!$B15)</f>
        <v>0</v>
      </c>
      <c r="Y15" s="51">
        <f t="shared" si="0"/>
        <v>0</v>
      </c>
    </row>
    <row r="16" spans="2:25" x14ac:dyDescent="0.2">
      <c r="B16" s="51" t="s">
        <v>329</v>
      </c>
      <c r="C16" s="206"/>
      <c r="D16" s="1835">
        <f>SUMIFS(MAP!$T:$T,MAP!$D:$D,TE!$D$10,MAP!$E:$E,TE!$B16)</f>
        <v>0</v>
      </c>
      <c r="E16" s="1835">
        <f>SUMIFS(MAP!$T:$T,MAP!$D:$D,TE!$E$10,MAP!$E:$E,TE!$B16)</f>
        <v>0</v>
      </c>
      <c r="F16" s="1835">
        <f>SUMIFS(MAP!$T:$T,MAP!$D:$D,TE!$F$10,MAP!$E:$E,TE!$B16)</f>
        <v>0</v>
      </c>
      <c r="G16" s="51">
        <f>SUM(D16:F16)</f>
        <v>0</v>
      </c>
      <c r="H16" s="206"/>
      <c r="I16" s="1835">
        <f>SUMIFS(MAP!$N:$N,MAP!$D:$D,TE!$I$10,MAP!$E:$E,TE!$B16)</f>
        <v>0</v>
      </c>
      <c r="J16" s="1835">
        <f>SUMIFS(MAP!$N:$N,MAP!$D:$D,TE!$J$10,MAP!$E:$E,TE!$B16)</f>
        <v>0</v>
      </c>
      <c r="K16" s="1835">
        <f>SUMIFS(MAP!$N:$N,MAP!$D:$D,TE!$K$10,MAP!$E:$E,TE!$B16)</f>
        <v>0</v>
      </c>
      <c r="L16" s="51">
        <f>SUM(I16:K16)</f>
        <v>0</v>
      </c>
      <c r="M16" s="51"/>
      <c r="N16" s="51"/>
      <c r="O16" s="51"/>
      <c r="P16" s="51"/>
      <c r="Q16" s="51">
        <f>SUMIFS(MAP!$U:$U,MAP!$D:$D,TE!$D$10,MAP!$E:$E,TE!$B16)</f>
        <v>0</v>
      </c>
      <c r="R16" s="51">
        <f>SUMIFS(MAP!$U:$U,MAP!$D:$D,TE!$E$10,MAP!$E:$E,TE!$B16)</f>
        <v>0</v>
      </c>
      <c r="S16" s="51">
        <f>SUMIFS(MAP!$U:$U,MAP!$D:$D,TE!$F$10,MAP!$E:$E,TE!$B16)</f>
        <v>0</v>
      </c>
      <c r="T16" s="51">
        <f>SUM(Q16:R16)</f>
        <v>0</v>
      </c>
      <c r="U16" s="206"/>
      <c r="V16" s="51">
        <f>SUMIFS(MAP!$BD:$BD,MAP!$D:$D,TE!$I$10,MAP!$E:$E,TE!$B16)</f>
        <v>0</v>
      </c>
      <c r="W16" s="51">
        <f>SUMIFS(MAP!$BD:$BD,MAP!$D:$D,TE!$J$10,MAP!$E:$E,TE!$B16)</f>
        <v>0</v>
      </c>
      <c r="X16" s="51">
        <f>SUMIFS(MAP!$BD:$BD,MAP!$D:$D,TE!$K$10,MAP!$E:$E,TE!$B16)</f>
        <v>0</v>
      </c>
      <c r="Y16" s="51">
        <f t="shared" si="0"/>
        <v>0</v>
      </c>
    </row>
    <row r="17" spans="2:26" x14ac:dyDescent="0.2">
      <c r="B17" s="51" t="str">
        <f>"Restated Balances as at"&amp;Update!$B$18</f>
        <v>Restated Balances as at 1 April 2024</v>
      </c>
      <c r="C17" s="206"/>
      <c r="D17" s="124">
        <f>SUM(D13:D16)</f>
        <v>1817910</v>
      </c>
      <c r="E17" s="124">
        <f>SUM(E13:E16)</f>
        <v>18465</v>
      </c>
      <c r="F17" s="124">
        <f>SUM(F13:F16)</f>
        <v>0</v>
      </c>
      <c r="G17" s="124">
        <f>SUM(G13:G16)</f>
        <v>1836375</v>
      </c>
      <c r="H17" s="206"/>
      <c r="I17" s="124">
        <f>SUM(I13:I16)</f>
        <v>283408</v>
      </c>
      <c r="J17" s="124">
        <f>SUM(J13:J16)</f>
        <v>1502439</v>
      </c>
      <c r="K17" s="124">
        <f>SUM(K13:K16)</f>
        <v>98970</v>
      </c>
      <c r="L17" s="124">
        <f>SUM(I17:K17)</f>
        <v>1884817</v>
      </c>
      <c r="M17" s="741"/>
      <c r="N17" s="51"/>
      <c r="O17" s="51"/>
      <c r="P17" s="51"/>
      <c r="Q17" s="124">
        <f>SUM(Q13:Q16)</f>
        <v>0</v>
      </c>
      <c r="R17" s="124">
        <f>SUM(R13:R16)</f>
        <v>0</v>
      </c>
      <c r="S17" s="124">
        <f>SUM(S13:S16)</f>
        <v>0</v>
      </c>
      <c r="T17" s="124">
        <f>SUM(T13:T16)</f>
        <v>0</v>
      </c>
      <c r="U17" s="206"/>
      <c r="V17" s="124">
        <f>SUM(V13:V16)</f>
        <v>2009000</v>
      </c>
      <c r="W17" s="124">
        <f>SUM(W13:W16)</f>
        <v>0</v>
      </c>
      <c r="X17" s="124">
        <f>SUM(X13:X16)</f>
        <v>0</v>
      </c>
      <c r="Y17" s="124">
        <f t="shared" si="0"/>
        <v>2009000</v>
      </c>
    </row>
    <row r="18" spans="2:26" x14ac:dyDescent="0.2">
      <c r="B18" s="51"/>
      <c r="C18" s="206"/>
      <c r="D18" s="51"/>
      <c r="E18" s="51"/>
      <c r="F18" s="51"/>
      <c r="G18" s="51"/>
      <c r="H18" s="206"/>
      <c r="I18" s="51"/>
      <c r="J18" s="51"/>
      <c r="K18" s="51"/>
      <c r="L18" s="51"/>
      <c r="M18" s="51"/>
      <c r="N18" s="51"/>
      <c r="O18" s="51"/>
      <c r="P18" s="51"/>
      <c r="Q18" s="51"/>
      <c r="R18" s="51"/>
      <c r="S18" s="51"/>
      <c r="T18" s="51"/>
      <c r="U18" s="206"/>
      <c r="V18" s="51"/>
      <c r="W18" s="51"/>
      <c r="X18" s="51"/>
      <c r="Y18" s="51"/>
    </row>
    <row r="19" spans="2:26" x14ac:dyDescent="0.2">
      <c r="B19" s="51" t="s">
        <v>113</v>
      </c>
      <c r="C19" s="206"/>
      <c r="D19" s="1835">
        <v>8136687</v>
      </c>
      <c r="E19" s="1835"/>
      <c r="F19" s="1835">
        <f>ROUND(SUMIF(MAP!$E$389:$E$406,$B19,MAP!$N$389:$N$406),0)</f>
        <v>0</v>
      </c>
      <c r="G19" s="51">
        <f>SUM(D19:F19)</f>
        <v>8136687</v>
      </c>
      <c r="H19" s="206"/>
      <c r="I19" s="1835">
        <v>8136687</v>
      </c>
      <c r="J19" s="1835"/>
      <c r="K19" s="1835">
        <v>0</v>
      </c>
      <c r="L19" s="51">
        <f>SUM(I19:K19)</f>
        <v>8136687</v>
      </c>
      <c r="M19" s="122"/>
      <c r="N19" s="51"/>
      <c r="O19" s="51"/>
      <c r="P19" s="51"/>
      <c r="Q19" s="51">
        <f>SUMIFS(MAP!$U:$U,MAP!$D:$D,TE!$D$10,MAP!$E:$E,TE!$B19)</f>
        <v>0</v>
      </c>
      <c r="R19" s="51"/>
      <c r="S19" s="51"/>
      <c r="T19" s="51">
        <f t="shared" ref="T19:T27" si="1">SUM(Q19:R19)</f>
        <v>0</v>
      </c>
      <c r="U19" s="206"/>
      <c r="V19" s="51">
        <f>SUMIFS(MAP!$BD:$BD,MAP!$D:$D,TE!$I$10,MAP!$E:$E,TE!$B19)</f>
        <v>0</v>
      </c>
      <c r="W19" s="51"/>
      <c r="X19" s="51">
        <f>SUMIFS(MAP!$BD:$BD,MAP!$D:$D,TE!$K$10,MAP!$E:$E,TE!$B19)</f>
        <v>0</v>
      </c>
      <c r="Y19" s="51">
        <f t="shared" ref="Y19:Y43" si="2">SUM(V19:X19)</f>
        <v>0</v>
      </c>
    </row>
    <row r="20" spans="2:26" x14ac:dyDescent="0.2">
      <c r="B20" s="51" t="s">
        <v>114</v>
      </c>
      <c r="C20" s="206"/>
      <c r="D20" s="1835">
        <v>0</v>
      </c>
      <c r="E20" s="1835"/>
      <c r="F20" s="1835"/>
      <c r="G20" s="51">
        <f t="shared" ref="G20:G45" si="3">SUM(D20:F20)</f>
        <v>0</v>
      </c>
      <c r="H20" s="206"/>
      <c r="I20" s="1835">
        <v>0</v>
      </c>
      <c r="J20" s="1835"/>
      <c r="K20" s="1835">
        <v>0</v>
      </c>
      <c r="L20" s="51">
        <f t="shared" ref="L20:L45" si="4">SUM(I20:K20)</f>
        <v>0</v>
      </c>
      <c r="M20" s="122"/>
      <c r="N20" s="51"/>
      <c r="O20" s="51"/>
      <c r="P20" s="51"/>
      <c r="Q20" s="51">
        <f>SUMIFS(MAP!$U:$U,MAP!$D:$D,TE!$D$10,MAP!$E:$E,TE!$B20)</f>
        <v>0</v>
      </c>
      <c r="R20" s="51"/>
      <c r="S20" s="51"/>
      <c r="T20" s="51">
        <f t="shared" si="1"/>
        <v>0</v>
      </c>
      <c r="U20" s="206"/>
      <c r="V20" s="51">
        <f>SUMIFS(MAP!$BD:$BD,MAP!$D:$D,TE!$I$10,MAP!$E:$E,TE!$B20)</f>
        <v>0</v>
      </c>
      <c r="W20" s="51"/>
      <c r="X20" s="51">
        <f>SUMIFS(MAP!$BD:$BD,MAP!$D:$D,TE!$K$10,MAP!$E:$E,TE!$B20)</f>
        <v>0</v>
      </c>
      <c r="Y20" s="51">
        <f t="shared" si="2"/>
        <v>0</v>
      </c>
    </row>
    <row r="21" spans="2:26" x14ac:dyDescent="0.2">
      <c r="B21" s="51" t="s">
        <v>332</v>
      </c>
      <c r="C21" s="206"/>
      <c r="D21" s="1835">
        <v>63074</v>
      </c>
      <c r="E21" s="1835"/>
      <c r="F21" s="1835"/>
      <c r="G21" s="51">
        <f t="shared" si="3"/>
        <v>63074</v>
      </c>
      <c r="H21" s="206"/>
      <c r="I21" s="1835">
        <v>63074</v>
      </c>
      <c r="J21" s="1835"/>
      <c r="K21" s="1835">
        <v>0</v>
      </c>
      <c r="L21" s="51">
        <f t="shared" si="4"/>
        <v>63074</v>
      </c>
      <c r="M21" s="122"/>
      <c r="N21" s="51"/>
      <c r="O21" s="51"/>
      <c r="P21" s="51"/>
      <c r="Q21" s="51">
        <f>SUMIFS(MAP!$U:$U,MAP!$D:$D,TE!$D$10,MAP!$E:$E,TE!$B21)</f>
        <v>0</v>
      </c>
      <c r="R21" s="51"/>
      <c r="S21" s="51"/>
      <c r="T21" s="51">
        <f t="shared" si="1"/>
        <v>0</v>
      </c>
      <c r="U21" s="206"/>
      <c r="V21" s="51">
        <f>SUMIFS(MAP!$BD:$BD,MAP!$D:$D,TE!$I$10,MAP!$E:$E,TE!$B21)</f>
        <v>0</v>
      </c>
      <c r="W21" s="51"/>
      <c r="X21" s="51">
        <f>SUMIFS(MAP!$BD:$BD,MAP!$D:$D,TE!$K$10,MAP!$E:$E,TE!$B21)</f>
        <v>0</v>
      </c>
      <c r="Y21" s="51">
        <f t="shared" si="2"/>
        <v>0</v>
      </c>
    </row>
    <row r="22" spans="2:26" x14ac:dyDescent="0.2">
      <c r="B22" s="51" t="s">
        <v>333</v>
      </c>
      <c r="C22" s="206"/>
      <c r="D22" s="1835">
        <v>0</v>
      </c>
      <c r="E22" s="1835"/>
      <c r="F22" s="1835"/>
      <c r="G22" s="51">
        <f t="shared" si="3"/>
        <v>0</v>
      </c>
      <c r="H22" s="206"/>
      <c r="I22" s="1835">
        <v>0</v>
      </c>
      <c r="J22" s="1835"/>
      <c r="K22" s="1835">
        <v>0</v>
      </c>
      <c r="L22" s="51">
        <f t="shared" si="4"/>
        <v>0</v>
      </c>
      <c r="M22" s="122"/>
      <c r="N22" s="51"/>
      <c r="O22" s="51"/>
      <c r="P22" s="51"/>
      <c r="Q22" s="51">
        <f>SUMIFS(MAP!$U:$U,MAP!$D:$D,TE!$D$10,MAP!$E:$E,TE!$B22)</f>
        <v>0</v>
      </c>
      <c r="R22" s="51"/>
      <c r="S22" s="51"/>
      <c r="T22" s="51">
        <f t="shared" si="1"/>
        <v>0</v>
      </c>
      <c r="U22" s="206"/>
      <c r="V22" s="51">
        <f>SUMIFS(MAP!$BD:$BD,MAP!$D:$D,TE!$I$10,MAP!$E:$E,TE!$B22)</f>
        <v>0</v>
      </c>
      <c r="W22" s="51"/>
      <c r="X22" s="51">
        <f>SUMIFS(MAP!$BD:$BD,MAP!$D:$D,TE!$K$10,MAP!$E:$E,TE!$B22)</f>
        <v>0</v>
      </c>
      <c r="Y22" s="51">
        <f t="shared" si="2"/>
        <v>0</v>
      </c>
    </row>
    <row r="23" spans="2:26" x14ac:dyDescent="0.2">
      <c r="B23" s="51" t="s">
        <v>115</v>
      </c>
      <c r="C23" s="206"/>
      <c r="D23" s="1835">
        <v>-27203</v>
      </c>
      <c r="E23" s="1835"/>
      <c r="F23" s="1835"/>
      <c r="G23" s="51">
        <f t="shared" si="3"/>
        <v>-27203</v>
      </c>
      <c r="H23" s="206"/>
      <c r="I23" s="1835">
        <v>-27203</v>
      </c>
      <c r="J23" s="1835"/>
      <c r="K23" s="1835">
        <v>0</v>
      </c>
      <c r="L23" s="51">
        <f t="shared" si="4"/>
        <v>-27203</v>
      </c>
      <c r="M23" s="51"/>
      <c r="N23" s="51"/>
      <c r="O23" s="51"/>
      <c r="P23" s="51"/>
      <c r="Q23" s="51">
        <f>SUMIFS(MAP!$U:$U,MAP!$D:$D,TE!$D$10,MAP!$E:$E,TE!$B23)</f>
        <v>0</v>
      </c>
      <c r="R23" s="51"/>
      <c r="S23" s="51"/>
      <c r="T23" s="51">
        <f t="shared" si="1"/>
        <v>0</v>
      </c>
      <c r="U23" s="206"/>
      <c r="V23" s="51">
        <f>SUMIFS(MAP!$BD:$BD,MAP!$D:$D,TE!$I$10,MAP!$E:$E,TE!$B23)</f>
        <v>0</v>
      </c>
      <c r="W23" s="51"/>
      <c r="X23" s="51">
        <f>SUMIFS(MAP!$BD:$BD,MAP!$D:$D,TE!$K$10,MAP!$E:$E,TE!$B23)</f>
        <v>0</v>
      </c>
      <c r="Y23" s="51">
        <f t="shared" si="2"/>
        <v>0</v>
      </c>
    </row>
    <row r="24" spans="2:26" x14ac:dyDescent="0.2">
      <c r="B24" s="51" t="s">
        <v>334</v>
      </c>
      <c r="C24" s="206"/>
      <c r="D24" s="1835">
        <v>0</v>
      </c>
      <c r="E24" s="1835"/>
      <c r="F24" s="1835"/>
      <c r="G24" s="51">
        <f t="shared" si="3"/>
        <v>0</v>
      </c>
      <c r="H24" s="206"/>
      <c r="I24" s="1835">
        <v>0</v>
      </c>
      <c r="J24" s="1835"/>
      <c r="K24" s="1835">
        <v>0</v>
      </c>
      <c r="L24" s="51">
        <f t="shared" si="4"/>
        <v>0</v>
      </c>
      <c r="M24" s="51"/>
      <c r="N24" s="51"/>
      <c r="O24" s="51"/>
      <c r="P24" s="51"/>
      <c r="Q24" s="51">
        <f>SUMIFS(MAP!$U:$U,MAP!$D:$D,TE!$D$10,MAP!$E:$E,TE!$B24)</f>
        <v>0</v>
      </c>
      <c r="R24" s="51"/>
      <c r="S24" s="51"/>
      <c r="T24" s="51">
        <f t="shared" si="1"/>
        <v>0</v>
      </c>
      <c r="U24" s="206"/>
      <c r="V24" s="51">
        <f>SUMIFS(MAP!$BD:$BD,MAP!$D:$D,TE!$I$10,MAP!$E:$E,TE!$B24)</f>
        <v>0</v>
      </c>
      <c r="W24" s="51"/>
      <c r="X24" s="51">
        <f>SUMIFS(MAP!$BD:$BD,MAP!$D:$D,TE!$K$10,MAP!$E:$E,TE!$B24)</f>
        <v>0</v>
      </c>
      <c r="Y24" s="51">
        <f t="shared" si="2"/>
        <v>0</v>
      </c>
    </row>
    <row r="25" spans="2:26" x14ac:dyDescent="0.2">
      <c r="B25" s="51" t="s">
        <v>116</v>
      </c>
      <c r="C25" s="206"/>
      <c r="D25" s="1835">
        <v>-373</v>
      </c>
      <c r="E25" s="1835"/>
      <c r="F25" s="1835"/>
      <c r="G25" s="51">
        <f t="shared" si="3"/>
        <v>-373</v>
      </c>
      <c r="H25" s="206"/>
      <c r="I25" s="1835">
        <v>-373</v>
      </c>
      <c r="J25" s="1835"/>
      <c r="K25" s="1835">
        <v>0</v>
      </c>
      <c r="L25" s="51">
        <f t="shared" si="4"/>
        <v>-373</v>
      </c>
      <c r="M25" s="51"/>
      <c r="N25" s="51"/>
      <c r="O25" s="51"/>
      <c r="P25" s="51"/>
      <c r="Q25" s="51">
        <f>SUMIFS(MAP!$U:$U,MAP!$D:$D,TE!$D$10,MAP!$E:$E,TE!$B25)</f>
        <v>0</v>
      </c>
      <c r="R25" s="51"/>
      <c r="S25" s="51"/>
      <c r="T25" s="51">
        <f t="shared" si="1"/>
        <v>0</v>
      </c>
      <c r="U25" s="206"/>
      <c r="V25" s="51">
        <f>SUMIFS(MAP!$BD:$BD,MAP!$D:$D,TE!$I$10,MAP!$E:$E,TE!$B25)</f>
        <v>0</v>
      </c>
      <c r="W25" s="51"/>
      <c r="X25" s="51">
        <f>SUMIFS(MAP!$BD:$BD,MAP!$D:$D,TE!$K$10,MAP!$E:$E,TE!$B25)</f>
        <v>0</v>
      </c>
      <c r="Y25" s="51">
        <f t="shared" si="2"/>
        <v>0</v>
      </c>
    </row>
    <row r="26" spans="2:26" x14ac:dyDescent="0.2">
      <c r="B26" s="51" t="s">
        <v>2178</v>
      </c>
      <c r="C26" s="206"/>
      <c r="D26" s="1835">
        <v>792951</v>
      </c>
      <c r="E26" s="1835"/>
      <c r="F26" s="1835"/>
      <c r="G26" s="51">
        <f t="shared" si="3"/>
        <v>792951</v>
      </c>
      <c r="H26" s="206"/>
      <c r="I26" s="1835">
        <v>792951</v>
      </c>
      <c r="J26" s="1835"/>
      <c r="K26" s="1835"/>
      <c r="L26" s="51">
        <f t="shared" si="4"/>
        <v>792951</v>
      </c>
      <c r="M26" s="51"/>
      <c r="N26" s="51"/>
      <c r="O26" s="51"/>
      <c r="P26" s="51"/>
      <c r="Q26" s="51"/>
      <c r="R26" s="51"/>
      <c r="S26" s="51"/>
      <c r="T26" s="51"/>
      <c r="U26" s="206"/>
      <c r="V26" s="51"/>
      <c r="W26" s="51"/>
      <c r="X26" s="51"/>
      <c r="Y26" s="51"/>
    </row>
    <row r="27" spans="2:26" x14ac:dyDescent="0.2">
      <c r="B27" s="51" t="s">
        <v>761</v>
      </c>
      <c r="C27" s="206"/>
      <c r="D27" s="1835">
        <v>0</v>
      </c>
      <c r="E27" s="1835"/>
      <c r="F27" s="1835"/>
      <c r="G27" s="51">
        <f t="shared" si="3"/>
        <v>0</v>
      </c>
      <c r="H27" s="206"/>
      <c r="I27" s="1835">
        <v>0</v>
      </c>
      <c r="J27" s="1835"/>
      <c r="K27" s="1835">
        <v>0</v>
      </c>
      <c r="L27" s="51">
        <f t="shared" si="4"/>
        <v>0</v>
      </c>
      <c r="M27" s="51"/>
      <c r="N27" s="51"/>
      <c r="O27" s="51"/>
      <c r="P27" s="51"/>
      <c r="Q27" s="51">
        <f>SUMIFS(MAP!$U:$U,MAP!$D:$D,TE!$D$10,MAP!$E:$E,TE!$B27)</f>
        <v>0</v>
      </c>
      <c r="R27" s="51"/>
      <c r="S27" s="51"/>
      <c r="T27" s="51">
        <f t="shared" si="1"/>
        <v>0</v>
      </c>
      <c r="U27" s="206"/>
      <c r="V27" s="51">
        <f>SUMIFS(MAP!$BD:$BD,MAP!$D:$D,TE!$I$10,MAP!$E:$E,TE!$B27)</f>
        <v>0</v>
      </c>
      <c r="W27" s="51"/>
      <c r="X27" s="51">
        <f>SUMIFS(MAP!$BD:$BD,MAP!$D:$D,TE!$K$10,MAP!$E:$E,TE!$B27)</f>
        <v>0</v>
      </c>
      <c r="Y27" s="51">
        <f t="shared" si="2"/>
        <v>0</v>
      </c>
    </row>
    <row r="28" spans="2:26" s="37" customFormat="1" x14ac:dyDescent="0.2">
      <c r="B28" s="47" t="s">
        <v>117</v>
      </c>
      <c r="C28" s="113"/>
      <c r="D28" s="744">
        <f>SUM(D19:D27)</f>
        <v>8965136</v>
      </c>
      <c r="E28" s="744">
        <f>SUM(E19:E27)</f>
        <v>0</v>
      </c>
      <c r="F28" s="744">
        <f>SUM(F19:F27)</f>
        <v>0</v>
      </c>
      <c r="G28" s="744">
        <f>SUM(G19:G27)</f>
        <v>8965136</v>
      </c>
      <c r="H28" s="113"/>
      <c r="I28" s="744">
        <f>SUM(I19:I27)</f>
        <v>8965136</v>
      </c>
      <c r="J28" s="744">
        <f>SUM(J19:J27)</f>
        <v>0</v>
      </c>
      <c r="K28" s="744">
        <f>SUM(K19:K27)</f>
        <v>0</v>
      </c>
      <c r="L28" s="744">
        <f>SUM(L19:L27)</f>
        <v>8965136</v>
      </c>
      <c r="M28" s="47"/>
      <c r="N28" s="47"/>
      <c r="O28" s="47"/>
      <c r="P28" s="47"/>
      <c r="Q28" s="47"/>
      <c r="R28" s="47"/>
      <c r="S28" s="47"/>
      <c r="T28" s="47"/>
      <c r="U28" s="113"/>
      <c r="V28" s="47"/>
      <c r="W28" s="47"/>
      <c r="X28" s="47"/>
      <c r="Y28" s="47"/>
    </row>
    <row r="29" spans="2:26" x14ac:dyDescent="0.2">
      <c r="B29" s="51" t="s">
        <v>118</v>
      </c>
      <c r="C29" s="206"/>
      <c r="D29" s="1835">
        <v>-8911914</v>
      </c>
      <c r="E29" s="1835">
        <v>3382</v>
      </c>
      <c r="F29" s="1835">
        <v>0</v>
      </c>
      <c r="G29" s="51">
        <f t="shared" si="3"/>
        <v>-8908532</v>
      </c>
      <c r="H29" s="206"/>
      <c r="I29" s="1835">
        <v>-9285836</v>
      </c>
      <c r="J29" s="1835">
        <v>167105</v>
      </c>
      <c r="K29" s="1835">
        <v>-4452</v>
      </c>
      <c r="L29" s="51">
        <f t="shared" si="4"/>
        <v>-9123183</v>
      </c>
      <c r="M29" s="51"/>
      <c r="N29" s="51"/>
      <c r="O29" s="741"/>
      <c r="P29" s="51"/>
      <c r="Q29" s="51"/>
      <c r="R29" s="51"/>
      <c r="S29" s="51"/>
      <c r="T29" s="51"/>
      <c r="U29" s="206"/>
      <c r="V29" s="51"/>
      <c r="W29" s="51"/>
      <c r="X29" s="51"/>
      <c r="Y29" s="51"/>
      <c r="Z29" s="51"/>
    </row>
    <row r="30" spans="2:26" x14ac:dyDescent="0.2">
      <c r="B30" s="51" t="s">
        <v>903</v>
      </c>
      <c r="C30" s="206"/>
      <c r="D30" s="1835">
        <v>0</v>
      </c>
      <c r="E30" s="1835">
        <v>0</v>
      </c>
      <c r="F30" s="1835">
        <v>0</v>
      </c>
      <c r="G30" s="51">
        <f t="shared" si="3"/>
        <v>0</v>
      </c>
      <c r="H30" s="206"/>
      <c r="I30" s="1835">
        <v>0</v>
      </c>
      <c r="J30" s="1835">
        <v>0</v>
      </c>
      <c r="K30" s="1835">
        <v>0</v>
      </c>
      <c r="L30" s="51">
        <f t="shared" si="4"/>
        <v>0</v>
      </c>
      <c r="M30" s="742">
        <f>+G29+G30+SCNE!K68</f>
        <v>0</v>
      </c>
      <c r="N30" s="742">
        <f>+L29+L30+SCNE!M68</f>
        <v>-2</v>
      </c>
      <c r="O30" s="51"/>
      <c r="P30" s="51"/>
      <c r="Q30" s="51"/>
      <c r="R30" s="51"/>
      <c r="S30" s="51"/>
      <c r="T30" s="51"/>
      <c r="U30" s="206"/>
      <c r="V30" s="51"/>
      <c r="W30" s="51"/>
      <c r="X30" s="51"/>
      <c r="Y30" s="51"/>
      <c r="Z30" s="51"/>
    </row>
    <row r="31" spans="2:26" x14ac:dyDescent="0.2">
      <c r="B31" s="51"/>
      <c r="C31" s="206"/>
      <c r="D31" s="1835"/>
      <c r="E31" s="1835"/>
      <c r="F31" s="1835"/>
      <c r="G31" s="51">
        <f t="shared" si="3"/>
        <v>0</v>
      </c>
      <c r="H31" s="206"/>
      <c r="I31" s="1835"/>
      <c r="J31" s="1835"/>
      <c r="K31" s="1835"/>
      <c r="L31" s="51">
        <f t="shared" si="4"/>
        <v>0</v>
      </c>
      <c r="M31" s="122"/>
      <c r="N31" s="51"/>
      <c r="O31" s="51"/>
      <c r="P31" s="51"/>
      <c r="Q31" s="51"/>
      <c r="R31" s="51"/>
      <c r="S31" s="51"/>
      <c r="T31" s="51"/>
      <c r="U31" s="206"/>
      <c r="V31" s="51"/>
      <c r="W31" s="51"/>
      <c r="X31" s="51"/>
      <c r="Y31" s="51"/>
    </row>
    <row r="32" spans="2:26" x14ac:dyDescent="0.2">
      <c r="B32" s="47" t="s">
        <v>555</v>
      </c>
      <c r="C32" s="206"/>
      <c r="D32" s="1835"/>
      <c r="E32" s="1835"/>
      <c r="F32" s="1835"/>
      <c r="G32" s="51">
        <f t="shared" si="3"/>
        <v>0</v>
      </c>
      <c r="H32" s="206"/>
      <c r="I32" s="1835"/>
      <c r="J32" s="1835"/>
      <c r="K32" s="1835">
        <v>0</v>
      </c>
      <c r="L32" s="51">
        <f t="shared" si="4"/>
        <v>0</v>
      </c>
      <c r="M32" s="51"/>
      <c r="N32" s="51"/>
      <c r="O32" s="51"/>
      <c r="P32" s="51"/>
      <c r="Q32" s="51"/>
      <c r="R32" s="51"/>
      <c r="S32" s="51"/>
      <c r="T32" s="51"/>
      <c r="U32" s="206"/>
      <c r="V32" s="51"/>
      <c r="W32" s="51"/>
      <c r="X32" s="51">
        <f>SUMIFS(MAP!$BD:$BD,MAP!$D:$D,TE!$K$10,MAP!$E:$E,TE!$B32)</f>
        <v>0</v>
      </c>
      <c r="Y32" s="51">
        <f t="shared" si="2"/>
        <v>0</v>
      </c>
    </row>
    <row r="33" spans="2:25" x14ac:dyDescent="0.2">
      <c r="B33" s="51" t="s">
        <v>120</v>
      </c>
      <c r="C33" s="206">
        <v>3</v>
      </c>
      <c r="D33" s="1835">
        <v>211</v>
      </c>
      <c r="E33" s="1835"/>
      <c r="F33" s="1835"/>
      <c r="G33" s="51">
        <f t="shared" si="3"/>
        <v>211</v>
      </c>
      <c r="H33" s="206"/>
      <c r="I33" s="1835">
        <v>1195</v>
      </c>
      <c r="J33" s="1835"/>
      <c r="K33" s="1835">
        <v>0</v>
      </c>
      <c r="L33" s="51">
        <f t="shared" si="4"/>
        <v>1195</v>
      </c>
      <c r="M33" s="51"/>
      <c r="N33" s="51"/>
      <c r="O33" s="743"/>
      <c r="P33" s="51"/>
      <c r="Q33" s="51">
        <f>SUMIFS(MAP!$U:$U,MAP!$D:$D,TE!$D$10,MAP!$E:$E,TE!$B33)</f>
        <v>0</v>
      </c>
      <c r="R33" s="51"/>
      <c r="S33" s="51"/>
      <c r="T33" s="51">
        <f>SUM(Q33:R33)</f>
        <v>0</v>
      </c>
      <c r="U33" s="206"/>
      <c r="V33" s="51">
        <f>SUMIFS(MAP!$BD:$BD,MAP!$D:$D,TE!$I$10,MAP!$E:$E,TE!$B33)</f>
        <v>0</v>
      </c>
      <c r="W33" s="51"/>
      <c r="X33" s="51">
        <f>SUMIFS(MAP!$BD:$BD,MAP!$D:$D,TE!$K$10,MAP!$E:$E,TE!$B33)</f>
        <v>0</v>
      </c>
      <c r="Y33" s="51">
        <f t="shared" si="2"/>
        <v>0</v>
      </c>
    </row>
    <row r="34" spans="2:25" x14ac:dyDescent="0.2">
      <c r="B34" s="51" t="s">
        <v>122</v>
      </c>
      <c r="C34" s="206">
        <v>3</v>
      </c>
      <c r="D34" s="1835">
        <v>6318</v>
      </c>
      <c r="E34" s="1835"/>
      <c r="F34" s="1835"/>
      <c r="G34" s="51">
        <f t="shared" si="3"/>
        <v>6318</v>
      </c>
      <c r="H34" s="206"/>
      <c r="I34" s="1835">
        <v>6621</v>
      </c>
      <c r="J34" s="1835"/>
      <c r="K34" s="1835">
        <v>0</v>
      </c>
      <c r="L34" s="51">
        <f t="shared" si="4"/>
        <v>6621</v>
      </c>
      <c r="M34" s="51"/>
      <c r="N34" s="51"/>
      <c r="O34" s="743"/>
      <c r="P34" s="51"/>
      <c r="Q34" s="51">
        <f>SUMIFS(MAP!$U:$U,MAP!$D:$D,TE!$D$10,MAP!$E:$E,TE!$B34)</f>
        <v>0</v>
      </c>
      <c r="R34" s="51"/>
      <c r="S34" s="51"/>
      <c r="T34" s="51">
        <f>SUM(Q34:R34)</f>
        <v>0</v>
      </c>
      <c r="U34" s="206"/>
      <c r="V34" s="51">
        <f>SUMIFS(MAP!$BD:$BD,MAP!$D:$D,TE!$I$10,MAP!$E:$E,TE!$B34)</f>
        <v>0</v>
      </c>
      <c r="W34" s="51"/>
      <c r="X34" s="51">
        <f>SUMIFS(MAP!$BD:$BD,MAP!$D:$D,TE!$K$10,MAP!$E:$E,TE!$B34)</f>
        <v>0</v>
      </c>
      <c r="Y34" s="51">
        <f t="shared" si="2"/>
        <v>0</v>
      </c>
    </row>
    <row r="35" spans="2:25" x14ac:dyDescent="0.2">
      <c r="B35" s="51"/>
      <c r="C35" s="206"/>
      <c r="D35" s="1835"/>
      <c r="E35" s="1835"/>
      <c r="F35" s="1835"/>
      <c r="G35" s="51">
        <f t="shared" si="3"/>
        <v>0</v>
      </c>
      <c r="H35" s="206"/>
      <c r="I35" s="1835"/>
      <c r="J35" s="1835"/>
      <c r="K35" s="1835"/>
      <c r="L35" s="51">
        <f t="shared" si="4"/>
        <v>0</v>
      </c>
      <c r="M35" s="122"/>
      <c r="N35" s="51"/>
      <c r="O35" s="51"/>
      <c r="P35" s="51"/>
      <c r="Q35" s="51"/>
      <c r="R35" s="51"/>
      <c r="S35" s="51"/>
      <c r="T35" s="51"/>
      <c r="U35" s="206"/>
      <c r="V35" s="51"/>
      <c r="W35" s="51"/>
      <c r="X35" s="51">
        <f>SUMIFS(MAP!$BD:$BD,MAP!$D:$D,TE!$K$10,MAP!$E:$E,TE!$B35)</f>
        <v>0</v>
      </c>
      <c r="Y35" s="51">
        <f t="shared" si="2"/>
        <v>0</v>
      </c>
    </row>
    <row r="36" spans="2:25" x14ac:dyDescent="0.2">
      <c r="B36" s="47" t="s">
        <v>123</v>
      </c>
      <c r="C36" s="206"/>
      <c r="D36" s="1835"/>
      <c r="E36" s="1835"/>
      <c r="F36" s="1835"/>
      <c r="G36" s="51">
        <f t="shared" si="3"/>
        <v>0</v>
      </c>
      <c r="H36" s="206"/>
      <c r="I36" s="1835"/>
      <c r="J36" s="1835"/>
      <c r="K36" s="1835">
        <v>0</v>
      </c>
      <c r="L36" s="51">
        <f t="shared" si="4"/>
        <v>0</v>
      </c>
      <c r="M36" s="741"/>
      <c r="N36" s="51"/>
      <c r="O36" s="743"/>
      <c r="P36" s="51"/>
      <c r="Q36" s="51"/>
      <c r="R36" s="51"/>
      <c r="S36" s="51"/>
      <c r="T36" s="51"/>
      <c r="U36" s="206"/>
      <c r="V36" s="51"/>
      <c r="W36" s="51"/>
      <c r="X36" s="51">
        <f>SUMIFS(MAP!$BD:$BD,MAP!$D:$D,TE!$K$10,MAP!$E:$E,TE!$B36)</f>
        <v>0</v>
      </c>
      <c r="Y36" s="51">
        <f t="shared" si="2"/>
        <v>0</v>
      </c>
    </row>
    <row r="37" spans="2:25" x14ac:dyDescent="0.2">
      <c r="B37" s="51" t="s">
        <v>185</v>
      </c>
      <c r="C37" s="51"/>
      <c r="D37" s="1835">
        <v>0</v>
      </c>
      <c r="E37" s="1835">
        <v>0</v>
      </c>
      <c r="F37" s="1835">
        <v>0</v>
      </c>
      <c r="G37" s="51">
        <f t="shared" si="3"/>
        <v>0</v>
      </c>
      <c r="H37" s="51"/>
      <c r="I37" s="1835">
        <v>0</v>
      </c>
      <c r="J37" s="1835">
        <v>0</v>
      </c>
      <c r="K37" s="1835">
        <v>0</v>
      </c>
      <c r="L37" s="51">
        <f t="shared" si="4"/>
        <v>0</v>
      </c>
      <c r="M37" s="741"/>
      <c r="N37" s="51"/>
      <c r="O37" s="51"/>
      <c r="P37" s="51"/>
      <c r="Q37" s="51">
        <f>SUMIFS(MAP!$U:$U,MAP!$D:$D,TE!$D$10,MAP!$E:$E,TE!$B37)</f>
        <v>0</v>
      </c>
      <c r="R37" s="51">
        <f>SUMIFS(MAP!$U:$U,MAP!$D:$D,TE!$E$10,MAP!$E:$E,TE!$B37)</f>
        <v>0</v>
      </c>
      <c r="S37" s="51">
        <f>SUMIFS(MAP!$U:$U,MAP!$D:$D,TE!$F$10,MAP!$E:$E,TE!$B37)</f>
        <v>0</v>
      </c>
      <c r="T37" s="51">
        <f t="shared" ref="T37:T43" si="5">SUM(Q37:R37)</f>
        <v>0</v>
      </c>
      <c r="U37" s="51"/>
      <c r="V37" s="51">
        <f>SUMIFS(MAP!$BD:$BD,MAP!$D:$D,TE!$I$10,MAP!$E:$E,TE!$B37)</f>
        <v>0</v>
      </c>
      <c r="W37" s="51">
        <f>SUMIFS(MAP!$BD:$BD,MAP!$D:$D,TE!$J$10,MAP!$E:$E,TE!$B37)</f>
        <v>0</v>
      </c>
      <c r="X37" s="51">
        <f>SUMIFS(MAP!$BD:$BD,MAP!$D:$D,TE!$K$10,MAP!$E:$E,TE!$B37)</f>
        <v>0</v>
      </c>
      <c r="Y37" s="51">
        <f t="shared" si="2"/>
        <v>0</v>
      </c>
    </row>
    <row r="38" spans="2:25" x14ac:dyDescent="0.2">
      <c r="B38" s="51" t="s">
        <v>336</v>
      </c>
      <c r="C38" s="51"/>
      <c r="D38" s="1835">
        <v>0</v>
      </c>
      <c r="E38" s="1835">
        <v>0</v>
      </c>
      <c r="F38" s="1835">
        <v>0</v>
      </c>
      <c r="G38" s="51">
        <f t="shared" si="3"/>
        <v>0</v>
      </c>
      <c r="H38" s="51"/>
      <c r="I38" s="1835">
        <v>0</v>
      </c>
      <c r="J38" s="1835">
        <v>0</v>
      </c>
      <c r="K38" s="1835">
        <v>0</v>
      </c>
      <c r="L38" s="51">
        <f t="shared" si="4"/>
        <v>0</v>
      </c>
      <c r="M38" s="741"/>
      <c r="N38" s="51"/>
      <c r="O38" s="51"/>
      <c r="P38" s="51"/>
      <c r="Q38" s="51">
        <f>SUMIFS(MAP!$U:$U,MAP!$D:$D,TE!$D$10,MAP!$E:$E,TE!$B38)</f>
        <v>0</v>
      </c>
      <c r="R38" s="51">
        <f>SUMIFS(MAP!$U:$U,MAP!$D:$D,TE!$E$10,MAP!$E:$E,TE!$B38)</f>
        <v>0</v>
      </c>
      <c r="S38" s="51">
        <f>SUMIFS(MAP!$U:$U,MAP!$D:$D,TE!$F$10,MAP!$E:$E,TE!$B38)</f>
        <v>0</v>
      </c>
      <c r="T38" s="51">
        <f t="shared" si="5"/>
        <v>0</v>
      </c>
      <c r="U38" s="51"/>
      <c r="V38" s="51">
        <f>SUMIFS(MAP!$BD:$BD,MAP!$D:$D,TE!$I$10,MAP!$E:$E,TE!$B38)</f>
        <v>0</v>
      </c>
      <c r="W38" s="51">
        <f>SUMIFS(MAP!$BD:$BD,MAP!$D:$D,TE!$J$10,MAP!$E:$E,TE!$B38)</f>
        <v>0</v>
      </c>
      <c r="X38" s="51">
        <f>SUMIFS(MAP!$BD:$BD,MAP!$D:$D,TE!$K$10,MAP!$E:$E,TE!$B38)</f>
        <v>0</v>
      </c>
      <c r="Y38" s="51">
        <f t="shared" si="2"/>
        <v>0</v>
      </c>
    </row>
    <row r="39" spans="2:25" x14ac:dyDescent="0.2">
      <c r="B39" s="51" t="s">
        <v>337</v>
      </c>
      <c r="C39" s="206" t="s">
        <v>2505</v>
      </c>
      <c r="D39" s="1835"/>
      <c r="E39" s="1835"/>
      <c r="F39" s="1835"/>
      <c r="G39" s="51">
        <f t="shared" si="3"/>
        <v>0</v>
      </c>
      <c r="H39" s="206"/>
      <c r="I39" s="1835"/>
      <c r="J39" s="1835"/>
      <c r="K39" s="1835">
        <v>0</v>
      </c>
      <c r="L39" s="51">
        <f t="shared" si="4"/>
        <v>0</v>
      </c>
      <c r="M39" s="51"/>
      <c r="N39" s="51"/>
      <c r="O39" s="51"/>
      <c r="P39" s="51"/>
      <c r="Q39" s="51">
        <f>SUMIFS(MAP!$U:$U,MAP!$D:$D,TE!$D$10,MAP!$E:$E,TE!$B39)</f>
        <v>0</v>
      </c>
      <c r="R39" s="51"/>
      <c r="S39" s="51"/>
      <c r="T39" s="51">
        <f t="shared" si="5"/>
        <v>0</v>
      </c>
      <c r="U39" s="206"/>
      <c r="V39" s="51"/>
      <c r="W39" s="51"/>
      <c r="X39" s="51">
        <f>SUMIFS(MAP!$BD:$BD,MAP!$D:$D,TE!$K$10,MAP!$E:$E,TE!$B39)</f>
        <v>0</v>
      </c>
      <c r="Y39" s="51">
        <f t="shared" si="2"/>
        <v>0</v>
      </c>
    </row>
    <row r="40" spans="2:25" x14ac:dyDescent="0.2">
      <c r="B40" s="51" t="s">
        <v>124</v>
      </c>
      <c r="C40" s="206"/>
      <c r="D40" s="1835">
        <v>0</v>
      </c>
      <c r="E40" s="1835">
        <v>11575</v>
      </c>
      <c r="F40" s="1835">
        <v>0</v>
      </c>
      <c r="G40" s="51">
        <f t="shared" si="3"/>
        <v>11575</v>
      </c>
      <c r="H40" s="206"/>
      <c r="I40" s="1835">
        <v>432</v>
      </c>
      <c r="J40" s="1835">
        <v>-22557</v>
      </c>
      <c r="K40" s="1835">
        <v>0</v>
      </c>
      <c r="L40" s="51">
        <f t="shared" si="4"/>
        <v>-22125</v>
      </c>
      <c r="M40" s="51"/>
      <c r="N40" s="51"/>
      <c r="O40" s="51"/>
      <c r="P40" s="51"/>
      <c r="Q40" s="51">
        <f>SUMIFS(MAP!$U:$U,MAP!$D:$D,TE!$D$10,MAP!$E:$E,TE!$B40)</f>
        <v>0</v>
      </c>
      <c r="R40" s="51">
        <f>SUMIFS(MAP!$U:$U,MAP!$D:$D,TE!$E$10,MAP!$E:$E,TE!$B40)</f>
        <v>0</v>
      </c>
      <c r="S40" s="51">
        <f>SUMIFS(MAP!$U:$U,MAP!$D:$D,TE!$F$10,MAP!$E:$E,TE!$B40)</f>
        <v>0</v>
      </c>
      <c r="T40" s="51">
        <f t="shared" si="5"/>
        <v>0</v>
      </c>
      <c r="U40" s="206"/>
      <c r="V40" s="51">
        <f>SUMIFS(MAP!$BD:$BD,MAP!$D:$D,TE!$I$10,MAP!$E:$E,TE!$B40)</f>
        <v>0</v>
      </c>
      <c r="W40" s="51">
        <f>SUMIFS(MAP!$BD:$BD,MAP!$D:$D,TE!$J$10,MAP!$E:$E,TE!$B40)</f>
        <v>0</v>
      </c>
      <c r="X40" s="51">
        <f>SUMIFS(MAP!$BD:$BD,MAP!$D:$D,TE!$K$10,MAP!$E:$E,TE!$B40)</f>
        <v>0</v>
      </c>
      <c r="Y40" s="51">
        <f t="shared" si="2"/>
        <v>0</v>
      </c>
    </row>
    <row r="41" spans="2:25" x14ac:dyDescent="0.2">
      <c r="B41" s="51" t="s">
        <v>338</v>
      </c>
      <c r="C41" s="206"/>
      <c r="D41" s="1835"/>
      <c r="E41" s="1835"/>
      <c r="F41" s="1835"/>
      <c r="G41" s="51">
        <f t="shared" si="3"/>
        <v>0</v>
      </c>
      <c r="H41" s="206"/>
      <c r="I41" s="1835"/>
      <c r="J41" s="1835"/>
      <c r="K41" s="1835">
        <v>0</v>
      </c>
      <c r="L41" s="51">
        <f t="shared" si="4"/>
        <v>0</v>
      </c>
      <c r="M41" s="51"/>
      <c r="N41" s="51"/>
      <c r="O41" s="51"/>
      <c r="P41" s="51"/>
      <c r="Q41" s="51">
        <f>SUMIFS(MAP!$U:$U,MAP!$D:$D,TE!$D$10,MAP!$E:$E,TE!$B41)</f>
        <v>0</v>
      </c>
      <c r="R41" s="51"/>
      <c r="S41" s="51"/>
      <c r="T41" s="51">
        <f t="shared" si="5"/>
        <v>0</v>
      </c>
      <c r="U41" s="206"/>
      <c r="V41" s="51"/>
      <c r="W41" s="51"/>
      <c r="X41" s="51">
        <f>SUMIFS(MAP!$BD:$BD,MAP!$D:$D,TE!$K$10,MAP!$E:$E,TE!$B41)</f>
        <v>0</v>
      </c>
      <c r="Y41" s="51">
        <f t="shared" si="2"/>
        <v>0</v>
      </c>
    </row>
    <row r="42" spans="2:25" x14ac:dyDescent="0.2">
      <c r="B42" s="51" t="s">
        <v>339</v>
      </c>
      <c r="C42" s="206"/>
      <c r="D42" s="1835">
        <v>149</v>
      </c>
      <c r="E42" s="1835">
        <v>-146</v>
      </c>
      <c r="F42" s="1835">
        <v>0</v>
      </c>
      <c r="G42" s="51">
        <f t="shared" si="3"/>
        <v>3</v>
      </c>
      <c r="H42" s="206"/>
      <c r="I42" s="1835">
        <v>10652</v>
      </c>
      <c r="J42" s="1835">
        <v>-10651</v>
      </c>
      <c r="K42" s="1835">
        <v>0</v>
      </c>
      <c r="L42" s="51">
        <f t="shared" si="4"/>
        <v>1</v>
      </c>
      <c r="M42" s="742">
        <f>ROUND(J42,0)-ROUND(-I42,0)</f>
        <v>1</v>
      </c>
      <c r="N42" s="51"/>
      <c r="O42" s="1098"/>
      <c r="P42" s="51"/>
      <c r="Q42" s="51">
        <f>SUMIFS(MAP!$U:$U,MAP!$D:$D,TE!$D$10,MAP!$E:$E,TE!$B42)</f>
        <v>0</v>
      </c>
      <c r="R42" s="51">
        <f>SUMIFS(MAP!$U:$U,MAP!$D:$D,TE!$E$10,MAP!$E:$E,TE!$B42)</f>
        <v>0</v>
      </c>
      <c r="S42" s="51">
        <f>SUMIFS(MAP!$U:$U,MAP!$D:$D,TE!$F$10,MAP!$E:$E,TE!$B42)</f>
        <v>0</v>
      </c>
      <c r="T42" s="51">
        <f t="shared" si="5"/>
        <v>0</v>
      </c>
      <c r="U42" s="206"/>
      <c r="V42" s="51">
        <f>SUMIFS(MAP!$BD:$BD,MAP!$D:$D,TE!$I$10,MAP!$E:$E,TE!$B42)</f>
        <v>0</v>
      </c>
      <c r="W42" s="51">
        <f>SUMIFS(MAP!$BD:$BD,MAP!$D:$D,TE!$J$10,MAP!$E:$E,TE!$B42)</f>
        <v>0</v>
      </c>
      <c r="X42" s="51">
        <f>SUMIFS(MAP!$BD:$BD,MAP!$D:$D,TE!$K$10,MAP!$E:$E,TE!$B42)</f>
        <v>0</v>
      </c>
      <c r="Y42" s="51">
        <f t="shared" si="2"/>
        <v>0</v>
      </c>
    </row>
    <row r="43" spans="2:25" x14ac:dyDescent="0.2">
      <c r="B43" s="51" t="s">
        <v>1025</v>
      </c>
      <c r="C43" s="206"/>
      <c r="D43" s="1835">
        <v>0</v>
      </c>
      <c r="E43" s="1835">
        <v>0</v>
      </c>
      <c r="F43" s="1835">
        <v>0</v>
      </c>
      <c r="G43" s="51">
        <f t="shared" si="3"/>
        <v>0</v>
      </c>
      <c r="H43" s="206"/>
      <c r="I43" s="1835">
        <v>0</v>
      </c>
      <c r="J43" s="1835">
        <v>0</v>
      </c>
      <c r="K43" s="1835">
        <v>0</v>
      </c>
      <c r="L43" s="51">
        <f t="shared" si="4"/>
        <v>0</v>
      </c>
      <c r="M43" s="51"/>
      <c r="N43" s="51"/>
      <c r="O43" s="51"/>
      <c r="P43" s="51"/>
      <c r="Q43" s="51">
        <f>SUMIFS(MAP!$U:$U,MAP!$D:$D,TE!$D$10,MAP!$E:$E,TE!$B43)</f>
        <v>0</v>
      </c>
      <c r="R43" s="51"/>
      <c r="S43" s="51"/>
      <c r="T43" s="51">
        <f t="shared" si="5"/>
        <v>0</v>
      </c>
      <c r="U43" s="206"/>
      <c r="V43" s="51">
        <f>SUMIFS(MAP!$BD:$BD,MAP!$D:$D,TE!$I$10,MAP!$E:$E,TE!$B43)</f>
        <v>0</v>
      </c>
      <c r="W43" s="51"/>
      <c r="X43" s="51">
        <f>SUMIFS(MAP!$BD:$BD,MAP!$D:$D,TE!$K$10,MAP!$E:$E,TE!$B43)</f>
        <v>0</v>
      </c>
      <c r="Y43" s="51">
        <f t="shared" si="2"/>
        <v>0</v>
      </c>
    </row>
    <row r="44" spans="2:25" x14ac:dyDescent="0.2">
      <c r="B44" s="805" t="s">
        <v>557</v>
      </c>
      <c r="C44" s="206"/>
      <c r="D44" s="1835">
        <v>0</v>
      </c>
      <c r="E44" s="1835">
        <v>0</v>
      </c>
      <c r="F44" s="1835">
        <v>0</v>
      </c>
      <c r="G44" s="51">
        <f t="shared" si="3"/>
        <v>0</v>
      </c>
      <c r="H44" s="206"/>
      <c r="I44" s="1835">
        <v>0</v>
      </c>
      <c r="J44" s="1835">
        <v>0</v>
      </c>
      <c r="K44" s="1835">
        <v>0</v>
      </c>
      <c r="L44" s="51">
        <f t="shared" si="4"/>
        <v>0</v>
      </c>
      <c r="M44" s="51"/>
      <c r="N44" s="51"/>
      <c r="O44" s="51"/>
      <c r="P44" s="51"/>
      <c r="Q44" s="51"/>
      <c r="R44" s="51"/>
      <c r="S44" s="51"/>
      <c r="T44" s="51"/>
      <c r="U44" s="206"/>
      <c r="V44" s="51"/>
      <c r="W44" s="51"/>
      <c r="X44" s="51"/>
      <c r="Y44" s="51"/>
    </row>
    <row r="45" spans="2:25" x14ac:dyDescent="0.2">
      <c r="B45" s="738"/>
      <c r="C45" s="206"/>
      <c r="D45" s="1835">
        <v>0</v>
      </c>
      <c r="E45" s="1835">
        <v>0</v>
      </c>
      <c r="F45" s="1835">
        <v>0</v>
      </c>
      <c r="G45" s="51">
        <f t="shared" si="3"/>
        <v>0</v>
      </c>
      <c r="H45" s="206"/>
      <c r="I45" s="1835">
        <v>0</v>
      </c>
      <c r="J45" s="1835">
        <v>0</v>
      </c>
      <c r="K45" s="1835">
        <v>0</v>
      </c>
      <c r="L45" s="51">
        <f t="shared" si="4"/>
        <v>0</v>
      </c>
      <c r="M45" s="51"/>
      <c r="N45" s="51"/>
      <c r="O45" s="51"/>
      <c r="P45" s="51"/>
      <c r="Q45" s="51"/>
      <c r="R45" s="51"/>
      <c r="S45" s="51"/>
      <c r="T45" s="51"/>
      <c r="U45" s="206"/>
      <c r="V45" s="51"/>
      <c r="W45" s="51"/>
      <c r="X45" s="51"/>
      <c r="Y45" s="51"/>
    </row>
    <row r="46" spans="2:25" x14ac:dyDescent="0.2">
      <c r="B46" s="47" t="str">
        <f>"Balances as at"&amp;Update!$B$24</f>
        <v>Balances as at 31 March 2025</v>
      </c>
      <c r="C46" s="206"/>
      <c r="D46" s="744">
        <f>SUM(D28:D45)+D17</f>
        <v>1877810</v>
      </c>
      <c r="E46" s="744">
        <f>SUM(E28:E45)+E17</f>
        <v>33276</v>
      </c>
      <c r="F46" s="744">
        <f>SUM(F28:F45)+F17</f>
        <v>0</v>
      </c>
      <c r="G46" s="744">
        <f>SUM(G28:G45)+G17</f>
        <v>1911086</v>
      </c>
      <c r="H46" s="206"/>
      <c r="I46" s="744">
        <f>SUM(I28:I45)+I17</f>
        <v>-18392</v>
      </c>
      <c r="J46" s="744">
        <f>SUM(J28:J45)+J17</f>
        <v>1636336</v>
      </c>
      <c r="K46" s="744">
        <f>SUM(K28:K45)+K17</f>
        <v>94518</v>
      </c>
      <c r="L46" s="744">
        <f>SUM(L28:L45)+L17</f>
        <v>1712462</v>
      </c>
      <c r="M46" s="51"/>
      <c r="N46" s="51"/>
      <c r="O46" s="51"/>
      <c r="P46" s="51"/>
      <c r="Q46" s="744">
        <f>SUM(Q17:Q45)</f>
        <v>0</v>
      </c>
      <c r="R46" s="744">
        <f>SUM(R17:R45)</f>
        <v>0</v>
      </c>
      <c r="S46" s="744">
        <f>SUM(S17:S45)</f>
        <v>0</v>
      </c>
      <c r="T46" s="744">
        <f>SUM(Q46:R46)</f>
        <v>0</v>
      </c>
      <c r="U46" s="206"/>
      <c r="V46" s="744">
        <f>SUM(V17:V45)</f>
        <v>2009000</v>
      </c>
      <c r="W46" s="744">
        <f>SUM(W17:W45)</f>
        <v>0</v>
      </c>
      <c r="X46" s="744">
        <f>SUM(X17:X45)</f>
        <v>0</v>
      </c>
      <c r="Y46" s="744">
        <f>SUM(V46:X46)</f>
        <v>2009000</v>
      </c>
    </row>
    <row r="47" spans="2:25" x14ac:dyDescent="0.2">
      <c r="B47" s="51"/>
      <c r="C47" s="206"/>
      <c r="D47" s="51"/>
      <c r="E47" s="51"/>
      <c r="F47" s="51"/>
      <c r="G47" s="51"/>
      <c r="H47" s="206"/>
      <c r="I47" s="51"/>
      <c r="J47" s="51"/>
      <c r="K47" s="51"/>
      <c r="L47" s="51"/>
      <c r="M47" s="51"/>
      <c r="N47" s="51"/>
      <c r="O47" s="51"/>
      <c r="P47" s="51"/>
      <c r="Q47" s="51"/>
      <c r="R47" s="51"/>
      <c r="S47" s="51"/>
      <c r="T47" s="51"/>
      <c r="U47" s="206"/>
      <c r="V47" s="51"/>
      <c r="W47" s="51"/>
      <c r="X47" s="51"/>
      <c r="Y47" s="51"/>
    </row>
    <row r="48" spans="2:25" x14ac:dyDescent="0.2">
      <c r="B48" s="51" t="s">
        <v>1026</v>
      </c>
      <c r="C48" s="206"/>
      <c r="D48" s="51">
        <f>SUMIFS(MAP!$T:$T,MAP!$D:$D,TE!$D$10,MAP!$E:$E,TE!$B48)</f>
        <v>0</v>
      </c>
      <c r="E48" s="51"/>
      <c r="F48" s="51"/>
      <c r="G48" s="51">
        <f t="shared" ref="G48:G56" si="6">SUM(D48:F48)</f>
        <v>0</v>
      </c>
      <c r="H48" s="206"/>
      <c r="I48" s="51">
        <f>SUMIFS(MAP!$N:$N,MAP!$D:$D,TE!$I$10,MAP!$E:$E,TE!$B48)</f>
        <v>0</v>
      </c>
      <c r="J48" s="51"/>
      <c r="K48" s="51">
        <f>SUMIFS(MAP!$N:$N,MAP!$D:$D,TE!$K$10,MAP!$E:$E,TE!$B48)</f>
        <v>0</v>
      </c>
      <c r="L48" s="51">
        <f>SUM(I48:K48)</f>
        <v>0</v>
      </c>
      <c r="M48" s="742">
        <f>D48-SCF!D52</f>
        <v>0</v>
      </c>
      <c r="N48" s="742">
        <f>L48-SCF!F52</f>
        <v>0</v>
      </c>
      <c r="O48" s="1098"/>
      <c r="P48" s="51"/>
      <c r="Q48" s="51"/>
      <c r="R48" s="51"/>
      <c r="S48" s="51"/>
      <c r="T48" s="51"/>
      <c r="U48" s="206"/>
      <c r="V48" s="51"/>
      <c r="W48" s="51"/>
      <c r="X48" s="51"/>
      <c r="Y48" s="51"/>
    </row>
    <row r="49" spans="2:26" x14ac:dyDescent="0.2">
      <c r="B49" s="51" t="s">
        <v>1027</v>
      </c>
      <c r="C49" s="206"/>
      <c r="D49" s="51">
        <f>SUMIFS(MAP!$T:$T,MAP!$D:$D,TE!$D$10,MAP!$E:$E,TE!$B49)</f>
        <v>0</v>
      </c>
      <c r="E49" s="51"/>
      <c r="F49" s="51"/>
      <c r="G49" s="51">
        <f t="shared" si="6"/>
        <v>0</v>
      </c>
      <c r="H49" s="206"/>
      <c r="I49" s="51">
        <f>SUMIFS(MAP!$N:$N,MAP!$D:$D,TE!$I$10,MAP!$E:$E,TE!$B49)</f>
        <v>0</v>
      </c>
      <c r="J49" s="51"/>
      <c r="K49" s="51">
        <f>SUMIFS(MAP!$N:$N,MAP!$D:$D,TE!$K$10,MAP!$E:$E,TE!$B49)</f>
        <v>0</v>
      </c>
      <c r="L49" s="51">
        <f t="shared" ref="L49:L74" si="7">SUM(I49:K49)</f>
        <v>0</v>
      </c>
      <c r="M49" s="122"/>
      <c r="N49" s="51"/>
      <c r="O49" s="51"/>
      <c r="P49" s="51"/>
      <c r="Q49" s="51"/>
      <c r="R49" s="51"/>
      <c r="S49" s="51"/>
      <c r="T49" s="51"/>
      <c r="U49" s="206"/>
      <c r="V49" s="51"/>
      <c r="W49" s="51"/>
      <c r="X49" s="51"/>
      <c r="Y49" s="51"/>
    </row>
    <row r="50" spans="2:26" x14ac:dyDescent="0.2">
      <c r="B50" s="51" t="s">
        <v>1013</v>
      </c>
      <c r="C50" s="206"/>
      <c r="D50" s="51">
        <f>SUMIFS(MAP!$T:$T,MAP!$D:$D,TE!$D$10,MAP!$E:$E,TE!$B50)</f>
        <v>0</v>
      </c>
      <c r="E50" s="51"/>
      <c r="F50" s="51"/>
      <c r="G50" s="51">
        <f t="shared" si="6"/>
        <v>0</v>
      </c>
      <c r="H50" s="206"/>
      <c r="I50" s="51">
        <f>SUMIFS(MAP!$N:$N,MAP!$D:$D,TE!$I$10,MAP!$E:$E,TE!$B50)</f>
        <v>0</v>
      </c>
      <c r="J50" s="51"/>
      <c r="K50" s="51">
        <f>SUMIFS(MAP!$N:$N,MAP!$D:$D,TE!$K$10,MAP!$E:$E,TE!$B50)</f>
        <v>0</v>
      </c>
      <c r="L50" s="51">
        <f t="shared" si="7"/>
        <v>0</v>
      </c>
      <c r="M50" s="122"/>
      <c r="N50" s="51"/>
      <c r="O50" s="51"/>
      <c r="P50" s="51"/>
      <c r="Q50" s="51"/>
      <c r="R50" s="51"/>
      <c r="S50" s="51"/>
      <c r="T50" s="51"/>
      <c r="U50" s="206"/>
      <c r="V50" s="51"/>
      <c r="W50" s="51"/>
      <c r="X50" s="51"/>
      <c r="Y50" s="51"/>
    </row>
    <row r="51" spans="2:26" x14ac:dyDescent="0.2">
      <c r="B51" s="51" t="s">
        <v>1014</v>
      </c>
      <c r="C51" s="206"/>
      <c r="D51" s="51">
        <f>SUMIFS(MAP!$T:$T,MAP!$D:$D,TE!$D$10,MAP!$E:$E,TE!$B51)</f>
        <v>0</v>
      </c>
      <c r="E51" s="51"/>
      <c r="F51" s="51"/>
      <c r="G51" s="51">
        <f t="shared" si="6"/>
        <v>0</v>
      </c>
      <c r="H51" s="206"/>
      <c r="I51" s="51">
        <f>SUMIFS(MAP!$N:$N,MAP!$D:$D,TE!$I$10,MAP!$E:$E,TE!$B51)</f>
        <v>0</v>
      </c>
      <c r="J51" s="51"/>
      <c r="K51" s="51">
        <f>SUMIFS(MAP!$N:$N,MAP!$D:$D,TE!$K$10,MAP!$E:$E,TE!$B51)</f>
        <v>0</v>
      </c>
      <c r="L51" s="51">
        <f t="shared" si="7"/>
        <v>0</v>
      </c>
      <c r="M51" s="122"/>
      <c r="N51" s="51"/>
      <c r="O51" s="51"/>
      <c r="P51" s="51"/>
      <c r="Q51" s="51"/>
      <c r="R51" s="51"/>
      <c r="S51" s="51"/>
      <c r="T51" s="51"/>
      <c r="U51" s="206"/>
      <c r="V51" s="51"/>
      <c r="W51" s="51"/>
      <c r="X51" s="51"/>
      <c r="Y51" s="51"/>
    </row>
    <row r="52" spans="2:26" x14ac:dyDescent="0.2">
      <c r="B52" s="51" t="s">
        <v>1015</v>
      </c>
      <c r="C52" s="206"/>
      <c r="D52" s="51">
        <f>SUMIFS(MAP!$T:$T,MAP!$D:$D,TE!$D$10,MAP!$E:$E,TE!$B52)</f>
        <v>0</v>
      </c>
      <c r="E52" s="51"/>
      <c r="F52" s="51"/>
      <c r="G52" s="51">
        <f t="shared" si="6"/>
        <v>0</v>
      </c>
      <c r="H52" s="206"/>
      <c r="I52" s="51">
        <f>SUMIFS(MAP!$N:$N,MAP!$D:$D,TE!$I$10,MAP!$E:$E,TE!$B52)</f>
        <v>0</v>
      </c>
      <c r="J52" s="51"/>
      <c r="K52" s="51">
        <f>SUMIFS(MAP!$N:$N,MAP!$D:$D,TE!$K$10,MAP!$E:$E,TE!$B52)</f>
        <v>0</v>
      </c>
      <c r="L52" s="51">
        <f t="shared" si="7"/>
        <v>0</v>
      </c>
      <c r="M52" s="742">
        <f>G52-'Note 12'!C21+'Note 13'!C27</f>
        <v>0</v>
      </c>
      <c r="N52" s="742">
        <f>L52-'Note 12'!E21+'Note 13'!E27</f>
        <v>0</v>
      </c>
      <c r="O52" s="51"/>
      <c r="P52" s="51"/>
      <c r="Q52" s="51"/>
      <c r="R52" s="51"/>
      <c r="S52" s="51"/>
      <c r="T52" s="51"/>
      <c r="U52" s="206"/>
      <c r="V52" s="51"/>
      <c r="W52" s="51"/>
      <c r="X52" s="51"/>
      <c r="Y52" s="51"/>
    </row>
    <row r="53" spans="2:26" x14ac:dyDescent="0.2">
      <c r="B53" s="51" t="s">
        <v>1973</v>
      </c>
      <c r="C53" s="206"/>
      <c r="D53" s="51">
        <f>SUMIFS(MAP!$T:$T,MAP!$D:$D,TE!$D$10,MAP!$E:$E,TE!$B53)</f>
        <v>0</v>
      </c>
      <c r="E53" s="51"/>
      <c r="F53" s="51"/>
      <c r="G53" s="51">
        <f t="shared" si="6"/>
        <v>0</v>
      </c>
      <c r="H53" s="206"/>
      <c r="I53" s="51">
        <f>SUMIFS(MAP!$N:$N,MAP!$D:$D,TE!$I$10,MAP!$E:$E,TE!$B53)</f>
        <v>0</v>
      </c>
      <c r="J53" s="51"/>
      <c r="K53" s="51">
        <f>SUMIFS(MAP!$N:$N,MAP!$D:$D,TE!$K$10,MAP!$E:$E,TE!$B53)</f>
        <v>0</v>
      </c>
      <c r="L53" s="51">
        <f t="shared" si="7"/>
        <v>0</v>
      </c>
      <c r="M53" s="51"/>
      <c r="N53" s="51"/>
      <c r="O53" s="51">
        <f>+'Note 13'!C29+'Note 13'!C30-'Note 13'!E29-'Note 13'!E30</f>
        <v>0</v>
      </c>
      <c r="P53" s="51"/>
      <c r="Q53" s="51"/>
      <c r="R53" s="51"/>
      <c r="S53" s="51"/>
      <c r="T53" s="51"/>
      <c r="U53" s="206"/>
      <c r="V53" s="51"/>
      <c r="W53" s="51"/>
      <c r="X53" s="51"/>
      <c r="Y53" s="51"/>
    </row>
    <row r="54" spans="2:26" x14ac:dyDescent="0.2">
      <c r="B54" s="51" t="s">
        <v>1017</v>
      </c>
      <c r="C54" s="206"/>
      <c r="D54" s="51">
        <f>SUMIFS(MAP!$T:$T,MAP!$D:$D,TE!$D$10,MAP!$E:$E,TE!$B54)</f>
        <v>0</v>
      </c>
      <c r="E54" s="51"/>
      <c r="F54" s="51"/>
      <c r="G54" s="51">
        <f t="shared" si="6"/>
        <v>0</v>
      </c>
      <c r="H54" s="206"/>
      <c r="I54" s="51">
        <f>SUMIFS(MAP!$N:$N,MAP!$D:$D,TE!$I$10,MAP!$E:$E,TE!$B54)</f>
        <v>0</v>
      </c>
      <c r="J54" s="51"/>
      <c r="K54" s="51">
        <f>SUMIFS(MAP!$N:$N,MAP!$D:$D,TE!$K$10,MAP!$E:$E,TE!$B54)</f>
        <v>0</v>
      </c>
      <c r="L54" s="51">
        <f t="shared" si="7"/>
        <v>0</v>
      </c>
      <c r="M54" s="742">
        <f>G54+'CFER RECONCILIATION'!E12</f>
        <v>0</v>
      </c>
      <c r="N54" s="742">
        <f>L54++'CFER RECONCILIATION'!E12</f>
        <v>0</v>
      </c>
      <c r="O54" s="732"/>
      <c r="P54" s="51"/>
      <c r="Q54" s="51"/>
      <c r="R54" s="51"/>
      <c r="S54" s="51"/>
      <c r="T54" s="51"/>
      <c r="U54" s="206"/>
      <c r="V54" s="51"/>
      <c r="W54" s="51"/>
      <c r="X54" s="51"/>
      <c r="Y54" s="51"/>
    </row>
    <row r="55" spans="2:26" x14ac:dyDescent="0.2">
      <c r="B55" s="51" t="s">
        <v>2180</v>
      </c>
      <c r="C55" s="206"/>
      <c r="D55" s="51">
        <f>SUMIFS(MAP!$T:$T,MAP!$D:$D,TE!$D$10,MAP!$E:$E,TE!$B55)</f>
        <v>0</v>
      </c>
      <c r="E55" s="51"/>
      <c r="F55" s="51"/>
      <c r="G55" s="51">
        <f t="shared" si="6"/>
        <v>0</v>
      </c>
      <c r="H55" s="206"/>
      <c r="I55" s="51">
        <f>SUMIFS(MAP!$N:$N,MAP!$D:$D,TE!$I$10,MAP!$E:$E,TE!$B55)</f>
        <v>0</v>
      </c>
      <c r="J55" s="51"/>
      <c r="K55" s="51"/>
      <c r="L55" s="51">
        <f t="shared" si="7"/>
        <v>0</v>
      </c>
      <c r="M55" s="742"/>
      <c r="N55" s="742"/>
      <c r="O55" s="732"/>
      <c r="P55" s="51"/>
      <c r="Q55" s="51"/>
      <c r="R55" s="51"/>
      <c r="S55" s="51"/>
      <c r="T55" s="51"/>
      <c r="U55" s="206"/>
      <c r="V55" s="51"/>
      <c r="W55" s="51"/>
      <c r="X55" s="51"/>
      <c r="Y55" s="51"/>
    </row>
    <row r="56" spans="2:26" x14ac:dyDescent="0.2">
      <c r="B56" s="51" t="s">
        <v>854</v>
      </c>
      <c r="C56" s="206"/>
      <c r="D56" s="51">
        <f>SUMIFS(MAP!$T:$T,MAP!$D:$D,TE!$D$10,MAP!$E:$E,TE!$B56)</f>
        <v>0</v>
      </c>
      <c r="E56" s="51"/>
      <c r="F56" s="51"/>
      <c r="G56" s="51">
        <f t="shared" si="6"/>
        <v>0</v>
      </c>
      <c r="H56" s="206"/>
      <c r="I56" s="51">
        <f>SUMIFS(MAP!$N:$N,MAP!$D:$D,TE!$I$10,MAP!$E:$E,TE!$B56)</f>
        <v>0</v>
      </c>
      <c r="J56" s="51"/>
      <c r="K56" s="51">
        <f>SUMIFS(MAP!$N:$N,MAP!$D:$D,TE!$K$10,MAP!$E:$E,TE!$B56)</f>
        <v>0</v>
      </c>
      <c r="L56" s="51">
        <f t="shared" si="7"/>
        <v>0</v>
      </c>
      <c r="M56" s="122"/>
      <c r="N56" s="742">
        <f>L56</f>
        <v>0</v>
      </c>
      <c r="O56" s="1098"/>
      <c r="P56" s="51"/>
      <c r="Q56" s="51"/>
      <c r="R56" s="51"/>
      <c r="S56" s="51"/>
      <c r="T56" s="51"/>
      <c r="U56" s="206"/>
      <c r="V56" s="51"/>
      <c r="W56" s="51"/>
      <c r="X56" s="51"/>
      <c r="Y56" s="51"/>
    </row>
    <row r="57" spans="2:26" s="37" customFormat="1" x14ac:dyDescent="0.2">
      <c r="B57" s="47" t="s">
        <v>117</v>
      </c>
      <c r="C57" s="113"/>
      <c r="D57" s="744">
        <f>SUM(D48:D56)</f>
        <v>0</v>
      </c>
      <c r="E57" s="744">
        <f>SUM(E48:E56)</f>
        <v>0</v>
      </c>
      <c r="F57" s="744">
        <f>SUM(F48:F56)</f>
        <v>0</v>
      </c>
      <c r="G57" s="744">
        <f>SUM(G48:G56)</f>
        <v>0</v>
      </c>
      <c r="H57" s="113"/>
      <c r="I57" s="744">
        <f>SUM(I48:I56)</f>
        <v>0</v>
      </c>
      <c r="J57" s="744">
        <f>SUM(J48:J56)</f>
        <v>0</v>
      </c>
      <c r="K57" s="744">
        <f>SUM(K48:K56)</f>
        <v>0</v>
      </c>
      <c r="L57" s="744">
        <f>SUM(L48:L56)</f>
        <v>0</v>
      </c>
      <c r="M57" s="47"/>
      <c r="N57" s="47"/>
      <c r="O57" s="47"/>
      <c r="P57" s="47"/>
      <c r="Q57" s="47"/>
      <c r="R57" s="47"/>
      <c r="S57" s="47"/>
      <c r="T57" s="47"/>
      <c r="U57" s="113"/>
      <c r="V57" s="47"/>
      <c r="W57" s="47"/>
      <c r="X57" s="47"/>
      <c r="Y57" s="47"/>
    </row>
    <row r="58" spans="2:26" x14ac:dyDescent="0.2">
      <c r="B58" s="51" t="s">
        <v>1028</v>
      </c>
      <c r="C58" s="206"/>
      <c r="D58" s="51">
        <f>SUMIFS(MAP!$T:$T,MAP!$D:$D,TE!$D$10,MAP!$E:$E,TE!$B58)</f>
        <v>0</v>
      </c>
      <c r="E58" s="51">
        <f>SUMIFS(MAP!$T:$T,MAP!$D:$D,TE!$E$10,MAP!$E:$E,TE!$B58)</f>
        <v>0</v>
      </c>
      <c r="F58" s="51">
        <f>SUMIFS(MAP!$T:$T,MAP!$D:$D,TE!$F$10,MAP!$E:$E,TE!$B58)</f>
        <v>0</v>
      </c>
      <c r="G58" s="51">
        <f>SUM(D58:F58)</f>
        <v>0</v>
      </c>
      <c r="H58" s="206"/>
      <c r="I58" s="51">
        <f>SUMIFS(MAP!$N:$N,MAP!$D:$D,TE!$I$10,MAP!$E:$E,TE!$B58)</f>
        <v>0</v>
      </c>
      <c r="J58" s="51">
        <f>SUMIFS(MAP!$N:$N,MAP!$D:$D,TE!$J$10,MAP!$E:$E,TE!$B58)</f>
        <v>0</v>
      </c>
      <c r="K58" s="51">
        <f>SUMIFS(MAP!$N:$N,MAP!$D:$D,TE!$K$10,MAP!$E:$E,TE!$B58)</f>
        <v>0</v>
      </c>
      <c r="L58" s="51">
        <f t="shared" si="7"/>
        <v>0</v>
      </c>
      <c r="M58" s="742" t="e">
        <f>+E58+SCNE!D58</f>
        <v>#VALUE!</v>
      </c>
      <c r="N58" s="742" t="e">
        <f>+J58+SCNE!F58+SCNE!F60</f>
        <v>#VALUE!</v>
      </c>
      <c r="O58" s="741"/>
      <c r="P58" s="51"/>
      <c r="Q58" s="51"/>
      <c r="R58" s="51"/>
      <c r="S58" s="51"/>
      <c r="T58" s="51"/>
      <c r="U58" s="206"/>
      <c r="V58" s="51"/>
      <c r="W58" s="51"/>
      <c r="X58" s="51"/>
      <c r="Y58" s="51"/>
      <c r="Z58" s="745" t="e">
        <f>+G58+SCNE!D68</f>
        <v>#VALUE!</v>
      </c>
    </row>
    <row r="59" spans="2:26" ht="15" x14ac:dyDescent="0.2">
      <c r="B59" s="7" t="s">
        <v>904</v>
      </c>
      <c r="C59" s="206"/>
      <c r="D59" s="51">
        <f>SUMIFS(MAP!$T:$T,MAP!$D:$D,TE!$D$10,MAP!$E:$E,TE!$B59)</f>
        <v>0</v>
      </c>
      <c r="E59" s="51">
        <f>SUMIFS(MAP!$T:$T,MAP!$D:$D,TE!$E$10,MAP!$E:$E,TE!$B59)</f>
        <v>0</v>
      </c>
      <c r="F59" s="51">
        <f>SUMIFS(MAP!$T:$T,MAP!$D:$D,TE!$F$10,MAP!$E:$E,TE!$B59)</f>
        <v>0</v>
      </c>
      <c r="G59" s="51">
        <f>SUM(D59:F59)</f>
        <v>0</v>
      </c>
      <c r="H59" s="206"/>
      <c r="I59" s="51">
        <f>SUMIFS(MAP!$N:$N,MAP!$D:$D,TE!$I$10,MAP!$E:$E,TE!$B59)</f>
        <v>0</v>
      </c>
      <c r="J59" s="51">
        <f>SUMIFS(MAP!$N:$N,MAP!$D:$D,TE!$J$10,MAP!$E:$E,TE!$B59)</f>
        <v>0</v>
      </c>
      <c r="K59" s="51">
        <f>SUMIFS(MAP!$N:$N,MAP!$D:$D,TE!$K$10,MAP!$E:$E,TE!$B59)</f>
        <v>0</v>
      </c>
      <c r="L59" s="51">
        <f t="shared" si="7"/>
        <v>0</v>
      </c>
      <c r="M59" s="745" t="e">
        <f>+G58+SCNE!D68+G59</f>
        <v>#VALUE!</v>
      </c>
      <c r="N59" s="745" t="e">
        <f>+L58+SCNE!F68+L59</f>
        <v>#VALUE!</v>
      </c>
      <c r="O59" s="741"/>
      <c r="P59" s="51">
        <f>SUM(L58:L59)</f>
        <v>0</v>
      </c>
      <c r="Q59" s="51"/>
      <c r="R59" s="51"/>
      <c r="S59" s="51"/>
      <c r="T59" s="51"/>
      <c r="U59" s="206"/>
      <c r="V59" s="51"/>
      <c r="W59" s="51"/>
      <c r="X59" s="51"/>
      <c r="Y59" s="51"/>
    </row>
    <row r="60" spans="2:26" x14ac:dyDescent="0.2">
      <c r="B60" s="51"/>
      <c r="C60" s="206"/>
      <c r="D60" s="51"/>
      <c r="E60" s="51"/>
      <c r="F60" s="51"/>
      <c r="G60" s="51"/>
      <c r="H60" s="206"/>
      <c r="I60" s="51"/>
      <c r="J60" s="51"/>
      <c r="K60" s="51"/>
      <c r="L60" s="51"/>
      <c r="M60" s="122"/>
      <c r="N60" s="51"/>
      <c r="O60" s="51"/>
      <c r="P60" s="51"/>
      <c r="Q60" s="51"/>
      <c r="R60" s="51"/>
      <c r="S60" s="51"/>
      <c r="T60" s="51"/>
      <c r="U60" s="206"/>
      <c r="V60" s="51"/>
      <c r="W60" s="51"/>
      <c r="X60" s="51"/>
      <c r="Y60" s="51"/>
    </row>
    <row r="61" spans="2:26" x14ac:dyDescent="0.2">
      <c r="B61" s="47" t="s">
        <v>555</v>
      </c>
      <c r="C61" s="206"/>
      <c r="D61" s="51"/>
      <c r="E61" s="51"/>
      <c r="F61" s="51"/>
      <c r="G61" s="51"/>
      <c r="H61" s="206"/>
      <c r="I61" s="51"/>
      <c r="J61" s="51"/>
      <c r="K61" s="51">
        <f>SUMIFS(MAP!$N:$N,MAP!$D:$D,TE!$K$10,MAP!$E:$E,TE!$B61)</f>
        <v>0</v>
      </c>
      <c r="L61" s="51">
        <f t="shared" si="7"/>
        <v>0</v>
      </c>
      <c r="M61" s="51"/>
      <c r="N61" s="51"/>
      <c r="O61" s="51"/>
      <c r="P61" s="51"/>
      <c r="Q61" s="51"/>
      <c r="R61" s="51"/>
      <c r="S61" s="51"/>
      <c r="T61" s="51"/>
      <c r="U61" s="206"/>
      <c r="V61" s="51"/>
      <c r="W61" s="51"/>
      <c r="X61" s="51"/>
      <c r="Y61" s="51"/>
    </row>
    <row r="62" spans="2:26" x14ac:dyDescent="0.2">
      <c r="B62" s="51" t="s">
        <v>1018</v>
      </c>
      <c r="C62" s="206">
        <v>3</v>
      </c>
      <c r="D62" s="51">
        <f>SUMIFS(MAP!$T:$T,MAP!$D:$D,TE!$D$10,MAP!$E:$E,TE!$B62)</f>
        <v>0</v>
      </c>
      <c r="E62" s="51"/>
      <c r="F62" s="51"/>
      <c r="G62" s="51">
        <f>SUM(D62:F62)</f>
        <v>0</v>
      </c>
      <c r="H62" s="206"/>
      <c r="I62" s="51">
        <f>SUMIFS(MAP!$N:$N,MAP!$D:$D,TE!$I$10,MAP!$E:$E,TE!$B62)</f>
        <v>0</v>
      </c>
      <c r="J62" s="51"/>
      <c r="K62" s="51">
        <f>SUMIFS(MAP!$N:$N,MAP!$D:$D,TE!$K$10,MAP!$E:$E,TE!$B62)</f>
        <v>0</v>
      </c>
      <c r="L62" s="51">
        <f t="shared" si="7"/>
        <v>0</v>
      </c>
      <c r="M62" s="742">
        <f>G62-'Note 3a'!D25-'Note 3b &amp; 3c'!D30</f>
        <v>0</v>
      </c>
      <c r="N62" s="742">
        <f>L62-'Note 3a'!F25-'Note 3b &amp; 3c'!F30</f>
        <v>0</v>
      </c>
      <c r="O62" s="1098"/>
      <c r="P62" s="51"/>
      <c r="Q62" s="51"/>
      <c r="R62" s="51"/>
      <c r="S62" s="51"/>
      <c r="T62" s="51"/>
      <c r="U62" s="206"/>
      <c r="V62" s="51"/>
      <c r="W62" s="51"/>
      <c r="X62" s="51"/>
      <c r="Y62" s="51"/>
    </row>
    <row r="63" spans="2:26" x14ac:dyDescent="0.2">
      <c r="B63" s="51" t="s">
        <v>1019</v>
      </c>
      <c r="C63" s="206">
        <v>3</v>
      </c>
      <c r="D63" s="51">
        <f>SUMIFS(MAP!$T:$T,MAP!$D:$D,TE!$D$10,MAP!$E:$E,TE!$B63)</f>
        <v>0</v>
      </c>
      <c r="E63" s="51"/>
      <c r="F63" s="51"/>
      <c r="G63" s="51">
        <f>SUM(D63:F63)</f>
        <v>0</v>
      </c>
      <c r="H63" s="206"/>
      <c r="I63" s="51">
        <f>SUMIFS(MAP!$N:$N,MAP!$D:$D,TE!$I$10,MAP!$E:$E,TE!$B63)</f>
        <v>0</v>
      </c>
      <c r="J63" s="51"/>
      <c r="K63" s="51">
        <f>SUMIFS(MAP!$N:$N,MAP!$D:$D,TE!$K$10,MAP!$E:$E,TE!$B63)</f>
        <v>0</v>
      </c>
      <c r="L63" s="51">
        <f t="shared" si="7"/>
        <v>0</v>
      </c>
      <c r="M63" s="742">
        <f>G63-'Note 3a'!D29-'Note 3a'!D30</f>
        <v>0</v>
      </c>
      <c r="N63" s="742">
        <f>L63-'Note 3a'!F29-'Note 3a'!F30-'Note 3b &amp; 3c'!F34</f>
        <v>0</v>
      </c>
      <c r="O63" s="51"/>
      <c r="P63" s="51"/>
      <c r="Q63" s="51"/>
      <c r="R63" s="51"/>
      <c r="S63" s="51"/>
      <c r="T63" s="51"/>
      <c r="U63" s="206"/>
      <c r="V63" s="51"/>
      <c r="W63" s="51"/>
      <c r="X63" s="51"/>
      <c r="Y63" s="51"/>
    </row>
    <row r="64" spans="2:26" x14ac:dyDescent="0.2">
      <c r="B64" s="47"/>
      <c r="C64" s="206"/>
      <c r="D64" s="51"/>
      <c r="E64" s="51"/>
      <c r="F64" s="51"/>
      <c r="G64" s="51"/>
      <c r="H64" s="206"/>
      <c r="I64" s="51"/>
      <c r="J64" s="51"/>
      <c r="K64" s="51"/>
      <c r="L64" s="51"/>
      <c r="M64" s="122"/>
      <c r="N64" s="51"/>
      <c r="O64" s="51"/>
      <c r="P64" s="51"/>
      <c r="Q64" s="51"/>
      <c r="R64" s="51"/>
      <c r="S64" s="51"/>
      <c r="T64" s="51"/>
      <c r="U64" s="206"/>
      <c r="V64" s="51"/>
      <c r="W64" s="51"/>
      <c r="X64" s="51"/>
      <c r="Y64" s="51"/>
    </row>
    <row r="65" spans="2:25" x14ac:dyDescent="0.2">
      <c r="B65" s="47" t="s">
        <v>123</v>
      </c>
      <c r="C65" s="206"/>
      <c r="D65" s="51"/>
      <c r="E65" s="51"/>
      <c r="F65" s="51"/>
      <c r="G65" s="51"/>
      <c r="H65" s="206"/>
      <c r="I65" s="51"/>
      <c r="J65" s="51"/>
      <c r="K65" s="51">
        <f>SUMIFS(MAP!$N:$N,MAP!$D:$D,TE!$K$10,MAP!$E:$E,TE!$B65)</f>
        <v>0</v>
      </c>
      <c r="L65" s="51"/>
      <c r="M65" s="741"/>
      <c r="N65" s="51"/>
      <c r="O65" s="51"/>
      <c r="P65" s="51"/>
      <c r="Q65" s="51"/>
      <c r="R65" s="51"/>
      <c r="S65" s="51"/>
      <c r="T65" s="51"/>
      <c r="U65" s="206"/>
      <c r="V65" s="51"/>
      <c r="W65" s="51"/>
      <c r="X65" s="51"/>
      <c r="Y65" s="51"/>
    </row>
    <row r="66" spans="2:25" x14ac:dyDescent="0.2">
      <c r="B66" s="51" t="s">
        <v>1020</v>
      </c>
      <c r="C66" s="51"/>
      <c r="D66" s="51">
        <f>SUMIFS(MAP!$T:$T,MAP!$D:$D,TE!$D$10,MAP!$E:$E,TE!$B66)</f>
        <v>0</v>
      </c>
      <c r="E66" s="51">
        <f>SUMIFS(MAP!$T:$T,MAP!$D:$D,TE!$E$10,MAP!$E:$E,TE!$B66)</f>
        <v>0</v>
      </c>
      <c r="F66" s="51">
        <f>SUMIFS(MAP!$T:$T,MAP!$D:$D,TE!$F$10,MAP!$E:$E,TE!$B66)</f>
        <v>0</v>
      </c>
      <c r="G66" s="51">
        <f t="shared" ref="G66:G72" si="8">SUM(D66:F66)</f>
        <v>0</v>
      </c>
      <c r="H66" s="51"/>
      <c r="I66" s="51">
        <f>SUMIFS(MAP!$N:$N,MAP!$D:$D,TE!$I$10,MAP!$E:$E,TE!$B66)</f>
        <v>0</v>
      </c>
      <c r="J66" s="51">
        <f>SUMIFS(MAP!$N:$N,MAP!$D:$D,TE!$J$10,MAP!$E:$E,TE!$B66)</f>
        <v>0</v>
      </c>
      <c r="K66" s="51">
        <f>SUMIFS(MAP!$N:$N,MAP!$D:$D,TE!$K$10,MAP!$E:$E,TE!$B66)</f>
        <v>0</v>
      </c>
      <c r="L66" s="51">
        <f t="shared" si="7"/>
        <v>0</v>
      </c>
      <c r="M66" s="741"/>
      <c r="N66" s="51"/>
      <c r="O66" s="51"/>
      <c r="P66" s="51"/>
      <c r="Q66" s="51"/>
      <c r="R66" s="51"/>
      <c r="S66" s="51"/>
      <c r="T66" s="51"/>
      <c r="U66" s="51"/>
      <c r="V66" s="51"/>
      <c r="W66" s="51"/>
      <c r="X66" s="51"/>
      <c r="Y66" s="51"/>
    </row>
    <row r="67" spans="2:25" x14ac:dyDescent="0.2">
      <c r="B67" s="51" t="s">
        <v>1021</v>
      </c>
      <c r="C67" s="51"/>
      <c r="D67" s="51">
        <f>SUMIFS(MAP!$T:$T,MAP!$D:$D,TE!$D$10,MAP!$E:$E,TE!$B67)</f>
        <v>0</v>
      </c>
      <c r="E67" s="51">
        <f>SUMIFS(MAP!$T:$T,MAP!$D:$D,TE!$E$10,MAP!$E:$E,TE!$B67)</f>
        <v>0</v>
      </c>
      <c r="F67" s="51">
        <f>SUMIFS(MAP!$T:$T,MAP!$D:$D,TE!$F$10,MAP!$E:$E,TE!$B67)</f>
        <v>0</v>
      </c>
      <c r="G67" s="51">
        <f t="shared" si="8"/>
        <v>0</v>
      </c>
      <c r="H67" s="51"/>
      <c r="I67" s="51">
        <f>SUMIFS(MAP!$N:$N,MAP!$D:$D,TE!$I$10,MAP!$E:$E,TE!$B67)</f>
        <v>0</v>
      </c>
      <c r="J67" s="51">
        <f>SUMIFS(MAP!$N:$N,MAP!$D:$D,TE!$J$10,MAP!$E:$E,TE!$B67)</f>
        <v>0</v>
      </c>
      <c r="K67" s="51">
        <f>SUMIFS(MAP!$N:$N,MAP!$D:$D,TE!$K$10,MAP!$E:$E,TE!$B67)</f>
        <v>0</v>
      </c>
      <c r="L67" s="51">
        <f t="shared" si="7"/>
        <v>0</v>
      </c>
      <c r="M67" s="741"/>
      <c r="N67" s="51"/>
      <c r="O67" s="51"/>
      <c r="P67" s="51"/>
      <c r="Q67" s="51"/>
      <c r="R67" s="51"/>
      <c r="S67" s="51"/>
      <c r="T67" s="51"/>
      <c r="U67" s="51"/>
      <c r="V67" s="51"/>
      <c r="W67" s="51"/>
      <c r="X67" s="51"/>
      <c r="Y67" s="51"/>
    </row>
    <row r="68" spans="2:25" x14ac:dyDescent="0.2">
      <c r="B68" s="51" t="s">
        <v>1022</v>
      </c>
      <c r="C68" s="206" t="s">
        <v>2505</v>
      </c>
      <c r="D68" s="51"/>
      <c r="E68" s="51"/>
      <c r="F68" s="51"/>
      <c r="G68" s="51">
        <f t="shared" si="8"/>
        <v>0</v>
      </c>
      <c r="H68" s="206"/>
      <c r="I68" s="51"/>
      <c r="J68" s="51"/>
      <c r="K68" s="51">
        <f>SUMIFS(MAP!$N:$N,MAP!$D:$D,TE!$K$10,MAP!$E:$E,TE!$B68)</f>
        <v>0</v>
      </c>
      <c r="L68" s="51">
        <f t="shared" si="7"/>
        <v>0</v>
      </c>
      <c r="M68" s="51"/>
      <c r="N68" s="51"/>
      <c r="O68" s="51"/>
      <c r="P68" s="51"/>
      <c r="Q68" s="51"/>
      <c r="R68" s="51"/>
      <c r="S68" s="51"/>
      <c r="T68" s="51"/>
      <c r="U68" s="206"/>
      <c r="V68" s="51"/>
      <c r="W68" s="51"/>
      <c r="X68" s="51"/>
      <c r="Y68" s="51"/>
    </row>
    <row r="69" spans="2:25" x14ac:dyDescent="0.2">
      <c r="B69" s="51" t="s">
        <v>1023</v>
      </c>
      <c r="C69" s="206"/>
      <c r="D69" s="51">
        <f>SUMIFS(MAP!$T:$T,MAP!$D:$D,TE!$D$10,MAP!$E:$E,TE!$B69)</f>
        <v>0</v>
      </c>
      <c r="E69" s="51">
        <f>SUMIFS(MAP!$T:$T,MAP!$D:$D,TE!$E$10,MAP!$E:$E,TE!$B69)</f>
        <v>0</v>
      </c>
      <c r="F69" s="51">
        <f>SUMIFS(MAP!$T:$T,MAP!$D:$D,TE!$F$10,MAP!$E:$E,TE!$B69)</f>
        <v>0</v>
      </c>
      <c r="G69" s="51">
        <f t="shared" si="8"/>
        <v>0</v>
      </c>
      <c r="H69" s="206"/>
      <c r="I69" s="51">
        <f>SUMIFS(MAP!$N:$N,MAP!$D:$D,TE!$I$10,MAP!$E:$E,TE!$B69)</f>
        <v>0</v>
      </c>
      <c r="J69" s="51">
        <f>SUMIFS(MAP!$N:$N,MAP!$D:$D,TE!$J$10,MAP!$E:$E,TE!$B69)</f>
        <v>0</v>
      </c>
      <c r="K69" s="51">
        <f>SUMIFS(MAP!$N:$N,MAP!$D:$D,TE!$K$10,MAP!$E:$E,TE!$B69)</f>
        <v>0</v>
      </c>
      <c r="L69" s="51">
        <f t="shared" si="7"/>
        <v>0</v>
      </c>
      <c r="M69" s="51"/>
      <c r="N69" s="51"/>
      <c r="O69" s="51"/>
      <c r="P69" s="51"/>
      <c r="Q69" s="51"/>
      <c r="R69" s="51"/>
      <c r="S69" s="51"/>
      <c r="T69" s="51"/>
      <c r="U69" s="206"/>
      <c r="V69" s="51"/>
      <c r="W69" s="51"/>
      <c r="X69" s="51"/>
      <c r="Y69" s="51"/>
    </row>
    <row r="70" spans="2:25" x14ac:dyDescent="0.2">
      <c r="B70" s="51" t="s">
        <v>1024</v>
      </c>
      <c r="C70" s="206"/>
      <c r="D70" s="51"/>
      <c r="E70" s="51"/>
      <c r="F70" s="51"/>
      <c r="G70" s="51">
        <f t="shared" si="8"/>
        <v>0</v>
      </c>
      <c r="H70" s="206"/>
      <c r="I70" s="51"/>
      <c r="J70" s="51"/>
      <c r="K70" s="51">
        <f>SUMIFS(MAP!$N:$N,MAP!$D:$D,TE!$K$10,MAP!$E:$E,TE!$B70)</f>
        <v>0</v>
      </c>
      <c r="L70" s="51">
        <f t="shared" si="7"/>
        <v>0</v>
      </c>
      <c r="M70" s="51"/>
      <c r="N70" s="51"/>
      <c r="O70" s="51"/>
      <c r="P70" s="51"/>
      <c r="Q70" s="51"/>
      <c r="R70" s="51"/>
      <c r="S70" s="51"/>
      <c r="T70" s="51"/>
      <c r="U70" s="206"/>
      <c r="V70" s="51"/>
      <c r="W70" s="51"/>
      <c r="X70" s="51"/>
      <c r="Y70" s="51"/>
    </row>
    <row r="71" spans="2:25" x14ac:dyDescent="0.2">
      <c r="B71" s="51" t="s">
        <v>858</v>
      </c>
      <c r="C71" s="206"/>
      <c r="D71" s="51">
        <f>SUMIFS(MAP!$T:$T,MAP!$D:$D,TE!$D$10,MAP!$E:$E,TE!$B71)</f>
        <v>0</v>
      </c>
      <c r="E71" s="51">
        <f>SUMIFS(MAP!$T:$T,MAP!$D:$D,TE!$E$10,MAP!$E:$E,TE!$B71)</f>
        <v>0</v>
      </c>
      <c r="F71" s="51">
        <f>SUMIFS(MAP!$T:$T,MAP!$D:$D,TE!$F$10,MAP!$E:$E,TE!$B71)</f>
        <v>0</v>
      </c>
      <c r="G71" s="51">
        <f t="shared" si="8"/>
        <v>0</v>
      </c>
      <c r="H71" s="206"/>
      <c r="I71" s="51">
        <f>SUMIFS(MAP!$N:$N,MAP!$D:$D,TE!$I$10,MAP!$E:$E,TE!$B71)</f>
        <v>0</v>
      </c>
      <c r="J71" s="51">
        <f>SUMIFS(MAP!$N:$N,MAP!$D:$D,TE!$J$10,MAP!$E:$E,TE!$B71)</f>
        <v>0</v>
      </c>
      <c r="K71" s="51">
        <f>SUMIFS(MAP!$N270:$N285,MAP!$D270:$D285,TE!$K$10,MAP!$E270:$E285,TE!$B71)</f>
        <v>0</v>
      </c>
      <c r="L71" s="51">
        <f t="shared" si="7"/>
        <v>0</v>
      </c>
      <c r="M71" s="742">
        <f>D71+E71</f>
        <v>0</v>
      </c>
      <c r="N71" s="742">
        <f>I71+J71</f>
        <v>0</v>
      </c>
      <c r="O71" s="1098"/>
      <c r="P71" s="51"/>
      <c r="Q71" s="51"/>
      <c r="R71" s="51"/>
      <c r="S71" s="51"/>
      <c r="T71" s="51"/>
      <c r="U71" s="206"/>
      <c r="V71" s="51"/>
      <c r="W71" s="51"/>
      <c r="X71" s="51"/>
      <c r="Y71" s="51"/>
    </row>
    <row r="72" spans="2:25" x14ac:dyDescent="0.2">
      <c r="B72" s="51" t="s">
        <v>1456</v>
      </c>
      <c r="C72" s="206"/>
      <c r="D72" s="51">
        <f>SUMIFS(MAP!$T:$T,MAP!$D:$D,TE!$D$10,MAP!$E:$E,TE!$B72)</f>
        <v>0</v>
      </c>
      <c r="E72" s="51">
        <f>SUMIFS(MAP!$T:$T,MAP!$D:$D,TE!$E$10,MAP!$E:$E,TE!$B72)</f>
        <v>0</v>
      </c>
      <c r="F72" s="51">
        <f>SUMIFS(MAP!$T:$T,MAP!$D:$D,TE!$F$10,MAP!$E:$E,TE!$B72)</f>
        <v>0</v>
      </c>
      <c r="G72" s="51">
        <f t="shared" si="8"/>
        <v>0</v>
      </c>
      <c r="H72" s="206"/>
      <c r="I72" s="51">
        <f>SUMIFS(MAP!$N:$N,MAP!$D:$D,TE!$I$10,MAP!$E:$E,TE!$B72)</f>
        <v>0</v>
      </c>
      <c r="J72" s="51">
        <f>SUMIFS(MAP!$N:$N,MAP!$D:$D,TE!$J$10,MAP!$E:$E,TE!$B72)</f>
        <v>0</v>
      </c>
      <c r="K72" s="51">
        <f>SUMIFS(MAP!$N:$N,MAP!$D:$D,TE!$K$10,MAP!$E:$E,TE!$B72)</f>
        <v>0</v>
      </c>
      <c r="L72" s="51">
        <f>SUM(I72:K72)</f>
        <v>0</v>
      </c>
      <c r="N72" s="339"/>
      <c r="O72" s="339"/>
      <c r="P72" s="51"/>
      <c r="Q72" s="51"/>
      <c r="R72" s="51"/>
      <c r="S72" s="51"/>
      <c r="T72" s="51"/>
      <c r="U72" s="206"/>
      <c r="V72" s="51"/>
      <c r="W72" s="51"/>
      <c r="X72" s="51"/>
      <c r="Y72" s="51"/>
    </row>
    <row r="73" spans="2:25" x14ac:dyDescent="0.2">
      <c r="B73" s="51" t="s">
        <v>340</v>
      </c>
      <c r="C73" s="206"/>
      <c r="D73" s="51">
        <f>SUMIFS(MAP!$T:$T,MAP!$D:$D,TE!$D$10,MAP!$E:$E,TE!$B73)</f>
        <v>0</v>
      </c>
      <c r="E73" s="51">
        <f>SUMIFS(MAP!$T:$T,MAP!$D:$D,TE!$E$10,MAP!$E:$E,TE!$B73)</f>
        <v>0</v>
      </c>
      <c r="F73" s="51">
        <f>SUMIFS(MAP!$T:$T,MAP!$D:$D,TE!$F$10,MAP!$E:$E,TE!$B73)</f>
        <v>0</v>
      </c>
      <c r="G73" s="51">
        <f>SUM(D73:F73)</f>
        <v>0</v>
      </c>
      <c r="H73" s="206"/>
      <c r="I73" s="51">
        <f>SUMIFS(MAP!$N:$N,MAP!$D:$D,TE!$I$10,MAP!$E:$E,TE!$B73)</f>
        <v>0</v>
      </c>
      <c r="J73" s="51">
        <f>SUMIFS(MAP!$N:$N,MAP!$D:$D,TE!$J$10,MAP!$E:$E,TE!$B73)</f>
        <v>0</v>
      </c>
      <c r="K73" s="51">
        <f>SUMIFS(MAP!$N:$N,MAP!$D:$D,TE!$K$10,MAP!$E:$E,TE!$B73)</f>
        <v>0</v>
      </c>
      <c r="L73" s="51">
        <f>SUM(I73:K73)</f>
        <v>0</v>
      </c>
      <c r="M73" s="51"/>
      <c r="N73" s="51"/>
      <c r="O73" s="51"/>
      <c r="P73" s="51"/>
      <c r="Q73" s="51"/>
      <c r="R73" s="51"/>
      <c r="S73" s="51"/>
      <c r="T73" s="51"/>
      <c r="U73" s="206"/>
      <c r="V73" s="51"/>
      <c r="W73" s="51"/>
      <c r="X73" s="51"/>
      <c r="Y73" s="51"/>
    </row>
    <row r="74" spans="2:25" x14ac:dyDescent="0.2">
      <c r="B74" s="805" t="s">
        <v>557</v>
      </c>
      <c r="C74" s="206"/>
      <c r="D74" s="51">
        <f>SUMIFS(MAP!$T:$T,MAP!$D:$D,TE!$D$10,MAP!$E:$E,TE!$B74)</f>
        <v>0</v>
      </c>
      <c r="E74" s="51">
        <f>SUMIFS(MAP!$T:$T,MAP!$D:$D,TE!$E$10,MAP!$E:$E,TE!$B74)</f>
        <v>0</v>
      </c>
      <c r="F74" s="51">
        <f>SUMIFS(MAP!$T:$T,MAP!$D:$D,TE!$F$10,MAP!$E:$E,TE!$B74)</f>
        <v>0</v>
      </c>
      <c r="G74" s="51"/>
      <c r="H74" s="206"/>
      <c r="I74" s="51">
        <f>SUMIFS(MAP!$N:$N,MAP!$D:$D,TE!$I$10,MAP!$E:$E,TE!$B74)</f>
        <v>0</v>
      </c>
      <c r="J74" s="51">
        <f>SUMIFS(MAP!$N:$N,MAP!$D:$D,TE!$J$10,MAP!$E:$E,TE!$B74)</f>
        <v>0</v>
      </c>
      <c r="K74" s="51">
        <f>SUMIFS(MAP!$N:$N,MAP!$D:$D,TE!$K$10,MAP!$E:$E,TE!$B74)</f>
        <v>0</v>
      </c>
      <c r="L74" s="51">
        <f t="shared" si="7"/>
        <v>0</v>
      </c>
      <c r="M74" s="51"/>
      <c r="N74" s="51"/>
      <c r="O74" s="51"/>
      <c r="P74" s="51"/>
      <c r="Q74" s="51"/>
      <c r="R74" s="51"/>
      <c r="S74" s="51"/>
      <c r="T74" s="51"/>
      <c r="U74" s="206"/>
      <c r="V74" s="51"/>
      <c r="W74" s="51"/>
      <c r="X74" s="51"/>
      <c r="Y74" s="51"/>
    </row>
    <row r="75" spans="2:25" x14ac:dyDescent="0.2">
      <c r="B75" s="47" t="str">
        <f>"Balances as at"&amp;Update!$B$22</f>
        <v>Balances as at 31 March 2026</v>
      </c>
      <c r="C75" s="206"/>
      <c r="D75" s="744">
        <f>ROUND(SUM(D57:D74)+D46,0)</f>
        <v>1877810</v>
      </c>
      <c r="E75" s="744">
        <f>ROUND(SUM(E57:E74)+E46,0)</f>
        <v>33276</v>
      </c>
      <c r="F75" s="744">
        <f>ROUND(SUM(F57:F74)+F46,0)</f>
        <v>0</v>
      </c>
      <c r="G75" s="744">
        <f>ROUND(SUM(G57:G74)+G46,0)</f>
        <v>1911086</v>
      </c>
      <c r="H75" s="206"/>
      <c r="I75" s="744">
        <f>ROUND(SUM(I57:I74)+I46,0)</f>
        <v>-18392</v>
      </c>
      <c r="J75" s="744">
        <f>ROUND(SUM(J57:J74)+J46,0)</f>
        <v>1636336</v>
      </c>
      <c r="K75" s="744">
        <f>ROUND(SUM(K57:K74)+K46,0)</f>
        <v>94518</v>
      </c>
      <c r="L75" s="744">
        <f>ROUND(SUM(L57:L74)+L46,0)</f>
        <v>1712462</v>
      </c>
      <c r="M75" s="51"/>
      <c r="N75" s="51"/>
      <c r="O75" s="51"/>
      <c r="P75" s="51"/>
      <c r="Q75" s="744"/>
      <c r="R75" s="744"/>
      <c r="S75" s="744"/>
      <c r="T75" s="744"/>
      <c r="U75" s="206"/>
      <c r="V75" s="744"/>
      <c r="W75" s="744"/>
      <c r="X75" s="744"/>
      <c r="Y75" s="744"/>
    </row>
    <row r="76" spans="2:25" outlineLevel="1" x14ac:dyDescent="0.2">
      <c r="B76" s="47"/>
      <c r="C76" s="206"/>
      <c r="D76" s="51"/>
      <c r="E76" s="51"/>
      <c r="F76" s="51"/>
      <c r="G76" s="51"/>
      <c r="H76" s="206"/>
      <c r="I76" s="51"/>
      <c r="J76" s="51"/>
      <c r="K76" s="51"/>
      <c r="L76" s="51"/>
      <c r="M76" s="51"/>
      <c r="N76" s="51"/>
      <c r="O76" s="51"/>
      <c r="P76" s="51"/>
      <c r="Q76" s="51"/>
      <c r="R76" s="51"/>
      <c r="S76" s="51"/>
      <c r="T76" s="51"/>
      <c r="U76" s="206"/>
      <c r="V76" s="51"/>
      <c r="W76" s="51"/>
      <c r="X76" s="51"/>
      <c r="Y76" s="51"/>
    </row>
    <row r="77" spans="2:25" outlineLevel="1" x14ac:dyDescent="0.2">
      <c r="B77" s="47"/>
      <c r="C77" s="212" t="s">
        <v>2040</v>
      </c>
      <c r="D77" s="51"/>
      <c r="E77" s="51"/>
      <c r="F77" s="51"/>
      <c r="G77" s="51"/>
      <c r="H77" s="212"/>
      <c r="I77" s="745">
        <f>I56</f>
        <v>0</v>
      </c>
      <c r="J77" s="745">
        <f>J56</f>
        <v>0</v>
      </c>
      <c r="K77" s="745">
        <f>K56</f>
        <v>0</v>
      </c>
      <c r="L77" s="51"/>
      <c r="M77" s="51"/>
      <c r="N77" s="51"/>
      <c r="O77" s="51"/>
      <c r="P77" s="51"/>
      <c r="Q77" s="51"/>
      <c r="R77" s="51"/>
      <c r="S77" s="51"/>
      <c r="T77" s="51"/>
      <c r="U77" s="206"/>
      <c r="V77" s="51"/>
      <c r="W77" s="51"/>
      <c r="X77" s="51"/>
      <c r="Y77" s="51"/>
    </row>
    <row r="78" spans="2:25" outlineLevel="1" x14ac:dyDescent="0.2">
      <c r="B78" s="51"/>
      <c r="C78" s="212" t="s">
        <v>2039</v>
      </c>
      <c r="D78" s="206"/>
      <c r="E78" s="206"/>
      <c r="F78" s="206"/>
      <c r="G78" s="206"/>
      <c r="H78" s="212"/>
      <c r="I78" s="745">
        <f>I27</f>
        <v>0</v>
      </c>
      <c r="J78" s="745">
        <f>J27</f>
        <v>0</v>
      </c>
      <c r="K78" s="745">
        <f>K27</f>
        <v>0</v>
      </c>
      <c r="L78" s="1098" t="s">
        <v>363</v>
      </c>
      <c r="M78" s="51"/>
      <c r="N78" s="51"/>
      <c r="O78" s="51"/>
      <c r="P78" s="51"/>
      <c r="Q78" s="206"/>
      <c r="R78" s="206"/>
      <c r="S78" s="206"/>
      <c r="T78" s="206"/>
      <c r="U78" s="206"/>
      <c r="V78" s="51"/>
      <c r="W78" s="51"/>
      <c r="X78" s="51"/>
      <c r="Y78" s="51"/>
    </row>
    <row r="79" spans="2:25" outlineLevel="1" x14ac:dyDescent="0.2">
      <c r="B79" s="51"/>
      <c r="C79" s="212" t="s">
        <v>40</v>
      </c>
      <c r="D79" s="745" t="e">
        <f>D58+SCNE!D49</f>
        <v>#VALUE!</v>
      </c>
      <c r="E79" s="745" t="e">
        <f>E58+SUM(SCNE!D58:D67)</f>
        <v>#VALUE!</v>
      </c>
      <c r="F79" s="206"/>
      <c r="G79" s="745">
        <f>G75-SUM(D75:F75)</f>
        <v>0</v>
      </c>
      <c r="H79" s="212"/>
      <c r="I79" s="1206" t="e">
        <f>I58+SCNE!F49+SCNE!F66-'CHECK 2'!F17</f>
        <v>#VALUE!</v>
      </c>
      <c r="J79" s="745" t="e">
        <f>J58-SUMIF(MAP!$D$7:$D$40,"Reval Reserve",MAP!$N$7:$N$40)</f>
        <v>#VALUE!</v>
      </c>
      <c r="K79" s="1207" t="e">
        <f>K58+SCNE!F61-SCNE!F52</f>
        <v>#VALUE!</v>
      </c>
      <c r="L79" s="745">
        <f>L75-SUM(I75:K75)</f>
        <v>0</v>
      </c>
      <c r="M79" s="51"/>
      <c r="N79" s="51"/>
      <c r="O79" s="51"/>
      <c r="P79" s="51"/>
      <c r="Q79" s="51"/>
      <c r="R79" s="51"/>
      <c r="S79" s="47"/>
      <c r="T79" s="51"/>
      <c r="U79" s="51"/>
      <c r="V79" s="51"/>
      <c r="W79" s="51"/>
      <c r="X79" s="51"/>
      <c r="Y79" s="51"/>
    </row>
    <row r="80" spans="2:25" outlineLevel="1" x14ac:dyDescent="0.2">
      <c r="B80" s="51"/>
      <c r="C80" s="212"/>
      <c r="D80" s="206"/>
      <c r="E80" s="206"/>
      <c r="F80" s="206"/>
      <c r="G80" s="206"/>
      <c r="H80" s="212"/>
      <c r="I80" s="51"/>
      <c r="J80" s="51"/>
      <c r="K80" s="51"/>
      <c r="L80" s="51"/>
      <c r="M80" s="51"/>
      <c r="N80" s="51"/>
      <c r="O80" s="51"/>
      <c r="P80" s="51"/>
      <c r="Q80" s="51"/>
      <c r="R80" s="51"/>
      <c r="S80" s="47"/>
      <c r="T80" s="51"/>
      <c r="U80" s="51"/>
      <c r="V80" s="51"/>
      <c r="W80" s="51"/>
      <c r="X80" s="51"/>
      <c r="Y80" s="51"/>
    </row>
    <row r="81" spans="2:25" outlineLevel="1" x14ac:dyDescent="0.2">
      <c r="B81" s="51"/>
      <c r="C81" s="212" t="s">
        <v>41</v>
      </c>
      <c r="D81" s="745">
        <f>D75-SFP!$E$57</f>
        <v>-106511</v>
      </c>
      <c r="E81" s="745">
        <f>E75-SFP!$E$58</f>
        <v>13323</v>
      </c>
      <c r="F81" s="745">
        <f>F75-SFP!$E$59</f>
        <v>0</v>
      </c>
      <c r="G81" s="745">
        <f>G75-SFP!$E$60</f>
        <v>-93188</v>
      </c>
      <c r="H81" s="212"/>
      <c r="I81" s="745">
        <f>I75-SFP!$G$57</f>
        <v>6287</v>
      </c>
      <c r="J81" s="745">
        <f>J75-SFP!$G$58</f>
        <v>1616383</v>
      </c>
      <c r="K81" s="745">
        <f>K75-SFP!$G$59</f>
        <v>94518</v>
      </c>
      <c r="L81" s="745">
        <f>L75-SFP!$G$60</f>
        <v>1717188</v>
      </c>
      <c r="M81" s="51"/>
      <c r="N81" s="51"/>
      <c r="O81" s="51"/>
      <c r="P81" s="51"/>
      <c r="Q81" s="51"/>
      <c r="R81" s="51"/>
      <c r="S81" s="47"/>
      <c r="T81" s="51"/>
      <c r="U81" s="51"/>
      <c r="V81" s="51"/>
      <c r="W81" s="51"/>
      <c r="X81" s="51"/>
      <c r="Y81" s="51"/>
    </row>
    <row r="82" spans="2:25" outlineLevel="2" x14ac:dyDescent="0.2">
      <c r="B82" s="51"/>
      <c r="C82" s="206"/>
      <c r="D82" s="206"/>
      <c r="E82" s="206"/>
      <c r="F82" s="206"/>
      <c r="G82" s="206"/>
      <c r="H82" s="212"/>
      <c r="I82" s="51"/>
      <c r="J82" s="51"/>
      <c r="K82" s="51"/>
      <c r="L82" s="51"/>
      <c r="M82" s="51"/>
      <c r="N82" s="51"/>
      <c r="O82" s="51"/>
      <c r="P82" s="51"/>
      <c r="Q82" s="51"/>
      <c r="R82" s="51"/>
      <c r="S82" s="47"/>
      <c r="T82" s="51"/>
      <c r="U82" s="51"/>
      <c r="V82" s="51"/>
      <c r="W82" s="51"/>
      <c r="X82" s="51"/>
      <c r="Y82" s="51"/>
    </row>
    <row r="83" spans="2:25" outlineLevel="2" x14ac:dyDescent="0.2">
      <c r="B83" s="51"/>
      <c r="C83" s="206"/>
      <c r="D83" s="206"/>
      <c r="E83" s="206"/>
      <c r="F83" s="206"/>
      <c r="G83" s="206"/>
      <c r="H83" s="206"/>
      <c r="I83" s="339"/>
      <c r="J83" s="51"/>
      <c r="K83" s="51"/>
      <c r="L83" s="51"/>
      <c r="M83" s="51"/>
      <c r="N83" s="51"/>
      <c r="O83" s="51"/>
      <c r="P83" s="51"/>
      <c r="Q83" s="51"/>
      <c r="R83" s="51"/>
      <c r="S83" s="47"/>
      <c r="T83" s="51"/>
      <c r="U83" s="51"/>
      <c r="V83" s="51"/>
      <c r="W83" s="51"/>
      <c r="X83" s="51"/>
      <c r="Y83" s="51"/>
    </row>
    <row r="84" spans="2:25" outlineLevel="1" x14ac:dyDescent="0.2">
      <c r="B84" s="51"/>
      <c r="C84" s="206"/>
      <c r="D84" s="206"/>
      <c r="E84" s="206"/>
      <c r="F84" s="206"/>
      <c r="G84" s="206"/>
      <c r="H84" s="206"/>
      <c r="I84" s="51"/>
      <c r="J84" s="51"/>
      <c r="K84" s="51"/>
      <c r="L84" s="51"/>
      <c r="M84" s="51"/>
      <c r="N84" s="51"/>
      <c r="O84" s="51"/>
      <c r="P84" s="51"/>
      <c r="Q84" s="51"/>
      <c r="R84" s="51"/>
      <c r="S84" s="47"/>
      <c r="T84" s="51"/>
      <c r="U84" s="51"/>
      <c r="V84" s="51"/>
      <c r="W84" s="51"/>
      <c r="X84" s="51"/>
      <c r="Y84" s="51"/>
    </row>
    <row r="85" spans="2:25" outlineLevel="1" collapsed="1" x14ac:dyDescent="0.2">
      <c r="B85" s="51"/>
      <c r="C85" s="1098"/>
      <c r="D85" s="51"/>
      <c r="E85" s="206"/>
      <c r="F85" s="206"/>
      <c r="G85" s="206"/>
      <c r="H85" s="206"/>
      <c r="I85" s="51"/>
      <c r="J85" s="51"/>
      <c r="K85" s="51"/>
      <c r="L85" s="51"/>
      <c r="M85" s="51"/>
      <c r="N85" s="51"/>
      <c r="O85" s="51"/>
      <c r="P85" s="51"/>
      <c r="Q85" s="51"/>
      <c r="R85" s="51"/>
      <c r="S85" s="47"/>
      <c r="T85" s="51"/>
      <c r="U85" s="51"/>
      <c r="V85" s="51"/>
      <c r="W85" s="51"/>
      <c r="X85" s="51"/>
      <c r="Y85" s="51"/>
    </row>
    <row r="86" spans="2:25" outlineLevel="1" x14ac:dyDescent="0.2">
      <c r="B86" s="51"/>
      <c r="C86" s="1098"/>
      <c r="D86" s="249"/>
      <c r="E86" s="206"/>
      <c r="F86" s="206"/>
      <c r="G86" s="206"/>
      <c r="H86" s="206"/>
      <c r="I86" s="51"/>
      <c r="J86" s="51"/>
      <c r="K86" s="51"/>
      <c r="L86" s="51"/>
      <c r="M86" s="51"/>
      <c r="N86" s="51"/>
      <c r="O86" s="51"/>
      <c r="P86" s="51"/>
      <c r="Q86" s="51"/>
      <c r="R86" s="51"/>
      <c r="S86" s="47"/>
      <c r="T86" s="51"/>
      <c r="U86" s="51"/>
      <c r="V86" s="51"/>
      <c r="W86" s="51"/>
      <c r="X86" s="51"/>
      <c r="Y86" s="51"/>
    </row>
    <row r="87" spans="2:25" outlineLevel="1" x14ac:dyDescent="0.2">
      <c r="B87" s="51"/>
      <c r="C87" s="1098"/>
      <c r="D87" s="339"/>
      <c r="E87" s="206"/>
      <c r="F87" s="206"/>
      <c r="G87" s="206"/>
      <c r="H87" s="206"/>
      <c r="I87" s="51"/>
      <c r="J87" s="51"/>
      <c r="K87" s="51"/>
      <c r="L87" s="51"/>
      <c r="M87" s="51"/>
      <c r="N87" s="51"/>
      <c r="O87" s="51"/>
      <c r="P87" s="51"/>
      <c r="Q87" s="51"/>
      <c r="R87" s="51"/>
      <c r="S87" s="47"/>
      <c r="T87" s="51"/>
      <c r="U87" s="51"/>
      <c r="V87" s="51"/>
      <c r="W87" s="51"/>
      <c r="X87" s="51"/>
      <c r="Y87" s="51"/>
    </row>
    <row r="88" spans="2:25" outlineLevel="1" x14ac:dyDescent="0.2">
      <c r="B88" s="51"/>
      <c r="C88" s="1098"/>
      <c r="D88" s="339"/>
      <c r="E88" s="206"/>
      <c r="F88" s="206"/>
      <c r="G88" s="206"/>
      <c r="H88" s="206"/>
      <c r="I88" s="51"/>
      <c r="J88" s="51"/>
      <c r="K88" s="51"/>
      <c r="L88" s="51"/>
      <c r="M88" s="51"/>
      <c r="N88" s="51"/>
      <c r="O88" s="51"/>
      <c r="P88" s="51"/>
      <c r="Q88" s="51"/>
      <c r="R88" s="51"/>
      <c r="S88" s="47"/>
      <c r="T88" s="51"/>
      <c r="U88" s="51"/>
      <c r="V88" s="51"/>
      <c r="W88" s="51"/>
      <c r="X88" s="51"/>
      <c r="Y88" s="51"/>
    </row>
    <row r="89" spans="2:25" outlineLevel="1" x14ac:dyDescent="0.2">
      <c r="B89" s="51"/>
      <c r="C89" s="1098"/>
      <c r="D89" s="249"/>
      <c r="E89" s="206"/>
      <c r="F89" s="206"/>
      <c r="G89" s="206"/>
      <c r="H89" s="206"/>
      <c r="I89" s="51"/>
      <c r="J89" s="51"/>
      <c r="K89" s="51"/>
      <c r="L89" s="51"/>
      <c r="M89" s="51"/>
      <c r="N89" s="51"/>
      <c r="O89" s="51"/>
      <c r="P89" s="51"/>
      <c r="Q89" s="51"/>
      <c r="R89" s="51"/>
      <c r="S89" s="47"/>
      <c r="T89" s="51"/>
      <c r="U89" s="51"/>
      <c r="V89" s="51"/>
      <c r="W89" s="51"/>
      <c r="X89" s="51"/>
      <c r="Y89" s="51"/>
    </row>
    <row r="90" spans="2:25" outlineLevel="1" x14ac:dyDescent="0.2">
      <c r="B90" s="51"/>
      <c r="C90" s="1098"/>
      <c r="D90" s="249"/>
      <c r="E90" s="206"/>
      <c r="F90" s="206"/>
      <c r="G90" s="206"/>
      <c r="H90" s="206"/>
      <c r="I90" s="51"/>
      <c r="J90" s="51"/>
      <c r="K90" s="51"/>
      <c r="L90" s="51"/>
      <c r="M90" s="51"/>
      <c r="N90" s="51"/>
      <c r="O90" s="51"/>
      <c r="P90" s="51"/>
      <c r="Q90" s="51"/>
      <c r="R90" s="51"/>
      <c r="S90" s="47"/>
      <c r="T90" s="51"/>
      <c r="U90" s="51"/>
      <c r="V90" s="51"/>
      <c r="W90" s="51"/>
      <c r="X90" s="51"/>
      <c r="Y90" s="51"/>
    </row>
    <row r="91" spans="2:25" x14ac:dyDescent="0.2">
      <c r="B91" s="51"/>
      <c r="C91" s="206"/>
      <c r="D91" s="206"/>
      <c r="E91" s="206"/>
      <c r="F91" s="206"/>
      <c r="G91" s="206"/>
      <c r="H91" s="206"/>
      <c r="I91" s="51"/>
      <c r="J91" s="51"/>
      <c r="K91" s="51"/>
      <c r="L91" s="51"/>
      <c r="M91" s="51"/>
      <c r="N91" s="51"/>
      <c r="O91" s="51"/>
      <c r="P91" s="51"/>
      <c r="Q91" s="51"/>
      <c r="R91" s="51"/>
      <c r="S91" s="47"/>
      <c r="T91" s="51"/>
      <c r="U91" s="51"/>
      <c r="V91" s="51"/>
      <c r="W91" s="51"/>
      <c r="X91" s="51"/>
      <c r="Y91" s="51"/>
    </row>
    <row r="92" spans="2:25" x14ac:dyDescent="0.2">
      <c r="B92" s="51"/>
      <c r="C92" s="206"/>
      <c r="D92" s="206"/>
      <c r="E92" s="206"/>
      <c r="F92" s="206"/>
      <c r="G92" s="206"/>
      <c r="H92" s="206"/>
      <c r="I92" s="51"/>
      <c r="J92" s="51"/>
      <c r="K92" s="51"/>
      <c r="L92" s="51"/>
      <c r="M92" s="51"/>
      <c r="N92" s="51"/>
      <c r="O92" s="51"/>
      <c r="P92" s="51"/>
      <c r="Q92" s="51"/>
      <c r="R92" s="51"/>
      <c r="S92" s="47"/>
      <c r="T92" s="51"/>
      <c r="U92" s="51"/>
      <c r="V92" s="51"/>
      <c r="W92" s="51"/>
      <c r="X92" s="51"/>
      <c r="Y92" s="51"/>
    </row>
    <row r="93" spans="2:25" x14ac:dyDescent="0.2">
      <c r="B93" s="51"/>
      <c r="C93" s="206"/>
      <c r="D93" s="206"/>
      <c r="E93" s="206"/>
      <c r="F93" s="206"/>
      <c r="G93" s="206"/>
      <c r="H93" s="206"/>
      <c r="I93" s="51"/>
      <c r="J93" s="51"/>
      <c r="K93" s="51"/>
      <c r="L93" s="51"/>
      <c r="M93" s="51"/>
      <c r="N93" s="51"/>
      <c r="O93" s="51"/>
      <c r="P93" s="51"/>
      <c r="Q93" s="51"/>
      <c r="R93" s="51"/>
      <c r="S93" s="47"/>
      <c r="T93" s="51"/>
      <c r="U93" s="51"/>
      <c r="V93" s="51"/>
      <c r="W93" s="51"/>
      <c r="X93" s="51"/>
      <c r="Y93" s="51"/>
    </row>
    <row r="94" spans="2:25" x14ac:dyDescent="0.2">
      <c r="B94" s="51"/>
      <c r="C94" s="206"/>
      <c r="D94" s="206"/>
      <c r="E94" s="206"/>
      <c r="F94" s="206"/>
      <c r="G94" s="206"/>
      <c r="H94" s="206"/>
      <c r="I94" s="51"/>
      <c r="J94" s="51"/>
      <c r="K94" s="51"/>
      <c r="L94" s="51"/>
      <c r="M94" s="51"/>
      <c r="N94" s="51"/>
      <c r="O94" s="51"/>
      <c r="P94" s="51"/>
      <c r="Q94" s="51"/>
      <c r="R94" s="51"/>
      <c r="S94" s="47"/>
      <c r="T94" s="51"/>
      <c r="U94" s="51"/>
      <c r="V94" s="51"/>
      <c r="W94" s="51"/>
      <c r="X94" s="51"/>
      <c r="Y94" s="51"/>
    </row>
    <row r="95" spans="2:25" x14ac:dyDescent="0.2">
      <c r="B95" s="51"/>
      <c r="C95" s="206"/>
      <c r="D95" s="206"/>
      <c r="E95" s="206"/>
      <c r="F95" s="206"/>
      <c r="G95" s="206"/>
      <c r="H95" s="206"/>
      <c r="I95" s="51"/>
      <c r="J95" s="51"/>
      <c r="K95" s="51"/>
      <c r="L95" s="51"/>
      <c r="M95" s="51"/>
      <c r="N95" s="51"/>
      <c r="O95" s="51"/>
      <c r="P95" s="51"/>
      <c r="Q95" s="51"/>
      <c r="R95" s="51"/>
      <c r="S95" s="47"/>
      <c r="T95" s="51"/>
      <c r="U95" s="51"/>
      <c r="V95" s="51"/>
      <c r="W95" s="51"/>
      <c r="X95" s="51"/>
      <c r="Y95" s="51"/>
    </row>
    <row r="96" spans="2:25" x14ac:dyDescent="0.2">
      <c r="B96" s="51"/>
      <c r="C96" s="206"/>
      <c r="D96" s="206"/>
      <c r="E96" s="206"/>
      <c r="F96" s="206"/>
      <c r="G96" s="206"/>
      <c r="H96" s="206"/>
      <c r="I96" s="51"/>
      <c r="J96" s="51"/>
      <c r="K96" s="51"/>
      <c r="L96" s="51"/>
      <c r="M96" s="51"/>
      <c r="N96" s="51"/>
      <c r="O96" s="51"/>
      <c r="P96" s="51"/>
      <c r="Q96" s="51"/>
      <c r="R96" s="51"/>
      <c r="S96" s="47"/>
      <c r="T96" s="51"/>
      <c r="U96" s="51"/>
      <c r="V96" s="51"/>
      <c r="W96" s="51"/>
      <c r="X96" s="51"/>
      <c r="Y96" s="51"/>
    </row>
    <row r="97" spans="2:25" x14ac:dyDescent="0.2">
      <c r="B97" s="51"/>
      <c r="C97" s="206"/>
      <c r="D97" s="206"/>
      <c r="E97" s="206"/>
      <c r="F97" s="206"/>
      <c r="G97" s="206"/>
      <c r="H97" s="206"/>
      <c r="I97" s="51"/>
      <c r="J97" s="51"/>
      <c r="K97" s="51"/>
      <c r="L97" s="51"/>
      <c r="M97" s="51"/>
      <c r="N97" s="51"/>
      <c r="O97" s="51"/>
      <c r="P97" s="51"/>
      <c r="Q97" s="51"/>
      <c r="R97" s="51"/>
      <c r="S97" s="47"/>
      <c r="T97" s="51"/>
      <c r="U97" s="51"/>
      <c r="V97" s="51"/>
      <c r="W97" s="51"/>
      <c r="X97" s="51"/>
      <c r="Y97" s="51"/>
    </row>
    <row r="98" spans="2:25" x14ac:dyDescent="0.2">
      <c r="B98" s="51"/>
      <c r="C98" s="206"/>
      <c r="D98" s="206"/>
      <c r="E98" s="206"/>
      <c r="F98" s="206"/>
      <c r="G98" s="206"/>
      <c r="H98" s="206"/>
      <c r="I98" s="51"/>
      <c r="J98" s="51"/>
      <c r="K98" s="51"/>
      <c r="L98" s="51"/>
      <c r="M98" s="51"/>
      <c r="N98" s="51"/>
      <c r="O98" s="51"/>
      <c r="P98" s="51"/>
      <c r="Q98" s="51"/>
      <c r="R98" s="51"/>
      <c r="S98" s="47"/>
      <c r="T98" s="51"/>
      <c r="U98" s="51"/>
      <c r="V98" s="51"/>
      <c r="W98" s="51"/>
      <c r="X98" s="51"/>
      <c r="Y98" s="51"/>
    </row>
    <row r="99" spans="2:25" x14ac:dyDescent="0.2">
      <c r="B99" s="51"/>
      <c r="C99" s="206"/>
      <c r="D99" s="206"/>
      <c r="E99" s="206"/>
      <c r="F99" s="206"/>
      <c r="G99" s="206"/>
      <c r="H99" s="206"/>
      <c r="I99" s="51"/>
      <c r="J99" s="51"/>
      <c r="K99" s="51"/>
      <c r="L99" s="51"/>
      <c r="M99" s="51"/>
      <c r="N99" s="51"/>
      <c r="O99" s="51"/>
      <c r="P99" s="51"/>
      <c r="Q99" s="51"/>
      <c r="R99" s="51"/>
      <c r="S99" s="47"/>
      <c r="T99" s="51"/>
      <c r="U99" s="51"/>
      <c r="V99" s="51"/>
      <c r="W99" s="51"/>
      <c r="X99" s="51"/>
      <c r="Y99" s="51"/>
    </row>
    <row r="100" spans="2:25" x14ac:dyDescent="0.2">
      <c r="B100" s="51"/>
      <c r="C100" s="206"/>
      <c r="D100" s="206"/>
      <c r="E100" s="206"/>
      <c r="F100" s="206"/>
      <c r="G100" s="206"/>
      <c r="H100" s="206"/>
      <c r="I100" s="51"/>
      <c r="J100" s="51"/>
      <c r="K100" s="51"/>
      <c r="L100" s="51"/>
      <c r="M100" s="51"/>
      <c r="N100" s="51"/>
      <c r="O100" s="51"/>
      <c r="P100" s="51"/>
      <c r="Q100" s="51"/>
      <c r="R100" s="51"/>
      <c r="S100" s="47"/>
      <c r="T100" s="51"/>
      <c r="U100" s="51"/>
      <c r="V100" s="51"/>
      <c r="W100" s="51"/>
      <c r="X100" s="51"/>
      <c r="Y100" s="51"/>
    </row>
    <row r="101" spans="2:25" x14ac:dyDescent="0.2">
      <c r="B101" s="51"/>
      <c r="C101" s="206"/>
      <c r="D101" s="206"/>
      <c r="E101" s="206"/>
      <c r="F101" s="206"/>
      <c r="G101" s="206"/>
      <c r="H101" s="206"/>
      <c r="I101" s="51"/>
      <c r="J101" s="51"/>
      <c r="K101" s="51"/>
      <c r="L101" s="51"/>
      <c r="M101" s="51"/>
      <c r="N101" s="51"/>
      <c r="O101" s="51"/>
      <c r="P101" s="51"/>
      <c r="Q101" s="51"/>
      <c r="R101" s="51"/>
      <c r="S101" s="47"/>
      <c r="T101" s="51"/>
      <c r="U101" s="51"/>
      <c r="V101" s="51"/>
      <c r="W101" s="51"/>
      <c r="X101" s="51"/>
      <c r="Y101" s="51"/>
    </row>
    <row r="102" spans="2:25" x14ac:dyDescent="0.2">
      <c r="B102" s="51"/>
      <c r="C102" s="206"/>
      <c r="D102" s="206"/>
      <c r="E102" s="206"/>
      <c r="F102" s="206"/>
      <c r="G102" s="206"/>
      <c r="H102" s="206"/>
      <c r="I102" s="51"/>
      <c r="J102" s="51"/>
      <c r="K102" s="51"/>
      <c r="L102" s="51"/>
      <c r="M102" s="51"/>
      <c r="N102" s="51"/>
      <c r="O102" s="51"/>
      <c r="P102" s="51"/>
      <c r="Q102" s="51"/>
      <c r="R102" s="51"/>
      <c r="S102" s="47"/>
      <c r="T102" s="51"/>
      <c r="U102" s="51"/>
      <c r="V102" s="51"/>
      <c r="W102" s="51"/>
      <c r="X102" s="51"/>
      <c r="Y102" s="51"/>
    </row>
    <row r="103" spans="2:25" x14ac:dyDescent="0.2">
      <c r="B103" s="51"/>
      <c r="C103" s="206"/>
      <c r="D103" s="206"/>
      <c r="E103" s="206"/>
      <c r="F103" s="206"/>
      <c r="G103" s="206"/>
      <c r="H103" s="206"/>
      <c r="I103" s="51"/>
      <c r="J103" s="51"/>
      <c r="K103" s="51"/>
      <c r="L103" s="51"/>
      <c r="M103" s="51"/>
      <c r="N103" s="51"/>
      <c r="O103" s="51"/>
      <c r="P103" s="51"/>
      <c r="Q103" s="51"/>
      <c r="R103" s="51"/>
      <c r="S103" s="47"/>
      <c r="T103" s="51"/>
      <c r="U103" s="51"/>
      <c r="V103" s="51"/>
      <c r="W103" s="51"/>
      <c r="X103" s="51"/>
      <c r="Y103" s="51"/>
    </row>
    <row r="104" spans="2:25" x14ac:dyDescent="0.2">
      <c r="B104" s="51"/>
      <c r="C104" s="206"/>
      <c r="D104" s="206"/>
      <c r="E104" s="206"/>
      <c r="F104" s="206"/>
      <c r="G104" s="206"/>
      <c r="H104" s="206"/>
      <c r="I104" s="51"/>
      <c r="J104" s="51"/>
      <c r="K104" s="51"/>
      <c r="L104" s="51"/>
      <c r="M104" s="51"/>
      <c r="N104" s="51"/>
      <c r="O104" s="51"/>
      <c r="P104" s="51"/>
      <c r="Q104" s="51"/>
      <c r="R104" s="51"/>
      <c r="S104" s="47"/>
      <c r="T104" s="51"/>
      <c r="U104" s="51"/>
      <c r="V104" s="51"/>
      <c r="W104" s="51"/>
      <c r="X104" s="51"/>
      <c r="Y104" s="51"/>
    </row>
    <row r="105" spans="2:25" x14ac:dyDescent="0.2">
      <c r="B105" s="51"/>
      <c r="C105" s="206"/>
      <c r="D105" s="206"/>
      <c r="E105" s="206"/>
      <c r="F105" s="206"/>
      <c r="G105" s="206"/>
      <c r="H105" s="206"/>
      <c r="I105" s="51"/>
      <c r="J105" s="51"/>
      <c r="K105" s="51"/>
      <c r="L105" s="51"/>
      <c r="M105" s="51"/>
      <c r="N105" s="51"/>
      <c r="O105" s="51"/>
      <c r="P105" s="51"/>
      <c r="Q105" s="51"/>
      <c r="R105" s="51"/>
      <c r="S105" s="47"/>
      <c r="T105" s="51"/>
      <c r="U105" s="51"/>
      <c r="V105" s="51"/>
      <c r="W105" s="51"/>
      <c r="X105" s="51"/>
      <c r="Y105" s="51"/>
    </row>
    <row r="106" spans="2:25" x14ac:dyDescent="0.2">
      <c r="B106" s="51"/>
      <c r="C106" s="206"/>
      <c r="D106" s="206"/>
      <c r="E106" s="206"/>
      <c r="F106" s="206"/>
      <c r="G106" s="206"/>
      <c r="H106" s="206"/>
      <c r="I106" s="51"/>
      <c r="J106" s="51"/>
      <c r="K106" s="51"/>
      <c r="L106" s="51"/>
      <c r="M106" s="51"/>
      <c r="N106" s="51"/>
      <c r="O106" s="51"/>
      <c r="P106" s="51"/>
      <c r="Q106" s="51"/>
      <c r="R106" s="51"/>
      <c r="S106" s="47"/>
      <c r="T106" s="51"/>
      <c r="U106" s="51"/>
      <c r="V106" s="51"/>
      <c r="W106" s="51"/>
      <c r="X106" s="51"/>
      <c r="Y106" s="51"/>
    </row>
    <row r="107" spans="2:25" x14ac:dyDescent="0.2">
      <c r="B107" s="51"/>
      <c r="C107" s="206"/>
      <c r="D107" s="206"/>
      <c r="E107" s="206"/>
      <c r="F107" s="206"/>
      <c r="G107" s="206"/>
      <c r="H107" s="206"/>
      <c r="I107" s="51"/>
      <c r="J107" s="51"/>
      <c r="K107" s="51"/>
      <c r="L107" s="51"/>
      <c r="M107" s="51"/>
      <c r="N107" s="51"/>
      <c r="O107" s="51"/>
      <c r="P107" s="51"/>
      <c r="Q107" s="51"/>
      <c r="R107" s="51"/>
      <c r="S107" s="47"/>
      <c r="T107" s="51"/>
      <c r="U107" s="51"/>
      <c r="V107" s="51"/>
      <c r="W107" s="51"/>
      <c r="X107" s="51"/>
      <c r="Y107" s="51"/>
    </row>
  </sheetData>
  <mergeCells count="7">
    <mergeCell ref="B7:L7"/>
    <mergeCell ref="D9:G9"/>
    <mergeCell ref="I9:L9"/>
    <mergeCell ref="Q9:T9"/>
    <mergeCell ref="V9:Y9"/>
    <mergeCell ref="Q8:T8"/>
    <mergeCell ref="V8:Y8"/>
  </mergeCells>
  <pageMargins left="0.35433070866141736" right="0.47244094488188981" top="0.19685039370078741" bottom="0.19685039370078741" header="0.31496062992125984" footer="0.31496062992125984"/>
  <pageSetup paperSize="9" scale="6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rgb="FF00B0F0"/>
    <pageSetUpPr fitToPage="1"/>
  </sheetPr>
  <dimension ref="A1:IV90"/>
  <sheetViews>
    <sheetView zoomScale="90" zoomScaleNormal="90" workbookViewId="0">
      <selection activeCell="G5" sqref="G4:G5"/>
    </sheetView>
  </sheetViews>
  <sheetFormatPr defaultColWidth="9" defaultRowHeight="12.75" x14ac:dyDescent="0.2"/>
  <cols>
    <col min="1" max="1" width="5" style="59" bestFit="1" customWidth="1"/>
    <col min="2" max="2" width="52.28515625" style="59" customWidth="1"/>
    <col min="3" max="3" width="17.42578125" style="59" customWidth="1"/>
    <col min="4" max="4" width="2" style="59" customWidth="1"/>
    <col min="5" max="5" width="13.7109375" style="59" customWidth="1"/>
    <col min="6" max="6" width="2.28515625" style="59" customWidth="1"/>
    <col min="7" max="7" width="19.7109375" style="59" bestFit="1" customWidth="1"/>
    <col min="8" max="8" width="8.85546875" style="59" bestFit="1" customWidth="1"/>
    <col min="9" max="9" width="12.5703125" style="59" customWidth="1"/>
    <col min="10" max="10" width="18.28515625" style="59" customWidth="1"/>
    <col min="11" max="11" width="10.140625" style="59" customWidth="1"/>
    <col min="12" max="12" width="11.42578125" style="59" customWidth="1"/>
    <col min="13" max="13" width="12.85546875" style="59" bestFit="1" customWidth="1"/>
    <col min="14" max="16" width="11.28515625" style="59" bestFit="1" customWidth="1"/>
    <col min="17" max="256" width="9" style="59"/>
    <col min="257" max="257" width="5" style="59" bestFit="1" customWidth="1"/>
    <col min="258" max="258" width="52.28515625" style="59" customWidth="1"/>
    <col min="259" max="259" width="17.42578125" style="59" customWidth="1"/>
    <col min="260" max="260" width="2" style="59" customWidth="1"/>
    <col min="261" max="261" width="13.7109375" style="59" customWidth="1"/>
    <col min="262" max="262" width="2.28515625" style="59" customWidth="1"/>
    <col min="263" max="263" width="12.28515625" style="59" customWidth="1"/>
    <col min="264" max="264" width="8.85546875" style="59" bestFit="1" customWidth="1"/>
    <col min="265" max="265" width="12.5703125" style="59" customWidth="1"/>
    <col min="266" max="266" width="18.28515625" style="59" customWidth="1"/>
    <col min="267" max="267" width="10.140625" style="59" customWidth="1"/>
    <col min="268" max="268" width="11.42578125" style="59" customWidth="1"/>
    <col min="269" max="512" width="9" style="59"/>
    <col min="513" max="513" width="5" style="59" bestFit="1" customWidth="1"/>
    <col min="514" max="514" width="52.28515625" style="59" customWidth="1"/>
    <col min="515" max="515" width="17.42578125" style="59" customWidth="1"/>
    <col min="516" max="516" width="2" style="59" customWidth="1"/>
    <col min="517" max="517" width="13.7109375" style="59" customWidth="1"/>
    <col min="518" max="518" width="2.28515625" style="59" customWidth="1"/>
    <col min="519" max="519" width="12.28515625" style="59" customWidth="1"/>
    <col min="520" max="520" width="8.85546875" style="59" bestFit="1" customWidth="1"/>
    <col min="521" max="521" width="12.5703125" style="59" customWidth="1"/>
    <col min="522" max="522" width="18.28515625" style="59" customWidth="1"/>
    <col min="523" max="523" width="10.140625" style="59" customWidth="1"/>
    <col min="524" max="524" width="11.42578125" style="59" customWidth="1"/>
    <col min="525" max="768" width="9" style="59"/>
    <col min="769" max="769" width="5" style="59" bestFit="1" customWidth="1"/>
    <col min="770" max="770" width="52.28515625" style="59" customWidth="1"/>
    <col min="771" max="771" width="17.42578125" style="59" customWidth="1"/>
    <col min="772" max="772" width="2" style="59" customWidth="1"/>
    <col min="773" max="773" width="13.7109375" style="59" customWidth="1"/>
    <col min="774" max="774" width="2.28515625" style="59" customWidth="1"/>
    <col min="775" max="775" width="12.28515625" style="59" customWidth="1"/>
    <col min="776" max="776" width="8.85546875" style="59" bestFit="1" customWidth="1"/>
    <col min="777" max="777" width="12.5703125" style="59" customWidth="1"/>
    <col min="778" max="778" width="18.28515625" style="59" customWidth="1"/>
    <col min="779" max="779" width="10.140625" style="59" customWidth="1"/>
    <col min="780" max="780" width="11.42578125" style="59" customWidth="1"/>
    <col min="781" max="1024" width="9" style="59"/>
    <col min="1025" max="1025" width="5" style="59" bestFit="1" customWidth="1"/>
    <col min="1026" max="1026" width="52.28515625" style="59" customWidth="1"/>
    <col min="1027" max="1027" width="17.42578125" style="59" customWidth="1"/>
    <col min="1028" max="1028" width="2" style="59" customWidth="1"/>
    <col min="1029" max="1029" width="13.7109375" style="59" customWidth="1"/>
    <col min="1030" max="1030" width="2.28515625" style="59" customWidth="1"/>
    <col min="1031" max="1031" width="12.28515625" style="59" customWidth="1"/>
    <col min="1032" max="1032" width="8.85546875" style="59" bestFit="1" customWidth="1"/>
    <col min="1033" max="1033" width="12.5703125" style="59" customWidth="1"/>
    <col min="1034" max="1034" width="18.28515625" style="59" customWidth="1"/>
    <col min="1035" max="1035" width="10.140625" style="59" customWidth="1"/>
    <col min="1036" max="1036" width="11.42578125" style="59" customWidth="1"/>
    <col min="1037" max="1280" width="9" style="59"/>
    <col min="1281" max="1281" width="5" style="59" bestFit="1" customWidth="1"/>
    <col min="1282" max="1282" width="52.28515625" style="59" customWidth="1"/>
    <col min="1283" max="1283" width="17.42578125" style="59" customWidth="1"/>
    <col min="1284" max="1284" width="2" style="59" customWidth="1"/>
    <col min="1285" max="1285" width="13.7109375" style="59" customWidth="1"/>
    <col min="1286" max="1286" width="2.28515625" style="59" customWidth="1"/>
    <col min="1287" max="1287" width="12.28515625" style="59" customWidth="1"/>
    <col min="1288" max="1288" width="8.85546875" style="59" bestFit="1" customWidth="1"/>
    <col min="1289" max="1289" width="12.5703125" style="59" customWidth="1"/>
    <col min="1290" max="1290" width="18.28515625" style="59" customWidth="1"/>
    <col min="1291" max="1291" width="10.140625" style="59" customWidth="1"/>
    <col min="1292" max="1292" width="11.42578125" style="59" customWidth="1"/>
    <col min="1293" max="1536" width="9" style="59"/>
    <col min="1537" max="1537" width="5" style="59" bestFit="1" customWidth="1"/>
    <col min="1538" max="1538" width="52.28515625" style="59" customWidth="1"/>
    <col min="1539" max="1539" width="17.42578125" style="59" customWidth="1"/>
    <col min="1540" max="1540" width="2" style="59" customWidth="1"/>
    <col min="1541" max="1541" width="13.7109375" style="59" customWidth="1"/>
    <col min="1542" max="1542" width="2.28515625" style="59" customWidth="1"/>
    <col min="1543" max="1543" width="12.28515625" style="59" customWidth="1"/>
    <col min="1544" max="1544" width="8.85546875" style="59" bestFit="1" customWidth="1"/>
    <col min="1545" max="1545" width="12.5703125" style="59" customWidth="1"/>
    <col min="1546" max="1546" width="18.28515625" style="59" customWidth="1"/>
    <col min="1547" max="1547" width="10.140625" style="59" customWidth="1"/>
    <col min="1548" max="1548" width="11.42578125" style="59" customWidth="1"/>
    <col min="1549" max="1792" width="9" style="59"/>
    <col min="1793" max="1793" width="5" style="59" bestFit="1" customWidth="1"/>
    <col min="1794" max="1794" width="52.28515625" style="59" customWidth="1"/>
    <col min="1795" max="1795" width="17.42578125" style="59" customWidth="1"/>
    <col min="1796" max="1796" width="2" style="59" customWidth="1"/>
    <col min="1797" max="1797" width="13.7109375" style="59" customWidth="1"/>
    <col min="1798" max="1798" width="2.28515625" style="59" customWidth="1"/>
    <col min="1799" max="1799" width="12.28515625" style="59" customWidth="1"/>
    <col min="1800" max="1800" width="8.85546875" style="59" bestFit="1" customWidth="1"/>
    <col min="1801" max="1801" width="12.5703125" style="59" customWidth="1"/>
    <col min="1802" max="1802" width="18.28515625" style="59" customWidth="1"/>
    <col min="1803" max="1803" width="10.140625" style="59" customWidth="1"/>
    <col min="1804" max="1804" width="11.42578125" style="59" customWidth="1"/>
    <col min="1805" max="2048" width="9" style="59"/>
    <col min="2049" max="2049" width="5" style="59" bestFit="1" customWidth="1"/>
    <col min="2050" max="2050" width="52.28515625" style="59" customWidth="1"/>
    <col min="2051" max="2051" width="17.42578125" style="59" customWidth="1"/>
    <col min="2052" max="2052" width="2" style="59" customWidth="1"/>
    <col min="2053" max="2053" width="13.7109375" style="59" customWidth="1"/>
    <col min="2054" max="2054" width="2.28515625" style="59" customWidth="1"/>
    <col min="2055" max="2055" width="12.28515625" style="59" customWidth="1"/>
    <col min="2056" max="2056" width="8.85546875" style="59" bestFit="1" customWidth="1"/>
    <col min="2057" max="2057" width="12.5703125" style="59" customWidth="1"/>
    <col min="2058" max="2058" width="18.28515625" style="59" customWidth="1"/>
    <col min="2059" max="2059" width="10.140625" style="59" customWidth="1"/>
    <col min="2060" max="2060" width="11.42578125" style="59" customWidth="1"/>
    <col min="2061" max="2304" width="9" style="59"/>
    <col min="2305" max="2305" width="5" style="59" bestFit="1" customWidth="1"/>
    <col min="2306" max="2306" width="52.28515625" style="59" customWidth="1"/>
    <col min="2307" max="2307" width="17.42578125" style="59" customWidth="1"/>
    <col min="2308" max="2308" width="2" style="59" customWidth="1"/>
    <col min="2309" max="2309" width="13.7109375" style="59" customWidth="1"/>
    <col min="2310" max="2310" width="2.28515625" style="59" customWidth="1"/>
    <col min="2311" max="2311" width="12.28515625" style="59" customWidth="1"/>
    <col min="2312" max="2312" width="8.85546875" style="59" bestFit="1" customWidth="1"/>
    <col min="2313" max="2313" width="12.5703125" style="59" customWidth="1"/>
    <col min="2314" max="2314" width="18.28515625" style="59" customWidth="1"/>
    <col min="2315" max="2315" width="10.140625" style="59" customWidth="1"/>
    <col min="2316" max="2316" width="11.42578125" style="59" customWidth="1"/>
    <col min="2317" max="2560" width="9" style="59"/>
    <col min="2561" max="2561" width="5" style="59" bestFit="1" customWidth="1"/>
    <col min="2562" max="2562" width="52.28515625" style="59" customWidth="1"/>
    <col min="2563" max="2563" width="17.42578125" style="59" customWidth="1"/>
    <col min="2564" max="2564" width="2" style="59" customWidth="1"/>
    <col min="2565" max="2565" width="13.7109375" style="59" customWidth="1"/>
    <col min="2566" max="2566" width="2.28515625" style="59" customWidth="1"/>
    <col min="2567" max="2567" width="12.28515625" style="59" customWidth="1"/>
    <col min="2568" max="2568" width="8.85546875" style="59" bestFit="1" customWidth="1"/>
    <col min="2569" max="2569" width="12.5703125" style="59" customWidth="1"/>
    <col min="2570" max="2570" width="18.28515625" style="59" customWidth="1"/>
    <col min="2571" max="2571" width="10.140625" style="59" customWidth="1"/>
    <col min="2572" max="2572" width="11.42578125" style="59" customWidth="1"/>
    <col min="2573" max="2816" width="9" style="59"/>
    <col min="2817" max="2817" width="5" style="59" bestFit="1" customWidth="1"/>
    <col min="2818" max="2818" width="52.28515625" style="59" customWidth="1"/>
    <col min="2819" max="2819" width="17.42578125" style="59" customWidth="1"/>
    <col min="2820" max="2820" width="2" style="59" customWidth="1"/>
    <col min="2821" max="2821" width="13.7109375" style="59" customWidth="1"/>
    <col min="2822" max="2822" width="2.28515625" style="59" customWidth="1"/>
    <col min="2823" max="2823" width="12.28515625" style="59" customWidth="1"/>
    <col min="2824" max="2824" width="8.85546875" style="59" bestFit="1" customWidth="1"/>
    <col min="2825" max="2825" width="12.5703125" style="59" customWidth="1"/>
    <col min="2826" max="2826" width="18.28515625" style="59" customWidth="1"/>
    <col min="2827" max="2827" width="10.140625" style="59" customWidth="1"/>
    <col min="2828" max="2828" width="11.42578125" style="59" customWidth="1"/>
    <col min="2829" max="3072" width="9" style="59"/>
    <col min="3073" max="3073" width="5" style="59" bestFit="1" customWidth="1"/>
    <col min="3074" max="3074" width="52.28515625" style="59" customWidth="1"/>
    <col min="3075" max="3075" width="17.42578125" style="59" customWidth="1"/>
    <col min="3076" max="3076" width="2" style="59" customWidth="1"/>
    <col min="3077" max="3077" width="13.7109375" style="59" customWidth="1"/>
    <col min="3078" max="3078" width="2.28515625" style="59" customWidth="1"/>
    <col min="3079" max="3079" width="12.28515625" style="59" customWidth="1"/>
    <col min="3080" max="3080" width="8.85546875" style="59" bestFit="1" customWidth="1"/>
    <col min="3081" max="3081" width="12.5703125" style="59" customWidth="1"/>
    <col min="3082" max="3082" width="18.28515625" style="59" customWidth="1"/>
    <col min="3083" max="3083" width="10.140625" style="59" customWidth="1"/>
    <col min="3084" max="3084" width="11.42578125" style="59" customWidth="1"/>
    <col min="3085" max="3328" width="9" style="59"/>
    <col min="3329" max="3329" width="5" style="59" bestFit="1" customWidth="1"/>
    <col min="3330" max="3330" width="52.28515625" style="59" customWidth="1"/>
    <col min="3331" max="3331" width="17.42578125" style="59" customWidth="1"/>
    <col min="3332" max="3332" width="2" style="59" customWidth="1"/>
    <col min="3333" max="3333" width="13.7109375" style="59" customWidth="1"/>
    <col min="3334" max="3334" width="2.28515625" style="59" customWidth="1"/>
    <col min="3335" max="3335" width="12.28515625" style="59" customWidth="1"/>
    <col min="3336" max="3336" width="8.85546875" style="59" bestFit="1" customWidth="1"/>
    <col min="3337" max="3337" width="12.5703125" style="59" customWidth="1"/>
    <col min="3338" max="3338" width="18.28515625" style="59" customWidth="1"/>
    <col min="3339" max="3339" width="10.140625" style="59" customWidth="1"/>
    <col min="3340" max="3340" width="11.42578125" style="59" customWidth="1"/>
    <col min="3341" max="3584" width="9" style="59"/>
    <col min="3585" max="3585" width="5" style="59" bestFit="1" customWidth="1"/>
    <col min="3586" max="3586" width="52.28515625" style="59" customWidth="1"/>
    <col min="3587" max="3587" width="17.42578125" style="59" customWidth="1"/>
    <col min="3588" max="3588" width="2" style="59" customWidth="1"/>
    <col min="3589" max="3589" width="13.7109375" style="59" customWidth="1"/>
    <col min="3590" max="3590" width="2.28515625" style="59" customWidth="1"/>
    <col min="3591" max="3591" width="12.28515625" style="59" customWidth="1"/>
    <col min="3592" max="3592" width="8.85546875" style="59" bestFit="1" customWidth="1"/>
    <col min="3593" max="3593" width="12.5703125" style="59" customWidth="1"/>
    <col min="3594" max="3594" width="18.28515625" style="59" customWidth="1"/>
    <col min="3595" max="3595" width="10.140625" style="59" customWidth="1"/>
    <col min="3596" max="3596" width="11.42578125" style="59" customWidth="1"/>
    <col min="3597" max="3840" width="9" style="59"/>
    <col min="3841" max="3841" width="5" style="59" bestFit="1" customWidth="1"/>
    <col min="3842" max="3842" width="52.28515625" style="59" customWidth="1"/>
    <col min="3843" max="3843" width="17.42578125" style="59" customWidth="1"/>
    <col min="3844" max="3844" width="2" style="59" customWidth="1"/>
    <col min="3845" max="3845" width="13.7109375" style="59" customWidth="1"/>
    <col min="3846" max="3846" width="2.28515625" style="59" customWidth="1"/>
    <col min="3847" max="3847" width="12.28515625" style="59" customWidth="1"/>
    <col min="3848" max="3848" width="8.85546875" style="59" bestFit="1" customWidth="1"/>
    <col min="3849" max="3849" width="12.5703125" style="59" customWidth="1"/>
    <col min="3850" max="3850" width="18.28515625" style="59" customWidth="1"/>
    <col min="3851" max="3851" width="10.140625" style="59" customWidth="1"/>
    <col min="3852" max="3852" width="11.42578125" style="59" customWidth="1"/>
    <col min="3853" max="4096" width="9" style="59"/>
    <col min="4097" max="4097" width="5" style="59" bestFit="1" customWidth="1"/>
    <col min="4098" max="4098" width="52.28515625" style="59" customWidth="1"/>
    <col min="4099" max="4099" width="17.42578125" style="59" customWidth="1"/>
    <col min="4100" max="4100" width="2" style="59" customWidth="1"/>
    <col min="4101" max="4101" width="13.7109375" style="59" customWidth="1"/>
    <col min="4102" max="4102" width="2.28515625" style="59" customWidth="1"/>
    <col min="4103" max="4103" width="12.28515625" style="59" customWidth="1"/>
    <col min="4104" max="4104" width="8.85546875" style="59" bestFit="1" customWidth="1"/>
    <col min="4105" max="4105" width="12.5703125" style="59" customWidth="1"/>
    <col min="4106" max="4106" width="18.28515625" style="59" customWidth="1"/>
    <col min="4107" max="4107" width="10.140625" style="59" customWidth="1"/>
    <col min="4108" max="4108" width="11.42578125" style="59" customWidth="1"/>
    <col min="4109" max="4352" width="9" style="59"/>
    <col min="4353" max="4353" width="5" style="59" bestFit="1" customWidth="1"/>
    <col min="4354" max="4354" width="52.28515625" style="59" customWidth="1"/>
    <col min="4355" max="4355" width="17.42578125" style="59" customWidth="1"/>
    <col min="4356" max="4356" width="2" style="59" customWidth="1"/>
    <col min="4357" max="4357" width="13.7109375" style="59" customWidth="1"/>
    <col min="4358" max="4358" width="2.28515625" style="59" customWidth="1"/>
    <col min="4359" max="4359" width="12.28515625" style="59" customWidth="1"/>
    <col min="4360" max="4360" width="8.85546875" style="59" bestFit="1" customWidth="1"/>
    <col min="4361" max="4361" width="12.5703125" style="59" customWidth="1"/>
    <col min="4362" max="4362" width="18.28515625" style="59" customWidth="1"/>
    <col min="4363" max="4363" width="10.140625" style="59" customWidth="1"/>
    <col min="4364" max="4364" width="11.42578125" style="59" customWidth="1"/>
    <col min="4365" max="4608" width="9" style="59"/>
    <col min="4609" max="4609" width="5" style="59" bestFit="1" customWidth="1"/>
    <col min="4610" max="4610" width="52.28515625" style="59" customWidth="1"/>
    <col min="4611" max="4611" width="17.42578125" style="59" customWidth="1"/>
    <col min="4612" max="4612" width="2" style="59" customWidth="1"/>
    <col min="4613" max="4613" width="13.7109375" style="59" customWidth="1"/>
    <col min="4614" max="4614" width="2.28515625" style="59" customWidth="1"/>
    <col min="4615" max="4615" width="12.28515625" style="59" customWidth="1"/>
    <col min="4616" max="4616" width="8.85546875" style="59" bestFit="1" customWidth="1"/>
    <col min="4617" max="4617" width="12.5703125" style="59" customWidth="1"/>
    <col min="4618" max="4618" width="18.28515625" style="59" customWidth="1"/>
    <col min="4619" max="4619" width="10.140625" style="59" customWidth="1"/>
    <col min="4620" max="4620" width="11.42578125" style="59" customWidth="1"/>
    <col min="4621" max="4864" width="9" style="59"/>
    <col min="4865" max="4865" width="5" style="59" bestFit="1" customWidth="1"/>
    <col min="4866" max="4866" width="52.28515625" style="59" customWidth="1"/>
    <col min="4867" max="4867" width="17.42578125" style="59" customWidth="1"/>
    <col min="4868" max="4868" width="2" style="59" customWidth="1"/>
    <col min="4869" max="4869" width="13.7109375" style="59" customWidth="1"/>
    <col min="4870" max="4870" width="2.28515625" style="59" customWidth="1"/>
    <col min="4871" max="4871" width="12.28515625" style="59" customWidth="1"/>
    <col min="4872" max="4872" width="8.85546875" style="59" bestFit="1" customWidth="1"/>
    <col min="4873" max="4873" width="12.5703125" style="59" customWidth="1"/>
    <col min="4874" max="4874" width="18.28515625" style="59" customWidth="1"/>
    <col min="4875" max="4875" width="10.140625" style="59" customWidth="1"/>
    <col min="4876" max="4876" width="11.42578125" style="59" customWidth="1"/>
    <col min="4877" max="5120" width="9" style="59"/>
    <col min="5121" max="5121" width="5" style="59" bestFit="1" customWidth="1"/>
    <col min="5122" max="5122" width="52.28515625" style="59" customWidth="1"/>
    <col min="5123" max="5123" width="17.42578125" style="59" customWidth="1"/>
    <col min="5124" max="5124" width="2" style="59" customWidth="1"/>
    <col min="5125" max="5125" width="13.7109375" style="59" customWidth="1"/>
    <col min="5126" max="5126" width="2.28515625" style="59" customWidth="1"/>
    <col min="5127" max="5127" width="12.28515625" style="59" customWidth="1"/>
    <col min="5128" max="5128" width="8.85546875" style="59" bestFit="1" customWidth="1"/>
    <col min="5129" max="5129" width="12.5703125" style="59" customWidth="1"/>
    <col min="5130" max="5130" width="18.28515625" style="59" customWidth="1"/>
    <col min="5131" max="5131" width="10.140625" style="59" customWidth="1"/>
    <col min="5132" max="5132" width="11.42578125" style="59" customWidth="1"/>
    <col min="5133" max="5376" width="9" style="59"/>
    <col min="5377" max="5377" width="5" style="59" bestFit="1" customWidth="1"/>
    <col min="5378" max="5378" width="52.28515625" style="59" customWidth="1"/>
    <col min="5379" max="5379" width="17.42578125" style="59" customWidth="1"/>
    <col min="5380" max="5380" width="2" style="59" customWidth="1"/>
    <col min="5381" max="5381" width="13.7109375" style="59" customWidth="1"/>
    <col min="5382" max="5382" width="2.28515625" style="59" customWidth="1"/>
    <col min="5383" max="5383" width="12.28515625" style="59" customWidth="1"/>
    <col min="5384" max="5384" width="8.85546875" style="59" bestFit="1" customWidth="1"/>
    <col min="5385" max="5385" width="12.5703125" style="59" customWidth="1"/>
    <col min="5386" max="5386" width="18.28515625" style="59" customWidth="1"/>
    <col min="5387" max="5387" width="10.140625" style="59" customWidth="1"/>
    <col min="5388" max="5388" width="11.42578125" style="59" customWidth="1"/>
    <col min="5389" max="5632" width="9" style="59"/>
    <col min="5633" max="5633" width="5" style="59" bestFit="1" customWidth="1"/>
    <col min="5634" max="5634" width="52.28515625" style="59" customWidth="1"/>
    <col min="5635" max="5635" width="17.42578125" style="59" customWidth="1"/>
    <col min="5636" max="5636" width="2" style="59" customWidth="1"/>
    <col min="5637" max="5637" width="13.7109375" style="59" customWidth="1"/>
    <col min="5638" max="5638" width="2.28515625" style="59" customWidth="1"/>
    <col min="5639" max="5639" width="12.28515625" style="59" customWidth="1"/>
    <col min="5640" max="5640" width="8.85546875" style="59" bestFit="1" customWidth="1"/>
    <col min="5641" max="5641" width="12.5703125" style="59" customWidth="1"/>
    <col min="5642" max="5642" width="18.28515625" style="59" customWidth="1"/>
    <col min="5643" max="5643" width="10.140625" style="59" customWidth="1"/>
    <col min="5644" max="5644" width="11.42578125" style="59" customWidth="1"/>
    <col min="5645" max="5888" width="9" style="59"/>
    <col min="5889" max="5889" width="5" style="59" bestFit="1" customWidth="1"/>
    <col min="5890" max="5890" width="52.28515625" style="59" customWidth="1"/>
    <col min="5891" max="5891" width="17.42578125" style="59" customWidth="1"/>
    <col min="5892" max="5892" width="2" style="59" customWidth="1"/>
    <col min="5893" max="5893" width="13.7109375" style="59" customWidth="1"/>
    <col min="5894" max="5894" width="2.28515625" style="59" customWidth="1"/>
    <col min="5895" max="5895" width="12.28515625" style="59" customWidth="1"/>
    <col min="5896" max="5896" width="8.85546875" style="59" bestFit="1" customWidth="1"/>
    <col min="5897" max="5897" width="12.5703125" style="59" customWidth="1"/>
    <col min="5898" max="5898" width="18.28515625" style="59" customWidth="1"/>
    <col min="5899" max="5899" width="10.140625" style="59" customWidth="1"/>
    <col min="5900" max="5900" width="11.42578125" style="59" customWidth="1"/>
    <col min="5901" max="6144" width="9" style="59"/>
    <col min="6145" max="6145" width="5" style="59" bestFit="1" customWidth="1"/>
    <col min="6146" max="6146" width="52.28515625" style="59" customWidth="1"/>
    <col min="6147" max="6147" width="17.42578125" style="59" customWidth="1"/>
    <col min="6148" max="6148" width="2" style="59" customWidth="1"/>
    <col min="6149" max="6149" width="13.7109375" style="59" customWidth="1"/>
    <col min="6150" max="6150" width="2.28515625" style="59" customWidth="1"/>
    <col min="6151" max="6151" width="12.28515625" style="59" customWidth="1"/>
    <col min="6152" max="6152" width="8.85546875" style="59" bestFit="1" customWidth="1"/>
    <col min="6153" max="6153" width="12.5703125" style="59" customWidth="1"/>
    <col min="6154" max="6154" width="18.28515625" style="59" customWidth="1"/>
    <col min="6155" max="6155" width="10.140625" style="59" customWidth="1"/>
    <col min="6156" max="6156" width="11.42578125" style="59" customWidth="1"/>
    <col min="6157" max="6400" width="9" style="59"/>
    <col min="6401" max="6401" width="5" style="59" bestFit="1" customWidth="1"/>
    <col min="6402" max="6402" width="52.28515625" style="59" customWidth="1"/>
    <col min="6403" max="6403" width="17.42578125" style="59" customWidth="1"/>
    <col min="6404" max="6404" width="2" style="59" customWidth="1"/>
    <col min="6405" max="6405" width="13.7109375" style="59" customWidth="1"/>
    <col min="6406" max="6406" width="2.28515625" style="59" customWidth="1"/>
    <col min="6407" max="6407" width="12.28515625" style="59" customWidth="1"/>
    <col min="6408" max="6408" width="8.85546875" style="59" bestFit="1" customWidth="1"/>
    <col min="6409" max="6409" width="12.5703125" style="59" customWidth="1"/>
    <col min="6410" max="6410" width="18.28515625" style="59" customWidth="1"/>
    <col min="6411" max="6411" width="10.140625" style="59" customWidth="1"/>
    <col min="6412" max="6412" width="11.42578125" style="59" customWidth="1"/>
    <col min="6413" max="6656" width="9" style="59"/>
    <col min="6657" max="6657" width="5" style="59" bestFit="1" customWidth="1"/>
    <col min="6658" max="6658" width="52.28515625" style="59" customWidth="1"/>
    <col min="6659" max="6659" width="17.42578125" style="59" customWidth="1"/>
    <col min="6660" max="6660" width="2" style="59" customWidth="1"/>
    <col min="6661" max="6661" width="13.7109375" style="59" customWidth="1"/>
    <col min="6662" max="6662" width="2.28515625" style="59" customWidth="1"/>
    <col min="6663" max="6663" width="12.28515625" style="59" customWidth="1"/>
    <col min="6664" max="6664" width="8.85546875" style="59" bestFit="1" customWidth="1"/>
    <col min="6665" max="6665" width="12.5703125" style="59" customWidth="1"/>
    <col min="6666" max="6666" width="18.28515625" style="59" customWidth="1"/>
    <col min="6667" max="6667" width="10.140625" style="59" customWidth="1"/>
    <col min="6668" max="6668" width="11.42578125" style="59" customWidth="1"/>
    <col min="6669" max="6912" width="9" style="59"/>
    <col min="6913" max="6913" width="5" style="59" bestFit="1" customWidth="1"/>
    <col min="6914" max="6914" width="52.28515625" style="59" customWidth="1"/>
    <col min="6915" max="6915" width="17.42578125" style="59" customWidth="1"/>
    <col min="6916" max="6916" width="2" style="59" customWidth="1"/>
    <col min="6917" max="6917" width="13.7109375" style="59" customWidth="1"/>
    <col min="6918" max="6918" width="2.28515625" style="59" customWidth="1"/>
    <col min="6919" max="6919" width="12.28515625" style="59" customWidth="1"/>
    <col min="6920" max="6920" width="8.85546875" style="59" bestFit="1" customWidth="1"/>
    <col min="6921" max="6921" width="12.5703125" style="59" customWidth="1"/>
    <col min="6922" max="6922" width="18.28515625" style="59" customWidth="1"/>
    <col min="6923" max="6923" width="10.140625" style="59" customWidth="1"/>
    <col min="6924" max="6924" width="11.42578125" style="59" customWidth="1"/>
    <col min="6925" max="7168" width="9" style="59"/>
    <col min="7169" max="7169" width="5" style="59" bestFit="1" customWidth="1"/>
    <col min="7170" max="7170" width="52.28515625" style="59" customWidth="1"/>
    <col min="7171" max="7171" width="17.42578125" style="59" customWidth="1"/>
    <col min="7172" max="7172" width="2" style="59" customWidth="1"/>
    <col min="7173" max="7173" width="13.7109375" style="59" customWidth="1"/>
    <col min="7174" max="7174" width="2.28515625" style="59" customWidth="1"/>
    <col min="7175" max="7175" width="12.28515625" style="59" customWidth="1"/>
    <col min="7176" max="7176" width="8.85546875" style="59" bestFit="1" customWidth="1"/>
    <col min="7177" max="7177" width="12.5703125" style="59" customWidth="1"/>
    <col min="7178" max="7178" width="18.28515625" style="59" customWidth="1"/>
    <col min="7179" max="7179" width="10.140625" style="59" customWidth="1"/>
    <col min="7180" max="7180" width="11.42578125" style="59" customWidth="1"/>
    <col min="7181" max="7424" width="9" style="59"/>
    <col min="7425" max="7425" width="5" style="59" bestFit="1" customWidth="1"/>
    <col min="7426" max="7426" width="52.28515625" style="59" customWidth="1"/>
    <col min="7427" max="7427" width="17.42578125" style="59" customWidth="1"/>
    <col min="7428" max="7428" width="2" style="59" customWidth="1"/>
    <col min="7429" max="7429" width="13.7109375" style="59" customWidth="1"/>
    <col min="7430" max="7430" width="2.28515625" style="59" customWidth="1"/>
    <col min="7431" max="7431" width="12.28515625" style="59" customWidth="1"/>
    <col min="7432" max="7432" width="8.85546875" style="59" bestFit="1" customWidth="1"/>
    <col min="7433" max="7433" width="12.5703125" style="59" customWidth="1"/>
    <col min="7434" max="7434" width="18.28515625" style="59" customWidth="1"/>
    <col min="7435" max="7435" width="10.140625" style="59" customWidth="1"/>
    <col min="7436" max="7436" width="11.42578125" style="59" customWidth="1"/>
    <col min="7437" max="7680" width="9" style="59"/>
    <col min="7681" max="7681" width="5" style="59" bestFit="1" customWidth="1"/>
    <col min="7682" max="7682" width="52.28515625" style="59" customWidth="1"/>
    <col min="7683" max="7683" width="17.42578125" style="59" customWidth="1"/>
    <col min="7684" max="7684" width="2" style="59" customWidth="1"/>
    <col min="7685" max="7685" width="13.7109375" style="59" customWidth="1"/>
    <col min="7686" max="7686" width="2.28515625" style="59" customWidth="1"/>
    <col min="7687" max="7687" width="12.28515625" style="59" customWidth="1"/>
    <col min="7688" max="7688" width="8.85546875" style="59" bestFit="1" customWidth="1"/>
    <col min="7689" max="7689" width="12.5703125" style="59" customWidth="1"/>
    <col min="7690" max="7690" width="18.28515625" style="59" customWidth="1"/>
    <col min="7691" max="7691" width="10.140625" style="59" customWidth="1"/>
    <col min="7692" max="7692" width="11.42578125" style="59" customWidth="1"/>
    <col min="7693" max="7936" width="9" style="59"/>
    <col min="7937" max="7937" width="5" style="59" bestFit="1" customWidth="1"/>
    <col min="7938" max="7938" width="52.28515625" style="59" customWidth="1"/>
    <col min="7939" max="7939" width="17.42578125" style="59" customWidth="1"/>
    <col min="7940" max="7940" width="2" style="59" customWidth="1"/>
    <col min="7941" max="7941" width="13.7109375" style="59" customWidth="1"/>
    <col min="7942" max="7942" width="2.28515625" style="59" customWidth="1"/>
    <col min="7943" max="7943" width="12.28515625" style="59" customWidth="1"/>
    <col min="7944" max="7944" width="8.85546875" style="59" bestFit="1" customWidth="1"/>
    <col min="7945" max="7945" width="12.5703125" style="59" customWidth="1"/>
    <col min="7946" max="7946" width="18.28515625" style="59" customWidth="1"/>
    <col min="7947" max="7947" width="10.140625" style="59" customWidth="1"/>
    <col min="7948" max="7948" width="11.42578125" style="59" customWidth="1"/>
    <col min="7949" max="8192" width="9" style="59"/>
    <col min="8193" max="8193" width="5" style="59" bestFit="1" customWidth="1"/>
    <col min="8194" max="8194" width="52.28515625" style="59" customWidth="1"/>
    <col min="8195" max="8195" width="17.42578125" style="59" customWidth="1"/>
    <col min="8196" max="8196" width="2" style="59" customWidth="1"/>
    <col min="8197" max="8197" width="13.7109375" style="59" customWidth="1"/>
    <col min="8198" max="8198" width="2.28515625" style="59" customWidth="1"/>
    <col min="8199" max="8199" width="12.28515625" style="59" customWidth="1"/>
    <col min="8200" max="8200" width="8.85546875" style="59" bestFit="1" customWidth="1"/>
    <col min="8201" max="8201" width="12.5703125" style="59" customWidth="1"/>
    <col min="8202" max="8202" width="18.28515625" style="59" customWidth="1"/>
    <col min="8203" max="8203" width="10.140625" style="59" customWidth="1"/>
    <col min="8204" max="8204" width="11.42578125" style="59" customWidth="1"/>
    <col min="8205" max="8448" width="9" style="59"/>
    <col min="8449" max="8449" width="5" style="59" bestFit="1" customWidth="1"/>
    <col min="8450" max="8450" width="52.28515625" style="59" customWidth="1"/>
    <col min="8451" max="8451" width="17.42578125" style="59" customWidth="1"/>
    <col min="8452" max="8452" width="2" style="59" customWidth="1"/>
    <col min="8453" max="8453" width="13.7109375" style="59" customWidth="1"/>
    <col min="8454" max="8454" width="2.28515625" style="59" customWidth="1"/>
    <col min="8455" max="8455" width="12.28515625" style="59" customWidth="1"/>
    <col min="8456" max="8456" width="8.85546875" style="59" bestFit="1" customWidth="1"/>
    <col min="8457" max="8457" width="12.5703125" style="59" customWidth="1"/>
    <col min="8458" max="8458" width="18.28515625" style="59" customWidth="1"/>
    <col min="8459" max="8459" width="10.140625" style="59" customWidth="1"/>
    <col min="8460" max="8460" width="11.42578125" style="59" customWidth="1"/>
    <col min="8461" max="8704" width="9" style="59"/>
    <col min="8705" max="8705" width="5" style="59" bestFit="1" customWidth="1"/>
    <col min="8706" max="8706" width="52.28515625" style="59" customWidth="1"/>
    <col min="8707" max="8707" width="17.42578125" style="59" customWidth="1"/>
    <col min="8708" max="8708" width="2" style="59" customWidth="1"/>
    <col min="8709" max="8709" width="13.7109375" style="59" customWidth="1"/>
    <col min="8710" max="8710" width="2.28515625" style="59" customWidth="1"/>
    <col min="8711" max="8711" width="12.28515625" style="59" customWidth="1"/>
    <col min="8712" max="8712" width="8.85546875" style="59" bestFit="1" customWidth="1"/>
    <col min="8713" max="8713" width="12.5703125" style="59" customWidth="1"/>
    <col min="8714" max="8714" width="18.28515625" style="59" customWidth="1"/>
    <col min="8715" max="8715" width="10.140625" style="59" customWidth="1"/>
    <col min="8716" max="8716" width="11.42578125" style="59" customWidth="1"/>
    <col min="8717" max="8960" width="9" style="59"/>
    <col min="8961" max="8961" width="5" style="59" bestFit="1" customWidth="1"/>
    <col min="8962" max="8962" width="52.28515625" style="59" customWidth="1"/>
    <col min="8963" max="8963" width="17.42578125" style="59" customWidth="1"/>
    <col min="8964" max="8964" width="2" style="59" customWidth="1"/>
    <col min="8965" max="8965" width="13.7109375" style="59" customWidth="1"/>
    <col min="8966" max="8966" width="2.28515625" style="59" customWidth="1"/>
    <col min="8967" max="8967" width="12.28515625" style="59" customWidth="1"/>
    <col min="8968" max="8968" width="8.85546875" style="59" bestFit="1" customWidth="1"/>
    <col min="8969" max="8969" width="12.5703125" style="59" customWidth="1"/>
    <col min="8970" max="8970" width="18.28515625" style="59" customWidth="1"/>
    <col min="8971" max="8971" width="10.140625" style="59" customWidth="1"/>
    <col min="8972" max="8972" width="11.42578125" style="59" customWidth="1"/>
    <col min="8973" max="9216" width="9" style="59"/>
    <col min="9217" max="9217" width="5" style="59" bestFit="1" customWidth="1"/>
    <col min="9218" max="9218" width="52.28515625" style="59" customWidth="1"/>
    <col min="9219" max="9219" width="17.42578125" style="59" customWidth="1"/>
    <col min="9220" max="9220" width="2" style="59" customWidth="1"/>
    <col min="9221" max="9221" width="13.7109375" style="59" customWidth="1"/>
    <col min="9222" max="9222" width="2.28515625" style="59" customWidth="1"/>
    <col min="9223" max="9223" width="12.28515625" style="59" customWidth="1"/>
    <col min="9224" max="9224" width="8.85546875" style="59" bestFit="1" customWidth="1"/>
    <col min="9225" max="9225" width="12.5703125" style="59" customWidth="1"/>
    <col min="9226" max="9226" width="18.28515625" style="59" customWidth="1"/>
    <col min="9227" max="9227" width="10.140625" style="59" customWidth="1"/>
    <col min="9228" max="9228" width="11.42578125" style="59" customWidth="1"/>
    <col min="9229" max="9472" width="9" style="59"/>
    <col min="9473" max="9473" width="5" style="59" bestFit="1" customWidth="1"/>
    <col min="9474" max="9474" width="52.28515625" style="59" customWidth="1"/>
    <col min="9475" max="9475" width="17.42578125" style="59" customWidth="1"/>
    <col min="9476" max="9476" width="2" style="59" customWidth="1"/>
    <col min="9477" max="9477" width="13.7109375" style="59" customWidth="1"/>
    <col min="9478" max="9478" width="2.28515625" style="59" customWidth="1"/>
    <col min="9479" max="9479" width="12.28515625" style="59" customWidth="1"/>
    <col min="9480" max="9480" width="8.85546875" style="59" bestFit="1" customWidth="1"/>
    <col min="9481" max="9481" width="12.5703125" style="59" customWidth="1"/>
    <col min="9482" max="9482" width="18.28515625" style="59" customWidth="1"/>
    <col min="9483" max="9483" width="10.140625" style="59" customWidth="1"/>
    <col min="9484" max="9484" width="11.42578125" style="59" customWidth="1"/>
    <col min="9485" max="9728" width="9" style="59"/>
    <col min="9729" max="9729" width="5" style="59" bestFit="1" customWidth="1"/>
    <col min="9730" max="9730" width="52.28515625" style="59" customWidth="1"/>
    <col min="9731" max="9731" width="17.42578125" style="59" customWidth="1"/>
    <col min="9732" max="9732" width="2" style="59" customWidth="1"/>
    <col min="9733" max="9733" width="13.7109375" style="59" customWidth="1"/>
    <col min="9734" max="9734" width="2.28515625" style="59" customWidth="1"/>
    <col min="9735" max="9735" width="12.28515625" style="59" customWidth="1"/>
    <col min="9736" max="9736" width="8.85546875" style="59" bestFit="1" customWidth="1"/>
    <col min="9737" max="9737" width="12.5703125" style="59" customWidth="1"/>
    <col min="9738" max="9738" width="18.28515625" style="59" customWidth="1"/>
    <col min="9739" max="9739" width="10.140625" style="59" customWidth="1"/>
    <col min="9740" max="9740" width="11.42578125" style="59" customWidth="1"/>
    <col min="9741" max="9984" width="9" style="59"/>
    <col min="9985" max="9985" width="5" style="59" bestFit="1" customWidth="1"/>
    <col min="9986" max="9986" width="52.28515625" style="59" customWidth="1"/>
    <col min="9987" max="9987" width="17.42578125" style="59" customWidth="1"/>
    <col min="9988" max="9988" width="2" style="59" customWidth="1"/>
    <col min="9989" max="9989" width="13.7109375" style="59" customWidth="1"/>
    <col min="9990" max="9990" width="2.28515625" style="59" customWidth="1"/>
    <col min="9991" max="9991" width="12.28515625" style="59" customWidth="1"/>
    <col min="9992" max="9992" width="8.85546875" style="59" bestFit="1" customWidth="1"/>
    <col min="9993" max="9993" width="12.5703125" style="59" customWidth="1"/>
    <col min="9994" max="9994" width="18.28515625" style="59" customWidth="1"/>
    <col min="9995" max="9995" width="10.140625" style="59" customWidth="1"/>
    <col min="9996" max="9996" width="11.42578125" style="59" customWidth="1"/>
    <col min="9997" max="10240" width="9" style="59"/>
    <col min="10241" max="10241" width="5" style="59" bestFit="1" customWidth="1"/>
    <col min="10242" max="10242" width="52.28515625" style="59" customWidth="1"/>
    <col min="10243" max="10243" width="17.42578125" style="59" customWidth="1"/>
    <col min="10244" max="10244" width="2" style="59" customWidth="1"/>
    <col min="10245" max="10245" width="13.7109375" style="59" customWidth="1"/>
    <col min="10246" max="10246" width="2.28515625" style="59" customWidth="1"/>
    <col min="10247" max="10247" width="12.28515625" style="59" customWidth="1"/>
    <col min="10248" max="10248" width="8.85546875" style="59" bestFit="1" customWidth="1"/>
    <col min="10249" max="10249" width="12.5703125" style="59" customWidth="1"/>
    <col min="10250" max="10250" width="18.28515625" style="59" customWidth="1"/>
    <col min="10251" max="10251" width="10.140625" style="59" customWidth="1"/>
    <col min="10252" max="10252" width="11.42578125" style="59" customWidth="1"/>
    <col min="10253" max="10496" width="9" style="59"/>
    <col min="10497" max="10497" width="5" style="59" bestFit="1" customWidth="1"/>
    <col min="10498" max="10498" width="52.28515625" style="59" customWidth="1"/>
    <col min="10499" max="10499" width="17.42578125" style="59" customWidth="1"/>
    <col min="10500" max="10500" width="2" style="59" customWidth="1"/>
    <col min="10501" max="10501" width="13.7109375" style="59" customWidth="1"/>
    <col min="10502" max="10502" width="2.28515625" style="59" customWidth="1"/>
    <col min="10503" max="10503" width="12.28515625" style="59" customWidth="1"/>
    <col min="10504" max="10504" width="8.85546875" style="59" bestFit="1" customWidth="1"/>
    <col min="10505" max="10505" width="12.5703125" style="59" customWidth="1"/>
    <col min="10506" max="10506" width="18.28515625" style="59" customWidth="1"/>
    <col min="10507" max="10507" width="10.140625" style="59" customWidth="1"/>
    <col min="10508" max="10508" width="11.42578125" style="59" customWidth="1"/>
    <col min="10509" max="10752" width="9" style="59"/>
    <col min="10753" max="10753" width="5" style="59" bestFit="1" customWidth="1"/>
    <col min="10754" max="10754" width="52.28515625" style="59" customWidth="1"/>
    <col min="10755" max="10755" width="17.42578125" style="59" customWidth="1"/>
    <col min="10756" max="10756" width="2" style="59" customWidth="1"/>
    <col min="10757" max="10757" width="13.7109375" style="59" customWidth="1"/>
    <col min="10758" max="10758" width="2.28515625" style="59" customWidth="1"/>
    <col min="10759" max="10759" width="12.28515625" style="59" customWidth="1"/>
    <col min="10760" max="10760" width="8.85546875" style="59" bestFit="1" customWidth="1"/>
    <col min="10761" max="10761" width="12.5703125" style="59" customWidth="1"/>
    <col min="10762" max="10762" width="18.28515625" style="59" customWidth="1"/>
    <col min="10763" max="10763" width="10.140625" style="59" customWidth="1"/>
    <col min="10764" max="10764" width="11.42578125" style="59" customWidth="1"/>
    <col min="10765" max="11008" width="9" style="59"/>
    <col min="11009" max="11009" width="5" style="59" bestFit="1" customWidth="1"/>
    <col min="11010" max="11010" width="52.28515625" style="59" customWidth="1"/>
    <col min="11011" max="11011" width="17.42578125" style="59" customWidth="1"/>
    <col min="11012" max="11012" width="2" style="59" customWidth="1"/>
    <col min="11013" max="11013" width="13.7109375" style="59" customWidth="1"/>
    <col min="11014" max="11014" width="2.28515625" style="59" customWidth="1"/>
    <col min="11015" max="11015" width="12.28515625" style="59" customWidth="1"/>
    <col min="11016" max="11016" width="8.85546875" style="59" bestFit="1" customWidth="1"/>
    <col min="11017" max="11017" width="12.5703125" style="59" customWidth="1"/>
    <col min="11018" max="11018" width="18.28515625" style="59" customWidth="1"/>
    <col min="11019" max="11019" width="10.140625" style="59" customWidth="1"/>
    <col min="11020" max="11020" width="11.42578125" style="59" customWidth="1"/>
    <col min="11021" max="11264" width="9" style="59"/>
    <col min="11265" max="11265" width="5" style="59" bestFit="1" customWidth="1"/>
    <col min="11266" max="11266" width="52.28515625" style="59" customWidth="1"/>
    <col min="11267" max="11267" width="17.42578125" style="59" customWidth="1"/>
    <col min="11268" max="11268" width="2" style="59" customWidth="1"/>
    <col min="11269" max="11269" width="13.7109375" style="59" customWidth="1"/>
    <col min="11270" max="11270" width="2.28515625" style="59" customWidth="1"/>
    <col min="11271" max="11271" width="12.28515625" style="59" customWidth="1"/>
    <col min="11272" max="11272" width="8.85546875" style="59" bestFit="1" customWidth="1"/>
    <col min="11273" max="11273" width="12.5703125" style="59" customWidth="1"/>
    <col min="11274" max="11274" width="18.28515625" style="59" customWidth="1"/>
    <col min="11275" max="11275" width="10.140625" style="59" customWidth="1"/>
    <col min="11276" max="11276" width="11.42578125" style="59" customWidth="1"/>
    <col min="11277" max="11520" width="9" style="59"/>
    <col min="11521" max="11521" width="5" style="59" bestFit="1" customWidth="1"/>
    <col min="11522" max="11522" width="52.28515625" style="59" customWidth="1"/>
    <col min="11523" max="11523" width="17.42578125" style="59" customWidth="1"/>
    <col min="11524" max="11524" width="2" style="59" customWidth="1"/>
    <col min="11525" max="11525" width="13.7109375" style="59" customWidth="1"/>
    <col min="11526" max="11526" width="2.28515625" style="59" customWidth="1"/>
    <col min="11527" max="11527" width="12.28515625" style="59" customWidth="1"/>
    <col min="11528" max="11528" width="8.85546875" style="59" bestFit="1" customWidth="1"/>
    <col min="11529" max="11529" width="12.5703125" style="59" customWidth="1"/>
    <col min="11530" max="11530" width="18.28515625" style="59" customWidth="1"/>
    <col min="11531" max="11531" width="10.140625" style="59" customWidth="1"/>
    <col min="11532" max="11532" width="11.42578125" style="59" customWidth="1"/>
    <col min="11533" max="11776" width="9" style="59"/>
    <col min="11777" max="11777" width="5" style="59" bestFit="1" customWidth="1"/>
    <col min="11778" max="11778" width="52.28515625" style="59" customWidth="1"/>
    <col min="11779" max="11779" width="17.42578125" style="59" customWidth="1"/>
    <col min="11780" max="11780" width="2" style="59" customWidth="1"/>
    <col min="11781" max="11781" width="13.7109375" style="59" customWidth="1"/>
    <col min="11782" max="11782" width="2.28515625" style="59" customWidth="1"/>
    <col min="11783" max="11783" width="12.28515625" style="59" customWidth="1"/>
    <col min="11784" max="11784" width="8.85546875" style="59" bestFit="1" customWidth="1"/>
    <col min="11785" max="11785" width="12.5703125" style="59" customWidth="1"/>
    <col min="11786" max="11786" width="18.28515625" style="59" customWidth="1"/>
    <col min="11787" max="11787" width="10.140625" style="59" customWidth="1"/>
    <col min="11788" max="11788" width="11.42578125" style="59" customWidth="1"/>
    <col min="11789" max="12032" width="9" style="59"/>
    <col min="12033" max="12033" width="5" style="59" bestFit="1" customWidth="1"/>
    <col min="12034" max="12034" width="52.28515625" style="59" customWidth="1"/>
    <col min="12035" max="12035" width="17.42578125" style="59" customWidth="1"/>
    <col min="12036" max="12036" width="2" style="59" customWidth="1"/>
    <col min="12037" max="12037" width="13.7109375" style="59" customWidth="1"/>
    <col min="12038" max="12038" width="2.28515625" style="59" customWidth="1"/>
    <col min="12039" max="12039" width="12.28515625" style="59" customWidth="1"/>
    <col min="12040" max="12040" width="8.85546875" style="59" bestFit="1" customWidth="1"/>
    <col min="12041" max="12041" width="12.5703125" style="59" customWidth="1"/>
    <col min="12042" max="12042" width="18.28515625" style="59" customWidth="1"/>
    <col min="12043" max="12043" width="10.140625" style="59" customWidth="1"/>
    <col min="12044" max="12044" width="11.42578125" style="59" customWidth="1"/>
    <col min="12045" max="12288" width="9" style="59"/>
    <col min="12289" max="12289" width="5" style="59" bestFit="1" customWidth="1"/>
    <col min="12290" max="12290" width="52.28515625" style="59" customWidth="1"/>
    <col min="12291" max="12291" width="17.42578125" style="59" customWidth="1"/>
    <col min="12292" max="12292" width="2" style="59" customWidth="1"/>
    <col min="12293" max="12293" width="13.7109375" style="59" customWidth="1"/>
    <col min="12294" max="12294" width="2.28515625" style="59" customWidth="1"/>
    <col min="12295" max="12295" width="12.28515625" style="59" customWidth="1"/>
    <col min="12296" max="12296" width="8.85546875" style="59" bestFit="1" customWidth="1"/>
    <col min="12297" max="12297" width="12.5703125" style="59" customWidth="1"/>
    <col min="12298" max="12298" width="18.28515625" style="59" customWidth="1"/>
    <col min="12299" max="12299" width="10.140625" style="59" customWidth="1"/>
    <col min="12300" max="12300" width="11.42578125" style="59" customWidth="1"/>
    <col min="12301" max="12544" width="9" style="59"/>
    <col min="12545" max="12545" width="5" style="59" bestFit="1" customWidth="1"/>
    <col min="12546" max="12546" width="52.28515625" style="59" customWidth="1"/>
    <col min="12547" max="12547" width="17.42578125" style="59" customWidth="1"/>
    <col min="12548" max="12548" width="2" style="59" customWidth="1"/>
    <col min="12549" max="12549" width="13.7109375" style="59" customWidth="1"/>
    <col min="12550" max="12550" width="2.28515625" style="59" customWidth="1"/>
    <col min="12551" max="12551" width="12.28515625" style="59" customWidth="1"/>
    <col min="12552" max="12552" width="8.85546875" style="59" bestFit="1" customWidth="1"/>
    <col min="12553" max="12553" width="12.5703125" style="59" customWidth="1"/>
    <col min="12554" max="12554" width="18.28515625" style="59" customWidth="1"/>
    <col min="12555" max="12555" width="10.140625" style="59" customWidth="1"/>
    <col min="12556" max="12556" width="11.42578125" style="59" customWidth="1"/>
    <col min="12557" max="12800" width="9" style="59"/>
    <col min="12801" max="12801" width="5" style="59" bestFit="1" customWidth="1"/>
    <col min="12802" max="12802" width="52.28515625" style="59" customWidth="1"/>
    <col min="12803" max="12803" width="17.42578125" style="59" customWidth="1"/>
    <col min="12804" max="12804" width="2" style="59" customWidth="1"/>
    <col min="12805" max="12805" width="13.7109375" style="59" customWidth="1"/>
    <col min="12806" max="12806" width="2.28515625" style="59" customWidth="1"/>
    <col min="12807" max="12807" width="12.28515625" style="59" customWidth="1"/>
    <col min="12808" max="12808" width="8.85546875" style="59" bestFit="1" customWidth="1"/>
    <col min="12809" max="12809" width="12.5703125" style="59" customWidth="1"/>
    <col min="12810" max="12810" width="18.28515625" style="59" customWidth="1"/>
    <col min="12811" max="12811" width="10.140625" style="59" customWidth="1"/>
    <col min="12812" max="12812" width="11.42578125" style="59" customWidth="1"/>
    <col min="12813" max="13056" width="9" style="59"/>
    <col min="13057" max="13057" width="5" style="59" bestFit="1" customWidth="1"/>
    <col min="13058" max="13058" width="52.28515625" style="59" customWidth="1"/>
    <col min="13059" max="13059" width="17.42578125" style="59" customWidth="1"/>
    <col min="13060" max="13060" width="2" style="59" customWidth="1"/>
    <col min="13061" max="13061" width="13.7109375" style="59" customWidth="1"/>
    <col min="13062" max="13062" width="2.28515625" style="59" customWidth="1"/>
    <col min="13063" max="13063" width="12.28515625" style="59" customWidth="1"/>
    <col min="13064" max="13064" width="8.85546875" style="59" bestFit="1" customWidth="1"/>
    <col min="13065" max="13065" width="12.5703125" style="59" customWidth="1"/>
    <col min="13066" max="13066" width="18.28515625" style="59" customWidth="1"/>
    <col min="13067" max="13067" width="10.140625" style="59" customWidth="1"/>
    <col min="13068" max="13068" width="11.42578125" style="59" customWidth="1"/>
    <col min="13069" max="13312" width="9" style="59"/>
    <col min="13313" max="13313" width="5" style="59" bestFit="1" customWidth="1"/>
    <col min="13314" max="13314" width="52.28515625" style="59" customWidth="1"/>
    <col min="13315" max="13315" width="17.42578125" style="59" customWidth="1"/>
    <col min="13316" max="13316" width="2" style="59" customWidth="1"/>
    <col min="13317" max="13317" width="13.7109375" style="59" customWidth="1"/>
    <col min="13318" max="13318" width="2.28515625" style="59" customWidth="1"/>
    <col min="13319" max="13319" width="12.28515625" style="59" customWidth="1"/>
    <col min="13320" max="13320" width="8.85546875" style="59" bestFit="1" customWidth="1"/>
    <col min="13321" max="13321" width="12.5703125" style="59" customWidth="1"/>
    <col min="13322" max="13322" width="18.28515625" style="59" customWidth="1"/>
    <col min="13323" max="13323" width="10.140625" style="59" customWidth="1"/>
    <col min="13324" max="13324" width="11.42578125" style="59" customWidth="1"/>
    <col min="13325" max="13568" width="9" style="59"/>
    <col min="13569" max="13569" width="5" style="59" bestFit="1" customWidth="1"/>
    <col min="13570" max="13570" width="52.28515625" style="59" customWidth="1"/>
    <col min="13571" max="13571" width="17.42578125" style="59" customWidth="1"/>
    <col min="13572" max="13572" width="2" style="59" customWidth="1"/>
    <col min="13573" max="13573" width="13.7109375" style="59" customWidth="1"/>
    <col min="13574" max="13574" width="2.28515625" style="59" customWidth="1"/>
    <col min="13575" max="13575" width="12.28515625" style="59" customWidth="1"/>
    <col min="13576" max="13576" width="8.85546875" style="59" bestFit="1" customWidth="1"/>
    <col min="13577" max="13577" width="12.5703125" style="59" customWidth="1"/>
    <col min="13578" max="13578" width="18.28515625" style="59" customWidth="1"/>
    <col min="13579" max="13579" width="10.140625" style="59" customWidth="1"/>
    <col min="13580" max="13580" width="11.42578125" style="59" customWidth="1"/>
    <col min="13581" max="13824" width="9" style="59"/>
    <col min="13825" max="13825" width="5" style="59" bestFit="1" customWidth="1"/>
    <col min="13826" max="13826" width="52.28515625" style="59" customWidth="1"/>
    <col min="13827" max="13827" width="17.42578125" style="59" customWidth="1"/>
    <col min="13828" max="13828" width="2" style="59" customWidth="1"/>
    <col min="13829" max="13829" width="13.7109375" style="59" customWidth="1"/>
    <col min="13830" max="13830" width="2.28515625" style="59" customWidth="1"/>
    <col min="13831" max="13831" width="12.28515625" style="59" customWidth="1"/>
    <col min="13832" max="13832" width="8.85546875" style="59" bestFit="1" customWidth="1"/>
    <col min="13833" max="13833" width="12.5703125" style="59" customWidth="1"/>
    <col min="13834" max="13834" width="18.28515625" style="59" customWidth="1"/>
    <col min="13835" max="13835" width="10.140625" style="59" customWidth="1"/>
    <col min="13836" max="13836" width="11.42578125" style="59" customWidth="1"/>
    <col min="13837" max="14080" width="9" style="59"/>
    <col min="14081" max="14081" width="5" style="59" bestFit="1" customWidth="1"/>
    <col min="14082" max="14082" width="52.28515625" style="59" customWidth="1"/>
    <col min="14083" max="14083" width="17.42578125" style="59" customWidth="1"/>
    <col min="14084" max="14084" width="2" style="59" customWidth="1"/>
    <col min="14085" max="14085" width="13.7109375" style="59" customWidth="1"/>
    <col min="14086" max="14086" width="2.28515625" style="59" customWidth="1"/>
    <col min="14087" max="14087" width="12.28515625" style="59" customWidth="1"/>
    <col min="14088" max="14088" width="8.85546875" style="59" bestFit="1" customWidth="1"/>
    <col min="14089" max="14089" width="12.5703125" style="59" customWidth="1"/>
    <col min="14090" max="14090" width="18.28515625" style="59" customWidth="1"/>
    <col min="14091" max="14091" width="10.140625" style="59" customWidth="1"/>
    <col min="14092" max="14092" width="11.42578125" style="59" customWidth="1"/>
    <col min="14093" max="14336" width="9" style="59"/>
    <col min="14337" max="14337" width="5" style="59" bestFit="1" customWidth="1"/>
    <col min="14338" max="14338" width="52.28515625" style="59" customWidth="1"/>
    <col min="14339" max="14339" width="17.42578125" style="59" customWidth="1"/>
    <col min="14340" max="14340" width="2" style="59" customWidth="1"/>
    <col min="14341" max="14341" width="13.7109375" style="59" customWidth="1"/>
    <col min="14342" max="14342" width="2.28515625" style="59" customWidth="1"/>
    <col min="14343" max="14343" width="12.28515625" style="59" customWidth="1"/>
    <col min="14344" max="14344" width="8.85546875" style="59" bestFit="1" customWidth="1"/>
    <col min="14345" max="14345" width="12.5703125" style="59" customWidth="1"/>
    <col min="14346" max="14346" width="18.28515625" style="59" customWidth="1"/>
    <col min="14347" max="14347" width="10.140625" style="59" customWidth="1"/>
    <col min="14348" max="14348" width="11.42578125" style="59" customWidth="1"/>
    <col min="14349" max="14592" width="9" style="59"/>
    <col min="14593" max="14593" width="5" style="59" bestFit="1" customWidth="1"/>
    <col min="14594" max="14594" width="52.28515625" style="59" customWidth="1"/>
    <col min="14595" max="14595" width="17.42578125" style="59" customWidth="1"/>
    <col min="14596" max="14596" width="2" style="59" customWidth="1"/>
    <col min="14597" max="14597" width="13.7109375" style="59" customWidth="1"/>
    <col min="14598" max="14598" width="2.28515625" style="59" customWidth="1"/>
    <col min="14599" max="14599" width="12.28515625" style="59" customWidth="1"/>
    <col min="14600" max="14600" width="8.85546875" style="59" bestFit="1" customWidth="1"/>
    <col min="14601" max="14601" width="12.5703125" style="59" customWidth="1"/>
    <col min="14602" max="14602" width="18.28515625" style="59" customWidth="1"/>
    <col min="14603" max="14603" width="10.140625" style="59" customWidth="1"/>
    <col min="14604" max="14604" width="11.42578125" style="59" customWidth="1"/>
    <col min="14605" max="14848" width="9" style="59"/>
    <col min="14849" max="14849" width="5" style="59" bestFit="1" customWidth="1"/>
    <col min="14850" max="14850" width="52.28515625" style="59" customWidth="1"/>
    <col min="14851" max="14851" width="17.42578125" style="59" customWidth="1"/>
    <col min="14852" max="14852" width="2" style="59" customWidth="1"/>
    <col min="14853" max="14853" width="13.7109375" style="59" customWidth="1"/>
    <col min="14854" max="14854" width="2.28515625" style="59" customWidth="1"/>
    <col min="14855" max="14855" width="12.28515625" style="59" customWidth="1"/>
    <col min="14856" max="14856" width="8.85546875" style="59" bestFit="1" customWidth="1"/>
    <col min="14857" max="14857" width="12.5703125" style="59" customWidth="1"/>
    <col min="14858" max="14858" width="18.28515625" style="59" customWidth="1"/>
    <col min="14859" max="14859" width="10.140625" style="59" customWidth="1"/>
    <col min="14860" max="14860" width="11.42578125" style="59" customWidth="1"/>
    <col min="14861" max="15104" width="9" style="59"/>
    <col min="15105" max="15105" width="5" style="59" bestFit="1" customWidth="1"/>
    <col min="15106" max="15106" width="52.28515625" style="59" customWidth="1"/>
    <col min="15107" max="15107" width="17.42578125" style="59" customWidth="1"/>
    <col min="15108" max="15108" width="2" style="59" customWidth="1"/>
    <col min="15109" max="15109" width="13.7109375" style="59" customWidth="1"/>
    <col min="15110" max="15110" width="2.28515625" style="59" customWidth="1"/>
    <col min="15111" max="15111" width="12.28515625" style="59" customWidth="1"/>
    <col min="15112" max="15112" width="8.85546875" style="59" bestFit="1" customWidth="1"/>
    <col min="15113" max="15113" width="12.5703125" style="59" customWidth="1"/>
    <col min="15114" max="15114" width="18.28515625" style="59" customWidth="1"/>
    <col min="15115" max="15115" width="10.140625" style="59" customWidth="1"/>
    <col min="15116" max="15116" width="11.42578125" style="59" customWidth="1"/>
    <col min="15117" max="15360" width="9" style="59"/>
    <col min="15361" max="15361" width="5" style="59" bestFit="1" customWidth="1"/>
    <col min="15362" max="15362" width="52.28515625" style="59" customWidth="1"/>
    <col min="15363" max="15363" width="17.42578125" style="59" customWidth="1"/>
    <col min="15364" max="15364" width="2" style="59" customWidth="1"/>
    <col min="15365" max="15365" width="13.7109375" style="59" customWidth="1"/>
    <col min="15366" max="15366" width="2.28515625" style="59" customWidth="1"/>
    <col min="15367" max="15367" width="12.28515625" style="59" customWidth="1"/>
    <col min="15368" max="15368" width="8.85546875" style="59" bestFit="1" customWidth="1"/>
    <col min="15369" max="15369" width="12.5703125" style="59" customWidth="1"/>
    <col min="15370" max="15370" width="18.28515625" style="59" customWidth="1"/>
    <col min="15371" max="15371" width="10.140625" style="59" customWidth="1"/>
    <col min="15372" max="15372" width="11.42578125" style="59" customWidth="1"/>
    <col min="15373" max="15616" width="9" style="59"/>
    <col min="15617" max="15617" width="5" style="59" bestFit="1" customWidth="1"/>
    <col min="15618" max="15618" width="52.28515625" style="59" customWidth="1"/>
    <col min="15619" max="15619" width="17.42578125" style="59" customWidth="1"/>
    <col min="15620" max="15620" width="2" style="59" customWidth="1"/>
    <col min="15621" max="15621" width="13.7109375" style="59" customWidth="1"/>
    <col min="15622" max="15622" width="2.28515625" style="59" customWidth="1"/>
    <col min="15623" max="15623" width="12.28515625" style="59" customWidth="1"/>
    <col min="15624" max="15624" width="8.85546875" style="59" bestFit="1" customWidth="1"/>
    <col min="15625" max="15625" width="12.5703125" style="59" customWidth="1"/>
    <col min="15626" max="15626" width="18.28515625" style="59" customWidth="1"/>
    <col min="15627" max="15627" width="10.140625" style="59" customWidth="1"/>
    <col min="15628" max="15628" width="11.42578125" style="59" customWidth="1"/>
    <col min="15629" max="15872" width="9" style="59"/>
    <col min="15873" max="15873" width="5" style="59" bestFit="1" customWidth="1"/>
    <col min="15874" max="15874" width="52.28515625" style="59" customWidth="1"/>
    <col min="15875" max="15875" width="17.42578125" style="59" customWidth="1"/>
    <col min="15876" max="15876" width="2" style="59" customWidth="1"/>
    <col min="15877" max="15877" width="13.7109375" style="59" customWidth="1"/>
    <col min="15878" max="15878" width="2.28515625" style="59" customWidth="1"/>
    <col min="15879" max="15879" width="12.28515625" style="59" customWidth="1"/>
    <col min="15880" max="15880" width="8.85546875" style="59" bestFit="1" customWidth="1"/>
    <col min="15881" max="15881" width="12.5703125" style="59" customWidth="1"/>
    <col min="15882" max="15882" width="18.28515625" style="59" customWidth="1"/>
    <col min="15883" max="15883" width="10.140625" style="59" customWidth="1"/>
    <col min="15884" max="15884" width="11.42578125" style="59" customWidth="1"/>
    <col min="15885" max="16128" width="9" style="59"/>
    <col min="16129" max="16129" width="5" style="59" bestFit="1" customWidth="1"/>
    <col min="16130" max="16130" width="52.28515625" style="59" customWidth="1"/>
    <col min="16131" max="16131" width="17.42578125" style="59" customWidth="1"/>
    <col min="16132" max="16132" width="2" style="59" customWidth="1"/>
    <col min="16133" max="16133" width="13.7109375" style="59" customWidth="1"/>
    <col min="16134" max="16134" width="2.28515625" style="59" customWidth="1"/>
    <col min="16135" max="16135" width="12.28515625" style="59" customWidth="1"/>
    <col min="16136" max="16136" width="8.85546875" style="59" bestFit="1" customWidth="1"/>
    <col min="16137" max="16137" width="12.5703125" style="59" customWidth="1"/>
    <col min="16138" max="16138" width="18.28515625" style="59" customWidth="1"/>
    <col min="16139" max="16139" width="10.140625" style="59" customWidth="1"/>
    <col min="16140" max="16140" width="11.42578125" style="59" customWidth="1"/>
    <col min="16141" max="16384" width="9" style="59"/>
  </cols>
  <sheetData>
    <row r="1" spans="1:256" x14ac:dyDescent="0.2">
      <c r="B1" s="35" t="str">
        <f>Update!$B$6</f>
        <v>Department of Health</v>
      </c>
    </row>
    <row r="2" spans="1:256" x14ac:dyDescent="0.2">
      <c r="B2" s="35" t="str">
        <f>Update!$B$10</f>
        <v>Notes to the financial statements</v>
      </c>
    </row>
    <row r="3" spans="1:256" x14ac:dyDescent="0.2">
      <c r="B3" s="35"/>
      <c r="K3" s="1611"/>
      <c r="L3" s="1611"/>
      <c r="M3" s="1611"/>
      <c r="N3" s="1611"/>
      <c r="O3" s="1611"/>
      <c r="P3" s="1611"/>
    </row>
    <row r="4" spans="1:256" x14ac:dyDescent="0.2">
      <c r="B4" s="35" t="s">
        <v>840</v>
      </c>
    </row>
    <row r="6" spans="1:256" x14ac:dyDescent="0.2">
      <c r="A6" s="229">
        <f>SUMIF(Update!$B$33:$B$106,B6,Update!$A$33:$A$106)</f>
        <v>2</v>
      </c>
      <c r="B6" s="236" t="s">
        <v>558</v>
      </c>
      <c r="C6" s="36"/>
      <c r="D6" s="37"/>
      <c r="E6" s="36"/>
      <c r="F6" s="37"/>
      <c r="G6" s="36"/>
      <c r="H6" s="37"/>
      <c r="I6" s="36"/>
      <c r="J6" s="37"/>
      <c r="K6" s="36"/>
      <c r="L6" s="37"/>
      <c r="M6" s="36"/>
      <c r="N6" s="37"/>
      <c r="O6" s="36"/>
      <c r="P6" s="37"/>
      <c r="Q6" s="36"/>
      <c r="R6" s="37"/>
      <c r="S6" s="36"/>
      <c r="T6" s="37"/>
      <c r="U6" s="36"/>
      <c r="V6" s="37"/>
      <c r="W6" s="36"/>
      <c r="X6" s="37"/>
      <c r="Y6" s="36"/>
      <c r="Z6" s="37"/>
      <c r="AA6" s="36"/>
      <c r="AB6" s="37"/>
      <c r="AC6" s="36"/>
      <c r="AD6" s="37"/>
      <c r="AE6" s="36"/>
      <c r="AF6" s="37"/>
      <c r="AG6" s="36"/>
      <c r="AH6" s="37"/>
      <c r="AI6" s="36"/>
      <c r="AJ6" s="37"/>
      <c r="AK6" s="36"/>
      <c r="AL6" s="37"/>
      <c r="AM6" s="36"/>
      <c r="AN6" s="37"/>
      <c r="AO6" s="36"/>
      <c r="AP6" s="37"/>
      <c r="AQ6" s="36"/>
      <c r="AR6" s="37"/>
      <c r="AS6" s="36"/>
      <c r="AT6" s="37"/>
      <c r="AU6" s="36"/>
      <c r="AV6" s="37"/>
      <c r="AW6" s="36"/>
      <c r="AX6" s="37"/>
      <c r="AY6" s="36"/>
      <c r="AZ6" s="37"/>
      <c r="BA6" s="36"/>
      <c r="BB6" s="37"/>
      <c r="BC6" s="36"/>
      <c r="BD6" s="37"/>
      <c r="BE6" s="36"/>
      <c r="BF6" s="37"/>
      <c r="BG6" s="36"/>
      <c r="BH6" s="37"/>
      <c r="BI6" s="36"/>
      <c r="BJ6" s="37"/>
      <c r="BK6" s="36"/>
      <c r="BL6" s="37"/>
      <c r="BM6" s="36"/>
      <c r="BN6" s="37"/>
      <c r="BO6" s="36"/>
      <c r="BP6" s="37"/>
      <c r="BQ6" s="36"/>
      <c r="BR6" s="37"/>
      <c r="BS6" s="36"/>
      <c r="BT6" s="37"/>
      <c r="BU6" s="36"/>
      <c r="BV6" s="37"/>
      <c r="BW6" s="36"/>
      <c r="BX6" s="37"/>
      <c r="BY6" s="36"/>
      <c r="BZ6" s="37"/>
      <c r="CA6" s="36"/>
      <c r="CB6" s="37"/>
      <c r="CC6" s="36"/>
      <c r="CD6" s="37"/>
      <c r="CE6" s="36"/>
      <c r="CF6" s="37"/>
      <c r="CG6" s="36"/>
      <c r="CH6" s="37"/>
      <c r="CI6" s="36"/>
      <c r="CJ6" s="37"/>
      <c r="CK6" s="36"/>
      <c r="CL6" s="37"/>
      <c r="CM6" s="36"/>
      <c r="CN6" s="37"/>
      <c r="CO6" s="36"/>
      <c r="CP6" s="37"/>
      <c r="CQ6" s="36"/>
      <c r="CR6" s="37"/>
      <c r="CS6" s="36"/>
      <c r="CT6" s="37"/>
      <c r="CU6" s="36"/>
      <c r="CV6" s="37"/>
      <c r="CW6" s="36"/>
      <c r="CX6" s="37"/>
      <c r="CY6" s="36"/>
      <c r="CZ6" s="37"/>
      <c r="DA6" s="36"/>
      <c r="DB6" s="37"/>
      <c r="DC6" s="36"/>
      <c r="DD6" s="37"/>
      <c r="DE6" s="36"/>
      <c r="DF6" s="37"/>
      <c r="DG6" s="36"/>
      <c r="DH6" s="37"/>
      <c r="DI6" s="36"/>
      <c r="DJ6" s="37"/>
      <c r="DK6" s="36"/>
      <c r="DL6" s="37"/>
      <c r="DM6" s="36"/>
      <c r="DN6" s="37"/>
      <c r="DO6" s="36"/>
      <c r="DP6" s="37"/>
      <c r="DQ6" s="36"/>
      <c r="DR6" s="37"/>
      <c r="DS6" s="36"/>
      <c r="DT6" s="37"/>
      <c r="DU6" s="36"/>
      <c r="DV6" s="37"/>
      <c r="DW6" s="36"/>
      <c r="DX6" s="37"/>
      <c r="DY6" s="36"/>
      <c r="DZ6" s="37"/>
      <c r="EA6" s="36"/>
      <c r="EB6" s="37"/>
      <c r="EC6" s="36"/>
      <c r="ED6" s="37"/>
      <c r="EE6" s="36"/>
      <c r="EF6" s="37"/>
      <c r="EG6" s="36"/>
      <c r="EH6" s="37"/>
      <c r="EI6" s="36"/>
      <c r="EJ6" s="37"/>
      <c r="EK6" s="36"/>
      <c r="EL6" s="37"/>
      <c r="EM6" s="36"/>
      <c r="EN6" s="37"/>
      <c r="EO6" s="36"/>
      <c r="EP6" s="37"/>
      <c r="EQ6" s="36"/>
      <c r="ER6" s="37"/>
      <c r="ES6" s="36"/>
      <c r="ET6" s="37"/>
      <c r="EU6" s="36"/>
      <c r="EV6" s="37"/>
      <c r="EW6" s="36"/>
      <c r="EX6" s="37"/>
      <c r="EY6" s="36"/>
      <c r="EZ6" s="37"/>
      <c r="FA6" s="36"/>
      <c r="FB6" s="37"/>
      <c r="FC6" s="36"/>
      <c r="FD6" s="37"/>
      <c r="FE6" s="36"/>
      <c r="FF6" s="37"/>
      <c r="FG6" s="36"/>
      <c r="FH6" s="37"/>
      <c r="FI6" s="36"/>
      <c r="FJ6" s="37"/>
      <c r="FK6" s="36"/>
      <c r="FL6" s="37"/>
      <c r="FM6" s="36"/>
      <c r="FN6" s="37"/>
      <c r="FO6" s="36"/>
      <c r="FP6" s="37"/>
      <c r="FQ6" s="36"/>
      <c r="FR6" s="37"/>
      <c r="FS6" s="36"/>
      <c r="FT6" s="37"/>
      <c r="FU6" s="36"/>
      <c r="FV6" s="37"/>
      <c r="FW6" s="36"/>
      <c r="FX6" s="37"/>
      <c r="FY6" s="36"/>
      <c r="FZ6" s="37"/>
      <c r="GA6" s="36"/>
      <c r="GB6" s="37"/>
      <c r="GC6" s="36"/>
      <c r="GD6" s="37"/>
      <c r="GE6" s="36"/>
      <c r="GF6" s="37"/>
      <c r="GG6" s="36"/>
      <c r="GH6" s="37"/>
      <c r="GI6" s="36"/>
      <c r="GJ6" s="37"/>
      <c r="GK6" s="36"/>
      <c r="GL6" s="37"/>
      <c r="GM6" s="36"/>
      <c r="GN6" s="37"/>
      <c r="GO6" s="36"/>
      <c r="GP6" s="37"/>
      <c r="GQ6" s="36"/>
      <c r="GR6" s="37"/>
      <c r="GS6" s="36"/>
      <c r="GT6" s="37"/>
      <c r="GU6" s="36"/>
      <c r="GV6" s="37"/>
      <c r="GW6" s="36"/>
      <c r="GX6" s="37"/>
      <c r="GY6" s="36"/>
      <c r="GZ6" s="37"/>
      <c r="HA6" s="36"/>
      <c r="HB6" s="37"/>
      <c r="HC6" s="36"/>
      <c r="HD6" s="37"/>
      <c r="HE6" s="36"/>
      <c r="HF6" s="37"/>
      <c r="HG6" s="36"/>
      <c r="HH6" s="37"/>
      <c r="HI6" s="36"/>
      <c r="HJ6" s="37"/>
      <c r="HK6" s="36"/>
      <c r="HL6" s="37"/>
      <c r="HM6" s="36"/>
      <c r="HN6" s="37"/>
      <c r="HO6" s="36"/>
      <c r="HP6" s="37"/>
      <c r="HQ6" s="36"/>
      <c r="HR6" s="37"/>
      <c r="HS6" s="36"/>
      <c r="HT6" s="37"/>
      <c r="HU6" s="36"/>
      <c r="HV6" s="37"/>
      <c r="HW6" s="36"/>
      <c r="HX6" s="37"/>
      <c r="HY6" s="36"/>
      <c r="HZ6" s="37"/>
      <c r="IA6" s="36"/>
      <c r="IB6" s="37"/>
      <c r="IC6" s="36"/>
      <c r="ID6" s="37"/>
      <c r="IE6" s="36"/>
      <c r="IF6" s="37"/>
      <c r="IG6" s="36"/>
      <c r="IH6" s="37"/>
      <c r="II6" s="36"/>
      <c r="IJ6" s="37"/>
      <c r="IK6" s="36"/>
      <c r="IL6" s="37"/>
      <c r="IM6" s="36"/>
      <c r="IN6" s="37"/>
      <c r="IO6" s="36"/>
      <c r="IP6" s="37"/>
      <c r="IQ6" s="36"/>
      <c r="IR6" s="37"/>
      <c r="IS6" s="36"/>
      <c r="IT6" s="37"/>
      <c r="IU6" s="36"/>
      <c r="IV6" s="37"/>
    </row>
    <row r="7" spans="1:256" x14ac:dyDescent="0.2">
      <c r="A7" s="36"/>
      <c r="B7" s="37"/>
    </row>
    <row r="8" spans="1:256" x14ac:dyDescent="0.2">
      <c r="B8" s="59" t="s">
        <v>559</v>
      </c>
    </row>
    <row r="9" spans="1:256" ht="12.6" customHeight="1" x14ac:dyDescent="0.2">
      <c r="B9" s="34" t="s">
        <v>560</v>
      </c>
    </row>
    <row r="11" spans="1:256" ht="15.75" x14ac:dyDescent="0.25">
      <c r="B11" s="128"/>
      <c r="D11" s="128"/>
      <c r="I11" s="62"/>
      <c r="J11" s="62"/>
      <c r="K11" s="62"/>
      <c r="L11" s="63"/>
      <c r="N11" s="129"/>
      <c r="O11" s="129"/>
      <c r="P11" s="129"/>
      <c r="Q11" s="129"/>
      <c r="T11" s="130"/>
      <c r="U11" s="131"/>
    </row>
    <row r="12" spans="1:256" x14ac:dyDescent="0.2">
      <c r="C12" s="2106" t="str">
        <f>Update!$B$13</f>
        <v>2025-26</v>
      </c>
      <c r="D12" s="2106"/>
      <c r="E12" s="2106"/>
      <c r="F12" s="2106"/>
      <c r="G12" s="2106"/>
      <c r="H12" s="132"/>
      <c r="I12" s="132"/>
      <c r="J12" s="132"/>
      <c r="K12" s="132"/>
      <c r="L12" s="132"/>
      <c r="N12" s="133"/>
      <c r="P12" s="133"/>
      <c r="T12" s="133"/>
      <c r="U12" s="131"/>
    </row>
    <row r="13" spans="1:256" ht="12.6" customHeight="1" x14ac:dyDescent="0.25">
      <c r="B13" s="62" t="s">
        <v>281</v>
      </c>
      <c r="C13" s="62" t="s">
        <v>497</v>
      </c>
      <c r="D13" s="134"/>
      <c r="E13" s="62" t="s">
        <v>148</v>
      </c>
      <c r="G13" s="62" t="s">
        <v>561</v>
      </c>
      <c r="H13" s="134"/>
      <c r="I13" s="134"/>
      <c r="J13" s="134"/>
      <c r="K13" s="135"/>
      <c r="L13" s="135"/>
      <c r="M13" s="134"/>
      <c r="N13" s="134"/>
      <c r="O13" s="134"/>
      <c r="P13" s="134"/>
      <c r="Q13" s="134"/>
      <c r="R13" s="134"/>
      <c r="S13" s="135"/>
      <c r="T13" s="135"/>
      <c r="U13" s="131"/>
    </row>
    <row r="14" spans="1:256" ht="12.6" customHeight="1" x14ac:dyDescent="0.25">
      <c r="B14" s="62" t="s">
        <v>134</v>
      </c>
      <c r="C14" s="62"/>
      <c r="D14" s="62"/>
      <c r="E14" s="96"/>
      <c r="F14" s="96"/>
      <c r="G14" s="96"/>
      <c r="H14" s="96"/>
      <c r="I14" s="96"/>
      <c r="J14" s="96"/>
      <c r="K14" s="63"/>
      <c r="L14" s="63"/>
      <c r="M14" s="134"/>
      <c r="N14" s="134"/>
      <c r="O14" s="134"/>
      <c r="P14" s="134"/>
      <c r="Q14" s="134"/>
      <c r="R14" s="134"/>
      <c r="S14" s="135"/>
      <c r="T14" s="135"/>
      <c r="U14" s="131"/>
    </row>
    <row r="15" spans="1:256" ht="15.75" x14ac:dyDescent="0.25">
      <c r="B15" s="59" t="s">
        <v>5</v>
      </c>
      <c r="C15" s="92">
        <f>-(+MAP!Y20+MAP!Y22+MAP!Y27-MAP!Y15)</f>
        <v>0</v>
      </c>
      <c r="D15" s="140"/>
      <c r="E15" s="92">
        <f>-(+MAP!Y11+MAP!Y21)</f>
        <v>0</v>
      </c>
      <c r="F15" s="137"/>
      <c r="G15" s="37">
        <f t="shared" ref="G15:G25" si="0">+C15+E15</f>
        <v>0</v>
      </c>
      <c r="M15" s="138"/>
      <c r="N15" s="138"/>
      <c r="O15" s="138"/>
      <c r="P15" s="138"/>
      <c r="Q15" s="138"/>
      <c r="R15" s="138"/>
      <c r="S15" s="139"/>
      <c r="T15" s="139"/>
      <c r="U15" s="131"/>
    </row>
    <row r="16" spans="1:256" ht="15.75" x14ac:dyDescent="0.25">
      <c r="B16" s="59" t="s">
        <v>348</v>
      </c>
      <c r="C16" s="92">
        <f>+GIA!G7</f>
        <v>0</v>
      </c>
      <c r="D16" s="62"/>
      <c r="E16" s="92"/>
      <c r="G16" s="37">
        <f t="shared" si="0"/>
        <v>0</v>
      </c>
      <c r="M16" s="138"/>
      <c r="N16" s="138"/>
      <c r="O16" s="138"/>
      <c r="P16" s="138"/>
      <c r="Q16" s="138"/>
      <c r="R16" s="138"/>
      <c r="S16" s="139"/>
      <c r="T16" s="139"/>
      <c r="U16" s="131"/>
    </row>
    <row r="17" spans="2:21" ht="15.75" x14ac:dyDescent="0.25">
      <c r="B17" s="59" t="s">
        <v>27</v>
      </c>
      <c r="C17" s="92">
        <f>+GIA!Q7</f>
        <v>0</v>
      </c>
      <c r="D17" s="62"/>
      <c r="E17" s="92"/>
      <c r="G17" s="37">
        <f t="shared" si="0"/>
        <v>0</v>
      </c>
      <c r="L17" s="34"/>
      <c r="M17" s="145"/>
      <c r="N17" s="138"/>
      <c r="O17" s="138"/>
      <c r="P17" s="138"/>
      <c r="Q17" s="138"/>
      <c r="R17" s="138"/>
      <c r="S17" s="139"/>
      <c r="T17" s="139"/>
      <c r="U17" s="131"/>
    </row>
    <row r="18" spans="2:21" ht="15.75" x14ac:dyDescent="0.25">
      <c r="B18" s="59" t="s">
        <v>349</v>
      </c>
      <c r="C18" s="92">
        <f>+GIA!N7</f>
        <v>0</v>
      </c>
      <c r="D18" s="62"/>
      <c r="E18" s="92"/>
      <c r="G18" s="37">
        <f t="shared" si="0"/>
        <v>0</v>
      </c>
      <c r="M18" s="138"/>
      <c r="N18" s="138"/>
      <c r="O18" s="138"/>
      <c r="P18" s="138"/>
      <c r="Q18" s="138"/>
      <c r="R18" s="138"/>
      <c r="S18" s="139"/>
      <c r="T18" s="139"/>
      <c r="U18" s="131"/>
    </row>
    <row r="19" spans="2:21" ht="13.35" customHeight="1" x14ac:dyDescent="0.25">
      <c r="B19" s="59" t="s">
        <v>31</v>
      </c>
      <c r="C19" s="92">
        <f>+GIA!O7</f>
        <v>0</v>
      </c>
      <c r="D19" s="62"/>
      <c r="E19" s="92"/>
      <c r="F19" s="59">
        <f>ROUND(SUMIF(MAP!$E$389:$E$406,$B19,MAP!$N$389:$N$406),0)</f>
        <v>0</v>
      </c>
      <c r="G19" s="37">
        <f t="shared" si="0"/>
        <v>0</v>
      </c>
      <c r="L19" s="34"/>
      <c r="M19" s="138"/>
      <c r="N19" s="138"/>
      <c r="O19" s="138"/>
      <c r="P19" s="138"/>
      <c r="Q19" s="138"/>
      <c r="R19" s="138"/>
      <c r="S19" s="139"/>
      <c r="T19" s="139"/>
      <c r="U19" s="131"/>
    </row>
    <row r="20" spans="2:21" ht="13.35" customHeight="1" x14ac:dyDescent="0.25">
      <c r="B20" s="59" t="s">
        <v>138</v>
      </c>
      <c r="C20" s="92">
        <f>+GIA!R7</f>
        <v>0</v>
      </c>
      <c r="D20" s="62"/>
      <c r="E20" s="92"/>
      <c r="G20" s="37">
        <f t="shared" si="0"/>
        <v>0</v>
      </c>
      <c r="M20" s="138"/>
      <c r="N20" s="138"/>
      <c r="O20" s="138"/>
      <c r="P20" s="138"/>
      <c r="Q20" s="138"/>
      <c r="R20" s="138"/>
      <c r="S20" s="139"/>
      <c r="T20" s="139"/>
      <c r="U20" s="131"/>
    </row>
    <row r="21" spans="2:21" ht="13.35" customHeight="1" x14ac:dyDescent="0.25">
      <c r="B21" s="59" t="s">
        <v>139</v>
      </c>
      <c r="C21" s="92">
        <f>+GIA!M7</f>
        <v>0</v>
      </c>
      <c r="D21" s="62"/>
      <c r="E21" s="92"/>
      <c r="G21" s="37">
        <f t="shared" si="0"/>
        <v>0</v>
      </c>
      <c r="M21" s="138"/>
      <c r="N21" s="138"/>
      <c r="O21" s="138"/>
      <c r="P21" s="138"/>
      <c r="Q21" s="138"/>
      <c r="R21" s="138"/>
      <c r="S21" s="139"/>
      <c r="T21" s="139"/>
      <c r="U21" s="131"/>
    </row>
    <row r="22" spans="2:21" ht="13.35" customHeight="1" x14ac:dyDescent="0.25">
      <c r="B22" s="59" t="s">
        <v>2528</v>
      </c>
      <c r="C22" s="92">
        <f>+GIA!I7</f>
        <v>0</v>
      </c>
      <c r="D22" s="62"/>
      <c r="E22" s="92"/>
      <c r="G22" s="37">
        <f t="shared" si="0"/>
        <v>0</v>
      </c>
      <c r="M22" s="138"/>
      <c r="N22" s="138"/>
      <c r="O22" s="138"/>
      <c r="P22" s="138"/>
      <c r="Q22" s="138"/>
      <c r="R22" s="138"/>
      <c r="S22" s="139"/>
      <c r="T22" s="139"/>
      <c r="U22" s="131"/>
    </row>
    <row r="23" spans="2:21" ht="13.9" customHeight="1" x14ac:dyDescent="0.25">
      <c r="B23" s="59" t="s">
        <v>2446</v>
      </c>
      <c r="C23" s="92">
        <f>+GIA!L7</f>
        <v>0</v>
      </c>
      <c r="D23" s="62"/>
      <c r="E23" s="92"/>
      <c r="G23" s="37">
        <f t="shared" si="0"/>
        <v>0</v>
      </c>
      <c r="M23" s="138"/>
      <c r="N23" s="138"/>
      <c r="O23" s="138"/>
      <c r="P23" s="138"/>
      <c r="Q23" s="138"/>
      <c r="R23" s="138"/>
      <c r="S23" s="139"/>
      <c r="T23" s="139"/>
      <c r="U23" s="131"/>
    </row>
    <row r="24" spans="2:21" ht="16.149999999999999" customHeight="1" x14ac:dyDescent="0.25">
      <c r="B24" s="59" t="s">
        <v>140</v>
      </c>
      <c r="C24" s="92">
        <f>+GIA!J7+GIA!K7</f>
        <v>0</v>
      </c>
      <c r="D24" s="62"/>
      <c r="E24" s="92"/>
      <c r="G24" s="37">
        <f t="shared" si="0"/>
        <v>0</v>
      </c>
      <c r="M24" s="138"/>
      <c r="N24" s="138"/>
      <c r="O24" s="138"/>
      <c r="P24" s="138"/>
      <c r="Q24" s="138"/>
      <c r="R24" s="138"/>
      <c r="S24" s="139"/>
      <c r="T24" s="139"/>
      <c r="U24" s="131"/>
    </row>
    <row r="25" spans="2:21" ht="15.75" x14ac:dyDescent="0.25">
      <c r="B25" s="59" t="s">
        <v>141</v>
      </c>
      <c r="C25" s="92">
        <f>+GIA!F7+GIA!H7+GIA!P7+GIA!S7+GIA!T7+GIA!U7</f>
        <v>0</v>
      </c>
      <c r="D25" s="62"/>
      <c r="E25" s="92"/>
      <c r="G25" s="37">
        <f t="shared" si="0"/>
        <v>0</v>
      </c>
      <c r="M25" s="138"/>
      <c r="N25" s="138"/>
      <c r="O25" s="138"/>
      <c r="P25" s="138"/>
      <c r="Q25" s="138"/>
      <c r="R25" s="138"/>
      <c r="S25" s="139"/>
      <c r="T25" s="139"/>
      <c r="U25" s="131"/>
    </row>
    <row r="26" spans="2:21" ht="13.35" customHeight="1" x14ac:dyDescent="0.25">
      <c r="C26" s="34"/>
      <c r="D26" s="62"/>
      <c r="E26" s="34"/>
      <c r="G26" s="37"/>
      <c r="M26" s="138"/>
      <c r="N26" s="138"/>
      <c r="O26" s="138"/>
      <c r="P26" s="138"/>
      <c r="Q26" s="138"/>
      <c r="R26" s="138"/>
      <c r="S26" s="139"/>
      <c r="T26" s="139"/>
      <c r="U26" s="131"/>
    </row>
    <row r="27" spans="2:21" ht="13.35" customHeight="1" x14ac:dyDescent="0.25">
      <c r="B27" s="62" t="s">
        <v>142</v>
      </c>
      <c r="C27" s="62"/>
      <c r="D27" s="62"/>
      <c r="E27" s="62"/>
      <c r="G27" s="37"/>
      <c r="M27" s="138"/>
      <c r="N27" s="138"/>
      <c r="O27" s="138"/>
      <c r="P27" s="138"/>
      <c r="Q27" s="138"/>
      <c r="R27" s="138"/>
      <c r="S27" s="139"/>
      <c r="T27" s="139"/>
      <c r="U27" s="131"/>
    </row>
    <row r="28" spans="2:21" ht="13.35" customHeight="1" x14ac:dyDescent="0.25">
      <c r="B28" s="59" t="s">
        <v>143</v>
      </c>
      <c r="C28" s="92">
        <f>+MAP!W388-SUM(MAP!W374:'MAP'!W378)-MAP!W384</f>
        <v>0</v>
      </c>
      <c r="D28" s="62"/>
      <c r="E28" s="92">
        <v>0</v>
      </c>
      <c r="G28" s="37">
        <f>+C28+E28</f>
        <v>0</v>
      </c>
      <c r="H28" s="127" t="s">
        <v>281</v>
      </c>
      <c r="M28" s="138"/>
      <c r="N28" s="138"/>
      <c r="O28" s="138"/>
      <c r="P28" s="138"/>
      <c r="Q28" s="138"/>
      <c r="R28" s="138"/>
      <c r="S28" s="139"/>
      <c r="T28" s="139"/>
      <c r="U28" s="131"/>
    </row>
    <row r="29" spans="2:21" ht="15.75" x14ac:dyDescent="0.25">
      <c r="B29" s="59" t="s">
        <v>2457</v>
      </c>
      <c r="C29" s="92">
        <f>-(+MAP!X20+MAP!X22+MAP!X27-MAP!X15)</f>
        <v>0</v>
      </c>
      <c r="D29" s="136"/>
      <c r="E29" s="92">
        <f>-(+MAP!X11+MAP!X21)-MAP!U11</f>
        <v>0</v>
      </c>
      <c r="F29" s="137"/>
      <c r="G29" s="37">
        <f>+C29+E29</f>
        <v>0</v>
      </c>
      <c r="H29" s="96"/>
      <c r="K29" s="62"/>
      <c r="L29" s="96"/>
      <c r="M29" s="138"/>
      <c r="N29" s="138"/>
      <c r="O29" s="138"/>
      <c r="P29" s="138"/>
      <c r="Q29" s="138"/>
      <c r="R29" s="138"/>
      <c r="S29" s="139"/>
      <c r="T29" s="139"/>
      <c r="U29" s="131"/>
    </row>
    <row r="30" spans="2:21" ht="13.35" customHeight="1" x14ac:dyDescent="0.25">
      <c r="B30" s="59" t="s">
        <v>144</v>
      </c>
      <c r="C30" s="92">
        <f>+MAP!W426-SUM(MAP!W408:'MAP'!W410)-MAP!W419-SUM(C16:C25)-MAP!U20-MAP!V20</f>
        <v>0</v>
      </c>
      <c r="D30" s="62"/>
      <c r="E30" s="92">
        <v>0</v>
      </c>
      <c r="G30" s="37">
        <f>+C30+E30</f>
        <v>0</v>
      </c>
      <c r="H30" s="127" t="s">
        <v>281</v>
      </c>
      <c r="M30" s="138"/>
      <c r="N30" s="138"/>
      <c r="O30" s="138"/>
      <c r="P30" s="138"/>
      <c r="Q30" s="138"/>
      <c r="R30" s="138"/>
      <c r="S30" s="139"/>
      <c r="T30" s="139"/>
      <c r="U30" s="131"/>
    </row>
    <row r="31" spans="2:21" ht="13.35" customHeight="1" x14ac:dyDescent="0.25">
      <c r="B31" s="62"/>
      <c r="C31" s="62"/>
      <c r="D31" s="62"/>
      <c r="E31" s="62"/>
      <c r="G31" s="37"/>
      <c r="M31" s="138"/>
      <c r="N31" s="138"/>
      <c r="O31" s="138"/>
      <c r="P31" s="138"/>
      <c r="Q31" s="138"/>
      <c r="R31" s="138"/>
      <c r="S31" s="139"/>
      <c r="T31" s="139"/>
      <c r="U31" s="131"/>
    </row>
    <row r="32" spans="2:21" ht="13.35" customHeight="1" x14ac:dyDescent="0.25">
      <c r="B32" s="59" t="s">
        <v>145</v>
      </c>
      <c r="C32" s="92">
        <f>(+SUM(MAP!W374:'MAP'!W378)+MAP!W384+SUM(MAP!W408:'MAP'!W410)+MAP!W419-MAP!X15-MAP!Y15)</f>
        <v>0</v>
      </c>
      <c r="D32" s="62"/>
      <c r="E32" s="92"/>
      <c r="G32" s="37">
        <f>+C32+E32</f>
        <v>0</v>
      </c>
      <c r="H32" s="127" t="str">
        <f>IF(C32='Note 3a'!D21+'Note 3a'!D22+'Note 3a'!D28+'Note 3b &amp; 3c'!D25+'Note 3b &amp; 3c'!D26+'Note 3b &amp; 3c'!D27,"OK","ERROR")</f>
        <v>OK</v>
      </c>
      <c r="M32" s="138"/>
      <c r="N32" s="138"/>
      <c r="O32" s="138"/>
      <c r="P32" s="138"/>
      <c r="Q32" s="138"/>
      <c r="R32" s="138"/>
      <c r="S32" s="139"/>
      <c r="T32" s="139"/>
      <c r="U32" s="131"/>
    </row>
    <row r="33" spans="2:21" ht="15.75" x14ac:dyDescent="0.25">
      <c r="B33" s="62"/>
      <c r="C33" s="62"/>
      <c r="D33" s="62"/>
      <c r="M33" s="138"/>
      <c r="N33" s="138"/>
      <c r="O33" s="138"/>
      <c r="P33" s="138"/>
      <c r="Q33" s="138"/>
      <c r="R33" s="138"/>
      <c r="S33" s="139"/>
      <c r="T33" s="139"/>
      <c r="U33" s="131"/>
    </row>
    <row r="34" spans="2:21" ht="12.6" customHeight="1" x14ac:dyDescent="0.25">
      <c r="B34" s="62" t="s">
        <v>146</v>
      </c>
      <c r="C34" s="37">
        <f>SUM(C15:C25)+C28+C30+C32+C29</f>
        <v>0</v>
      </c>
      <c r="D34" s="62"/>
      <c r="E34" s="37">
        <f>SUM(E15:E25)+E28+E30+E32+E29</f>
        <v>0</v>
      </c>
      <c r="G34" s="37">
        <f>+C34+E34</f>
        <v>0</v>
      </c>
      <c r="H34" s="127" t="str">
        <f>IF(G34=(SUM(G15:G32)),"OK","ERROR")</f>
        <v>OK</v>
      </c>
      <c r="M34" s="138"/>
      <c r="N34" s="138"/>
      <c r="O34" s="138"/>
      <c r="P34" s="138"/>
      <c r="Q34" s="138"/>
      <c r="R34" s="138"/>
      <c r="S34" s="139"/>
      <c r="T34" s="139"/>
      <c r="U34" s="131"/>
    </row>
    <row r="35" spans="2:21" ht="12.6" customHeight="1" x14ac:dyDescent="0.25">
      <c r="B35" s="62"/>
      <c r="C35" s="127" t="str">
        <f>IF(ROUND(C34,0)=ROUND((+'Note 3a'!D33+'Note 3b &amp; 3c'!D53),0),"OK","ERROR")</f>
        <v>OK</v>
      </c>
      <c r="D35" s="62"/>
      <c r="E35" s="127" t="str">
        <f>IF(ROUND(E34,0)=ROUND(-'Note 4'!C30,0),"OK","ERROR")</f>
        <v>OK</v>
      </c>
      <c r="G35" s="127" t="e">
        <f>IF(ROUND(G34,0)=ROUND(SCNE!D49,0),"OK","ERROR")</f>
        <v>#VALUE!</v>
      </c>
      <c r="M35" s="138"/>
      <c r="N35" s="138"/>
      <c r="O35" s="138"/>
      <c r="P35" s="138"/>
      <c r="Q35" s="138"/>
      <c r="R35" s="138"/>
      <c r="S35" s="139"/>
      <c r="T35" s="139"/>
      <c r="U35" s="131"/>
    </row>
    <row r="36" spans="2:21" ht="15.75" x14ac:dyDescent="0.25">
      <c r="B36" s="62"/>
      <c r="C36" s="37"/>
      <c r="D36" s="62"/>
      <c r="E36" s="37"/>
      <c r="I36" s="34"/>
      <c r="J36" s="34"/>
      <c r="M36" s="138"/>
      <c r="N36" s="138"/>
      <c r="O36" s="138"/>
      <c r="P36" s="138"/>
      <c r="Q36" s="138"/>
      <c r="R36" s="138"/>
      <c r="S36" s="139"/>
      <c r="T36" s="139"/>
      <c r="U36" s="131"/>
    </row>
    <row r="37" spans="2:21" x14ac:dyDescent="0.2">
      <c r="C37" s="2106" t="str">
        <f>Update!$B$15</f>
        <v>2024-25</v>
      </c>
      <c r="D37" s="2106"/>
      <c r="E37" s="2106"/>
      <c r="F37" s="2106"/>
      <c r="G37" s="2106"/>
      <c r="H37" s="132"/>
      <c r="I37" s="132"/>
      <c r="J37" s="132"/>
      <c r="K37" s="132"/>
      <c r="L37" s="132"/>
      <c r="N37" s="133"/>
      <c r="P37" s="133"/>
      <c r="T37" s="133"/>
      <c r="U37" s="131"/>
    </row>
    <row r="38" spans="2:21" ht="15.75" x14ac:dyDescent="0.25">
      <c r="B38" s="62" t="s">
        <v>281</v>
      </c>
      <c r="C38" s="62" t="s">
        <v>497</v>
      </c>
      <c r="D38" s="134"/>
      <c r="E38" s="62" t="s">
        <v>148</v>
      </c>
      <c r="G38" s="62" t="s">
        <v>561</v>
      </c>
      <c r="H38" s="134"/>
      <c r="I38" s="134"/>
      <c r="J38" s="134"/>
      <c r="K38" s="135"/>
      <c r="L38" s="135"/>
      <c r="M38" s="134"/>
      <c r="N38" s="134"/>
      <c r="O38" s="134"/>
      <c r="P38" s="134"/>
      <c r="Q38" s="134"/>
      <c r="R38" s="134"/>
      <c r="S38" s="135"/>
      <c r="T38" s="135"/>
      <c r="U38" s="131"/>
    </row>
    <row r="39" spans="2:21" ht="15.75" x14ac:dyDescent="0.25">
      <c r="B39" s="62" t="str">
        <f>B14</f>
        <v>Funded Bodies</v>
      </c>
      <c r="C39" s="62"/>
      <c r="D39" s="62"/>
      <c r="E39" s="96"/>
      <c r="F39" s="96"/>
      <c r="G39" s="96"/>
      <c r="H39" s="96"/>
      <c r="I39" s="96"/>
      <c r="J39" s="96"/>
      <c r="K39" s="63"/>
      <c r="L39" s="63"/>
      <c r="M39" s="134"/>
      <c r="N39" s="134"/>
      <c r="O39" s="134"/>
      <c r="P39" s="134"/>
      <c r="Q39" s="134"/>
      <c r="R39" s="134"/>
      <c r="S39" s="135"/>
      <c r="T39" s="135"/>
      <c r="U39" s="131"/>
    </row>
    <row r="40" spans="2:21" ht="15.75" x14ac:dyDescent="0.25">
      <c r="B40" s="59" t="s">
        <v>5</v>
      </c>
      <c r="C40" s="92">
        <v>97705</v>
      </c>
      <c r="D40" s="62"/>
      <c r="E40" s="92">
        <v>-1310</v>
      </c>
      <c r="F40" s="137"/>
      <c r="G40" s="37">
        <f t="shared" ref="G40:G50" si="1">+C40+E40</f>
        <v>96395</v>
      </c>
      <c r="M40" s="138"/>
      <c r="N40" s="138"/>
      <c r="O40" s="138"/>
      <c r="P40" s="138"/>
      <c r="Q40" s="138"/>
      <c r="R40" s="138"/>
      <c r="S40" s="139"/>
      <c r="T40" s="139"/>
      <c r="U40" s="131"/>
    </row>
    <row r="41" spans="2:21" ht="13.35" customHeight="1" x14ac:dyDescent="0.25">
      <c r="B41" s="59" t="s">
        <v>348</v>
      </c>
      <c r="C41" s="92">
        <v>268469</v>
      </c>
      <c r="D41" s="62"/>
      <c r="E41" s="92"/>
      <c r="G41" s="37">
        <f t="shared" si="1"/>
        <v>268469</v>
      </c>
      <c r="M41" s="138"/>
      <c r="N41" s="138"/>
      <c r="O41" s="138"/>
      <c r="P41" s="138"/>
      <c r="Q41" s="138"/>
      <c r="R41" s="138"/>
      <c r="S41" s="139"/>
      <c r="T41" s="139"/>
      <c r="U41" s="131"/>
    </row>
    <row r="42" spans="2:21" ht="15.75" x14ac:dyDescent="0.25">
      <c r="B42" s="59" t="s">
        <v>27</v>
      </c>
      <c r="C42" s="92">
        <v>2292</v>
      </c>
      <c r="D42" s="62"/>
      <c r="E42" s="92"/>
      <c r="G42" s="37">
        <f t="shared" si="1"/>
        <v>2292</v>
      </c>
      <c r="M42" s="138"/>
      <c r="N42" s="138"/>
      <c r="O42" s="138"/>
      <c r="P42" s="138"/>
      <c r="Q42" s="138"/>
      <c r="R42" s="138"/>
      <c r="S42" s="139"/>
      <c r="T42" s="139"/>
      <c r="U42" s="131"/>
    </row>
    <row r="43" spans="2:21" ht="15.75" x14ac:dyDescent="0.25">
      <c r="B43" s="59" t="s">
        <v>349</v>
      </c>
      <c r="C43" s="92">
        <v>1631</v>
      </c>
      <c r="D43" s="62"/>
      <c r="E43" s="92"/>
      <c r="G43" s="37">
        <f t="shared" si="1"/>
        <v>1631</v>
      </c>
      <c r="M43" s="138"/>
      <c r="N43" s="138"/>
      <c r="O43" s="138"/>
      <c r="P43" s="138"/>
      <c r="Q43" s="138"/>
      <c r="R43" s="138"/>
      <c r="S43" s="139"/>
      <c r="T43" s="139"/>
      <c r="U43" s="131"/>
    </row>
    <row r="44" spans="2:21" ht="15.75" x14ac:dyDescent="0.25">
      <c r="B44" s="59" t="s">
        <v>31</v>
      </c>
      <c r="C44" s="92">
        <v>4613</v>
      </c>
      <c r="D44" s="62"/>
      <c r="E44" s="92"/>
      <c r="G44" s="37">
        <f t="shared" si="1"/>
        <v>4613</v>
      </c>
      <c r="M44" s="138"/>
      <c r="N44" s="138"/>
      <c r="O44" s="138"/>
      <c r="P44" s="138"/>
      <c r="Q44" s="138"/>
      <c r="R44" s="138"/>
      <c r="S44" s="139"/>
      <c r="T44" s="139"/>
      <c r="U44" s="131"/>
    </row>
    <row r="45" spans="2:21" ht="15.75" x14ac:dyDescent="0.25">
      <c r="B45" s="59" t="s">
        <v>138</v>
      </c>
      <c r="C45" s="92">
        <v>9729</v>
      </c>
      <c r="D45" s="62"/>
      <c r="E45" s="92"/>
      <c r="G45" s="37">
        <f t="shared" si="1"/>
        <v>9729</v>
      </c>
      <c r="M45" s="138"/>
      <c r="N45" s="138"/>
      <c r="O45" s="138"/>
      <c r="P45" s="138"/>
      <c r="Q45" s="138"/>
      <c r="R45" s="138"/>
      <c r="S45" s="139"/>
      <c r="T45" s="139"/>
      <c r="U45" s="131"/>
    </row>
    <row r="46" spans="2:21" ht="15.75" x14ac:dyDescent="0.25">
      <c r="B46" s="59" t="s">
        <v>139</v>
      </c>
      <c r="C46" s="92">
        <v>43225</v>
      </c>
      <c r="D46" s="62"/>
      <c r="E46" s="92"/>
      <c r="G46" s="37">
        <f t="shared" si="1"/>
        <v>43225</v>
      </c>
      <c r="M46" s="138"/>
      <c r="N46" s="138"/>
      <c r="O46" s="138"/>
      <c r="P46" s="138"/>
      <c r="Q46" s="138"/>
      <c r="R46" s="138"/>
      <c r="S46" s="139"/>
      <c r="T46" s="139"/>
      <c r="U46" s="131"/>
    </row>
    <row r="47" spans="2:21" ht="15.75" x14ac:dyDescent="0.25">
      <c r="B47" s="59" t="s">
        <v>2528</v>
      </c>
      <c r="C47" s="92">
        <v>1143</v>
      </c>
      <c r="D47" s="62"/>
      <c r="E47" s="92"/>
      <c r="G47" s="37">
        <f>+C47+E47</f>
        <v>1143</v>
      </c>
      <c r="M47" s="138"/>
      <c r="N47" s="138"/>
      <c r="O47" s="138"/>
      <c r="P47" s="138"/>
      <c r="Q47" s="138"/>
      <c r="R47" s="138"/>
      <c r="S47" s="139"/>
      <c r="T47" s="139"/>
      <c r="U47" s="131"/>
    </row>
    <row r="48" spans="2:21" ht="15.75" x14ac:dyDescent="0.25">
      <c r="B48" s="59" t="s">
        <v>2446</v>
      </c>
      <c r="C48" s="92">
        <v>5280</v>
      </c>
      <c r="D48" s="62"/>
      <c r="E48" s="92"/>
      <c r="G48" s="37">
        <f t="shared" si="1"/>
        <v>5280</v>
      </c>
      <c r="M48" s="138"/>
      <c r="N48" s="138"/>
      <c r="O48" s="138"/>
      <c r="P48" s="138"/>
      <c r="Q48" s="138"/>
      <c r="R48" s="138"/>
      <c r="S48" s="139"/>
      <c r="T48" s="139"/>
      <c r="U48" s="131"/>
    </row>
    <row r="49" spans="2:21" ht="15.75" x14ac:dyDescent="0.25">
      <c r="B49" s="59" t="s">
        <v>140</v>
      </c>
      <c r="C49" s="92">
        <v>129604</v>
      </c>
      <c r="D49" s="62"/>
      <c r="E49" s="92"/>
      <c r="G49" s="37">
        <f t="shared" si="1"/>
        <v>129604</v>
      </c>
      <c r="M49" s="138"/>
      <c r="N49" s="138"/>
      <c r="O49" s="138"/>
      <c r="P49" s="138"/>
      <c r="Q49" s="138"/>
      <c r="R49" s="138"/>
      <c r="S49" s="139"/>
      <c r="T49" s="139"/>
      <c r="U49" s="131"/>
    </row>
    <row r="50" spans="2:21" ht="13.35" customHeight="1" x14ac:dyDescent="0.25">
      <c r="B50" s="59" t="s">
        <v>141</v>
      </c>
      <c r="C50" s="92">
        <v>7073494</v>
      </c>
      <c r="D50" s="62"/>
      <c r="E50" s="92"/>
      <c r="G50" s="37">
        <f t="shared" si="1"/>
        <v>7073494</v>
      </c>
      <c r="M50" s="138"/>
      <c r="N50" s="138"/>
      <c r="O50" s="138"/>
      <c r="P50" s="138"/>
      <c r="Q50" s="138"/>
      <c r="R50" s="138"/>
      <c r="S50" s="139"/>
      <c r="T50" s="139"/>
      <c r="U50" s="131"/>
    </row>
    <row r="51" spans="2:21" ht="13.35" customHeight="1" x14ac:dyDescent="0.25">
      <c r="B51" s="62"/>
      <c r="C51" s="34"/>
      <c r="D51" s="62"/>
      <c r="E51" s="34"/>
      <c r="G51" s="37"/>
      <c r="M51" s="138"/>
      <c r="N51" s="138"/>
      <c r="O51" s="138"/>
      <c r="P51" s="138"/>
      <c r="Q51" s="138"/>
      <c r="R51" s="138"/>
      <c r="S51" s="139"/>
      <c r="T51" s="139"/>
      <c r="U51" s="131"/>
    </row>
    <row r="52" spans="2:21" ht="13.35" customHeight="1" x14ac:dyDescent="0.25">
      <c r="B52" s="62" t="s">
        <v>142</v>
      </c>
      <c r="C52" s="62"/>
      <c r="D52" s="62"/>
      <c r="E52" s="62"/>
      <c r="G52" s="37"/>
      <c r="M52" s="138"/>
      <c r="N52" s="138"/>
      <c r="O52" s="138"/>
      <c r="P52" s="138"/>
      <c r="Q52" s="138"/>
      <c r="R52" s="138"/>
      <c r="S52" s="139"/>
      <c r="T52" s="139"/>
      <c r="U52" s="131"/>
    </row>
    <row r="53" spans="2:21" ht="13.9" customHeight="1" x14ac:dyDescent="0.25">
      <c r="B53" s="59" t="s">
        <v>143</v>
      </c>
      <c r="C53" s="92">
        <v>49076</v>
      </c>
      <c r="D53" s="62"/>
      <c r="E53" s="92">
        <v>-116</v>
      </c>
      <c r="G53" s="37">
        <f>+C53+E53</f>
        <v>48960</v>
      </c>
      <c r="H53" s="127" t="s">
        <v>281</v>
      </c>
      <c r="M53" s="138"/>
      <c r="N53" s="138"/>
      <c r="O53" s="138"/>
      <c r="P53" s="138"/>
      <c r="Q53" s="138"/>
      <c r="R53" s="138"/>
      <c r="S53" s="139"/>
      <c r="T53" s="139"/>
      <c r="U53" s="131"/>
    </row>
    <row r="54" spans="2:21" ht="15.75" x14ac:dyDescent="0.25">
      <c r="B54" s="59" t="s">
        <v>2457</v>
      </c>
      <c r="C54" s="92">
        <v>1181508</v>
      </c>
      <c r="D54" s="62"/>
      <c r="E54" s="92">
        <v>-64762</v>
      </c>
      <c r="F54" s="137"/>
      <c r="G54" s="37">
        <f>+C54+E54</f>
        <v>1116746</v>
      </c>
      <c r="H54" s="96"/>
      <c r="K54" s="62"/>
      <c r="L54" s="96"/>
      <c r="M54" s="138"/>
      <c r="N54" s="138"/>
      <c r="O54" s="138"/>
      <c r="P54" s="138"/>
      <c r="Q54" s="138"/>
      <c r="R54" s="138"/>
      <c r="S54" s="139"/>
      <c r="T54" s="139"/>
      <c r="U54" s="131"/>
    </row>
    <row r="55" spans="2:21" ht="15.75" x14ac:dyDescent="0.25">
      <c r="B55" s="59" t="s">
        <v>144</v>
      </c>
      <c r="C55" s="92">
        <v>86647</v>
      </c>
      <c r="D55" s="62"/>
      <c r="E55" s="92">
        <v>-5242</v>
      </c>
      <c r="G55" s="37">
        <f>+C55+E55</f>
        <v>81405</v>
      </c>
      <c r="H55" s="127" t="s">
        <v>281</v>
      </c>
      <c r="M55" s="138"/>
      <c r="N55" s="138"/>
      <c r="O55" s="138"/>
      <c r="P55" s="138"/>
      <c r="Q55" s="138"/>
      <c r="R55" s="138"/>
      <c r="S55" s="139"/>
      <c r="T55" s="139"/>
      <c r="U55" s="131"/>
    </row>
    <row r="56" spans="2:21" ht="15.75" x14ac:dyDescent="0.25">
      <c r="B56" s="62"/>
      <c r="C56" s="62"/>
      <c r="D56" s="62"/>
      <c r="E56" s="62"/>
      <c r="G56" s="37"/>
      <c r="H56" s="127"/>
      <c r="M56" s="138"/>
      <c r="N56" s="138"/>
      <c r="O56" s="138"/>
      <c r="P56" s="138"/>
      <c r="Q56" s="138"/>
      <c r="R56" s="138"/>
      <c r="S56" s="139"/>
      <c r="T56" s="139"/>
      <c r="U56" s="131"/>
    </row>
    <row r="57" spans="2:21" ht="15.75" x14ac:dyDescent="0.25">
      <c r="B57" s="59" t="s">
        <v>145</v>
      </c>
      <c r="C57" s="92">
        <v>28928</v>
      </c>
      <c r="D57" s="62"/>
      <c r="E57" s="92"/>
      <c r="G57" s="37">
        <f>+C57+E57</f>
        <v>28928</v>
      </c>
      <c r="H57" s="127" t="str">
        <f>IF(ROUNDDOWN(C57,0)=ROUNDUP('Note 3a'!L21+'Note 3a'!L22+'Note 3a'!L28+'Note 3b &amp; 3c'!K25+'Note 3b &amp; 3c'!K26+'Note 3b &amp; 3c'!K27,0),"OK","ERROR")</f>
        <v>OK</v>
      </c>
      <c r="M57" s="138"/>
      <c r="N57" s="138"/>
      <c r="O57" s="138"/>
      <c r="P57" s="138"/>
      <c r="Q57" s="138"/>
      <c r="R57" s="138"/>
      <c r="S57" s="139"/>
      <c r="T57" s="139"/>
      <c r="U57" s="131"/>
    </row>
    <row r="58" spans="2:21" ht="15.75" x14ac:dyDescent="0.25">
      <c r="B58" s="62"/>
      <c r="C58" s="62"/>
      <c r="D58" s="62"/>
      <c r="M58" s="138"/>
      <c r="N58" s="138"/>
      <c r="O58" s="138"/>
      <c r="P58" s="138"/>
      <c r="Q58" s="138"/>
      <c r="R58" s="138"/>
      <c r="S58" s="139"/>
      <c r="T58" s="139"/>
      <c r="U58" s="131"/>
    </row>
    <row r="59" spans="2:21" ht="15.75" x14ac:dyDescent="0.25">
      <c r="B59" s="62" t="s">
        <v>146</v>
      </c>
      <c r="C59" s="37">
        <f>SUM(C40:C50)+C53+C54+C55+C57</f>
        <v>8983344</v>
      </c>
      <c r="D59" s="62"/>
      <c r="E59" s="37">
        <f>SUM(E40:E50)+E53+E54+E55+E57</f>
        <v>-71430</v>
      </c>
      <c r="G59" s="37">
        <f>+C59+E59</f>
        <v>8911914</v>
      </c>
      <c r="H59" s="127" t="str">
        <f>IF(G59=(SUM(G40:G57)),"OK","ERROR")</f>
        <v>OK</v>
      </c>
      <c r="M59" s="138"/>
      <c r="N59" s="138"/>
      <c r="O59" s="138"/>
      <c r="P59" s="138"/>
      <c r="Q59" s="138"/>
      <c r="R59" s="138"/>
      <c r="S59" s="139"/>
      <c r="T59" s="139"/>
      <c r="U59" s="131"/>
    </row>
    <row r="60" spans="2:21" ht="15.75" x14ac:dyDescent="0.25">
      <c r="B60" s="62"/>
      <c r="C60" s="127" t="str">
        <f>IF(ROUND(C59,0)=ROUND((++'Note 3a'!J33+'Note 3b &amp; 3c'!K44),0),"OK","ERROR")</f>
        <v>OK</v>
      </c>
      <c r="D60" s="62"/>
      <c r="E60" s="127" t="str">
        <f>IF(E59=-'Note 4'!G30,"OK","ERROR")</f>
        <v>OK</v>
      </c>
      <c r="G60" s="127" t="str">
        <f>IF(ROUNDUP(G59,0)=ROUND(SCNE!K49,0),"OK","ERROR")</f>
        <v>OK</v>
      </c>
      <c r="I60" s="127"/>
      <c r="M60" s="138"/>
      <c r="N60" s="138"/>
      <c r="O60" s="138"/>
      <c r="P60" s="138"/>
      <c r="Q60" s="138"/>
      <c r="R60" s="138"/>
      <c r="S60" s="139"/>
      <c r="T60" s="139"/>
      <c r="U60" s="131"/>
    </row>
    <row r="61" spans="2:21" ht="13.35" customHeight="1" x14ac:dyDescent="0.25">
      <c r="B61" s="62" t="s">
        <v>562</v>
      </c>
      <c r="C61" s="37"/>
      <c r="D61" s="62"/>
      <c r="E61" s="138"/>
      <c r="F61" s="138"/>
      <c r="G61" s="138"/>
      <c r="H61" s="138"/>
      <c r="I61" s="138"/>
      <c r="J61" s="138"/>
      <c r="K61" s="139"/>
      <c r="L61" s="139"/>
      <c r="M61" s="138"/>
      <c r="N61" s="138"/>
      <c r="O61" s="138"/>
      <c r="P61" s="138"/>
      <c r="Q61" s="138"/>
      <c r="R61" s="138"/>
      <c r="S61" s="139"/>
      <c r="T61" s="139"/>
      <c r="U61" s="131"/>
    </row>
    <row r="62" spans="2:21" ht="15.75" x14ac:dyDescent="0.25">
      <c r="B62" s="62"/>
      <c r="C62" s="62"/>
      <c r="D62" s="62"/>
      <c r="E62" s="138"/>
      <c r="F62" s="138"/>
      <c r="G62" s="138"/>
      <c r="H62" s="138"/>
      <c r="I62" s="138"/>
      <c r="J62" s="138"/>
      <c r="K62" s="139"/>
      <c r="L62" s="139"/>
      <c r="M62" s="138"/>
      <c r="N62" s="138"/>
      <c r="O62" s="138"/>
      <c r="P62" s="138"/>
      <c r="Q62" s="138"/>
      <c r="R62" s="138"/>
      <c r="S62" s="139"/>
      <c r="T62" s="139"/>
      <c r="U62" s="131"/>
    </row>
    <row r="63" spans="2:21" ht="13.35" customHeight="1" x14ac:dyDescent="0.25">
      <c r="B63" s="62" t="s">
        <v>563</v>
      </c>
      <c r="C63" s="139"/>
      <c r="D63" s="139"/>
      <c r="E63" s="139"/>
      <c r="F63" s="139"/>
      <c r="G63" s="139"/>
      <c r="U63" s="131"/>
    </row>
    <row r="64" spans="2:21" x14ac:dyDescent="0.2">
      <c r="B64" s="62" t="s">
        <v>564</v>
      </c>
      <c r="U64" s="131"/>
    </row>
    <row r="65" spans="2:21" ht="13.9" customHeight="1" x14ac:dyDescent="0.2">
      <c r="B65" s="61" t="s">
        <v>565</v>
      </c>
      <c r="U65" s="131"/>
    </row>
    <row r="66" spans="2:21" ht="15.75" customHeight="1" x14ac:dyDescent="0.2">
      <c r="B66" s="141" t="s">
        <v>566</v>
      </c>
      <c r="U66" s="131"/>
    </row>
    <row r="67" spans="2:21" x14ac:dyDescent="0.2">
      <c r="B67" s="59" t="s">
        <v>567</v>
      </c>
      <c r="U67" s="131"/>
    </row>
    <row r="68" spans="2:21" x14ac:dyDescent="0.2">
      <c r="B68" s="61" t="s">
        <v>568</v>
      </c>
      <c r="U68" s="131"/>
    </row>
    <row r="69" spans="2:21" x14ac:dyDescent="0.2">
      <c r="B69" s="141" t="s">
        <v>569</v>
      </c>
      <c r="C69" s="141"/>
      <c r="U69" s="131"/>
    </row>
    <row r="70" spans="2:21" x14ac:dyDescent="0.2">
      <c r="B70" s="61" t="s">
        <v>570</v>
      </c>
      <c r="C70" s="141"/>
      <c r="U70" s="131"/>
    </row>
    <row r="71" spans="2:21" x14ac:dyDescent="0.2">
      <c r="B71" s="59" t="s">
        <v>571</v>
      </c>
      <c r="C71" s="141"/>
      <c r="U71" s="131"/>
    </row>
    <row r="72" spans="2:21" x14ac:dyDescent="0.2">
      <c r="B72" s="61" t="s">
        <v>572</v>
      </c>
      <c r="C72" s="141"/>
      <c r="U72" s="131"/>
    </row>
    <row r="73" spans="2:21" ht="26.25" customHeight="1" x14ac:dyDescent="0.2">
      <c r="B73" s="2105" t="s">
        <v>573</v>
      </c>
      <c r="C73" s="2105"/>
      <c r="D73" s="2105"/>
      <c r="E73" s="2105"/>
      <c r="F73" s="2105"/>
      <c r="G73" s="2105"/>
      <c r="H73" s="2105"/>
      <c r="U73" s="131"/>
    </row>
    <row r="74" spans="2:21" x14ac:dyDescent="0.2">
      <c r="B74" s="61" t="s">
        <v>574</v>
      </c>
      <c r="C74" s="141"/>
      <c r="U74" s="131"/>
    </row>
    <row r="75" spans="2:21" x14ac:dyDescent="0.2">
      <c r="B75" s="59" t="s">
        <v>575</v>
      </c>
      <c r="C75" s="141"/>
      <c r="U75" s="131"/>
    </row>
    <row r="76" spans="2:21" x14ac:dyDescent="0.2">
      <c r="B76" s="61" t="s">
        <v>576</v>
      </c>
      <c r="C76" s="141"/>
      <c r="U76" s="131"/>
    </row>
    <row r="77" spans="2:21" ht="30" customHeight="1" x14ac:dyDescent="0.2">
      <c r="B77" s="2105" t="s">
        <v>577</v>
      </c>
      <c r="C77" s="2105"/>
      <c r="D77" s="2105"/>
      <c r="E77" s="2105"/>
      <c r="F77" s="2105"/>
      <c r="G77" s="2105"/>
      <c r="U77" s="131"/>
    </row>
    <row r="78" spans="2:21" x14ac:dyDescent="0.2">
      <c r="B78" s="61" t="s">
        <v>578</v>
      </c>
      <c r="C78" s="141"/>
      <c r="U78" s="131"/>
    </row>
    <row r="79" spans="2:21" x14ac:dyDescent="0.2">
      <c r="B79" s="59" t="s">
        <v>579</v>
      </c>
      <c r="C79" s="141"/>
      <c r="U79" s="131"/>
    </row>
    <row r="80" spans="2:21" x14ac:dyDescent="0.2">
      <c r="B80" s="61" t="s">
        <v>580</v>
      </c>
      <c r="C80" s="141"/>
      <c r="U80" s="131"/>
    </row>
    <row r="81" spans="2:21" ht="30.75" customHeight="1" x14ac:dyDescent="0.2">
      <c r="B81" s="2105" t="s">
        <v>581</v>
      </c>
      <c r="C81" s="2105"/>
      <c r="D81" s="2105"/>
      <c r="E81" s="2105"/>
      <c r="F81" s="2105"/>
      <c r="G81" s="2105"/>
      <c r="H81" s="2105"/>
      <c r="U81" s="131"/>
    </row>
    <row r="82" spans="2:21" x14ac:dyDescent="0.2">
      <c r="B82" s="61" t="s">
        <v>2447</v>
      </c>
      <c r="C82" s="141"/>
      <c r="U82" s="131"/>
    </row>
    <row r="83" spans="2:21" ht="26.25" customHeight="1" x14ac:dyDescent="0.2">
      <c r="B83" s="2105" t="s">
        <v>582</v>
      </c>
      <c r="C83" s="2105"/>
      <c r="D83" s="2105"/>
      <c r="E83" s="2105"/>
      <c r="F83" s="2105"/>
      <c r="G83" s="2105"/>
      <c r="H83" s="2105"/>
      <c r="U83" s="131"/>
    </row>
    <row r="84" spans="2:21" x14ac:dyDescent="0.2">
      <c r="B84" s="61" t="s">
        <v>583</v>
      </c>
      <c r="U84" s="131"/>
    </row>
    <row r="85" spans="2:21" x14ac:dyDescent="0.2">
      <c r="B85" s="59" t="s">
        <v>584</v>
      </c>
      <c r="U85" s="131"/>
    </row>
    <row r="86" spans="2:21" x14ac:dyDescent="0.2">
      <c r="B86" s="61" t="s">
        <v>585</v>
      </c>
      <c r="U86" s="131"/>
    </row>
    <row r="87" spans="2:21" ht="29.25" customHeight="1" x14ac:dyDescent="0.2">
      <c r="B87" s="2105" t="s">
        <v>2460</v>
      </c>
      <c r="C87" s="2105"/>
      <c r="D87" s="2105"/>
      <c r="E87" s="2105"/>
      <c r="F87" s="2105"/>
      <c r="G87" s="2105"/>
      <c r="H87" s="2105"/>
      <c r="U87" s="131"/>
    </row>
    <row r="88" spans="2:21" x14ac:dyDescent="0.2">
      <c r="B88" s="59" t="s">
        <v>586</v>
      </c>
      <c r="C88" s="96"/>
      <c r="D88" s="96"/>
      <c r="E88" s="96"/>
      <c r="F88" s="96"/>
      <c r="G88" s="96"/>
      <c r="U88" s="131"/>
    </row>
    <row r="89" spans="2:21" x14ac:dyDescent="0.2">
      <c r="B89" s="59" t="s">
        <v>587</v>
      </c>
      <c r="U89" s="131"/>
    </row>
    <row r="90" spans="2:21" x14ac:dyDescent="0.2">
      <c r="U90" s="131"/>
    </row>
  </sheetData>
  <mergeCells count="7">
    <mergeCell ref="B87:H87"/>
    <mergeCell ref="C12:G12"/>
    <mergeCell ref="C37:G37"/>
    <mergeCell ref="B73:H73"/>
    <mergeCell ref="B77:G77"/>
    <mergeCell ref="B81:H81"/>
    <mergeCell ref="B83:H83"/>
  </mergeCells>
  <pageMargins left="0.35433070866141736" right="0.47244094488188981" top="0.19685039370078741" bottom="0.19685039370078741" header="0.31496062992125984" footer="0.31496062992125984"/>
  <pageSetup paperSize="9" scale="67" orientation="landscape" r:id="rId1"/>
  <rowBreaks count="2" manualBreakCount="2">
    <brk id="60" max="16383" man="1"/>
    <brk id="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00B0F0"/>
    <pageSetUpPr fitToPage="1"/>
  </sheetPr>
  <dimension ref="A1:J47"/>
  <sheetViews>
    <sheetView zoomScale="90" zoomScaleNormal="90" workbookViewId="0">
      <selection activeCell="G5" sqref="G4:G5"/>
    </sheetView>
  </sheetViews>
  <sheetFormatPr defaultRowHeight="12.75" x14ac:dyDescent="0.2"/>
  <cols>
    <col min="1" max="1" width="4.7109375" style="59" bestFit="1" customWidth="1"/>
    <col min="2" max="2" width="50.7109375" style="59" customWidth="1"/>
    <col min="3" max="3" width="13.42578125" style="59" bestFit="1" customWidth="1"/>
    <col min="4" max="4" width="2.28515625" style="59" customWidth="1"/>
    <col min="5" max="5" width="15.5703125" style="59" bestFit="1" customWidth="1"/>
    <col min="6" max="6" width="2.28515625" style="59" customWidth="1"/>
    <col min="7" max="7" width="17.85546875" style="59" customWidth="1"/>
    <col min="8" max="8" width="9.140625" style="59"/>
    <col min="9" max="9" width="10.5703125" style="59" bestFit="1" customWidth="1"/>
    <col min="10" max="10" width="13" style="59" bestFit="1" customWidth="1"/>
    <col min="11" max="256" width="9.140625" style="59"/>
    <col min="257" max="257" width="4.7109375" style="59" bestFit="1" customWidth="1"/>
    <col min="258" max="258" width="50.7109375" style="59" customWidth="1"/>
    <col min="259" max="259" width="13.42578125" style="59" bestFit="1" customWidth="1"/>
    <col min="260" max="260" width="2.28515625" style="59" customWidth="1"/>
    <col min="261" max="261" width="15.5703125" style="59" bestFit="1" customWidth="1"/>
    <col min="262" max="262" width="2.28515625" style="59" customWidth="1"/>
    <col min="263" max="263" width="17.85546875" style="59" customWidth="1"/>
    <col min="264" max="264" width="9.140625" style="59"/>
    <col min="265" max="265" width="10.5703125" style="59" bestFit="1" customWidth="1"/>
    <col min="266" max="266" width="13" style="59" bestFit="1" customWidth="1"/>
    <col min="267" max="512" width="9.140625" style="59"/>
    <col min="513" max="513" width="4.7109375" style="59" bestFit="1" customWidth="1"/>
    <col min="514" max="514" width="50.7109375" style="59" customWidth="1"/>
    <col min="515" max="515" width="13.42578125" style="59" bestFit="1" customWidth="1"/>
    <col min="516" max="516" width="2.28515625" style="59" customWidth="1"/>
    <col min="517" max="517" width="15.5703125" style="59" bestFit="1" customWidth="1"/>
    <col min="518" max="518" width="2.28515625" style="59" customWidth="1"/>
    <col min="519" max="519" width="17.85546875" style="59" customWidth="1"/>
    <col min="520" max="520" width="9.140625" style="59"/>
    <col min="521" max="521" width="10.5703125" style="59" bestFit="1" customWidth="1"/>
    <col min="522" max="522" width="13" style="59" bestFit="1" customWidth="1"/>
    <col min="523" max="768" width="9.140625" style="59"/>
    <col min="769" max="769" width="4.7109375" style="59" bestFit="1" customWidth="1"/>
    <col min="770" max="770" width="50.7109375" style="59" customWidth="1"/>
    <col min="771" max="771" width="13.42578125" style="59" bestFit="1" customWidth="1"/>
    <col min="772" max="772" width="2.28515625" style="59" customWidth="1"/>
    <col min="773" max="773" width="15.5703125" style="59" bestFit="1" customWidth="1"/>
    <col min="774" max="774" width="2.28515625" style="59" customWidth="1"/>
    <col min="775" max="775" width="17.85546875" style="59" customWidth="1"/>
    <col min="776" max="776" width="9.140625" style="59"/>
    <col min="777" max="777" width="10.5703125" style="59" bestFit="1" customWidth="1"/>
    <col min="778" max="778" width="13" style="59" bestFit="1" customWidth="1"/>
    <col min="779" max="1024" width="9.140625" style="59"/>
    <col min="1025" max="1025" width="4.7109375" style="59" bestFit="1" customWidth="1"/>
    <col min="1026" max="1026" width="50.7109375" style="59" customWidth="1"/>
    <col min="1027" max="1027" width="13.42578125" style="59" bestFit="1" customWidth="1"/>
    <col min="1028" max="1028" width="2.28515625" style="59" customWidth="1"/>
    <col min="1029" max="1029" width="15.5703125" style="59" bestFit="1" customWidth="1"/>
    <col min="1030" max="1030" width="2.28515625" style="59" customWidth="1"/>
    <col min="1031" max="1031" width="17.85546875" style="59" customWidth="1"/>
    <col min="1032" max="1032" width="9.140625" style="59"/>
    <col min="1033" max="1033" width="10.5703125" style="59" bestFit="1" customWidth="1"/>
    <col min="1034" max="1034" width="13" style="59" bestFit="1" customWidth="1"/>
    <col min="1035" max="1280" width="9.140625" style="59"/>
    <col min="1281" max="1281" width="4.7109375" style="59" bestFit="1" customWidth="1"/>
    <col min="1282" max="1282" width="50.7109375" style="59" customWidth="1"/>
    <col min="1283" max="1283" width="13.42578125" style="59" bestFit="1" customWidth="1"/>
    <col min="1284" max="1284" width="2.28515625" style="59" customWidth="1"/>
    <col min="1285" max="1285" width="15.5703125" style="59" bestFit="1" customWidth="1"/>
    <col min="1286" max="1286" width="2.28515625" style="59" customWidth="1"/>
    <col min="1287" max="1287" width="17.85546875" style="59" customWidth="1"/>
    <col min="1288" max="1288" width="9.140625" style="59"/>
    <col min="1289" max="1289" width="10.5703125" style="59" bestFit="1" customWidth="1"/>
    <col min="1290" max="1290" width="13" style="59" bestFit="1" customWidth="1"/>
    <col min="1291" max="1536" width="9.140625" style="59"/>
    <col min="1537" max="1537" width="4.7109375" style="59" bestFit="1" customWidth="1"/>
    <col min="1538" max="1538" width="50.7109375" style="59" customWidth="1"/>
    <col min="1539" max="1539" width="13.42578125" style="59" bestFit="1" customWidth="1"/>
    <col min="1540" max="1540" width="2.28515625" style="59" customWidth="1"/>
    <col min="1541" max="1541" width="15.5703125" style="59" bestFit="1" customWidth="1"/>
    <col min="1542" max="1542" width="2.28515625" style="59" customWidth="1"/>
    <col min="1543" max="1543" width="17.85546875" style="59" customWidth="1"/>
    <col min="1544" max="1544" width="9.140625" style="59"/>
    <col min="1545" max="1545" width="10.5703125" style="59" bestFit="1" customWidth="1"/>
    <col min="1546" max="1546" width="13" style="59" bestFit="1" customWidth="1"/>
    <col min="1547" max="1792" width="9.140625" style="59"/>
    <col min="1793" max="1793" width="4.7109375" style="59" bestFit="1" customWidth="1"/>
    <col min="1794" max="1794" width="50.7109375" style="59" customWidth="1"/>
    <col min="1795" max="1795" width="13.42578125" style="59" bestFit="1" customWidth="1"/>
    <col min="1796" max="1796" width="2.28515625" style="59" customWidth="1"/>
    <col min="1797" max="1797" width="15.5703125" style="59" bestFit="1" customWidth="1"/>
    <col min="1798" max="1798" width="2.28515625" style="59" customWidth="1"/>
    <col min="1799" max="1799" width="17.85546875" style="59" customWidth="1"/>
    <col min="1800" max="1800" width="9.140625" style="59"/>
    <col min="1801" max="1801" width="10.5703125" style="59" bestFit="1" customWidth="1"/>
    <col min="1802" max="1802" width="13" style="59" bestFit="1" customWidth="1"/>
    <col min="1803" max="2048" width="9.140625" style="59"/>
    <col min="2049" max="2049" width="4.7109375" style="59" bestFit="1" customWidth="1"/>
    <col min="2050" max="2050" width="50.7109375" style="59" customWidth="1"/>
    <col min="2051" max="2051" width="13.42578125" style="59" bestFit="1" customWidth="1"/>
    <col min="2052" max="2052" width="2.28515625" style="59" customWidth="1"/>
    <col min="2053" max="2053" width="15.5703125" style="59" bestFit="1" customWidth="1"/>
    <col min="2054" max="2054" width="2.28515625" style="59" customWidth="1"/>
    <col min="2055" max="2055" width="17.85546875" style="59" customWidth="1"/>
    <col min="2056" max="2056" width="9.140625" style="59"/>
    <col min="2057" max="2057" width="10.5703125" style="59" bestFit="1" customWidth="1"/>
    <col min="2058" max="2058" width="13" style="59" bestFit="1" customWidth="1"/>
    <col min="2059" max="2304" width="9.140625" style="59"/>
    <col min="2305" max="2305" width="4.7109375" style="59" bestFit="1" customWidth="1"/>
    <col min="2306" max="2306" width="50.7109375" style="59" customWidth="1"/>
    <col min="2307" max="2307" width="13.42578125" style="59" bestFit="1" customWidth="1"/>
    <col min="2308" max="2308" width="2.28515625" style="59" customWidth="1"/>
    <col min="2309" max="2309" width="15.5703125" style="59" bestFit="1" customWidth="1"/>
    <col min="2310" max="2310" width="2.28515625" style="59" customWidth="1"/>
    <col min="2311" max="2311" width="17.85546875" style="59" customWidth="1"/>
    <col min="2312" max="2312" width="9.140625" style="59"/>
    <col min="2313" max="2313" width="10.5703125" style="59" bestFit="1" customWidth="1"/>
    <col min="2314" max="2314" width="13" style="59" bestFit="1" customWidth="1"/>
    <col min="2315" max="2560" width="9.140625" style="59"/>
    <col min="2561" max="2561" width="4.7109375" style="59" bestFit="1" customWidth="1"/>
    <col min="2562" max="2562" width="50.7109375" style="59" customWidth="1"/>
    <col min="2563" max="2563" width="13.42578125" style="59" bestFit="1" customWidth="1"/>
    <col min="2564" max="2564" width="2.28515625" style="59" customWidth="1"/>
    <col min="2565" max="2565" width="15.5703125" style="59" bestFit="1" customWidth="1"/>
    <col min="2566" max="2566" width="2.28515625" style="59" customWidth="1"/>
    <col min="2567" max="2567" width="17.85546875" style="59" customWidth="1"/>
    <col min="2568" max="2568" width="9.140625" style="59"/>
    <col min="2569" max="2569" width="10.5703125" style="59" bestFit="1" customWidth="1"/>
    <col min="2570" max="2570" width="13" style="59" bestFit="1" customWidth="1"/>
    <col min="2571" max="2816" width="9.140625" style="59"/>
    <col min="2817" max="2817" width="4.7109375" style="59" bestFit="1" customWidth="1"/>
    <col min="2818" max="2818" width="50.7109375" style="59" customWidth="1"/>
    <col min="2819" max="2819" width="13.42578125" style="59" bestFit="1" customWidth="1"/>
    <col min="2820" max="2820" width="2.28515625" style="59" customWidth="1"/>
    <col min="2821" max="2821" width="15.5703125" style="59" bestFit="1" customWidth="1"/>
    <col min="2822" max="2822" width="2.28515625" style="59" customWidth="1"/>
    <col min="2823" max="2823" width="17.85546875" style="59" customWidth="1"/>
    <col min="2824" max="2824" width="9.140625" style="59"/>
    <col min="2825" max="2825" width="10.5703125" style="59" bestFit="1" customWidth="1"/>
    <col min="2826" max="2826" width="13" style="59" bestFit="1" customWidth="1"/>
    <col min="2827" max="3072" width="9.140625" style="59"/>
    <col min="3073" max="3073" width="4.7109375" style="59" bestFit="1" customWidth="1"/>
    <col min="3074" max="3074" width="50.7109375" style="59" customWidth="1"/>
    <col min="3075" max="3075" width="13.42578125" style="59" bestFit="1" customWidth="1"/>
    <col min="3076" max="3076" width="2.28515625" style="59" customWidth="1"/>
    <col min="3077" max="3077" width="15.5703125" style="59" bestFit="1" customWidth="1"/>
    <col min="3078" max="3078" width="2.28515625" style="59" customWidth="1"/>
    <col min="3079" max="3079" width="17.85546875" style="59" customWidth="1"/>
    <col min="3080" max="3080" width="9.140625" style="59"/>
    <col min="3081" max="3081" width="10.5703125" style="59" bestFit="1" customWidth="1"/>
    <col min="3082" max="3082" width="13" style="59" bestFit="1" customWidth="1"/>
    <col min="3083" max="3328" width="9.140625" style="59"/>
    <col min="3329" max="3329" width="4.7109375" style="59" bestFit="1" customWidth="1"/>
    <col min="3330" max="3330" width="50.7109375" style="59" customWidth="1"/>
    <col min="3331" max="3331" width="13.42578125" style="59" bestFit="1" customWidth="1"/>
    <col min="3332" max="3332" width="2.28515625" style="59" customWidth="1"/>
    <col min="3333" max="3333" width="15.5703125" style="59" bestFit="1" customWidth="1"/>
    <col min="3334" max="3334" width="2.28515625" style="59" customWidth="1"/>
    <col min="3335" max="3335" width="17.85546875" style="59" customWidth="1"/>
    <col min="3336" max="3336" width="9.140625" style="59"/>
    <col min="3337" max="3337" width="10.5703125" style="59" bestFit="1" customWidth="1"/>
    <col min="3338" max="3338" width="13" style="59" bestFit="1" customWidth="1"/>
    <col min="3339" max="3584" width="9.140625" style="59"/>
    <col min="3585" max="3585" width="4.7109375" style="59" bestFit="1" customWidth="1"/>
    <col min="3586" max="3586" width="50.7109375" style="59" customWidth="1"/>
    <col min="3587" max="3587" width="13.42578125" style="59" bestFit="1" customWidth="1"/>
    <col min="3588" max="3588" width="2.28515625" style="59" customWidth="1"/>
    <col min="3589" max="3589" width="15.5703125" style="59" bestFit="1" customWidth="1"/>
    <col min="3590" max="3590" width="2.28515625" style="59" customWidth="1"/>
    <col min="3591" max="3591" width="17.85546875" style="59" customWidth="1"/>
    <col min="3592" max="3592" width="9.140625" style="59"/>
    <col min="3593" max="3593" width="10.5703125" style="59" bestFit="1" customWidth="1"/>
    <col min="3594" max="3594" width="13" style="59" bestFit="1" customWidth="1"/>
    <col min="3595" max="3840" width="9.140625" style="59"/>
    <col min="3841" max="3841" width="4.7109375" style="59" bestFit="1" customWidth="1"/>
    <col min="3842" max="3842" width="50.7109375" style="59" customWidth="1"/>
    <col min="3843" max="3843" width="13.42578125" style="59" bestFit="1" customWidth="1"/>
    <col min="3844" max="3844" width="2.28515625" style="59" customWidth="1"/>
    <col min="3845" max="3845" width="15.5703125" style="59" bestFit="1" customWidth="1"/>
    <col min="3846" max="3846" width="2.28515625" style="59" customWidth="1"/>
    <col min="3847" max="3847" width="17.85546875" style="59" customWidth="1"/>
    <col min="3848" max="3848" width="9.140625" style="59"/>
    <col min="3849" max="3849" width="10.5703125" style="59" bestFit="1" customWidth="1"/>
    <col min="3850" max="3850" width="13" style="59" bestFit="1" customWidth="1"/>
    <col min="3851" max="4096" width="9.140625" style="59"/>
    <col min="4097" max="4097" width="4.7109375" style="59" bestFit="1" customWidth="1"/>
    <col min="4098" max="4098" width="50.7109375" style="59" customWidth="1"/>
    <col min="4099" max="4099" width="13.42578125" style="59" bestFit="1" customWidth="1"/>
    <col min="4100" max="4100" width="2.28515625" style="59" customWidth="1"/>
    <col min="4101" max="4101" width="15.5703125" style="59" bestFit="1" customWidth="1"/>
    <col min="4102" max="4102" width="2.28515625" style="59" customWidth="1"/>
    <col min="4103" max="4103" width="17.85546875" style="59" customWidth="1"/>
    <col min="4104" max="4104" width="9.140625" style="59"/>
    <col min="4105" max="4105" width="10.5703125" style="59" bestFit="1" customWidth="1"/>
    <col min="4106" max="4106" width="13" style="59" bestFit="1" customWidth="1"/>
    <col min="4107" max="4352" width="9.140625" style="59"/>
    <col min="4353" max="4353" width="4.7109375" style="59" bestFit="1" customWidth="1"/>
    <col min="4354" max="4354" width="50.7109375" style="59" customWidth="1"/>
    <col min="4355" max="4355" width="13.42578125" style="59" bestFit="1" customWidth="1"/>
    <col min="4356" max="4356" width="2.28515625" style="59" customWidth="1"/>
    <col min="4357" max="4357" width="15.5703125" style="59" bestFit="1" customWidth="1"/>
    <col min="4358" max="4358" width="2.28515625" style="59" customWidth="1"/>
    <col min="4359" max="4359" width="17.85546875" style="59" customWidth="1"/>
    <col min="4360" max="4360" width="9.140625" style="59"/>
    <col min="4361" max="4361" width="10.5703125" style="59" bestFit="1" customWidth="1"/>
    <col min="4362" max="4362" width="13" style="59" bestFit="1" customWidth="1"/>
    <col min="4363" max="4608" width="9.140625" style="59"/>
    <col min="4609" max="4609" width="4.7109375" style="59" bestFit="1" customWidth="1"/>
    <col min="4610" max="4610" width="50.7109375" style="59" customWidth="1"/>
    <col min="4611" max="4611" width="13.42578125" style="59" bestFit="1" customWidth="1"/>
    <col min="4612" max="4612" width="2.28515625" style="59" customWidth="1"/>
    <col min="4613" max="4613" width="15.5703125" style="59" bestFit="1" customWidth="1"/>
    <col min="4614" max="4614" width="2.28515625" style="59" customWidth="1"/>
    <col min="4615" max="4615" width="17.85546875" style="59" customWidth="1"/>
    <col min="4616" max="4616" width="9.140625" style="59"/>
    <col min="4617" max="4617" width="10.5703125" style="59" bestFit="1" customWidth="1"/>
    <col min="4618" max="4618" width="13" style="59" bestFit="1" customWidth="1"/>
    <col min="4619" max="4864" width="9.140625" style="59"/>
    <col min="4865" max="4865" width="4.7109375" style="59" bestFit="1" customWidth="1"/>
    <col min="4866" max="4866" width="50.7109375" style="59" customWidth="1"/>
    <col min="4867" max="4867" width="13.42578125" style="59" bestFit="1" customWidth="1"/>
    <col min="4868" max="4868" width="2.28515625" style="59" customWidth="1"/>
    <col min="4869" max="4869" width="15.5703125" style="59" bestFit="1" customWidth="1"/>
    <col min="4870" max="4870" width="2.28515625" style="59" customWidth="1"/>
    <col min="4871" max="4871" width="17.85546875" style="59" customWidth="1"/>
    <col min="4872" max="4872" width="9.140625" style="59"/>
    <col min="4873" max="4873" width="10.5703125" style="59" bestFit="1" customWidth="1"/>
    <col min="4874" max="4874" width="13" style="59" bestFit="1" customWidth="1"/>
    <col min="4875" max="5120" width="9.140625" style="59"/>
    <col min="5121" max="5121" width="4.7109375" style="59" bestFit="1" customWidth="1"/>
    <col min="5122" max="5122" width="50.7109375" style="59" customWidth="1"/>
    <col min="5123" max="5123" width="13.42578125" style="59" bestFit="1" customWidth="1"/>
    <col min="5124" max="5124" width="2.28515625" style="59" customWidth="1"/>
    <col min="5125" max="5125" width="15.5703125" style="59" bestFit="1" customWidth="1"/>
    <col min="5126" max="5126" width="2.28515625" style="59" customWidth="1"/>
    <col min="5127" max="5127" width="17.85546875" style="59" customWidth="1"/>
    <col min="5128" max="5128" width="9.140625" style="59"/>
    <col min="5129" max="5129" width="10.5703125" style="59" bestFit="1" customWidth="1"/>
    <col min="5130" max="5130" width="13" style="59" bestFit="1" customWidth="1"/>
    <col min="5131" max="5376" width="9.140625" style="59"/>
    <col min="5377" max="5377" width="4.7109375" style="59" bestFit="1" customWidth="1"/>
    <col min="5378" max="5378" width="50.7109375" style="59" customWidth="1"/>
    <col min="5379" max="5379" width="13.42578125" style="59" bestFit="1" customWidth="1"/>
    <col min="5380" max="5380" width="2.28515625" style="59" customWidth="1"/>
    <col min="5381" max="5381" width="15.5703125" style="59" bestFit="1" customWidth="1"/>
    <col min="5382" max="5382" width="2.28515625" style="59" customWidth="1"/>
    <col min="5383" max="5383" width="17.85546875" style="59" customWidth="1"/>
    <col min="5384" max="5384" width="9.140625" style="59"/>
    <col min="5385" max="5385" width="10.5703125" style="59" bestFit="1" customWidth="1"/>
    <col min="5386" max="5386" width="13" style="59" bestFit="1" customWidth="1"/>
    <col min="5387" max="5632" width="9.140625" style="59"/>
    <col min="5633" max="5633" width="4.7109375" style="59" bestFit="1" customWidth="1"/>
    <col min="5634" max="5634" width="50.7109375" style="59" customWidth="1"/>
    <col min="5635" max="5635" width="13.42578125" style="59" bestFit="1" customWidth="1"/>
    <col min="5636" max="5636" width="2.28515625" style="59" customWidth="1"/>
    <col min="5637" max="5637" width="15.5703125" style="59" bestFit="1" customWidth="1"/>
    <col min="5638" max="5638" width="2.28515625" style="59" customWidth="1"/>
    <col min="5639" max="5639" width="17.85546875" style="59" customWidth="1"/>
    <col min="5640" max="5640" width="9.140625" style="59"/>
    <col min="5641" max="5641" width="10.5703125" style="59" bestFit="1" customWidth="1"/>
    <col min="5642" max="5642" width="13" style="59" bestFit="1" customWidth="1"/>
    <col min="5643" max="5888" width="9.140625" style="59"/>
    <col min="5889" max="5889" width="4.7109375" style="59" bestFit="1" customWidth="1"/>
    <col min="5890" max="5890" width="50.7109375" style="59" customWidth="1"/>
    <col min="5891" max="5891" width="13.42578125" style="59" bestFit="1" customWidth="1"/>
    <col min="5892" max="5892" width="2.28515625" style="59" customWidth="1"/>
    <col min="5893" max="5893" width="15.5703125" style="59" bestFit="1" customWidth="1"/>
    <col min="5894" max="5894" width="2.28515625" style="59" customWidth="1"/>
    <col min="5895" max="5895" width="17.85546875" style="59" customWidth="1"/>
    <col min="5896" max="5896" width="9.140625" style="59"/>
    <col min="5897" max="5897" width="10.5703125" style="59" bestFit="1" customWidth="1"/>
    <col min="5898" max="5898" width="13" style="59" bestFit="1" customWidth="1"/>
    <col min="5899" max="6144" width="9.140625" style="59"/>
    <col min="6145" max="6145" width="4.7109375" style="59" bestFit="1" customWidth="1"/>
    <col min="6146" max="6146" width="50.7109375" style="59" customWidth="1"/>
    <col min="6147" max="6147" width="13.42578125" style="59" bestFit="1" customWidth="1"/>
    <col min="6148" max="6148" width="2.28515625" style="59" customWidth="1"/>
    <col min="6149" max="6149" width="15.5703125" style="59" bestFit="1" customWidth="1"/>
    <col min="6150" max="6150" width="2.28515625" style="59" customWidth="1"/>
    <col min="6151" max="6151" width="17.85546875" style="59" customWidth="1"/>
    <col min="6152" max="6152" width="9.140625" style="59"/>
    <col min="6153" max="6153" width="10.5703125" style="59" bestFit="1" customWidth="1"/>
    <col min="6154" max="6154" width="13" style="59" bestFit="1" customWidth="1"/>
    <col min="6155" max="6400" width="9.140625" style="59"/>
    <col min="6401" max="6401" width="4.7109375" style="59" bestFit="1" customWidth="1"/>
    <col min="6402" max="6402" width="50.7109375" style="59" customWidth="1"/>
    <col min="6403" max="6403" width="13.42578125" style="59" bestFit="1" customWidth="1"/>
    <col min="6404" max="6404" width="2.28515625" style="59" customWidth="1"/>
    <col min="6405" max="6405" width="15.5703125" style="59" bestFit="1" customWidth="1"/>
    <col min="6406" max="6406" width="2.28515625" style="59" customWidth="1"/>
    <col min="6407" max="6407" width="17.85546875" style="59" customWidth="1"/>
    <col min="6408" max="6408" width="9.140625" style="59"/>
    <col min="6409" max="6409" width="10.5703125" style="59" bestFit="1" customWidth="1"/>
    <col min="6410" max="6410" width="13" style="59" bestFit="1" customWidth="1"/>
    <col min="6411" max="6656" width="9.140625" style="59"/>
    <col min="6657" max="6657" width="4.7109375" style="59" bestFit="1" customWidth="1"/>
    <col min="6658" max="6658" width="50.7109375" style="59" customWidth="1"/>
    <col min="6659" max="6659" width="13.42578125" style="59" bestFit="1" customWidth="1"/>
    <col min="6660" max="6660" width="2.28515625" style="59" customWidth="1"/>
    <col min="6661" max="6661" width="15.5703125" style="59" bestFit="1" customWidth="1"/>
    <col min="6662" max="6662" width="2.28515625" style="59" customWidth="1"/>
    <col min="6663" max="6663" width="17.85546875" style="59" customWidth="1"/>
    <col min="6664" max="6664" width="9.140625" style="59"/>
    <col min="6665" max="6665" width="10.5703125" style="59" bestFit="1" customWidth="1"/>
    <col min="6666" max="6666" width="13" style="59" bestFit="1" customWidth="1"/>
    <col min="6667" max="6912" width="9.140625" style="59"/>
    <col min="6913" max="6913" width="4.7109375" style="59" bestFit="1" customWidth="1"/>
    <col min="6914" max="6914" width="50.7109375" style="59" customWidth="1"/>
    <col min="6915" max="6915" width="13.42578125" style="59" bestFit="1" customWidth="1"/>
    <col min="6916" max="6916" width="2.28515625" style="59" customWidth="1"/>
    <col min="6917" max="6917" width="15.5703125" style="59" bestFit="1" customWidth="1"/>
    <col min="6918" max="6918" width="2.28515625" style="59" customWidth="1"/>
    <col min="6919" max="6919" width="17.85546875" style="59" customWidth="1"/>
    <col min="6920" max="6920" width="9.140625" style="59"/>
    <col min="6921" max="6921" width="10.5703125" style="59" bestFit="1" customWidth="1"/>
    <col min="6922" max="6922" width="13" style="59" bestFit="1" customWidth="1"/>
    <col min="6923" max="7168" width="9.140625" style="59"/>
    <col min="7169" max="7169" width="4.7109375" style="59" bestFit="1" customWidth="1"/>
    <col min="7170" max="7170" width="50.7109375" style="59" customWidth="1"/>
    <col min="7171" max="7171" width="13.42578125" style="59" bestFit="1" customWidth="1"/>
    <col min="7172" max="7172" width="2.28515625" style="59" customWidth="1"/>
    <col min="7173" max="7173" width="15.5703125" style="59" bestFit="1" customWidth="1"/>
    <col min="7174" max="7174" width="2.28515625" style="59" customWidth="1"/>
    <col min="7175" max="7175" width="17.85546875" style="59" customWidth="1"/>
    <col min="7176" max="7176" width="9.140625" style="59"/>
    <col min="7177" max="7177" width="10.5703125" style="59" bestFit="1" customWidth="1"/>
    <col min="7178" max="7178" width="13" style="59" bestFit="1" customWidth="1"/>
    <col min="7179" max="7424" width="9.140625" style="59"/>
    <col min="7425" max="7425" width="4.7109375" style="59" bestFit="1" customWidth="1"/>
    <col min="7426" max="7426" width="50.7109375" style="59" customWidth="1"/>
    <col min="7427" max="7427" width="13.42578125" style="59" bestFit="1" customWidth="1"/>
    <col min="7428" max="7428" width="2.28515625" style="59" customWidth="1"/>
    <col min="7429" max="7429" width="15.5703125" style="59" bestFit="1" customWidth="1"/>
    <col min="7430" max="7430" width="2.28515625" style="59" customWidth="1"/>
    <col min="7431" max="7431" width="17.85546875" style="59" customWidth="1"/>
    <col min="7432" max="7432" width="9.140625" style="59"/>
    <col min="7433" max="7433" width="10.5703125" style="59" bestFit="1" customWidth="1"/>
    <col min="7434" max="7434" width="13" style="59" bestFit="1" customWidth="1"/>
    <col min="7435" max="7680" width="9.140625" style="59"/>
    <col min="7681" max="7681" width="4.7109375" style="59" bestFit="1" customWidth="1"/>
    <col min="7682" max="7682" width="50.7109375" style="59" customWidth="1"/>
    <col min="7683" max="7683" width="13.42578125" style="59" bestFit="1" customWidth="1"/>
    <col min="7684" max="7684" width="2.28515625" style="59" customWidth="1"/>
    <col min="7685" max="7685" width="15.5703125" style="59" bestFit="1" customWidth="1"/>
    <col min="7686" max="7686" width="2.28515625" style="59" customWidth="1"/>
    <col min="7687" max="7687" width="17.85546875" style="59" customWidth="1"/>
    <col min="7688" max="7688" width="9.140625" style="59"/>
    <col min="7689" max="7689" width="10.5703125" style="59" bestFit="1" customWidth="1"/>
    <col min="7690" max="7690" width="13" style="59" bestFit="1" customWidth="1"/>
    <col min="7691" max="7936" width="9.140625" style="59"/>
    <col min="7937" max="7937" width="4.7109375" style="59" bestFit="1" customWidth="1"/>
    <col min="7938" max="7938" width="50.7109375" style="59" customWidth="1"/>
    <col min="7939" max="7939" width="13.42578125" style="59" bestFit="1" customWidth="1"/>
    <col min="7940" max="7940" width="2.28515625" style="59" customWidth="1"/>
    <col min="7941" max="7941" width="15.5703125" style="59" bestFit="1" customWidth="1"/>
    <col min="7942" max="7942" width="2.28515625" style="59" customWidth="1"/>
    <col min="7943" max="7943" width="17.85546875" style="59" customWidth="1"/>
    <col min="7944" max="7944" width="9.140625" style="59"/>
    <col min="7945" max="7945" width="10.5703125" style="59" bestFit="1" customWidth="1"/>
    <col min="7946" max="7946" width="13" style="59" bestFit="1" customWidth="1"/>
    <col min="7947" max="8192" width="9.140625" style="59"/>
    <col min="8193" max="8193" width="4.7109375" style="59" bestFit="1" customWidth="1"/>
    <col min="8194" max="8194" width="50.7109375" style="59" customWidth="1"/>
    <col min="8195" max="8195" width="13.42578125" style="59" bestFit="1" customWidth="1"/>
    <col min="8196" max="8196" width="2.28515625" style="59" customWidth="1"/>
    <col min="8197" max="8197" width="15.5703125" style="59" bestFit="1" customWidth="1"/>
    <col min="8198" max="8198" width="2.28515625" style="59" customWidth="1"/>
    <col min="8199" max="8199" width="17.85546875" style="59" customWidth="1"/>
    <col min="8200" max="8200" width="9.140625" style="59"/>
    <col min="8201" max="8201" width="10.5703125" style="59" bestFit="1" customWidth="1"/>
    <col min="8202" max="8202" width="13" style="59" bestFit="1" customWidth="1"/>
    <col min="8203" max="8448" width="9.140625" style="59"/>
    <col min="8449" max="8449" width="4.7109375" style="59" bestFit="1" customWidth="1"/>
    <col min="8450" max="8450" width="50.7109375" style="59" customWidth="1"/>
    <col min="8451" max="8451" width="13.42578125" style="59" bestFit="1" customWidth="1"/>
    <col min="8452" max="8452" width="2.28515625" style="59" customWidth="1"/>
    <col min="8453" max="8453" width="15.5703125" style="59" bestFit="1" customWidth="1"/>
    <col min="8454" max="8454" width="2.28515625" style="59" customWidth="1"/>
    <col min="8455" max="8455" width="17.85546875" style="59" customWidth="1"/>
    <col min="8456" max="8456" width="9.140625" style="59"/>
    <col min="8457" max="8457" width="10.5703125" style="59" bestFit="1" customWidth="1"/>
    <col min="8458" max="8458" width="13" style="59" bestFit="1" customWidth="1"/>
    <col min="8459" max="8704" width="9.140625" style="59"/>
    <col min="8705" max="8705" width="4.7109375" style="59" bestFit="1" customWidth="1"/>
    <col min="8706" max="8706" width="50.7109375" style="59" customWidth="1"/>
    <col min="8707" max="8707" width="13.42578125" style="59" bestFit="1" customWidth="1"/>
    <col min="8708" max="8708" width="2.28515625" style="59" customWidth="1"/>
    <col min="8709" max="8709" width="15.5703125" style="59" bestFit="1" customWidth="1"/>
    <col min="8710" max="8710" width="2.28515625" style="59" customWidth="1"/>
    <col min="8711" max="8711" width="17.85546875" style="59" customWidth="1"/>
    <col min="8712" max="8712" width="9.140625" style="59"/>
    <col min="8713" max="8713" width="10.5703125" style="59" bestFit="1" customWidth="1"/>
    <col min="8714" max="8714" width="13" style="59" bestFit="1" customWidth="1"/>
    <col min="8715" max="8960" width="9.140625" style="59"/>
    <col min="8961" max="8961" width="4.7109375" style="59" bestFit="1" customWidth="1"/>
    <col min="8962" max="8962" width="50.7109375" style="59" customWidth="1"/>
    <col min="8963" max="8963" width="13.42578125" style="59" bestFit="1" customWidth="1"/>
    <col min="8964" max="8964" width="2.28515625" style="59" customWidth="1"/>
    <col min="8965" max="8965" width="15.5703125" style="59" bestFit="1" customWidth="1"/>
    <col min="8966" max="8966" width="2.28515625" style="59" customWidth="1"/>
    <col min="8967" max="8967" width="17.85546875" style="59" customWidth="1"/>
    <col min="8968" max="8968" width="9.140625" style="59"/>
    <col min="8969" max="8969" width="10.5703125" style="59" bestFit="1" customWidth="1"/>
    <col min="8970" max="8970" width="13" style="59" bestFit="1" customWidth="1"/>
    <col min="8971" max="9216" width="9.140625" style="59"/>
    <col min="9217" max="9217" width="4.7109375" style="59" bestFit="1" customWidth="1"/>
    <col min="9218" max="9218" width="50.7109375" style="59" customWidth="1"/>
    <col min="9219" max="9219" width="13.42578125" style="59" bestFit="1" customWidth="1"/>
    <col min="9220" max="9220" width="2.28515625" style="59" customWidth="1"/>
    <col min="9221" max="9221" width="15.5703125" style="59" bestFit="1" customWidth="1"/>
    <col min="9222" max="9222" width="2.28515625" style="59" customWidth="1"/>
    <col min="9223" max="9223" width="17.85546875" style="59" customWidth="1"/>
    <col min="9224" max="9224" width="9.140625" style="59"/>
    <col min="9225" max="9225" width="10.5703125" style="59" bestFit="1" customWidth="1"/>
    <col min="9226" max="9226" width="13" style="59" bestFit="1" customWidth="1"/>
    <col min="9227" max="9472" width="9.140625" style="59"/>
    <col min="9473" max="9473" width="4.7109375" style="59" bestFit="1" customWidth="1"/>
    <col min="9474" max="9474" width="50.7109375" style="59" customWidth="1"/>
    <col min="9475" max="9475" width="13.42578125" style="59" bestFit="1" customWidth="1"/>
    <col min="9476" max="9476" width="2.28515625" style="59" customWidth="1"/>
    <col min="9477" max="9477" width="15.5703125" style="59" bestFit="1" customWidth="1"/>
    <col min="9478" max="9478" width="2.28515625" style="59" customWidth="1"/>
    <col min="9479" max="9479" width="17.85546875" style="59" customWidth="1"/>
    <col min="9480" max="9480" width="9.140625" style="59"/>
    <col min="9481" max="9481" width="10.5703125" style="59" bestFit="1" customWidth="1"/>
    <col min="9482" max="9482" width="13" style="59" bestFit="1" customWidth="1"/>
    <col min="9483" max="9728" width="9.140625" style="59"/>
    <col min="9729" max="9729" width="4.7109375" style="59" bestFit="1" customWidth="1"/>
    <col min="9730" max="9730" width="50.7109375" style="59" customWidth="1"/>
    <col min="9731" max="9731" width="13.42578125" style="59" bestFit="1" customWidth="1"/>
    <col min="9732" max="9732" width="2.28515625" style="59" customWidth="1"/>
    <col min="9733" max="9733" width="15.5703125" style="59" bestFit="1" customWidth="1"/>
    <col min="9734" max="9734" width="2.28515625" style="59" customWidth="1"/>
    <col min="9735" max="9735" width="17.85546875" style="59" customWidth="1"/>
    <col min="9736" max="9736" width="9.140625" style="59"/>
    <col min="9737" max="9737" width="10.5703125" style="59" bestFit="1" customWidth="1"/>
    <col min="9738" max="9738" width="13" style="59" bestFit="1" customWidth="1"/>
    <col min="9739" max="9984" width="9.140625" style="59"/>
    <col min="9985" max="9985" width="4.7109375" style="59" bestFit="1" customWidth="1"/>
    <col min="9986" max="9986" width="50.7109375" style="59" customWidth="1"/>
    <col min="9987" max="9987" width="13.42578125" style="59" bestFit="1" customWidth="1"/>
    <col min="9988" max="9988" width="2.28515625" style="59" customWidth="1"/>
    <col min="9989" max="9989" width="15.5703125" style="59" bestFit="1" customWidth="1"/>
    <col min="9990" max="9990" width="2.28515625" style="59" customWidth="1"/>
    <col min="9991" max="9991" width="17.85546875" style="59" customWidth="1"/>
    <col min="9992" max="9992" width="9.140625" style="59"/>
    <col min="9993" max="9993" width="10.5703125" style="59" bestFit="1" customWidth="1"/>
    <col min="9994" max="9994" width="13" style="59" bestFit="1" customWidth="1"/>
    <col min="9995" max="10240" width="9.140625" style="59"/>
    <col min="10241" max="10241" width="4.7109375" style="59" bestFit="1" customWidth="1"/>
    <col min="10242" max="10242" width="50.7109375" style="59" customWidth="1"/>
    <col min="10243" max="10243" width="13.42578125" style="59" bestFit="1" customWidth="1"/>
    <col min="10244" max="10244" width="2.28515625" style="59" customWidth="1"/>
    <col min="10245" max="10245" width="15.5703125" style="59" bestFit="1" customWidth="1"/>
    <col min="10246" max="10246" width="2.28515625" style="59" customWidth="1"/>
    <col min="10247" max="10247" width="17.85546875" style="59" customWidth="1"/>
    <col min="10248" max="10248" width="9.140625" style="59"/>
    <col min="10249" max="10249" width="10.5703125" style="59" bestFit="1" customWidth="1"/>
    <col min="10250" max="10250" width="13" style="59" bestFit="1" customWidth="1"/>
    <col min="10251" max="10496" width="9.140625" style="59"/>
    <col min="10497" max="10497" width="4.7109375" style="59" bestFit="1" customWidth="1"/>
    <col min="10498" max="10498" width="50.7109375" style="59" customWidth="1"/>
    <col min="10499" max="10499" width="13.42578125" style="59" bestFit="1" customWidth="1"/>
    <col min="10500" max="10500" width="2.28515625" style="59" customWidth="1"/>
    <col min="10501" max="10501" width="15.5703125" style="59" bestFit="1" customWidth="1"/>
    <col min="10502" max="10502" width="2.28515625" style="59" customWidth="1"/>
    <col min="10503" max="10503" width="17.85546875" style="59" customWidth="1"/>
    <col min="10504" max="10504" width="9.140625" style="59"/>
    <col min="10505" max="10505" width="10.5703125" style="59" bestFit="1" customWidth="1"/>
    <col min="10506" max="10506" width="13" style="59" bestFit="1" customWidth="1"/>
    <col min="10507" max="10752" width="9.140625" style="59"/>
    <col min="10753" max="10753" width="4.7109375" style="59" bestFit="1" customWidth="1"/>
    <col min="10754" max="10754" width="50.7109375" style="59" customWidth="1"/>
    <col min="10755" max="10755" width="13.42578125" style="59" bestFit="1" customWidth="1"/>
    <col min="10756" max="10756" width="2.28515625" style="59" customWidth="1"/>
    <col min="10757" max="10757" width="15.5703125" style="59" bestFit="1" customWidth="1"/>
    <col min="10758" max="10758" width="2.28515625" style="59" customWidth="1"/>
    <col min="10759" max="10759" width="17.85546875" style="59" customWidth="1"/>
    <col min="10760" max="10760" width="9.140625" style="59"/>
    <col min="10761" max="10761" width="10.5703125" style="59" bestFit="1" customWidth="1"/>
    <col min="10762" max="10762" width="13" style="59" bestFit="1" customWidth="1"/>
    <col min="10763" max="11008" width="9.140625" style="59"/>
    <col min="11009" max="11009" width="4.7109375" style="59" bestFit="1" customWidth="1"/>
    <col min="11010" max="11010" width="50.7109375" style="59" customWidth="1"/>
    <col min="11011" max="11011" width="13.42578125" style="59" bestFit="1" customWidth="1"/>
    <col min="11012" max="11012" width="2.28515625" style="59" customWidth="1"/>
    <col min="11013" max="11013" width="15.5703125" style="59" bestFit="1" customWidth="1"/>
    <col min="11014" max="11014" width="2.28515625" style="59" customWidth="1"/>
    <col min="11015" max="11015" width="17.85546875" style="59" customWidth="1"/>
    <col min="11016" max="11016" width="9.140625" style="59"/>
    <col min="11017" max="11017" width="10.5703125" style="59" bestFit="1" customWidth="1"/>
    <col min="11018" max="11018" width="13" style="59" bestFit="1" customWidth="1"/>
    <col min="11019" max="11264" width="9.140625" style="59"/>
    <col min="11265" max="11265" width="4.7109375" style="59" bestFit="1" customWidth="1"/>
    <col min="11266" max="11266" width="50.7109375" style="59" customWidth="1"/>
    <col min="11267" max="11267" width="13.42578125" style="59" bestFit="1" customWidth="1"/>
    <col min="11268" max="11268" width="2.28515625" style="59" customWidth="1"/>
    <col min="11269" max="11269" width="15.5703125" style="59" bestFit="1" customWidth="1"/>
    <col min="11270" max="11270" width="2.28515625" style="59" customWidth="1"/>
    <col min="11271" max="11271" width="17.85546875" style="59" customWidth="1"/>
    <col min="11272" max="11272" width="9.140625" style="59"/>
    <col min="11273" max="11273" width="10.5703125" style="59" bestFit="1" customWidth="1"/>
    <col min="11274" max="11274" width="13" style="59" bestFit="1" customWidth="1"/>
    <col min="11275" max="11520" width="9.140625" style="59"/>
    <col min="11521" max="11521" width="4.7109375" style="59" bestFit="1" customWidth="1"/>
    <col min="11522" max="11522" width="50.7109375" style="59" customWidth="1"/>
    <col min="11523" max="11523" width="13.42578125" style="59" bestFit="1" customWidth="1"/>
    <col min="11524" max="11524" width="2.28515625" style="59" customWidth="1"/>
    <col min="11525" max="11525" width="15.5703125" style="59" bestFit="1" customWidth="1"/>
    <col min="11526" max="11526" width="2.28515625" style="59" customWidth="1"/>
    <col min="11527" max="11527" width="17.85546875" style="59" customWidth="1"/>
    <col min="11528" max="11528" width="9.140625" style="59"/>
    <col min="11529" max="11529" width="10.5703125" style="59" bestFit="1" customWidth="1"/>
    <col min="11530" max="11530" width="13" style="59" bestFit="1" customWidth="1"/>
    <col min="11531" max="11776" width="9.140625" style="59"/>
    <col min="11777" max="11777" width="4.7109375" style="59" bestFit="1" customWidth="1"/>
    <col min="11778" max="11778" width="50.7109375" style="59" customWidth="1"/>
    <col min="11779" max="11779" width="13.42578125" style="59" bestFit="1" customWidth="1"/>
    <col min="11780" max="11780" width="2.28515625" style="59" customWidth="1"/>
    <col min="11781" max="11781" width="15.5703125" style="59" bestFit="1" customWidth="1"/>
    <col min="11782" max="11782" width="2.28515625" style="59" customWidth="1"/>
    <col min="11783" max="11783" width="17.85546875" style="59" customWidth="1"/>
    <col min="11784" max="11784" width="9.140625" style="59"/>
    <col min="11785" max="11785" width="10.5703125" style="59" bestFit="1" customWidth="1"/>
    <col min="11786" max="11786" width="13" style="59" bestFit="1" customWidth="1"/>
    <col min="11787" max="12032" width="9.140625" style="59"/>
    <col min="12033" max="12033" width="4.7109375" style="59" bestFit="1" customWidth="1"/>
    <col min="12034" max="12034" width="50.7109375" style="59" customWidth="1"/>
    <col min="12035" max="12035" width="13.42578125" style="59" bestFit="1" customWidth="1"/>
    <col min="12036" max="12036" width="2.28515625" style="59" customWidth="1"/>
    <col min="12037" max="12037" width="15.5703125" style="59" bestFit="1" customWidth="1"/>
    <col min="12038" max="12038" width="2.28515625" style="59" customWidth="1"/>
    <col min="12039" max="12039" width="17.85546875" style="59" customWidth="1"/>
    <col min="12040" max="12040" width="9.140625" style="59"/>
    <col min="12041" max="12041" width="10.5703125" style="59" bestFit="1" customWidth="1"/>
    <col min="12042" max="12042" width="13" style="59" bestFit="1" customWidth="1"/>
    <col min="12043" max="12288" width="9.140625" style="59"/>
    <col min="12289" max="12289" width="4.7109375" style="59" bestFit="1" customWidth="1"/>
    <col min="12290" max="12290" width="50.7109375" style="59" customWidth="1"/>
    <col min="12291" max="12291" width="13.42578125" style="59" bestFit="1" customWidth="1"/>
    <col min="12292" max="12292" width="2.28515625" style="59" customWidth="1"/>
    <col min="12293" max="12293" width="15.5703125" style="59" bestFit="1" customWidth="1"/>
    <col min="12294" max="12294" width="2.28515625" style="59" customWidth="1"/>
    <col min="12295" max="12295" width="17.85546875" style="59" customWidth="1"/>
    <col min="12296" max="12296" width="9.140625" style="59"/>
    <col min="12297" max="12297" width="10.5703125" style="59" bestFit="1" customWidth="1"/>
    <col min="12298" max="12298" width="13" style="59" bestFit="1" customWidth="1"/>
    <col min="12299" max="12544" width="9.140625" style="59"/>
    <col min="12545" max="12545" width="4.7109375" style="59" bestFit="1" customWidth="1"/>
    <col min="12546" max="12546" width="50.7109375" style="59" customWidth="1"/>
    <col min="12547" max="12547" width="13.42578125" style="59" bestFit="1" customWidth="1"/>
    <col min="12548" max="12548" width="2.28515625" style="59" customWidth="1"/>
    <col min="12549" max="12549" width="15.5703125" style="59" bestFit="1" customWidth="1"/>
    <col min="12550" max="12550" width="2.28515625" style="59" customWidth="1"/>
    <col min="12551" max="12551" width="17.85546875" style="59" customWidth="1"/>
    <col min="12552" max="12552" width="9.140625" style="59"/>
    <col min="12553" max="12553" width="10.5703125" style="59" bestFit="1" customWidth="1"/>
    <col min="12554" max="12554" width="13" style="59" bestFit="1" customWidth="1"/>
    <col min="12555" max="12800" width="9.140625" style="59"/>
    <col min="12801" max="12801" width="4.7109375" style="59" bestFit="1" customWidth="1"/>
    <col min="12802" max="12802" width="50.7109375" style="59" customWidth="1"/>
    <col min="12803" max="12803" width="13.42578125" style="59" bestFit="1" customWidth="1"/>
    <col min="12804" max="12804" width="2.28515625" style="59" customWidth="1"/>
    <col min="12805" max="12805" width="15.5703125" style="59" bestFit="1" customWidth="1"/>
    <col min="12806" max="12806" width="2.28515625" style="59" customWidth="1"/>
    <col min="12807" max="12807" width="17.85546875" style="59" customWidth="1"/>
    <col min="12808" max="12808" width="9.140625" style="59"/>
    <col min="12809" max="12809" width="10.5703125" style="59" bestFit="1" customWidth="1"/>
    <col min="12810" max="12810" width="13" style="59" bestFit="1" customWidth="1"/>
    <col min="12811" max="13056" width="9.140625" style="59"/>
    <col min="13057" max="13057" width="4.7109375" style="59" bestFit="1" customWidth="1"/>
    <col min="13058" max="13058" width="50.7109375" style="59" customWidth="1"/>
    <col min="13059" max="13059" width="13.42578125" style="59" bestFit="1" customWidth="1"/>
    <col min="13060" max="13060" width="2.28515625" style="59" customWidth="1"/>
    <col min="13061" max="13061" width="15.5703125" style="59" bestFit="1" customWidth="1"/>
    <col min="13062" max="13062" width="2.28515625" style="59" customWidth="1"/>
    <col min="13063" max="13063" width="17.85546875" style="59" customWidth="1"/>
    <col min="13064" max="13064" width="9.140625" style="59"/>
    <col min="13065" max="13065" width="10.5703125" style="59" bestFit="1" customWidth="1"/>
    <col min="13066" max="13066" width="13" style="59" bestFit="1" customWidth="1"/>
    <col min="13067" max="13312" width="9.140625" style="59"/>
    <col min="13313" max="13313" width="4.7109375" style="59" bestFit="1" customWidth="1"/>
    <col min="13314" max="13314" width="50.7109375" style="59" customWidth="1"/>
    <col min="13315" max="13315" width="13.42578125" style="59" bestFit="1" customWidth="1"/>
    <col min="13316" max="13316" width="2.28515625" style="59" customWidth="1"/>
    <col min="13317" max="13317" width="15.5703125" style="59" bestFit="1" customWidth="1"/>
    <col min="13318" max="13318" width="2.28515625" style="59" customWidth="1"/>
    <col min="13319" max="13319" width="17.85546875" style="59" customWidth="1"/>
    <col min="13320" max="13320" width="9.140625" style="59"/>
    <col min="13321" max="13321" width="10.5703125" style="59" bestFit="1" customWidth="1"/>
    <col min="13322" max="13322" width="13" style="59" bestFit="1" customWidth="1"/>
    <col min="13323" max="13568" width="9.140625" style="59"/>
    <col min="13569" max="13569" width="4.7109375" style="59" bestFit="1" customWidth="1"/>
    <col min="13570" max="13570" width="50.7109375" style="59" customWidth="1"/>
    <col min="13571" max="13571" width="13.42578125" style="59" bestFit="1" customWidth="1"/>
    <col min="13572" max="13572" width="2.28515625" style="59" customWidth="1"/>
    <col min="13573" max="13573" width="15.5703125" style="59" bestFit="1" customWidth="1"/>
    <col min="13574" max="13574" width="2.28515625" style="59" customWidth="1"/>
    <col min="13575" max="13575" width="17.85546875" style="59" customWidth="1"/>
    <col min="13576" max="13576" width="9.140625" style="59"/>
    <col min="13577" max="13577" width="10.5703125" style="59" bestFit="1" customWidth="1"/>
    <col min="13578" max="13578" width="13" style="59" bestFit="1" customWidth="1"/>
    <col min="13579" max="13824" width="9.140625" style="59"/>
    <col min="13825" max="13825" width="4.7109375" style="59" bestFit="1" customWidth="1"/>
    <col min="13826" max="13826" width="50.7109375" style="59" customWidth="1"/>
    <col min="13827" max="13827" width="13.42578125" style="59" bestFit="1" customWidth="1"/>
    <col min="13828" max="13828" width="2.28515625" style="59" customWidth="1"/>
    <col min="13829" max="13829" width="15.5703125" style="59" bestFit="1" customWidth="1"/>
    <col min="13830" max="13830" width="2.28515625" style="59" customWidth="1"/>
    <col min="13831" max="13831" width="17.85546875" style="59" customWidth="1"/>
    <col min="13832" max="13832" width="9.140625" style="59"/>
    <col min="13833" max="13833" width="10.5703125" style="59" bestFit="1" customWidth="1"/>
    <col min="13834" max="13834" width="13" style="59" bestFit="1" customWidth="1"/>
    <col min="13835" max="14080" width="9.140625" style="59"/>
    <col min="14081" max="14081" width="4.7109375" style="59" bestFit="1" customWidth="1"/>
    <col min="14082" max="14082" width="50.7109375" style="59" customWidth="1"/>
    <col min="14083" max="14083" width="13.42578125" style="59" bestFit="1" customWidth="1"/>
    <col min="14084" max="14084" width="2.28515625" style="59" customWidth="1"/>
    <col min="14085" max="14085" width="15.5703125" style="59" bestFit="1" customWidth="1"/>
    <col min="14086" max="14086" width="2.28515625" style="59" customWidth="1"/>
    <col min="14087" max="14087" width="17.85546875" style="59" customWidth="1"/>
    <col min="14088" max="14088" width="9.140625" style="59"/>
    <col min="14089" max="14089" width="10.5703125" style="59" bestFit="1" customWidth="1"/>
    <col min="14090" max="14090" width="13" style="59" bestFit="1" customWidth="1"/>
    <col min="14091" max="14336" width="9.140625" style="59"/>
    <col min="14337" max="14337" width="4.7109375" style="59" bestFit="1" customWidth="1"/>
    <col min="14338" max="14338" width="50.7109375" style="59" customWidth="1"/>
    <col min="14339" max="14339" width="13.42578125" style="59" bestFit="1" customWidth="1"/>
    <col min="14340" max="14340" width="2.28515625" style="59" customWidth="1"/>
    <col min="14341" max="14341" width="15.5703125" style="59" bestFit="1" customWidth="1"/>
    <col min="14342" max="14342" width="2.28515625" style="59" customWidth="1"/>
    <col min="14343" max="14343" width="17.85546875" style="59" customWidth="1"/>
    <col min="14344" max="14344" width="9.140625" style="59"/>
    <col min="14345" max="14345" width="10.5703125" style="59" bestFit="1" customWidth="1"/>
    <col min="14346" max="14346" width="13" style="59" bestFit="1" customWidth="1"/>
    <col min="14347" max="14592" width="9.140625" style="59"/>
    <col min="14593" max="14593" width="4.7109375" style="59" bestFit="1" customWidth="1"/>
    <col min="14594" max="14594" width="50.7109375" style="59" customWidth="1"/>
    <col min="14595" max="14595" width="13.42578125" style="59" bestFit="1" customWidth="1"/>
    <col min="14596" max="14596" width="2.28515625" style="59" customWidth="1"/>
    <col min="14597" max="14597" width="15.5703125" style="59" bestFit="1" customWidth="1"/>
    <col min="14598" max="14598" width="2.28515625" style="59" customWidth="1"/>
    <col min="14599" max="14599" width="17.85546875" style="59" customWidth="1"/>
    <col min="14600" max="14600" width="9.140625" style="59"/>
    <col min="14601" max="14601" width="10.5703125" style="59" bestFit="1" customWidth="1"/>
    <col min="14602" max="14602" width="13" style="59" bestFit="1" customWidth="1"/>
    <col min="14603" max="14848" width="9.140625" style="59"/>
    <col min="14849" max="14849" width="4.7109375" style="59" bestFit="1" customWidth="1"/>
    <col min="14850" max="14850" width="50.7109375" style="59" customWidth="1"/>
    <col min="14851" max="14851" width="13.42578125" style="59" bestFit="1" customWidth="1"/>
    <col min="14852" max="14852" width="2.28515625" style="59" customWidth="1"/>
    <col min="14853" max="14853" width="15.5703125" style="59" bestFit="1" customWidth="1"/>
    <col min="14854" max="14854" width="2.28515625" style="59" customWidth="1"/>
    <col min="14855" max="14855" width="17.85546875" style="59" customWidth="1"/>
    <col min="14856" max="14856" width="9.140625" style="59"/>
    <col min="14857" max="14857" width="10.5703125" style="59" bestFit="1" customWidth="1"/>
    <col min="14858" max="14858" width="13" style="59" bestFit="1" customWidth="1"/>
    <col min="14859" max="15104" width="9.140625" style="59"/>
    <col min="15105" max="15105" width="4.7109375" style="59" bestFit="1" customWidth="1"/>
    <col min="15106" max="15106" width="50.7109375" style="59" customWidth="1"/>
    <col min="15107" max="15107" width="13.42578125" style="59" bestFit="1" customWidth="1"/>
    <col min="15108" max="15108" width="2.28515625" style="59" customWidth="1"/>
    <col min="15109" max="15109" width="15.5703125" style="59" bestFit="1" customWidth="1"/>
    <col min="15110" max="15110" width="2.28515625" style="59" customWidth="1"/>
    <col min="15111" max="15111" width="17.85546875" style="59" customWidth="1"/>
    <col min="15112" max="15112" width="9.140625" style="59"/>
    <col min="15113" max="15113" width="10.5703125" style="59" bestFit="1" customWidth="1"/>
    <col min="15114" max="15114" width="13" style="59" bestFit="1" customWidth="1"/>
    <col min="15115" max="15360" width="9.140625" style="59"/>
    <col min="15361" max="15361" width="4.7109375" style="59" bestFit="1" customWidth="1"/>
    <col min="15362" max="15362" width="50.7109375" style="59" customWidth="1"/>
    <col min="15363" max="15363" width="13.42578125" style="59" bestFit="1" customWidth="1"/>
    <col min="15364" max="15364" width="2.28515625" style="59" customWidth="1"/>
    <col min="15365" max="15365" width="15.5703125" style="59" bestFit="1" customWidth="1"/>
    <col min="15366" max="15366" width="2.28515625" style="59" customWidth="1"/>
    <col min="15367" max="15367" width="17.85546875" style="59" customWidth="1"/>
    <col min="15368" max="15368" width="9.140625" style="59"/>
    <col min="15369" max="15369" width="10.5703125" style="59" bestFit="1" customWidth="1"/>
    <col min="15370" max="15370" width="13" style="59" bestFit="1" customWidth="1"/>
    <col min="15371" max="15616" width="9.140625" style="59"/>
    <col min="15617" max="15617" width="4.7109375" style="59" bestFit="1" customWidth="1"/>
    <col min="15618" max="15618" width="50.7109375" style="59" customWidth="1"/>
    <col min="15619" max="15619" width="13.42578125" style="59" bestFit="1" customWidth="1"/>
    <col min="15620" max="15620" width="2.28515625" style="59" customWidth="1"/>
    <col min="15621" max="15621" width="15.5703125" style="59" bestFit="1" customWidth="1"/>
    <col min="15622" max="15622" width="2.28515625" style="59" customWidth="1"/>
    <col min="15623" max="15623" width="17.85546875" style="59" customWidth="1"/>
    <col min="15624" max="15624" width="9.140625" style="59"/>
    <col min="15625" max="15625" width="10.5703125" style="59" bestFit="1" customWidth="1"/>
    <col min="15626" max="15626" width="13" style="59" bestFit="1" customWidth="1"/>
    <col min="15627" max="15872" width="9.140625" style="59"/>
    <col min="15873" max="15873" width="4.7109375" style="59" bestFit="1" customWidth="1"/>
    <col min="15874" max="15874" width="50.7109375" style="59" customWidth="1"/>
    <col min="15875" max="15875" width="13.42578125" style="59" bestFit="1" customWidth="1"/>
    <col min="15876" max="15876" width="2.28515625" style="59" customWidth="1"/>
    <col min="15877" max="15877" width="15.5703125" style="59" bestFit="1" customWidth="1"/>
    <col min="15878" max="15878" width="2.28515625" style="59" customWidth="1"/>
    <col min="15879" max="15879" width="17.85546875" style="59" customWidth="1"/>
    <col min="15880" max="15880" width="9.140625" style="59"/>
    <col min="15881" max="15881" width="10.5703125" style="59" bestFit="1" customWidth="1"/>
    <col min="15882" max="15882" width="13" style="59" bestFit="1" customWidth="1"/>
    <col min="15883" max="16128" width="9.140625" style="59"/>
    <col min="16129" max="16129" width="4.7109375" style="59" bestFit="1" customWidth="1"/>
    <col min="16130" max="16130" width="50.7109375" style="59" customWidth="1"/>
    <col min="16131" max="16131" width="13.42578125" style="59" bestFit="1" customWidth="1"/>
    <col min="16132" max="16132" width="2.28515625" style="59" customWidth="1"/>
    <col min="16133" max="16133" width="15.5703125" style="59" bestFit="1" customWidth="1"/>
    <col min="16134" max="16134" width="2.28515625" style="59" customWidth="1"/>
    <col min="16135" max="16135" width="17.85546875" style="59" customWidth="1"/>
    <col min="16136" max="16136" width="9.140625" style="59"/>
    <col min="16137" max="16137" width="10.5703125" style="59" bestFit="1" customWidth="1"/>
    <col min="16138" max="16138" width="13" style="59" bestFit="1" customWidth="1"/>
    <col min="16139" max="16384" width="9.140625" style="59"/>
  </cols>
  <sheetData>
    <row r="1" spans="1:7" x14ac:dyDescent="0.2">
      <c r="B1" s="35" t="str">
        <f>Update!$B$6</f>
        <v>Department of Health</v>
      </c>
    </row>
    <row r="2" spans="1:7" x14ac:dyDescent="0.2">
      <c r="B2" s="35" t="str">
        <f>Update!$B$10</f>
        <v>Notes to the financial statements</v>
      </c>
    </row>
    <row r="3" spans="1:7" x14ac:dyDescent="0.2">
      <c r="B3" s="35"/>
    </row>
    <row r="6" spans="1:7" x14ac:dyDescent="0.2">
      <c r="A6" s="229">
        <f>SUMIF(Update!$B$33:$B$106,B6,Update!$A$33:$A$106)</f>
        <v>2.1</v>
      </c>
      <c r="B6" s="236" t="s">
        <v>588</v>
      </c>
    </row>
    <row r="8" spans="1:7" x14ac:dyDescent="0.2">
      <c r="C8" s="2107" t="str">
        <f>Update!C38</f>
        <v>2025-26</v>
      </c>
      <c r="D8" s="2107"/>
      <c r="E8" s="2107"/>
      <c r="F8" s="2107"/>
      <c r="G8" s="2107"/>
    </row>
    <row r="9" spans="1:7" ht="25.5" x14ac:dyDescent="0.2">
      <c r="B9" s="62" t="s">
        <v>281</v>
      </c>
      <c r="C9" s="142" t="s">
        <v>542</v>
      </c>
      <c r="D9" s="143"/>
      <c r="E9" s="142" t="s">
        <v>589</v>
      </c>
      <c r="F9" s="144"/>
      <c r="G9" s="132" t="s">
        <v>590</v>
      </c>
    </row>
    <row r="10" spans="1:7" x14ac:dyDescent="0.2">
      <c r="B10" s="62" t="s">
        <v>134</v>
      </c>
      <c r="C10" s="62"/>
      <c r="D10" s="62"/>
      <c r="E10" s="62"/>
      <c r="F10" s="96"/>
      <c r="G10" s="96"/>
    </row>
    <row r="11" spans="1:7" ht="15" x14ac:dyDescent="0.2">
      <c r="B11" s="59" t="s">
        <v>135</v>
      </c>
      <c r="C11" s="34"/>
      <c r="D11" s="145"/>
      <c r="E11" s="34"/>
      <c r="F11" s="145"/>
      <c r="G11" s="37"/>
    </row>
    <row r="12" spans="1:7" x14ac:dyDescent="0.2">
      <c r="B12" s="59" t="s">
        <v>5</v>
      </c>
      <c r="C12" s="34">
        <f>+MAP!Y61</f>
        <v>0</v>
      </c>
      <c r="D12" s="34"/>
      <c r="E12" s="34">
        <f>ROUND(MAP!Y70+MAP!Y83,0)</f>
        <v>0</v>
      </c>
      <c r="F12" s="37">
        <f>ROUND(SUMIF(MAP!$E$389:$E$406,$B12,MAP!$N$389:$N$406),0)</f>
        <v>0</v>
      </c>
      <c r="G12" s="37">
        <f t="shared" ref="G12:G22" si="0">+C12+E12</f>
        <v>0</v>
      </c>
    </row>
    <row r="13" spans="1:7" x14ac:dyDescent="0.2">
      <c r="B13" s="59" t="s">
        <v>348</v>
      </c>
      <c r="C13" s="34">
        <v>0</v>
      </c>
      <c r="D13" s="34"/>
      <c r="E13" s="34"/>
      <c r="F13" s="37"/>
      <c r="G13" s="37">
        <f t="shared" si="0"/>
        <v>0</v>
      </c>
    </row>
    <row r="14" spans="1:7" x14ac:dyDescent="0.2">
      <c r="B14" s="59" t="s">
        <v>27</v>
      </c>
      <c r="C14" s="34">
        <v>0</v>
      </c>
      <c r="D14" s="34"/>
      <c r="E14" s="34">
        <v>0</v>
      </c>
      <c r="F14" s="37"/>
      <c r="G14" s="37">
        <f t="shared" si="0"/>
        <v>0</v>
      </c>
    </row>
    <row r="15" spans="1:7" x14ac:dyDescent="0.2">
      <c r="B15" s="59" t="s">
        <v>349</v>
      </c>
      <c r="C15" s="34">
        <v>0</v>
      </c>
      <c r="D15" s="34"/>
      <c r="E15" s="34">
        <v>0</v>
      </c>
      <c r="F15" s="37"/>
      <c r="G15" s="37">
        <f t="shared" si="0"/>
        <v>0</v>
      </c>
    </row>
    <row r="16" spans="1:7" x14ac:dyDescent="0.2">
      <c r="B16" s="59" t="s">
        <v>31</v>
      </c>
      <c r="C16" s="34">
        <v>0</v>
      </c>
      <c r="D16" s="34"/>
      <c r="E16" s="34">
        <v>0</v>
      </c>
      <c r="F16" s="37"/>
      <c r="G16" s="37">
        <f t="shared" si="0"/>
        <v>0</v>
      </c>
    </row>
    <row r="17" spans="2:10" x14ac:dyDescent="0.2">
      <c r="B17" s="59" t="s">
        <v>138</v>
      </c>
      <c r="C17" s="34">
        <v>0</v>
      </c>
      <c r="D17" s="34"/>
      <c r="E17" s="34">
        <v>0</v>
      </c>
      <c r="F17" s="37"/>
      <c r="G17" s="37">
        <f t="shared" si="0"/>
        <v>0</v>
      </c>
    </row>
    <row r="18" spans="2:10" x14ac:dyDescent="0.2">
      <c r="B18" s="59" t="s">
        <v>139</v>
      </c>
      <c r="C18" s="34">
        <v>0</v>
      </c>
      <c r="D18" s="34"/>
      <c r="E18" s="34">
        <v>0</v>
      </c>
      <c r="F18" s="37"/>
      <c r="G18" s="37">
        <f t="shared" si="0"/>
        <v>0</v>
      </c>
    </row>
    <row r="19" spans="2:10" x14ac:dyDescent="0.2">
      <c r="B19" s="59" t="s">
        <v>2528</v>
      </c>
      <c r="C19" s="34">
        <v>0</v>
      </c>
      <c r="D19" s="34"/>
      <c r="E19" s="34">
        <v>0</v>
      </c>
      <c r="F19" s="37">
        <f>ROUND(SUMIF(MAP!$E$389:$E$406,$B19,MAP!$N$389:$N$406),0)</f>
        <v>0</v>
      </c>
      <c r="G19" s="37">
        <f t="shared" si="0"/>
        <v>0</v>
      </c>
    </row>
    <row r="20" spans="2:10" x14ac:dyDescent="0.2">
      <c r="B20" s="59" t="s">
        <v>2446</v>
      </c>
      <c r="C20" s="34">
        <v>0</v>
      </c>
      <c r="D20" s="34"/>
      <c r="E20" s="34">
        <v>0</v>
      </c>
      <c r="F20" s="37"/>
      <c r="G20" s="37">
        <f t="shared" si="0"/>
        <v>0</v>
      </c>
    </row>
    <row r="21" spans="2:10" x14ac:dyDescent="0.2">
      <c r="B21" s="59" t="s">
        <v>140</v>
      </c>
      <c r="C21" s="34">
        <v>0</v>
      </c>
      <c r="D21" s="34"/>
      <c r="E21" s="34">
        <v>0</v>
      </c>
      <c r="F21" s="37"/>
      <c r="G21" s="37">
        <f t="shared" si="0"/>
        <v>0</v>
      </c>
    </row>
    <row r="22" spans="2:10" x14ac:dyDescent="0.2">
      <c r="B22" s="59" t="s">
        <v>141</v>
      </c>
      <c r="C22" s="34">
        <v>0</v>
      </c>
      <c r="D22" s="34"/>
      <c r="E22" s="34">
        <v>0</v>
      </c>
      <c r="F22" s="37"/>
      <c r="G22" s="37">
        <f t="shared" si="0"/>
        <v>0</v>
      </c>
    </row>
    <row r="23" spans="2:10" x14ac:dyDescent="0.2">
      <c r="C23" s="34"/>
      <c r="D23" s="34"/>
      <c r="E23" s="34"/>
      <c r="F23" s="37"/>
      <c r="G23" s="37"/>
    </row>
    <row r="24" spans="2:10" x14ac:dyDescent="0.2">
      <c r="B24" s="62" t="s">
        <v>142</v>
      </c>
      <c r="C24" s="34">
        <f>MAP!W61+MAP!U61+MAP!X61+MAP!V61</f>
        <v>2064443</v>
      </c>
      <c r="D24" s="34"/>
      <c r="E24" s="34">
        <f>MAP!W70+MAP!W83+MAP!U70+MAP!U83+MAP!X70+MAP!X83+MAP!V70+MAP!V83</f>
        <v>0</v>
      </c>
      <c r="F24" s="37"/>
      <c r="G24" s="37">
        <f>+C24+E24</f>
        <v>2064443</v>
      </c>
      <c r="H24" s="146" t="str">
        <f>IF(ROUND(G26,0)=ROUND(SFP!E52,0),"OK","ERROR")</f>
        <v>OK</v>
      </c>
      <c r="I24" s="37"/>
      <c r="J24" s="34"/>
    </row>
    <row r="25" spans="2:10" ht="15" x14ac:dyDescent="0.2">
      <c r="B25" s="62"/>
      <c r="C25" s="37"/>
      <c r="D25" s="145"/>
      <c r="E25" s="145"/>
      <c r="F25" s="34"/>
      <c r="G25" s="34"/>
    </row>
    <row r="26" spans="2:10" x14ac:dyDescent="0.2">
      <c r="B26" s="62" t="s">
        <v>146</v>
      </c>
      <c r="C26" s="37">
        <f>SUM(C11:C24)</f>
        <v>2064443</v>
      </c>
      <c r="D26" s="37"/>
      <c r="E26" s="37">
        <f>SUM(E11:E24)</f>
        <v>0</v>
      </c>
      <c r="F26" s="37"/>
      <c r="G26" s="37">
        <f>ROUND(SUM(G11:G24),0)</f>
        <v>2064443</v>
      </c>
      <c r="H26" s="146" t="str">
        <f>IF(ROUND(G26,0)=ROUND(SFP!E60,0),"OK","ERROR")</f>
        <v>ERROR</v>
      </c>
      <c r="I26" s="37"/>
      <c r="J26" s="34"/>
    </row>
    <row r="27" spans="2:10" x14ac:dyDescent="0.2">
      <c r="B27" s="62"/>
      <c r="C27" s="127"/>
      <c r="D27" s="62"/>
      <c r="E27" s="127"/>
      <c r="G27" s="127"/>
    </row>
    <row r="28" spans="2:10" x14ac:dyDescent="0.2">
      <c r="B28" s="62"/>
      <c r="C28" s="62"/>
      <c r="D28" s="62"/>
    </row>
    <row r="29" spans="2:10" x14ac:dyDescent="0.2">
      <c r="C29" s="2107" t="str">
        <f>Update!C37</f>
        <v>2024-25</v>
      </c>
      <c r="D29" s="2107"/>
      <c r="E29" s="2107"/>
      <c r="F29" s="2107"/>
      <c r="G29" s="2107"/>
    </row>
    <row r="30" spans="2:10" ht="25.5" x14ac:dyDescent="0.2">
      <c r="B30" s="62" t="s">
        <v>281</v>
      </c>
      <c r="C30" s="142" t="s">
        <v>542</v>
      </c>
      <c r="D30" s="143"/>
      <c r="E30" s="142" t="s">
        <v>589</v>
      </c>
      <c r="F30" s="144"/>
      <c r="G30" s="132" t="s">
        <v>590</v>
      </c>
    </row>
    <row r="31" spans="2:10" x14ac:dyDescent="0.2">
      <c r="B31" s="62" t="str">
        <f>B10</f>
        <v>Funded Bodies</v>
      </c>
      <c r="C31" s="62"/>
      <c r="D31" s="62"/>
      <c r="E31" s="96"/>
      <c r="F31" s="96"/>
      <c r="G31" s="96"/>
    </row>
    <row r="32" spans="2:10" ht="15" x14ac:dyDescent="0.2">
      <c r="B32" s="59" t="s">
        <v>135</v>
      </c>
      <c r="C32" s="34"/>
      <c r="D32" s="145"/>
      <c r="E32" s="34"/>
      <c r="F32" s="145"/>
      <c r="G32" s="34">
        <f>+C32+E32</f>
        <v>0</v>
      </c>
    </row>
    <row r="33" spans="2:8" x14ac:dyDescent="0.2">
      <c r="B33" s="59" t="s">
        <v>5</v>
      </c>
      <c r="C33" s="34">
        <v>5488</v>
      </c>
      <c r="D33" s="34"/>
      <c r="E33" s="34">
        <v>-10047</v>
      </c>
      <c r="F33" s="34"/>
      <c r="G33" s="37">
        <f t="shared" ref="G33:G47" si="1">+C33+E33</f>
        <v>-4559</v>
      </c>
    </row>
    <row r="34" spans="2:8" x14ac:dyDescent="0.2">
      <c r="B34" s="59" t="s">
        <v>348</v>
      </c>
      <c r="C34" s="34">
        <v>0</v>
      </c>
      <c r="D34" s="34"/>
      <c r="E34" s="34"/>
      <c r="F34" s="34"/>
      <c r="G34" s="37">
        <f t="shared" si="1"/>
        <v>0</v>
      </c>
    </row>
    <row r="35" spans="2:8" x14ac:dyDescent="0.2">
      <c r="B35" s="59" t="s">
        <v>27</v>
      </c>
      <c r="C35" s="34">
        <v>0</v>
      </c>
      <c r="D35" s="34"/>
      <c r="E35" s="34">
        <v>0</v>
      </c>
      <c r="F35" s="34"/>
      <c r="G35" s="37">
        <f t="shared" si="1"/>
        <v>0</v>
      </c>
    </row>
    <row r="36" spans="2:8" x14ac:dyDescent="0.2">
      <c r="B36" s="59" t="s">
        <v>349</v>
      </c>
      <c r="C36" s="34">
        <v>0</v>
      </c>
      <c r="D36" s="34"/>
      <c r="E36" s="34">
        <v>0</v>
      </c>
      <c r="F36" s="34"/>
      <c r="G36" s="37">
        <f t="shared" si="1"/>
        <v>0</v>
      </c>
    </row>
    <row r="37" spans="2:8" x14ac:dyDescent="0.2">
      <c r="B37" s="59" t="s">
        <v>31</v>
      </c>
      <c r="C37" s="34">
        <v>0</v>
      </c>
      <c r="D37" s="34"/>
      <c r="E37" s="34">
        <v>0</v>
      </c>
      <c r="F37" s="34"/>
      <c r="G37" s="37">
        <f t="shared" si="1"/>
        <v>0</v>
      </c>
    </row>
    <row r="38" spans="2:8" x14ac:dyDescent="0.2">
      <c r="B38" s="59" t="s">
        <v>138</v>
      </c>
      <c r="C38" s="34">
        <v>0</v>
      </c>
      <c r="D38" s="34"/>
      <c r="E38" s="34">
        <v>0</v>
      </c>
      <c r="F38" s="34"/>
      <c r="G38" s="37">
        <f t="shared" si="1"/>
        <v>0</v>
      </c>
    </row>
    <row r="39" spans="2:8" x14ac:dyDescent="0.2">
      <c r="B39" s="59" t="s">
        <v>139</v>
      </c>
      <c r="C39" s="34">
        <v>0</v>
      </c>
      <c r="D39" s="34"/>
      <c r="E39" s="34">
        <v>0</v>
      </c>
      <c r="F39" s="34"/>
      <c r="G39" s="37">
        <f t="shared" si="1"/>
        <v>0</v>
      </c>
    </row>
    <row r="40" spans="2:8" x14ac:dyDescent="0.2">
      <c r="B40" s="59" t="s">
        <v>2528</v>
      </c>
      <c r="C40" s="34">
        <v>0</v>
      </c>
      <c r="D40" s="34"/>
      <c r="E40" s="34">
        <v>0</v>
      </c>
      <c r="F40" s="37"/>
      <c r="G40" s="37">
        <f t="shared" si="1"/>
        <v>0</v>
      </c>
    </row>
    <row r="41" spans="2:8" x14ac:dyDescent="0.2">
      <c r="B41" s="59" t="s">
        <v>2446</v>
      </c>
      <c r="C41" s="34">
        <v>0</v>
      </c>
      <c r="D41" s="34"/>
      <c r="E41" s="34">
        <v>0</v>
      </c>
      <c r="F41" s="34"/>
      <c r="G41" s="37">
        <f t="shared" si="1"/>
        <v>0</v>
      </c>
    </row>
    <row r="42" spans="2:8" x14ac:dyDescent="0.2">
      <c r="B42" s="59" t="s">
        <v>140</v>
      </c>
      <c r="C42" s="34">
        <v>0</v>
      </c>
      <c r="D42" s="34"/>
      <c r="E42" s="34">
        <v>0</v>
      </c>
      <c r="F42" s="34"/>
      <c r="G42" s="37">
        <f t="shared" si="1"/>
        <v>0</v>
      </c>
    </row>
    <row r="43" spans="2:8" x14ac:dyDescent="0.2">
      <c r="B43" s="59" t="s">
        <v>141</v>
      </c>
      <c r="C43" s="34">
        <v>0</v>
      </c>
      <c r="D43" s="34"/>
      <c r="E43" s="34">
        <v>0</v>
      </c>
      <c r="F43" s="34"/>
      <c r="G43" s="37">
        <f t="shared" si="1"/>
        <v>0</v>
      </c>
    </row>
    <row r="44" spans="2:8" x14ac:dyDescent="0.2">
      <c r="B44" s="62"/>
      <c r="C44" s="34"/>
      <c r="D44" s="34"/>
      <c r="E44" s="34"/>
      <c r="F44" s="34"/>
      <c r="G44" s="34"/>
    </row>
    <row r="45" spans="2:8" x14ac:dyDescent="0.2">
      <c r="B45" s="62" t="s">
        <v>142</v>
      </c>
      <c r="C45" s="34">
        <v>2153125</v>
      </c>
      <c r="D45" s="34"/>
      <c r="E45" s="34">
        <v>-237480</v>
      </c>
      <c r="F45" s="34"/>
      <c r="G45" s="34">
        <f t="shared" si="1"/>
        <v>1915645</v>
      </c>
      <c r="H45" s="146" t="str">
        <f>IF(ROUND(G47,0)=ROUNDDOWN(SFP!K52,0),"OK","ERROR")</f>
        <v>OK</v>
      </c>
    </row>
    <row r="46" spans="2:8" ht="15" x14ac:dyDescent="0.2">
      <c r="B46" s="62"/>
      <c r="C46" s="34"/>
      <c r="D46" s="145"/>
      <c r="E46" s="145"/>
      <c r="F46" s="34"/>
      <c r="G46" s="34"/>
      <c r="H46" s="146"/>
    </row>
    <row r="47" spans="2:8" x14ac:dyDescent="0.2">
      <c r="B47" s="62" t="s">
        <v>146</v>
      </c>
      <c r="C47" s="34">
        <f>SUM(C32:C43)+C45</f>
        <v>2158613</v>
      </c>
      <c r="D47" s="34"/>
      <c r="E47" s="34">
        <f>SUM(E32:E43)+E45</f>
        <v>-247527</v>
      </c>
      <c r="F47" s="34"/>
      <c r="G47" s="34">
        <f t="shared" si="1"/>
        <v>1911086</v>
      </c>
      <c r="H47" s="146" t="str">
        <f>IF(ROUND(G47,0)=ROUND(SFP!K60,0),"OK","ERROR")</f>
        <v>OK</v>
      </c>
    </row>
  </sheetData>
  <mergeCells count="2">
    <mergeCell ref="C8:G8"/>
    <mergeCell ref="C29:G29"/>
  </mergeCells>
  <pageMargins left="0.35433070866141736" right="0.47244094488188981" top="0.19685039370078741" bottom="0.19685039370078741" header="0.31496062992125984" footer="0.31496062992125984"/>
  <pageSetup paperSize="9" scale="89"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1:V39"/>
  <sheetViews>
    <sheetView zoomScale="90" zoomScaleNormal="90" workbookViewId="0">
      <selection activeCell="G5" sqref="G4:G5"/>
    </sheetView>
  </sheetViews>
  <sheetFormatPr defaultRowHeight="12.75" outlineLevelRow="1" outlineLevelCol="1" x14ac:dyDescent="0.2"/>
  <cols>
    <col min="1" max="1" width="3.140625" style="37" bestFit="1" customWidth="1"/>
    <col min="2" max="2" width="57.5703125" style="34" customWidth="1"/>
    <col min="3" max="3" width="9.28515625" style="74" bestFit="1" customWidth="1"/>
    <col min="4" max="4" width="16" style="34" customWidth="1"/>
    <col min="5" max="5" width="2.5703125" style="34" customWidth="1"/>
    <col min="6" max="6" width="16" style="34" customWidth="1"/>
    <col min="7" max="7" width="16" style="34" customWidth="1" outlineLevel="1"/>
    <col min="8" max="8" width="29.7109375" style="34" customWidth="1" outlineLevel="1"/>
    <col min="9" max="9" width="6.140625" style="34" customWidth="1"/>
    <col min="10" max="10" width="16.42578125" style="34" customWidth="1" outlineLevel="1"/>
    <col min="11" max="11" width="2.85546875" style="34" customWidth="1" outlineLevel="1"/>
    <col min="12" max="12" width="16" style="34" customWidth="1" outlineLevel="1"/>
    <col min="13" max="13" width="9.7109375" style="34" customWidth="1" outlineLevel="1"/>
    <col min="14" max="14" width="4.140625" style="34" customWidth="1"/>
    <col min="15" max="15" width="17" style="34" hidden="1" customWidth="1" outlineLevel="1"/>
    <col min="16" max="16" width="2.5703125" style="34" hidden="1" customWidth="1" outlineLevel="1"/>
    <col min="17" max="17" width="14.5703125" style="34" hidden="1" customWidth="1" outlineLevel="1"/>
    <col min="18" max="18" width="9.140625" style="34" collapsed="1"/>
    <col min="19" max="19" width="9.140625" style="34"/>
    <col min="20" max="20" width="9.7109375" style="34" hidden="1" customWidth="1" outlineLevel="1"/>
    <col min="21" max="21" width="9.140625" style="34" hidden="1" customWidth="1" outlineLevel="1"/>
    <col min="22" max="22" width="9.140625" style="34" collapsed="1"/>
    <col min="23" max="259" width="9.140625" style="34"/>
    <col min="260" max="260" width="5.5703125" style="34" customWidth="1"/>
    <col min="261" max="261" width="57.5703125" style="34" customWidth="1"/>
    <col min="262" max="262" width="9.28515625" style="34" bestFit="1" customWidth="1"/>
    <col min="263" max="263" width="16" style="34" customWidth="1"/>
    <col min="264" max="264" width="6.140625" style="34" customWidth="1"/>
    <col min="265" max="265" width="16" style="34" customWidth="1"/>
    <col min="266" max="266" width="9.140625" style="34"/>
    <col min="267" max="267" width="9.7109375" style="34" bestFit="1" customWidth="1"/>
    <col min="268" max="515" width="9.140625" style="34"/>
    <col min="516" max="516" width="5.5703125" style="34" customWidth="1"/>
    <col min="517" max="517" width="57.5703125" style="34" customWidth="1"/>
    <col min="518" max="518" width="9.28515625" style="34" bestFit="1" customWidth="1"/>
    <col min="519" max="519" width="16" style="34" customWidth="1"/>
    <col min="520" max="520" width="6.140625" style="34" customWidth="1"/>
    <col min="521" max="521" width="16" style="34" customWidth="1"/>
    <col min="522" max="522" width="9.140625" style="34"/>
    <col min="523" max="523" width="9.7109375" style="34" bestFit="1" customWidth="1"/>
    <col min="524" max="771" width="9.140625" style="34"/>
    <col min="772" max="772" width="5.5703125" style="34" customWidth="1"/>
    <col min="773" max="773" width="57.5703125" style="34" customWidth="1"/>
    <col min="774" max="774" width="9.28515625" style="34" bestFit="1" customWidth="1"/>
    <col min="775" max="775" width="16" style="34" customWidth="1"/>
    <col min="776" max="776" width="6.140625" style="34" customWidth="1"/>
    <col min="777" max="777" width="16" style="34" customWidth="1"/>
    <col min="778" max="778" width="9.140625" style="34"/>
    <col min="779" max="779" width="9.7109375" style="34" bestFit="1" customWidth="1"/>
    <col min="780" max="1027" width="9.140625" style="34"/>
    <col min="1028" max="1028" width="5.5703125" style="34" customWidth="1"/>
    <col min="1029" max="1029" width="57.5703125" style="34" customWidth="1"/>
    <col min="1030" max="1030" width="9.28515625" style="34" bestFit="1" customWidth="1"/>
    <col min="1031" max="1031" width="16" style="34" customWidth="1"/>
    <col min="1032" max="1032" width="6.140625" style="34" customWidth="1"/>
    <col min="1033" max="1033" width="16" style="34" customWidth="1"/>
    <col min="1034" max="1034" width="9.140625" style="34"/>
    <col min="1035" max="1035" width="9.7109375" style="34" bestFit="1" customWidth="1"/>
    <col min="1036" max="1283" width="9.140625" style="34"/>
    <col min="1284" max="1284" width="5.5703125" style="34" customWidth="1"/>
    <col min="1285" max="1285" width="57.5703125" style="34" customWidth="1"/>
    <col min="1286" max="1286" width="9.28515625" style="34" bestFit="1" customWidth="1"/>
    <col min="1287" max="1287" width="16" style="34" customWidth="1"/>
    <col min="1288" max="1288" width="6.140625" style="34" customWidth="1"/>
    <col min="1289" max="1289" width="16" style="34" customWidth="1"/>
    <col min="1290" max="1290" width="9.140625" style="34"/>
    <col min="1291" max="1291" width="9.7109375" style="34" bestFit="1" customWidth="1"/>
    <col min="1292" max="1539" width="9.140625" style="34"/>
    <col min="1540" max="1540" width="5.5703125" style="34" customWidth="1"/>
    <col min="1541" max="1541" width="57.5703125" style="34" customWidth="1"/>
    <col min="1542" max="1542" width="9.28515625" style="34" bestFit="1" customWidth="1"/>
    <col min="1543" max="1543" width="16" style="34" customWidth="1"/>
    <col min="1544" max="1544" width="6.140625" style="34" customWidth="1"/>
    <col min="1545" max="1545" width="16" style="34" customWidth="1"/>
    <col min="1546" max="1546" width="9.140625" style="34"/>
    <col min="1547" max="1547" width="9.7109375" style="34" bestFit="1" customWidth="1"/>
    <col min="1548" max="1795" width="9.140625" style="34"/>
    <col min="1796" max="1796" width="5.5703125" style="34" customWidth="1"/>
    <col min="1797" max="1797" width="57.5703125" style="34" customWidth="1"/>
    <col min="1798" max="1798" width="9.28515625" style="34" bestFit="1" customWidth="1"/>
    <col min="1799" max="1799" width="16" style="34" customWidth="1"/>
    <col min="1800" max="1800" width="6.140625" style="34" customWidth="1"/>
    <col min="1801" max="1801" width="16" style="34" customWidth="1"/>
    <col min="1802" max="1802" width="9.140625" style="34"/>
    <col min="1803" max="1803" width="9.7109375" style="34" bestFit="1" customWidth="1"/>
    <col min="1804" max="2051" width="9.140625" style="34"/>
    <col min="2052" max="2052" width="5.5703125" style="34" customWidth="1"/>
    <col min="2053" max="2053" width="57.5703125" style="34" customWidth="1"/>
    <col min="2054" max="2054" width="9.28515625" style="34" bestFit="1" customWidth="1"/>
    <col min="2055" max="2055" width="16" style="34" customWidth="1"/>
    <col min="2056" max="2056" width="6.140625" style="34" customWidth="1"/>
    <col min="2057" max="2057" width="16" style="34" customWidth="1"/>
    <col min="2058" max="2058" width="9.140625" style="34"/>
    <col min="2059" max="2059" width="9.7109375" style="34" bestFit="1" customWidth="1"/>
    <col min="2060" max="2307" width="9.140625" style="34"/>
    <col min="2308" max="2308" width="5.5703125" style="34" customWidth="1"/>
    <col min="2309" max="2309" width="57.5703125" style="34" customWidth="1"/>
    <col min="2310" max="2310" width="9.28515625" style="34" bestFit="1" customWidth="1"/>
    <col min="2311" max="2311" width="16" style="34" customWidth="1"/>
    <col min="2312" max="2312" width="6.140625" style="34" customWidth="1"/>
    <col min="2313" max="2313" width="16" style="34" customWidth="1"/>
    <col min="2314" max="2314" width="9.140625" style="34"/>
    <col min="2315" max="2315" width="9.7109375" style="34" bestFit="1" customWidth="1"/>
    <col min="2316" max="2563" width="9.140625" style="34"/>
    <col min="2564" max="2564" width="5.5703125" style="34" customWidth="1"/>
    <col min="2565" max="2565" width="57.5703125" style="34" customWidth="1"/>
    <col min="2566" max="2566" width="9.28515625" style="34" bestFit="1" customWidth="1"/>
    <col min="2567" max="2567" width="16" style="34" customWidth="1"/>
    <col min="2568" max="2568" width="6.140625" style="34" customWidth="1"/>
    <col min="2569" max="2569" width="16" style="34" customWidth="1"/>
    <col min="2570" max="2570" width="9.140625" style="34"/>
    <col min="2571" max="2571" width="9.7109375" style="34" bestFit="1" customWidth="1"/>
    <col min="2572" max="2819" width="9.140625" style="34"/>
    <col min="2820" max="2820" width="5.5703125" style="34" customWidth="1"/>
    <col min="2821" max="2821" width="57.5703125" style="34" customWidth="1"/>
    <col min="2822" max="2822" width="9.28515625" style="34" bestFit="1" customWidth="1"/>
    <col min="2823" max="2823" width="16" style="34" customWidth="1"/>
    <col min="2824" max="2824" width="6.140625" style="34" customWidth="1"/>
    <col min="2825" max="2825" width="16" style="34" customWidth="1"/>
    <col min="2826" max="2826" width="9.140625" style="34"/>
    <col min="2827" max="2827" width="9.7109375" style="34" bestFit="1" customWidth="1"/>
    <col min="2828" max="3075" width="9.140625" style="34"/>
    <col min="3076" max="3076" width="5.5703125" style="34" customWidth="1"/>
    <col min="3077" max="3077" width="57.5703125" style="34" customWidth="1"/>
    <col min="3078" max="3078" width="9.28515625" style="34" bestFit="1" customWidth="1"/>
    <col min="3079" max="3079" width="16" style="34" customWidth="1"/>
    <col min="3080" max="3080" width="6.140625" style="34" customWidth="1"/>
    <col min="3081" max="3081" width="16" style="34" customWidth="1"/>
    <col min="3082" max="3082" width="9.140625" style="34"/>
    <col min="3083" max="3083" width="9.7109375" style="34" bestFit="1" customWidth="1"/>
    <col min="3084" max="3331" width="9.140625" style="34"/>
    <col min="3332" max="3332" width="5.5703125" style="34" customWidth="1"/>
    <col min="3333" max="3333" width="57.5703125" style="34" customWidth="1"/>
    <col min="3334" max="3334" width="9.28515625" style="34" bestFit="1" customWidth="1"/>
    <col min="3335" max="3335" width="16" style="34" customWidth="1"/>
    <col min="3336" max="3336" width="6.140625" style="34" customWidth="1"/>
    <col min="3337" max="3337" width="16" style="34" customWidth="1"/>
    <col min="3338" max="3338" width="9.140625" style="34"/>
    <col min="3339" max="3339" width="9.7109375" style="34" bestFit="1" customWidth="1"/>
    <col min="3340" max="3587" width="9.140625" style="34"/>
    <col min="3588" max="3588" width="5.5703125" style="34" customWidth="1"/>
    <col min="3589" max="3589" width="57.5703125" style="34" customWidth="1"/>
    <col min="3590" max="3590" width="9.28515625" style="34" bestFit="1" customWidth="1"/>
    <col min="3591" max="3591" width="16" style="34" customWidth="1"/>
    <col min="3592" max="3592" width="6.140625" style="34" customWidth="1"/>
    <col min="3593" max="3593" width="16" style="34" customWidth="1"/>
    <col min="3594" max="3594" width="9.140625" style="34"/>
    <col min="3595" max="3595" width="9.7109375" style="34" bestFit="1" customWidth="1"/>
    <col min="3596" max="3843" width="9.140625" style="34"/>
    <col min="3844" max="3844" width="5.5703125" style="34" customWidth="1"/>
    <col min="3845" max="3845" width="57.5703125" style="34" customWidth="1"/>
    <col min="3846" max="3846" width="9.28515625" style="34" bestFit="1" customWidth="1"/>
    <col min="3847" max="3847" width="16" style="34" customWidth="1"/>
    <col min="3848" max="3848" width="6.140625" style="34" customWidth="1"/>
    <col min="3849" max="3849" width="16" style="34" customWidth="1"/>
    <col min="3850" max="3850" width="9.140625" style="34"/>
    <col min="3851" max="3851" width="9.7109375" style="34" bestFit="1" customWidth="1"/>
    <col min="3852" max="4099" width="9.140625" style="34"/>
    <col min="4100" max="4100" width="5.5703125" style="34" customWidth="1"/>
    <col min="4101" max="4101" width="57.5703125" style="34" customWidth="1"/>
    <col min="4102" max="4102" width="9.28515625" style="34" bestFit="1" customWidth="1"/>
    <col min="4103" max="4103" width="16" style="34" customWidth="1"/>
    <col min="4104" max="4104" width="6.140625" style="34" customWidth="1"/>
    <col min="4105" max="4105" width="16" style="34" customWidth="1"/>
    <col min="4106" max="4106" width="9.140625" style="34"/>
    <col min="4107" max="4107" width="9.7109375" style="34" bestFit="1" customWidth="1"/>
    <col min="4108" max="4355" width="9.140625" style="34"/>
    <col min="4356" max="4356" width="5.5703125" style="34" customWidth="1"/>
    <col min="4357" max="4357" width="57.5703125" style="34" customWidth="1"/>
    <col min="4358" max="4358" width="9.28515625" style="34" bestFit="1" customWidth="1"/>
    <col min="4359" max="4359" width="16" style="34" customWidth="1"/>
    <col min="4360" max="4360" width="6.140625" style="34" customWidth="1"/>
    <col min="4361" max="4361" width="16" style="34" customWidth="1"/>
    <col min="4362" max="4362" width="9.140625" style="34"/>
    <col min="4363" max="4363" width="9.7109375" style="34" bestFit="1" customWidth="1"/>
    <col min="4364" max="4611" width="9.140625" style="34"/>
    <col min="4612" max="4612" width="5.5703125" style="34" customWidth="1"/>
    <col min="4613" max="4613" width="57.5703125" style="34" customWidth="1"/>
    <col min="4614" max="4614" width="9.28515625" style="34" bestFit="1" customWidth="1"/>
    <col min="4615" max="4615" width="16" style="34" customWidth="1"/>
    <col min="4616" max="4616" width="6.140625" style="34" customWidth="1"/>
    <col min="4617" max="4617" width="16" style="34" customWidth="1"/>
    <col min="4618" max="4618" width="9.140625" style="34"/>
    <col min="4619" max="4619" width="9.7109375" style="34" bestFit="1" customWidth="1"/>
    <col min="4620" max="4867" width="9.140625" style="34"/>
    <col min="4868" max="4868" width="5.5703125" style="34" customWidth="1"/>
    <col min="4869" max="4869" width="57.5703125" style="34" customWidth="1"/>
    <col min="4870" max="4870" width="9.28515625" style="34" bestFit="1" customWidth="1"/>
    <col min="4871" max="4871" width="16" style="34" customWidth="1"/>
    <col min="4872" max="4872" width="6.140625" style="34" customWidth="1"/>
    <col min="4873" max="4873" width="16" style="34" customWidth="1"/>
    <col min="4874" max="4874" width="9.140625" style="34"/>
    <col min="4875" max="4875" width="9.7109375" style="34" bestFit="1" customWidth="1"/>
    <col min="4876" max="5123" width="9.140625" style="34"/>
    <col min="5124" max="5124" width="5.5703125" style="34" customWidth="1"/>
    <col min="5125" max="5125" width="57.5703125" style="34" customWidth="1"/>
    <col min="5126" max="5126" width="9.28515625" style="34" bestFit="1" customWidth="1"/>
    <col min="5127" max="5127" width="16" style="34" customWidth="1"/>
    <col min="5128" max="5128" width="6.140625" style="34" customWidth="1"/>
    <col min="5129" max="5129" width="16" style="34" customWidth="1"/>
    <col min="5130" max="5130" width="9.140625" style="34"/>
    <col min="5131" max="5131" width="9.7109375" style="34" bestFit="1" customWidth="1"/>
    <col min="5132" max="5379" width="9.140625" style="34"/>
    <col min="5380" max="5380" width="5.5703125" style="34" customWidth="1"/>
    <col min="5381" max="5381" width="57.5703125" style="34" customWidth="1"/>
    <col min="5382" max="5382" width="9.28515625" style="34" bestFit="1" customWidth="1"/>
    <col min="5383" max="5383" width="16" style="34" customWidth="1"/>
    <col min="5384" max="5384" width="6.140625" style="34" customWidth="1"/>
    <col min="5385" max="5385" width="16" style="34" customWidth="1"/>
    <col min="5386" max="5386" width="9.140625" style="34"/>
    <col min="5387" max="5387" width="9.7109375" style="34" bestFit="1" customWidth="1"/>
    <col min="5388" max="5635" width="9.140625" style="34"/>
    <col min="5636" max="5636" width="5.5703125" style="34" customWidth="1"/>
    <col min="5637" max="5637" width="57.5703125" style="34" customWidth="1"/>
    <col min="5638" max="5638" width="9.28515625" style="34" bestFit="1" customWidth="1"/>
    <col min="5639" max="5639" width="16" style="34" customWidth="1"/>
    <col min="5640" max="5640" width="6.140625" style="34" customWidth="1"/>
    <col min="5641" max="5641" width="16" style="34" customWidth="1"/>
    <col min="5642" max="5642" width="9.140625" style="34"/>
    <col min="5643" max="5643" width="9.7109375" style="34" bestFit="1" customWidth="1"/>
    <col min="5644" max="5891" width="9.140625" style="34"/>
    <col min="5892" max="5892" width="5.5703125" style="34" customWidth="1"/>
    <col min="5893" max="5893" width="57.5703125" style="34" customWidth="1"/>
    <col min="5894" max="5894" width="9.28515625" style="34" bestFit="1" customWidth="1"/>
    <col min="5895" max="5895" width="16" style="34" customWidth="1"/>
    <col min="5896" max="5896" width="6.140625" style="34" customWidth="1"/>
    <col min="5897" max="5897" width="16" style="34" customWidth="1"/>
    <col min="5898" max="5898" width="9.140625" style="34"/>
    <col min="5899" max="5899" width="9.7109375" style="34" bestFit="1" customWidth="1"/>
    <col min="5900" max="6147" width="9.140625" style="34"/>
    <col min="6148" max="6148" width="5.5703125" style="34" customWidth="1"/>
    <col min="6149" max="6149" width="57.5703125" style="34" customWidth="1"/>
    <col min="6150" max="6150" width="9.28515625" style="34" bestFit="1" customWidth="1"/>
    <col min="6151" max="6151" width="16" style="34" customWidth="1"/>
    <col min="6152" max="6152" width="6.140625" style="34" customWidth="1"/>
    <col min="6153" max="6153" width="16" style="34" customWidth="1"/>
    <col min="6154" max="6154" width="9.140625" style="34"/>
    <col min="6155" max="6155" width="9.7109375" style="34" bestFit="1" customWidth="1"/>
    <col min="6156" max="6403" width="9.140625" style="34"/>
    <col min="6404" max="6404" width="5.5703125" style="34" customWidth="1"/>
    <col min="6405" max="6405" width="57.5703125" style="34" customWidth="1"/>
    <col min="6406" max="6406" width="9.28515625" style="34" bestFit="1" customWidth="1"/>
    <col min="6407" max="6407" width="16" style="34" customWidth="1"/>
    <col min="6408" max="6408" width="6.140625" style="34" customWidth="1"/>
    <col min="6409" max="6409" width="16" style="34" customWidth="1"/>
    <col min="6410" max="6410" width="9.140625" style="34"/>
    <col min="6411" max="6411" width="9.7109375" style="34" bestFit="1" customWidth="1"/>
    <col min="6412" max="6659" width="9.140625" style="34"/>
    <col min="6660" max="6660" width="5.5703125" style="34" customWidth="1"/>
    <col min="6661" max="6661" width="57.5703125" style="34" customWidth="1"/>
    <col min="6662" max="6662" width="9.28515625" style="34" bestFit="1" customWidth="1"/>
    <col min="6663" max="6663" width="16" style="34" customWidth="1"/>
    <col min="6664" max="6664" width="6.140625" style="34" customWidth="1"/>
    <col min="6665" max="6665" width="16" style="34" customWidth="1"/>
    <col min="6666" max="6666" width="9.140625" style="34"/>
    <col min="6667" max="6667" width="9.7109375" style="34" bestFit="1" customWidth="1"/>
    <col min="6668" max="6915" width="9.140625" style="34"/>
    <col min="6916" max="6916" width="5.5703125" style="34" customWidth="1"/>
    <col min="6917" max="6917" width="57.5703125" style="34" customWidth="1"/>
    <col min="6918" max="6918" width="9.28515625" style="34" bestFit="1" customWidth="1"/>
    <col min="6919" max="6919" width="16" style="34" customWidth="1"/>
    <col min="6920" max="6920" width="6.140625" style="34" customWidth="1"/>
    <col min="6921" max="6921" width="16" style="34" customWidth="1"/>
    <col min="6922" max="6922" width="9.140625" style="34"/>
    <col min="6923" max="6923" width="9.7109375" style="34" bestFit="1" customWidth="1"/>
    <col min="6924" max="7171" width="9.140625" style="34"/>
    <col min="7172" max="7172" width="5.5703125" style="34" customWidth="1"/>
    <col min="7173" max="7173" width="57.5703125" style="34" customWidth="1"/>
    <col min="7174" max="7174" width="9.28515625" style="34" bestFit="1" customWidth="1"/>
    <col min="7175" max="7175" width="16" style="34" customWidth="1"/>
    <col min="7176" max="7176" width="6.140625" style="34" customWidth="1"/>
    <col min="7177" max="7177" width="16" style="34" customWidth="1"/>
    <col min="7178" max="7178" width="9.140625" style="34"/>
    <col min="7179" max="7179" width="9.7109375" style="34" bestFit="1" customWidth="1"/>
    <col min="7180" max="7427" width="9.140625" style="34"/>
    <col min="7428" max="7428" width="5.5703125" style="34" customWidth="1"/>
    <col min="7429" max="7429" width="57.5703125" style="34" customWidth="1"/>
    <col min="7430" max="7430" width="9.28515625" style="34" bestFit="1" customWidth="1"/>
    <col min="7431" max="7431" width="16" style="34" customWidth="1"/>
    <col min="7432" max="7432" width="6.140625" style="34" customWidth="1"/>
    <col min="7433" max="7433" width="16" style="34" customWidth="1"/>
    <col min="7434" max="7434" width="9.140625" style="34"/>
    <col min="7435" max="7435" width="9.7109375" style="34" bestFit="1" customWidth="1"/>
    <col min="7436" max="7683" width="9.140625" style="34"/>
    <col min="7684" max="7684" width="5.5703125" style="34" customWidth="1"/>
    <col min="7685" max="7685" width="57.5703125" style="34" customWidth="1"/>
    <col min="7686" max="7686" width="9.28515625" style="34" bestFit="1" customWidth="1"/>
    <col min="7687" max="7687" width="16" style="34" customWidth="1"/>
    <col min="7688" max="7688" width="6.140625" style="34" customWidth="1"/>
    <col min="7689" max="7689" width="16" style="34" customWidth="1"/>
    <col min="7690" max="7690" width="9.140625" style="34"/>
    <col min="7691" max="7691" width="9.7109375" style="34" bestFit="1" customWidth="1"/>
    <col min="7692" max="7939" width="9.140625" style="34"/>
    <col min="7940" max="7940" width="5.5703125" style="34" customWidth="1"/>
    <col min="7941" max="7941" width="57.5703125" style="34" customWidth="1"/>
    <col min="7942" max="7942" width="9.28515625" style="34" bestFit="1" customWidth="1"/>
    <col min="7943" max="7943" width="16" style="34" customWidth="1"/>
    <col min="7944" max="7944" width="6.140625" style="34" customWidth="1"/>
    <col min="7945" max="7945" width="16" style="34" customWidth="1"/>
    <col min="7946" max="7946" width="9.140625" style="34"/>
    <col min="7947" max="7947" width="9.7109375" style="34" bestFit="1" customWidth="1"/>
    <col min="7948" max="8195" width="9.140625" style="34"/>
    <col min="8196" max="8196" width="5.5703125" style="34" customWidth="1"/>
    <col min="8197" max="8197" width="57.5703125" style="34" customWidth="1"/>
    <col min="8198" max="8198" width="9.28515625" style="34" bestFit="1" customWidth="1"/>
    <col min="8199" max="8199" width="16" style="34" customWidth="1"/>
    <col min="8200" max="8200" width="6.140625" style="34" customWidth="1"/>
    <col min="8201" max="8201" width="16" style="34" customWidth="1"/>
    <col min="8202" max="8202" width="9.140625" style="34"/>
    <col min="8203" max="8203" width="9.7109375" style="34" bestFit="1" customWidth="1"/>
    <col min="8204" max="8451" width="9.140625" style="34"/>
    <col min="8452" max="8452" width="5.5703125" style="34" customWidth="1"/>
    <col min="8453" max="8453" width="57.5703125" style="34" customWidth="1"/>
    <col min="8454" max="8454" width="9.28515625" style="34" bestFit="1" customWidth="1"/>
    <col min="8455" max="8455" width="16" style="34" customWidth="1"/>
    <col min="8456" max="8456" width="6.140625" style="34" customWidth="1"/>
    <col min="8457" max="8457" width="16" style="34" customWidth="1"/>
    <col min="8458" max="8458" width="9.140625" style="34"/>
    <col min="8459" max="8459" width="9.7109375" style="34" bestFit="1" customWidth="1"/>
    <col min="8460" max="8707" width="9.140625" style="34"/>
    <col min="8708" max="8708" width="5.5703125" style="34" customWidth="1"/>
    <col min="8709" max="8709" width="57.5703125" style="34" customWidth="1"/>
    <col min="8710" max="8710" width="9.28515625" style="34" bestFit="1" customWidth="1"/>
    <col min="8711" max="8711" width="16" style="34" customWidth="1"/>
    <col min="8712" max="8712" width="6.140625" style="34" customWidth="1"/>
    <col min="8713" max="8713" width="16" style="34" customWidth="1"/>
    <col min="8714" max="8714" width="9.140625" style="34"/>
    <col min="8715" max="8715" width="9.7109375" style="34" bestFit="1" customWidth="1"/>
    <col min="8716" max="8963" width="9.140625" style="34"/>
    <col min="8964" max="8964" width="5.5703125" style="34" customWidth="1"/>
    <col min="8965" max="8965" width="57.5703125" style="34" customWidth="1"/>
    <col min="8966" max="8966" width="9.28515625" style="34" bestFit="1" customWidth="1"/>
    <col min="8967" max="8967" width="16" style="34" customWidth="1"/>
    <col min="8968" max="8968" width="6.140625" style="34" customWidth="1"/>
    <col min="8969" max="8969" width="16" style="34" customWidth="1"/>
    <col min="8970" max="8970" width="9.140625" style="34"/>
    <col min="8971" max="8971" width="9.7109375" style="34" bestFit="1" customWidth="1"/>
    <col min="8972" max="9219" width="9.140625" style="34"/>
    <col min="9220" max="9220" width="5.5703125" style="34" customWidth="1"/>
    <col min="9221" max="9221" width="57.5703125" style="34" customWidth="1"/>
    <col min="9222" max="9222" width="9.28515625" style="34" bestFit="1" customWidth="1"/>
    <col min="9223" max="9223" width="16" style="34" customWidth="1"/>
    <col min="9224" max="9224" width="6.140625" style="34" customWidth="1"/>
    <col min="9225" max="9225" width="16" style="34" customWidth="1"/>
    <col min="9226" max="9226" width="9.140625" style="34"/>
    <col min="9227" max="9227" width="9.7109375" style="34" bestFit="1" customWidth="1"/>
    <col min="9228" max="9475" width="9.140625" style="34"/>
    <col min="9476" max="9476" width="5.5703125" style="34" customWidth="1"/>
    <col min="9477" max="9477" width="57.5703125" style="34" customWidth="1"/>
    <col min="9478" max="9478" width="9.28515625" style="34" bestFit="1" customWidth="1"/>
    <col min="9479" max="9479" width="16" style="34" customWidth="1"/>
    <col min="9480" max="9480" width="6.140625" style="34" customWidth="1"/>
    <col min="9481" max="9481" width="16" style="34" customWidth="1"/>
    <col min="9482" max="9482" width="9.140625" style="34"/>
    <col min="9483" max="9483" width="9.7109375" style="34" bestFit="1" customWidth="1"/>
    <col min="9484" max="9731" width="9.140625" style="34"/>
    <col min="9732" max="9732" width="5.5703125" style="34" customWidth="1"/>
    <col min="9733" max="9733" width="57.5703125" style="34" customWidth="1"/>
    <col min="9734" max="9734" width="9.28515625" style="34" bestFit="1" customWidth="1"/>
    <col min="9735" max="9735" width="16" style="34" customWidth="1"/>
    <col min="9736" max="9736" width="6.140625" style="34" customWidth="1"/>
    <col min="9737" max="9737" width="16" style="34" customWidth="1"/>
    <col min="9738" max="9738" width="9.140625" style="34"/>
    <col min="9739" max="9739" width="9.7109375" style="34" bestFit="1" customWidth="1"/>
    <col min="9740" max="9987" width="9.140625" style="34"/>
    <col min="9988" max="9988" width="5.5703125" style="34" customWidth="1"/>
    <col min="9989" max="9989" width="57.5703125" style="34" customWidth="1"/>
    <col min="9990" max="9990" width="9.28515625" style="34" bestFit="1" customWidth="1"/>
    <col min="9991" max="9991" width="16" style="34" customWidth="1"/>
    <col min="9992" max="9992" width="6.140625" style="34" customWidth="1"/>
    <col min="9993" max="9993" width="16" style="34" customWidth="1"/>
    <col min="9994" max="9994" width="9.140625" style="34"/>
    <col min="9995" max="9995" width="9.7109375" style="34" bestFit="1" customWidth="1"/>
    <col min="9996" max="10243" width="9.140625" style="34"/>
    <col min="10244" max="10244" width="5.5703125" style="34" customWidth="1"/>
    <col min="10245" max="10245" width="57.5703125" style="34" customWidth="1"/>
    <col min="10246" max="10246" width="9.28515625" style="34" bestFit="1" customWidth="1"/>
    <col min="10247" max="10247" width="16" style="34" customWidth="1"/>
    <col min="10248" max="10248" width="6.140625" style="34" customWidth="1"/>
    <col min="10249" max="10249" width="16" style="34" customWidth="1"/>
    <col min="10250" max="10250" width="9.140625" style="34"/>
    <col min="10251" max="10251" width="9.7109375" style="34" bestFit="1" customWidth="1"/>
    <col min="10252" max="10499" width="9.140625" style="34"/>
    <col min="10500" max="10500" width="5.5703125" style="34" customWidth="1"/>
    <col min="10501" max="10501" width="57.5703125" style="34" customWidth="1"/>
    <col min="10502" max="10502" width="9.28515625" style="34" bestFit="1" customWidth="1"/>
    <col min="10503" max="10503" width="16" style="34" customWidth="1"/>
    <col min="10504" max="10504" width="6.140625" style="34" customWidth="1"/>
    <col min="10505" max="10505" width="16" style="34" customWidth="1"/>
    <col min="10506" max="10506" width="9.140625" style="34"/>
    <col min="10507" max="10507" width="9.7109375" style="34" bestFit="1" customWidth="1"/>
    <col min="10508" max="10755" width="9.140625" style="34"/>
    <col min="10756" max="10756" width="5.5703125" style="34" customWidth="1"/>
    <col min="10757" max="10757" width="57.5703125" style="34" customWidth="1"/>
    <col min="10758" max="10758" width="9.28515625" style="34" bestFit="1" customWidth="1"/>
    <col min="10759" max="10759" width="16" style="34" customWidth="1"/>
    <col min="10760" max="10760" width="6.140625" style="34" customWidth="1"/>
    <col min="10761" max="10761" width="16" style="34" customWidth="1"/>
    <col min="10762" max="10762" width="9.140625" style="34"/>
    <col min="10763" max="10763" width="9.7109375" style="34" bestFit="1" customWidth="1"/>
    <col min="10764" max="11011" width="9.140625" style="34"/>
    <col min="11012" max="11012" width="5.5703125" style="34" customWidth="1"/>
    <col min="11013" max="11013" width="57.5703125" style="34" customWidth="1"/>
    <col min="11014" max="11014" width="9.28515625" style="34" bestFit="1" customWidth="1"/>
    <col min="11015" max="11015" width="16" style="34" customWidth="1"/>
    <col min="11016" max="11016" width="6.140625" style="34" customWidth="1"/>
    <col min="11017" max="11017" width="16" style="34" customWidth="1"/>
    <col min="11018" max="11018" width="9.140625" style="34"/>
    <col min="11019" max="11019" width="9.7109375" style="34" bestFit="1" customWidth="1"/>
    <col min="11020" max="11267" width="9.140625" style="34"/>
    <col min="11268" max="11268" width="5.5703125" style="34" customWidth="1"/>
    <col min="11269" max="11269" width="57.5703125" style="34" customWidth="1"/>
    <col min="11270" max="11270" width="9.28515625" style="34" bestFit="1" customWidth="1"/>
    <col min="11271" max="11271" width="16" style="34" customWidth="1"/>
    <col min="11272" max="11272" width="6.140625" style="34" customWidth="1"/>
    <col min="11273" max="11273" width="16" style="34" customWidth="1"/>
    <col min="11274" max="11274" width="9.140625" style="34"/>
    <col min="11275" max="11275" width="9.7109375" style="34" bestFit="1" customWidth="1"/>
    <col min="11276" max="11523" width="9.140625" style="34"/>
    <col min="11524" max="11524" width="5.5703125" style="34" customWidth="1"/>
    <col min="11525" max="11525" width="57.5703125" style="34" customWidth="1"/>
    <col min="11526" max="11526" width="9.28515625" style="34" bestFit="1" customWidth="1"/>
    <col min="11527" max="11527" width="16" style="34" customWidth="1"/>
    <col min="11528" max="11528" width="6.140625" style="34" customWidth="1"/>
    <col min="11529" max="11529" width="16" style="34" customWidth="1"/>
    <col min="11530" max="11530" width="9.140625" style="34"/>
    <col min="11531" max="11531" width="9.7109375" style="34" bestFit="1" customWidth="1"/>
    <col min="11532" max="11779" width="9.140625" style="34"/>
    <col min="11780" max="11780" width="5.5703125" style="34" customWidth="1"/>
    <col min="11781" max="11781" width="57.5703125" style="34" customWidth="1"/>
    <col min="11782" max="11782" width="9.28515625" style="34" bestFit="1" customWidth="1"/>
    <col min="11783" max="11783" width="16" style="34" customWidth="1"/>
    <col min="11784" max="11784" width="6.140625" style="34" customWidth="1"/>
    <col min="11785" max="11785" width="16" style="34" customWidth="1"/>
    <col min="11786" max="11786" width="9.140625" style="34"/>
    <col min="11787" max="11787" width="9.7109375" style="34" bestFit="1" customWidth="1"/>
    <col min="11788" max="12035" width="9.140625" style="34"/>
    <col min="12036" max="12036" width="5.5703125" style="34" customWidth="1"/>
    <col min="12037" max="12037" width="57.5703125" style="34" customWidth="1"/>
    <col min="12038" max="12038" width="9.28515625" style="34" bestFit="1" customWidth="1"/>
    <col min="12039" max="12039" width="16" style="34" customWidth="1"/>
    <col min="12040" max="12040" width="6.140625" style="34" customWidth="1"/>
    <col min="12041" max="12041" width="16" style="34" customWidth="1"/>
    <col min="12042" max="12042" width="9.140625" style="34"/>
    <col min="12043" max="12043" width="9.7109375" style="34" bestFit="1" customWidth="1"/>
    <col min="12044" max="12291" width="9.140625" style="34"/>
    <col min="12292" max="12292" width="5.5703125" style="34" customWidth="1"/>
    <col min="12293" max="12293" width="57.5703125" style="34" customWidth="1"/>
    <col min="12294" max="12294" width="9.28515625" style="34" bestFit="1" customWidth="1"/>
    <col min="12295" max="12295" width="16" style="34" customWidth="1"/>
    <col min="12296" max="12296" width="6.140625" style="34" customWidth="1"/>
    <col min="12297" max="12297" width="16" style="34" customWidth="1"/>
    <col min="12298" max="12298" width="9.140625" style="34"/>
    <col min="12299" max="12299" width="9.7109375" style="34" bestFit="1" customWidth="1"/>
    <col min="12300" max="12547" width="9.140625" style="34"/>
    <col min="12548" max="12548" width="5.5703125" style="34" customWidth="1"/>
    <col min="12549" max="12549" width="57.5703125" style="34" customWidth="1"/>
    <col min="12550" max="12550" width="9.28515625" style="34" bestFit="1" customWidth="1"/>
    <col min="12551" max="12551" width="16" style="34" customWidth="1"/>
    <col min="12552" max="12552" width="6.140625" style="34" customWidth="1"/>
    <col min="12553" max="12553" width="16" style="34" customWidth="1"/>
    <col min="12554" max="12554" width="9.140625" style="34"/>
    <col min="12555" max="12555" width="9.7109375" style="34" bestFit="1" customWidth="1"/>
    <col min="12556" max="12803" width="9.140625" style="34"/>
    <col min="12804" max="12804" width="5.5703125" style="34" customWidth="1"/>
    <col min="12805" max="12805" width="57.5703125" style="34" customWidth="1"/>
    <col min="12806" max="12806" width="9.28515625" style="34" bestFit="1" customWidth="1"/>
    <col min="12807" max="12807" width="16" style="34" customWidth="1"/>
    <col min="12808" max="12808" width="6.140625" style="34" customWidth="1"/>
    <col min="12809" max="12809" width="16" style="34" customWidth="1"/>
    <col min="12810" max="12810" width="9.140625" style="34"/>
    <col min="12811" max="12811" width="9.7109375" style="34" bestFit="1" customWidth="1"/>
    <col min="12812" max="13059" width="9.140625" style="34"/>
    <col min="13060" max="13060" width="5.5703125" style="34" customWidth="1"/>
    <col min="13061" max="13061" width="57.5703125" style="34" customWidth="1"/>
    <col min="13062" max="13062" width="9.28515625" style="34" bestFit="1" customWidth="1"/>
    <col min="13063" max="13063" width="16" style="34" customWidth="1"/>
    <col min="13064" max="13064" width="6.140625" style="34" customWidth="1"/>
    <col min="13065" max="13065" width="16" style="34" customWidth="1"/>
    <col min="13066" max="13066" width="9.140625" style="34"/>
    <col min="13067" max="13067" width="9.7109375" style="34" bestFit="1" customWidth="1"/>
    <col min="13068" max="13315" width="9.140625" style="34"/>
    <col min="13316" max="13316" width="5.5703125" style="34" customWidth="1"/>
    <col min="13317" max="13317" width="57.5703125" style="34" customWidth="1"/>
    <col min="13318" max="13318" width="9.28515625" style="34" bestFit="1" customWidth="1"/>
    <col min="13319" max="13319" width="16" style="34" customWidth="1"/>
    <col min="13320" max="13320" width="6.140625" style="34" customWidth="1"/>
    <col min="13321" max="13321" width="16" style="34" customWidth="1"/>
    <col min="13322" max="13322" width="9.140625" style="34"/>
    <col min="13323" max="13323" width="9.7109375" style="34" bestFit="1" customWidth="1"/>
    <col min="13324" max="13571" width="9.140625" style="34"/>
    <col min="13572" max="13572" width="5.5703125" style="34" customWidth="1"/>
    <col min="13573" max="13573" width="57.5703125" style="34" customWidth="1"/>
    <col min="13574" max="13574" width="9.28515625" style="34" bestFit="1" customWidth="1"/>
    <col min="13575" max="13575" width="16" style="34" customWidth="1"/>
    <col min="13576" max="13576" width="6.140625" style="34" customWidth="1"/>
    <col min="13577" max="13577" width="16" style="34" customWidth="1"/>
    <col min="13578" max="13578" width="9.140625" style="34"/>
    <col min="13579" max="13579" width="9.7109375" style="34" bestFit="1" customWidth="1"/>
    <col min="13580" max="13827" width="9.140625" style="34"/>
    <col min="13828" max="13828" width="5.5703125" style="34" customWidth="1"/>
    <col min="13829" max="13829" width="57.5703125" style="34" customWidth="1"/>
    <col min="13830" max="13830" width="9.28515625" style="34" bestFit="1" customWidth="1"/>
    <col min="13831" max="13831" width="16" style="34" customWidth="1"/>
    <col min="13832" max="13832" width="6.140625" style="34" customWidth="1"/>
    <col min="13833" max="13833" width="16" style="34" customWidth="1"/>
    <col min="13834" max="13834" width="9.140625" style="34"/>
    <col min="13835" max="13835" width="9.7109375" style="34" bestFit="1" customWidth="1"/>
    <col min="13836" max="14083" width="9.140625" style="34"/>
    <col min="14084" max="14084" width="5.5703125" style="34" customWidth="1"/>
    <col min="14085" max="14085" width="57.5703125" style="34" customWidth="1"/>
    <col min="14086" max="14086" width="9.28515625" style="34" bestFit="1" customWidth="1"/>
    <col min="14087" max="14087" width="16" style="34" customWidth="1"/>
    <col min="14088" max="14088" width="6.140625" style="34" customWidth="1"/>
    <col min="14089" max="14089" width="16" style="34" customWidth="1"/>
    <col min="14090" max="14090" width="9.140625" style="34"/>
    <col min="14091" max="14091" width="9.7109375" style="34" bestFit="1" customWidth="1"/>
    <col min="14092" max="14339" width="9.140625" style="34"/>
    <col min="14340" max="14340" width="5.5703125" style="34" customWidth="1"/>
    <col min="14341" max="14341" width="57.5703125" style="34" customWidth="1"/>
    <col min="14342" max="14342" width="9.28515625" style="34" bestFit="1" customWidth="1"/>
    <col min="14343" max="14343" width="16" style="34" customWidth="1"/>
    <col min="14344" max="14344" width="6.140625" style="34" customWidth="1"/>
    <col min="14345" max="14345" width="16" style="34" customWidth="1"/>
    <col min="14346" max="14346" width="9.140625" style="34"/>
    <col min="14347" max="14347" width="9.7109375" style="34" bestFit="1" customWidth="1"/>
    <col min="14348" max="14595" width="9.140625" style="34"/>
    <col min="14596" max="14596" width="5.5703125" style="34" customWidth="1"/>
    <col min="14597" max="14597" width="57.5703125" style="34" customWidth="1"/>
    <col min="14598" max="14598" width="9.28515625" style="34" bestFit="1" customWidth="1"/>
    <col min="14599" max="14599" width="16" style="34" customWidth="1"/>
    <col min="14600" max="14600" width="6.140625" style="34" customWidth="1"/>
    <col min="14601" max="14601" width="16" style="34" customWidth="1"/>
    <col min="14602" max="14602" width="9.140625" style="34"/>
    <col min="14603" max="14603" width="9.7109375" style="34" bestFit="1" customWidth="1"/>
    <col min="14604" max="14851" width="9.140625" style="34"/>
    <col min="14852" max="14852" width="5.5703125" style="34" customWidth="1"/>
    <col min="14853" max="14853" width="57.5703125" style="34" customWidth="1"/>
    <col min="14854" max="14854" width="9.28515625" style="34" bestFit="1" customWidth="1"/>
    <col min="14855" max="14855" width="16" style="34" customWidth="1"/>
    <col min="14856" max="14856" width="6.140625" style="34" customWidth="1"/>
    <col min="14857" max="14857" width="16" style="34" customWidth="1"/>
    <col min="14858" max="14858" width="9.140625" style="34"/>
    <col min="14859" max="14859" width="9.7109375" style="34" bestFit="1" customWidth="1"/>
    <col min="14860" max="15107" width="9.140625" style="34"/>
    <col min="15108" max="15108" width="5.5703125" style="34" customWidth="1"/>
    <col min="15109" max="15109" width="57.5703125" style="34" customWidth="1"/>
    <col min="15110" max="15110" width="9.28515625" style="34" bestFit="1" customWidth="1"/>
    <col min="15111" max="15111" width="16" style="34" customWidth="1"/>
    <col min="15112" max="15112" width="6.140625" style="34" customWidth="1"/>
    <col min="15113" max="15113" width="16" style="34" customWidth="1"/>
    <col min="15114" max="15114" width="9.140625" style="34"/>
    <col min="15115" max="15115" width="9.7109375" style="34" bestFit="1" customWidth="1"/>
    <col min="15116" max="15363" width="9.140625" style="34"/>
    <col min="15364" max="15364" width="5.5703125" style="34" customWidth="1"/>
    <col min="15365" max="15365" width="57.5703125" style="34" customWidth="1"/>
    <col min="15366" max="15366" width="9.28515625" style="34" bestFit="1" customWidth="1"/>
    <col min="15367" max="15367" width="16" style="34" customWidth="1"/>
    <col min="15368" max="15368" width="6.140625" style="34" customWidth="1"/>
    <col min="15369" max="15369" width="16" style="34" customWidth="1"/>
    <col min="15370" max="15370" width="9.140625" style="34"/>
    <col min="15371" max="15371" width="9.7109375" style="34" bestFit="1" customWidth="1"/>
    <col min="15372" max="15619" width="9.140625" style="34"/>
    <col min="15620" max="15620" width="5.5703125" style="34" customWidth="1"/>
    <col min="15621" max="15621" width="57.5703125" style="34" customWidth="1"/>
    <col min="15622" max="15622" width="9.28515625" style="34" bestFit="1" customWidth="1"/>
    <col min="15623" max="15623" width="16" style="34" customWidth="1"/>
    <col min="15624" max="15624" width="6.140625" style="34" customWidth="1"/>
    <col min="15625" max="15625" width="16" style="34" customWidth="1"/>
    <col min="15626" max="15626" width="9.140625" style="34"/>
    <col min="15627" max="15627" width="9.7109375" style="34" bestFit="1" customWidth="1"/>
    <col min="15628" max="15875" width="9.140625" style="34"/>
    <col min="15876" max="15876" width="5.5703125" style="34" customWidth="1"/>
    <col min="15877" max="15877" width="57.5703125" style="34" customWidth="1"/>
    <col min="15878" max="15878" width="9.28515625" style="34" bestFit="1" customWidth="1"/>
    <col min="15879" max="15879" width="16" style="34" customWidth="1"/>
    <col min="15880" max="15880" width="6.140625" style="34" customWidth="1"/>
    <col min="15881" max="15881" width="16" style="34" customWidth="1"/>
    <col min="15882" max="15882" width="9.140625" style="34"/>
    <col min="15883" max="15883" width="9.7109375" style="34" bestFit="1" customWidth="1"/>
    <col min="15884" max="16131" width="9.140625" style="34"/>
    <col min="16132" max="16132" width="5.5703125" style="34" customWidth="1"/>
    <col min="16133" max="16133" width="57.5703125" style="34" customWidth="1"/>
    <col min="16134" max="16134" width="9.28515625" style="34" bestFit="1" customWidth="1"/>
    <col min="16135" max="16135" width="16" style="34" customWidth="1"/>
    <col min="16136" max="16136" width="6.140625" style="34" customWidth="1"/>
    <col min="16137" max="16137" width="16" style="34" customWidth="1"/>
    <col min="16138" max="16138" width="9.140625" style="34"/>
    <col min="16139" max="16139" width="9.7109375" style="34" bestFit="1" customWidth="1"/>
    <col min="16140" max="16384" width="9.140625" style="34"/>
  </cols>
  <sheetData>
    <row r="1" spans="1:21" x14ac:dyDescent="0.2">
      <c r="B1" s="35" t="str">
        <f>Update!$B$6</f>
        <v>Department of Health</v>
      </c>
    </row>
    <row r="2" spans="1:21" x14ac:dyDescent="0.2">
      <c r="B2" s="35" t="str">
        <f>Update!$B$10</f>
        <v>Notes to the financial statements</v>
      </c>
    </row>
    <row r="3" spans="1:21" x14ac:dyDescent="0.2">
      <c r="B3" s="35" t="str">
        <f>Update!$A$3</f>
        <v>2025-26</v>
      </c>
    </row>
    <row r="5" spans="1:21" x14ac:dyDescent="0.2">
      <c r="A5" s="229" t="str">
        <f>VLOOKUP(B5,Update!$G$42:$H$103,2,FALSE)</f>
        <v>3a</v>
      </c>
      <c r="B5" s="37" t="s">
        <v>591</v>
      </c>
      <c r="L5" s="38"/>
      <c r="O5" s="722" t="s">
        <v>64</v>
      </c>
      <c r="Q5" s="722" t="s">
        <v>64</v>
      </c>
      <c r="T5" s="37" t="s">
        <v>1901</v>
      </c>
    </row>
    <row r="6" spans="1:21" ht="45" x14ac:dyDescent="0.2">
      <c r="D6" s="201" t="str">
        <f>Update!$B$7</f>
        <v>Core Department &amp; Agencies</v>
      </c>
      <c r="E6" s="201"/>
      <c r="F6" s="201" t="str">
        <f>Update!$B$8</f>
        <v>Departmental Group</v>
      </c>
      <c r="J6" s="201" t="str">
        <f>Update!$B$7</f>
        <v>Core Department &amp; Agencies</v>
      </c>
      <c r="K6" s="201"/>
      <c r="L6" s="201" t="str">
        <f>Update!$B$8</f>
        <v>Departmental Group</v>
      </c>
      <c r="O6" s="201" t="str">
        <f>Update!$B$7</f>
        <v>Core Department &amp; Agencies</v>
      </c>
      <c r="P6" s="201"/>
      <c r="Q6" s="201" t="str">
        <f>Update!$B$8</f>
        <v>Departmental Group</v>
      </c>
      <c r="T6" s="341" t="s">
        <v>1900</v>
      </c>
      <c r="U6" s="206" t="s">
        <v>1010</v>
      </c>
    </row>
    <row r="7" spans="1:21" x14ac:dyDescent="0.2">
      <c r="D7" s="202" t="str">
        <f>Update!$B$13</f>
        <v>2025-26</v>
      </c>
      <c r="E7" s="203"/>
      <c r="F7" s="202" t="str">
        <f>$D$7</f>
        <v>2025-26</v>
      </c>
      <c r="G7" s="203"/>
      <c r="H7" s="203"/>
      <c r="I7" s="203"/>
      <c r="J7" s="202" t="str">
        <f>Update!$B$15</f>
        <v>2024-25</v>
      </c>
      <c r="K7" s="203"/>
      <c r="L7" s="202" t="str">
        <f>J7</f>
        <v>2024-25</v>
      </c>
      <c r="O7" s="202" t="str">
        <f>Update!$B$13</f>
        <v>2025-26</v>
      </c>
      <c r="P7" s="203"/>
      <c r="Q7" s="202" t="str">
        <f>$D$7</f>
        <v>2025-26</v>
      </c>
    </row>
    <row r="8" spans="1:21" x14ac:dyDescent="0.2">
      <c r="C8" s="38" t="s">
        <v>461</v>
      </c>
      <c r="D8" s="57" t="s">
        <v>62</v>
      </c>
      <c r="E8" s="113"/>
      <c r="F8" s="57" t="s">
        <v>62</v>
      </c>
      <c r="G8" s="113"/>
      <c r="H8" s="113"/>
      <c r="I8" s="113"/>
      <c r="J8" s="57" t="s">
        <v>62</v>
      </c>
      <c r="K8" s="113"/>
      <c r="L8" s="57" t="s">
        <v>62</v>
      </c>
      <c r="O8" s="57" t="s">
        <v>62</v>
      </c>
      <c r="P8" s="113"/>
      <c r="Q8" s="57" t="s">
        <v>62</v>
      </c>
    </row>
    <row r="9" spans="1:21" ht="14.25" x14ac:dyDescent="0.2">
      <c r="B9" s="147" t="s">
        <v>592</v>
      </c>
      <c r="H9" s="813" t="s">
        <v>1404</v>
      </c>
      <c r="M9" s="101"/>
    </row>
    <row r="10" spans="1:21" x14ac:dyDescent="0.2">
      <c r="B10" s="37" t="s">
        <v>350</v>
      </c>
      <c r="D10" s="43">
        <f>ROUND(SUMIF(MAP!$E$358:$E$372,$B10,MAP!$T$358:$T$372),0)</f>
        <v>0</v>
      </c>
      <c r="F10" s="43">
        <f>ROUND(SUMIF(MAP!$E$358:$E$372,$B10,MAP!$N$358:$N$372),0)</f>
        <v>0</v>
      </c>
      <c r="H10" s="814" t="s">
        <v>282</v>
      </c>
      <c r="J10" s="746">
        <v>28961</v>
      </c>
      <c r="L10" s="746">
        <v>28961</v>
      </c>
      <c r="M10" s="101"/>
      <c r="O10" s="43">
        <f>ROUND(SUMIF(MAP!$E$358:$E$372,$B10,MAP!$U$358:$U$372),0)</f>
        <v>0</v>
      </c>
      <c r="Q10" s="43">
        <f>ROUND(SUMIF(MAP!$E$358:$E$372,$B10,MAP!$BD$358:$BD$372),0)</f>
        <v>0</v>
      </c>
      <c r="T10" s="342">
        <v>15415</v>
      </c>
      <c r="U10" s="204">
        <f>T10-D10</f>
        <v>15415</v>
      </c>
    </row>
    <row r="11" spans="1:21" x14ac:dyDescent="0.2">
      <c r="B11" s="37" t="s">
        <v>351</v>
      </c>
      <c r="D11" s="43">
        <f>ROUND(SUMIF(MAP!$E$358:$E$372,$B11,MAP!$T$358:$T$372),0)</f>
        <v>0</v>
      </c>
      <c r="F11" s="43">
        <f>ROUND(SUMIF(MAP!$E$358:$E$372,$B11,MAP!$N$358:$N$372),0)</f>
        <v>0</v>
      </c>
      <c r="H11" s="814" t="s">
        <v>282</v>
      </c>
      <c r="J11" s="746">
        <v>3353</v>
      </c>
      <c r="L11" s="746">
        <v>3353</v>
      </c>
      <c r="M11" s="101"/>
      <c r="O11" s="43">
        <f>ROUND(SUMIF(MAP!$E$358:$E$372,$B11,MAP!$U$358:$U$372),0)</f>
        <v>0</v>
      </c>
      <c r="Q11" s="43">
        <f>ROUND(SUMIF(MAP!$E$358:$E$372,$B11,MAP!$BD$358:$BD$372),0)</f>
        <v>0</v>
      </c>
      <c r="T11" s="342">
        <v>1599</v>
      </c>
      <c r="U11" s="204">
        <f t="shared" ref="U11:U18" si="0">T11-D11</f>
        <v>1599</v>
      </c>
    </row>
    <row r="12" spans="1:21" x14ac:dyDescent="0.2">
      <c r="B12" s="37" t="s">
        <v>352</v>
      </c>
      <c r="D12" s="43">
        <f>ROUND(SUMIF(MAP!$E$358:$E$372,$B12,MAP!$T$358:$T$372),0)</f>
        <v>0</v>
      </c>
      <c r="F12" s="43">
        <f>ROUND(SUMIF(MAP!$E$358:$E$372,$B12,MAP!$N$358:$N$372),0)</f>
        <v>0</v>
      </c>
      <c r="H12" s="814" t="s">
        <v>282</v>
      </c>
      <c r="J12" s="746">
        <v>9735</v>
      </c>
      <c r="L12" s="746">
        <v>9735</v>
      </c>
      <c r="M12" s="101"/>
      <c r="O12" s="43">
        <f>ROUND(SUMIF(MAP!$E$358:$E$372,$B12,MAP!$U$358:$U$372),0)</f>
        <v>0</v>
      </c>
      <c r="Q12" s="43">
        <f>ROUND(SUMIF(MAP!$E$358:$E$372,$B12,MAP!$BD$358:$BD$372),0)</f>
        <v>0</v>
      </c>
      <c r="T12" s="342">
        <v>3464</v>
      </c>
      <c r="U12" s="204">
        <f t="shared" si="0"/>
        <v>3464</v>
      </c>
    </row>
    <row r="13" spans="1:21" x14ac:dyDescent="0.2">
      <c r="B13" s="37" t="s">
        <v>155</v>
      </c>
      <c r="D13" s="43">
        <f>ROUND(SUMIF(MAP!$E$358:$E$372,$B13,MAP!$T$358:$T$372),0)</f>
        <v>0</v>
      </c>
      <c r="F13" s="43">
        <f>ROUND(SUMIF(MAP!$E$358:$E$372,$B13,MAP!$N$358:$N$372),0)</f>
        <v>0</v>
      </c>
      <c r="H13" s="814" t="s">
        <v>464</v>
      </c>
      <c r="J13" s="746">
        <v>7</v>
      </c>
      <c r="L13" s="746">
        <v>7</v>
      </c>
      <c r="M13" s="101"/>
      <c r="O13" s="43">
        <f>ROUND(SUMIF(MAP!$E$358:$E$372,$B13,MAP!$U$358:$U$372),0)</f>
        <v>0</v>
      </c>
      <c r="Q13" s="43">
        <f>ROUND(SUMIF(MAP!$E$358:$E$372,$B13,MAP!$BD$358:$BD$372),0)</f>
        <v>0</v>
      </c>
      <c r="T13" s="342">
        <v>5</v>
      </c>
      <c r="U13" s="204">
        <f t="shared" si="0"/>
        <v>5</v>
      </c>
    </row>
    <row r="14" spans="1:21" x14ac:dyDescent="0.2">
      <c r="B14" s="37" t="s">
        <v>156</v>
      </c>
      <c r="D14" s="43">
        <f>ROUND(SUMIF(MAP!$E$358:$E$372,$B14,MAP!$T$358:$T$372),0)</f>
        <v>0</v>
      </c>
      <c r="F14" s="43">
        <f>ROUND(SUMIF(MAP!$E$358:$E$372,$B14,MAP!$N$358:$N$372),0)</f>
        <v>0</v>
      </c>
      <c r="H14" s="814" t="s">
        <v>309</v>
      </c>
      <c r="J14" s="746">
        <v>1</v>
      </c>
      <c r="L14" s="746">
        <v>1</v>
      </c>
      <c r="M14" s="101"/>
      <c r="O14" s="43">
        <f>ROUND(SUMIF(MAP!$E$358:$E$372,$B14,MAP!$U$358:$U$372),0)</f>
        <v>0</v>
      </c>
      <c r="Q14" s="43">
        <f>ROUND(SUMIF(MAP!$E$358:$E$372,$B14,MAP!$BD$358:$BD$372),0)</f>
        <v>0</v>
      </c>
      <c r="T14" s="342">
        <v>11</v>
      </c>
      <c r="U14" s="204">
        <f t="shared" si="0"/>
        <v>11</v>
      </c>
    </row>
    <row r="15" spans="1:21" x14ac:dyDescent="0.2">
      <c r="B15" s="37" t="s">
        <v>2470</v>
      </c>
      <c r="D15" s="43">
        <f>ROUND(SUMIF(MAP!$E$358:$E$372,$B15,MAP!$T$358:$T$372),0)</f>
        <v>0</v>
      </c>
      <c r="F15" s="43">
        <f>ROUND(SUMIF(MAP!$E$358:$E$372,$B15,MAP!$N$358:$N$372),0)</f>
        <v>0</v>
      </c>
      <c r="H15" s="814" t="s">
        <v>309</v>
      </c>
      <c r="J15" s="746">
        <v>0</v>
      </c>
      <c r="L15" s="746">
        <v>0</v>
      </c>
      <c r="M15" s="101"/>
      <c r="O15" s="43"/>
      <c r="Q15" s="43"/>
      <c r="T15" s="342"/>
      <c r="U15" s="204"/>
    </row>
    <row r="16" spans="1:21" x14ac:dyDescent="0.2">
      <c r="B16" s="37" t="s">
        <v>353</v>
      </c>
      <c r="D16" s="43">
        <f>ROUND(SUMIF(MAP!$E$358:$E$372,$B16,MAP!$T$358:$T$372),0)</f>
        <v>0</v>
      </c>
      <c r="F16" s="43">
        <f>ROUND(SUMIF(MAP!$E$358:$E$372,$B16,MAP!$N$358:$N$372),0)</f>
        <v>0</v>
      </c>
      <c r="H16" s="814" t="s">
        <v>464</v>
      </c>
      <c r="J16" s="746">
        <v>0</v>
      </c>
      <c r="L16" s="746">
        <v>0</v>
      </c>
      <c r="M16" s="101"/>
      <c r="O16" s="43">
        <f>ROUND(SUMIF(MAP!$E$358:$E$372,$B16,MAP!$U$358:$U$372),0)</f>
        <v>0</v>
      </c>
      <c r="Q16" s="43">
        <f>ROUND(SUMIF(MAP!$E$358:$E$372,$B16,MAP!$BD$358:$BD$372),0)</f>
        <v>0</v>
      </c>
      <c r="T16" s="342"/>
      <c r="U16" s="204">
        <f t="shared" si="0"/>
        <v>0</v>
      </c>
    </row>
    <row r="17" spans="2:21" x14ac:dyDescent="0.2">
      <c r="B17" s="37" t="s">
        <v>157</v>
      </c>
      <c r="D17" s="43">
        <f>ROUND(SUMIF(MAP!$E$358:$E$372,$B17,MAP!$T$358:$T$372),0)</f>
        <v>0</v>
      </c>
      <c r="F17" s="43">
        <f>ROUND(SUMIF(MAP!$E$358:$E$372,$B17,MAP!$N$358:$N$372),0)</f>
        <v>0</v>
      </c>
      <c r="H17" s="814" t="s">
        <v>464</v>
      </c>
      <c r="J17" s="746">
        <v>0</v>
      </c>
      <c r="L17" s="746">
        <v>0</v>
      </c>
      <c r="M17" s="101"/>
      <c r="O17" s="43">
        <f>ROUND(SUMIF(MAP!$E$358:$E$372,$B17,MAP!$U$358:$U$372),0)</f>
        <v>0</v>
      </c>
      <c r="Q17" s="43">
        <f>ROUND(SUMIF(MAP!$E$358:$E$372,$B17,MAP!$BD$358:$BD$372),0)</f>
        <v>0</v>
      </c>
      <c r="T17" s="342"/>
      <c r="U17" s="204">
        <f t="shared" si="0"/>
        <v>0</v>
      </c>
    </row>
    <row r="18" spans="2:21" x14ac:dyDescent="0.2">
      <c r="B18" s="37" t="s">
        <v>158</v>
      </c>
      <c r="D18" s="43">
        <f>ROUND(SUMIF(MAP!$E$358:$E$372,$B18,MAP!$T$358:$T$372),0)</f>
        <v>0</v>
      </c>
      <c r="F18" s="43">
        <f>ROUND(SUMIF(MAP!$E$358:$E$372,$B18,MAP!$N$358:$N$372),0)</f>
        <v>0</v>
      </c>
      <c r="H18" s="814" t="s">
        <v>158</v>
      </c>
      <c r="J18" s="746">
        <v>519</v>
      </c>
      <c r="L18" s="746">
        <v>519</v>
      </c>
      <c r="M18" s="101"/>
      <c r="O18" s="43">
        <f>ROUND(SUMIF(MAP!$E$358:$E$372,$B18,MAP!$U$358:$U$372),0)</f>
        <v>0</v>
      </c>
      <c r="Q18" s="43">
        <f>ROUND(SUMIF(MAP!$E$358:$E$372,$B18,MAP!$BD$358:$BD$372),0)</f>
        <v>0</v>
      </c>
      <c r="T18" s="342">
        <v>1938</v>
      </c>
      <c r="U18" s="204">
        <f t="shared" si="0"/>
        <v>1938</v>
      </c>
    </row>
    <row r="19" spans="2:21" x14ac:dyDescent="0.2">
      <c r="D19" s="98">
        <f>SUM(D10:D18)</f>
        <v>0</v>
      </c>
      <c r="F19" s="98">
        <f>SUM(F10:F18)</f>
        <v>0</v>
      </c>
      <c r="H19" s="814"/>
      <c r="J19" s="98">
        <f>SUM(J10:J18)</f>
        <v>42576</v>
      </c>
      <c r="L19" s="98">
        <f>SUM(L10:L18)</f>
        <v>42576</v>
      </c>
      <c r="O19" s="98">
        <f>SUM(O10:O18)</f>
        <v>0</v>
      </c>
      <c r="Q19" s="98">
        <f>SUM(Q10:Q18)</f>
        <v>0</v>
      </c>
      <c r="T19" s="98">
        <f>SUM(T10:T18)</f>
        <v>22432</v>
      </c>
      <c r="U19" s="98">
        <f>SUM(U10:U18)</f>
        <v>22432</v>
      </c>
    </row>
    <row r="20" spans="2:21" x14ac:dyDescent="0.2">
      <c r="B20" s="115" t="s">
        <v>168</v>
      </c>
      <c r="H20" s="814"/>
      <c r="M20" s="101"/>
    </row>
    <row r="21" spans="2:21" x14ac:dyDescent="0.2">
      <c r="B21" s="148" t="s">
        <v>160</v>
      </c>
      <c r="D21" s="43">
        <f>ROUND(SUMIF(MAP!$E$373:$E$388,$B21,MAP!$T$373:$T$388),0)</f>
        <v>0</v>
      </c>
      <c r="F21" s="43">
        <f>ROUND(SUMIF(MAP!$E$373:$E$388,$B21,MAP!$N$373:$N$388),0)</f>
        <v>0</v>
      </c>
      <c r="G21" s="204" t="s">
        <v>1422</v>
      </c>
      <c r="H21" s="814" t="s">
        <v>283</v>
      </c>
      <c r="J21" s="746">
        <v>0</v>
      </c>
      <c r="L21" s="746">
        <v>0</v>
      </c>
      <c r="M21" s="101"/>
      <c r="O21" s="43">
        <f>ROUND(SUMIF(MAP!$E$373:$E$388,$B21,MAP!$U$373:$U$388),0)</f>
        <v>0</v>
      </c>
      <c r="Q21" s="43">
        <f>ROUND(SUMIF(MAP!$E$373:$E$388,$B21,MAP!$BD$373:$BD$388),0)</f>
        <v>0</v>
      </c>
      <c r="T21" s="342">
        <v>7</v>
      </c>
      <c r="U21" s="204">
        <f t="shared" ref="U21:U30" si="1">T21-D21</f>
        <v>7</v>
      </c>
    </row>
    <row r="22" spans="2:21" x14ac:dyDescent="0.2">
      <c r="B22" s="148" t="s">
        <v>161</v>
      </c>
      <c r="D22" s="43">
        <f>ROUND(SUMIF(MAP!$E$373:$E$388,$B22,MAP!$T$373:$T$388),0)</f>
        <v>0</v>
      </c>
      <c r="F22" s="43">
        <f>ROUND(SUMIF(MAP!$E$373:$E$388,$B22,MAP!$N$373:$N$388),0)</f>
        <v>0</v>
      </c>
      <c r="G22" s="204" t="s">
        <v>1422</v>
      </c>
      <c r="H22" s="814" t="s">
        <v>464</v>
      </c>
      <c r="J22" s="746">
        <v>0</v>
      </c>
      <c r="L22" s="746">
        <v>0</v>
      </c>
      <c r="M22" s="101"/>
      <c r="O22" s="43">
        <f>ROUND(SUMIF(MAP!$E$373:$E$388,$B22,MAP!$U$373:$U$388),0)</f>
        <v>0</v>
      </c>
      <c r="Q22" s="43">
        <f>ROUND(SUMIF(MAP!$E$373:$E$388,$B22,MAP!$BD$373:$BD$388),0)</f>
        <v>0</v>
      </c>
      <c r="T22" s="342"/>
      <c r="U22" s="204">
        <f t="shared" si="1"/>
        <v>0</v>
      </c>
    </row>
    <row r="23" spans="2:21" x14ac:dyDescent="0.2">
      <c r="B23" s="148" t="s">
        <v>1671</v>
      </c>
      <c r="D23" s="43">
        <f>ROUND(SUMIF(MAP!$E$373:$E$388,$B23,MAP!$T$373:$T$388),0)</f>
        <v>0</v>
      </c>
      <c r="F23" s="43">
        <f>ROUND(SUMIF(MAP!$E$373:$E$388,$B23,MAP!$N$373:$N$388),0)</f>
        <v>0</v>
      </c>
      <c r="H23" s="814" t="s">
        <v>464</v>
      </c>
      <c r="J23" s="746">
        <v>0</v>
      </c>
      <c r="L23" s="746">
        <v>0</v>
      </c>
      <c r="M23" s="101"/>
      <c r="O23" s="43">
        <f>ROUND(SUMIF(MAP!$E$373:$E$388,$B23,MAP!$U$373:$U$388),0)</f>
        <v>0</v>
      </c>
      <c r="Q23" s="43">
        <f>ROUND(SUMIF(MAP!$E$373:$E$388,$B23,MAP!$BD$373:$BD$388),0)</f>
        <v>0</v>
      </c>
      <c r="T23" s="342"/>
      <c r="U23" s="204">
        <f t="shared" si="1"/>
        <v>0</v>
      </c>
    </row>
    <row r="24" spans="2:21" x14ac:dyDescent="0.2">
      <c r="B24" s="148" t="s">
        <v>1670</v>
      </c>
      <c r="D24" s="43">
        <f>ROUND(SUMIF(MAP!$E$373:$E$388,$B24,MAP!$T$373:$T$388),0)</f>
        <v>0</v>
      </c>
      <c r="F24" s="43">
        <f>ROUND(SUMIF(MAP!$E$373:$E$388,$B24,MAP!$N$373:$N$388),0)</f>
        <v>0</v>
      </c>
      <c r="H24" s="814" t="s">
        <v>464</v>
      </c>
      <c r="J24" s="746">
        <v>0</v>
      </c>
      <c r="L24" s="746">
        <v>0</v>
      </c>
      <c r="M24" s="101"/>
      <c r="O24" s="43">
        <f>ROUND(SUMIF(MAP!$E$373:$E$388,$B24,MAP!$U$373:$U$388),0)</f>
        <v>0</v>
      </c>
      <c r="Q24" s="43">
        <f>ROUND(SUMIF(MAP!$E$373:$E$388,$B24,MAP!$BD$373:$BD$388),0)</f>
        <v>0</v>
      </c>
      <c r="T24" s="342"/>
      <c r="U24" s="204">
        <f t="shared" si="1"/>
        <v>0</v>
      </c>
    </row>
    <row r="25" spans="2:21" x14ac:dyDescent="0.2">
      <c r="B25" s="148" t="s">
        <v>169</v>
      </c>
      <c r="D25" s="43">
        <f>ROUND(SUMIF(MAP!$E$373:$E$388,$B25,MAP!$T$373:$T$388),0)</f>
        <v>0</v>
      </c>
      <c r="F25" s="43">
        <f>ROUND(SUMIF(MAP!$E$373:$E$388,$B25,MAP!$N$373:$N$388),0)</f>
        <v>0</v>
      </c>
      <c r="H25" s="814" t="s">
        <v>464</v>
      </c>
      <c r="J25" s="746">
        <v>182</v>
      </c>
      <c r="L25" s="746">
        <v>182</v>
      </c>
      <c r="O25" s="43">
        <f>ROUND(SUMIF(MAP!$E$373:$E$388,$B25,MAP!$U$373:$U$388),0)</f>
        <v>0</v>
      </c>
      <c r="Q25" s="43">
        <f>ROUND(SUMIF(MAP!$E$373:$E$388,$B25,MAP!$BD$373:$BD$388),0)</f>
        <v>0</v>
      </c>
      <c r="T25" s="342">
        <v>64</v>
      </c>
      <c r="U25" s="204">
        <f t="shared" si="1"/>
        <v>64</v>
      </c>
    </row>
    <row r="26" spans="2:21" ht="25.5" x14ac:dyDescent="0.2">
      <c r="B26" s="148" t="s">
        <v>357</v>
      </c>
      <c r="C26" s="74">
        <v>15</v>
      </c>
      <c r="D26" s="43">
        <f>ROUND(SUMIF(MAP!$E$373:$E$388,$B26,MAP!$T$373:$T$388),0)</f>
        <v>0</v>
      </c>
      <c r="F26" s="43">
        <f>ROUND(SUMIF(MAP!$E$373:$E$388,$B26,MAP!$N$373:$N$388),0)</f>
        <v>0</v>
      </c>
      <c r="H26" s="814" t="s">
        <v>284</v>
      </c>
      <c r="J26" s="746">
        <v>0</v>
      </c>
      <c r="L26" s="746">
        <v>0</v>
      </c>
      <c r="M26" s="101"/>
      <c r="O26" s="43">
        <f>ROUND(SUMIF(MAP!$E$373:$E$388,$B26,MAP!$U$373:$U$388),0)</f>
        <v>0</v>
      </c>
      <c r="Q26" s="43">
        <f>ROUND(SUMIF(MAP!$E$373:$E$388,$B26,MAP!$BD$373:$BD$388),0)</f>
        <v>0</v>
      </c>
      <c r="T26" s="342"/>
      <c r="U26" s="204">
        <f t="shared" si="1"/>
        <v>0</v>
      </c>
    </row>
    <row r="27" spans="2:21" x14ac:dyDescent="0.2">
      <c r="B27" s="148" t="s">
        <v>170</v>
      </c>
      <c r="C27" s="74">
        <v>15</v>
      </c>
      <c r="D27" s="43">
        <f>ROUND(SUMIF(MAP!$E$373:$E$388,$B27,MAP!$T$373:$T$388),0)</f>
        <v>0</v>
      </c>
      <c r="F27" s="43">
        <f>ROUND(SUMIF(MAP!$E$373:$E$388,$B27,MAP!$N$373:$N$388),0)</f>
        <v>0</v>
      </c>
      <c r="H27" s="814" t="s">
        <v>284</v>
      </c>
      <c r="J27" s="746">
        <v>0</v>
      </c>
      <c r="L27" s="746">
        <v>0</v>
      </c>
      <c r="M27" s="121"/>
      <c r="O27" s="43">
        <f>ROUND(SUMIF(MAP!$E$373:$E$388,$B27,MAP!$U$373:$U$388),0)</f>
        <v>0</v>
      </c>
      <c r="Q27" s="43">
        <f>ROUND(SUMIF(MAP!$E$373:$E$388,$B27,MAP!$BD$373:$BD$388),0)</f>
        <v>0</v>
      </c>
      <c r="T27" s="342"/>
      <c r="U27" s="204">
        <f t="shared" si="1"/>
        <v>0</v>
      </c>
    </row>
    <row r="28" spans="2:21" x14ac:dyDescent="0.2">
      <c r="B28" s="148" t="s">
        <v>162</v>
      </c>
      <c r="D28" s="43">
        <f>ROUND(SUMIF(MAP!$E$373:$E$388,$B28,MAP!$T$373:$T$388),0)</f>
        <v>0</v>
      </c>
      <c r="F28" s="43">
        <f>ROUND(SUMIF(MAP!$E$373:$E$388,$B28,MAP!$N$373:$N$388),0)</f>
        <v>0</v>
      </c>
      <c r="G28" s="204" t="s">
        <v>1422</v>
      </c>
      <c r="H28" s="814" t="s">
        <v>283</v>
      </c>
      <c r="J28" s="746">
        <v>0</v>
      </c>
      <c r="L28" s="746">
        <v>0</v>
      </c>
      <c r="M28" s="101"/>
      <c r="O28" s="43">
        <f>ROUND(SUMIF(MAP!$E$373:$E$388,$B28,MAP!$U$373:$U$388),0)</f>
        <v>0</v>
      </c>
      <c r="Q28" s="43">
        <f>ROUND(SUMIF(MAP!$E$373:$E$388,$B28,MAP!$BD$373:$BD$388),0)</f>
        <v>0</v>
      </c>
      <c r="T28" s="342"/>
      <c r="U28" s="204">
        <f t="shared" si="1"/>
        <v>0</v>
      </c>
    </row>
    <row r="29" spans="2:21" x14ac:dyDescent="0.2">
      <c r="B29" s="148" t="s">
        <v>163</v>
      </c>
      <c r="D29" s="43">
        <f>ROUND(SUMIF(MAP!$E$373:$E$388,$B29,MAP!$T$373:$T$388),0)</f>
        <v>0</v>
      </c>
      <c r="F29" s="43">
        <f>ROUND(SUMIF(MAP!$E$373:$E$388,$B29,MAP!$N$373:$N$388),0)</f>
        <v>0</v>
      </c>
      <c r="H29" s="814" t="s">
        <v>464</v>
      </c>
      <c r="J29" s="746">
        <v>2072</v>
      </c>
      <c r="L29" s="746">
        <v>2072</v>
      </c>
      <c r="M29" s="101"/>
      <c r="O29" s="43">
        <f>ROUND(SUMIF(MAP!$E$373:$E$388,$B29,MAP!$U$373:$U$388),0)</f>
        <v>0</v>
      </c>
      <c r="Q29" s="43">
        <f>ROUND(SUMIF(MAP!$E$373:$E$388,$B29,MAP!$BD$373:$BD$388),0)</f>
        <v>0</v>
      </c>
      <c r="T29" s="342">
        <v>2146</v>
      </c>
      <c r="U29" s="204">
        <f t="shared" si="1"/>
        <v>2146</v>
      </c>
    </row>
    <row r="30" spans="2:21" x14ac:dyDescent="0.2">
      <c r="B30" s="148" t="s">
        <v>164</v>
      </c>
      <c r="D30" s="43">
        <f>ROUND(SUMIF(MAP!$E$373:$E$388,$B30,MAP!$T$373:$T$388),0)</f>
        <v>0</v>
      </c>
      <c r="F30" s="43">
        <f>ROUND(SUMIF(MAP!$E$373:$E$388,$B30,MAP!$N$373:$N$388),0)</f>
        <v>0</v>
      </c>
      <c r="H30" s="814" t="s">
        <v>464</v>
      </c>
      <c r="J30" s="746">
        <v>4246</v>
      </c>
      <c r="L30" s="746">
        <v>4246</v>
      </c>
      <c r="M30" s="101"/>
      <c r="O30" s="43">
        <f>ROUND(SUMIF(MAP!$E$373:$E$388,$B30,MAP!$U$373:$U$388),0)</f>
        <v>0</v>
      </c>
      <c r="Q30" s="43">
        <f>ROUND(SUMIF(MAP!$E$373:$E$388,$B30,MAP!$BD$373:$BD$388),0)</f>
        <v>0</v>
      </c>
      <c r="T30" s="342">
        <v>2095</v>
      </c>
      <c r="U30" s="204">
        <f t="shared" si="1"/>
        <v>2095</v>
      </c>
    </row>
    <row r="31" spans="2:21" x14ac:dyDescent="0.2">
      <c r="B31" s="148" t="s">
        <v>165</v>
      </c>
      <c r="C31" s="88"/>
      <c r="D31" s="97">
        <f>SUM(D21:D30)</f>
        <v>0</v>
      </c>
      <c r="E31" s="37"/>
      <c r="F31" s="97">
        <f>SUM(F21:F30)</f>
        <v>0</v>
      </c>
      <c r="G31" s="37"/>
      <c r="H31" s="37"/>
      <c r="I31" s="37"/>
      <c r="J31" s="97">
        <f>SUM(J21:J30)</f>
        <v>6500</v>
      </c>
      <c r="K31" s="37"/>
      <c r="L31" s="97">
        <f>SUM(L21:L30)</f>
        <v>6500</v>
      </c>
      <c r="M31" s="101"/>
      <c r="O31" s="97">
        <f>SUM(O21:O30)</f>
        <v>0</v>
      </c>
      <c r="P31" s="37"/>
      <c r="Q31" s="97">
        <f>SUM(Q21:Q30)</f>
        <v>0</v>
      </c>
      <c r="T31" s="97">
        <f>SUM(T21:T30)</f>
        <v>4312</v>
      </c>
      <c r="U31" s="97">
        <f>SUM(U21:U30)</f>
        <v>4312</v>
      </c>
    </row>
    <row r="32" spans="2:21" x14ac:dyDescent="0.2">
      <c r="B32" s="37"/>
    </row>
    <row r="33" spans="1:21" s="41" customFormat="1" x14ac:dyDescent="0.2">
      <c r="A33" s="106"/>
      <c r="B33" s="125" t="s">
        <v>146</v>
      </c>
      <c r="C33" s="125"/>
      <c r="D33" s="97">
        <f>D19+D31</f>
        <v>0</v>
      </c>
      <c r="E33" s="37"/>
      <c r="F33" s="97">
        <f>F19+F31</f>
        <v>0</v>
      </c>
      <c r="G33" s="37"/>
      <c r="H33" s="37"/>
      <c r="I33" s="37"/>
      <c r="J33" s="97">
        <f>J19+J31</f>
        <v>49076</v>
      </c>
      <c r="K33" s="37"/>
      <c r="L33" s="97">
        <f>L19+L31</f>
        <v>49076</v>
      </c>
      <c r="O33" s="97">
        <f>O19+O31</f>
        <v>0</v>
      </c>
      <c r="P33" s="37"/>
      <c r="Q33" s="97">
        <f>Q19+Q31</f>
        <v>0</v>
      </c>
      <c r="T33" s="97">
        <f>T19+T31</f>
        <v>26744</v>
      </c>
      <c r="U33" s="1157">
        <f>U19+U31</f>
        <v>26744</v>
      </c>
    </row>
    <row r="35" spans="1:21" ht="14.25" x14ac:dyDescent="0.2">
      <c r="B35" s="147" t="s">
        <v>593</v>
      </c>
    </row>
    <row r="38" spans="1:21" outlineLevel="1" x14ac:dyDescent="0.2">
      <c r="D38" s="205">
        <f>D19-MAP!$T$372</f>
        <v>0</v>
      </c>
      <c r="F38" s="205">
        <f>F19-MAP!$N$372</f>
        <v>0</v>
      </c>
      <c r="O38" s="205">
        <f>O19-MAP!$U$372</f>
        <v>0</v>
      </c>
      <c r="Q38" s="205">
        <f>Q19-MAP!$BD$372</f>
        <v>0</v>
      </c>
    </row>
    <row r="39" spans="1:21" outlineLevel="1" x14ac:dyDescent="0.2">
      <c r="D39" s="205">
        <f>D31-MAP!T387</f>
        <v>0</v>
      </c>
      <c r="F39" s="205">
        <f>F31-MAP!N387</f>
        <v>0</v>
      </c>
      <c r="O39" s="205">
        <f>O31-MAP!AD387</f>
        <v>0</v>
      </c>
      <c r="Q39" s="205">
        <f>Q31-MAP!X387</f>
        <v>0</v>
      </c>
    </row>
  </sheetData>
  <pageMargins left="0.35433070866141736" right="0.47244094488188981" top="0.19685039370078741" bottom="0.19685039370078741" header="0.31496062992125984" footer="0.31496062992125984"/>
  <pageSetup paperSize="9"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1:W107"/>
  <sheetViews>
    <sheetView zoomScale="90" zoomScaleNormal="90" workbookViewId="0">
      <selection activeCell="G5" sqref="G4:G5"/>
    </sheetView>
  </sheetViews>
  <sheetFormatPr defaultRowHeight="12.75" outlineLevelRow="1" outlineLevelCol="1" x14ac:dyDescent="0.2"/>
  <cols>
    <col min="1" max="1" width="5.85546875" style="37" customWidth="1"/>
    <col min="2" max="2" width="58.42578125" style="34" customWidth="1"/>
    <col min="3" max="3" width="9.140625" style="74"/>
    <col min="4" max="4" width="16" style="34" customWidth="1"/>
    <col min="5" max="5" width="2.85546875" style="34" customWidth="1"/>
    <col min="6" max="6" width="13.7109375" style="34" bestFit="1" customWidth="1"/>
    <col min="7" max="8" width="8" style="34" hidden="1" customWidth="1" outlineLevel="1"/>
    <col min="9" max="9" width="30.5703125" style="34" hidden="1" customWidth="1" outlineLevel="1"/>
    <col min="10" max="10" width="5" style="34" customWidth="1" collapsed="1"/>
    <col min="11" max="11" width="16" style="34" customWidth="1" outlineLevel="1"/>
    <col min="12" max="12" width="2.5703125" style="34" customWidth="1" outlineLevel="1"/>
    <col min="13" max="13" width="16" style="34" customWidth="1" outlineLevel="1"/>
    <col min="14" max="14" width="5.28515625" style="34" customWidth="1"/>
    <col min="15" max="15" width="17.7109375" style="34" hidden="1" customWidth="1" outlineLevel="1"/>
    <col min="16" max="16" width="2.5703125" style="34" hidden="1" customWidth="1" outlineLevel="1"/>
    <col min="17" max="17" width="14.5703125" style="34" hidden="1" customWidth="1" outlineLevel="1"/>
    <col min="18" max="18" width="9.140625" style="34" collapsed="1"/>
    <col min="19" max="19" width="11.7109375" style="34" hidden="1" customWidth="1" outlineLevel="1"/>
    <col min="20" max="20" width="10.85546875" style="34" hidden="1" customWidth="1" outlineLevel="1"/>
    <col min="21" max="21" width="9.140625" style="34" collapsed="1"/>
    <col min="22" max="255" width="9.140625" style="34"/>
    <col min="256" max="256" width="5.85546875" style="34" customWidth="1"/>
    <col min="257" max="257" width="58.42578125" style="34" customWidth="1"/>
    <col min="258" max="258" width="9.140625" style="34"/>
    <col min="259" max="259" width="16" style="34" customWidth="1"/>
    <col min="260" max="260" width="5" style="34" customWidth="1"/>
    <col min="261" max="261" width="16" style="34" customWidth="1"/>
    <col min="262" max="511" width="9.140625" style="34"/>
    <col min="512" max="512" width="5.85546875" style="34" customWidth="1"/>
    <col min="513" max="513" width="58.42578125" style="34" customWidth="1"/>
    <col min="514" max="514" width="9.140625" style="34"/>
    <col min="515" max="515" width="16" style="34" customWidth="1"/>
    <col min="516" max="516" width="5" style="34" customWidth="1"/>
    <col min="517" max="517" width="16" style="34" customWidth="1"/>
    <col min="518" max="767" width="9.140625" style="34"/>
    <col min="768" max="768" width="5.85546875" style="34" customWidth="1"/>
    <col min="769" max="769" width="58.42578125" style="34" customWidth="1"/>
    <col min="770" max="770" width="9.140625" style="34"/>
    <col min="771" max="771" width="16" style="34" customWidth="1"/>
    <col min="772" max="772" width="5" style="34" customWidth="1"/>
    <col min="773" max="773" width="16" style="34" customWidth="1"/>
    <col min="774" max="1023" width="9.140625" style="34"/>
    <col min="1024" max="1024" width="5.85546875" style="34" customWidth="1"/>
    <col min="1025" max="1025" width="58.42578125" style="34" customWidth="1"/>
    <col min="1026" max="1026" width="9.140625" style="34"/>
    <col min="1027" max="1027" width="16" style="34" customWidth="1"/>
    <col min="1028" max="1028" width="5" style="34" customWidth="1"/>
    <col min="1029" max="1029" width="16" style="34" customWidth="1"/>
    <col min="1030" max="1279" width="9.140625" style="34"/>
    <col min="1280" max="1280" width="5.85546875" style="34" customWidth="1"/>
    <col min="1281" max="1281" width="58.42578125" style="34" customWidth="1"/>
    <col min="1282" max="1282" width="9.140625" style="34"/>
    <col min="1283" max="1283" width="16" style="34" customWidth="1"/>
    <col min="1284" max="1284" width="5" style="34" customWidth="1"/>
    <col min="1285" max="1285" width="16" style="34" customWidth="1"/>
    <col min="1286" max="1535" width="9.140625" style="34"/>
    <col min="1536" max="1536" width="5.85546875" style="34" customWidth="1"/>
    <col min="1537" max="1537" width="58.42578125" style="34" customWidth="1"/>
    <col min="1538" max="1538" width="9.140625" style="34"/>
    <col min="1539" max="1539" width="16" style="34" customWidth="1"/>
    <col min="1540" max="1540" width="5" style="34" customWidth="1"/>
    <col min="1541" max="1541" width="16" style="34" customWidth="1"/>
    <col min="1542" max="1791" width="9.140625" style="34"/>
    <col min="1792" max="1792" width="5.85546875" style="34" customWidth="1"/>
    <col min="1793" max="1793" width="58.42578125" style="34" customWidth="1"/>
    <col min="1794" max="1794" width="9.140625" style="34"/>
    <col min="1795" max="1795" width="16" style="34" customWidth="1"/>
    <col min="1796" max="1796" width="5" style="34" customWidth="1"/>
    <col min="1797" max="1797" width="16" style="34" customWidth="1"/>
    <col min="1798" max="2047" width="9.140625" style="34"/>
    <col min="2048" max="2048" width="5.85546875" style="34" customWidth="1"/>
    <col min="2049" max="2049" width="58.42578125" style="34" customWidth="1"/>
    <col min="2050" max="2050" width="9.140625" style="34"/>
    <col min="2051" max="2051" width="16" style="34" customWidth="1"/>
    <col min="2052" max="2052" width="5" style="34" customWidth="1"/>
    <col min="2053" max="2053" width="16" style="34" customWidth="1"/>
    <col min="2054" max="2303" width="9.140625" style="34"/>
    <col min="2304" max="2304" width="5.85546875" style="34" customWidth="1"/>
    <col min="2305" max="2305" width="58.42578125" style="34" customWidth="1"/>
    <col min="2306" max="2306" width="9.140625" style="34"/>
    <col min="2307" max="2307" width="16" style="34" customWidth="1"/>
    <col min="2308" max="2308" width="5" style="34" customWidth="1"/>
    <col min="2309" max="2309" width="16" style="34" customWidth="1"/>
    <col min="2310" max="2559" width="9.140625" style="34"/>
    <col min="2560" max="2560" width="5.85546875" style="34" customWidth="1"/>
    <col min="2561" max="2561" width="58.42578125" style="34" customWidth="1"/>
    <col min="2562" max="2562" width="9.140625" style="34"/>
    <col min="2563" max="2563" width="16" style="34" customWidth="1"/>
    <col min="2564" max="2564" width="5" style="34" customWidth="1"/>
    <col min="2565" max="2565" width="16" style="34" customWidth="1"/>
    <col min="2566" max="2815" width="9.140625" style="34"/>
    <col min="2816" max="2816" width="5.85546875" style="34" customWidth="1"/>
    <col min="2817" max="2817" width="58.42578125" style="34" customWidth="1"/>
    <col min="2818" max="2818" width="9.140625" style="34"/>
    <col min="2819" max="2819" width="16" style="34" customWidth="1"/>
    <col min="2820" max="2820" width="5" style="34" customWidth="1"/>
    <col min="2821" max="2821" width="16" style="34" customWidth="1"/>
    <col min="2822" max="3071" width="9.140625" style="34"/>
    <col min="3072" max="3072" width="5.85546875" style="34" customWidth="1"/>
    <col min="3073" max="3073" width="58.42578125" style="34" customWidth="1"/>
    <col min="3074" max="3074" width="9.140625" style="34"/>
    <col min="3075" max="3075" width="16" style="34" customWidth="1"/>
    <col min="3076" max="3076" width="5" style="34" customWidth="1"/>
    <col min="3077" max="3077" width="16" style="34" customWidth="1"/>
    <col min="3078" max="3327" width="9.140625" style="34"/>
    <col min="3328" max="3328" width="5.85546875" style="34" customWidth="1"/>
    <col min="3329" max="3329" width="58.42578125" style="34" customWidth="1"/>
    <col min="3330" max="3330" width="9.140625" style="34"/>
    <col min="3331" max="3331" width="16" style="34" customWidth="1"/>
    <col min="3332" max="3332" width="5" style="34" customWidth="1"/>
    <col min="3333" max="3333" width="16" style="34" customWidth="1"/>
    <col min="3334" max="3583" width="9.140625" style="34"/>
    <col min="3584" max="3584" width="5.85546875" style="34" customWidth="1"/>
    <col min="3585" max="3585" width="58.42578125" style="34" customWidth="1"/>
    <col min="3586" max="3586" width="9.140625" style="34"/>
    <col min="3587" max="3587" width="16" style="34" customWidth="1"/>
    <col min="3588" max="3588" width="5" style="34" customWidth="1"/>
    <col min="3589" max="3589" width="16" style="34" customWidth="1"/>
    <col min="3590" max="3839" width="9.140625" style="34"/>
    <col min="3840" max="3840" width="5.85546875" style="34" customWidth="1"/>
    <col min="3841" max="3841" width="58.42578125" style="34" customWidth="1"/>
    <col min="3842" max="3842" width="9.140625" style="34"/>
    <col min="3843" max="3843" width="16" style="34" customWidth="1"/>
    <col min="3844" max="3844" width="5" style="34" customWidth="1"/>
    <col min="3845" max="3845" width="16" style="34" customWidth="1"/>
    <col min="3846" max="4095" width="9.140625" style="34"/>
    <col min="4096" max="4096" width="5.85546875" style="34" customWidth="1"/>
    <col min="4097" max="4097" width="58.42578125" style="34" customWidth="1"/>
    <col min="4098" max="4098" width="9.140625" style="34"/>
    <col min="4099" max="4099" width="16" style="34" customWidth="1"/>
    <col min="4100" max="4100" width="5" style="34" customWidth="1"/>
    <col min="4101" max="4101" width="16" style="34" customWidth="1"/>
    <col min="4102" max="4351" width="9.140625" style="34"/>
    <col min="4352" max="4352" width="5.85546875" style="34" customWidth="1"/>
    <col min="4353" max="4353" width="58.42578125" style="34" customWidth="1"/>
    <col min="4354" max="4354" width="9.140625" style="34"/>
    <col min="4355" max="4355" width="16" style="34" customWidth="1"/>
    <col min="4356" max="4356" width="5" style="34" customWidth="1"/>
    <col min="4357" max="4357" width="16" style="34" customWidth="1"/>
    <col min="4358" max="4607" width="9.140625" style="34"/>
    <col min="4608" max="4608" width="5.85546875" style="34" customWidth="1"/>
    <col min="4609" max="4609" width="58.42578125" style="34" customWidth="1"/>
    <col min="4610" max="4610" width="9.140625" style="34"/>
    <col min="4611" max="4611" width="16" style="34" customWidth="1"/>
    <col min="4612" max="4612" width="5" style="34" customWidth="1"/>
    <col min="4613" max="4613" width="16" style="34" customWidth="1"/>
    <col min="4614" max="4863" width="9.140625" style="34"/>
    <col min="4864" max="4864" width="5.85546875" style="34" customWidth="1"/>
    <col min="4865" max="4865" width="58.42578125" style="34" customWidth="1"/>
    <col min="4866" max="4866" width="9.140625" style="34"/>
    <col min="4867" max="4867" width="16" style="34" customWidth="1"/>
    <col min="4868" max="4868" width="5" style="34" customWidth="1"/>
    <col min="4869" max="4869" width="16" style="34" customWidth="1"/>
    <col min="4870" max="5119" width="9.140625" style="34"/>
    <col min="5120" max="5120" width="5.85546875" style="34" customWidth="1"/>
    <col min="5121" max="5121" width="58.42578125" style="34" customWidth="1"/>
    <col min="5122" max="5122" width="9.140625" style="34"/>
    <col min="5123" max="5123" width="16" style="34" customWidth="1"/>
    <col min="5124" max="5124" width="5" style="34" customWidth="1"/>
    <col min="5125" max="5125" width="16" style="34" customWidth="1"/>
    <col min="5126" max="5375" width="9.140625" style="34"/>
    <col min="5376" max="5376" width="5.85546875" style="34" customWidth="1"/>
    <col min="5377" max="5377" width="58.42578125" style="34" customWidth="1"/>
    <col min="5378" max="5378" width="9.140625" style="34"/>
    <col min="5379" max="5379" width="16" style="34" customWidth="1"/>
    <col min="5380" max="5380" width="5" style="34" customWidth="1"/>
    <col min="5381" max="5381" width="16" style="34" customWidth="1"/>
    <col min="5382" max="5631" width="9.140625" style="34"/>
    <col min="5632" max="5632" width="5.85546875" style="34" customWidth="1"/>
    <col min="5633" max="5633" width="58.42578125" style="34" customWidth="1"/>
    <col min="5634" max="5634" width="9.140625" style="34"/>
    <col min="5635" max="5635" width="16" style="34" customWidth="1"/>
    <col min="5636" max="5636" width="5" style="34" customWidth="1"/>
    <col min="5637" max="5637" width="16" style="34" customWidth="1"/>
    <col min="5638" max="5887" width="9.140625" style="34"/>
    <col min="5888" max="5888" width="5.85546875" style="34" customWidth="1"/>
    <col min="5889" max="5889" width="58.42578125" style="34" customWidth="1"/>
    <col min="5890" max="5890" width="9.140625" style="34"/>
    <col min="5891" max="5891" width="16" style="34" customWidth="1"/>
    <col min="5892" max="5892" width="5" style="34" customWidth="1"/>
    <col min="5893" max="5893" width="16" style="34" customWidth="1"/>
    <col min="5894" max="6143" width="9.140625" style="34"/>
    <col min="6144" max="6144" width="5.85546875" style="34" customWidth="1"/>
    <col min="6145" max="6145" width="58.42578125" style="34" customWidth="1"/>
    <col min="6146" max="6146" width="9.140625" style="34"/>
    <col min="6147" max="6147" width="16" style="34" customWidth="1"/>
    <col min="6148" max="6148" width="5" style="34" customWidth="1"/>
    <col min="6149" max="6149" width="16" style="34" customWidth="1"/>
    <col min="6150" max="6399" width="9.140625" style="34"/>
    <col min="6400" max="6400" width="5.85546875" style="34" customWidth="1"/>
    <col min="6401" max="6401" width="58.42578125" style="34" customWidth="1"/>
    <col min="6402" max="6402" width="9.140625" style="34"/>
    <col min="6403" max="6403" width="16" style="34" customWidth="1"/>
    <col min="6404" max="6404" width="5" style="34" customWidth="1"/>
    <col min="6405" max="6405" width="16" style="34" customWidth="1"/>
    <col min="6406" max="6655" width="9.140625" style="34"/>
    <col min="6656" max="6656" width="5.85546875" style="34" customWidth="1"/>
    <col min="6657" max="6657" width="58.42578125" style="34" customWidth="1"/>
    <col min="6658" max="6658" width="9.140625" style="34"/>
    <col min="6659" max="6659" width="16" style="34" customWidth="1"/>
    <col min="6660" max="6660" width="5" style="34" customWidth="1"/>
    <col min="6661" max="6661" width="16" style="34" customWidth="1"/>
    <col min="6662" max="6911" width="9.140625" style="34"/>
    <col min="6912" max="6912" width="5.85546875" style="34" customWidth="1"/>
    <col min="6913" max="6913" width="58.42578125" style="34" customWidth="1"/>
    <col min="6914" max="6914" width="9.140625" style="34"/>
    <col min="6915" max="6915" width="16" style="34" customWidth="1"/>
    <col min="6916" max="6916" width="5" style="34" customWidth="1"/>
    <col min="6917" max="6917" width="16" style="34" customWidth="1"/>
    <col min="6918" max="7167" width="9.140625" style="34"/>
    <col min="7168" max="7168" width="5.85546875" style="34" customWidth="1"/>
    <col min="7169" max="7169" width="58.42578125" style="34" customWidth="1"/>
    <col min="7170" max="7170" width="9.140625" style="34"/>
    <col min="7171" max="7171" width="16" style="34" customWidth="1"/>
    <col min="7172" max="7172" width="5" style="34" customWidth="1"/>
    <col min="7173" max="7173" width="16" style="34" customWidth="1"/>
    <col min="7174" max="7423" width="9.140625" style="34"/>
    <col min="7424" max="7424" width="5.85546875" style="34" customWidth="1"/>
    <col min="7425" max="7425" width="58.42578125" style="34" customWidth="1"/>
    <col min="7426" max="7426" width="9.140625" style="34"/>
    <col min="7427" max="7427" width="16" style="34" customWidth="1"/>
    <col min="7428" max="7428" width="5" style="34" customWidth="1"/>
    <col min="7429" max="7429" width="16" style="34" customWidth="1"/>
    <col min="7430" max="7679" width="9.140625" style="34"/>
    <col min="7680" max="7680" width="5.85546875" style="34" customWidth="1"/>
    <col min="7681" max="7681" width="58.42578125" style="34" customWidth="1"/>
    <col min="7682" max="7682" width="9.140625" style="34"/>
    <col min="7683" max="7683" width="16" style="34" customWidth="1"/>
    <col min="7684" max="7684" width="5" style="34" customWidth="1"/>
    <col min="7685" max="7685" width="16" style="34" customWidth="1"/>
    <col min="7686" max="7935" width="9.140625" style="34"/>
    <col min="7936" max="7936" width="5.85546875" style="34" customWidth="1"/>
    <col min="7937" max="7937" width="58.42578125" style="34" customWidth="1"/>
    <col min="7938" max="7938" width="9.140625" style="34"/>
    <col min="7939" max="7939" width="16" style="34" customWidth="1"/>
    <col min="7940" max="7940" width="5" style="34" customWidth="1"/>
    <col min="7941" max="7941" width="16" style="34" customWidth="1"/>
    <col min="7942" max="8191" width="9.140625" style="34"/>
    <col min="8192" max="8192" width="5.85546875" style="34" customWidth="1"/>
    <col min="8193" max="8193" width="58.42578125" style="34" customWidth="1"/>
    <col min="8194" max="8194" width="9.140625" style="34"/>
    <col min="8195" max="8195" width="16" style="34" customWidth="1"/>
    <col min="8196" max="8196" width="5" style="34" customWidth="1"/>
    <col min="8197" max="8197" width="16" style="34" customWidth="1"/>
    <col min="8198" max="8447" width="9.140625" style="34"/>
    <col min="8448" max="8448" width="5.85546875" style="34" customWidth="1"/>
    <col min="8449" max="8449" width="58.42578125" style="34" customWidth="1"/>
    <col min="8450" max="8450" width="9.140625" style="34"/>
    <col min="8451" max="8451" width="16" style="34" customWidth="1"/>
    <col min="8452" max="8452" width="5" style="34" customWidth="1"/>
    <col min="8453" max="8453" width="16" style="34" customWidth="1"/>
    <col min="8454" max="8703" width="9.140625" style="34"/>
    <col min="8704" max="8704" width="5.85546875" style="34" customWidth="1"/>
    <col min="8705" max="8705" width="58.42578125" style="34" customWidth="1"/>
    <col min="8706" max="8706" width="9.140625" style="34"/>
    <col min="8707" max="8707" width="16" style="34" customWidth="1"/>
    <col min="8708" max="8708" width="5" style="34" customWidth="1"/>
    <col min="8709" max="8709" width="16" style="34" customWidth="1"/>
    <col min="8710" max="8959" width="9.140625" style="34"/>
    <col min="8960" max="8960" width="5.85546875" style="34" customWidth="1"/>
    <col min="8961" max="8961" width="58.42578125" style="34" customWidth="1"/>
    <col min="8962" max="8962" width="9.140625" style="34"/>
    <col min="8963" max="8963" width="16" style="34" customWidth="1"/>
    <col min="8964" max="8964" width="5" style="34" customWidth="1"/>
    <col min="8965" max="8965" width="16" style="34" customWidth="1"/>
    <col min="8966" max="9215" width="9.140625" style="34"/>
    <col min="9216" max="9216" width="5.85546875" style="34" customWidth="1"/>
    <col min="9217" max="9217" width="58.42578125" style="34" customWidth="1"/>
    <col min="9218" max="9218" width="9.140625" style="34"/>
    <col min="9219" max="9219" width="16" style="34" customWidth="1"/>
    <col min="9220" max="9220" width="5" style="34" customWidth="1"/>
    <col min="9221" max="9221" width="16" style="34" customWidth="1"/>
    <col min="9222" max="9471" width="9.140625" style="34"/>
    <col min="9472" max="9472" width="5.85546875" style="34" customWidth="1"/>
    <col min="9473" max="9473" width="58.42578125" style="34" customWidth="1"/>
    <col min="9474" max="9474" width="9.140625" style="34"/>
    <col min="9475" max="9475" width="16" style="34" customWidth="1"/>
    <col min="9476" max="9476" width="5" style="34" customWidth="1"/>
    <col min="9477" max="9477" width="16" style="34" customWidth="1"/>
    <col min="9478" max="9727" width="9.140625" style="34"/>
    <col min="9728" max="9728" width="5.85546875" style="34" customWidth="1"/>
    <col min="9729" max="9729" width="58.42578125" style="34" customWidth="1"/>
    <col min="9730" max="9730" width="9.140625" style="34"/>
    <col min="9731" max="9731" width="16" style="34" customWidth="1"/>
    <col min="9732" max="9732" width="5" style="34" customWidth="1"/>
    <col min="9733" max="9733" width="16" style="34" customWidth="1"/>
    <col min="9734" max="9983" width="9.140625" style="34"/>
    <col min="9984" max="9984" width="5.85546875" style="34" customWidth="1"/>
    <col min="9985" max="9985" width="58.42578125" style="34" customWidth="1"/>
    <col min="9986" max="9986" width="9.140625" style="34"/>
    <col min="9987" max="9987" width="16" style="34" customWidth="1"/>
    <col min="9988" max="9988" width="5" style="34" customWidth="1"/>
    <col min="9989" max="9989" width="16" style="34" customWidth="1"/>
    <col min="9990" max="10239" width="9.140625" style="34"/>
    <col min="10240" max="10240" width="5.85546875" style="34" customWidth="1"/>
    <col min="10241" max="10241" width="58.42578125" style="34" customWidth="1"/>
    <col min="10242" max="10242" width="9.140625" style="34"/>
    <col min="10243" max="10243" width="16" style="34" customWidth="1"/>
    <col min="10244" max="10244" width="5" style="34" customWidth="1"/>
    <col min="10245" max="10245" width="16" style="34" customWidth="1"/>
    <col min="10246" max="10495" width="9.140625" style="34"/>
    <col min="10496" max="10496" width="5.85546875" style="34" customWidth="1"/>
    <col min="10497" max="10497" width="58.42578125" style="34" customWidth="1"/>
    <col min="10498" max="10498" width="9.140625" style="34"/>
    <col min="10499" max="10499" width="16" style="34" customWidth="1"/>
    <col min="10500" max="10500" width="5" style="34" customWidth="1"/>
    <col min="10501" max="10501" width="16" style="34" customWidth="1"/>
    <col min="10502" max="10751" width="9.140625" style="34"/>
    <col min="10752" max="10752" width="5.85546875" style="34" customWidth="1"/>
    <col min="10753" max="10753" width="58.42578125" style="34" customWidth="1"/>
    <col min="10754" max="10754" width="9.140625" style="34"/>
    <col min="10755" max="10755" width="16" style="34" customWidth="1"/>
    <col min="10756" max="10756" width="5" style="34" customWidth="1"/>
    <col min="10757" max="10757" width="16" style="34" customWidth="1"/>
    <col min="10758" max="11007" width="9.140625" style="34"/>
    <col min="11008" max="11008" width="5.85546875" style="34" customWidth="1"/>
    <col min="11009" max="11009" width="58.42578125" style="34" customWidth="1"/>
    <col min="11010" max="11010" width="9.140625" style="34"/>
    <col min="11011" max="11011" width="16" style="34" customWidth="1"/>
    <col min="11012" max="11012" width="5" style="34" customWidth="1"/>
    <col min="11013" max="11013" width="16" style="34" customWidth="1"/>
    <col min="11014" max="11263" width="9.140625" style="34"/>
    <col min="11264" max="11264" width="5.85546875" style="34" customWidth="1"/>
    <col min="11265" max="11265" width="58.42578125" style="34" customWidth="1"/>
    <col min="11266" max="11266" width="9.140625" style="34"/>
    <col min="11267" max="11267" width="16" style="34" customWidth="1"/>
    <col min="11268" max="11268" width="5" style="34" customWidth="1"/>
    <col min="11269" max="11269" width="16" style="34" customWidth="1"/>
    <col min="11270" max="11519" width="9.140625" style="34"/>
    <col min="11520" max="11520" width="5.85546875" style="34" customWidth="1"/>
    <col min="11521" max="11521" width="58.42578125" style="34" customWidth="1"/>
    <col min="11522" max="11522" width="9.140625" style="34"/>
    <col min="11523" max="11523" width="16" style="34" customWidth="1"/>
    <col min="11524" max="11524" width="5" style="34" customWidth="1"/>
    <col min="11525" max="11525" width="16" style="34" customWidth="1"/>
    <col min="11526" max="11775" width="9.140625" style="34"/>
    <col min="11776" max="11776" width="5.85546875" style="34" customWidth="1"/>
    <col min="11777" max="11777" width="58.42578125" style="34" customWidth="1"/>
    <col min="11778" max="11778" width="9.140625" style="34"/>
    <col min="11779" max="11779" width="16" style="34" customWidth="1"/>
    <col min="11780" max="11780" width="5" style="34" customWidth="1"/>
    <col min="11781" max="11781" width="16" style="34" customWidth="1"/>
    <col min="11782" max="12031" width="9.140625" style="34"/>
    <col min="12032" max="12032" width="5.85546875" style="34" customWidth="1"/>
    <col min="12033" max="12033" width="58.42578125" style="34" customWidth="1"/>
    <col min="12034" max="12034" width="9.140625" style="34"/>
    <col min="12035" max="12035" width="16" style="34" customWidth="1"/>
    <col min="12036" max="12036" width="5" style="34" customWidth="1"/>
    <col min="12037" max="12037" width="16" style="34" customWidth="1"/>
    <col min="12038" max="12287" width="9.140625" style="34"/>
    <col min="12288" max="12288" width="5.85546875" style="34" customWidth="1"/>
    <col min="12289" max="12289" width="58.42578125" style="34" customWidth="1"/>
    <col min="12290" max="12290" width="9.140625" style="34"/>
    <col min="12291" max="12291" width="16" style="34" customWidth="1"/>
    <col min="12292" max="12292" width="5" style="34" customWidth="1"/>
    <col min="12293" max="12293" width="16" style="34" customWidth="1"/>
    <col min="12294" max="12543" width="9.140625" style="34"/>
    <col min="12544" max="12544" width="5.85546875" style="34" customWidth="1"/>
    <col min="12545" max="12545" width="58.42578125" style="34" customWidth="1"/>
    <col min="12546" max="12546" width="9.140625" style="34"/>
    <col min="12547" max="12547" width="16" style="34" customWidth="1"/>
    <col min="12548" max="12548" width="5" style="34" customWidth="1"/>
    <col min="12549" max="12549" width="16" style="34" customWidth="1"/>
    <col min="12550" max="12799" width="9.140625" style="34"/>
    <col min="12800" max="12800" width="5.85546875" style="34" customWidth="1"/>
    <col min="12801" max="12801" width="58.42578125" style="34" customWidth="1"/>
    <col min="12802" max="12802" width="9.140625" style="34"/>
    <col min="12803" max="12803" width="16" style="34" customWidth="1"/>
    <col min="12804" max="12804" width="5" style="34" customWidth="1"/>
    <col min="12805" max="12805" width="16" style="34" customWidth="1"/>
    <col min="12806" max="13055" width="9.140625" style="34"/>
    <col min="13056" max="13056" width="5.85546875" style="34" customWidth="1"/>
    <col min="13057" max="13057" width="58.42578125" style="34" customWidth="1"/>
    <col min="13058" max="13058" width="9.140625" style="34"/>
    <col min="13059" max="13059" width="16" style="34" customWidth="1"/>
    <col min="13060" max="13060" width="5" style="34" customWidth="1"/>
    <col min="13061" max="13061" width="16" style="34" customWidth="1"/>
    <col min="13062" max="13311" width="9.140625" style="34"/>
    <col min="13312" max="13312" width="5.85546875" style="34" customWidth="1"/>
    <col min="13313" max="13313" width="58.42578125" style="34" customWidth="1"/>
    <col min="13314" max="13314" width="9.140625" style="34"/>
    <col min="13315" max="13315" width="16" style="34" customWidth="1"/>
    <col min="13316" max="13316" width="5" style="34" customWidth="1"/>
    <col min="13317" max="13317" width="16" style="34" customWidth="1"/>
    <col min="13318" max="13567" width="9.140625" style="34"/>
    <col min="13568" max="13568" width="5.85546875" style="34" customWidth="1"/>
    <col min="13569" max="13569" width="58.42578125" style="34" customWidth="1"/>
    <col min="13570" max="13570" width="9.140625" style="34"/>
    <col min="13571" max="13571" width="16" style="34" customWidth="1"/>
    <col min="13572" max="13572" width="5" style="34" customWidth="1"/>
    <col min="13573" max="13573" width="16" style="34" customWidth="1"/>
    <col min="13574" max="13823" width="9.140625" style="34"/>
    <col min="13824" max="13824" width="5.85546875" style="34" customWidth="1"/>
    <col min="13825" max="13825" width="58.42578125" style="34" customWidth="1"/>
    <col min="13826" max="13826" width="9.140625" style="34"/>
    <col min="13827" max="13827" width="16" style="34" customWidth="1"/>
    <col min="13828" max="13828" width="5" style="34" customWidth="1"/>
    <col min="13829" max="13829" width="16" style="34" customWidth="1"/>
    <col min="13830" max="14079" width="9.140625" style="34"/>
    <col min="14080" max="14080" width="5.85546875" style="34" customWidth="1"/>
    <col min="14081" max="14081" width="58.42578125" style="34" customWidth="1"/>
    <col min="14082" max="14082" width="9.140625" style="34"/>
    <col min="14083" max="14083" width="16" style="34" customWidth="1"/>
    <col min="14084" max="14084" width="5" style="34" customWidth="1"/>
    <col min="14085" max="14085" width="16" style="34" customWidth="1"/>
    <col min="14086" max="14335" width="9.140625" style="34"/>
    <col min="14336" max="14336" width="5.85546875" style="34" customWidth="1"/>
    <col min="14337" max="14337" width="58.42578125" style="34" customWidth="1"/>
    <col min="14338" max="14338" width="9.140625" style="34"/>
    <col min="14339" max="14339" width="16" style="34" customWidth="1"/>
    <col min="14340" max="14340" width="5" style="34" customWidth="1"/>
    <col min="14341" max="14341" width="16" style="34" customWidth="1"/>
    <col min="14342" max="14591" width="9.140625" style="34"/>
    <col min="14592" max="14592" width="5.85546875" style="34" customWidth="1"/>
    <col min="14593" max="14593" width="58.42578125" style="34" customWidth="1"/>
    <col min="14594" max="14594" width="9.140625" style="34"/>
    <col min="14595" max="14595" width="16" style="34" customWidth="1"/>
    <col min="14596" max="14596" width="5" style="34" customWidth="1"/>
    <col min="14597" max="14597" width="16" style="34" customWidth="1"/>
    <col min="14598" max="14847" width="9.140625" style="34"/>
    <col min="14848" max="14848" width="5.85546875" style="34" customWidth="1"/>
    <col min="14849" max="14849" width="58.42578125" style="34" customWidth="1"/>
    <col min="14850" max="14850" width="9.140625" style="34"/>
    <col min="14851" max="14851" width="16" style="34" customWidth="1"/>
    <col min="14852" max="14852" width="5" style="34" customWidth="1"/>
    <col min="14853" max="14853" width="16" style="34" customWidth="1"/>
    <col min="14854" max="15103" width="9.140625" style="34"/>
    <col min="15104" max="15104" width="5.85546875" style="34" customWidth="1"/>
    <col min="15105" max="15105" width="58.42578125" style="34" customWidth="1"/>
    <col min="15106" max="15106" width="9.140625" style="34"/>
    <col min="15107" max="15107" width="16" style="34" customWidth="1"/>
    <col min="15108" max="15108" width="5" style="34" customWidth="1"/>
    <col min="15109" max="15109" width="16" style="34" customWidth="1"/>
    <col min="15110" max="15359" width="9.140625" style="34"/>
    <col min="15360" max="15360" width="5.85546875" style="34" customWidth="1"/>
    <col min="15361" max="15361" width="58.42578125" style="34" customWidth="1"/>
    <col min="15362" max="15362" width="9.140625" style="34"/>
    <col min="15363" max="15363" width="16" style="34" customWidth="1"/>
    <col min="15364" max="15364" width="5" style="34" customWidth="1"/>
    <col min="15365" max="15365" width="16" style="34" customWidth="1"/>
    <col min="15366" max="15615" width="9.140625" style="34"/>
    <col min="15616" max="15616" width="5.85546875" style="34" customWidth="1"/>
    <col min="15617" max="15617" width="58.42578125" style="34" customWidth="1"/>
    <col min="15618" max="15618" width="9.140625" style="34"/>
    <col min="15619" max="15619" width="16" style="34" customWidth="1"/>
    <col min="15620" max="15620" width="5" style="34" customWidth="1"/>
    <col min="15621" max="15621" width="16" style="34" customWidth="1"/>
    <col min="15622" max="15871" width="9.140625" style="34"/>
    <col min="15872" max="15872" width="5.85546875" style="34" customWidth="1"/>
    <col min="15873" max="15873" width="58.42578125" style="34" customWidth="1"/>
    <col min="15874" max="15874" width="9.140625" style="34"/>
    <col min="15875" max="15875" width="16" style="34" customWidth="1"/>
    <col min="15876" max="15876" width="5" style="34" customWidth="1"/>
    <col min="15877" max="15877" width="16" style="34" customWidth="1"/>
    <col min="15878" max="16127" width="9.140625" style="34"/>
    <col min="16128" max="16128" width="5.85546875" style="34" customWidth="1"/>
    <col min="16129" max="16129" width="58.42578125" style="34" customWidth="1"/>
    <col min="16130" max="16130" width="9.140625" style="34"/>
    <col min="16131" max="16131" width="16" style="34" customWidth="1"/>
    <col min="16132" max="16132" width="5" style="34" customWidth="1"/>
    <col min="16133" max="16133" width="16" style="34" customWidth="1"/>
    <col min="16134" max="16384" width="9.140625" style="34"/>
  </cols>
  <sheetData>
    <row r="1" spans="1:20" x14ac:dyDescent="0.2">
      <c r="B1" s="35" t="str">
        <f>Update!$B$6</f>
        <v>Department of Health</v>
      </c>
    </row>
    <row r="2" spans="1:20" x14ac:dyDescent="0.2">
      <c r="B2" s="35" t="str">
        <f>Update!$B$10</f>
        <v>Notes to the financial statements</v>
      </c>
    </row>
    <row r="3" spans="1:20" x14ac:dyDescent="0.2">
      <c r="B3" s="35" t="str">
        <f>Update!$A$3</f>
        <v>2025-26</v>
      </c>
    </row>
    <row r="5" spans="1:20" x14ac:dyDescent="0.2">
      <c r="A5" s="229" t="str">
        <f>VLOOKUP(B5,Update!$G$42:$H$103,2,FALSE)</f>
        <v>3b</v>
      </c>
      <c r="B5" s="37" t="s">
        <v>594</v>
      </c>
      <c r="K5" s="38"/>
      <c r="L5" s="38"/>
      <c r="M5" s="38"/>
      <c r="O5" s="722" t="s">
        <v>64</v>
      </c>
      <c r="Q5" s="722" t="s">
        <v>64</v>
      </c>
      <c r="S5" s="34" t="s">
        <v>1901</v>
      </c>
    </row>
    <row r="6" spans="1:20" ht="37.5" customHeight="1" x14ac:dyDescent="0.2">
      <c r="A6" s="36"/>
      <c r="B6" s="37"/>
      <c r="D6" s="201" t="str">
        <f>Update!$B$7</f>
        <v>Core Department &amp; Agencies</v>
      </c>
      <c r="E6" s="201"/>
      <c r="F6" s="201" t="str">
        <f>Update!$B$8</f>
        <v>Departmental Group</v>
      </c>
      <c r="K6" s="201" t="str">
        <f>Update!$B$7</f>
        <v>Core Department &amp; Agencies</v>
      </c>
      <c r="L6" s="201"/>
      <c r="M6" s="201" t="str">
        <f>Update!$B$8</f>
        <v>Departmental Group</v>
      </c>
      <c r="O6" s="201" t="str">
        <f>Update!$B$7</f>
        <v>Core Department &amp; Agencies</v>
      </c>
      <c r="P6" s="201"/>
      <c r="Q6" s="201" t="str">
        <f>Update!$B$8</f>
        <v>Departmental Group</v>
      </c>
      <c r="S6" s="341" t="s">
        <v>1900</v>
      </c>
      <c r="T6" s="206" t="s">
        <v>1010</v>
      </c>
    </row>
    <row r="7" spans="1:20" x14ac:dyDescent="0.2">
      <c r="D7" s="202" t="str">
        <f>Update!$B$13</f>
        <v>2025-26</v>
      </c>
      <c r="E7" s="203"/>
      <c r="F7" s="202" t="str">
        <f>$D$7</f>
        <v>2025-26</v>
      </c>
      <c r="G7" s="203"/>
      <c r="H7" s="203"/>
      <c r="I7" s="203"/>
      <c r="J7" s="203"/>
      <c r="K7" s="202" t="str">
        <f>Update!$B$15</f>
        <v>2024-25</v>
      </c>
      <c r="L7" s="203"/>
      <c r="M7" s="202" t="str">
        <f>K7</f>
        <v>2024-25</v>
      </c>
      <c r="O7" s="202" t="str">
        <f>Update!$B$13</f>
        <v>2025-26</v>
      </c>
      <c r="P7" s="203"/>
      <c r="Q7" s="202" t="str">
        <f>$D$7</f>
        <v>2025-26</v>
      </c>
    </row>
    <row r="8" spans="1:20" x14ac:dyDescent="0.2">
      <c r="C8" s="38" t="s">
        <v>461</v>
      </c>
      <c r="D8" s="57" t="s">
        <v>62</v>
      </c>
      <c r="E8" s="39"/>
      <c r="F8" s="57" t="s">
        <v>62</v>
      </c>
      <c r="G8" s="39"/>
      <c r="H8" s="39"/>
      <c r="I8" s="39"/>
      <c r="J8" s="39"/>
      <c r="K8" s="57" t="s">
        <v>62</v>
      </c>
      <c r="M8" s="57" t="s">
        <v>62</v>
      </c>
      <c r="O8" s="57" t="s">
        <v>62</v>
      </c>
      <c r="P8" s="39"/>
      <c r="Q8" s="57" t="s">
        <v>62</v>
      </c>
    </row>
    <row r="9" spans="1:20" x14ac:dyDescent="0.2">
      <c r="B9" s="37"/>
    </row>
    <row r="10" spans="1:20" ht="14.25" x14ac:dyDescent="0.2">
      <c r="B10" s="147" t="s">
        <v>592</v>
      </c>
      <c r="I10" s="813" t="s">
        <v>1404</v>
      </c>
    </row>
    <row r="11" spans="1:20" x14ac:dyDescent="0.2">
      <c r="B11" s="34" t="s">
        <v>152</v>
      </c>
      <c r="D11" s="43">
        <f>ROUND(SUMIF(MAP!$E$389:$E$406,$B11,MAP!$T$389:$T$406),0)</f>
        <v>0</v>
      </c>
      <c r="F11" s="43">
        <f>ROUND(SUMIF(MAP!$E$389:$E$406,$B11,MAP!$N$389:$N$406),0)</f>
        <v>0</v>
      </c>
      <c r="I11" s="814" t="s">
        <v>282</v>
      </c>
      <c r="K11" s="342">
        <v>25866</v>
      </c>
      <c r="M11" s="342">
        <v>3737413</v>
      </c>
      <c r="O11" s="43">
        <f>ROUND(SUMIF(MAP!$E$389:$E$406,$B11,MAP!$U$389:$U$406),0)</f>
        <v>0</v>
      </c>
      <c r="Q11" s="43">
        <f>ROUND(SUMIF(MAP!$E$389:$E$406,$B11,MAP!$BD$389:$BD$406),0)</f>
        <v>0</v>
      </c>
      <c r="S11" s="342">
        <v>36794</v>
      </c>
      <c r="T11" s="204">
        <f t="shared" ref="T11:T22" si="0">S11-D11</f>
        <v>36794</v>
      </c>
    </row>
    <row r="12" spans="1:20" x14ac:dyDescent="0.2">
      <c r="B12" s="34" t="s">
        <v>153</v>
      </c>
      <c r="D12" s="43">
        <f>ROUND(SUMIF(MAP!$E$389:$E$406,$B12,MAP!$T$389:$T$406),0)</f>
        <v>0</v>
      </c>
      <c r="F12" s="43">
        <f>ROUND(SUMIF(MAP!$E$389:$E$406,$B12,MAP!$N$389:$N$406),0)</f>
        <v>0</v>
      </c>
      <c r="I12" s="814" t="s">
        <v>282</v>
      </c>
      <c r="K12" s="342">
        <v>2944</v>
      </c>
      <c r="M12" s="342">
        <v>342676</v>
      </c>
      <c r="O12" s="43">
        <f>ROUND(SUMIF(MAP!$E$389:$E$406,$B12,MAP!$U$389:$U$406),0)</f>
        <v>0</v>
      </c>
      <c r="Q12" s="43">
        <f>ROUND(SUMIF(MAP!$E$389:$E$406,$B12,MAP!$BD$389:$BD$406),0)</f>
        <v>0</v>
      </c>
      <c r="S12" s="342">
        <v>3933</v>
      </c>
      <c r="T12" s="204">
        <f t="shared" si="0"/>
        <v>3933</v>
      </c>
    </row>
    <row r="13" spans="1:20" x14ac:dyDescent="0.2">
      <c r="B13" s="34" t="s">
        <v>154</v>
      </c>
      <c r="D13" s="43">
        <f>ROUND(SUMIF(MAP!$E$389:$E$406,$B13,MAP!$T$389:$T$406),0)</f>
        <v>0</v>
      </c>
      <c r="F13" s="43">
        <f>ROUND(SUMIF(MAP!$E$389:$E$406,$B13,MAP!$N$389:$N$406),0)</f>
        <v>0</v>
      </c>
      <c r="I13" s="814" t="s">
        <v>282</v>
      </c>
      <c r="K13" s="342">
        <v>5195</v>
      </c>
      <c r="M13" s="342">
        <v>650385</v>
      </c>
      <c r="O13" s="43">
        <f>ROUND(SUMIF(MAP!$E$389:$E$406,$B13,MAP!$U$389:$U$406),0)</f>
        <v>0</v>
      </c>
      <c r="Q13" s="43">
        <f>ROUND(SUMIF(MAP!$E$389:$E$406,$B13,MAP!$BD$389:$BD$406),0)</f>
        <v>0</v>
      </c>
      <c r="S13" s="342">
        <v>5618</v>
      </c>
      <c r="T13" s="204">
        <f t="shared" si="0"/>
        <v>5618</v>
      </c>
    </row>
    <row r="14" spans="1:20" x14ac:dyDescent="0.2">
      <c r="B14" s="34" t="s">
        <v>155</v>
      </c>
      <c r="D14" s="43">
        <f>ROUND(SUMIF(MAP!$E$389:$E$406,$B14,MAP!$T$389:$T$406),0)</f>
        <v>0</v>
      </c>
      <c r="F14" s="43">
        <f>ROUND(SUMIF(MAP!$E$389:$E$406,$B14,MAP!$N$389:$N$406),0)</f>
        <v>0</v>
      </c>
      <c r="I14" s="814" t="s">
        <v>464</v>
      </c>
      <c r="K14" s="342">
        <v>108</v>
      </c>
      <c r="M14" s="342">
        <v>5013</v>
      </c>
      <c r="O14" s="43">
        <f>ROUND(SUMIF(MAP!$E$389:$E$406,$B14,MAP!$U$389:$U$406),0)</f>
        <v>0</v>
      </c>
      <c r="Q14" s="43">
        <f>ROUND(SUMIF(MAP!$E$389:$E$406,$B14,MAP!$BD$389:$BD$406),0)</f>
        <v>0</v>
      </c>
      <c r="S14" s="342">
        <v>332</v>
      </c>
      <c r="T14" s="204">
        <f>S14-D14</f>
        <v>332</v>
      </c>
    </row>
    <row r="15" spans="1:20" x14ac:dyDescent="0.2">
      <c r="B15" s="34" t="s">
        <v>156</v>
      </c>
      <c r="D15" s="43">
        <f>ROUND(SUMIF(MAP!$E$389:$E$406,$B15,MAP!$T$389:$T$406),0)</f>
        <v>0</v>
      </c>
      <c r="F15" s="43">
        <f>ROUND(SUMIF(MAP!$E$389:$E$406,$B15,MAP!$N$389:$N$406),0)</f>
        <v>0</v>
      </c>
      <c r="I15" s="814" t="s">
        <v>309</v>
      </c>
      <c r="K15" s="342">
        <v>0</v>
      </c>
      <c r="M15" s="342">
        <v>14403</v>
      </c>
      <c r="O15" s="43">
        <f>ROUND(SUMIF(MAP!$E$389:$E$406,$B15,MAP!$U$389:$U$406),0)</f>
        <v>0</v>
      </c>
      <c r="Q15" s="43">
        <f>ROUND(SUMIF(MAP!$E$389:$E$406,$B15,MAP!$BD$389:$BD$406),0)</f>
        <v>0</v>
      </c>
      <c r="S15" s="342"/>
      <c r="T15" s="204">
        <f>S15-D15</f>
        <v>0</v>
      </c>
    </row>
    <row r="16" spans="1:20" x14ac:dyDescent="0.2">
      <c r="B16" s="34" t="s">
        <v>2470</v>
      </c>
      <c r="D16" s="43">
        <f>ROUND(SUMIF(MAP!$E$389:$E$406,$B16,MAP!$T$389:$T$406),0)</f>
        <v>0</v>
      </c>
      <c r="F16" s="43">
        <f>ROUND(SUMIF(MAP!$E$389:$E$406,$B16,MAP!$N$389:$N$406),0)</f>
        <v>0</v>
      </c>
      <c r="I16" s="814" t="s">
        <v>309</v>
      </c>
      <c r="K16" s="342">
        <v>9</v>
      </c>
      <c r="M16" s="342">
        <v>402</v>
      </c>
      <c r="O16" s="43">
        <f>ROUND(SUMIF(MAP!$E$389:$E$406,$B16,MAP!$U$389:$U$406),0)</f>
        <v>0</v>
      </c>
      <c r="Q16" s="43">
        <f>ROUND(SUMIF(MAP!$E$389:$E$406,$B16,MAP!$BD$389:$BD$406),0)</f>
        <v>0</v>
      </c>
      <c r="S16" s="342"/>
      <c r="T16" s="204">
        <f>S16-D16</f>
        <v>0</v>
      </c>
    </row>
    <row r="17" spans="2:23" x14ac:dyDescent="0.2">
      <c r="B17" s="34" t="s">
        <v>353</v>
      </c>
      <c r="D17" s="43">
        <f>ROUND(SUMIF(MAP!$E$389:$E$406,$B17,MAP!$T$389:$T$406),0)</f>
        <v>0</v>
      </c>
      <c r="F17" s="43">
        <f>ROUND(SUMIF(MAP!$E$389:$E$406,$B17,MAP!$N$389:$N$406),0)</f>
        <v>0</v>
      </c>
      <c r="I17" s="814" t="s">
        <v>464</v>
      </c>
      <c r="K17" s="342">
        <v>0</v>
      </c>
      <c r="M17" s="342">
        <v>14514</v>
      </c>
      <c r="O17" s="43">
        <f>ROUND(SUMIF(MAP!$E$389:$E$406,$B17,MAP!$U$389:$U$406),0)</f>
        <v>0</v>
      </c>
      <c r="Q17" s="43">
        <f>ROUND(SUMIF(MAP!$E$389:$E$406,$B17,MAP!$BD$389:$BD$406),0)</f>
        <v>0</v>
      </c>
      <c r="S17" s="342"/>
      <c r="T17" s="204">
        <f>S17-D17</f>
        <v>0</v>
      </c>
      <c r="V17" s="834" t="str">
        <f>IF(D17='Note 18'!C28,"OK","ERROR")</f>
        <v>OK</v>
      </c>
      <c r="W17" s="834" t="str">
        <f>IF(H17='Note 18'!D28,"OK","ERROR")</f>
        <v>OK</v>
      </c>
    </row>
    <row r="18" spans="2:23" x14ac:dyDescent="0.2">
      <c r="B18" s="34" t="s">
        <v>157</v>
      </c>
      <c r="D18" s="43">
        <f>ROUND(SUMIF(MAP!$E$389:$E$406,$B18,MAP!$T$389:$T$406),0)</f>
        <v>0</v>
      </c>
      <c r="F18" s="43">
        <f>ROUND(SUMIF(MAP!$E$389:$E$406,$B18,MAP!$N$389:$N$406),0)</f>
        <v>0</v>
      </c>
      <c r="I18" s="814" t="s">
        <v>464</v>
      </c>
      <c r="K18" s="342">
        <v>55</v>
      </c>
      <c r="M18" s="342">
        <v>264</v>
      </c>
      <c r="O18" s="43">
        <f>ROUND(SUMIF(MAP!$E$389:$E$406,$B18,MAP!$U$389:$U$406),0)</f>
        <v>0</v>
      </c>
      <c r="Q18" s="43">
        <f>ROUND(SUMIF(MAP!$E$389:$E$406,$B18,MAP!$BD$389:$BD$406),0)</f>
        <v>0</v>
      </c>
      <c r="S18" s="342">
        <v>7956</v>
      </c>
      <c r="T18" s="204">
        <f>S18-D18</f>
        <v>7956</v>
      </c>
    </row>
    <row r="19" spans="2:23" x14ac:dyDescent="0.2">
      <c r="B19" s="34" t="s">
        <v>1735</v>
      </c>
      <c r="C19" s="88"/>
      <c r="D19" s="43">
        <f>ROUND(SUMIF(MAP!$E$389:$E$406,$B19,MAP!$T$389:$T$406),0)</f>
        <v>0</v>
      </c>
      <c r="F19" s="43">
        <f>ROUND(SUMIF(MAP!$E$389:$E$406,$B19,MAP!$N$389:$N$406),0)</f>
        <v>0</v>
      </c>
      <c r="I19" s="814" t="s">
        <v>158</v>
      </c>
      <c r="K19" s="342">
        <v>8829942</v>
      </c>
      <c r="M19" s="342">
        <v>3758217</v>
      </c>
      <c r="O19" s="43">
        <f>ROUND(SUMIF(MAP!$E$389:$E$406,$B19,MAP!$U$389:$U$406),0)</f>
        <v>0</v>
      </c>
      <c r="Q19" s="43">
        <f>ROUND(SUMIF(MAP!$E$389:$E$406,$B19,MAP!$BD$389:$BD$406),0)</f>
        <v>0</v>
      </c>
      <c r="S19" s="342">
        <v>5696530</v>
      </c>
      <c r="T19" s="204">
        <f t="shared" si="0"/>
        <v>5696530</v>
      </c>
    </row>
    <row r="20" spans="2:23" x14ac:dyDescent="0.2">
      <c r="B20" s="34" t="s">
        <v>504</v>
      </c>
      <c r="C20" s="88"/>
      <c r="D20" s="43">
        <f>ROUND(SUMIF(MAP!$E$389:$E$406,$B20,MAP!$T$389:$T$406),0)</f>
        <v>0</v>
      </c>
      <c r="F20" s="43">
        <f>ROUND(SUMIF(MAP!$E$389:$E$406,$B20,MAP!$N$389:$N$406),0)</f>
        <v>0</v>
      </c>
      <c r="I20" s="814" t="s">
        <v>464</v>
      </c>
      <c r="K20" s="342">
        <v>35801</v>
      </c>
      <c r="M20" s="342">
        <v>117032</v>
      </c>
      <c r="O20" s="43">
        <f>ROUND(SUMIF(MAP!$E$389:$E$406,$B20,MAP!$U$389:$U$406),0)</f>
        <v>0</v>
      </c>
      <c r="Q20" s="43">
        <f>ROUND(SUMIF(MAP!$E$389:$E$406,$B20,MAP!$BD$389:$BD$406),0)</f>
        <v>0</v>
      </c>
      <c r="S20" s="342">
        <f>55061+3074</f>
        <v>58135</v>
      </c>
      <c r="T20" s="204">
        <f t="shared" si="0"/>
        <v>58135</v>
      </c>
    </row>
    <row r="21" spans="2:23" x14ac:dyDescent="0.2">
      <c r="B21" s="34" t="s">
        <v>169</v>
      </c>
      <c r="D21" s="43">
        <f>ROUND(SUMIF(MAP!$E$389:$E$406,$B21,MAP!$T$389:$T$406),0)</f>
        <v>0</v>
      </c>
      <c r="F21" s="43">
        <f>ROUND(SUMIF(MAP!$E$389:$E$406,$B21,MAP!$N$389:$N$406),0)</f>
        <v>0</v>
      </c>
      <c r="G21" s="34" t="s">
        <v>1958</v>
      </c>
      <c r="I21" s="814" t="s">
        <v>464</v>
      </c>
      <c r="K21" s="342">
        <v>0</v>
      </c>
      <c r="M21" s="342">
        <v>158</v>
      </c>
      <c r="O21" s="43">
        <f>ROUND(SUMIF(MAP!$E$389:$E$406,$B21,MAP!$U$389:$U$406),0)</f>
        <v>0</v>
      </c>
      <c r="Q21" s="43">
        <f>ROUND(SUMIF(MAP!$E$389:$E$406,$B21,MAP!$BD$389:$BD$406),0)</f>
        <v>0</v>
      </c>
      <c r="S21" s="342"/>
      <c r="T21" s="204">
        <f t="shared" si="0"/>
        <v>0</v>
      </c>
    </row>
    <row r="22" spans="2:23" x14ac:dyDescent="0.2">
      <c r="B22" s="34" t="s">
        <v>464</v>
      </c>
      <c r="C22" s="88"/>
      <c r="D22" s="43">
        <f>ROUND(SUMIF(MAP!$E$389:$E$406,$B22,MAP!$T$389:$T$406),0)</f>
        <v>0</v>
      </c>
      <c r="F22" s="43">
        <f>ROUND(SUMIF(MAP!$E$389:$E$406,$B22,MAP!$N$389:$N$406),0)</f>
        <v>0</v>
      </c>
      <c r="I22" s="814" t="s">
        <v>464</v>
      </c>
      <c r="K22" s="342">
        <v>0</v>
      </c>
      <c r="M22" s="342">
        <v>0</v>
      </c>
      <c r="O22" s="43">
        <f>ROUND(SUMIF(MAP!$E$389:$E$406,$B22,MAP!$U$389:$U$406),0)</f>
        <v>0</v>
      </c>
      <c r="Q22" s="43">
        <f>ROUND(SUMIF(MAP!$E$389:$E$406,$B22,MAP!$BD$389:$BD$406),0)</f>
        <v>0</v>
      </c>
      <c r="S22" s="342"/>
      <c r="T22" s="204">
        <f t="shared" si="0"/>
        <v>0</v>
      </c>
    </row>
    <row r="23" spans="2:23" ht="22.5" customHeight="1" x14ac:dyDescent="0.2">
      <c r="D23" s="97">
        <f>SUM(D11:D22)</f>
        <v>0</v>
      </c>
      <c r="F23" s="151">
        <f>SUM(F11:F22)</f>
        <v>0</v>
      </c>
      <c r="I23" s="814"/>
      <c r="K23" s="149">
        <f>SUM(K11:K22)</f>
        <v>8899920</v>
      </c>
      <c r="M23" s="149">
        <f>SUM(M11:M22)</f>
        <v>8640477</v>
      </c>
      <c r="O23" s="97">
        <f>SUM(O11:O22)</f>
        <v>0</v>
      </c>
      <c r="Q23" s="151">
        <f>SUM(Q11:Q22)</f>
        <v>0</v>
      </c>
      <c r="S23" s="97">
        <f>SUM(S11:S22)</f>
        <v>5809298</v>
      </c>
      <c r="T23" s="97">
        <f>SUM(T11:T22)</f>
        <v>5809298</v>
      </c>
    </row>
    <row r="24" spans="2:23" x14ac:dyDescent="0.2">
      <c r="B24" s="115" t="s">
        <v>168</v>
      </c>
      <c r="I24" s="814"/>
    </row>
    <row r="25" spans="2:23" x14ac:dyDescent="0.2">
      <c r="B25" s="150" t="s">
        <v>160</v>
      </c>
      <c r="D25" s="43">
        <f>ROUND(SUMIF(MAP!$E$407:$E$425,$B25,MAP!$T$407:$T$425),0)</f>
        <v>0</v>
      </c>
      <c r="F25" s="43">
        <f>ROUND(SUMIF(MAP!$E$407:$E$425,$B25,MAP!$N$407:$N$425),0)</f>
        <v>0</v>
      </c>
      <c r="G25" s="204" t="s">
        <v>1422</v>
      </c>
      <c r="H25" s="204"/>
      <c r="I25" s="814" t="s">
        <v>283</v>
      </c>
      <c r="K25" s="342">
        <v>3681</v>
      </c>
      <c r="M25" s="342">
        <v>269119</v>
      </c>
      <c r="O25" s="43">
        <f>ROUND(SUMIF(MAP!$E$407:$E$425,$B25,MAP!$U$407:$U$425),0)</f>
        <v>0</v>
      </c>
      <c r="Q25" s="43">
        <f>ROUND(SUMIF(MAP!$E$407:$E$425,$B25,MAP!$BD$407:$BD$425),0)</f>
        <v>0</v>
      </c>
      <c r="S25" s="342">
        <v>2382</v>
      </c>
      <c r="T25" s="204">
        <f t="shared" ref="T25:T41" si="1">S25-D25</f>
        <v>2382</v>
      </c>
    </row>
    <row r="26" spans="2:23" x14ac:dyDescent="0.2">
      <c r="B26" s="150" t="s">
        <v>161</v>
      </c>
      <c r="D26" s="43">
        <f>ROUND(SUMIF(MAP!$E$407:$E$425,$B26,MAP!$T$407:$T$425),0)</f>
        <v>0</v>
      </c>
      <c r="F26" s="43">
        <f>ROUND(SUMIF(MAP!$E$407:$E$425,$B26,MAP!$N$407:$N$425),0)</f>
        <v>0</v>
      </c>
      <c r="G26" s="204" t="s">
        <v>1422</v>
      </c>
      <c r="H26" s="204"/>
      <c r="I26" s="814" t="s">
        <v>283</v>
      </c>
      <c r="K26" s="342">
        <v>3960</v>
      </c>
      <c r="M26" s="342">
        <v>73656</v>
      </c>
      <c r="O26" s="43">
        <f>ROUND(SUMIF(MAP!$E$407:$E$425,$B26,MAP!$U$407:$U$425),0)</f>
        <v>0</v>
      </c>
      <c r="Q26" s="43">
        <f>ROUND(SUMIF(MAP!$E$407:$E$425,$B26,MAP!$BD$407:$BD$425),0)</f>
        <v>0</v>
      </c>
      <c r="S26" s="342">
        <v>622</v>
      </c>
      <c r="T26" s="204">
        <f t="shared" si="1"/>
        <v>622</v>
      </c>
    </row>
    <row r="27" spans="2:23" x14ac:dyDescent="0.2">
      <c r="B27" s="150" t="s">
        <v>162</v>
      </c>
      <c r="D27" s="43">
        <f>ROUND(SUMIF(MAP!$E$407:$E$425,$B27,MAP!$T$407:$T$425),0)</f>
        <v>0</v>
      </c>
      <c r="F27" s="43">
        <f>ROUND(SUMIF(MAP!$E$407:$E$425,$B27,MAP!$N$407:$N$425),0)</f>
        <v>0</v>
      </c>
      <c r="G27" s="204" t="s">
        <v>1422</v>
      </c>
      <c r="I27" s="814" t="s">
        <v>283</v>
      </c>
      <c r="K27" s="342">
        <v>21287</v>
      </c>
      <c r="M27" s="342">
        <v>49328</v>
      </c>
      <c r="O27" s="43">
        <f>ROUND(SUMIF(MAP!$E$407:$E$425,$B27,MAP!$U$407:$U$425),0)</f>
        <v>0</v>
      </c>
      <c r="Q27" s="43">
        <f>ROUND(SUMIF(MAP!$E$407:$E$425,$B27,MAP!$BD$407:$BD$425),0)</f>
        <v>0</v>
      </c>
      <c r="S27" s="342">
        <v>4259</v>
      </c>
      <c r="T27" s="204">
        <f t="shared" si="1"/>
        <v>4259</v>
      </c>
    </row>
    <row r="28" spans="2:23" x14ac:dyDescent="0.2">
      <c r="B28" s="150" t="s">
        <v>1736</v>
      </c>
      <c r="D28" s="43">
        <f>ROUND(SUMIF(MAP!$E$407:$E$425,$B28,MAP!$T$407:$T$425),0)</f>
        <v>0</v>
      </c>
      <c r="F28" s="43">
        <f>ROUND(SUMIF(MAP!$E$407:$E$425,$B28,MAP!$N$407:$N$425),0)</f>
        <v>0</v>
      </c>
      <c r="I28" s="814" t="s">
        <v>464</v>
      </c>
      <c r="K28" s="342">
        <v>0</v>
      </c>
      <c r="M28" s="342">
        <v>-224</v>
      </c>
      <c r="O28" s="43">
        <f>ROUND(SUMIF(MAP!$E$407:$E$425,$B28,MAP!$U$407:$U$425),0)</f>
        <v>0</v>
      </c>
      <c r="Q28" s="43">
        <f>ROUND(SUMIF(MAP!$E$407:$E$425,$B28,MAP!$BD$407:$BD$425),0)</f>
        <v>0</v>
      </c>
      <c r="S28" s="342">
        <v>-15</v>
      </c>
      <c r="T28" s="204">
        <f t="shared" si="1"/>
        <v>-15</v>
      </c>
    </row>
    <row r="29" spans="2:23" x14ac:dyDescent="0.2">
      <c r="B29" s="150" t="s">
        <v>1737</v>
      </c>
      <c r="D29" s="43">
        <f>ROUND(SUMIF(MAP!$E$407:$E$425,$B29,MAP!$T$407:$T$425),0)</f>
        <v>0</v>
      </c>
      <c r="F29" s="43">
        <f>ROUND(SUMIF(MAP!$E$407:$E$425,$B29,MAP!$N$407:$N$425),0)</f>
        <v>0</v>
      </c>
      <c r="I29" s="814" t="s">
        <v>464</v>
      </c>
      <c r="K29" s="342">
        <v>0</v>
      </c>
      <c r="M29" s="342">
        <v>0</v>
      </c>
      <c r="O29" s="43">
        <f>ROUND(SUMIF(MAP!$E$407:$E$425,$B29,MAP!$U$407:$U$425),0)</f>
        <v>0</v>
      </c>
      <c r="Q29" s="43">
        <f>ROUND(SUMIF(MAP!$E$407:$E$425,$B29,MAP!$BD$407:$BD$425),0)</f>
        <v>0</v>
      </c>
      <c r="S29" s="342"/>
      <c r="T29" s="204">
        <f t="shared" si="1"/>
        <v>0</v>
      </c>
    </row>
    <row r="30" spans="2:23" x14ac:dyDescent="0.2">
      <c r="B30" s="150" t="s">
        <v>356</v>
      </c>
      <c r="D30" s="43">
        <f>ROUND(SUMIF(MAP!$E$407:$E$425,$B30,MAP!$T$407:$T$425),0)</f>
        <v>0</v>
      </c>
      <c r="F30" s="43">
        <f>ROUND(SUMIF(MAP!$E$407:$E$425,$B30,MAP!$N$407:$N$425),0)</f>
        <v>0</v>
      </c>
      <c r="I30" s="814" t="s">
        <v>464</v>
      </c>
      <c r="K30" s="342">
        <v>29</v>
      </c>
      <c r="M30" s="342">
        <v>1013</v>
      </c>
      <c r="O30" s="43">
        <f>ROUND(SUMIF(MAP!$E$407:$E$425,$B30,MAP!$U$407:$U$425),0)</f>
        <v>0</v>
      </c>
      <c r="Q30" s="43">
        <f>ROUND(SUMIF(MAP!$E$407:$E$425,$B30,MAP!$BD$407:$BD$425),0)</f>
        <v>0</v>
      </c>
      <c r="S30" s="342">
        <v>74</v>
      </c>
      <c r="T30" s="204">
        <f t="shared" si="1"/>
        <v>74</v>
      </c>
    </row>
    <row r="31" spans="2:23" ht="25.5" x14ac:dyDescent="0.2">
      <c r="B31" s="148" t="s">
        <v>433</v>
      </c>
      <c r="C31" s="88">
        <v>15</v>
      </c>
      <c r="D31" s="43">
        <f>ROUND(SUMIF(MAP!$E$407:$E$425,$B31,MAP!$T$407:$T$425),0)</f>
        <v>0</v>
      </c>
      <c r="F31" s="43">
        <f>ROUND(SUMIF(MAP!$E$407:$E$425,$B31,MAP!$N$407:$N$425),0)</f>
        <v>0</v>
      </c>
      <c r="G31" s="204">
        <f>D31-('Note 14'!L13+'Note 14'!L14)</f>
        <v>0</v>
      </c>
      <c r="H31" s="204">
        <f>F31-('Note 14'!L63+'Note 14'!L64)</f>
        <v>0</v>
      </c>
      <c r="I31" s="814" t="s">
        <v>284</v>
      </c>
      <c r="K31" s="342">
        <v>5166</v>
      </c>
      <c r="M31" s="342">
        <v>601680</v>
      </c>
      <c r="O31" s="43">
        <f>ROUND(SUMIF(MAP!$E$407:$E$425,$B31,MAP!$U$407:$U$425),0)</f>
        <v>0</v>
      </c>
      <c r="Q31" s="43">
        <f>ROUND(SUMIF(MAP!$E$407:$E$425,$B31,MAP!$BD$407:$BD$425),0)</f>
        <v>0</v>
      </c>
      <c r="S31" s="342">
        <v>-5542</v>
      </c>
      <c r="T31" s="204">
        <f t="shared" si="1"/>
        <v>-5542</v>
      </c>
    </row>
    <row r="32" spans="2:23" x14ac:dyDescent="0.2">
      <c r="B32" s="148" t="s">
        <v>170</v>
      </c>
      <c r="C32" s="88">
        <v>15</v>
      </c>
      <c r="D32" s="43">
        <f>ROUND(SUMIF(MAP!$E$407:$E$425,$B32,MAP!$T$407:$T$425),0)</f>
        <v>0</v>
      </c>
      <c r="F32" s="43">
        <f>ROUND(SUMIF(MAP!$E$407:$E$425,$B32,MAP!$N$407:$N$425),0)</f>
        <v>0</v>
      </c>
      <c r="G32" s="204">
        <f>D32-('Note 14'!L16)</f>
        <v>0</v>
      </c>
      <c r="H32" s="204">
        <f>F32-('Note 14'!L66)</f>
        <v>0</v>
      </c>
      <c r="I32" s="814" t="s">
        <v>284</v>
      </c>
      <c r="K32" s="342">
        <v>225</v>
      </c>
      <c r="M32" s="342">
        <v>11298</v>
      </c>
      <c r="O32" s="43">
        <f>ROUND(SUMIF(MAP!$E$407:$E$425,$B32,MAP!$U$407:$U$425),0)</f>
        <v>0</v>
      </c>
      <c r="Q32" s="43">
        <f>ROUND(SUMIF(MAP!$E$407:$E$425,$B32,MAP!$BD$407:$BD$425),0)</f>
        <v>0</v>
      </c>
      <c r="S32" s="342">
        <v>-806</v>
      </c>
      <c r="T32" s="204">
        <f t="shared" si="1"/>
        <v>-806</v>
      </c>
    </row>
    <row r="33" spans="2:20" x14ac:dyDescent="0.2">
      <c r="B33" s="148" t="s">
        <v>2500</v>
      </c>
      <c r="C33" s="88"/>
      <c r="D33" s="43">
        <f>ROUND(SUMIF(MAP!$E$407:$E$425,$B33,MAP!$T$407:$T$425),0)</f>
        <v>0</v>
      </c>
      <c r="F33" s="43">
        <f>ROUND(SUMIF(MAP!$E$407:$E$425,$B33,MAP!$N$407:$N$425),0)</f>
        <v>0</v>
      </c>
      <c r="G33" s="204"/>
      <c r="H33" s="204"/>
      <c r="I33" s="814" t="s">
        <v>464</v>
      </c>
      <c r="K33" s="342">
        <v>0</v>
      </c>
      <c r="M33" s="342">
        <v>-633</v>
      </c>
      <c r="O33" s="43"/>
      <c r="Q33" s="43"/>
      <c r="S33" s="342"/>
      <c r="T33" s="204"/>
    </row>
    <row r="34" spans="2:20" x14ac:dyDescent="0.2">
      <c r="B34" s="929" t="s">
        <v>2073</v>
      </c>
      <c r="C34" s="88"/>
      <c r="D34" s="43">
        <f>ROUND(SUMIF(MAP!$E$407:$E$425,$B34,MAP!$T$407:$T$425),0)</f>
        <v>0</v>
      </c>
      <c r="F34" s="43">
        <f>ROUND(SUMIF(MAP!$E$407:$E$425,$B34,MAP!$N$407:$N$425),0)</f>
        <v>0</v>
      </c>
      <c r="G34" s="204"/>
      <c r="H34" s="204"/>
      <c r="I34" s="814" t="s">
        <v>464</v>
      </c>
      <c r="K34" s="342">
        <v>0</v>
      </c>
      <c r="M34" s="342">
        <v>303</v>
      </c>
      <c r="O34" s="43"/>
      <c r="Q34" s="43"/>
      <c r="S34" s="342"/>
      <c r="T34" s="204"/>
    </row>
    <row r="35" spans="2:20" x14ac:dyDescent="0.2">
      <c r="B35" s="929" t="s">
        <v>2399</v>
      </c>
      <c r="C35" s="88"/>
      <c r="D35" s="43">
        <f>ROUND(SUMIF(MAP!$E$407:$E$425,$B35,MAP!$T$407:$T$425),0)</f>
        <v>0</v>
      </c>
      <c r="F35" s="43">
        <f>ROUND(SUMIF(MAP!$E$407:$E$425,$B35,MAP!$N$407:$N$425),0)</f>
        <v>0</v>
      </c>
      <c r="I35" s="814" t="s">
        <v>1005</v>
      </c>
      <c r="K35" s="342">
        <v>0</v>
      </c>
      <c r="M35" s="342">
        <v>100</v>
      </c>
      <c r="O35" s="43">
        <f>ROUND(SUMIF(MAP!$E$407:$E$425,$B35,MAP!$U$407:$U$425),0)</f>
        <v>0</v>
      </c>
      <c r="Q35" s="43">
        <f>ROUND(SUMIF(MAP!$E$407:$E$425,$B35,MAP!$BD$407:$BD$425),0)</f>
        <v>0</v>
      </c>
      <c r="S35" s="342"/>
      <c r="T35" s="204">
        <f t="shared" si="1"/>
        <v>0</v>
      </c>
    </row>
    <row r="36" spans="2:20" x14ac:dyDescent="0.2">
      <c r="B36" s="929" t="s">
        <v>2400</v>
      </c>
      <c r="C36" s="34"/>
      <c r="D36" s="43">
        <f>ROUND(SUMIF(MAP!$E$407:$E$425,$B36,MAP!$T$407:$T$425),0)</f>
        <v>0</v>
      </c>
      <c r="F36" s="43">
        <f>ROUND(SUMIF(MAP!$E$407:$E$425,$B36,MAP!$N$407:$N$425),0)</f>
        <v>0</v>
      </c>
      <c r="K36" s="34">
        <v>0</v>
      </c>
      <c r="M36" s="34">
        <v>0</v>
      </c>
      <c r="S36" s="342"/>
      <c r="T36" s="204">
        <f t="shared" si="1"/>
        <v>0</v>
      </c>
    </row>
    <row r="37" spans="2:20" x14ac:dyDescent="0.2">
      <c r="B37" s="929" t="s">
        <v>2401</v>
      </c>
      <c r="C37" s="88"/>
      <c r="D37" s="43">
        <f>ROUND(SUMIF(MAP!$E$407:$E$425,$B37,MAP!$T$407:$T$425),0)</f>
        <v>0</v>
      </c>
      <c r="F37" s="43">
        <f>ROUND(SUMIF(MAP!$E$407:$E$425,$B37,MAP!$N$407:$N$425),0)</f>
        <v>0</v>
      </c>
      <c r="I37" s="814"/>
      <c r="K37" s="342">
        <v>0</v>
      </c>
      <c r="M37" s="342">
        <v>690</v>
      </c>
      <c r="O37" s="43"/>
      <c r="Q37" s="43"/>
      <c r="S37" s="342"/>
      <c r="T37" s="204">
        <f t="shared" si="1"/>
        <v>0</v>
      </c>
    </row>
    <row r="38" spans="2:20" x14ac:dyDescent="0.2">
      <c r="B38" s="929" t="s">
        <v>2402</v>
      </c>
      <c r="C38" s="88"/>
      <c r="D38" s="43">
        <f>ROUND(SUMIF(MAP!$E$407:$E$425,$B38,MAP!$T$407:$T$425),0)</f>
        <v>0</v>
      </c>
      <c r="F38" s="43">
        <f>ROUND(SUMIF(MAP!$E$407:$E$425,$B38,MAP!$N$407:$N$425),0)</f>
        <v>0</v>
      </c>
      <c r="I38" s="814"/>
      <c r="K38" s="342">
        <v>0</v>
      </c>
      <c r="M38" s="342">
        <v>10720</v>
      </c>
      <c r="O38" s="43"/>
      <c r="Q38" s="43"/>
      <c r="S38" s="342"/>
      <c r="T38" s="204"/>
    </row>
    <row r="39" spans="2:20" x14ac:dyDescent="0.2">
      <c r="B39" s="929" t="s">
        <v>2403</v>
      </c>
      <c r="C39" s="88"/>
      <c r="D39" s="43">
        <f>ROUND(SUMIF(MAP!$E$407:$E$425,$B39,MAP!$T$407:$T$425),0)</f>
        <v>0</v>
      </c>
      <c r="F39" s="43">
        <f>ROUND(SUMIF(MAP!$E$407:$E$425,$B39,MAP!$N$407:$N$425),0)</f>
        <v>0</v>
      </c>
      <c r="I39" s="814"/>
      <c r="K39" s="342">
        <v>0</v>
      </c>
      <c r="M39" s="342">
        <v>0</v>
      </c>
      <c r="O39" s="43"/>
      <c r="Q39" s="43"/>
      <c r="S39" s="342"/>
      <c r="T39" s="204"/>
    </row>
    <row r="40" spans="2:20" x14ac:dyDescent="0.2">
      <c r="B40" s="929" t="s">
        <v>2404</v>
      </c>
      <c r="C40" s="88"/>
      <c r="D40" s="43">
        <f>ROUND(SUMIF(MAP!$E$407:$E$425,$B40,MAP!$T$407:$T$425),0)</f>
        <v>0</v>
      </c>
      <c r="F40" s="43">
        <f>ROUND(SUMIF(MAP!$E$407:$E$425,$B40,MAP!$N$407:$N$425),0)</f>
        <v>0</v>
      </c>
      <c r="I40" s="814"/>
      <c r="K40" s="342">
        <v>0</v>
      </c>
      <c r="M40" s="342">
        <v>35270</v>
      </c>
      <c r="O40" s="43"/>
      <c r="Q40" s="43"/>
      <c r="S40" s="342"/>
      <c r="T40" s="204"/>
    </row>
    <row r="41" spans="2:20" x14ac:dyDescent="0.2">
      <c r="C41" s="34"/>
      <c r="S41" s="342"/>
      <c r="T41" s="204">
        <f t="shared" si="1"/>
        <v>0</v>
      </c>
    </row>
    <row r="42" spans="2:20" x14ac:dyDescent="0.2">
      <c r="B42" s="37" t="s">
        <v>595</v>
      </c>
      <c r="C42" s="88"/>
      <c r="D42" s="97">
        <f>SUM(D25:D41)</f>
        <v>0</v>
      </c>
      <c r="E42" s="37"/>
      <c r="F42" s="97">
        <f>SUM(F25:F41)</f>
        <v>0</v>
      </c>
      <c r="G42" s="37"/>
      <c r="H42" s="37"/>
      <c r="I42" s="37"/>
      <c r="J42" s="37"/>
      <c r="K42" s="97">
        <f>SUM(K25:K41)</f>
        <v>34348</v>
      </c>
      <c r="M42" s="97">
        <f>SUM(M25:M41)</f>
        <v>1052320</v>
      </c>
      <c r="O42" s="97">
        <f>SUM(O25:O41)</f>
        <v>0</v>
      </c>
      <c r="P42" s="37"/>
      <c r="Q42" s="97">
        <f>SUM(Q25:Q41)</f>
        <v>0</v>
      </c>
      <c r="S42" s="97">
        <f>SUM(S25:S41)</f>
        <v>974</v>
      </c>
      <c r="T42" s="97">
        <f>SUM(T25:T41)</f>
        <v>974</v>
      </c>
    </row>
    <row r="43" spans="2:20" x14ac:dyDescent="0.2">
      <c r="K43" s="152"/>
      <c r="M43" s="152"/>
    </row>
    <row r="44" spans="2:20" s="37" customFormat="1" x14ac:dyDescent="0.2">
      <c r="B44" s="37" t="s">
        <v>146</v>
      </c>
      <c r="C44" s="38"/>
      <c r="D44" s="97">
        <f>D23+D42</f>
        <v>0</v>
      </c>
      <c r="F44" s="97">
        <f>F23+F42</f>
        <v>0</v>
      </c>
      <c r="K44" s="151">
        <f>K23+K42</f>
        <v>8934268</v>
      </c>
      <c r="L44" s="34"/>
      <c r="M44" s="151">
        <f>M23+M42</f>
        <v>9692797</v>
      </c>
      <c r="O44" s="97">
        <f>O23+O42</f>
        <v>0</v>
      </c>
      <c r="Q44" s="97">
        <f>Q23+Q42</f>
        <v>0</v>
      </c>
      <c r="S44" s="97">
        <f>S23+S42</f>
        <v>5810272</v>
      </c>
      <c r="T44" s="1157">
        <f>T23+T42</f>
        <v>5810272</v>
      </c>
    </row>
    <row r="46" spans="2:20" hidden="1" outlineLevel="1" x14ac:dyDescent="0.2">
      <c r="B46" s="37" t="s">
        <v>172</v>
      </c>
    </row>
    <row r="47" spans="2:20" hidden="1" outlineLevel="1" x14ac:dyDescent="0.2">
      <c r="B47" s="37"/>
    </row>
    <row r="48" spans="2:20" hidden="1" outlineLevel="1" x14ac:dyDescent="0.2">
      <c r="B48" s="928" t="s">
        <v>140</v>
      </c>
      <c r="C48" s="88"/>
      <c r="D48" s="43">
        <f>ROUND(SUMIF(MAP!$E$427:$E$429,$B48,MAP!$T$427:$T$429),0)</f>
        <v>0</v>
      </c>
      <c r="F48" s="43">
        <f>ROUND(SUMIF(MAP!$E$427:$E$429,$B48,MAP!$N$427:$N$429),0)</f>
        <v>0</v>
      </c>
      <c r="I48" s="814" t="s">
        <v>158</v>
      </c>
      <c r="K48" s="342"/>
      <c r="M48" s="342"/>
      <c r="O48" s="43">
        <f>ROUND(SUMIF(MAP!$E$427:$E$429,$B48,MAP!$U$427:$U$429),0)</f>
        <v>0</v>
      </c>
      <c r="Q48" s="43">
        <f>ROUND(SUMIF(MAP!$E$427:$E$429,$B48,MAP!$BD$427:$BD$429),0)</f>
        <v>0</v>
      </c>
    </row>
    <row r="49" spans="2:17" hidden="1" outlineLevel="1" x14ac:dyDescent="0.2"/>
    <row r="50" spans="2:17" s="37" customFormat="1" hidden="1" outlineLevel="1" x14ac:dyDescent="0.2">
      <c r="B50" s="37" t="s">
        <v>173</v>
      </c>
      <c r="C50" s="38"/>
      <c r="D50" s="97">
        <f>SUM(D48:D49)</f>
        <v>0</v>
      </c>
      <c r="F50" s="97">
        <f>SUM(F48:F49)</f>
        <v>0</v>
      </c>
      <c r="K50" s="97">
        <f>SUM(K48:K49)</f>
        <v>0</v>
      </c>
      <c r="L50" s="34"/>
      <c r="M50" s="97">
        <f>SUM(M48:M49)</f>
        <v>0</v>
      </c>
      <c r="O50" s="97">
        <f>SUM(O48:O49)</f>
        <v>0</v>
      </c>
      <c r="Q50" s="97">
        <f>SUM(Q48:Q49)</f>
        <v>0</v>
      </c>
    </row>
    <row r="51" spans="2:17" hidden="1" outlineLevel="1" collapsed="1" x14ac:dyDescent="0.2">
      <c r="B51" s="37"/>
    </row>
    <row r="52" spans="2:17" hidden="1" outlineLevel="1" x14ac:dyDescent="0.2">
      <c r="B52" s="37"/>
    </row>
    <row r="53" spans="2:17" s="37" customFormat="1" ht="13.5" hidden="1" outlineLevel="1" thickBot="1" x14ac:dyDescent="0.25">
      <c r="B53" s="37" t="s">
        <v>146</v>
      </c>
      <c r="C53" s="38"/>
      <c r="D53" s="118">
        <f>D50+D44</f>
        <v>0</v>
      </c>
      <c r="F53" s="118">
        <f>F50+F44</f>
        <v>0</v>
      </c>
      <c r="K53" s="118">
        <f>K50+K44</f>
        <v>8934268</v>
      </c>
      <c r="L53" s="34"/>
      <c r="M53" s="118">
        <f>M50+M44</f>
        <v>9692797</v>
      </c>
      <c r="O53" s="118">
        <f>O50+O44</f>
        <v>0</v>
      </c>
      <c r="Q53" s="118">
        <f>Q50+Q44</f>
        <v>0</v>
      </c>
    </row>
    <row r="54" spans="2:17" hidden="1" outlineLevel="1" x14ac:dyDescent="0.2">
      <c r="B54" s="37"/>
    </row>
    <row r="55" spans="2:17" hidden="1" outlineLevel="1" x14ac:dyDescent="0.2">
      <c r="D55" s="204">
        <f>D23-MAP!T406</f>
        <v>0</v>
      </c>
      <c r="F55" s="204">
        <f>F23-MAP!N406</f>
        <v>0</v>
      </c>
      <c r="O55" s="204">
        <f>O23-MAP!U406</f>
        <v>0</v>
      </c>
      <c r="Q55" s="204">
        <f>Q23-MAP!BD406</f>
        <v>0</v>
      </c>
    </row>
    <row r="56" spans="2:17" hidden="1" outlineLevel="1" x14ac:dyDescent="0.2">
      <c r="D56" s="204">
        <f>D42-MAP!T425</f>
        <v>0</v>
      </c>
      <c r="F56" s="204">
        <f>F42-MAP!N425</f>
        <v>0</v>
      </c>
      <c r="O56" s="204">
        <f>O42-MAP!U425</f>
        <v>0</v>
      </c>
      <c r="Q56" s="204">
        <f>Q42-MAP!BD425</f>
        <v>0</v>
      </c>
    </row>
    <row r="57" spans="2:17" collapsed="1" x14ac:dyDescent="0.2"/>
    <row r="59" spans="2:17" x14ac:dyDescent="0.2">
      <c r="B59" s="397" t="s">
        <v>1742</v>
      </c>
    </row>
    <row r="60" spans="2:17" x14ac:dyDescent="0.2">
      <c r="B60" s="397"/>
    </row>
    <row r="61" spans="2:17" x14ac:dyDescent="0.2">
      <c r="B61" s="397" t="s">
        <v>1743</v>
      </c>
      <c r="C61" s="397"/>
      <c r="D61" s="573"/>
      <c r="E61" s="573"/>
      <c r="F61" s="572"/>
    </row>
    <row r="62" spans="2:17" x14ac:dyDescent="0.2">
      <c r="B62" s="397" t="s">
        <v>1739</v>
      </c>
      <c r="C62" s="397"/>
      <c r="D62" s="342"/>
      <c r="E62" s="500"/>
      <c r="F62" s="342"/>
    </row>
    <row r="63" spans="2:17" x14ac:dyDescent="0.2">
      <c r="B63" s="397" t="s">
        <v>1740</v>
      </c>
      <c r="C63" s="397"/>
      <c r="D63" s="500">
        <f>ROUND(SUMIF(MAP!$E$431:$E$460,$B63,MAP!$T$431:$T$460),0)</f>
        <v>0</v>
      </c>
      <c r="E63" s="500"/>
      <c r="F63" s="500">
        <f>ROUND(SUMIF(MAP!$E$431:$E$460,$B63,MAP!$N$431:$N$460),0)</f>
        <v>0</v>
      </c>
    </row>
    <row r="64" spans="2:17" x14ac:dyDescent="0.2">
      <c r="B64" s="789" t="s">
        <v>1741</v>
      </c>
      <c r="C64" s="397"/>
      <c r="D64" s="500"/>
      <c r="E64" s="500"/>
      <c r="F64" s="500"/>
    </row>
    <row r="65" spans="1:13" x14ac:dyDescent="0.2">
      <c r="B65" s="342"/>
      <c r="C65" s="397"/>
      <c r="D65" s="342"/>
      <c r="E65" s="500"/>
      <c r="F65" s="342"/>
    </row>
    <row r="66" spans="1:13" x14ac:dyDescent="0.2">
      <c r="B66" s="342"/>
      <c r="C66" s="397"/>
      <c r="D66" s="342"/>
      <c r="E66" s="500"/>
      <c r="F66" s="342"/>
    </row>
    <row r="67" spans="1:13" x14ac:dyDescent="0.2">
      <c r="B67" s="342"/>
      <c r="C67" s="397"/>
      <c r="D67" s="342"/>
      <c r="E67" s="500"/>
      <c r="F67" s="342"/>
    </row>
    <row r="68" spans="1:13" x14ac:dyDescent="0.2">
      <c r="C68" s="397"/>
      <c r="D68" s="500"/>
      <c r="E68" s="500"/>
    </row>
    <row r="69" spans="1:13" x14ac:dyDescent="0.2">
      <c r="C69" s="397"/>
      <c r="D69" s="500"/>
      <c r="E69" s="500"/>
    </row>
    <row r="70" spans="1:13" x14ac:dyDescent="0.2">
      <c r="A70" s="1468" t="s">
        <v>2373</v>
      </c>
      <c r="B70" s="937" t="s">
        <v>2374</v>
      </c>
      <c r="C70" s="1186"/>
      <c r="D70" s="931"/>
      <c r="E70" s="931"/>
      <c r="F70" s="931"/>
      <c r="G70" s="931"/>
    </row>
    <row r="71" spans="1:13" x14ac:dyDescent="0.2">
      <c r="A71" s="937"/>
      <c r="B71" s="931"/>
      <c r="C71" s="1186"/>
      <c r="D71" s="931"/>
      <c r="E71" s="931"/>
      <c r="F71" s="931"/>
      <c r="G71" s="931"/>
    </row>
    <row r="72" spans="1:13" x14ac:dyDescent="0.2">
      <c r="A72" s="937"/>
      <c r="B72" s="2108" t="s">
        <v>2375</v>
      </c>
      <c r="C72" s="2108"/>
      <c r="D72" s="2108"/>
      <c r="E72" s="2108"/>
      <c r="F72" s="2108"/>
      <c r="G72" s="931"/>
    </row>
    <row r="73" spans="1:13" x14ac:dyDescent="0.2">
      <c r="A73" s="937"/>
      <c r="B73" s="2108"/>
      <c r="C73" s="2108"/>
      <c r="D73" s="2108"/>
      <c r="E73" s="2108"/>
      <c r="F73" s="2108"/>
      <c r="G73" s="931"/>
    </row>
    <row r="74" spans="1:13" x14ac:dyDescent="0.2">
      <c r="A74" s="937"/>
      <c r="B74" s="2108"/>
      <c r="C74" s="2108"/>
      <c r="D74" s="2108"/>
      <c r="E74" s="2108"/>
      <c r="F74" s="2108"/>
      <c r="G74" s="931"/>
    </row>
    <row r="75" spans="1:13" ht="39" customHeight="1" x14ac:dyDescent="0.2">
      <c r="A75" s="937"/>
      <c r="B75" s="931"/>
      <c r="C75" s="1186"/>
      <c r="D75" s="201" t="str">
        <f>Update!$B$7</f>
        <v>Core Department &amp; Agencies</v>
      </c>
      <c r="E75" s="201"/>
      <c r="F75" s="201" t="str">
        <f>Update!$B$8</f>
        <v>Departmental Group</v>
      </c>
      <c r="K75" s="201" t="str">
        <f>Update!$B$7</f>
        <v>Core Department &amp; Agencies</v>
      </c>
      <c r="L75" s="201"/>
      <c r="M75" s="201" t="str">
        <f>Update!$B$8</f>
        <v>Departmental Group</v>
      </c>
    </row>
    <row r="76" spans="1:13" x14ac:dyDescent="0.2">
      <c r="A76" s="937"/>
      <c r="B76" s="931"/>
      <c r="C76" s="1186"/>
      <c r="D76" s="202" t="str">
        <f>Update!$B$13</f>
        <v>2025-26</v>
      </c>
      <c r="E76" s="203"/>
      <c r="F76" s="202" t="str">
        <f>$D$7</f>
        <v>2025-26</v>
      </c>
      <c r="G76" s="203"/>
      <c r="H76" s="203"/>
      <c r="I76" s="203"/>
      <c r="J76" s="203"/>
      <c r="K76" s="202" t="str">
        <f>Update!$B$15</f>
        <v>2024-25</v>
      </c>
      <c r="L76" s="203"/>
      <c r="M76" s="202" t="str">
        <f>K76</f>
        <v>2024-25</v>
      </c>
    </row>
    <row r="77" spans="1:13" x14ac:dyDescent="0.2">
      <c r="A77" s="937"/>
      <c r="B77" s="931"/>
      <c r="C77" s="1186"/>
      <c r="D77" s="57" t="s">
        <v>62</v>
      </c>
      <c r="E77" s="39"/>
      <c r="F77" s="57" t="s">
        <v>62</v>
      </c>
      <c r="G77" s="39"/>
      <c r="H77" s="39"/>
      <c r="I77" s="39"/>
      <c r="J77" s="39"/>
      <c r="K77" s="57" t="s">
        <v>62</v>
      </c>
      <c r="M77" s="57" t="s">
        <v>62</v>
      </c>
    </row>
    <row r="78" spans="1:13" x14ac:dyDescent="0.2">
      <c r="A78" s="937"/>
      <c r="B78" s="931" t="s">
        <v>476</v>
      </c>
      <c r="C78" s="1186"/>
      <c r="D78" s="931">
        <f>ROUND(SUMIF(MAP!$E$437:$E$459,$B78,MAP!$T$437:$T$459),0)</f>
        <v>0</v>
      </c>
      <c r="E78" s="931"/>
      <c r="F78" s="931">
        <f>ROUND(SUMIF(MAP!$E$437:$E$459,$B78,MAP!$N$437:$N$459),0)</f>
        <v>0</v>
      </c>
      <c r="G78" s="931"/>
      <c r="K78" s="1469">
        <v>182</v>
      </c>
      <c r="L78" s="931"/>
      <c r="M78" s="1469">
        <v>182</v>
      </c>
    </row>
    <row r="79" spans="1:13" x14ac:dyDescent="0.2">
      <c r="A79" s="937"/>
      <c r="B79" s="931" t="s">
        <v>2457</v>
      </c>
      <c r="C79" s="1186"/>
      <c r="D79" s="931">
        <f>ROUND(SUMIF(MAP!$E$437:$E$459,$B79,MAP!$T$437:$T$459),0)</f>
        <v>0</v>
      </c>
      <c r="E79" s="931"/>
      <c r="F79" s="931">
        <f>ROUND(SUMIF(MAP!$E$437:$E$459,$B79,MAP!$N$437:$N$459),0)</f>
        <v>0</v>
      </c>
      <c r="G79" s="931"/>
      <c r="K79" s="1469">
        <v>0</v>
      </c>
      <c r="L79" s="931"/>
      <c r="M79" s="1469">
        <v>0</v>
      </c>
    </row>
    <row r="80" spans="1:13" x14ac:dyDescent="0.2">
      <c r="A80" s="937"/>
      <c r="B80" s="931" t="s">
        <v>5</v>
      </c>
      <c r="C80" s="1186"/>
      <c r="D80" s="931">
        <f>ROUND(SUMIF(MAP!$E$437:$E$459,$B80,MAP!$T$437:$T$459),0)</f>
        <v>0</v>
      </c>
      <c r="E80" s="931"/>
      <c r="F80" s="931">
        <f>ROUND(SUMIF(MAP!$E$437:$E$459,$B80,MAP!$N$437:$N$459),0)</f>
        <v>0</v>
      </c>
      <c r="G80" s="931"/>
      <c r="K80" s="1469">
        <v>29</v>
      </c>
      <c r="L80" s="931"/>
      <c r="M80" s="1469">
        <v>29</v>
      </c>
    </row>
    <row r="81" spans="1:13" x14ac:dyDescent="0.2">
      <c r="A81" s="937"/>
      <c r="B81" s="931"/>
      <c r="C81" s="1186"/>
      <c r="D81" s="931"/>
      <c r="E81" s="931"/>
      <c r="F81" s="931"/>
      <c r="G81" s="931"/>
      <c r="K81" s="931"/>
      <c r="L81" s="931"/>
      <c r="M81" s="931"/>
    </row>
    <row r="82" spans="1:13" x14ac:dyDescent="0.2">
      <c r="A82" s="937"/>
      <c r="B82" s="937" t="s">
        <v>2376</v>
      </c>
      <c r="C82" s="1186"/>
      <c r="D82" s="1470">
        <f>SUM(D78:D80)</f>
        <v>0</v>
      </c>
      <c r="E82" s="937"/>
      <c r="F82" s="938">
        <f>SUM(F78:F80)</f>
        <v>0</v>
      </c>
      <c r="G82" s="931"/>
      <c r="K82" s="1470">
        <f>SUM(K78:K80)</f>
        <v>211</v>
      </c>
      <c r="L82" s="937"/>
      <c r="M82" s="938">
        <f>SUM(M78:M80)</f>
        <v>211</v>
      </c>
    </row>
    <row r="83" spans="1:13" x14ac:dyDescent="0.2">
      <c r="A83" s="937"/>
      <c r="B83" s="931"/>
      <c r="C83" s="1186"/>
      <c r="D83" s="931"/>
      <c r="E83" s="931"/>
      <c r="F83" s="931"/>
      <c r="G83" s="931"/>
      <c r="K83" s="931"/>
      <c r="L83" s="931"/>
      <c r="M83" s="931"/>
    </row>
    <row r="84" spans="1:13" x14ac:dyDescent="0.2">
      <c r="A84" s="937"/>
      <c r="B84" s="931" t="s">
        <v>2377</v>
      </c>
      <c r="C84" s="1186"/>
      <c r="D84" s="931">
        <f>ROUND(SUMIF(MAP!$E$437:$E$459,$B84,MAP!$T$437:$T$459),0)</f>
        <v>0</v>
      </c>
      <c r="E84" s="931"/>
      <c r="F84" s="931">
        <f>ROUND(SUMIF(MAP!$E$437:$E$459,$B84,MAP!$N$437:$N$459),0)</f>
        <v>0</v>
      </c>
      <c r="G84" s="931"/>
      <c r="K84" s="1469">
        <v>0</v>
      </c>
      <c r="L84" s="931"/>
      <c r="M84" s="1469">
        <v>80</v>
      </c>
    </row>
    <row r="85" spans="1:13" x14ac:dyDescent="0.2">
      <c r="A85" s="937"/>
      <c r="B85" s="931" t="s">
        <v>25</v>
      </c>
      <c r="C85" s="1186"/>
      <c r="D85" s="931">
        <f>ROUND(SUMIF(MAP!$E$437:$E$459,$B85,MAP!$T$437:$T$459),0)</f>
        <v>0</v>
      </c>
      <c r="E85" s="931"/>
      <c r="F85" s="931">
        <f>ROUND(SUMIF(MAP!$E$437:$E$459,$B85,MAP!$N$437:$N$459),0)</f>
        <v>0</v>
      </c>
      <c r="G85" s="931"/>
      <c r="K85" s="1469">
        <v>0</v>
      </c>
      <c r="L85" s="931"/>
      <c r="M85" s="1469">
        <v>264</v>
      </c>
    </row>
    <row r="86" spans="1:13" x14ac:dyDescent="0.2">
      <c r="A86" s="937"/>
      <c r="B86" s="931" t="s">
        <v>2501</v>
      </c>
      <c r="C86" s="1186"/>
      <c r="D86" s="931">
        <f>ROUND(SUMIF(MAP!$E$437:$E$459,$B86,MAP!$T$437:$T$459),0)</f>
        <v>0</v>
      </c>
      <c r="E86" s="931"/>
      <c r="F86" s="931">
        <f>ROUND(SUMIF(MAP!$E$437:$E$459,$B86,MAP!$N$437:$N$459),0)</f>
        <v>0</v>
      </c>
      <c r="G86" s="931"/>
      <c r="K86" s="1469">
        <v>0</v>
      </c>
      <c r="L86" s="931"/>
      <c r="M86" s="1469">
        <v>82</v>
      </c>
    </row>
    <row r="87" spans="1:13" x14ac:dyDescent="0.2">
      <c r="A87" s="937"/>
      <c r="B87" s="931" t="s">
        <v>2378</v>
      </c>
      <c r="C87" s="1186"/>
      <c r="D87" s="931">
        <f>ROUND(SUMIF(MAP!$E$437:$E$459,$B87,MAP!$T$437:$T$459),0)</f>
        <v>0</v>
      </c>
      <c r="E87" s="931"/>
      <c r="F87" s="931">
        <f>ROUND(SUMIF(MAP!$E$437:$E$459,$B87,MAP!$N$437:$N$459),0)</f>
        <v>0</v>
      </c>
      <c r="G87" s="931"/>
      <c r="K87" s="1469">
        <v>0</v>
      </c>
      <c r="L87" s="931"/>
      <c r="M87" s="1469">
        <v>64</v>
      </c>
    </row>
    <row r="88" spans="1:13" x14ac:dyDescent="0.2">
      <c r="A88" s="937"/>
      <c r="B88" s="931" t="s">
        <v>2379</v>
      </c>
      <c r="C88" s="1186"/>
      <c r="D88" s="931">
        <f>ROUND(SUMIF(MAP!$E$437:$E$459,$B88,MAP!$T$437:$T$459),0)</f>
        <v>0</v>
      </c>
      <c r="E88" s="931"/>
      <c r="F88" s="931">
        <f>ROUND(SUMIF(MAP!$E$437:$E$459,$B88,MAP!$N$437:$N$459),0)</f>
        <v>0</v>
      </c>
      <c r="G88" s="931"/>
      <c r="K88" s="1469">
        <v>0</v>
      </c>
      <c r="L88" s="931"/>
      <c r="M88" s="1469">
        <v>21</v>
      </c>
    </row>
    <row r="89" spans="1:13" x14ac:dyDescent="0.2">
      <c r="A89" s="937"/>
      <c r="B89" s="931" t="s">
        <v>2380</v>
      </c>
      <c r="C89" s="1186"/>
      <c r="D89" s="931">
        <f>ROUND(SUMIF(MAP!$E$437:$E$459,$B89,MAP!$T$437:$T$459),0)</f>
        <v>0</v>
      </c>
      <c r="E89" s="931"/>
      <c r="F89" s="931">
        <f>ROUND(SUMIF(MAP!$E$437:$E$459,$B89,MAP!$N$437:$N$459),0)</f>
        <v>0</v>
      </c>
      <c r="G89" s="931"/>
      <c r="K89" s="1469">
        <v>0</v>
      </c>
      <c r="L89" s="931"/>
      <c r="M89" s="1469">
        <v>0</v>
      </c>
    </row>
    <row r="90" spans="1:13" x14ac:dyDescent="0.2">
      <c r="A90" s="937"/>
      <c r="B90" s="931" t="s">
        <v>2446</v>
      </c>
      <c r="C90" s="1186"/>
      <c r="D90" s="931">
        <f>ROUND(SUMIF(MAP!$E$437:$E$459,$B90,MAP!$T$437:$T$459),0)</f>
        <v>0</v>
      </c>
      <c r="E90" s="931"/>
      <c r="F90" s="931">
        <f>ROUND(SUMIF(MAP!$E$437:$E$459,$B90,MAP!$N$437:$N$459),0)</f>
        <v>0</v>
      </c>
      <c r="G90" s="931"/>
      <c r="K90" s="1469">
        <v>0</v>
      </c>
      <c r="L90" s="931"/>
      <c r="M90" s="1469">
        <v>33</v>
      </c>
    </row>
    <row r="91" spans="1:13" x14ac:dyDescent="0.2">
      <c r="A91" s="937"/>
      <c r="B91" s="931" t="s">
        <v>2381</v>
      </c>
      <c r="C91" s="1186"/>
      <c r="D91" s="931">
        <f>ROUND(SUMIF(MAP!$E$437:$E$459,$B91,MAP!$T$437:$T$459),0)</f>
        <v>0</v>
      </c>
      <c r="E91" s="931"/>
      <c r="F91" s="931">
        <f>ROUND(SUMIF(MAP!$E$437:$E$459,$B91,MAP!$N$437:$N$459),0)</f>
        <v>0</v>
      </c>
      <c r="G91" s="931"/>
      <c r="K91" s="1469">
        <v>0</v>
      </c>
      <c r="L91" s="931"/>
      <c r="M91" s="1469">
        <v>21</v>
      </c>
    </row>
    <row r="92" spans="1:13" x14ac:dyDescent="0.2">
      <c r="A92" s="937"/>
      <c r="B92" s="931" t="s">
        <v>2382</v>
      </c>
      <c r="C92" s="1186"/>
      <c r="D92" s="931">
        <f>ROUND(SUMIF(MAP!$E$437:$E$459,$B92,MAP!$T$437:$T$459),0)</f>
        <v>0</v>
      </c>
      <c r="E92" s="931"/>
      <c r="F92" s="931">
        <f>ROUND(SUMIF(MAP!$E$437:$E$459,$B92,MAP!$N$437:$N$459),0)</f>
        <v>0</v>
      </c>
      <c r="G92" s="931"/>
      <c r="K92" s="1469">
        <v>0</v>
      </c>
      <c r="L92" s="931"/>
      <c r="M92" s="1469">
        <v>22</v>
      </c>
    </row>
    <row r="93" spans="1:13" x14ac:dyDescent="0.2">
      <c r="A93" s="937"/>
      <c r="B93" s="931" t="s">
        <v>2383</v>
      </c>
      <c r="C93" s="1186"/>
      <c r="D93" s="931">
        <f>ROUND(SUMIF(MAP!$E$437:$E$459,$B93,MAP!$T$437:$T$459),0)</f>
        <v>0</v>
      </c>
      <c r="E93" s="931"/>
      <c r="F93" s="931">
        <f>ROUND(SUMIF(MAP!$E$437:$E$459,$B93,MAP!$N$437:$N$459),0)</f>
        <v>0</v>
      </c>
      <c r="G93" s="931"/>
      <c r="K93" s="1469">
        <v>0</v>
      </c>
      <c r="L93" s="931"/>
      <c r="M93" s="1469">
        <v>33</v>
      </c>
    </row>
    <row r="94" spans="1:13" x14ac:dyDescent="0.2">
      <c r="A94" s="937"/>
      <c r="B94" s="931" t="s">
        <v>27</v>
      </c>
      <c r="C94" s="1186"/>
      <c r="D94" s="931">
        <f>ROUND(SUMIF(MAP!$E$437:$E$459,$B94,MAP!$T$437:$T$459),0)</f>
        <v>0</v>
      </c>
      <c r="E94" s="931"/>
      <c r="F94" s="931">
        <f>ROUND(SUMIF(MAP!$E$437:$E$459,$B94,MAP!$N$437:$N$459),0)</f>
        <v>0</v>
      </c>
      <c r="G94" s="931"/>
      <c r="K94" s="1469">
        <v>0</v>
      </c>
      <c r="L94" s="931"/>
      <c r="M94" s="1469">
        <v>16</v>
      </c>
    </row>
    <row r="95" spans="1:13" x14ac:dyDescent="0.2">
      <c r="A95" s="937"/>
      <c r="B95" s="931" t="s">
        <v>29</v>
      </c>
      <c r="C95" s="1186"/>
      <c r="D95" s="931">
        <f>ROUND(SUMIF(MAP!$E$437:$E$459,$B95,MAP!$T$437:$T$459),0)</f>
        <v>0</v>
      </c>
      <c r="E95" s="931"/>
      <c r="F95" s="931">
        <f>ROUND(SUMIF(MAP!$E$437:$E$459,$B95,MAP!$N$437:$N$459),0)</f>
        <v>0</v>
      </c>
      <c r="G95" s="931"/>
      <c r="K95" s="1469">
        <v>0</v>
      </c>
      <c r="L95" s="931"/>
      <c r="M95" s="1469">
        <v>28</v>
      </c>
    </row>
    <row r="96" spans="1:13" x14ac:dyDescent="0.2">
      <c r="A96" s="937"/>
      <c r="B96" s="931" t="s">
        <v>2384</v>
      </c>
      <c r="C96" s="1186"/>
      <c r="D96" s="931">
        <f>ROUND(SUMIF(MAP!$E$437:$E$459,$B96,MAP!$T$437:$T$459),0)</f>
        <v>0</v>
      </c>
      <c r="E96" s="931"/>
      <c r="F96" s="931">
        <f>ROUND(SUMIF(MAP!$E$437:$E$459,$B96,MAP!$N$437:$N$459),0)</f>
        <v>0</v>
      </c>
      <c r="G96" s="931"/>
      <c r="K96" s="1469">
        <v>0</v>
      </c>
      <c r="L96" s="931"/>
      <c r="M96" s="1469">
        <v>67</v>
      </c>
    </row>
    <row r="97" spans="1:13" x14ac:dyDescent="0.2">
      <c r="A97" s="937"/>
      <c r="B97" s="931" t="s">
        <v>2385</v>
      </c>
      <c r="C97" s="1186"/>
      <c r="D97" s="931">
        <f>ROUND(SUMIF(MAP!$E$437:$E$459,$B97,MAP!$T$437:$T$459),0)</f>
        <v>0</v>
      </c>
      <c r="E97" s="931"/>
      <c r="F97" s="931">
        <f>ROUND(SUMIF(MAP!$E$437:$E$459,$B97,MAP!$N$437:$N$459),0)</f>
        <v>0</v>
      </c>
      <c r="G97" s="931"/>
      <c r="K97" s="1469">
        <v>0</v>
      </c>
      <c r="L97" s="931"/>
      <c r="M97" s="1469">
        <v>120</v>
      </c>
    </row>
    <row r="98" spans="1:13" x14ac:dyDescent="0.2">
      <c r="A98" s="937"/>
      <c r="B98" s="931" t="s">
        <v>2386</v>
      </c>
      <c r="C98" s="1186"/>
      <c r="D98" s="931">
        <f>ROUND(SUMIF(MAP!$E$437:$E$459,$B98,MAP!$T$437:$T$459),0)</f>
        <v>0</v>
      </c>
      <c r="E98" s="931"/>
      <c r="F98" s="931">
        <f>ROUND(SUMIF(MAP!$E$437:$E$459,$B98,MAP!$N$437:$N$459),0)</f>
        <v>0</v>
      </c>
      <c r="G98" s="931"/>
      <c r="K98" s="1469">
        <v>0</v>
      </c>
      <c r="L98" s="931"/>
      <c r="M98" s="1469">
        <v>133</v>
      </c>
    </row>
    <row r="99" spans="1:13" x14ac:dyDescent="0.2">
      <c r="A99" s="937"/>
      <c r="B99" s="931" t="s">
        <v>37</v>
      </c>
      <c r="C99" s="1186"/>
      <c r="D99" s="931">
        <f>ROUND(SUMIF(MAP!$E$437:$E$459,$B99,MAP!$T$437:$T$459),0)</f>
        <v>0</v>
      </c>
      <c r="E99" s="931"/>
      <c r="F99" s="931">
        <f>ROUND(SUMIF(MAP!$E$437:$E$459,$B99,MAP!$N$437:$N$459),0)</f>
        <v>0</v>
      </c>
      <c r="G99" s="931"/>
      <c r="K99" s="1469">
        <v>0</v>
      </c>
      <c r="L99" s="931"/>
      <c r="M99" s="1469">
        <v>0</v>
      </c>
    </row>
    <row r="100" spans="1:13" x14ac:dyDescent="0.2">
      <c r="A100" s="937"/>
      <c r="B100" s="931" t="s">
        <v>39</v>
      </c>
      <c r="C100" s="1186"/>
      <c r="D100" s="931">
        <f>ROUND(SUMIF(MAP!$E$437:$E$459,$B100,MAP!$T$437:$T$459),0)</f>
        <v>0</v>
      </c>
      <c r="E100" s="931"/>
      <c r="F100" s="931">
        <f>ROUND(SUMIF(MAP!$E$437:$E$459,$B100,MAP!$N$437:$N$459),0)</f>
        <v>0</v>
      </c>
      <c r="G100" s="931"/>
      <c r="K100" s="1469">
        <v>0</v>
      </c>
      <c r="L100" s="931"/>
      <c r="M100" s="1469">
        <v>0</v>
      </c>
    </row>
    <row r="101" spans="1:13" x14ac:dyDescent="0.2">
      <c r="A101" s="937"/>
      <c r="B101" s="931"/>
      <c r="C101" s="1186"/>
      <c r="D101" s="931"/>
      <c r="E101" s="931"/>
      <c r="F101" s="931"/>
      <c r="G101" s="931"/>
      <c r="K101" s="931"/>
      <c r="L101" s="931"/>
      <c r="M101" s="931"/>
    </row>
    <row r="102" spans="1:13" ht="13.5" thickBot="1" x14ac:dyDescent="0.25">
      <c r="A102" s="937"/>
      <c r="B102" s="937" t="s">
        <v>2387</v>
      </c>
      <c r="C102" s="1186"/>
      <c r="D102" s="1448">
        <f>SUM(D82:D100)</f>
        <v>0</v>
      </c>
      <c r="E102" s="937"/>
      <c r="F102" s="1448">
        <f>SUM(F82:F100)</f>
        <v>0</v>
      </c>
      <c r="G102" s="931"/>
      <c r="K102" s="1448">
        <f>SUM(K82:K100)</f>
        <v>211</v>
      </c>
      <c r="L102" s="937"/>
      <c r="M102" s="1448">
        <f>SUM(M82:M100)</f>
        <v>1195</v>
      </c>
    </row>
    <row r="103" spans="1:13" x14ac:dyDescent="0.2">
      <c r="A103" s="937"/>
      <c r="B103" s="931"/>
      <c r="C103" s="1186"/>
      <c r="D103" s="931"/>
      <c r="E103" s="931"/>
      <c r="F103" s="931"/>
      <c r="G103" s="931"/>
    </row>
    <row r="104" spans="1:13" x14ac:dyDescent="0.2">
      <c r="D104" s="1474" t="str">
        <f>IF(ROUND(SUMIF(MAP!$E$437:$E$459,$B102,MAP!$T$437:$T$459),0)=D102,"OK","ERROR")</f>
        <v>OK</v>
      </c>
      <c r="F104" s="1474" t="str">
        <f>IF(ROUND(SUMIF(MAP!$E$437:$E$459,$B102,MAP!$N$437:$N$459),0)=F102,"OK","ERROR")</f>
        <v>OK</v>
      </c>
    </row>
    <row r="105" spans="1:13" x14ac:dyDescent="0.2">
      <c r="D105" s="1474" t="e">
        <f>IF(D102=SCNE!D43,"OK","ERROR")</f>
        <v>#VALUE!</v>
      </c>
      <c r="F105" s="1474" t="e">
        <f>IF(F102=SCNE!F43,"OK","ERROR")</f>
        <v>#VALUE!</v>
      </c>
    </row>
    <row r="107" spans="1:13" x14ac:dyDescent="0.2">
      <c r="B107" s="34" t="s">
        <v>2389</v>
      </c>
    </row>
  </sheetData>
  <mergeCells count="1">
    <mergeCell ref="B72:F74"/>
  </mergeCells>
  <conditionalFormatting sqref="B59:B64 C61:F61 C62 E62 C65:C67 E65:E67 C68:E69">
    <cfRule type="expression" dxfId="344" priority="3">
      <formula>CELL("Protect",B59)=0</formula>
    </cfRule>
  </conditionalFormatting>
  <conditionalFormatting sqref="C63:F64">
    <cfRule type="expression" dxfId="343" priority="2">
      <formula>CELL("Protect",C63)=0</formula>
    </cfRule>
  </conditionalFormatting>
  <pageMargins left="0.35433070866141736" right="0.47244094488188981" top="0.19685039370078741" bottom="0.19685039370078741" header="0.31496062992125984" footer="0.31496062992125984"/>
  <pageSetup paperSize="9" scale="94" orientation="landscape" r:id="rId1"/>
  <rowBreaks count="1" manualBreakCount="1">
    <brk id="106" max="12" man="1"/>
  </rowBreaks>
  <colBreaks count="1" manualBreakCount="1">
    <brk id="12" max="44"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R33"/>
  <sheetViews>
    <sheetView zoomScale="90" zoomScaleNormal="90" workbookViewId="0">
      <pane xSplit="5" ySplit="10" topLeftCell="F11"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6.140625" style="37" bestFit="1" customWidth="1"/>
    <col min="2" max="2" width="45.85546875" style="34" customWidth="1"/>
    <col min="3" max="3" width="11.7109375" style="34" customWidth="1"/>
    <col min="4" max="4" width="1.7109375" style="34" customWidth="1"/>
    <col min="5" max="5" width="13" style="34" customWidth="1"/>
    <col min="6" max="6" width="5.28515625" style="34" bestFit="1" customWidth="1"/>
    <col min="7" max="7" width="14.7109375" style="34" customWidth="1" outlineLevel="1"/>
    <col min="8" max="8" width="2.85546875" style="34" customWidth="1" outlineLevel="1"/>
    <col min="9" max="9" width="13.7109375" style="34" customWidth="1" outlineLevel="1"/>
    <col min="10" max="10" width="3.42578125" style="34" customWidth="1"/>
    <col min="11" max="11" width="12.28515625" style="34" hidden="1" customWidth="1" outlineLevel="1"/>
    <col min="12" max="12" width="3" style="34" hidden="1" customWidth="1" outlineLevel="1"/>
    <col min="13" max="13" width="12.42578125" style="34" hidden="1" customWidth="1" outlineLevel="1"/>
    <col min="14" max="14" width="9.140625" style="34" hidden="1" customWidth="1" outlineLevel="1"/>
    <col min="15" max="15" width="9.140625" style="34" collapsed="1"/>
    <col min="16" max="17" width="0" style="34" hidden="1" customWidth="1" outlineLevel="1"/>
    <col min="18" max="18" width="9.140625" style="34" collapsed="1"/>
    <col min="19" max="215" width="9.140625" style="34"/>
    <col min="216" max="216" width="6.140625" style="34" bestFit="1" customWidth="1"/>
    <col min="217" max="217" width="45.85546875" style="34" customWidth="1"/>
    <col min="218" max="220" width="14.5703125" style="34" customWidth="1"/>
    <col min="221" max="221" width="5.140625" style="34" customWidth="1"/>
    <col min="222" max="224" width="14.5703125" style="34" customWidth="1"/>
    <col min="225" max="471" width="9.140625" style="34"/>
    <col min="472" max="472" width="6.140625" style="34" bestFit="1" customWidth="1"/>
    <col min="473" max="473" width="45.85546875" style="34" customWidth="1"/>
    <col min="474" max="476" width="14.5703125" style="34" customWidth="1"/>
    <col min="477" max="477" width="5.140625" style="34" customWidth="1"/>
    <col min="478" max="480" width="14.5703125" style="34" customWidth="1"/>
    <col min="481" max="727" width="9.140625" style="34"/>
    <col min="728" max="728" width="6.140625" style="34" bestFit="1" customWidth="1"/>
    <col min="729" max="729" width="45.85546875" style="34" customWidth="1"/>
    <col min="730" max="732" width="14.5703125" style="34" customWidth="1"/>
    <col min="733" max="733" width="5.140625" style="34" customWidth="1"/>
    <col min="734" max="736" width="14.5703125" style="34" customWidth="1"/>
    <col min="737" max="983" width="9.140625" style="34"/>
    <col min="984" max="984" width="6.140625" style="34" bestFit="1" customWidth="1"/>
    <col min="985" max="985" width="45.85546875" style="34" customWidth="1"/>
    <col min="986" max="988" width="14.5703125" style="34" customWidth="1"/>
    <col min="989" max="989" width="5.140625" style="34" customWidth="1"/>
    <col min="990" max="992" width="14.5703125" style="34" customWidth="1"/>
    <col min="993" max="1239" width="9.140625" style="34"/>
    <col min="1240" max="1240" width="6.140625" style="34" bestFit="1" customWidth="1"/>
    <col min="1241" max="1241" width="45.85546875" style="34" customWidth="1"/>
    <col min="1242" max="1244" width="14.5703125" style="34" customWidth="1"/>
    <col min="1245" max="1245" width="5.140625" style="34" customWidth="1"/>
    <col min="1246" max="1248" width="14.5703125" style="34" customWidth="1"/>
    <col min="1249" max="1495" width="9.140625" style="34"/>
    <col min="1496" max="1496" width="6.140625" style="34" bestFit="1" customWidth="1"/>
    <col min="1497" max="1497" width="45.85546875" style="34" customWidth="1"/>
    <col min="1498" max="1500" width="14.5703125" style="34" customWidth="1"/>
    <col min="1501" max="1501" width="5.140625" style="34" customWidth="1"/>
    <col min="1502" max="1504" width="14.5703125" style="34" customWidth="1"/>
    <col min="1505" max="1751" width="9.140625" style="34"/>
    <col min="1752" max="1752" width="6.140625" style="34" bestFit="1" customWidth="1"/>
    <col min="1753" max="1753" width="45.85546875" style="34" customWidth="1"/>
    <col min="1754" max="1756" width="14.5703125" style="34" customWidth="1"/>
    <col min="1757" max="1757" width="5.140625" style="34" customWidth="1"/>
    <col min="1758" max="1760" width="14.5703125" style="34" customWidth="1"/>
    <col min="1761" max="2007" width="9.140625" style="34"/>
    <col min="2008" max="2008" width="6.140625" style="34" bestFit="1" customWidth="1"/>
    <col min="2009" max="2009" width="45.85546875" style="34" customWidth="1"/>
    <col min="2010" max="2012" width="14.5703125" style="34" customWidth="1"/>
    <col min="2013" max="2013" width="5.140625" style="34" customWidth="1"/>
    <col min="2014" max="2016" width="14.5703125" style="34" customWidth="1"/>
    <col min="2017" max="2263" width="9.140625" style="34"/>
    <col min="2264" max="2264" width="6.140625" style="34" bestFit="1" customWidth="1"/>
    <col min="2265" max="2265" width="45.85546875" style="34" customWidth="1"/>
    <col min="2266" max="2268" width="14.5703125" style="34" customWidth="1"/>
    <col min="2269" max="2269" width="5.140625" style="34" customWidth="1"/>
    <col min="2270" max="2272" width="14.5703125" style="34" customWidth="1"/>
    <col min="2273" max="2519" width="9.140625" style="34"/>
    <col min="2520" max="2520" width="6.140625" style="34" bestFit="1" customWidth="1"/>
    <col min="2521" max="2521" width="45.85546875" style="34" customWidth="1"/>
    <col min="2522" max="2524" width="14.5703125" style="34" customWidth="1"/>
    <col min="2525" max="2525" width="5.140625" style="34" customWidth="1"/>
    <col min="2526" max="2528" width="14.5703125" style="34" customWidth="1"/>
    <col min="2529" max="2775" width="9.140625" style="34"/>
    <col min="2776" max="2776" width="6.140625" style="34" bestFit="1" customWidth="1"/>
    <col min="2777" max="2777" width="45.85546875" style="34" customWidth="1"/>
    <col min="2778" max="2780" width="14.5703125" style="34" customWidth="1"/>
    <col min="2781" max="2781" width="5.140625" style="34" customWidth="1"/>
    <col min="2782" max="2784" width="14.5703125" style="34" customWidth="1"/>
    <col min="2785" max="3031" width="9.140625" style="34"/>
    <col min="3032" max="3032" width="6.140625" style="34" bestFit="1" customWidth="1"/>
    <col min="3033" max="3033" width="45.85546875" style="34" customWidth="1"/>
    <col min="3034" max="3036" width="14.5703125" style="34" customWidth="1"/>
    <col min="3037" max="3037" width="5.140625" style="34" customWidth="1"/>
    <col min="3038" max="3040" width="14.5703125" style="34" customWidth="1"/>
    <col min="3041" max="3287" width="9.140625" style="34"/>
    <col min="3288" max="3288" width="6.140625" style="34" bestFit="1" customWidth="1"/>
    <col min="3289" max="3289" width="45.85546875" style="34" customWidth="1"/>
    <col min="3290" max="3292" width="14.5703125" style="34" customWidth="1"/>
    <col min="3293" max="3293" width="5.140625" style="34" customWidth="1"/>
    <col min="3294" max="3296" width="14.5703125" style="34" customWidth="1"/>
    <col min="3297" max="3543" width="9.140625" style="34"/>
    <col min="3544" max="3544" width="6.140625" style="34" bestFit="1" customWidth="1"/>
    <col min="3545" max="3545" width="45.85546875" style="34" customWidth="1"/>
    <col min="3546" max="3548" width="14.5703125" style="34" customWidth="1"/>
    <col min="3549" max="3549" width="5.140625" style="34" customWidth="1"/>
    <col min="3550" max="3552" width="14.5703125" style="34" customWidth="1"/>
    <col min="3553" max="3799" width="9.140625" style="34"/>
    <col min="3800" max="3800" width="6.140625" style="34" bestFit="1" customWidth="1"/>
    <col min="3801" max="3801" width="45.85546875" style="34" customWidth="1"/>
    <col min="3802" max="3804" width="14.5703125" style="34" customWidth="1"/>
    <col min="3805" max="3805" width="5.140625" style="34" customWidth="1"/>
    <col min="3806" max="3808" width="14.5703125" style="34" customWidth="1"/>
    <col min="3809" max="4055" width="9.140625" style="34"/>
    <col min="4056" max="4056" width="6.140625" style="34" bestFit="1" customWidth="1"/>
    <col min="4057" max="4057" width="45.85546875" style="34" customWidth="1"/>
    <col min="4058" max="4060" width="14.5703125" style="34" customWidth="1"/>
    <col min="4061" max="4061" width="5.140625" style="34" customWidth="1"/>
    <col min="4062" max="4064" width="14.5703125" style="34" customWidth="1"/>
    <col min="4065" max="4311" width="9.140625" style="34"/>
    <col min="4312" max="4312" width="6.140625" style="34" bestFit="1" customWidth="1"/>
    <col min="4313" max="4313" width="45.85546875" style="34" customWidth="1"/>
    <col min="4314" max="4316" width="14.5703125" style="34" customWidth="1"/>
    <col min="4317" max="4317" width="5.140625" style="34" customWidth="1"/>
    <col min="4318" max="4320" width="14.5703125" style="34" customWidth="1"/>
    <col min="4321" max="4567" width="9.140625" style="34"/>
    <col min="4568" max="4568" width="6.140625" style="34" bestFit="1" customWidth="1"/>
    <col min="4569" max="4569" width="45.85546875" style="34" customWidth="1"/>
    <col min="4570" max="4572" width="14.5703125" style="34" customWidth="1"/>
    <col min="4573" max="4573" width="5.140625" style="34" customWidth="1"/>
    <col min="4574" max="4576" width="14.5703125" style="34" customWidth="1"/>
    <col min="4577" max="4823" width="9.140625" style="34"/>
    <col min="4824" max="4824" width="6.140625" style="34" bestFit="1" customWidth="1"/>
    <col min="4825" max="4825" width="45.85546875" style="34" customWidth="1"/>
    <col min="4826" max="4828" width="14.5703125" style="34" customWidth="1"/>
    <col min="4829" max="4829" width="5.140625" style="34" customWidth="1"/>
    <col min="4830" max="4832" width="14.5703125" style="34" customWidth="1"/>
    <col min="4833" max="5079" width="9.140625" style="34"/>
    <col min="5080" max="5080" width="6.140625" style="34" bestFit="1" customWidth="1"/>
    <col min="5081" max="5081" width="45.85546875" style="34" customWidth="1"/>
    <col min="5082" max="5084" width="14.5703125" style="34" customWidth="1"/>
    <col min="5085" max="5085" width="5.140625" style="34" customWidth="1"/>
    <col min="5086" max="5088" width="14.5703125" style="34" customWidth="1"/>
    <col min="5089" max="5335" width="9.140625" style="34"/>
    <col min="5336" max="5336" width="6.140625" style="34" bestFit="1" customWidth="1"/>
    <col min="5337" max="5337" width="45.85546875" style="34" customWidth="1"/>
    <col min="5338" max="5340" width="14.5703125" style="34" customWidth="1"/>
    <col min="5341" max="5341" width="5.140625" style="34" customWidth="1"/>
    <col min="5342" max="5344" width="14.5703125" style="34" customWidth="1"/>
    <col min="5345" max="5591" width="9.140625" style="34"/>
    <col min="5592" max="5592" width="6.140625" style="34" bestFit="1" customWidth="1"/>
    <col min="5593" max="5593" width="45.85546875" style="34" customWidth="1"/>
    <col min="5594" max="5596" width="14.5703125" style="34" customWidth="1"/>
    <col min="5597" max="5597" width="5.140625" style="34" customWidth="1"/>
    <col min="5598" max="5600" width="14.5703125" style="34" customWidth="1"/>
    <col min="5601" max="5847" width="9.140625" style="34"/>
    <col min="5848" max="5848" width="6.140625" style="34" bestFit="1" customWidth="1"/>
    <col min="5849" max="5849" width="45.85546875" style="34" customWidth="1"/>
    <col min="5850" max="5852" width="14.5703125" style="34" customWidth="1"/>
    <col min="5853" max="5853" width="5.140625" style="34" customWidth="1"/>
    <col min="5854" max="5856" width="14.5703125" style="34" customWidth="1"/>
    <col min="5857" max="6103" width="9.140625" style="34"/>
    <col min="6104" max="6104" width="6.140625" style="34" bestFit="1" customWidth="1"/>
    <col min="6105" max="6105" width="45.85546875" style="34" customWidth="1"/>
    <col min="6106" max="6108" width="14.5703125" style="34" customWidth="1"/>
    <col min="6109" max="6109" width="5.140625" style="34" customWidth="1"/>
    <col min="6110" max="6112" width="14.5703125" style="34" customWidth="1"/>
    <col min="6113" max="6359" width="9.140625" style="34"/>
    <col min="6360" max="6360" width="6.140625" style="34" bestFit="1" customWidth="1"/>
    <col min="6361" max="6361" width="45.85546875" style="34" customWidth="1"/>
    <col min="6362" max="6364" width="14.5703125" style="34" customWidth="1"/>
    <col min="6365" max="6365" width="5.140625" style="34" customWidth="1"/>
    <col min="6366" max="6368" width="14.5703125" style="34" customWidth="1"/>
    <col min="6369" max="6615" width="9.140625" style="34"/>
    <col min="6616" max="6616" width="6.140625" style="34" bestFit="1" customWidth="1"/>
    <col min="6617" max="6617" width="45.85546875" style="34" customWidth="1"/>
    <col min="6618" max="6620" width="14.5703125" style="34" customWidth="1"/>
    <col min="6621" max="6621" width="5.140625" style="34" customWidth="1"/>
    <col min="6622" max="6624" width="14.5703125" style="34" customWidth="1"/>
    <col min="6625" max="6871" width="9.140625" style="34"/>
    <col min="6872" max="6872" width="6.140625" style="34" bestFit="1" customWidth="1"/>
    <col min="6873" max="6873" width="45.85546875" style="34" customWidth="1"/>
    <col min="6874" max="6876" width="14.5703125" style="34" customWidth="1"/>
    <col min="6877" max="6877" width="5.140625" style="34" customWidth="1"/>
    <col min="6878" max="6880" width="14.5703125" style="34" customWidth="1"/>
    <col min="6881" max="7127" width="9.140625" style="34"/>
    <col min="7128" max="7128" width="6.140625" style="34" bestFit="1" customWidth="1"/>
    <col min="7129" max="7129" width="45.85546875" style="34" customWidth="1"/>
    <col min="7130" max="7132" width="14.5703125" style="34" customWidth="1"/>
    <col min="7133" max="7133" width="5.140625" style="34" customWidth="1"/>
    <col min="7134" max="7136" width="14.5703125" style="34" customWidth="1"/>
    <col min="7137" max="7383" width="9.140625" style="34"/>
    <col min="7384" max="7384" width="6.140625" style="34" bestFit="1" customWidth="1"/>
    <col min="7385" max="7385" width="45.85546875" style="34" customWidth="1"/>
    <col min="7386" max="7388" width="14.5703125" style="34" customWidth="1"/>
    <col min="7389" max="7389" width="5.140625" style="34" customWidth="1"/>
    <col min="7390" max="7392" width="14.5703125" style="34" customWidth="1"/>
    <col min="7393" max="7639" width="9.140625" style="34"/>
    <col min="7640" max="7640" width="6.140625" style="34" bestFit="1" customWidth="1"/>
    <col min="7641" max="7641" width="45.85546875" style="34" customWidth="1"/>
    <col min="7642" max="7644" width="14.5703125" style="34" customWidth="1"/>
    <col min="7645" max="7645" width="5.140625" style="34" customWidth="1"/>
    <col min="7646" max="7648" width="14.5703125" style="34" customWidth="1"/>
    <col min="7649" max="7895" width="9.140625" style="34"/>
    <col min="7896" max="7896" width="6.140625" style="34" bestFit="1" customWidth="1"/>
    <col min="7897" max="7897" width="45.85546875" style="34" customWidth="1"/>
    <col min="7898" max="7900" width="14.5703125" style="34" customWidth="1"/>
    <col min="7901" max="7901" width="5.140625" style="34" customWidth="1"/>
    <col min="7902" max="7904" width="14.5703125" style="34" customWidth="1"/>
    <col min="7905" max="8151" width="9.140625" style="34"/>
    <col min="8152" max="8152" width="6.140625" style="34" bestFit="1" customWidth="1"/>
    <col min="8153" max="8153" width="45.85546875" style="34" customWidth="1"/>
    <col min="8154" max="8156" width="14.5703125" style="34" customWidth="1"/>
    <col min="8157" max="8157" width="5.140625" style="34" customWidth="1"/>
    <col min="8158" max="8160" width="14.5703125" style="34" customWidth="1"/>
    <col min="8161" max="8407" width="9.140625" style="34"/>
    <col min="8408" max="8408" width="6.140625" style="34" bestFit="1" customWidth="1"/>
    <col min="8409" max="8409" width="45.85546875" style="34" customWidth="1"/>
    <col min="8410" max="8412" width="14.5703125" style="34" customWidth="1"/>
    <col min="8413" max="8413" width="5.140625" style="34" customWidth="1"/>
    <col min="8414" max="8416" width="14.5703125" style="34" customWidth="1"/>
    <col min="8417" max="8663" width="9.140625" style="34"/>
    <col min="8664" max="8664" width="6.140625" style="34" bestFit="1" customWidth="1"/>
    <col min="8665" max="8665" width="45.85546875" style="34" customWidth="1"/>
    <col min="8666" max="8668" width="14.5703125" style="34" customWidth="1"/>
    <col min="8669" max="8669" width="5.140625" style="34" customWidth="1"/>
    <col min="8670" max="8672" width="14.5703125" style="34" customWidth="1"/>
    <col min="8673" max="8919" width="9.140625" style="34"/>
    <col min="8920" max="8920" width="6.140625" style="34" bestFit="1" customWidth="1"/>
    <col min="8921" max="8921" width="45.85546875" style="34" customWidth="1"/>
    <col min="8922" max="8924" width="14.5703125" style="34" customWidth="1"/>
    <col min="8925" max="8925" width="5.140625" style="34" customWidth="1"/>
    <col min="8926" max="8928" width="14.5703125" style="34" customWidth="1"/>
    <col min="8929" max="9175" width="9.140625" style="34"/>
    <col min="9176" max="9176" width="6.140625" style="34" bestFit="1" customWidth="1"/>
    <col min="9177" max="9177" width="45.85546875" style="34" customWidth="1"/>
    <col min="9178" max="9180" width="14.5703125" style="34" customWidth="1"/>
    <col min="9181" max="9181" width="5.140625" style="34" customWidth="1"/>
    <col min="9182" max="9184" width="14.5703125" style="34" customWidth="1"/>
    <col min="9185" max="9431" width="9.140625" style="34"/>
    <col min="9432" max="9432" width="6.140625" style="34" bestFit="1" customWidth="1"/>
    <col min="9433" max="9433" width="45.85546875" style="34" customWidth="1"/>
    <col min="9434" max="9436" width="14.5703125" style="34" customWidth="1"/>
    <col min="9437" max="9437" width="5.140625" style="34" customWidth="1"/>
    <col min="9438" max="9440" width="14.5703125" style="34" customWidth="1"/>
    <col min="9441" max="9687" width="9.140625" style="34"/>
    <col min="9688" max="9688" width="6.140625" style="34" bestFit="1" customWidth="1"/>
    <col min="9689" max="9689" width="45.85546875" style="34" customWidth="1"/>
    <col min="9690" max="9692" width="14.5703125" style="34" customWidth="1"/>
    <col min="9693" max="9693" width="5.140625" style="34" customWidth="1"/>
    <col min="9694" max="9696" width="14.5703125" style="34" customWidth="1"/>
    <col min="9697" max="9943" width="9.140625" style="34"/>
    <col min="9944" max="9944" width="6.140625" style="34" bestFit="1" customWidth="1"/>
    <col min="9945" max="9945" width="45.85546875" style="34" customWidth="1"/>
    <col min="9946" max="9948" width="14.5703125" style="34" customWidth="1"/>
    <col min="9949" max="9949" width="5.140625" style="34" customWidth="1"/>
    <col min="9950" max="9952" width="14.5703125" style="34" customWidth="1"/>
    <col min="9953" max="10199" width="9.140625" style="34"/>
    <col min="10200" max="10200" width="6.140625" style="34" bestFit="1" customWidth="1"/>
    <col min="10201" max="10201" width="45.85546875" style="34" customWidth="1"/>
    <col min="10202" max="10204" width="14.5703125" style="34" customWidth="1"/>
    <col min="10205" max="10205" width="5.140625" style="34" customWidth="1"/>
    <col min="10206" max="10208" width="14.5703125" style="34" customWidth="1"/>
    <col min="10209" max="10455" width="9.140625" style="34"/>
    <col min="10456" max="10456" width="6.140625" style="34" bestFit="1" customWidth="1"/>
    <col min="10457" max="10457" width="45.85546875" style="34" customWidth="1"/>
    <col min="10458" max="10460" width="14.5703125" style="34" customWidth="1"/>
    <col min="10461" max="10461" width="5.140625" style="34" customWidth="1"/>
    <col min="10462" max="10464" width="14.5703125" style="34" customWidth="1"/>
    <col min="10465" max="10711" width="9.140625" style="34"/>
    <col min="10712" max="10712" width="6.140625" style="34" bestFit="1" customWidth="1"/>
    <col min="10713" max="10713" width="45.85546875" style="34" customWidth="1"/>
    <col min="10714" max="10716" width="14.5703125" style="34" customWidth="1"/>
    <col min="10717" max="10717" width="5.140625" style="34" customWidth="1"/>
    <col min="10718" max="10720" width="14.5703125" style="34" customWidth="1"/>
    <col min="10721" max="10967" width="9.140625" style="34"/>
    <col min="10968" max="10968" width="6.140625" style="34" bestFit="1" customWidth="1"/>
    <col min="10969" max="10969" width="45.85546875" style="34" customWidth="1"/>
    <col min="10970" max="10972" width="14.5703125" style="34" customWidth="1"/>
    <col min="10973" max="10973" width="5.140625" style="34" customWidth="1"/>
    <col min="10974" max="10976" width="14.5703125" style="34" customWidth="1"/>
    <col min="10977" max="11223" width="9.140625" style="34"/>
    <col min="11224" max="11224" width="6.140625" style="34" bestFit="1" customWidth="1"/>
    <col min="11225" max="11225" width="45.85546875" style="34" customWidth="1"/>
    <col min="11226" max="11228" width="14.5703125" style="34" customWidth="1"/>
    <col min="11229" max="11229" width="5.140625" style="34" customWidth="1"/>
    <col min="11230" max="11232" width="14.5703125" style="34" customWidth="1"/>
    <col min="11233" max="11479" width="9.140625" style="34"/>
    <col min="11480" max="11480" width="6.140625" style="34" bestFit="1" customWidth="1"/>
    <col min="11481" max="11481" width="45.85546875" style="34" customWidth="1"/>
    <col min="11482" max="11484" width="14.5703125" style="34" customWidth="1"/>
    <col min="11485" max="11485" width="5.140625" style="34" customWidth="1"/>
    <col min="11486" max="11488" width="14.5703125" style="34" customWidth="1"/>
    <col min="11489" max="11735" width="9.140625" style="34"/>
    <col min="11736" max="11736" width="6.140625" style="34" bestFit="1" customWidth="1"/>
    <col min="11737" max="11737" width="45.85546875" style="34" customWidth="1"/>
    <col min="11738" max="11740" width="14.5703125" style="34" customWidth="1"/>
    <col min="11741" max="11741" width="5.140625" style="34" customWidth="1"/>
    <col min="11742" max="11744" width="14.5703125" style="34" customWidth="1"/>
    <col min="11745" max="11991" width="9.140625" style="34"/>
    <col min="11992" max="11992" width="6.140625" style="34" bestFit="1" customWidth="1"/>
    <col min="11993" max="11993" width="45.85546875" style="34" customWidth="1"/>
    <col min="11994" max="11996" width="14.5703125" style="34" customWidth="1"/>
    <col min="11997" max="11997" width="5.140625" style="34" customWidth="1"/>
    <col min="11998" max="12000" width="14.5703125" style="34" customWidth="1"/>
    <col min="12001" max="12247" width="9.140625" style="34"/>
    <col min="12248" max="12248" width="6.140625" style="34" bestFit="1" customWidth="1"/>
    <col min="12249" max="12249" width="45.85546875" style="34" customWidth="1"/>
    <col min="12250" max="12252" width="14.5703125" style="34" customWidth="1"/>
    <col min="12253" max="12253" width="5.140625" style="34" customWidth="1"/>
    <col min="12254" max="12256" width="14.5703125" style="34" customWidth="1"/>
    <col min="12257" max="12503" width="9.140625" style="34"/>
    <col min="12504" max="12504" width="6.140625" style="34" bestFit="1" customWidth="1"/>
    <col min="12505" max="12505" width="45.85546875" style="34" customWidth="1"/>
    <col min="12506" max="12508" width="14.5703125" style="34" customWidth="1"/>
    <col min="12509" max="12509" width="5.140625" style="34" customWidth="1"/>
    <col min="12510" max="12512" width="14.5703125" style="34" customWidth="1"/>
    <col min="12513" max="12759" width="9.140625" style="34"/>
    <col min="12760" max="12760" width="6.140625" style="34" bestFit="1" customWidth="1"/>
    <col min="12761" max="12761" width="45.85546875" style="34" customWidth="1"/>
    <col min="12762" max="12764" width="14.5703125" style="34" customWidth="1"/>
    <col min="12765" max="12765" width="5.140625" style="34" customWidth="1"/>
    <col min="12766" max="12768" width="14.5703125" style="34" customWidth="1"/>
    <col min="12769" max="13015" width="9.140625" style="34"/>
    <col min="13016" max="13016" width="6.140625" style="34" bestFit="1" customWidth="1"/>
    <col min="13017" max="13017" width="45.85546875" style="34" customWidth="1"/>
    <col min="13018" max="13020" width="14.5703125" style="34" customWidth="1"/>
    <col min="13021" max="13021" width="5.140625" style="34" customWidth="1"/>
    <col min="13022" max="13024" width="14.5703125" style="34" customWidth="1"/>
    <col min="13025" max="13271" width="9.140625" style="34"/>
    <col min="13272" max="13272" width="6.140625" style="34" bestFit="1" customWidth="1"/>
    <col min="13273" max="13273" width="45.85546875" style="34" customWidth="1"/>
    <col min="13274" max="13276" width="14.5703125" style="34" customWidth="1"/>
    <col min="13277" max="13277" width="5.140625" style="34" customWidth="1"/>
    <col min="13278" max="13280" width="14.5703125" style="34" customWidth="1"/>
    <col min="13281" max="13527" width="9.140625" style="34"/>
    <col min="13528" max="13528" width="6.140625" style="34" bestFit="1" customWidth="1"/>
    <col min="13529" max="13529" width="45.85546875" style="34" customWidth="1"/>
    <col min="13530" max="13532" width="14.5703125" style="34" customWidth="1"/>
    <col min="13533" max="13533" width="5.140625" style="34" customWidth="1"/>
    <col min="13534" max="13536" width="14.5703125" style="34" customWidth="1"/>
    <col min="13537" max="13783" width="9.140625" style="34"/>
    <col min="13784" max="13784" width="6.140625" style="34" bestFit="1" customWidth="1"/>
    <col min="13785" max="13785" width="45.85546875" style="34" customWidth="1"/>
    <col min="13786" max="13788" width="14.5703125" style="34" customWidth="1"/>
    <col min="13789" max="13789" width="5.140625" style="34" customWidth="1"/>
    <col min="13790" max="13792" width="14.5703125" style="34" customWidth="1"/>
    <col min="13793" max="14039" width="9.140625" style="34"/>
    <col min="14040" max="14040" width="6.140625" style="34" bestFit="1" customWidth="1"/>
    <col min="14041" max="14041" width="45.85546875" style="34" customWidth="1"/>
    <col min="14042" max="14044" width="14.5703125" style="34" customWidth="1"/>
    <col min="14045" max="14045" width="5.140625" style="34" customWidth="1"/>
    <col min="14046" max="14048" width="14.5703125" style="34" customWidth="1"/>
    <col min="14049" max="14295" width="9.140625" style="34"/>
    <col min="14296" max="14296" width="6.140625" style="34" bestFit="1" customWidth="1"/>
    <col min="14297" max="14297" width="45.85546875" style="34" customWidth="1"/>
    <col min="14298" max="14300" width="14.5703125" style="34" customWidth="1"/>
    <col min="14301" max="14301" width="5.140625" style="34" customWidth="1"/>
    <col min="14302" max="14304" width="14.5703125" style="34" customWidth="1"/>
    <col min="14305" max="14551" width="9.140625" style="34"/>
    <col min="14552" max="14552" width="6.140625" style="34" bestFit="1" customWidth="1"/>
    <col min="14553" max="14553" width="45.85546875" style="34" customWidth="1"/>
    <col min="14554" max="14556" width="14.5703125" style="34" customWidth="1"/>
    <col min="14557" max="14557" width="5.140625" style="34" customWidth="1"/>
    <col min="14558" max="14560" width="14.5703125" style="34" customWidth="1"/>
    <col min="14561" max="14807" width="9.140625" style="34"/>
    <col min="14808" max="14808" width="6.140625" style="34" bestFit="1" customWidth="1"/>
    <col min="14809" max="14809" width="45.85546875" style="34" customWidth="1"/>
    <col min="14810" max="14812" width="14.5703125" style="34" customWidth="1"/>
    <col min="14813" max="14813" width="5.140625" style="34" customWidth="1"/>
    <col min="14814" max="14816" width="14.5703125" style="34" customWidth="1"/>
    <col min="14817" max="15063" width="9.140625" style="34"/>
    <col min="15064" max="15064" width="6.140625" style="34" bestFit="1" customWidth="1"/>
    <col min="15065" max="15065" width="45.85546875" style="34" customWidth="1"/>
    <col min="15066" max="15068" width="14.5703125" style="34" customWidth="1"/>
    <col min="15069" max="15069" width="5.140625" style="34" customWidth="1"/>
    <col min="15070" max="15072" width="14.5703125" style="34" customWidth="1"/>
    <col min="15073" max="15319" width="9.140625" style="34"/>
    <col min="15320" max="15320" width="6.140625" style="34" bestFit="1" customWidth="1"/>
    <col min="15321" max="15321" width="45.85546875" style="34" customWidth="1"/>
    <col min="15322" max="15324" width="14.5703125" style="34" customWidth="1"/>
    <col min="15325" max="15325" width="5.140625" style="34" customWidth="1"/>
    <col min="15326" max="15328" width="14.5703125" style="34" customWidth="1"/>
    <col min="15329" max="15575" width="9.140625" style="34"/>
    <col min="15576" max="15576" width="6.140625" style="34" bestFit="1" customWidth="1"/>
    <col min="15577" max="15577" width="45.85546875" style="34" customWidth="1"/>
    <col min="15578" max="15580" width="14.5703125" style="34" customWidth="1"/>
    <col min="15581" max="15581" width="5.140625" style="34" customWidth="1"/>
    <col min="15582" max="15584" width="14.5703125" style="34" customWidth="1"/>
    <col min="15585" max="15831" width="9.140625" style="34"/>
    <col min="15832" max="15832" width="6.140625" style="34" bestFit="1" customWidth="1"/>
    <col min="15833" max="15833" width="45.85546875" style="34" customWidth="1"/>
    <col min="15834" max="15836" width="14.5703125" style="34" customWidth="1"/>
    <col min="15837" max="15837" width="5.140625" style="34" customWidth="1"/>
    <col min="15838" max="15840" width="14.5703125" style="34" customWidth="1"/>
    <col min="15841" max="16087" width="9.140625" style="34"/>
    <col min="16088" max="16088" width="6.140625" style="34" bestFit="1" customWidth="1"/>
    <col min="16089" max="16089" width="45.85546875" style="34" customWidth="1"/>
    <col min="16090" max="16092" width="14.5703125" style="34" customWidth="1"/>
    <col min="16093" max="16093" width="5.140625" style="34" customWidth="1"/>
    <col min="16094" max="16096" width="14.5703125" style="34" customWidth="1"/>
    <col min="16097" max="16384" width="9.140625" style="34"/>
  </cols>
  <sheetData>
    <row r="1" spans="1:17" x14ac:dyDescent="0.2">
      <c r="A1" s="47"/>
      <c r="B1" s="47" t="str">
        <f>Update!$B$6</f>
        <v>Department of Health</v>
      </c>
      <c r="C1" s="47"/>
      <c r="D1" s="47"/>
      <c r="E1" s="51"/>
      <c r="F1" s="51"/>
      <c r="G1" s="51"/>
      <c r="H1" s="51"/>
      <c r="I1" s="51"/>
      <c r="J1" s="51"/>
      <c r="K1" s="51"/>
      <c r="L1" s="51"/>
      <c r="M1" s="51"/>
      <c r="N1" s="51"/>
    </row>
    <row r="2" spans="1:17" x14ac:dyDescent="0.2">
      <c r="A2" s="47"/>
      <c r="B2" s="47" t="str">
        <f>Update!$B$10</f>
        <v>Notes to the financial statements</v>
      </c>
      <c r="C2" s="47"/>
      <c r="D2" s="47"/>
      <c r="E2" s="51"/>
      <c r="F2" s="51"/>
      <c r="G2" s="51"/>
      <c r="H2" s="51"/>
      <c r="I2" s="51"/>
      <c r="J2" s="51"/>
      <c r="K2" s="51"/>
      <c r="L2" s="51"/>
      <c r="M2" s="51"/>
      <c r="N2" s="51"/>
    </row>
    <row r="3" spans="1:17" x14ac:dyDescent="0.2">
      <c r="A3" s="47"/>
      <c r="B3" s="47" t="str">
        <f>Update!$A$3</f>
        <v>2025-26</v>
      </c>
      <c r="C3" s="47"/>
      <c r="D3" s="47"/>
      <c r="E3" s="51"/>
      <c r="F3" s="51"/>
      <c r="G3" s="51"/>
      <c r="H3" s="51"/>
      <c r="I3" s="51"/>
      <c r="J3" s="51"/>
      <c r="K3" s="51"/>
      <c r="L3" s="51"/>
      <c r="M3" s="51"/>
      <c r="N3" s="51"/>
    </row>
    <row r="4" spans="1:17" x14ac:dyDescent="0.2">
      <c r="A4" s="47"/>
      <c r="B4" s="51"/>
      <c r="C4" s="51"/>
      <c r="D4" s="51"/>
      <c r="E4" s="51"/>
      <c r="F4" s="51"/>
      <c r="G4" s="51"/>
      <c r="H4" s="51"/>
      <c r="I4" s="51"/>
      <c r="J4" s="51"/>
      <c r="K4" s="51"/>
      <c r="L4" s="51"/>
      <c r="M4" s="51"/>
      <c r="N4" s="51"/>
    </row>
    <row r="5" spans="1:17" x14ac:dyDescent="0.2">
      <c r="A5" s="739">
        <f>SUMIF(Update!$B$33:$B$106,B5,Update!$A$33:$A$106)</f>
        <v>4</v>
      </c>
      <c r="B5" s="47" t="s">
        <v>148</v>
      </c>
      <c r="C5" s="47"/>
      <c r="D5" s="47"/>
      <c r="E5" s="51"/>
      <c r="F5" s="51"/>
      <c r="G5" s="51"/>
      <c r="H5" s="51"/>
      <c r="I5" s="51"/>
      <c r="J5" s="51"/>
      <c r="K5" s="51"/>
      <c r="L5" s="51"/>
      <c r="M5" s="51"/>
      <c r="N5" s="51"/>
    </row>
    <row r="6" spans="1:17" x14ac:dyDescent="0.2">
      <c r="A6" s="47"/>
      <c r="B6" s="51"/>
      <c r="C6" s="51"/>
      <c r="D6" s="51"/>
      <c r="E6" s="51"/>
      <c r="F6" s="51"/>
      <c r="G6" s="51"/>
      <c r="H6" s="51"/>
      <c r="I6" s="51"/>
      <c r="J6" s="51"/>
      <c r="K6" s="51"/>
      <c r="L6" s="51"/>
      <c r="M6" s="51"/>
      <c r="N6" s="51"/>
    </row>
    <row r="7" spans="1:17" ht="45" x14ac:dyDescent="0.2">
      <c r="A7" s="47"/>
      <c r="B7" s="51"/>
      <c r="C7" s="201" t="str">
        <f>Update!$B$7</f>
        <v>Core Department &amp; Agencies</v>
      </c>
      <c r="D7" s="51"/>
      <c r="E7" s="201" t="str">
        <f>Update!$B$8</f>
        <v>Departmental Group</v>
      </c>
      <c r="F7" s="51"/>
      <c r="G7" s="201" t="str">
        <f>Update!$B$7</f>
        <v>Core Department &amp; Agencies</v>
      </c>
      <c r="H7" s="51"/>
      <c r="I7" s="201" t="str">
        <f>Update!$B$8</f>
        <v>Departmental Group</v>
      </c>
      <c r="J7" s="51"/>
      <c r="K7" s="201" t="s">
        <v>483</v>
      </c>
      <c r="L7" s="51"/>
      <c r="M7" s="201" t="s">
        <v>1029</v>
      </c>
      <c r="N7" s="51"/>
      <c r="P7" s="341" t="s">
        <v>1900</v>
      </c>
      <c r="Q7" s="206" t="s">
        <v>1010</v>
      </c>
    </row>
    <row r="8" spans="1:17" x14ac:dyDescent="0.2">
      <c r="A8" s="47"/>
      <c r="B8" s="47"/>
      <c r="C8" s="202" t="str">
        <f>Update!B13</f>
        <v>2025-26</v>
      </c>
      <c r="D8" s="47"/>
      <c r="E8" s="202" t="str">
        <f>C8</f>
        <v>2025-26</v>
      </c>
      <c r="F8" s="224"/>
      <c r="G8" s="764" t="str">
        <f>Update!$B$15</f>
        <v>2024-25</v>
      </c>
      <c r="H8" s="47"/>
      <c r="I8" s="764" t="str">
        <f>Update!$B$15</f>
        <v>2024-25</v>
      </c>
      <c r="J8" s="51"/>
      <c r="K8" s="202"/>
      <c r="L8" s="47"/>
      <c r="M8" s="202"/>
      <c r="N8" s="51"/>
    </row>
    <row r="9" spans="1:17" x14ac:dyDescent="0.2">
      <c r="A9" s="47"/>
      <c r="B9" s="51"/>
      <c r="C9" s="225" t="s">
        <v>146</v>
      </c>
      <c r="D9" s="51"/>
      <c r="E9" s="225" t="s">
        <v>146</v>
      </c>
      <c r="F9" s="225"/>
      <c r="G9" s="225" t="s">
        <v>146</v>
      </c>
      <c r="H9" s="51"/>
      <c r="I9" s="225" t="s">
        <v>146</v>
      </c>
      <c r="J9" s="51"/>
      <c r="K9" s="225" t="s">
        <v>146</v>
      </c>
      <c r="L9" s="51"/>
      <c r="M9" s="225" t="s">
        <v>146</v>
      </c>
      <c r="N9" s="51"/>
    </row>
    <row r="10" spans="1:17" x14ac:dyDescent="0.2">
      <c r="A10" s="47"/>
      <c r="B10" s="47"/>
      <c r="C10" s="224" t="s">
        <v>62</v>
      </c>
      <c r="D10" s="47"/>
      <c r="E10" s="224" t="s">
        <v>62</v>
      </c>
      <c r="F10" s="225"/>
      <c r="G10" s="224" t="s">
        <v>62</v>
      </c>
      <c r="H10" s="51"/>
      <c r="I10" s="224" t="s">
        <v>62</v>
      </c>
      <c r="J10" s="51"/>
      <c r="K10" s="224" t="s">
        <v>62</v>
      </c>
      <c r="L10" s="47"/>
      <c r="M10" s="224" t="s">
        <v>62</v>
      </c>
      <c r="N10" s="51"/>
    </row>
    <row r="11" spans="1:17" x14ac:dyDescent="0.2">
      <c r="A11" s="739">
        <f>SUMIF(Update!$B$33:$B$106,B11,Update!$A$33:$A$106)</f>
        <v>4.0999999999999996</v>
      </c>
      <c r="B11" s="47" t="s">
        <v>1651</v>
      </c>
      <c r="C11" s="51"/>
      <c r="D11" s="47"/>
      <c r="E11" s="51"/>
      <c r="F11" s="51"/>
      <c r="G11" s="51"/>
      <c r="H11" s="51"/>
      <c r="I11" s="51"/>
      <c r="J11" s="51"/>
      <c r="K11" s="51"/>
      <c r="L11" s="47"/>
      <c r="M11" s="51"/>
      <c r="N11" s="51"/>
    </row>
    <row r="12" spans="1:17" x14ac:dyDescent="0.2">
      <c r="A12" s="739"/>
      <c r="B12" s="51" t="s">
        <v>2077</v>
      </c>
      <c r="C12" s="51">
        <f>ROUND(SUMIF(MAP!$E$460:$E$469,$B12,MAP!$T$460:$T$469),0)</f>
        <v>0</v>
      </c>
      <c r="D12" s="51"/>
      <c r="E12" s="51">
        <f>ROUND(SUMIF(MAP!$E$460:$E$469,$B12,MAP!$N$460:$N$469),0)</f>
        <v>0</v>
      </c>
      <c r="F12" s="51">
        <f>ROUND(SUMIF(MAP!$E$389:$E$406,$B12,MAP!$N$389:$N$406),0)</f>
        <v>0</v>
      </c>
      <c r="G12" s="749">
        <v>30759</v>
      </c>
      <c r="H12" s="51"/>
      <c r="I12" s="749">
        <v>142753</v>
      </c>
      <c r="J12" s="51"/>
      <c r="K12" s="51"/>
      <c r="L12" s="47"/>
      <c r="M12" s="51">
        <f>ROUND(SUMIF(MAP!$E$460:$E$469,$B12,MAP!$BD$460:$BD$469),0)</f>
        <v>0</v>
      </c>
      <c r="N12" s="51"/>
    </row>
    <row r="13" spans="1:17" x14ac:dyDescent="0.2">
      <c r="A13" s="47"/>
      <c r="B13" s="51" t="s">
        <v>2078</v>
      </c>
      <c r="C13" s="51">
        <f>ROUND(SUMIF(MAP!$E$460:$E$469,$B13,MAP!$T$460:$T$469),0)</f>
        <v>0</v>
      </c>
      <c r="D13" s="51"/>
      <c r="E13" s="51">
        <f>ROUND(SUMIF(MAP!$E$460:$E$469,$B13,MAP!$N$460:$N$469),0)</f>
        <v>0</v>
      </c>
      <c r="F13" s="51"/>
      <c r="G13" s="749">
        <v>103</v>
      </c>
      <c r="H13" s="51"/>
      <c r="I13" s="749">
        <v>1366</v>
      </c>
      <c r="J13" s="51"/>
      <c r="K13" s="51">
        <f>ROUND(SUMIF(MAP!$E$460:$E$469,$B13,MAP!$U$460:$U$469),0)</f>
        <v>0</v>
      </c>
      <c r="L13" s="51"/>
      <c r="M13" s="51">
        <f>ROUND(SUMIF(MAP!$E$460:$E$469,$B13,MAP!$BD$460:$BD$469),0)</f>
        <v>0</v>
      </c>
      <c r="N13" s="51"/>
      <c r="P13" s="342"/>
      <c r="Q13" s="204"/>
    </row>
    <row r="14" spans="1:17" x14ac:dyDescent="0.2">
      <c r="A14" s="47"/>
      <c r="B14" s="51" t="s">
        <v>2053</v>
      </c>
      <c r="C14" s="51">
        <f>ROUND(SUMIF(MAP!$E$460:$E$469,$B14,MAP!$T$460:$T$469),0)</f>
        <v>0</v>
      </c>
      <c r="D14" s="51"/>
      <c r="E14" s="51">
        <f>ROUND(SUMIF(MAP!$E$460:$E$469,$B14,MAP!$N$460:$N$469),0)</f>
        <v>0</v>
      </c>
      <c r="F14" s="51"/>
      <c r="G14" s="749">
        <v>0</v>
      </c>
      <c r="H14" s="51"/>
      <c r="I14" s="749">
        <v>110057</v>
      </c>
      <c r="J14" s="51"/>
      <c r="K14" s="51">
        <f>ROUND(SUMIF(MAP!$E$460:$E$469,$B14,MAP!$U$460:$U$469),0)</f>
        <v>0</v>
      </c>
      <c r="L14" s="51"/>
      <c r="M14" s="51">
        <f>ROUND(SUMIF(MAP!$E$460:$E$469,$B14,MAP!$BD$460:$BD$469),0)</f>
        <v>0</v>
      </c>
      <c r="N14" s="51"/>
      <c r="P14" s="342"/>
      <c r="Q14" s="204"/>
    </row>
    <row r="15" spans="1:17" x14ac:dyDescent="0.2">
      <c r="A15" s="47"/>
      <c r="B15" s="51" t="s">
        <v>2054</v>
      </c>
      <c r="C15" s="51">
        <f>ROUND(SUMIF(MAP!$E$460:$E$469,$B15,MAP!$T$460:$T$469),0)</f>
        <v>0</v>
      </c>
      <c r="D15" s="51"/>
      <c r="E15" s="51">
        <f>ROUND(SUMIF(MAP!$E$460:$E$469,$B15,MAP!$N$460:$N$469),0)</f>
        <v>0</v>
      </c>
      <c r="F15" s="51"/>
      <c r="G15" s="749">
        <v>26205</v>
      </c>
      <c r="H15" s="51"/>
      <c r="I15" s="749">
        <v>26205</v>
      </c>
      <c r="J15" s="51"/>
      <c r="K15" s="51">
        <f>ROUND(SUMIF(MAP!$E$460:$E$469,$B15,MAP!$U$460:$U$469),0)</f>
        <v>0</v>
      </c>
      <c r="L15" s="51"/>
      <c r="M15" s="51">
        <f>ROUND(SUMIF(MAP!$E$460:$E$469,$B15,MAP!$BD$460:$BD$469),0)</f>
        <v>0</v>
      </c>
      <c r="N15" s="51"/>
      <c r="P15" s="342"/>
      <c r="Q15" s="204"/>
    </row>
    <row r="16" spans="1:17" x14ac:dyDescent="0.2">
      <c r="A16" s="47"/>
      <c r="B16" s="51" t="s">
        <v>1676</v>
      </c>
      <c r="C16" s="51">
        <f>ROUND(SUMIF(MAP!$E$460:$E$469,$B16,MAP!$T$460:$T$469),0)</f>
        <v>0</v>
      </c>
      <c r="D16" s="51"/>
      <c r="E16" s="51">
        <f>ROUND(SUMIF(MAP!$E$460:$E$469,$B16,MAP!$N$460:$N$469),0)</f>
        <v>0</v>
      </c>
      <c r="F16" s="51"/>
      <c r="G16" s="749">
        <v>-236</v>
      </c>
      <c r="H16" s="51"/>
      <c r="I16" s="749">
        <v>108424</v>
      </c>
      <c r="J16" s="51"/>
      <c r="K16" s="51">
        <f>ROUND(SUMIF(MAP!$E$460:$E$469,$B16,MAP!$U$460:$U$469),0)</f>
        <v>0</v>
      </c>
      <c r="L16" s="51"/>
      <c r="M16" s="51">
        <f>ROUND(SUMIF(MAP!$E$460:$E$469,$B16,MAP!$BD$460:$BD$469),0)</f>
        <v>0</v>
      </c>
      <c r="N16" s="51"/>
      <c r="P16" s="342"/>
      <c r="Q16" s="204"/>
    </row>
    <row r="17" spans="1:17" x14ac:dyDescent="0.2">
      <c r="A17" s="47"/>
      <c r="B17" s="51" t="s">
        <v>174</v>
      </c>
      <c r="C17" s="51">
        <f>ROUND(SUMIF(MAP!$E$460:$E$469,$B17,MAP!$T$460:$T$469),0)</f>
        <v>0</v>
      </c>
      <c r="D17" s="51"/>
      <c r="E17" s="51">
        <f>ROUND(SUMIF(MAP!$E$460:$E$469,$B17,MAP!$N$460:$N$469),0)</f>
        <v>0</v>
      </c>
      <c r="F17" s="51"/>
      <c r="G17" s="749">
        <v>2</v>
      </c>
      <c r="H17" s="51"/>
      <c r="I17" s="749">
        <v>212</v>
      </c>
      <c r="J17" s="51"/>
      <c r="K17" s="51">
        <f>ROUND(SUMIF(MAP!$E$460:$E$469,$B17,MAP!$U$460:$U$469),0)</f>
        <v>0</v>
      </c>
      <c r="L17" s="51"/>
      <c r="M17" s="51">
        <f>ROUND(SUMIF(MAP!$E$460:$E$469,$B17,MAP!$BD$460:$BD$469),0)</f>
        <v>0</v>
      </c>
      <c r="N17" s="51"/>
      <c r="P17" s="342"/>
      <c r="Q17" s="204"/>
    </row>
    <row r="18" spans="1:17" x14ac:dyDescent="0.2">
      <c r="A18" s="47"/>
      <c r="B18" s="51"/>
      <c r="C18" s="124">
        <f>SUM(C12:C17)</f>
        <v>0</v>
      </c>
      <c r="D18" s="51"/>
      <c r="E18" s="124">
        <f>SUM(E12:E17)</f>
        <v>0</v>
      </c>
      <c r="F18" s="51"/>
      <c r="G18" s="214">
        <f>SUM(G12:G17)</f>
        <v>56833</v>
      </c>
      <c r="H18" s="51"/>
      <c r="I18" s="214">
        <f>SUM(I12:I17)</f>
        <v>389017</v>
      </c>
      <c r="J18" s="51"/>
      <c r="K18" s="124">
        <f>SUM(K13:K17)</f>
        <v>0</v>
      </c>
      <c r="L18" s="51"/>
      <c r="M18" s="124">
        <f>SUM(M12:M17)</f>
        <v>0</v>
      </c>
      <c r="N18" s="51"/>
      <c r="P18" s="124">
        <f>53187</f>
        <v>53187</v>
      </c>
      <c r="Q18" s="204">
        <f>P18-C18</f>
        <v>53187</v>
      </c>
    </row>
    <row r="19" spans="1:17" x14ac:dyDescent="0.2">
      <c r="A19" s="739"/>
      <c r="B19" s="51"/>
      <c r="C19" s="47"/>
      <c r="D19" s="51"/>
      <c r="E19" s="47"/>
      <c r="F19" s="51">
        <f>ROUND(SUMIF(MAP!$E$389:$E$406,$B19,MAP!$N$389:$N$406),0)</f>
        <v>0</v>
      </c>
      <c r="G19" s="51"/>
      <c r="H19" s="51"/>
      <c r="I19" s="51"/>
      <c r="J19" s="51"/>
      <c r="K19" s="47"/>
      <c r="L19" s="51"/>
      <c r="M19" s="47"/>
      <c r="N19" s="51"/>
    </row>
    <row r="20" spans="1:17" x14ac:dyDescent="0.2">
      <c r="A20" s="739">
        <f>SUMIF(Update!$B$33:$B$106,B20,Update!$A$33:$A$106)</f>
        <v>4.1999999999999993</v>
      </c>
      <c r="B20" s="47" t="s">
        <v>1677</v>
      </c>
      <c r="C20" s="51"/>
      <c r="D20" s="47"/>
      <c r="E20" s="51"/>
      <c r="F20" s="51"/>
      <c r="G20" s="51"/>
      <c r="H20" s="51"/>
      <c r="I20" s="51"/>
      <c r="J20" s="51"/>
      <c r="K20" s="51"/>
      <c r="L20" s="47"/>
      <c r="M20" s="51"/>
      <c r="N20" s="51"/>
    </row>
    <row r="21" spans="1:17" x14ac:dyDescent="0.2">
      <c r="A21" s="47"/>
      <c r="B21" s="51" t="s">
        <v>2055</v>
      </c>
      <c r="C21" s="51">
        <f>ROUND(SUMIF(MAP!$E$470:$E$479,$B21,MAP!$T$470:$T$479),0)</f>
        <v>0</v>
      </c>
      <c r="D21" s="51"/>
      <c r="E21" s="51">
        <f>ROUND(SUMIF(MAP!$E$470:$E$479,$B21,MAP!$N$470:$N$479),0)</f>
        <v>0</v>
      </c>
      <c r="F21" s="51"/>
      <c r="G21" s="749">
        <v>3347</v>
      </c>
      <c r="H21" s="51"/>
      <c r="I21" s="749">
        <v>3347</v>
      </c>
      <c r="J21" s="51"/>
      <c r="K21" s="51">
        <f>ROUND(SUMIF(MAP!$E$470:$E$478,$B21,MAP!$U$470:$U$478),0)</f>
        <v>0</v>
      </c>
      <c r="L21" s="51"/>
      <c r="M21" s="51">
        <f>ROUND(SUMIF(MAP!$E$470:$E$478,$B21,MAP!$BD$470:$BD$478),0)</f>
        <v>0</v>
      </c>
      <c r="N21" s="51"/>
      <c r="P21" s="342"/>
      <c r="Q21" s="204"/>
    </row>
    <row r="22" spans="1:17" x14ac:dyDescent="0.2">
      <c r="A22" s="47"/>
      <c r="B22" s="51" t="s">
        <v>1936</v>
      </c>
      <c r="C22" s="51">
        <f>ROUND(SUMIF(MAP!$E$470:$E$479,$B22,MAP!$T$470:$T$479),0)</f>
        <v>0</v>
      </c>
      <c r="D22" s="51"/>
      <c r="E22" s="51">
        <f>ROUND(SUMIF(MAP!$E$470:$E$479,$B22,MAP!$N$470:$N$479),0)</f>
        <v>0</v>
      </c>
      <c r="F22" s="51"/>
      <c r="G22" s="749">
        <v>0</v>
      </c>
      <c r="H22" s="765"/>
      <c r="I22" s="749">
        <v>20443</v>
      </c>
      <c r="J22" s="51"/>
      <c r="K22" s="51">
        <f>ROUND(SUMIF(MAP!$E$470:$E$478,$B22,MAP!$U$470:$U$478),0)</f>
        <v>0</v>
      </c>
      <c r="L22" s="51"/>
      <c r="M22" s="51">
        <f>ROUND(SUMIF(MAP!$E$470:$E$478,$B22,MAP!$BD$470:$BD$478),0)</f>
        <v>0</v>
      </c>
      <c r="N22" s="51"/>
      <c r="P22" s="342"/>
      <c r="Q22" s="204"/>
    </row>
    <row r="23" spans="1:17" x14ac:dyDescent="0.2">
      <c r="A23" s="47"/>
      <c r="B23" s="51" t="s">
        <v>1682</v>
      </c>
      <c r="C23" s="51">
        <f>ROUND(SUMIF(MAP!$E$470:$E$479,$B23,MAP!$T$470:$T$479),0)</f>
        <v>0</v>
      </c>
      <c r="D23" s="51"/>
      <c r="E23" s="51">
        <f>ROUND(SUMIF(MAP!$E$470:$E$479,$B23,MAP!$N$470:$N$479),0)</f>
        <v>0</v>
      </c>
      <c r="F23" s="51"/>
      <c r="G23" s="749">
        <v>0</v>
      </c>
      <c r="H23" s="765"/>
      <c r="I23" s="749">
        <v>3424</v>
      </c>
      <c r="J23" s="51"/>
      <c r="K23" s="51">
        <f>ROUND(SUMIF(MAP!$E$470:$E$478,$B23,MAP!$U$470:$U$478),0)</f>
        <v>0</v>
      </c>
      <c r="L23" s="51"/>
      <c r="M23" s="51">
        <f>ROUND(SUMIF(MAP!$E$470:$E$478,$B23,MAP!$BD$470:$BD$478),0)</f>
        <v>0</v>
      </c>
      <c r="N23" s="51"/>
      <c r="P23" s="342"/>
      <c r="Q23" s="204"/>
    </row>
    <row r="24" spans="1:17" x14ac:dyDescent="0.2">
      <c r="A24" s="47"/>
      <c r="B24" s="51" t="s">
        <v>1681</v>
      </c>
      <c r="C24" s="51">
        <f>ROUND(SUMIF(MAP!$E$470:$E$479,$B24,MAP!$T$470:$T$479),0)</f>
        <v>0</v>
      </c>
      <c r="D24" s="51"/>
      <c r="E24" s="51">
        <f>ROUND(SUMIF(MAP!$E$470:$E$479,$B24,MAP!$N$470:$N$479),0)</f>
        <v>0</v>
      </c>
      <c r="F24" s="51"/>
      <c r="G24" s="749">
        <v>9342</v>
      </c>
      <c r="H24" s="765"/>
      <c r="I24" s="749">
        <v>15598</v>
      </c>
      <c r="J24" s="51"/>
      <c r="K24" s="51">
        <f>ROUND(SUMIF(MAP!$E$470:$E$478,$B24,MAP!$U$470:$U$478),0)</f>
        <v>0</v>
      </c>
      <c r="L24" s="51"/>
      <c r="M24" s="51">
        <f>ROUND(SUMIF(MAP!$E$470:$E$478,$B24,MAP!$BD$470:$BD$478),0)</f>
        <v>0</v>
      </c>
      <c r="N24" s="51"/>
      <c r="P24" s="342"/>
      <c r="Q24" s="204"/>
    </row>
    <row r="25" spans="1:17" x14ac:dyDescent="0.2">
      <c r="A25" s="47"/>
      <c r="B25" s="51" t="s">
        <v>2057</v>
      </c>
      <c r="C25" s="51">
        <f>ROUND(SUMIF(MAP!$E$470:$E$479,$B25,MAP!$T$470:$T$479),0)</f>
        <v>0</v>
      </c>
      <c r="D25" s="51"/>
      <c r="E25" s="51">
        <f>ROUND(SUMIF(MAP!$E$470:$E$479,$B25,MAP!$N$470:$N$479),0)</f>
        <v>0</v>
      </c>
      <c r="F25" s="51"/>
      <c r="G25" s="749">
        <v>1535</v>
      </c>
      <c r="H25" s="765"/>
      <c r="I25" s="749">
        <v>1414</v>
      </c>
      <c r="J25" s="51"/>
      <c r="K25" s="51"/>
      <c r="L25" s="51"/>
      <c r="M25" s="51">
        <f>ROUND(SUMIF(MAP!$E$470:$E$478,$B25,MAP!$BD$470:$BD$478),0)</f>
        <v>0</v>
      </c>
      <c r="N25" s="51"/>
      <c r="P25" s="342"/>
      <c r="Q25" s="204"/>
    </row>
    <row r="26" spans="1:17" x14ac:dyDescent="0.2">
      <c r="A26" s="47"/>
      <c r="B26" s="51" t="s">
        <v>1680</v>
      </c>
      <c r="C26" s="51">
        <f>ROUND(SUMIF(MAP!$E$470:$E$479,$B26,MAP!$T$470:$T$479),0)</f>
        <v>0</v>
      </c>
      <c r="D26" s="51"/>
      <c r="E26" s="51">
        <f>ROUND(SUMIF(MAP!$E$470:$E$479,$B26,MAP!$N$470:$N$479),0)</f>
        <v>0</v>
      </c>
      <c r="F26" s="51"/>
      <c r="G26" s="749">
        <v>373</v>
      </c>
      <c r="H26" s="765"/>
      <c r="I26" s="749">
        <v>2180</v>
      </c>
      <c r="J26" s="51"/>
      <c r="K26" s="51">
        <f>ROUND(SUMIF(MAP!$E$470:$E$478,$B26,MAP!$U$470:$U$478),0)</f>
        <v>0</v>
      </c>
      <c r="L26" s="51"/>
      <c r="M26" s="51">
        <f>ROUND(SUMIF(MAP!$E$470:$E$478,$B26,MAP!$BD$470:$BD$478),0)</f>
        <v>0</v>
      </c>
      <c r="N26" s="51"/>
      <c r="P26" s="342"/>
      <c r="Q26" s="204"/>
    </row>
    <row r="27" spans="1:17" x14ac:dyDescent="0.2">
      <c r="A27" s="47"/>
      <c r="B27" s="51" t="s">
        <v>2052</v>
      </c>
      <c r="C27" s="51">
        <f>ROUND(SUMIF(MAP!$E$470:$E$479,$B27,MAP!$T$470:$T$479),0)</f>
        <v>0</v>
      </c>
      <c r="D27" s="51"/>
      <c r="E27" s="51">
        <f>ROUND(SUMIF(MAP!$E$470:$E$479,$B27,MAP!$N$470:$N$479),0)</f>
        <v>0</v>
      </c>
      <c r="F27" s="51"/>
      <c r="G27" s="749">
        <v>0</v>
      </c>
      <c r="H27" s="765"/>
      <c r="I27" s="749">
        <v>137</v>
      </c>
      <c r="J27" s="51"/>
      <c r="K27" s="51"/>
      <c r="L27" s="51"/>
      <c r="M27" s="51">
        <f>ROUND(SUMIF(MAP!$E$470:$E$478,$B27,MAP!$BD$470:$BD$478),0)</f>
        <v>0</v>
      </c>
      <c r="N27" s="51"/>
      <c r="P27" s="342"/>
      <c r="Q27" s="204"/>
    </row>
    <row r="28" spans="1:17" ht="13.5" thickBot="1" x14ac:dyDescent="0.25">
      <c r="A28" s="47"/>
      <c r="B28" s="339"/>
      <c r="C28" s="124">
        <f>SUM(C21:C27)</f>
        <v>0</v>
      </c>
      <c r="D28" s="339"/>
      <c r="E28" s="124">
        <f>SUM(E21:E27)</f>
        <v>0</v>
      </c>
      <c r="F28" s="51"/>
      <c r="G28" s="214">
        <f>SUM(G21:G27)</f>
        <v>14597</v>
      </c>
      <c r="H28" s="751"/>
      <c r="I28" s="214">
        <f>SUM(I21:I27)</f>
        <v>46543</v>
      </c>
      <c r="J28" s="51"/>
      <c r="K28" s="124">
        <f>SUM(K21:K26)</f>
        <v>0</v>
      </c>
      <c r="L28" s="339"/>
      <c r="M28" s="124">
        <f>SUM(M21:M26)</f>
        <v>0</v>
      </c>
      <c r="N28" s="51"/>
      <c r="P28" s="766">
        <v>528377</v>
      </c>
      <c r="Q28" s="204">
        <f>P28-C28</f>
        <v>528377</v>
      </c>
    </row>
    <row r="29" spans="1:17" x14ac:dyDescent="0.2">
      <c r="A29" s="47"/>
      <c r="B29" s="339"/>
      <c r="C29" s="51"/>
      <c r="D29" s="339"/>
      <c r="E29" s="51"/>
      <c r="F29" s="51"/>
      <c r="G29" s="51"/>
      <c r="H29" s="51"/>
      <c r="I29" s="51"/>
      <c r="J29" s="51"/>
      <c r="K29" s="51"/>
      <c r="L29" s="339"/>
      <c r="M29" s="51"/>
      <c r="N29" s="51"/>
      <c r="P29" s="51"/>
      <c r="Q29" s="51"/>
    </row>
    <row r="30" spans="1:17" ht="13.5" thickBot="1" x14ac:dyDescent="0.25">
      <c r="A30" s="47"/>
      <c r="B30" s="47" t="s">
        <v>146</v>
      </c>
      <c r="C30" s="766">
        <f>C18+C28</f>
        <v>0</v>
      </c>
      <c r="D30" s="47"/>
      <c r="E30" s="766">
        <f>E18+E28</f>
        <v>0</v>
      </c>
      <c r="F30" s="51"/>
      <c r="G30" s="752">
        <f>G18+G28</f>
        <v>71430</v>
      </c>
      <c r="H30" s="51"/>
      <c r="I30" s="752">
        <f>I18+I28</f>
        <v>435560</v>
      </c>
      <c r="J30" s="51"/>
      <c r="K30" s="766">
        <f>K18+K28</f>
        <v>0</v>
      </c>
      <c r="L30" s="47"/>
      <c r="M30" s="766">
        <f>M18+M28</f>
        <v>0</v>
      </c>
      <c r="N30" s="51"/>
      <c r="P30" s="766">
        <f>P18+P28</f>
        <v>581564</v>
      </c>
      <c r="Q30" s="1156">
        <f>Q18+Q28</f>
        <v>581564</v>
      </c>
    </row>
    <row r="31" spans="1:17" outlineLevel="1" x14ac:dyDescent="0.2">
      <c r="A31" s="47"/>
      <c r="B31" s="51"/>
      <c r="C31" s="230" t="e">
        <f>C30+SCNE!D14+SCNE!D16+SCNE!D37</f>
        <v>#VALUE!</v>
      </c>
      <c r="D31" s="51"/>
      <c r="E31" s="230" t="e">
        <f>E30+SCNE!F14+SCNE!F16+SCNE!F37</f>
        <v>#VALUE!</v>
      </c>
      <c r="F31" s="122"/>
      <c r="G31" s="228"/>
      <c r="H31" s="51"/>
      <c r="I31" s="228"/>
      <c r="J31" s="51"/>
      <c r="K31" s="51"/>
      <c r="L31" s="51"/>
      <c r="M31" s="51"/>
      <c r="N31" s="51"/>
    </row>
    <row r="32" spans="1:17" x14ac:dyDescent="0.2">
      <c r="A32" s="47"/>
      <c r="B32" s="51"/>
      <c r="C32" s="51"/>
      <c r="D32" s="51"/>
      <c r="E32" s="51"/>
      <c r="F32" s="51"/>
      <c r="G32" s="51"/>
      <c r="H32" s="122"/>
      <c r="I32" s="122"/>
      <c r="J32" s="51"/>
      <c r="K32" s="51"/>
      <c r="L32" s="51"/>
      <c r="M32" s="51"/>
      <c r="N32" s="51"/>
    </row>
    <row r="33" spans="1:14" x14ac:dyDescent="0.2">
      <c r="A33" s="47"/>
      <c r="B33" s="51"/>
      <c r="C33" s="51"/>
      <c r="D33" s="51"/>
      <c r="E33" s="51"/>
      <c r="F33" s="51"/>
      <c r="G33" s="51"/>
      <c r="H33" s="51"/>
      <c r="I33" s="51"/>
      <c r="J33" s="51"/>
      <c r="K33" s="51"/>
      <c r="L33" s="51"/>
      <c r="M33" s="51"/>
      <c r="N33" s="51"/>
    </row>
  </sheetData>
  <pageMargins left="0.35433070866141736" right="0.47244094488188981" top="0.19685039370078741" bottom="0.19685039370078741"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F0"/>
    <pageSetUpPr fitToPage="1"/>
  </sheetPr>
  <dimension ref="A1:P128"/>
  <sheetViews>
    <sheetView zoomScale="90" zoomScaleNormal="90" workbookViewId="0">
      <pane xSplit="2" ySplit="8" topLeftCell="C9"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6.42578125" style="34" customWidth="1"/>
    <col min="2" max="2" width="43.42578125" style="34" customWidth="1"/>
    <col min="3" max="10" width="16" style="34" customWidth="1"/>
    <col min="11" max="11" width="16" style="52" customWidth="1"/>
    <col min="12" max="13" width="9.140625" style="34" customWidth="1" outlineLevel="1"/>
    <col min="14" max="14" width="9.7109375" style="34" customWidth="1" outlineLevel="1"/>
    <col min="15" max="15" width="9.7109375" style="34" bestFit="1" customWidth="1"/>
    <col min="16" max="16" width="11.7109375" style="34" bestFit="1" customWidth="1"/>
    <col min="17" max="17" width="9.140625" style="34"/>
    <col min="18" max="18" width="10.140625" style="34" bestFit="1" customWidth="1"/>
    <col min="19" max="24" width="9.140625" style="34"/>
    <col min="25" max="25" width="10.42578125" style="34" bestFit="1" customWidth="1"/>
    <col min="26" max="256" width="9.140625" style="34"/>
    <col min="257" max="257" width="6.42578125" style="34" customWidth="1"/>
    <col min="258" max="258" width="37.7109375" style="34" customWidth="1"/>
    <col min="259" max="267" width="16" style="34" customWidth="1"/>
    <col min="268" max="512" width="9.140625" style="34"/>
    <col min="513" max="513" width="6.42578125" style="34" customWidth="1"/>
    <col min="514" max="514" width="37.7109375" style="34" customWidth="1"/>
    <col min="515" max="523" width="16" style="34" customWidth="1"/>
    <col min="524" max="768" width="9.140625" style="34"/>
    <col min="769" max="769" width="6.42578125" style="34" customWidth="1"/>
    <col min="770" max="770" width="37.7109375" style="34" customWidth="1"/>
    <col min="771" max="779" width="16" style="34" customWidth="1"/>
    <col min="780" max="1024" width="9.140625" style="34"/>
    <col min="1025" max="1025" width="6.42578125" style="34" customWidth="1"/>
    <col min="1026" max="1026" width="37.7109375" style="34" customWidth="1"/>
    <col min="1027" max="1035" width="16" style="34" customWidth="1"/>
    <col min="1036" max="1280" width="9.140625" style="34"/>
    <col min="1281" max="1281" width="6.42578125" style="34" customWidth="1"/>
    <col min="1282" max="1282" width="37.7109375" style="34" customWidth="1"/>
    <col min="1283" max="1291" width="16" style="34" customWidth="1"/>
    <col min="1292" max="1536" width="9.140625" style="34"/>
    <col min="1537" max="1537" width="6.42578125" style="34" customWidth="1"/>
    <col min="1538" max="1538" width="37.7109375" style="34" customWidth="1"/>
    <col min="1539" max="1547" width="16" style="34" customWidth="1"/>
    <col min="1548" max="1792" width="9.140625" style="34"/>
    <col min="1793" max="1793" width="6.42578125" style="34" customWidth="1"/>
    <col min="1794" max="1794" width="37.7109375" style="34" customWidth="1"/>
    <col min="1795" max="1803" width="16" style="34" customWidth="1"/>
    <col min="1804" max="2048" width="9.140625" style="34"/>
    <col min="2049" max="2049" width="6.42578125" style="34" customWidth="1"/>
    <col min="2050" max="2050" width="37.7109375" style="34" customWidth="1"/>
    <col min="2051" max="2059" width="16" style="34" customWidth="1"/>
    <col min="2060" max="2304" width="9.140625" style="34"/>
    <col min="2305" max="2305" width="6.42578125" style="34" customWidth="1"/>
    <col min="2306" max="2306" width="37.7109375" style="34" customWidth="1"/>
    <col min="2307" max="2315" width="16" style="34" customWidth="1"/>
    <col min="2316" max="2560" width="9.140625" style="34"/>
    <col min="2561" max="2561" width="6.42578125" style="34" customWidth="1"/>
    <col min="2562" max="2562" width="37.7109375" style="34" customWidth="1"/>
    <col min="2563" max="2571" width="16" style="34" customWidth="1"/>
    <col min="2572" max="2816" width="9.140625" style="34"/>
    <col min="2817" max="2817" width="6.42578125" style="34" customWidth="1"/>
    <col min="2818" max="2818" width="37.7109375" style="34" customWidth="1"/>
    <col min="2819" max="2827" width="16" style="34" customWidth="1"/>
    <col min="2828" max="3072" width="9.140625" style="34"/>
    <col min="3073" max="3073" width="6.42578125" style="34" customWidth="1"/>
    <col min="3074" max="3074" width="37.7109375" style="34" customWidth="1"/>
    <col min="3075" max="3083" width="16" style="34" customWidth="1"/>
    <col min="3084" max="3328" width="9.140625" style="34"/>
    <col min="3329" max="3329" width="6.42578125" style="34" customWidth="1"/>
    <col min="3330" max="3330" width="37.7109375" style="34" customWidth="1"/>
    <col min="3331" max="3339" width="16" style="34" customWidth="1"/>
    <col min="3340" max="3584" width="9.140625" style="34"/>
    <col min="3585" max="3585" width="6.42578125" style="34" customWidth="1"/>
    <col min="3586" max="3586" width="37.7109375" style="34" customWidth="1"/>
    <col min="3587" max="3595" width="16" style="34" customWidth="1"/>
    <col min="3596" max="3840" width="9.140625" style="34"/>
    <col min="3841" max="3841" width="6.42578125" style="34" customWidth="1"/>
    <col min="3842" max="3842" width="37.7109375" style="34" customWidth="1"/>
    <col min="3843" max="3851" width="16" style="34" customWidth="1"/>
    <col min="3852" max="4096" width="9.140625" style="34"/>
    <col min="4097" max="4097" width="6.42578125" style="34" customWidth="1"/>
    <col min="4098" max="4098" width="37.7109375" style="34" customWidth="1"/>
    <col min="4099" max="4107" width="16" style="34" customWidth="1"/>
    <col min="4108" max="4352" width="9.140625" style="34"/>
    <col min="4353" max="4353" width="6.42578125" style="34" customWidth="1"/>
    <col min="4354" max="4354" width="37.7109375" style="34" customWidth="1"/>
    <col min="4355" max="4363" width="16" style="34" customWidth="1"/>
    <col min="4364" max="4608" width="9.140625" style="34"/>
    <col min="4609" max="4609" width="6.42578125" style="34" customWidth="1"/>
    <col min="4610" max="4610" width="37.7109375" style="34" customWidth="1"/>
    <col min="4611" max="4619" width="16" style="34" customWidth="1"/>
    <col min="4620" max="4864" width="9.140625" style="34"/>
    <col min="4865" max="4865" width="6.42578125" style="34" customWidth="1"/>
    <col min="4866" max="4866" width="37.7109375" style="34" customWidth="1"/>
    <col min="4867" max="4875" width="16" style="34" customWidth="1"/>
    <col min="4876" max="5120" width="9.140625" style="34"/>
    <col min="5121" max="5121" width="6.42578125" style="34" customWidth="1"/>
    <col min="5122" max="5122" width="37.7109375" style="34" customWidth="1"/>
    <col min="5123" max="5131" width="16" style="34" customWidth="1"/>
    <col min="5132" max="5376" width="9.140625" style="34"/>
    <col min="5377" max="5377" width="6.42578125" style="34" customWidth="1"/>
    <col min="5378" max="5378" width="37.7109375" style="34" customWidth="1"/>
    <col min="5379" max="5387" width="16" style="34" customWidth="1"/>
    <col min="5388" max="5632" width="9.140625" style="34"/>
    <col min="5633" max="5633" width="6.42578125" style="34" customWidth="1"/>
    <col min="5634" max="5634" width="37.7109375" style="34" customWidth="1"/>
    <col min="5635" max="5643" width="16" style="34" customWidth="1"/>
    <col min="5644" max="5888" width="9.140625" style="34"/>
    <col min="5889" max="5889" width="6.42578125" style="34" customWidth="1"/>
    <col min="5890" max="5890" width="37.7109375" style="34" customWidth="1"/>
    <col min="5891" max="5899" width="16" style="34" customWidth="1"/>
    <col min="5900" max="6144" width="9.140625" style="34"/>
    <col min="6145" max="6145" width="6.42578125" style="34" customWidth="1"/>
    <col min="6146" max="6146" width="37.7109375" style="34" customWidth="1"/>
    <col min="6147" max="6155" width="16" style="34" customWidth="1"/>
    <col min="6156" max="6400" width="9.140625" style="34"/>
    <col min="6401" max="6401" width="6.42578125" style="34" customWidth="1"/>
    <col min="6402" max="6402" width="37.7109375" style="34" customWidth="1"/>
    <col min="6403" max="6411" width="16" style="34" customWidth="1"/>
    <col min="6412" max="6656" width="9.140625" style="34"/>
    <col min="6657" max="6657" width="6.42578125" style="34" customWidth="1"/>
    <col min="6658" max="6658" width="37.7109375" style="34" customWidth="1"/>
    <col min="6659" max="6667" width="16" style="34" customWidth="1"/>
    <col min="6668" max="6912" width="9.140625" style="34"/>
    <col min="6913" max="6913" width="6.42578125" style="34" customWidth="1"/>
    <col min="6914" max="6914" width="37.7109375" style="34" customWidth="1"/>
    <col min="6915" max="6923" width="16" style="34" customWidth="1"/>
    <col min="6924" max="7168" width="9.140625" style="34"/>
    <col min="7169" max="7169" width="6.42578125" style="34" customWidth="1"/>
    <col min="7170" max="7170" width="37.7109375" style="34" customWidth="1"/>
    <col min="7171" max="7179" width="16" style="34" customWidth="1"/>
    <col min="7180" max="7424" width="9.140625" style="34"/>
    <col min="7425" max="7425" width="6.42578125" style="34" customWidth="1"/>
    <col min="7426" max="7426" width="37.7109375" style="34" customWidth="1"/>
    <col min="7427" max="7435" width="16" style="34" customWidth="1"/>
    <col min="7436" max="7680" width="9.140625" style="34"/>
    <col min="7681" max="7681" width="6.42578125" style="34" customWidth="1"/>
    <col min="7682" max="7682" width="37.7109375" style="34" customWidth="1"/>
    <col min="7683" max="7691" width="16" style="34" customWidth="1"/>
    <col min="7692" max="7936" width="9.140625" style="34"/>
    <col min="7937" max="7937" width="6.42578125" style="34" customWidth="1"/>
    <col min="7938" max="7938" width="37.7109375" style="34" customWidth="1"/>
    <col min="7939" max="7947" width="16" style="34" customWidth="1"/>
    <col min="7948" max="8192" width="9.140625" style="34"/>
    <col min="8193" max="8193" width="6.42578125" style="34" customWidth="1"/>
    <col min="8194" max="8194" width="37.7109375" style="34" customWidth="1"/>
    <col min="8195" max="8203" width="16" style="34" customWidth="1"/>
    <col min="8204" max="8448" width="9.140625" style="34"/>
    <col min="8449" max="8449" width="6.42578125" style="34" customWidth="1"/>
    <col min="8450" max="8450" width="37.7109375" style="34" customWidth="1"/>
    <col min="8451" max="8459" width="16" style="34" customWidth="1"/>
    <col min="8460" max="8704" width="9.140625" style="34"/>
    <col min="8705" max="8705" width="6.42578125" style="34" customWidth="1"/>
    <col min="8706" max="8706" width="37.7109375" style="34" customWidth="1"/>
    <col min="8707" max="8715" width="16" style="34" customWidth="1"/>
    <col min="8716" max="8960" width="9.140625" style="34"/>
    <col min="8961" max="8961" width="6.42578125" style="34" customWidth="1"/>
    <col min="8962" max="8962" width="37.7109375" style="34" customWidth="1"/>
    <col min="8963" max="8971" width="16" style="34" customWidth="1"/>
    <col min="8972" max="9216" width="9.140625" style="34"/>
    <col min="9217" max="9217" width="6.42578125" style="34" customWidth="1"/>
    <col min="9218" max="9218" width="37.7109375" style="34" customWidth="1"/>
    <col min="9219" max="9227" width="16" style="34" customWidth="1"/>
    <col min="9228" max="9472" width="9.140625" style="34"/>
    <col min="9473" max="9473" width="6.42578125" style="34" customWidth="1"/>
    <col min="9474" max="9474" width="37.7109375" style="34" customWidth="1"/>
    <col min="9475" max="9483" width="16" style="34" customWidth="1"/>
    <col min="9484" max="9728" width="9.140625" style="34"/>
    <col min="9729" max="9729" width="6.42578125" style="34" customWidth="1"/>
    <col min="9730" max="9730" width="37.7109375" style="34" customWidth="1"/>
    <col min="9731" max="9739" width="16" style="34" customWidth="1"/>
    <col min="9740" max="9984" width="9.140625" style="34"/>
    <col min="9985" max="9985" width="6.42578125" style="34" customWidth="1"/>
    <col min="9986" max="9986" width="37.7109375" style="34" customWidth="1"/>
    <col min="9987" max="9995" width="16" style="34" customWidth="1"/>
    <col min="9996" max="10240" width="9.140625" style="34"/>
    <col min="10241" max="10241" width="6.42578125" style="34" customWidth="1"/>
    <col min="10242" max="10242" width="37.7109375" style="34" customWidth="1"/>
    <col min="10243" max="10251" width="16" style="34" customWidth="1"/>
    <col min="10252" max="10496" width="9.140625" style="34"/>
    <col min="10497" max="10497" width="6.42578125" style="34" customWidth="1"/>
    <col min="10498" max="10498" width="37.7109375" style="34" customWidth="1"/>
    <col min="10499" max="10507" width="16" style="34" customWidth="1"/>
    <col min="10508" max="10752" width="9.140625" style="34"/>
    <col min="10753" max="10753" width="6.42578125" style="34" customWidth="1"/>
    <col min="10754" max="10754" width="37.7109375" style="34" customWidth="1"/>
    <col min="10755" max="10763" width="16" style="34" customWidth="1"/>
    <col min="10764" max="11008" width="9.140625" style="34"/>
    <col min="11009" max="11009" width="6.42578125" style="34" customWidth="1"/>
    <col min="11010" max="11010" width="37.7109375" style="34" customWidth="1"/>
    <col min="11011" max="11019" width="16" style="34" customWidth="1"/>
    <col min="11020" max="11264" width="9.140625" style="34"/>
    <col min="11265" max="11265" width="6.42578125" style="34" customWidth="1"/>
    <col min="11266" max="11266" width="37.7109375" style="34" customWidth="1"/>
    <col min="11267" max="11275" width="16" style="34" customWidth="1"/>
    <col min="11276" max="11520" width="9.140625" style="34"/>
    <col min="11521" max="11521" width="6.42578125" style="34" customWidth="1"/>
    <col min="11522" max="11522" width="37.7109375" style="34" customWidth="1"/>
    <col min="11523" max="11531" width="16" style="34" customWidth="1"/>
    <col min="11532" max="11776" width="9.140625" style="34"/>
    <col min="11777" max="11777" width="6.42578125" style="34" customWidth="1"/>
    <col min="11778" max="11778" width="37.7109375" style="34" customWidth="1"/>
    <col min="11779" max="11787" width="16" style="34" customWidth="1"/>
    <col min="11788" max="12032" width="9.140625" style="34"/>
    <col min="12033" max="12033" width="6.42578125" style="34" customWidth="1"/>
    <col min="12034" max="12034" width="37.7109375" style="34" customWidth="1"/>
    <col min="12035" max="12043" width="16" style="34" customWidth="1"/>
    <col min="12044" max="12288" width="9.140625" style="34"/>
    <col min="12289" max="12289" width="6.42578125" style="34" customWidth="1"/>
    <col min="12290" max="12290" width="37.7109375" style="34" customWidth="1"/>
    <col min="12291" max="12299" width="16" style="34" customWidth="1"/>
    <col min="12300" max="12544" width="9.140625" style="34"/>
    <col min="12545" max="12545" width="6.42578125" style="34" customWidth="1"/>
    <col min="12546" max="12546" width="37.7109375" style="34" customWidth="1"/>
    <col min="12547" max="12555" width="16" style="34" customWidth="1"/>
    <col min="12556" max="12800" width="9.140625" style="34"/>
    <col min="12801" max="12801" width="6.42578125" style="34" customWidth="1"/>
    <col min="12802" max="12802" width="37.7109375" style="34" customWidth="1"/>
    <col min="12803" max="12811" width="16" style="34" customWidth="1"/>
    <col min="12812" max="13056" width="9.140625" style="34"/>
    <col min="13057" max="13057" width="6.42578125" style="34" customWidth="1"/>
    <col min="13058" max="13058" width="37.7109375" style="34" customWidth="1"/>
    <col min="13059" max="13067" width="16" style="34" customWidth="1"/>
    <col min="13068" max="13312" width="9.140625" style="34"/>
    <col min="13313" max="13313" width="6.42578125" style="34" customWidth="1"/>
    <col min="13314" max="13314" width="37.7109375" style="34" customWidth="1"/>
    <col min="13315" max="13323" width="16" style="34" customWidth="1"/>
    <col min="13324" max="13568" width="9.140625" style="34"/>
    <col min="13569" max="13569" width="6.42578125" style="34" customWidth="1"/>
    <col min="13570" max="13570" width="37.7109375" style="34" customWidth="1"/>
    <col min="13571" max="13579" width="16" style="34" customWidth="1"/>
    <col min="13580" max="13824" width="9.140625" style="34"/>
    <col min="13825" max="13825" width="6.42578125" style="34" customWidth="1"/>
    <col min="13826" max="13826" width="37.7109375" style="34" customWidth="1"/>
    <col min="13827" max="13835" width="16" style="34" customWidth="1"/>
    <col min="13836" max="14080" width="9.140625" style="34"/>
    <col min="14081" max="14081" width="6.42578125" style="34" customWidth="1"/>
    <col min="14082" max="14082" width="37.7109375" style="34" customWidth="1"/>
    <col min="14083" max="14091" width="16" style="34" customWidth="1"/>
    <col min="14092" max="14336" width="9.140625" style="34"/>
    <col min="14337" max="14337" width="6.42578125" style="34" customWidth="1"/>
    <col min="14338" max="14338" width="37.7109375" style="34" customWidth="1"/>
    <col min="14339" max="14347" width="16" style="34" customWidth="1"/>
    <col min="14348" max="14592" width="9.140625" style="34"/>
    <col min="14593" max="14593" width="6.42578125" style="34" customWidth="1"/>
    <col min="14594" max="14594" width="37.7109375" style="34" customWidth="1"/>
    <col min="14595" max="14603" width="16" style="34" customWidth="1"/>
    <col min="14604" max="14848" width="9.140625" style="34"/>
    <col min="14849" max="14849" width="6.42578125" style="34" customWidth="1"/>
    <col min="14850" max="14850" width="37.7109375" style="34" customWidth="1"/>
    <col min="14851" max="14859" width="16" style="34" customWidth="1"/>
    <col min="14860" max="15104" width="9.140625" style="34"/>
    <col min="15105" max="15105" width="6.42578125" style="34" customWidth="1"/>
    <col min="15106" max="15106" width="37.7109375" style="34" customWidth="1"/>
    <col min="15107" max="15115" width="16" style="34" customWidth="1"/>
    <col min="15116" max="15360" width="9.140625" style="34"/>
    <col min="15361" max="15361" width="6.42578125" style="34" customWidth="1"/>
    <col min="15362" max="15362" width="37.7109375" style="34" customWidth="1"/>
    <col min="15363" max="15371" width="16" style="34" customWidth="1"/>
    <col min="15372" max="15616" width="9.140625" style="34"/>
    <col min="15617" max="15617" width="6.42578125" style="34" customWidth="1"/>
    <col min="15618" max="15618" width="37.7109375" style="34" customWidth="1"/>
    <col min="15619" max="15627" width="16" style="34" customWidth="1"/>
    <col min="15628" max="15872" width="9.140625" style="34"/>
    <col min="15873" max="15873" width="6.42578125" style="34" customWidth="1"/>
    <col min="15874" max="15874" width="37.7109375" style="34" customWidth="1"/>
    <col min="15875" max="15883" width="16" style="34" customWidth="1"/>
    <col min="15884" max="16128" width="9.140625" style="34"/>
    <col min="16129" max="16129" width="6.42578125" style="34" customWidth="1"/>
    <col min="16130" max="16130" width="37.7109375" style="34" customWidth="1"/>
    <col min="16131" max="16139" width="16" style="34" customWidth="1"/>
    <col min="16140" max="16384" width="9.140625" style="34"/>
  </cols>
  <sheetData>
    <row r="1" spans="1:15" x14ac:dyDescent="0.2">
      <c r="B1" s="35" t="str">
        <f>Update!$B$6</f>
        <v>Department of Health</v>
      </c>
    </row>
    <row r="2" spans="1:15" x14ac:dyDescent="0.2">
      <c r="B2" s="35" t="str">
        <f>Update!$B$10</f>
        <v>Notes to the financial statements</v>
      </c>
    </row>
    <row r="3" spans="1:15" x14ac:dyDescent="0.2">
      <c r="B3" s="35" t="str">
        <f>Update!$A$3</f>
        <v>2025-26</v>
      </c>
    </row>
    <row r="4" spans="1:15" x14ac:dyDescent="0.2">
      <c r="C4" s="34" t="s">
        <v>281</v>
      </c>
      <c r="D4" s="34" t="s">
        <v>281</v>
      </c>
      <c r="E4" s="34" t="s">
        <v>281</v>
      </c>
      <c r="F4" s="34" t="s">
        <v>281</v>
      </c>
      <c r="G4" s="34" t="s">
        <v>281</v>
      </c>
      <c r="H4" s="34" t="s">
        <v>281</v>
      </c>
      <c r="I4" s="34" t="s">
        <v>281</v>
      </c>
      <c r="K4" s="52" t="s">
        <v>281</v>
      </c>
    </row>
    <row r="5" spans="1:15" x14ac:dyDescent="0.2">
      <c r="A5" s="229">
        <f>SUMIF(Update!$B$33:$B$106,B5,Update!$A$33:$A$106)</f>
        <v>5</v>
      </c>
      <c r="B5" s="37" t="s">
        <v>288</v>
      </c>
    </row>
    <row r="6" spans="1:15" x14ac:dyDescent="0.2">
      <c r="A6" s="229">
        <f>SUMIF(Update!$B$33:$B$106,B6,Update!$A$33:$A$106)</f>
        <v>5.0999999999999996</v>
      </c>
      <c r="B6" s="37" t="str">
        <f>"Consolidated property, plant and equipment "&amp;Update!$B$13</f>
        <v>Consolidated property, plant and equipment 2025-26</v>
      </c>
    </row>
    <row r="7" spans="1:15" s="41" customFormat="1" ht="51" x14ac:dyDescent="0.2">
      <c r="C7" s="775" t="s">
        <v>597</v>
      </c>
      <c r="D7" s="775" t="s">
        <v>196</v>
      </c>
      <c r="E7" s="775" t="s">
        <v>200</v>
      </c>
      <c r="F7" s="775" t="s">
        <v>201</v>
      </c>
      <c r="G7" s="775" t="s">
        <v>202</v>
      </c>
      <c r="H7" s="775" t="s">
        <v>203</v>
      </c>
      <c r="I7" s="775" t="s">
        <v>204</v>
      </c>
      <c r="J7" s="775" t="s">
        <v>455</v>
      </c>
      <c r="K7" s="776" t="s">
        <v>146</v>
      </c>
    </row>
    <row r="8" spans="1:15" x14ac:dyDescent="0.2">
      <c r="C8" s="57" t="s">
        <v>62</v>
      </c>
      <c r="D8" s="57" t="s">
        <v>62</v>
      </c>
      <c r="E8" s="57" t="s">
        <v>62</v>
      </c>
      <c r="F8" s="57" t="s">
        <v>62</v>
      </c>
      <c r="G8" s="57" t="s">
        <v>62</v>
      </c>
      <c r="H8" s="57" t="s">
        <v>62</v>
      </c>
      <c r="I8" s="57" t="s">
        <v>62</v>
      </c>
      <c r="J8" s="57" t="s">
        <v>62</v>
      </c>
      <c r="K8" s="57" t="s">
        <v>62</v>
      </c>
    </row>
    <row r="9" spans="1:15" x14ac:dyDescent="0.2">
      <c r="B9" s="37" t="s">
        <v>183</v>
      </c>
    </row>
    <row r="10" spans="1:15" x14ac:dyDescent="0.2">
      <c r="B10" s="34" t="str">
        <f>"At"&amp;Update!$B$20</f>
        <v>At 1 April 2025</v>
      </c>
      <c r="C10" s="333">
        <f>SUMIF(MAP!$E$493:$E$508,$B10,MAP!$N$493:$N$508)</f>
        <v>32712</v>
      </c>
      <c r="D10" s="333">
        <f>SUMIF(MAP!$E$531:$E$545,$B10,MAP!$N$531:$N$545)</f>
        <v>3810</v>
      </c>
      <c r="E10" s="333">
        <f>SUMIF(MAP!$E$568:$E$583,$B10,MAP!$N$568:$N$583)</f>
        <v>446</v>
      </c>
      <c r="F10" s="333">
        <f>SUMIF(MAP!$E$606:$E$621,$B10,MAP!$N$606:$N$621)</f>
        <v>0</v>
      </c>
      <c r="G10" s="333">
        <f>SUMIF(MAP!$E$645:$E$659,$B10,MAP!$N$645:$N$659)</f>
        <v>18930</v>
      </c>
      <c r="H10" s="333">
        <f>SUMIF(MAP!$E$683:$E$697,$B10,MAP!$N$683:$N$697)</f>
        <v>27</v>
      </c>
      <c r="I10" s="333">
        <f>SUMIF(MAP!$E$720:$E$735,$B10,MAP!$N$720:$N$735)</f>
        <v>95</v>
      </c>
      <c r="J10" s="333">
        <f>SUMIF(MAP!$E$758:$E$773,$B10,MAP!$N$758:$N$773)</f>
        <v>0</v>
      </c>
      <c r="K10" s="211">
        <f>SUM(C10:J10)</f>
        <v>56020</v>
      </c>
      <c r="L10" s="51"/>
      <c r="M10" s="51"/>
      <c r="N10" s="51"/>
      <c r="O10" s="51"/>
    </row>
    <row r="11" spans="1:15" x14ac:dyDescent="0.2">
      <c r="B11" s="41" t="s">
        <v>435</v>
      </c>
      <c r="C11" s="333">
        <f>SUMIF(MAP!$E$493:$E$508,$B11,MAP!$N$493:$N$508)</f>
        <v>0</v>
      </c>
      <c r="D11" s="333">
        <f>SUMIF(MAP!$E$531:$E$545,$B11,MAP!$N$531:$N$545)</f>
        <v>0</v>
      </c>
      <c r="E11" s="333">
        <f>SUMIF(MAP!$E$568:$E$583,$B11,MAP!$N$568:$N$583)</f>
        <v>0</v>
      </c>
      <c r="F11" s="333">
        <f>SUMIF(MAP!$E$606:$E$621,$B11,MAP!$N$606:$N$621)</f>
        <v>0</v>
      </c>
      <c r="G11" s="333">
        <f>SUMIF(MAP!$E$645:$E$659,$B11,MAP!$N$645:$N$659)</f>
        <v>0</v>
      </c>
      <c r="H11" s="333">
        <f>SUMIF(MAP!$E$683:$E$697,$B11,MAP!$N$683:$N$697)</f>
        <v>0</v>
      </c>
      <c r="I11" s="333">
        <f>SUMIF(MAP!$E$720:$E$735,$B11,MAP!$N$720:$N$735)</f>
        <v>0</v>
      </c>
      <c r="J11" s="333">
        <f>SUMIF(MAP!$E$758:$E$773,$B11,MAP!$N$758:$N$773)</f>
        <v>0</v>
      </c>
      <c r="K11" s="211">
        <f t="shared" ref="K11:K22" si="0">SUM(C11:J11)</f>
        <v>0</v>
      </c>
      <c r="L11" s="51"/>
      <c r="M11" s="51"/>
      <c r="N11" s="51"/>
      <c r="O11" s="51"/>
    </row>
    <row r="12" spans="1:15" x14ac:dyDescent="0.2">
      <c r="B12" s="34" t="s">
        <v>442</v>
      </c>
      <c r="C12" s="354">
        <f>SUM(C10:C11)</f>
        <v>32712</v>
      </c>
      <c r="D12" s="354">
        <f t="shared" ref="D12:J12" si="1">SUM(D10:D11)</f>
        <v>3810</v>
      </c>
      <c r="E12" s="354">
        <f t="shared" si="1"/>
        <v>446</v>
      </c>
      <c r="F12" s="354">
        <f t="shared" si="1"/>
        <v>0</v>
      </c>
      <c r="G12" s="354">
        <f t="shared" si="1"/>
        <v>18930</v>
      </c>
      <c r="H12" s="354">
        <f t="shared" si="1"/>
        <v>27</v>
      </c>
      <c r="I12" s="354">
        <f t="shared" si="1"/>
        <v>95</v>
      </c>
      <c r="J12" s="354">
        <f t="shared" si="1"/>
        <v>0</v>
      </c>
      <c r="K12" s="213">
        <f>SUM(C12:J12)</f>
        <v>56020</v>
      </c>
      <c r="L12" s="230">
        <f>SUM(C12:J12)-SUM(K10:K11)</f>
        <v>0</v>
      </c>
      <c r="M12" s="51"/>
      <c r="N12" s="51"/>
      <c r="O12" s="51"/>
    </row>
    <row r="13" spans="1:15" x14ac:dyDescent="0.2">
      <c r="B13" s="34" t="s">
        <v>185</v>
      </c>
      <c r="C13" s="333">
        <f>SUMIF(MAP!$E$493:$E$508,$B13,MAP!$N$493:$N$508)</f>
        <v>0</v>
      </c>
      <c r="D13" s="333">
        <f>SUMIF(MAP!$E$531:$E$545,$B13,MAP!$N$531:$N$545)</f>
        <v>0</v>
      </c>
      <c r="E13" s="333">
        <f>SUMIF(MAP!$E$568:$E$583,$B13,MAP!$N$568:$N$583)</f>
        <v>0</v>
      </c>
      <c r="F13" s="333">
        <f>SUMIF(MAP!$E$606:$E$621,$B13,MAP!$N$606:$N$621)</f>
        <v>0</v>
      </c>
      <c r="G13" s="333">
        <f>SUMIF(MAP!$E$645:$E$659,$B13,MAP!$N$645:$N$659)</f>
        <v>0</v>
      </c>
      <c r="H13" s="333">
        <f>SUMIF(MAP!$E$683:$E$697,$B13,MAP!$N$683:$N$697)</f>
        <v>0</v>
      </c>
      <c r="I13" s="333">
        <f>SUMIF(MAP!$E$720:$E$735,$B13,MAP!$N$720:$N$735)</f>
        <v>0</v>
      </c>
      <c r="J13" s="333">
        <f>SUMIF(MAP!$E$758:$E$773,$B13,MAP!$N$758:$N$773)</f>
        <v>0</v>
      </c>
      <c r="K13" s="212">
        <f>SUM(C13:J13)</f>
        <v>0</v>
      </c>
      <c r="L13" s="51"/>
      <c r="M13" s="51"/>
      <c r="N13" s="51"/>
      <c r="O13" s="51"/>
    </row>
    <row r="14" spans="1:15" x14ac:dyDescent="0.2">
      <c r="B14" s="34" t="s">
        <v>437</v>
      </c>
      <c r="C14" s="333">
        <f>SUMIF(MAP!$E$493:$E$508,$B14,MAP!$N$493:$N$508)</f>
        <v>0</v>
      </c>
      <c r="D14" s="333">
        <f>SUMIF(MAP!$E$531:$E$545,$B14,MAP!$N$531:$N$545)</f>
        <v>0</v>
      </c>
      <c r="E14" s="333">
        <f>SUMIF(MAP!$E$568:$E$583,$B14,MAP!$N$568:$N$583)</f>
        <v>0</v>
      </c>
      <c r="F14" s="333">
        <f>SUMIF(MAP!$E$606:$E$621,$B14,MAP!$N$606:$N$621)</f>
        <v>0</v>
      </c>
      <c r="G14" s="333">
        <f>SUMIF(MAP!$E$645:$E$659,$B14,MAP!$N$645:$N$659)</f>
        <v>0</v>
      </c>
      <c r="H14" s="333">
        <f>SUMIF(MAP!$E$683:$E$697,$B14,MAP!$N$683:$N$697)</f>
        <v>0</v>
      </c>
      <c r="I14" s="333">
        <f>SUMIF(MAP!$E$720:$E$735,$B14,MAP!$N$720:$N$735)</f>
        <v>0</v>
      </c>
      <c r="J14" s="333">
        <f>SUMIF(MAP!$E$758:$E$773,$B14,MAP!$N$758:$N$773)</f>
        <v>0</v>
      </c>
      <c r="K14" s="212">
        <f t="shared" si="0"/>
        <v>0</v>
      </c>
      <c r="L14" s="51"/>
      <c r="M14" s="51"/>
      <c r="N14" s="51"/>
      <c r="O14" s="51"/>
    </row>
    <row r="15" spans="1:15" x14ac:dyDescent="0.2">
      <c r="B15" s="34" t="s">
        <v>191</v>
      </c>
      <c r="C15" s="333">
        <f>SUMIF(MAP!$E$493:$E$508,$B15,MAP!$N$493:$N$508)</f>
        <v>0</v>
      </c>
      <c r="D15" s="333">
        <f>SUMIF(MAP!$E$531:$E$545,$B15,MAP!$N$531:$N$545)</f>
        <v>0</v>
      </c>
      <c r="E15" s="333">
        <f>SUMIF(MAP!$E$568:$E$583,$B15,MAP!$N$568:$N$583)</f>
        <v>0</v>
      </c>
      <c r="F15" s="333">
        <f>SUMIF(MAP!$E$606:$E$621,$B15,MAP!$N$606:$N$621)</f>
        <v>0</v>
      </c>
      <c r="G15" s="333">
        <f>SUMIF(MAP!$E$645:$E$659,$B15,MAP!$N$645:$N$659)</f>
        <v>0</v>
      </c>
      <c r="H15" s="333">
        <f>SUMIF(MAP!$E$683:$E$697,$B15,MAP!$N$683:$N$697)</f>
        <v>0</v>
      </c>
      <c r="I15" s="333">
        <f>SUMIF(MAP!$E$720:$E$735,$B15,MAP!$N$720:$N$735)</f>
        <v>0</v>
      </c>
      <c r="J15" s="333">
        <f>SUMIF(MAP!$E$758:$E$773,$B15,MAP!$N$758:$N$773)</f>
        <v>0</v>
      </c>
      <c r="K15" s="212">
        <f t="shared" si="0"/>
        <v>0</v>
      </c>
      <c r="L15" s="51"/>
      <c r="M15" s="51"/>
      <c r="N15" s="51"/>
      <c r="O15" s="51"/>
    </row>
    <row r="16" spans="1:15" x14ac:dyDescent="0.2">
      <c r="B16" s="34" t="s">
        <v>186</v>
      </c>
      <c r="C16" s="333">
        <f>SUMIF(MAP!$E$493:$E$508,$B16,MAP!$N$493:$N$508)</f>
        <v>0</v>
      </c>
      <c r="D16" s="333">
        <f>SUMIF(MAP!$E$531:$E$545,$B16,MAP!$N$531:$N$545)</f>
        <v>0</v>
      </c>
      <c r="E16" s="333">
        <f>SUMIF(MAP!$E$568:$E$583,$B16,MAP!$N$568:$N$583)</f>
        <v>0</v>
      </c>
      <c r="F16" s="333">
        <f>SUMIF(MAP!$E$606:$E$621,$B16,MAP!$N$606:$N$621)</f>
        <v>0</v>
      </c>
      <c r="G16" s="333">
        <f>SUMIF(MAP!$E$645:$E$659,$B16,MAP!$N$645:$N$659)</f>
        <v>0</v>
      </c>
      <c r="H16" s="333">
        <f>SUMIF(MAP!$E$683:$E$697,$B16,MAP!$N$683:$N$697)</f>
        <v>0</v>
      </c>
      <c r="I16" s="333">
        <f>SUMIF(MAP!$E$720:$E$735,$B16,MAP!$N$720:$N$735)</f>
        <v>0</v>
      </c>
      <c r="J16" s="333">
        <f>SUMIF(MAP!$E$758:$E$773,$B16,MAP!$N$758:$N$773)</f>
        <v>0</v>
      </c>
      <c r="K16" s="212">
        <f t="shared" si="0"/>
        <v>0</v>
      </c>
      <c r="L16" s="51"/>
      <c r="M16" s="51"/>
      <c r="N16" s="51"/>
      <c r="O16" s="51"/>
    </row>
    <row r="17" spans="1:16" x14ac:dyDescent="0.2">
      <c r="B17" s="34" t="s">
        <v>810</v>
      </c>
      <c r="C17" s="333">
        <f>SUMIF(MAP!$E$493:$E$508,$B17,MAP!$N$493:$N$508)</f>
        <v>0</v>
      </c>
      <c r="D17" s="333">
        <f>SUMIF(MAP!$E$531:$E$545,$B17,MAP!$N$531:$N$545)</f>
        <v>0</v>
      </c>
      <c r="E17" s="333">
        <f>SUMIF(MAP!$E$568:$E$583,$B17,MAP!$N$568:$N$583)</f>
        <v>0</v>
      </c>
      <c r="F17" s="333">
        <f>SUMIF(MAP!$E$606:$E$621,$B17,MAP!$N$606:$N$621)</f>
        <v>0</v>
      </c>
      <c r="G17" s="333">
        <f>SUMIF(MAP!$E$645:$E$659,$B17,MAP!$N$645:$N$659)</f>
        <v>0</v>
      </c>
      <c r="H17" s="333">
        <f>SUMIF(MAP!$E$683:$E$697,$B17,MAP!$N$683:$N$697)</f>
        <v>0</v>
      </c>
      <c r="I17" s="333">
        <f>SUMIF(MAP!$E$720:$E$735,$B17,MAP!$N$720:$N$735)</f>
        <v>0</v>
      </c>
      <c r="J17" s="333">
        <f>SUMIF(MAP!$E$758:$E$773,$B17,MAP!$N$758:$N$773)</f>
        <v>0</v>
      </c>
      <c r="K17" s="212">
        <f>SUM(C17:J17)</f>
        <v>0</v>
      </c>
      <c r="L17" s="51"/>
      <c r="M17" s="51"/>
      <c r="N17" s="51"/>
      <c r="O17" s="51"/>
    </row>
    <row r="18" spans="1:16" x14ac:dyDescent="0.2">
      <c r="A18" s="353" t="s">
        <v>1066</v>
      </c>
      <c r="B18" s="34" t="s">
        <v>192</v>
      </c>
      <c r="C18" s="333">
        <f>SUMIF(MAP!$E$493:$E$508,$B18,MAP!$N$493:$N$508)</f>
        <v>0</v>
      </c>
      <c r="D18" s="333">
        <f>SUMIF(MAP!$E$531:$E$545,$B18,MAP!$N$531:$N$545)</f>
        <v>0</v>
      </c>
      <c r="E18" s="333">
        <f>SUMIF(MAP!$E$568:$E$583,$B18,MAP!$N$568:$N$583)</f>
        <v>0</v>
      </c>
      <c r="F18" s="333">
        <f>SUMIF(MAP!$E$606:$E$621,$B18,MAP!$N$606:$N$621)</f>
        <v>0</v>
      </c>
      <c r="G18" s="333">
        <f>SUMIF(MAP!$E$645:$E$659,$B18,MAP!$N$645:$N$659)</f>
        <v>0</v>
      </c>
      <c r="H18" s="333">
        <f>SUMIF(MAP!$E$683:$E$697,$B18,MAP!$N$683:$N$697)</f>
        <v>0</v>
      </c>
      <c r="I18" s="333">
        <f>SUMIF(MAP!$E$720:$E$735,$B18,MAP!$N$720:$N$735)</f>
        <v>0</v>
      </c>
      <c r="J18" s="333">
        <f>SUMIF(MAP!$E$758:$E$773,$B18,MAP!$N$758:$N$773)</f>
        <v>0</v>
      </c>
      <c r="K18" s="212">
        <f t="shared" si="0"/>
        <v>0</v>
      </c>
      <c r="L18" s="51"/>
      <c r="M18" s="51"/>
      <c r="N18" s="51"/>
      <c r="O18" s="51"/>
    </row>
    <row r="19" spans="1:16" ht="25.5" x14ac:dyDescent="0.2">
      <c r="B19" s="41" t="s">
        <v>193</v>
      </c>
      <c r="C19" s="333">
        <f>SUMIF(MAP!$E$493:$E$508,$B19,MAP!$N$493:$N$508)</f>
        <v>0</v>
      </c>
      <c r="D19" s="333">
        <f>SUMIF(MAP!$E$531:$E$545,$B19,MAP!$N$531:$N$545)</f>
        <v>0</v>
      </c>
      <c r="E19" s="333">
        <f>SUMIF(MAP!$E$568:$E$583,$B19,MAP!$N$568:$N$583)</f>
        <v>0</v>
      </c>
      <c r="F19" s="333">
        <f>SUMIF(MAP!$E$606:$E$621,$B19,MAP!$N$606:$N$621)</f>
        <v>0</v>
      </c>
      <c r="G19" s="333">
        <f>SUMIF(MAP!$E$645:$E$659,$B19,MAP!$N$645:$N$659)</f>
        <v>0</v>
      </c>
      <c r="H19" s="333">
        <f>SUMIF(MAP!$E$683:$E$697,$B19,MAP!$N$683:$N$697)</f>
        <v>0</v>
      </c>
      <c r="I19" s="333">
        <f>SUMIF(MAP!$E$720:$E$735,$B19,MAP!$N$720:$N$735)</f>
        <v>0</v>
      </c>
      <c r="J19" s="333">
        <f>SUMIF(MAP!$E$758:$E$773,$B19,MAP!$N$758:$N$773)</f>
        <v>0</v>
      </c>
      <c r="K19" s="212">
        <f t="shared" si="0"/>
        <v>0</v>
      </c>
      <c r="L19" s="51"/>
      <c r="M19" s="51"/>
      <c r="N19" s="51"/>
      <c r="O19" s="51"/>
    </row>
    <row r="20" spans="1:16" x14ac:dyDescent="0.2">
      <c r="B20" s="34" t="s">
        <v>187</v>
      </c>
      <c r="C20" s="333">
        <f>SUMIF(MAP!$E$493:$E$508,$B20,MAP!$N$493:$N$508)</f>
        <v>0</v>
      </c>
      <c r="D20" s="333">
        <f>SUMIF(MAP!$E$531:$E$545,$B20,MAP!$N$531:$N$545)</f>
        <v>0</v>
      </c>
      <c r="E20" s="333">
        <f>SUMIF(MAP!$E$568:$E$583,$B20,MAP!$N$568:$N$583)</f>
        <v>0</v>
      </c>
      <c r="F20" s="333">
        <f>SUMIF(MAP!$E$606:$E$621,$B20,MAP!$N$606:$N$621)</f>
        <v>0</v>
      </c>
      <c r="G20" s="333">
        <f>SUMIF(MAP!$E$645:$E$659,$B20,MAP!$N$645:$N$659)</f>
        <v>0</v>
      </c>
      <c r="H20" s="333">
        <f>SUMIF(MAP!$E$683:$E$697,$B20,MAP!$N$683:$N$697)</f>
        <v>0</v>
      </c>
      <c r="I20" s="333">
        <f>SUMIF(MAP!$E$720:$E$735,$B20,MAP!$N$720:$N$735)</f>
        <v>0</v>
      </c>
      <c r="J20" s="333">
        <f>SUMIF(MAP!$E$758:$E$773,$B20,MAP!$N$758:$N$773)</f>
        <v>0</v>
      </c>
      <c r="K20" s="212">
        <f t="shared" si="0"/>
        <v>0</v>
      </c>
      <c r="L20" s="51"/>
      <c r="M20" s="51"/>
      <c r="N20" s="51"/>
      <c r="O20" s="51"/>
    </row>
    <row r="21" spans="1:16" x14ac:dyDescent="0.2">
      <c r="A21" s="353" t="s">
        <v>1066</v>
      </c>
      <c r="B21" s="34" t="s">
        <v>188</v>
      </c>
      <c r="C21" s="333">
        <f>SUMIF(MAP!$E$493:$E$508,$B21,MAP!$N$493:$N$508)</f>
        <v>0</v>
      </c>
      <c r="D21" s="333">
        <f>SUMIF(MAP!$E$531:$E$545,$B21,MAP!$N$531:$N$545)</f>
        <v>0</v>
      </c>
      <c r="E21" s="333">
        <f>SUMIF(MAP!$E$568:$E$583,$B21,MAP!$N$568:$N$583)</f>
        <v>0</v>
      </c>
      <c r="F21" s="333">
        <f>SUMIF(MAP!$E$606:$E$621,$B21,MAP!$N$606:$N$621)</f>
        <v>0</v>
      </c>
      <c r="G21" s="333">
        <f>SUMIF(MAP!$E$645:$E$659,$B21,MAP!$N$645:$N$659)</f>
        <v>0</v>
      </c>
      <c r="H21" s="333">
        <f>SUMIF(MAP!$E$683:$E$697,$B21,MAP!$N$683:$N$697)</f>
        <v>0</v>
      </c>
      <c r="I21" s="333">
        <f>SUMIF(MAP!$E$720:$E$735,$B21,MAP!$N$720:$N$735)</f>
        <v>0</v>
      </c>
      <c r="J21" s="333">
        <f>SUMIF(MAP!$E$758:$E$773,$B21,MAP!$N$758:$N$773)</f>
        <v>0</v>
      </c>
      <c r="K21" s="212">
        <f t="shared" si="0"/>
        <v>0</v>
      </c>
      <c r="L21" s="51"/>
      <c r="N21" s="51"/>
      <c r="O21" s="51"/>
    </row>
    <row r="22" spans="1:16" x14ac:dyDescent="0.2">
      <c r="A22" s="353" t="s">
        <v>1066</v>
      </c>
      <c r="B22" s="34" t="s">
        <v>189</v>
      </c>
      <c r="C22" s="333">
        <f>SUMIF(MAP!$E$493:$E$508,$B22,MAP!$N$493:$N$508)</f>
        <v>0</v>
      </c>
      <c r="D22" s="333">
        <f>SUMIF(MAP!$E$531:$E$545,$B22,MAP!$N$531:$N$545)</f>
        <v>0</v>
      </c>
      <c r="E22" s="333">
        <f>SUMIF(MAP!$E$568:$E$583,$B22,MAP!$N$568:$N$583)</f>
        <v>0</v>
      </c>
      <c r="F22" s="333">
        <f>SUMIF(MAP!$E$606:$E$621,$B22,MAP!$N$606:$N$621)</f>
        <v>0</v>
      </c>
      <c r="G22" s="333">
        <f>SUMIF(MAP!$E$645:$E$659,$B22,MAP!$N$645:$N$659)</f>
        <v>0</v>
      </c>
      <c r="H22" s="333">
        <f>SUMIF(MAP!$E$683:$E$697,$B22,MAP!$N$683:$N$697)</f>
        <v>0</v>
      </c>
      <c r="I22" s="333">
        <f>SUMIF(MAP!$E$720:$E$735,$B22,MAP!$N$720:$N$735)</f>
        <v>0</v>
      </c>
      <c r="J22" s="333">
        <f>SUMIF(MAP!$E$758:$E$773,$B22,MAP!$N$758:$N$773)</f>
        <v>0</v>
      </c>
      <c r="K22" s="212">
        <f t="shared" si="0"/>
        <v>0</v>
      </c>
      <c r="L22" s="51"/>
      <c r="M22" s="47"/>
      <c r="N22" s="51"/>
      <c r="O22" s="51"/>
    </row>
    <row r="23" spans="1:16" s="37" customFormat="1" ht="19.7" customHeight="1" x14ac:dyDescent="0.2">
      <c r="B23" s="166" t="str">
        <f>"At"&amp;Update!$B$22</f>
        <v>At 31 March 2026</v>
      </c>
      <c r="C23" s="213">
        <f>SUM(C12:C22)</f>
        <v>32712</v>
      </c>
      <c r="D23" s="213">
        <f>SUM(D12:D22)</f>
        <v>3810</v>
      </c>
      <c r="E23" s="213">
        <f t="shared" ref="E23:J23" si="2">SUM(E12:E22)</f>
        <v>446</v>
      </c>
      <c r="F23" s="213">
        <f t="shared" si="2"/>
        <v>0</v>
      </c>
      <c r="G23" s="213">
        <f t="shared" si="2"/>
        <v>18930</v>
      </c>
      <c r="H23" s="213">
        <f t="shared" si="2"/>
        <v>27</v>
      </c>
      <c r="I23" s="213">
        <f t="shared" si="2"/>
        <v>95</v>
      </c>
      <c r="J23" s="213">
        <f t="shared" si="2"/>
        <v>0</v>
      </c>
      <c r="K23" s="213">
        <f>SUM(K12:K22)</f>
        <v>56020</v>
      </c>
      <c r="L23" s="47"/>
      <c r="M23" s="47"/>
      <c r="N23" s="47"/>
      <c r="O23" s="47"/>
      <c r="P23" s="34"/>
    </row>
    <row r="24" spans="1:16" x14ac:dyDescent="0.2">
      <c r="C24" s="227">
        <f>C23-MAP!N508</f>
        <v>0</v>
      </c>
      <c r="D24" s="227">
        <f>D23-MAP!$N$545</f>
        <v>0</v>
      </c>
      <c r="E24" s="227">
        <f>E23-MAP!$N$583</f>
        <v>0</v>
      </c>
      <c r="F24" s="227">
        <f>F23-MAP!$N$621</f>
        <v>0</v>
      </c>
      <c r="G24" s="227">
        <f>G23-MAP!$N$659</f>
        <v>0</v>
      </c>
      <c r="H24" s="227">
        <f>H23-MAP!$N$697</f>
        <v>0</v>
      </c>
      <c r="I24" s="227">
        <f>I23-MAP!$N$735</f>
        <v>0</v>
      </c>
      <c r="J24" s="227">
        <f>J23-MAP!$N$773</f>
        <v>0</v>
      </c>
      <c r="K24" s="212"/>
      <c r="L24" s="51"/>
      <c r="M24" s="51"/>
      <c r="N24" s="51"/>
      <c r="O24" s="51"/>
    </row>
    <row r="25" spans="1:16" x14ac:dyDescent="0.2">
      <c r="B25" s="37" t="s">
        <v>160</v>
      </c>
      <c r="C25" s="51"/>
      <c r="D25" s="51"/>
      <c r="E25" s="51"/>
      <c r="F25" s="51"/>
      <c r="G25" s="51"/>
      <c r="H25" s="51"/>
      <c r="I25" s="51"/>
      <c r="J25" s="51"/>
      <c r="K25" s="212"/>
      <c r="L25" s="51"/>
      <c r="M25" s="51"/>
      <c r="N25" s="51"/>
      <c r="O25" s="51"/>
    </row>
    <row r="26" spans="1:16" x14ac:dyDescent="0.2">
      <c r="B26" s="34" t="str">
        <f>"At"&amp;Update!$B$20&amp;" "</f>
        <v xml:space="preserve">At 1 April 2025 </v>
      </c>
      <c r="C26" s="333">
        <f>SUMIF(MAP!$E$509:$E$524,$B26,MAP!$N$509:$N$524)</f>
        <v>0</v>
      </c>
      <c r="D26" s="333">
        <f>SUMIF(MAP!$E$546:$E$559,$B26,MAP!$N$546:$N$559)</f>
        <v>481</v>
      </c>
      <c r="E26" s="333">
        <f>SUMIF(MAP!$E$584:$E$597,$B26,MAP!$N$584:$N$597)</f>
        <v>1</v>
      </c>
      <c r="F26" s="333">
        <f>SUMIF(MAP!$E$622:$E$637,$B26,MAP!$N$622:$N$637)</f>
        <v>0</v>
      </c>
      <c r="G26" s="333">
        <f>SUMIF(MAP!$E$660:$E$673,$B26,MAP!$N$660:$N$673)</f>
        <v>158</v>
      </c>
      <c r="H26" s="333">
        <f>SUMIF(MAP!$E$698:$E$711,$B26,MAP!$N$698:$N$711)</f>
        <v>5</v>
      </c>
      <c r="I26" s="333">
        <f>SUMIF(MAP!$E$736:$E$749,$B26,MAP!$N$736:$N$749)</f>
        <v>33</v>
      </c>
      <c r="J26" s="333">
        <f>SUMIF(MAP!$E$774:$E$787,$B26,MAP!$N$774:$N$787)</f>
        <v>0</v>
      </c>
      <c r="K26" s="212">
        <f t="shared" ref="K26:K34" si="3">SUM(C26:J26)</f>
        <v>678</v>
      </c>
      <c r="L26" s="51"/>
      <c r="M26" s="51"/>
      <c r="N26" s="51"/>
      <c r="O26" s="51"/>
    </row>
    <row r="27" spans="1:16" x14ac:dyDescent="0.2">
      <c r="B27" s="34" t="s">
        <v>1417</v>
      </c>
      <c r="C27" s="333">
        <f>SUMIF(MAP!$E$509:$E$524,$B27,MAP!$N$509:$N$524)</f>
        <v>0</v>
      </c>
      <c r="D27" s="333">
        <f>SUMIF(MAP!$E$546:$E$559,$B27,MAP!$N$546:$N$559)</f>
        <v>0</v>
      </c>
      <c r="E27" s="333">
        <f>SUMIF(MAP!$E$584:$E$597,$B27,MAP!$N$584:$N$597)</f>
        <v>0</v>
      </c>
      <c r="F27" s="333">
        <f>SUMIF(MAP!$E$622:$E$637,$B27,MAP!$N$622:$N$637)</f>
        <v>0</v>
      </c>
      <c r="G27" s="333">
        <f>SUMIF(MAP!$E$660:$E$673,$B27,MAP!$N$660:$N$673)</f>
        <v>0</v>
      </c>
      <c r="H27" s="333">
        <f>SUMIF(MAP!$E$698:$E$711,$B27,MAP!$N$698:$N$711)</f>
        <v>0</v>
      </c>
      <c r="I27" s="333">
        <f>SUMIF(MAP!$E$736:$E$749,$B27,MAP!$N$736:$N$749)</f>
        <v>0</v>
      </c>
      <c r="J27" s="333">
        <f>SUMIF(MAP!$E$774:$E$787,$B27,MAP!$N$774:$N$787)</f>
        <v>0</v>
      </c>
      <c r="K27" s="212">
        <f t="shared" si="3"/>
        <v>0</v>
      </c>
      <c r="L27" s="51"/>
      <c r="M27" s="51"/>
      <c r="N27" s="51"/>
      <c r="O27" s="51"/>
    </row>
    <row r="28" spans="1:16" x14ac:dyDescent="0.2">
      <c r="B28" s="34" t="s">
        <v>442</v>
      </c>
      <c r="C28" s="214">
        <f>SUM(C26:C27)</f>
        <v>0</v>
      </c>
      <c r="D28" s="214">
        <f t="shared" ref="D28:J28" si="4">SUM(D26:D27)</f>
        <v>481</v>
      </c>
      <c r="E28" s="214">
        <f t="shared" si="4"/>
        <v>1</v>
      </c>
      <c r="F28" s="214">
        <f t="shared" si="4"/>
        <v>0</v>
      </c>
      <c r="G28" s="214">
        <f t="shared" si="4"/>
        <v>158</v>
      </c>
      <c r="H28" s="214">
        <f t="shared" si="4"/>
        <v>5</v>
      </c>
      <c r="I28" s="214">
        <f t="shared" si="4"/>
        <v>33</v>
      </c>
      <c r="J28" s="214">
        <f t="shared" si="4"/>
        <v>0</v>
      </c>
      <c r="K28" s="215">
        <f>SUM(C28:J28)</f>
        <v>678</v>
      </c>
      <c r="L28" s="230">
        <f>SUM(C28:J28)-SUM(K26:K27)</f>
        <v>0</v>
      </c>
      <c r="M28" s="51"/>
      <c r="N28" s="51"/>
      <c r="O28" s="51"/>
    </row>
    <row r="29" spans="1:16" x14ac:dyDescent="0.2">
      <c r="B29" s="34" t="s">
        <v>1409</v>
      </c>
      <c r="C29" s="333">
        <f>SUMIF(MAP!$E$509:$E$524,$B29,MAP!$N$509:$N$524)</f>
        <v>0</v>
      </c>
      <c r="D29" s="333">
        <f>SUMIF(MAP!$E$546:$E$559,$B29,MAP!$N$546:$N$559)</f>
        <v>0</v>
      </c>
      <c r="E29" s="333">
        <f>SUMIF(MAP!$E$584:$E$597,$B29,MAP!$N$584:$N$597)</f>
        <v>0</v>
      </c>
      <c r="F29" s="333">
        <f>SUMIF(MAP!$E$622:$E$637,$B29,MAP!$N$622:$N$637)</f>
        <v>0</v>
      </c>
      <c r="G29" s="333">
        <f>SUMIF(MAP!$E$660:$E$673,$B29,MAP!$N$660:$N$673)</f>
        <v>0</v>
      </c>
      <c r="H29" s="333">
        <f>SUMIF(MAP!$E$698:$E$711,$B29,MAP!$N$698:$N$711)</f>
        <v>0</v>
      </c>
      <c r="I29" s="333">
        <f>SUMIF(MAP!$E$736:$E$749,$B29,MAP!$N$736:$N$749)</f>
        <v>0</v>
      </c>
      <c r="J29" s="333">
        <f>SUMIF(MAP!$E$774:$E$787,$B29,MAP!$N$774:$N$787)</f>
        <v>0</v>
      </c>
      <c r="K29" s="212">
        <f t="shared" si="3"/>
        <v>0</v>
      </c>
      <c r="L29" s="51"/>
      <c r="M29" s="51"/>
      <c r="N29" s="51"/>
      <c r="O29" s="51"/>
    </row>
    <row r="30" spans="1:16" x14ac:dyDescent="0.2">
      <c r="B30" s="34" t="s">
        <v>457</v>
      </c>
      <c r="C30" s="333">
        <f>SUMIF(MAP!$E$509:$E$524,$B30,MAP!$N$509:$N$524)</f>
        <v>0</v>
      </c>
      <c r="D30" s="333">
        <f>SUMIF(MAP!$E$546:$E$559,$B30,MAP!$N$546:$N$559)</f>
        <v>0</v>
      </c>
      <c r="E30" s="333">
        <f>SUMIF(MAP!$E$584:$E$597,$B30,MAP!$N$584:$N$597)</f>
        <v>0</v>
      </c>
      <c r="F30" s="333">
        <f>SUMIF(MAP!$E$622:$E$637,$B30,MAP!$N$622:$N$637)</f>
        <v>0</v>
      </c>
      <c r="G30" s="333">
        <f>SUMIF(MAP!$E$660:$E$673,$B30,MAP!$N$660:$N$673)</f>
        <v>0</v>
      </c>
      <c r="H30" s="333">
        <f>SUMIF(MAP!$E$698:$E$711,$B30,MAP!$N$698:$N$711)</f>
        <v>0</v>
      </c>
      <c r="I30" s="333">
        <f>SUMIF(MAP!$E$736:$E$749,$B30,MAP!$N$736:$N$749)</f>
        <v>0</v>
      </c>
      <c r="J30" s="333">
        <f>SUMIF(MAP!$E$774:$E$787,$B30,MAP!$N$774:$N$787)</f>
        <v>0</v>
      </c>
      <c r="K30" s="212">
        <f t="shared" si="3"/>
        <v>0</v>
      </c>
      <c r="L30" s="51"/>
      <c r="M30" s="51"/>
      <c r="N30" s="51"/>
      <c r="O30" s="51"/>
    </row>
    <row r="31" spans="1:16" x14ac:dyDescent="0.2">
      <c r="B31" s="34" t="s">
        <v>863</v>
      </c>
      <c r="C31" s="333">
        <f>SUMIF(MAP!$E$509:$E$524,$B31,MAP!$N$509:$N$524)</f>
        <v>0</v>
      </c>
      <c r="D31" s="333">
        <f>SUMIF(MAP!$E$546:$E$559,$B31,MAP!$N$546:$N$559)</f>
        <v>0</v>
      </c>
      <c r="E31" s="333">
        <f>SUMIF(MAP!$E$584:$E$597,$B31,MAP!$N$584:$N$597)</f>
        <v>0</v>
      </c>
      <c r="F31" s="333">
        <f>SUMIF(MAP!$E$622:$E$637,$B31,MAP!$N$622:$N$637)</f>
        <v>0</v>
      </c>
      <c r="G31" s="333">
        <f>SUMIF(MAP!$E$660:$E$673,$B31,MAP!$N$660:$N$673)</f>
        <v>0</v>
      </c>
      <c r="H31" s="333">
        <f>SUMIF(MAP!$E$698:$E$711,$B31,MAP!$N$698:$N$711)</f>
        <v>0</v>
      </c>
      <c r="I31" s="333">
        <f>SUMIF(MAP!$E$736:$E$749,$B31,MAP!$N$736:$N$749)</f>
        <v>0</v>
      </c>
      <c r="J31" s="333">
        <f>SUMIF(MAP!$E$774:$E$787,$B31,MAP!$N$774:$N$787)</f>
        <v>0</v>
      </c>
      <c r="K31" s="212">
        <f t="shared" si="3"/>
        <v>0</v>
      </c>
      <c r="L31" s="51"/>
      <c r="M31" s="51"/>
      <c r="N31" s="51"/>
      <c r="O31" s="51"/>
    </row>
    <row r="32" spans="1:16" x14ac:dyDescent="0.2">
      <c r="B32" s="34" t="s">
        <v>810</v>
      </c>
      <c r="C32" s="333">
        <f>SUMIF(MAP!$E$509:$E$524,$B32,MAP!$N$509:$N$524)</f>
        <v>0</v>
      </c>
      <c r="D32" s="333">
        <f>SUMIF(MAP!$E$546:$E$559,$B32,MAP!$N$546:$N$559)</f>
        <v>0</v>
      </c>
      <c r="E32" s="333">
        <f>SUMIF(MAP!$E$584:$E$597,$B32,MAP!$N$584:$N$597)</f>
        <v>0</v>
      </c>
      <c r="F32" s="333">
        <f>SUMIF(MAP!$E$622:$E$637,$B32,MAP!$N$622:$N$637)</f>
        <v>0</v>
      </c>
      <c r="G32" s="333">
        <f>SUMIF(MAP!$E$660:$E$673,$B32,MAP!$N$660:$N$673)</f>
        <v>0</v>
      </c>
      <c r="H32" s="333">
        <f>SUMIF(MAP!$E$698:$E$711,$B32,MAP!$N$698:$N$711)</f>
        <v>0</v>
      </c>
      <c r="I32" s="333">
        <f>SUMIF(MAP!$E$736:$E$749,$B32,MAP!$N$736:$N$749)</f>
        <v>0</v>
      </c>
      <c r="J32" s="333">
        <f>SUMIF(MAP!$E$774:$E$787,$B32,MAP!$N$774:$N$787)</f>
        <v>0</v>
      </c>
      <c r="K32" s="212">
        <f>SUM(C32:J32)</f>
        <v>0</v>
      </c>
      <c r="L32" s="51"/>
      <c r="M32" s="51"/>
      <c r="N32" s="51"/>
      <c r="O32" s="51"/>
    </row>
    <row r="33" spans="1:16" x14ac:dyDescent="0.2">
      <c r="A33" s="353" t="s">
        <v>1066</v>
      </c>
      <c r="B33" s="41" t="s">
        <v>1415</v>
      </c>
      <c r="C33" s="333">
        <f>SUMIF(MAP!$E$509:$E$524,$B33,MAP!$N$509:$N$524)</f>
        <v>0</v>
      </c>
      <c r="D33" s="333">
        <f>SUMIF(MAP!$E$546:$E$559,$B33,MAP!$N$546:$N$559)</f>
        <v>0</v>
      </c>
      <c r="E33" s="333">
        <f>SUMIF(MAP!$E$584:$E$597,$B33,MAP!$N$584:$N$597)</f>
        <v>0</v>
      </c>
      <c r="F33" s="333">
        <f>SUMIF(MAP!$E$622:$E$637,$B33,MAP!$N$622:$N$637)</f>
        <v>0</v>
      </c>
      <c r="G33" s="333">
        <f>SUMIF(MAP!$E$660:$E$673,$B33,MAP!$N$660:$N$673)</f>
        <v>0</v>
      </c>
      <c r="H33" s="333">
        <f>SUMIF(MAP!$E$698:$E$711,$B33,MAP!$N$698:$N$711)</f>
        <v>0</v>
      </c>
      <c r="I33" s="333">
        <f>SUMIF(MAP!$E$736:$E$749,$B33,MAP!$N$736:$N$749)</f>
        <v>0</v>
      </c>
      <c r="J33" s="333">
        <f>SUMIF(MAP!$E$774:$E$787,$B33,MAP!$N$774:$N$787)</f>
        <v>0</v>
      </c>
      <c r="K33" s="212">
        <f t="shared" si="3"/>
        <v>0</v>
      </c>
      <c r="M33" s="51"/>
      <c r="N33" s="51"/>
      <c r="O33" s="51"/>
    </row>
    <row r="34" spans="1:16" ht="25.5" x14ac:dyDescent="0.2">
      <c r="B34" s="125" t="s">
        <v>1410</v>
      </c>
      <c r="C34" s="333">
        <f>SUMIF(MAP!$E$509:$E$524,$B34,MAP!$N$509:$N$524)</f>
        <v>0</v>
      </c>
      <c r="D34" s="333">
        <f>SUMIF(MAP!$E$546:$E$559,$B34,MAP!$N$546:$N$559)</f>
        <v>0</v>
      </c>
      <c r="E34" s="333">
        <f>SUMIF(MAP!$E$584:$E$597,$B34,MAP!$N$584:$N$597)</f>
        <v>0</v>
      </c>
      <c r="F34" s="333">
        <f>SUMIF(MAP!$E$622:$E$637,$B34,MAP!$N$622:$N$637)</f>
        <v>0</v>
      </c>
      <c r="G34" s="333">
        <f>SUMIF(MAP!$E$660:$E$673,$B34,MAP!$N$660:$N$673)</f>
        <v>0</v>
      </c>
      <c r="H34" s="333">
        <f>SUMIF(MAP!$E$698:$E$711,$B34,MAP!$N$698:$N$711)</f>
        <v>0</v>
      </c>
      <c r="I34" s="333">
        <f>SUMIF(MAP!$E$736:$E$749,$B34,MAP!$N$736:$N$749)</f>
        <v>0</v>
      </c>
      <c r="J34" s="333">
        <f>SUMIF(MAP!$E$774:$E$787,$B34,MAP!$N$774:$N$787)</f>
        <v>0</v>
      </c>
      <c r="K34" s="212">
        <f t="shared" si="3"/>
        <v>0</v>
      </c>
      <c r="L34" s="892">
        <f>(ROUNDUP(-K19+K34-'Note 6'!K21+'Note 6'!K36-'Note 5.4'!L18-'Notes 8 &amp; 9'!L32,0))*0</f>
        <v>0</v>
      </c>
      <c r="M34" s="339" t="s">
        <v>1045</v>
      </c>
      <c r="N34" s="51"/>
      <c r="O34" s="51"/>
    </row>
    <row r="35" spans="1:16" x14ac:dyDescent="0.2">
      <c r="B35" s="34" t="s">
        <v>867</v>
      </c>
      <c r="C35" s="333">
        <f>SUMIF(MAP!$E$509:$E$524,$B35,MAP!$N$509:$N$524)</f>
        <v>0</v>
      </c>
      <c r="D35" s="333">
        <f>SUMIF(MAP!$E$546:$E$559,$B35,MAP!$N$546:$N$559)</f>
        <v>0</v>
      </c>
      <c r="E35" s="333">
        <f>SUMIF(MAP!$E$584:$E$597,$B35,MAP!$N$584:$N$597)</f>
        <v>0</v>
      </c>
      <c r="F35" s="333">
        <f>SUMIF(MAP!$E$622:$E$637,$B35,MAP!$N$622:$N$637)</f>
        <v>0</v>
      </c>
      <c r="G35" s="333">
        <f>SUMIF(MAP!$E$660:$E$673,$B35,MAP!$N$660:$N$673)</f>
        <v>0</v>
      </c>
      <c r="H35" s="333">
        <f>SUMIF(MAP!$E$698:$E$711,$B35,MAP!$N$698:$N$711)</f>
        <v>0</v>
      </c>
      <c r="I35" s="333">
        <f>SUMIF(MAP!$E$736:$E$749,$B35,MAP!$N$736:$N$749)</f>
        <v>0</v>
      </c>
      <c r="J35" s="333">
        <f>SUMIF(MAP!$E$774:$E$787,$B35,MAP!$N$774:$N$787)</f>
        <v>0</v>
      </c>
      <c r="K35" s="212">
        <f>SUM(C35:J35)</f>
        <v>0</v>
      </c>
      <c r="L35" s="122"/>
      <c r="M35" s="51"/>
      <c r="N35" s="51"/>
      <c r="O35" s="51"/>
    </row>
    <row r="36" spans="1:16" x14ac:dyDescent="0.2">
      <c r="A36" s="353" t="s">
        <v>1066</v>
      </c>
      <c r="B36" s="34" t="s">
        <v>868</v>
      </c>
      <c r="C36" s="333">
        <f>SUMIF(MAP!$E$509:$E$524,$B36,MAP!$N$509:$N$524)</f>
        <v>0</v>
      </c>
      <c r="D36" s="333">
        <f>SUMIF(MAP!$E$546:$E$559,$B36,MAP!$N$546:$N$559)</f>
        <v>0</v>
      </c>
      <c r="E36" s="333">
        <f>SUMIF(MAP!$E$584:$E$597,$B36,MAP!$N$584:$N$597)</f>
        <v>0</v>
      </c>
      <c r="F36" s="333">
        <f>SUMIF(MAP!$E$622:$E$637,$B36,MAP!$N$622:$N$637)</f>
        <v>0</v>
      </c>
      <c r="G36" s="333">
        <f>SUMIF(MAP!$E$660:$E$673,$B36,MAP!$N$660:$N$673)</f>
        <v>0</v>
      </c>
      <c r="H36" s="333">
        <f>SUMIF(MAP!$E$698:$E$711,$B36,MAP!$N$698:$N$711)</f>
        <v>0</v>
      </c>
      <c r="I36" s="333">
        <f>SUMIF(MAP!$E$736:$E$749,$B36,MAP!$N$736:$N$749)</f>
        <v>0</v>
      </c>
      <c r="J36" s="333">
        <f>SUMIF(MAP!$E$774:$E$787,$B36,MAP!$N$774:$N$787)</f>
        <v>0</v>
      </c>
      <c r="K36" s="212">
        <f>SUM(C36:J36)</f>
        <v>0</v>
      </c>
      <c r="L36" s="51"/>
      <c r="M36" s="51"/>
      <c r="N36" s="51"/>
      <c r="O36" s="51"/>
    </row>
    <row r="37" spans="1:16" x14ac:dyDescent="0.2">
      <c r="A37" s="353" t="s">
        <v>1066</v>
      </c>
      <c r="B37" s="34" t="s">
        <v>1416</v>
      </c>
      <c r="C37" s="333">
        <f>SUMIF(MAP!$E$509:$E$524,$B37,MAP!$N$509:$N$524)</f>
        <v>0</v>
      </c>
      <c r="D37" s="333">
        <f>SUMIF(MAP!$E$546:$E$559,$B37,MAP!$N$546:$N$559)</f>
        <v>0</v>
      </c>
      <c r="E37" s="333">
        <f>SUMIF(MAP!$E$584:$E$597,$B37,MAP!$N$584:$N$597)</f>
        <v>0</v>
      </c>
      <c r="F37" s="333">
        <f>SUMIF(MAP!$E$622:$E$637,$B37,MAP!$N$622:$N$637)</f>
        <v>0</v>
      </c>
      <c r="G37" s="333">
        <f>SUMIF(MAP!$E$660:$E$673,$B37,MAP!$N$660:$N$673)</f>
        <v>0</v>
      </c>
      <c r="H37" s="333">
        <f>SUMIF(MAP!$E$698:$E$711,$B37,MAP!$N$698:$N$711)</f>
        <v>0</v>
      </c>
      <c r="I37" s="333">
        <f>SUMIF(MAP!$E$736:$E$749,$B37,MAP!$N$736:$N$749)</f>
        <v>0</v>
      </c>
      <c r="J37" s="333">
        <f>SUMIF(MAP!$E$774:$E$787,$B37,MAP!$N$774:$N$787)</f>
        <v>0</v>
      </c>
      <c r="K37" s="212">
        <f>SUM(C37:J37)</f>
        <v>0</v>
      </c>
      <c r="L37" s="51"/>
      <c r="M37" s="51"/>
      <c r="O37" s="51"/>
    </row>
    <row r="38" spans="1:16" s="37" customFormat="1" ht="17.45" customHeight="1" x14ac:dyDescent="0.2">
      <c r="B38" s="166" t="str">
        <f>B23</f>
        <v>At 31 March 2026</v>
      </c>
      <c r="C38" s="208">
        <f>SUM(C28:C37)</f>
        <v>0</v>
      </c>
      <c r="D38" s="208">
        <f t="shared" ref="D38:J38" si="5">SUM(D28:D37)</f>
        <v>481</v>
      </c>
      <c r="E38" s="208">
        <f t="shared" si="5"/>
        <v>1</v>
      </c>
      <c r="F38" s="208">
        <f t="shared" si="5"/>
        <v>0</v>
      </c>
      <c r="G38" s="208">
        <f t="shared" si="5"/>
        <v>158</v>
      </c>
      <c r="H38" s="208">
        <f t="shared" si="5"/>
        <v>5</v>
      </c>
      <c r="I38" s="208">
        <f t="shared" si="5"/>
        <v>33</v>
      </c>
      <c r="J38" s="208">
        <f t="shared" si="5"/>
        <v>0</v>
      </c>
      <c r="K38" s="208">
        <f>SUM(K28:K37)</f>
        <v>678</v>
      </c>
      <c r="L38" s="47"/>
      <c r="M38" s="47"/>
      <c r="N38" s="47"/>
      <c r="O38" s="47"/>
      <c r="P38" s="34"/>
    </row>
    <row r="39" spans="1:16" x14ac:dyDescent="0.2">
      <c r="C39" s="227">
        <f>C38-MAP!$N$522</f>
        <v>0</v>
      </c>
      <c r="D39" s="227">
        <f>D38-MAP!$N$559</f>
        <v>0</v>
      </c>
      <c r="E39" s="227">
        <f>E38-MAP!$N$597</f>
        <v>0</v>
      </c>
      <c r="F39" s="227">
        <f>F38-MAP!$N$635</f>
        <v>0</v>
      </c>
      <c r="G39" s="227">
        <f>G38-MAP!$N$673</f>
        <v>0</v>
      </c>
      <c r="H39" s="227">
        <f>H38-MAP!$N$711</f>
        <v>0</v>
      </c>
      <c r="I39" s="227">
        <f>I38-MAP!$N$749</f>
        <v>0</v>
      </c>
      <c r="J39" s="227">
        <f>J38-MAP!$N$787</f>
        <v>0</v>
      </c>
      <c r="K39" s="212"/>
      <c r="L39" s="51"/>
      <c r="M39" s="51"/>
      <c r="N39" s="51"/>
      <c r="O39" s="51"/>
    </row>
    <row r="40" spans="1:16" x14ac:dyDescent="0.2">
      <c r="B40" s="37" t="s">
        <v>842</v>
      </c>
      <c r="C40" s="216"/>
      <c r="D40" s="216"/>
      <c r="E40" s="216"/>
      <c r="F40" s="216"/>
      <c r="G40" s="216"/>
      <c r="H40" s="216"/>
      <c r="I40" s="216"/>
      <c r="J40" s="216"/>
      <c r="K40" s="212"/>
      <c r="L40" s="51"/>
      <c r="M40" s="51"/>
      <c r="N40" s="51"/>
      <c r="O40" s="51"/>
    </row>
    <row r="41" spans="1:16" s="37" customFormat="1" ht="13.5" thickBot="1" x14ac:dyDescent="0.25">
      <c r="B41" s="166" t="str">
        <f>Update!$B$22</f>
        <v xml:space="preserve"> 31 March 2026</v>
      </c>
      <c r="C41" s="217">
        <f>C23-C38</f>
        <v>32712</v>
      </c>
      <c r="D41" s="217">
        <f t="shared" ref="D41:J41" si="6">D23-D38</f>
        <v>3329</v>
      </c>
      <c r="E41" s="217">
        <f t="shared" si="6"/>
        <v>445</v>
      </c>
      <c r="F41" s="217">
        <f t="shared" si="6"/>
        <v>0</v>
      </c>
      <c r="G41" s="217">
        <f t="shared" si="6"/>
        <v>18772</v>
      </c>
      <c r="H41" s="217">
        <f t="shared" si="6"/>
        <v>22</v>
      </c>
      <c r="I41" s="217">
        <f t="shared" si="6"/>
        <v>62</v>
      </c>
      <c r="J41" s="217">
        <f t="shared" si="6"/>
        <v>0</v>
      </c>
      <c r="K41" s="217">
        <f>SUM(C41:J41)</f>
        <v>55342</v>
      </c>
      <c r="L41" s="47"/>
      <c r="M41" s="47" t="s">
        <v>281</v>
      </c>
      <c r="N41" s="47"/>
      <c r="O41" s="47"/>
    </row>
    <row r="42" spans="1:16" x14ac:dyDescent="0.2">
      <c r="C42" s="212"/>
      <c r="D42" s="212"/>
      <c r="E42" s="212"/>
      <c r="F42" s="212"/>
      <c r="G42" s="212"/>
      <c r="H42" s="212"/>
      <c r="I42" s="212"/>
      <c r="J42" s="212"/>
      <c r="K42" s="212"/>
      <c r="L42" s="51"/>
      <c r="M42" s="51"/>
      <c r="N42" s="51"/>
      <c r="O42" s="51"/>
    </row>
    <row r="43" spans="1:16" x14ac:dyDescent="0.2">
      <c r="B43" s="34" t="s">
        <v>598</v>
      </c>
      <c r="C43" s="212"/>
      <c r="D43" s="212"/>
      <c r="E43" s="212"/>
      <c r="F43" s="212"/>
      <c r="G43" s="212"/>
      <c r="H43" s="212"/>
      <c r="I43" s="212"/>
      <c r="J43" s="212"/>
      <c r="K43" s="212"/>
      <c r="L43" s="51"/>
      <c r="M43" s="51"/>
      <c r="N43" s="51"/>
      <c r="O43" s="51"/>
    </row>
    <row r="44" spans="1:16" ht="13.5" thickBot="1" x14ac:dyDescent="0.25">
      <c r="B44" s="235" t="str">
        <f>Update!$B$24</f>
        <v xml:space="preserve"> 31 March 2025</v>
      </c>
      <c r="C44" s="218">
        <f>+C12-C28</f>
        <v>32712</v>
      </c>
      <c r="D44" s="218">
        <f>+D10-D28</f>
        <v>3329</v>
      </c>
      <c r="E44" s="218">
        <f t="shared" ref="E44:J44" si="7">+E12-E28</f>
        <v>445</v>
      </c>
      <c r="F44" s="218">
        <f t="shared" si="7"/>
        <v>0</v>
      </c>
      <c r="G44" s="218">
        <f t="shared" si="7"/>
        <v>18772</v>
      </c>
      <c r="H44" s="218">
        <f t="shared" si="7"/>
        <v>22</v>
      </c>
      <c r="I44" s="218">
        <f t="shared" si="7"/>
        <v>62</v>
      </c>
      <c r="J44" s="218">
        <f t="shared" si="7"/>
        <v>0</v>
      </c>
      <c r="K44" s="218">
        <f>SUM(C44:J44)</f>
        <v>55342</v>
      </c>
      <c r="L44" s="206"/>
      <c r="M44" s="51"/>
      <c r="N44" s="51"/>
      <c r="O44" s="51"/>
    </row>
    <row r="45" spans="1:16" x14ac:dyDescent="0.2">
      <c r="C45" s="230">
        <f t="shared" ref="C45:K45" si="8">C44- (C10-C26)</f>
        <v>0</v>
      </c>
      <c r="D45" s="230">
        <f t="shared" si="8"/>
        <v>0</v>
      </c>
      <c r="E45" s="230">
        <f t="shared" si="8"/>
        <v>0</v>
      </c>
      <c r="F45" s="230">
        <f t="shared" si="8"/>
        <v>0</v>
      </c>
      <c r="G45" s="230">
        <f t="shared" si="8"/>
        <v>0</v>
      </c>
      <c r="H45" s="230">
        <f t="shared" si="8"/>
        <v>0</v>
      </c>
      <c r="I45" s="230">
        <f t="shared" si="8"/>
        <v>0</v>
      </c>
      <c r="J45" s="230">
        <f t="shared" si="8"/>
        <v>0</v>
      </c>
      <c r="K45" s="230">
        <f t="shared" si="8"/>
        <v>0</v>
      </c>
      <c r="L45" s="206"/>
      <c r="M45" s="51"/>
      <c r="N45" s="51"/>
      <c r="O45" s="51"/>
    </row>
    <row r="46" spans="1:16" x14ac:dyDescent="0.2">
      <c r="C46" s="122"/>
      <c r="D46" s="122"/>
      <c r="E46" s="122"/>
      <c r="F46" s="122"/>
      <c r="G46" s="122"/>
      <c r="H46" s="122"/>
      <c r="I46" s="122"/>
      <c r="J46" s="122"/>
      <c r="K46" s="219"/>
      <c r="L46" s="206"/>
      <c r="M46" s="51"/>
      <c r="N46" s="51"/>
      <c r="O46" s="51"/>
    </row>
    <row r="47" spans="1:16" x14ac:dyDescent="0.2">
      <c r="B47" s="37" t="s">
        <v>194</v>
      </c>
      <c r="C47" s="206"/>
      <c r="D47" s="206"/>
      <c r="E47" s="206"/>
      <c r="F47" s="206"/>
      <c r="G47" s="206"/>
      <c r="H47" s="206"/>
      <c r="I47" s="206"/>
      <c r="J47" s="206"/>
      <c r="K47" s="212"/>
      <c r="L47" s="206"/>
      <c r="M47" s="51"/>
      <c r="N47" s="51"/>
      <c r="O47" s="51"/>
    </row>
    <row r="48" spans="1:16" x14ac:dyDescent="0.2">
      <c r="B48" s="148" t="s">
        <v>197</v>
      </c>
      <c r="C48" s="333">
        <f>SUMIF(MAP!$E$525:$E$530,$B48,MAP!$N$525:$N$530)</f>
        <v>32712</v>
      </c>
      <c r="D48" s="333">
        <f>SUMIF(MAP!$E$562:$E$567,$B48,MAP!$N$562:$N$567)</f>
        <v>2963</v>
      </c>
      <c r="E48" s="333">
        <f>SUMIF(MAP!$E$600:$E$605,$B48,MAP!$N$600:$N$605)</f>
        <v>445</v>
      </c>
      <c r="F48" s="333">
        <f>SUMIF(MAP!$E$638:$E$643,$B48,MAP!$N$638:$N$643)</f>
        <v>0</v>
      </c>
      <c r="G48" s="333">
        <f>SUMIF(MAP!$E$676:$E$681,$B48,MAP!$N$676:$N$681)</f>
        <v>18772</v>
      </c>
      <c r="H48" s="333">
        <f>SUMIF(MAP!$E$714:$E$719,$B48,MAP!$N$714:$N$719)</f>
        <v>22</v>
      </c>
      <c r="I48" s="333">
        <f>SUMIF(MAP!$E$752:$E$757,$B48,MAP!$N$752:$N$757)</f>
        <v>62</v>
      </c>
      <c r="J48" s="333">
        <f>SUMIF(MAP!$E$790:$E$795,$B48,MAP!$N$790:$N$795)</f>
        <v>0</v>
      </c>
      <c r="K48" s="212">
        <f>SUM(C48:J48)</f>
        <v>54976</v>
      </c>
      <c r="L48" s="206"/>
      <c r="M48" s="51" t="s">
        <v>281</v>
      </c>
      <c r="N48" s="51"/>
      <c r="O48" s="51"/>
    </row>
    <row r="49" spans="1:15" x14ac:dyDescent="0.2">
      <c r="B49" s="148" t="s">
        <v>198</v>
      </c>
      <c r="C49" s="333">
        <f>SUMIF(MAP!$E$525:$E$530,$B49,MAP!$N$525:$N$530)</f>
        <v>0</v>
      </c>
      <c r="D49" s="333">
        <f>SUMIF(MAP!$E$562:$E$567,$B49,MAP!$N$562:$N$567)</f>
        <v>366</v>
      </c>
      <c r="E49" s="333">
        <f>SUMIF(MAP!$E$600:$E$605,$B49,MAP!$N$600:$N$605)</f>
        <v>0</v>
      </c>
      <c r="F49" s="333">
        <f>SUMIF(MAP!$E$638:$E$643,$B49,MAP!$N$638:$N$643)</f>
        <v>0</v>
      </c>
      <c r="G49" s="333">
        <f>SUMIF(MAP!$E$676:$E$681,$B49,MAP!$N$676:$N$681)</f>
        <v>0</v>
      </c>
      <c r="H49" s="333">
        <f>SUMIF(MAP!$E$714:$E$719,$B49,MAP!$N$714:$N$719)</f>
        <v>0</v>
      </c>
      <c r="I49" s="333">
        <f>SUMIF(MAP!$E$752:$E$757,$B49,MAP!$N$752:$N$757)</f>
        <v>0</v>
      </c>
      <c r="J49" s="333">
        <f>SUMIF(MAP!$E$790:$E$795,$B49,MAP!$N$790:$N$795)</f>
        <v>0</v>
      </c>
      <c r="K49" s="212">
        <f>SUM(C49:J49)</f>
        <v>366</v>
      </c>
      <c r="L49" s="230">
        <f>+K49-'Note 17'!S32</f>
        <v>0</v>
      </c>
      <c r="M49" s="51"/>
      <c r="N49" s="51"/>
      <c r="O49" s="51"/>
    </row>
    <row r="50" spans="1:15" ht="25.5" x14ac:dyDescent="0.2">
      <c r="B50" s="148" t="s">
        <v>199</v>
      </c>
      <c r="C50" s="333">
        <f>SUMIF(MAP!$E$525:$E$530,$B50,MAP!$N$525:$N$530)</f>
        <v>0</v>
      </c>
      <c r="D50" s="333">
        <f>SUMIF(MAP!$E$562:$E$567,$B50,MAP!$N$562:$N$567)</f>
        <v>0</v>
      </c>
      <c r="E50" s="333">
        <f>SUMIF(MAP!$E$600:$E$605,$B50,MAP!$N$600:$N$605)</f>
        <v>0</v>
      </c>
      <c r="F50" s="333">
        <f>SUMIF(MAP!$E$638:$E$643,$B50,MAP!$N$638:$N$643)</f>
        <v>0</v>
      </c>
      <c r="G50" s="333">
        <f>SUMIF(MAP!$E$676:$E$681,$B50,MAP!$N$676:$N$681)</f>
        <v>0</v>
      </c>
      <c r="H50" s="333">
        <f>SUMIF(MAP!$E$714:$E$719,$B50,MAP!$N$714:$N$719)</f>
        <v>0</v>
      </c>
      <c r="I50" s="333">
        <f>SUMIF(MAP!$E$752:$E$757,$B50,MAP!$N$752:$N$757)</f>
        <v>0</v>
      </c>
      <c r="J50" s="333">
        <f>SUMIF(MAP!$E$790:$E$795,$B50,MAP!$N$790:$N$795)</f>
        <v>0</v>
      </c>
      <c r="K50" s="212">
        <f>SUM(C50:J50)</f>
        <v>0</v>
      </c>
      <c r="L50" s="206"/>
      <c r="M50" s="51"/>
      <c r="N50" s="51"/>
      <c r="O50" s="51"/>
    </row>
    <row r="51" spans="1:15" x14ac:dyDescent="0.2">
      <c r="B51" s="148" t="s">
        <v>1695</v>
      </c>
      <c r="C51" s="333">
        <f>SUMIF(MAP!$E$525:$E$530,$B51,MAP!$N$525:$N$530)</f>
        <v>0</v>
      </c>
      <c r="D51" s="333">
        <f>SUMIF(MAP!$E$562:$E$567,$B51,MAP!$N$562:$N$567)</f>
        <v>0</v>
      </c>
      <c r="E51" s="333">
        <f>SUMIF(MAP!$E$600:$E$605,$B51,MAP!$N$600:$N$605)</f>
        <v>0</v>
      </c>
      <c r="F51" s="333">
        <f>SUMIF(MAP!$E$638:$E$643,$B51,MAP!$N$638:$N$643)</f>
        <v>0</v>
      </c>
      <c r="G51" s="333">
        <f>SUMIF(MAP!$E$676:$E$681,$B51,MAP!$N$676:$N$681)</f>
        <v>0</v>
      </c>
      <c r="H51" s="333">
        <f>SUMIF(MAP!$E$714:$E$719,$B51,MAP!$N$714:$N$719)</f>
        <v>0</v>
      </c>
      <c r="I51" s="333">
        <f>SUMIF(MAP!$E$752:$E$757,$B51,MAP!$N$752:$N$757)</f>
        <v>0</v>
      </c>
      <c r="J51" s="333">
        <f>SUMIF(MAP!$E$790:$E$795,$B51,MAP!$N$790:$N$795)</f>
        <v>0</v>
      </c>
      <c r="K51" s="212">
        <f>SUM(C51:J51)</f>
        <v>0</v>
      </c>
      <c r="L51" s="206"/>
      <c r="M51" s="51"/>
      <c r="N51" s="51"/>
      <c r="O51" s="51"/>
    </row>
    <row r="52" spans="1:15" ht="13.5" thickBot="1" x14ac:dyDescent="0.25">
      <c r="B52" s="37" t="str">
        <f>"Carrying amount at"&amp;Update!$B$22</f>
        <v>Carrying amount at 31 March 2026</v>
      </c>
      <c r="C52" s="220">
        <f t="shared" ref="C52:K52" si="9">SUM(C48:C50)</f>
        <v>32712</v>
      </c>
      <c r="D52" s="220">
        <f t="shared" si="9"/>
        <v>3329</v>
      </c>
      <c r="E52" s="220">
        <f t="shared" si="9"/>
        <v>445</v>
      </c>
      <c r="F52" s="220">
        <f t="shared" si="9"/>
        <v>0</v>
      </c>
      <c r="G52" s="220">
        <f t="shared" si="9"/>
        <v>18772</v>
      </c>
      <c r="H52" s="220">
        <f t="shared" si="9"/>
        <v>22</v>
      </c>
      <c r="I52" s="220">
        <f t="shared" si="9"/>
        <v>62</v>
      </c>
      <c r="J52" s="220">
        <f t="shared" si="9"/>
        <v>0</v>
      </c>
      <c r="K52" s="220">
        <f t="shared" si="9"/>
        <v>55342</v>
      </c>
      <c r="L52" s="206"/>
      <c r="M52" s="51"/>
      <c r="N52" s="51"/>
      <c r="O52" s="51"/>
    </row>
    <row r="53" spans="1:15" x14ac:dyDescent="0.2">
      <c r="B53" s="37"/>
      <c r="C53" s="230">
        <f>C41-C52</f>
        <v>0</v>
      </c>
      <c r="D53" s="230">
        <f>D41-D52</f>
        <v>0</v>
      </c>
      <c r="E53" s="230">
        <f t="shared" ref="E53:K53" si="10">E41-E52</f>
        <v>0</v>
      </c>
      <c r="F53" s="230">
        <f t="shared" si="10"/>
        <v>0</v>
      </c>
      <c r="G53" s="230">
        <f t="shared" si="10"/>
        <v>0</v>
      </c>
      <c r="H53" s="230">
        <f t="shared" si="10"/>
        <v>0</v>
      </c>
      <c r="I53" s="230">
        <f t="shared" si="10"/>
        <v>0</v>
      </c>
      <c r="J53" s="230">
        <f t="shared" si="10"/>
        <v>0</v>
      </c>
      <c r="K53" s="230">
        <f t="shared" si="10"/>
        <v>0</v>
      </c>
      <c r="L53" s="206"/>
      <c r="M53" s="51"/>
      <c r="N53" s="51"/>
      <c r="O53" s="51"/>
    </row>
    <row r="54" spans="1:15" x14ac:dyDescent="0.2">
      <c r="B54" s="37"/>
      <c r="C54" s="122"/>
      <c r="D54" s="122"/>
      <c r="E54" s="122"/>
      <c r="F54" s="122"/>
      <c r="G54" s="122"/>
      <c r="H54" s="122"/>
      <c r="I54" s="122"/>
      <c r="J54" s="122"/>
      <c r="K54" s="219"/>
      <c r="L54" s="206"/>
      <c r="M54" s="51"/>
      <c r="N54" s="51"/>
      <c r="O54" s="51"/>
    </row>
    <row r="55" spans="1:15" x14ac:dyDescent="0.2">
      <c r="A55" s="209"/>
      <c r="B55" s="210"/>
      <c r="C55" s="221"/>
      <c r="D55" s="221"/>
      <c r="E55" s="221"/>
      <c r="F55" s="221"/>
      <c r="G55" s="221"/>
      <c r="H55" s="221"/>
      <c r="I55" s="221"/>
      <c r="J55" s="221"/>
      <c r="K55" s="222"/>
      <c r="L55" s="223"/>
      <c r="M55" s="51"/>
      <c r="N55" s="51"/>
      <c r="O55" s="51"/>
    </row>
    <row r="56" spans="1:15" x14ac:dyDescent="0.2">
      <c r="B56" s="37"/>
      <c r="C56" s="122"/>
      <c r="D56" s="122"/>
      <c r="E56" s="122"/>
      <c r="F56" s="122"/>
      <c r="G56" s="122"/>
      <c r="H56" s="122"/>
      <c r="I56" s="122"/>
      <c r="J56" s="122"/>
      <c r="K56" s="212"/>
      <c r="L56" s="51"/>
      <c r="M56" s="51"/>
      <c r="N56" s="51"/>
      <c r="O56" s="51"/>
    </row>
    <row r="57" spans="1:15" outlineLevel="1" x14ac:dyDescent="0.2">
      <c r="A57" s="229">
        <f>SUMIF(Update!$B$33:$B$106,B57,Update!$A$33:$A$106)</f>
        <v>5.1999999999999993</v>
      </c>
      <c r="B57" s="37" t="str">
        <f>"Consolidated property, plant and equipment "&amp;Update!$B$15</f>
        <v>Consolidated property, plant and equipment 2024-25</v>
      </c>
      <c r="C57" s="122"/>
      <c r="D57" s="122"/>
      <c r="E57" s="122"/>
      <c r="F57" s="122"/>
      <c r="G57" s="122"/>
      <c r="H57" s="122"/>
      <c r="I57" s="122"/>
      <c r="J57" s="122"/>
      <c r="K57" s="212"/>
      <c r="L57" s="51"/>
      <c r="M57" s="51"/>
      <c r="N57" s="51"/>
      <c r="O57" s="51"/>
    </row>
    <row r="58" spans="1:15" ht="51" outlineLevel="1" x14ac:dyDescent="0.2">
      <c r="B58" s="37"/>
      <c r="C58" s="224" t="s">
        <v>597</v>
      </c>
      <c r="D58" s="224" t="s">
        <v>196</v>
      </c>
      <c r="E58" s="224" t="s">
        <v>200</v>
      </c>
      <c r="F58" s="224" t="s">
        <v>201</v>
      </c>
      <c r="G58" s="224" t="s">
        <v>202</v>
      </c>
      <c r="H58" s="224" t="s">
        <v>203</v>
      </c>
      <c r="I58" s="224" t="s">
        <v>204</v>
      </c>
      <c r="J58" s="224" t="s">
        <v>455</v>
      </c>
      <c r="K58" s="224" t="s">
        <v>146</v>
      </c>
      <c r="L58" s="51"/>
      <c r="M58" s="51"/>
      <c r="N58" s="51"/>
      <c r="O58" s="51"/>
    </row>
    <row r="59" spans="1:15" outlineLevel="1" x14ac:dyDescent="0.2">
      <c r="C59" s="225" t="s">
        <v>462</v>
      </c>
      <c r="D59" s="225" t="s">
        <v>462</v>
      </c>
      <c r="E59" s="225" t="s">
        <v>462</v>
      </c>
      <c r="F59" s="225" t="s">
        <v>462</v>
      </c>
      <c r="G59" s="225" t="s">
        <v>462</v>
      </c>
      <c r="H59" s="225" t="s">
        <v>462</v>
      </c>
      <c r="I59" s="225" t="s">
        <v>462</v>
      </c>
      <c r="J59" s="225" t="s">
        <v>462</v>
      </c>
      <c r="K59" s="225" t="s">
        <v>462</v>
      </c>
      <c r="L59" s="51"/>
      <c r="M59" s="51"/>
      <c r="N59" s="51"/>
      <c r="O59" s="51"/>
    </row>
    <row r="60" spans="1:15" outlineLevel="1" x14ac:dyDescent="0.2">
      <c r="B60" s="37" t="s">
        <v>183</v>
      </c>
      <c r="C60" s="206"/>
      <c r="D60" s="206"/>
      <c r="E60" s="206"/>
      <c r="F60" s="206"/>
      <c r="G60" s="206"/>
      <c r="H60" s="206"/>
      <c r="I60" s="206"/>
      <c r="J60" s="206"/>
      <c r="K60" s="212"/>
      <c r="L60" s="51"/>
      <c r="M60" s="51"/>
      <c r="N60" s="51"/>
      <c r="O60" s="51"/>
    </row>
    <row r="61" spans="1:15" outlineLevel="1" x14ac:dyDescent="0.2">
      <c r="B61" s="34" t="str">
        <f>"At"&amp;Update!$B$18</f>
        <v>At 1 April 2024</v>
      </c>
      <c r="C61" s="767">
        <f>366368+1+30900</f>
        <v>397269</v>
      </c>
      <c r="D61" s="767">
        <f>3846082-30900</f>
        <v>3815182</v>
      </c>
      <c r="E61" s="767">
        <v>163894</v>
      </c>
      <c r="F61" s="767">
        <f>429093+1</f>
        <v>429094</v>
      </c>
      <c r="G61" s="767">
        <f>857901-2+2147</f>
        <v>860046</v>
      </c>
      <c r="H61" s="767">
        <v>146712</v>
      </c>
      <c r="I61" s="767">
        <v>51061</v>
      </c>
      <c r="J61" s="767">
        <v>268238</v>
      </c>
      <c r="K61" s="212">
        <f t="shared" ref="K61:K62" si="11">SUM(C61:J61)</f>
        <v>6131496</v>
      </c>
      <c r="L61" s="51"/>
      <c r="M61" s="51"/>
      <c r="N61" s="51"/>
      <c r="O61" s="51"/>
    </row>
    <row r="62" spans="1:15" outlineLevel="1" x14ac:dyDescent="0.2">
      <c r="B62" s="56" t="s">
        <v>435</v>
      </c>
      <c r="C62" s="767">
        <v>-30900</v>
      </c>
      <c r="D62" s="767">
        <v>30900</v>
      </c>
      <c r="E62" s="767">
        <v>0</v>
      </c>
      <c r="F62" s="767">
        <v>0</v>
      </c>
      <c r="G62" s="767">
        <f>0-2147</f>
        <v>-2147</v>
      </c>
      <c r="H62" s="767">
        <v>0</v>
      </c>
      <c r="I62" s="767">
        <v>0</v>
      </c>
      <c r="J62" s="767">
        <v>0</v>
      </c>
      <c r="K62" s="212">
        <f t="shared" si="11"/>
        <v>-2147</v>
      </c>
      <c r="L62" s="51"/>
      <c r="M62" s="51"/>
      <c r="N62" s="51"/>
      <c r="O62" s="51"/>
    </row>
    <row r="63" spans="1:15" outlineLevel="1" x14ac:dyDescent="0.2">
      <c r="B63" s="34" t="s">
        <v>442</v>
      </c>
      <c r="C63" s="215">
        <f t="shared" ref="C63:J63" si="12">SUM(C61:C62)</f>
        <v>366369</v>
      </c>
      <c r="D63" s="215">
        <f t="shared" si="12"/>
        <v>3846082</v>
      </c>
      <c r="E63" s="215">
        <f t="shared" si="12"/>
        <v>163894</v>
      </c>
      <c r="F63" s="215">
        <f t="shared" si="12"/>
        <v>429094</v>
      </c>
      <c r="G63" s="215">
        <f t="shared" si="12"/>
        <v>857899</v>
      </c>
      <c r="H63" s="215">
        <f t="shared" si="12"/>
        <v>146712</v>
      </c>
      <c r="I63" s="215">
        <f t="shared" si="12"/>
        <v>51061</v>
      </c>
      <c r="J63" s="215">
        <f t="shared" si="12"/>
        <v>268238</v>
      </c>
      <c r="K63" s="215">
        <f>SUM(C63:J63)</f>
        <v>6129349</v>
      </c>
      <c r="L63" s="122" t="str">
        <f>IF(SUM(C63:J63)=SUM(K61:K62),"OK","ERROR")</f>
        <v>OK</v>
      </c>
      <c r="M63" s="51"/>
      <c r="N63" s="51"/>
      <c r="O63" s="51"/>
    </row>
    <row r="64" spans="1:15" outlineLevel="1" x14ac:dyDescent="0.2">
      <c r="B64" s="34" t="s">
        <v>185</v>
      </c>
      <c r="C64" s="767">
        <v>697</v>
      </c>
      <c r="D64" s="767">
        <v>91736</v>
      </c>
      <c r="E64" s="767">
        <v>3381</v>
      </c>
      <c r="F64" s="767">
        <v>43434</v>
      </c>
      <c r="G64" s="767">
        <v>73575</v>
      </c>
      <c r="H64" s="767">
        <v>8848</v>
      </c>
      <c r="I64" s="767">
        <v>2462</v>
      </c>
      <c r="J64" s="767">
        <v>57112</v>
      </c>
      <c r="K64" s="212">
        <f t="shared" ref="K64:K72" si="13">SUM(C64:J64)</f>
        <v>281245</v>
      </c>
      <c r="L64" s="51"/>
      <c r="M64" s="51"/>
      <c r="N64" s="51"/>
      <c r="O64" s="51"/>
    </row>
    <row r="65" spans="2:15" outlineLevel="1" x14ac:dyDescent="0.2">
      <c r="B65" s="34" t="s">
        <v>437</v>
      </c>
      <c r="C65" s="767">
        <v>0</v>
      </c>
      <c r="D65" s="767">
        <v>629</v>
      </c>
      <c r="E65" s="767">
        <v>0</v>
      </c>
      <c r="F65" s="767">
        <v>37</v>
      </c>
      <c r="G65" s="767">
        <v>926</v>
      </c>
      <c r="H65" s="767">
        <v>37</v>
      </c>
      <c r="I65" s="767">
        <v>6</v>
      </c>
      <c r="J65" s="767">
        <v>240</v>
      </c>
      <c r="K65" s="212">
        <f t="shared" si="13"/>
        <v>1875</v>
      </c>
      <c r="L65" s="51"/>
      <c r="M65" s="51"/>
      <c r="N65" s="51"/>
      <c r="O65" s="51"/>
    </row>
    <row r="66" spans="2:15" outlineLevel="1" x14ac:dyDescent="0.2">
      <c r="B66" s="34" t="s">
        <v>191</v>
      </c>
      <c r="C66" s="767">
        <v>-500</v>
      </c>
      <c r="D66" s="767">
        <v>-4065</v>
      </c>
      <c r="E66" s="767">
        <v>0</v>
      </c>
      <c r="F66" s="767">
        <v>-8742</v>
      </c>
      <c r="G66" s="767">
        <v>-37369</v>
      </c>
      <c r="H66" s="767">
        <v>-4784</v>
      </c>
      <c r="I66" s="767">
        <v>-1998</v>
      </c>
      <c r="J66" s="767">
        <v>0</v>
      </c>
      <c r="K66" s="212">
        <f>SUM(C66:J66)</f>
        <v>-57458</v>
      </c>
      <c r="L66" s="51"/>
      <c r="M66" s="51"/>
      <c r="N66" s="51"/>
      <c r="O66" s="51"/>
    </row>
    <row r="67" spans="2:15" outlineLevel="1" x14ac:dyDescent="0.2">
      <c r="B67" s="34" t="s">
        <v>186</v>
      </c>
      <c r="C67" s="767">
        <v>-120</v>
      </c>
      <c r="D67" s="767">
        <v>130876</v>
      </c>
      <c r="E67" s="767">
        <v>269</v>
      </c>
      <c r="F67" s="767">
        <v>384</v>
      </c>
      <c r="G67" s="767">
        <v>375</v>
      </c>
      <c r="H67" s="767">
        <v>-112</v>
      </c>
      <c r="I67" s="767">
        <v>558</v>
      </c>
      <c r="J67" s="767">
        <v>-134821</v>
      </c>
      <c r="K67" s="212">
        <f t="shared" si="13"/>
        <v>-2591</v>
      </c>
      <c r="L67" s="51"/>
      <c r="M67" s="51"/>
      <c r="N67" s="51"/>
      <c r="O67" s="51"/>
    </row>
    <row r="68" spans="2:15" outlineLevel="1" x14ac:dyDescent="0.2">
      <c r="B68" s="34" t="s">
        <v>810</v>
      </c>
      <c r="C68" s="767">
        <v>5747</v>
      </c>
      <c r="D68" s="767">
        <v>17773</v>
      </c>
      <c r="E68" s="767">
        <v>74</v>
      </c>
      <c r="F68" s="767">
        <v>1</v>
      </c>
      <c r="G68" s="767">
        <v>-7</v>
      </c>
      <c r="H68" s="767">
        <v>0</v>
      </c>
      <c r="I68" s="767">
        <v>5</v>
      </c>
      <c r="J68" s="767">
        <v>0</v>
      </c>
      <c r="K68" s="212">
        <f t="shared" si="13"/>
        <v>23593</v>
      </c>
      <c r="L68" s="51"/>
      <c r="M68" s="51"/>
      <c r="N68" s="51"/>
      <c r="O68" s="51"/>
    </row>
    <row r="69" spans="2:15" ht="25.5" outlineLevel="1" x14ac:dyDescent="0.2">
      <c r="B69" s="41" t="s">
        <v>438</v>
      </c>
      <c r="C69" s="767">
        <v>3593</v>
      </c>
      <c r="D69" s="767">
        <v>-173298</v>
      </c>
      <c r="E69" s="767">
        <v>-10644</v>
      </c>
      <c r="F69" s="767">
        <v>0</v>
      </c>
      <c r="G69" s="767">
        <v>-2</v>
      </c>
      <c r="H69" s="767">
        <v>0</v>
      </c>
      <c r="I69" s="767">
        <v>0</v>
      </c>
      <c r="J69" s="767">
        <v>-70</v>
      </c>
      <c r="K69" s="212">
        <f t="shared" si="13"/>
        <v>-180421</v>
      </c>
      <c r="L69" s="51"/>
      <c r="M69" s="51"/>
      <c r="N69" s="51"/>
      <c r="O69" s="51"/>
    </row>
    <row r="70" spans="2:15" ht="25.5" outlineLevel="1" x14ac:dyDescent="0.2">
      <c r="B70" s="41" t="s">
        <v>193</v>
      </c>
      <c r="C70" s="767">
        <v>-1910</v>
      </c>
      <c r="D70" s="767">
        <v>-45728</v>
      </c>
      <c r="E70" s="767">
        <v>-2921</v>
      </c>
      <c r="F70" s="767">
        <v>-11</v>
      </c>
      <c r="G70" s="767">
        <v>-20082</v>
      </c>
      <c r="H70" s="767">
        <v>0</v>
      </c>
      <c r="I70" s="767">
        <v>0</v>
      </c>
      <c r="J70" s="767">
        <v>-27511</v>
      </c>
      <c r="K70" s="212">
        <f t="shared" si="13"/>
        <v>-98163</v>
      </c>
      <c r="L70" s="51"/>
      <c r="M70" s="51"/>
      <c r="N70" s="51"/>
      <c r="O70" s="51"/>
    </row>
    <row r="71" spans="2:15" outlineLevel="1" x14ac:dyDescent="0.2">
      <c r="B71" s="34" t="s">
        <v>187</v>
      </c>
      <c r="C71" s="767">
        <v>-600</v>
      </c>
      <c r="D71" s="767">
        <v>-64951</v>
      </c>
      <c r="E71" s="767">
        <v>-5186</v>
      </c>
      <c r="F71" s="767">
        <v>654</v>
      </c>
      <c r="G71" s="767">
        <v>279</v>
      </c>
      <c r="H71" s="767">
        <v>2259</v>
      </c>
      <c r="I71" s="767">
        <v>-350</v>
      </c>
      <c r="J71" s="767">
        <v>-29781</v>
      </c>
      <c r="K71" s="212">
        <f t="shared" si="13"/>
        <v>-97676</v>
      </c>
      <c r="L71" s="51"/>
      <c r="M71" s="51"/>
      <c r="N71" s="51"/>
      <c r="O71" s="51"/>
    </row>
    <row r="72" spans="2:15" outlineLevel="1" x14ac:dyDescent="0.2">
      <c r="B72" s="34" t="s">
        <v>188</v>
      </c>
      <c r="C72" s="767">
        <v>0</v>
      </c>
      <c r="D72" s="767">
        <v>3174</v>
      </c>
      <c r="E72" s="767">
        <v>0</v>
      </c>
      <c r="F72" s="767">
        <v>287</v>
      </c>
      <c r="G72" s="767">
        <v>4143</v>
      </c>
      <c r="H72" s="767">
        <v>4951</v>
      </c>
      <c r="I72" s="767">
        <v>1655</v>
      </c>
      <c r="J72" s="767">
        <v>0</v>
      </c>
      <c r="K72" s="212">
        <f t="shared" si="13"/>
        <v>14210</v>
      </c>
      <c r="L72" s="51"/>
      <c r="M72" s="51"/>
      <c r="N72" s="51"/>
      <c r="O72" s="51"/>
    </row>
    <row r="73" spans="2:15" outlineLevel="1" x14ac:dyDescent="0.2">
      <c r="B73" s="34" t="s">
        <v>189</v>
      </c>
      <c r="C73" s="767">
        <v>7462</v>
      </c>
      <c r="D73" s="767">
        <v>-168503</v>
      </c>
      <c r="E73" s="767">
        <v>-10745</v>
      </c>
      <c r="F73" s="767">
        <v>0</v>
      </c>
      <c r="G73" s="767">
        <v>-156</v>
      </c>
      <c r="H73" s="767">
        <v>-7</v>
      </c>
      <c r="I73" s="767">
        <v>0</v>
      </c>
      <c r="J73" s="767">
        <v>369</v>
      </c>
      <c r="K73" s="212">
        <f>SUM(C73:J73)</f>
        <v>-171580</v>
      </c>
      <c r="L73" s="51"/>
      <c r="M73" s="51"/>
      <c r="N73" s="51"/>
      <c r="O73" s="51"/>
    </row>
    <row r="74" spans="2:15" outlineLevel="1" x14ac:dyDescent="0.2">
      <c r="B74" s="166" t="str">
        <f>"At"&amp;Update!$B$24</f>
        <v>At 31 March 2025</v>
      </c>
      <c r="C74" s="208">
        <f>SUM(C63:C73)</f>
        <v>380738</v>
      </c>
      <c r="D74" s="208">
        <f t="shared" ref="D74:J74" si="14">SUM(D63:D73)</f>
        <v>3633725</v>
      </c>
      <c r="E74" s="208">
        <f t="shared" si="14"/>
        <v>138122</v>
      </c>
      <c r="F74" s="208">
        <f t="shared" si="14"/>
        <v>465138</v>
      </c>
      <c r="G74" s="208">
        <f t="shared" si="14"/>
        <v>879581</v>
      </c>
      <c r="H74" s="208">
        <f t="shared" si="14"/>
        <v>157904</v>
      </c>
      <c r="I74" s="208">
        <f t="shared" si="14"/>
        <v>53399</v>
      </c>
      <c r="J74" s="208">
        <f t="shared" si="14"/>
        <v>133776</v>
      </c>
      <c r="K74" s="208">
        <f>SUM(K63:K73)</f>
        <v>5842383</v>
      </c>
      <c r="L74" s="51"/>
      <c r="M74" s="51"/>
      <c r="N74" s="51"/>
      <c r="O74" s="51"/>
    </row>
    <row r="75" spans="2:15" outlineLevel="1" x14ac:dyDescent="0.2">
      <c r="C75" s="212"/>
      <c r="D75" s="212"/>
      <c r="E75" s="212"/>
      <c r="F75" s="212"/>
      <c r="G75" s="212"/>
      <c r="H75" s="212"/>
      <c r="I75" s="212"/>
      <c r="J75" s="212"/>
      <c r="K75" s="212"/>
      <c r="L75" s="51"/>
      <c r="M75" s="51"/>
      <c r="N75" s="51"/>
      <c r="O75" s="51"/>
    </row>
    <row r="76" spans="2:15" outlineLevel="1" x14ac:dyDescent="0.2">
      <c r="B76" s="37" t="s">
        <v>160</v>
      </c>
      <c r="C76" s="212"/>
      <c r="D76" s="212"/>
      <c r="E76" s="212"/>
      <c r="F76" s="212"/>
      <c r="G76" s="212"/>
      <c r="H76" s="212"/>
      <c r="I76" s="212"/>
      <c r="J76" s="212"/>
      <c r="K76" s="212"/>
      <c r="L76" s="206"/>
      <c r="M76" s="206"/>
      <c r="N76" s="206"/>
      <c r="O76" s="206"/>
    </row>
    <row r="77" spans="2:15" outlineLevel="1" x14ac:dyDescent="0.2">
      <c r="B77" s="34" t="str">
        <f>B61</f>
        <v>At 1 April 2024</v>
      </c>
      <c r="C77" s="767">
        <f>0+1236</f>
        <v>1236</v>
      </c>
      <c r="D77" s="767">
        <f>502112-1-1236</f>
        <v>500875</v>
      </c>
      <c r="E77" s="767">
        <f>23083-1</f>
        <v>23082</v>
      </c>
      <c r="F77" s="767">
        <v>294786</v>
      </c>
      <c r="G77" s="767">
        <f>573970+1+1827</f>
        <v>575798</v>
      </c>
      <c r="H77" s="767">
        <f>94268+1</f>
        <v>94269</v>
      </c>
      <c r="I77" s="767">
        <v>31590</v>
      </c>
      <c r="J77" s="767">
        <v>0</v>
      </c>
      <c r="K77" s="212">
        <f>SUM(C77:J77)</f>
        <v>1521636</v>
      </c>
      <c r="L77" s="51"/>
      <c r="M77" s="51"/>
      <c r="N77" s="51"/>
      <c r="O77" s="51"/>
    </row>
    <row r="78" spans="2:15" outlineLevel="1" x14ac:dyDescent="0.2">
      <c r="B78" s="56" t="s">
        <v>435</v>
      </c>
      <c r="C78" s="767">
        <v>-1236</v>
      </c>
      <c r="D78" s="767">
        <v>1236</v>
      </c>
      <c r="E78" s="767">
        <v>0</v>
      </c>
      <c r="F78" s="767">
        <v>0</v>
      </c>
      <c r="G78" s="767">
        <v>-1827</v>
      </c>
      <c r="H78" s="767">
        <v>0</v>
      </c>
      <c r="I78" s="767">
        <v>0</v>
      </c>
      <c r="J78" s="767">
        <v>0</v>
      </c>
      <c r="K78" s="212">
        <f>SUM(C78:J78)</f>
        <v>-1827</v>
      </c>
      <c r="L78" s="51"/>
      <c r="M78" s="51"/>
      <c r="N78" s="51"/>
      <c r="O78" s="51"/>
    </row>
    <row r="79" spans="2:15" outlineLevel="1" x14ac:dyDescent="0.2">
      <c r="B79" s="34" t="s">
        <v>442</v>
      </c>
      <c r="C79" s="215">
        <f t="shared" ref="C79:K79" si="15">SUM(C77:C78)</f>
        <v>0</v>
      </c>
      <c r="D79" s="215">
        <f t="shared" si="15"/>
        <v>502111</v>
      </c>
      <c r="E79" s="215">
        <f t="shared" si="15"/>
        <v>23082</v>
      </c>
      <c r="F79" s="215">
        <f t="shared" si="15"/>
        <v>294786</v>
      </c>
      <c r="G79" s="215">
        <f t="shared" si="15"/>
        <v>573971</v>
      </c>
      <c r="H79" s="215">
        <f t="shared" si="15"/>
        <v>94269</v>
      </c>
      <c r="I79" s="215">
        <f t="shared" si="15"/>
        <v>31590</v>
      </c>
      <c r="J79" s="215">
        <f t="shared" si="15"/>
        <v>0</v>
      </c>
      <c r="K79" s="215">
        <f t="shared" si="15"/>
        <v>1519809</v>
      </c>
      <c r="L79" s="122" t="str">
        <f>IF(SUM(C79:J79)=SUM(K77:K78),"OK","ERROR")</f>
        <v>OK</v>
      </c>
      <c r="M79" s="51"/>
      <c r="N79" s="51"/>
      <c r="O79" s="51"/>
    </row>
    <row r="80" spans="2:15" outlineLevel="1" x14ac:dyDescent="0.2">
      <c r="B80" s="34" t="s">
        <v>190</v>
      </c>
      <c r="C80" s="767">
        <v>0</v>
      </c>
      <c r="D80" s="767">
        <v>140651</v>
      </c>
      <c r="E80" s="767">
        <v>6286</v>
      </c>
      <c r="F80" s="767">
        <v>43483</v>
      </c>
      <c r="G80" s="767">
        <v>59736</v>
      </c>
      <c r="H80" s="767">
        <v>15194</v>
      </c>
      <c r="I80" s="767">
        <v>3760</v>
      </c>
      <c r="J80" s="767">
        <v>0</v>
      </c>
      <c r="K80" s="212">
        <f>SUM(C80:J80)</f>
        <v>269110</v>
      </c>
      <c r="L80" s="51"/>
      <c r="M80" s="51"/>
      <c r="N80" s="51"/>
      <c r="O80" s="51"/>
    </row>
    <row r="81" spans="2:15" outlineLevel="1" x14ac:dyDescent="0.2">
      <c r="B81" s="34" t="s">
        <v>191</v>
      </c>
      <c r="C81" s="767">
        <v>0</v>
      </c>
      <c r="D81" s="767">
        <v>-4060</v>
      </c>
      <c r="E81" s="767">
        <v>0</v>
      </c>
      <c r="F81" s="767">
        <v>-8738</v>
      </c>
      <c r="G81" s="767">
        <v>-37365</v>
      </c>
      <c r="H81" s="767">
        <v>-4740</v>
      </c>
      <c r="I81" s="767">
        <v>-1998</v>
      </c>
      <c r="J81" s="767">
        <v>0</v>
      </c>
      <c r="K81" s="212">
        <f>SUM(C81:J81)</f>
        <v>-56901</v>
      </c>
      <c r="L81" s="51"/>
      <c r="M81" s="51"/>
      <c r="N81" s="51"/>
      <c r="O81" s="51"/>
    </row>
    <row r="82" spans="2:15" outlineLevel="1" x14ac:dyDescent="0.2">
      <c r="B82" s="34" t="s">
        <v>186</v>
      </c>
      <c r="C82" s="767">
        <v>0</v>
      </c>
      <c r="D82" s="767">
        <v>-87</v>
      </c>
      <c r="E82" s="767">
        <v>0</v>
      </c>
      <c r="F82" s="767">
        <v>-148</v>
      </c>
      <c r="G82" s="767">
        <v>-12</v>
      </c>
      <c r="H82" s="767">
        <v>0</v>
      </c>
      <c r="I82" s="767">
        <v>0</v>
      </c>
      <c r="J82" s="767">
        <v>0</v>
      </c>
      <c r="K82" s="212">
        <f t="shared" ref="K82:K87" si="16">SUM(C82:J82)</f>
        <v>-247</v>
      </c>
      <c r="L82" s="51"/>
      <c r="M82" s="51"/>
      <c r="N82" s="51"/>
      <c r="O82" s="51"/>
    </row>
    <row r="83" spans="2:15" outlineLevel="1" x14ac:dyDescent="0.2">
      <c r="B83" s="34" t="s">
        <v>810</v>
      </c>
      <c r="C83" s="767">
        <v>0</v>
      </c>
      <c r="D83" s="767">
        <v>0</v>
      </c>
      <c r="E83" s="767">
        <v>0</v>
      </c>
      <c r="F83" s="767">
        <v>0</v>
      </c>
      <c r="G83" s="767">
        <v>0</v>
      </c>
      <c r="H83" s="767">
        <v>0</v>
      </c>
      <c r="I83" s="767">
        <v>0</v>
      </c>
      <c r="J83" s="767">
        <v>0</v>
      </c>
      <c r="K83" s="212">
        <f t="shared" si="16"/>
        <v>0</v>
      </c>
      <c r="L83" s="51"/>
      <c r="M83" s="51"/>
      <c r="N83" s="51"/>
      <c r="O83" s="51"/>
    </row>
    <row r="84" spans="2:15" ht="25.5" outlineLevel="1" x14ac:dyDescent="0.2">
      <c r="B84" s="41" t="s">
        <v>438</v>
      </c>
      <c r="C84" s="767">
        <v>0</v>
      </c>
      <c r="D84" s="767">
        <v>-110637</v>
      </c>
      <c r="E84" s="767">
        <v>-4556</v>
      </c>
      <c r="F84" s="767">
        <v>0</v>
      </c>
      <c r="G84" s="767">
        <v>0</v>
      </c>
      <c r="H84" s="767">
        <v>0</v>
      </c>
      <c r="I84" s="767">
        <v>0</v>
      </c>
      <c r="J84" s="767">
        <v>-44</v>
      </c>
      <c r="K84" s="212">
        <f t="shared" si="16"/>
        <v>-115237</v>
      </c>
      <c r="L84" s="122" t="str">
        <f>IF(ROUND(-K70+K85-'Note 6'!K67+'Note 6'!K82-'Note 5.4'!M18,0)=ROUND('Note 3a'!L28+'Note 3b &amp; 3c'!K27+'Notes 8 &amp; 9'!L57,0),"OK","ERROR")</f>
        <v>ERROR</v>
      </c>
      <c r="M84" s="51"/>
      <c r="N84" s="51"/>
      <c r="O84" s="51"/>
    </row>
    <row r="85" spans="2:15" ht="25.5" outlineLevel="1" x14ac:dyDescent="0.2">
      <c r="B85" s="41" t="s">
        <v>193</v>
      </c>
      <c r="C85" s="767">
        <v>0</v>
      </c>
      <c r="D85" s="767">
        <v>-2542</v>
      </c>
      <c r="E85" s="767">
        <v>-112</v>
      </c>
      <c r="F85" s="767">
        <v>0</v>
      </c>
      <c r="G85" s="767">
        <v>-6</v>
      </c>
      <c r="H85" s="767">
        <v>0</v>
      </c>
      <c r="I85" s="767">
        <v>0</v>
      </c>
      <c r="J85" s="767">
        <v>0</v>
      </c>
      <c r="K85" s="212">
        <f t="shared" si="16"/>
        <v>-2660</v>
      </c>
      <c r="L85" s="122"/>
      <c r="M85" s="51"/>
      <c r="N85" s="51"/>
      <c r="O85" s="51"/>
    </row>
    <row r="86" spans="2:15" outlineLevel="1" x14ac:dyDescent="0.2">
      <c r="B86" s="34" t="s">
        <v>187</v>
      </c>
      <c r="C86" s="767">
        <v>0</v>
      </c>
      <c r="D86" s="767">
        <v>-92029</v>
      </c>
      <c r="E86" s="767">
        <v>-5677</v>
      </c>
      <c r="F86" s="767">
        <v>0</v>
      </c>
      <c r="G86" s="767">
        <v>84</v>
      </c>
      <c r="H86" s="767">
        <v>-2455</v>
      </c>
      <c r="I86" s="767">
        <v>-104</v>
      </c>
      <c r="J86" s="767">
        <v>44</v>
      </c>
      <c r="K86" s="212">
        <f t="shared" si="16"/>
        <v>-100137</v>
      </c>
      <c r="L86" s="122"/>
      <c r="M86" s="51"/>
      <c r="N86" s="51"/>
      <c r="O86" s="51"/>
    </row>
    <row r="87" spans="2:15" outlineLevel="1" x14ac:dyDescent="0.2">
      <c r="B87" s="34" t="s">
        <v>188</v>
      </c>
      <c r="C87" s="767">
        <v>0</v>
      </c>
      <c r="D87" s="767">
        <v>209</v>
      </c>
      <c r="E87" s="767">
        <v>0</v>
      </c>
      <c r="F87" s="767">
        <v>144</v>
      </c>
      <c r="G87" s="767">
        <v>3219</v>
      </c>
      <c r="H87" s="767">
        <v>3287</v>
      </c>
      <c r="I87" s="767">
        <v>1083</v>
      </c>
      <c r="J87" s="767">
        <v>0</v>
      </c>
      <c r="K87" s="212">
        <f t="shared" si="16"/>
        <v>7942</v>
      </c>
      <c r="L87" s="122"/>
      <c r="M87" s="51"/>
      <c r="N87" s="51"/>
      <c r="O87" s="51"/>
    </row>
    <row r="88" spans="2:15" outlineLevel="1" x14ac:dyDescent="0.2">
      <c r="B88" s="34" t="s">
        <v>189</v>
      </c>
      <c r="C88" s="767">
        <v>0</v>
      </c>
      <c r="D88" s="767">
        <v>-374553</v>
      </c>
      <c r="E88" s="767">
        <v>-17369</v>
      </c>
      <c r="F88" s="767">
        <v>0</v>
      </c>
      <c r="G88" s="767">
        <v>-295</v>
      </c>
      <c r="H88" s="767">
        <v>-2342</v>
      </c>
      <c r="I88" s="767">
        <v>0</v>
      </c>
      <c r="J88" s="767">
        <v>0</v>
      </c>
      <c r="K88" s="212">
        <f>SUM(C88:J88)</f>
        <v>-394559</v>
      </c>
      <c r="L88" s="51"/>
      <c r="M88" s="51"/>
      <c r="N88" s="51"/>
      <c r="O88" s="51"/>
    </row>
    <row r="89" spans="2:15" ht="18.95" customHeight="1" outlineLevel="1" x14ac:dyDescent="0.2">
      <c r="B89" s="37" t="str">
        <f>B74</f>
        <v>At 31 March 2025</v>
      </c>
      <c r="C89" s="208">
        <f>SUM(C79:C88)</f>
        <v>0</v>
      </c>
      <c r="D89" s="208">
        <f t="shared" ref="D89:J89" si="17">SUM(D79:D88)</f>
        <v>59063</v>
      </c>
      <c r="E89" s="208">
        <f t="shared" si="17"/>
        <v>1654</v>
      </c>
      <c r="F89" s="208">
        <f t="shared" si="17"/>
        <v>329527</v>
      </c>
      <c r="G89" s="208">
        <f t="shared" si="17"/>
        <v>599332</v>
      </c>
      <c r="H89" s="208">
        <f t="shared" si="17"/>
        <v>103213</v>
      </c>
      <c r="I89" s="208">
        <f t="shared" si="17"/>
        <v>34331</v>
      </c>
      <c r="J89" s="208">
        <f t="shared" si="17"/>
        <v>0</v>
      </c>
      <c r="K89" s="208">
        <f>SUM(K79:K88)</f>
        <v>1127120</v>
      </c>
      <c r="L89" s="51"/>
      <c r="M89" s="51"/>
      <c r="N89" s="51"/>
      <c r="O89" s="51"/>
    </row>
    <row r="90" spans="2:15" outlineLevel="1" x14ac:dyDescent="0.2">
      <c r="C90" s="212"/>
      <c r="D90" s="212"/>
      <c r="E90" s="212"/>
      <c r="F90" s="212"/>
      <c r="G90" s="212"/>
      <c r="H90" s="212"/>
      <c r="I90" s="212"/>
      <c r="J90" s="212"/>
      <c r="K90" s="212"/>
      <c r="L90" s="51"/>
      <c r="M90" s="51"/>
      <c r="N90" s="51"/>
      <c r="O90" s="51"/>
    </row>
    <row r="91" spans="2:15" outlineLevel="1" x14ac:dyDescent="0.2">
      <c r="B91" s="34" t="s">
        <v>842</v>
      </c>
      <c r="C91" s="212"/>
      <c r="D91" s="212"/>
      <c r="E91" s="212"/>
      <c r="F91" s="212"/>
      <c r="G91" s="212"/>
      <c r="H91" s="212"/>
      <c r="I91" s="212"/>
      <c r="J91" s="212"/>
      <c r="K91" s="212"/>
      <c r="L91" s="51"/>
      <c r="M91" s="51"/>
      <c r="N91" s="51"/>
      <c r="O91" s="51"/>
    </row>
    <row r="92" spans="2:15" ht="13.5" outlineLevel="1" thickBot="1" x14ac:dyDescent="0.25">
      <c r="B92" s="156" t="str">
        <f>$B$89</f>
        <v>At 31 March 2025</v>
      </c>
      <c r="C92" s="217">
        <f>C74-C89</f>
        <v>380738</v>
      </c>
      <c r="D92" s="217">
        <f t="shared" ref="D92:I92" si="18">D74-D89</f>
        <v>3574662</v>
      </c>
      <c r="E92" s="217">
        <f t="shared" si="18"/>
        <v>136468</v>
      </c>
      <c r="F92" s="217">
        <f t="shared" si="18"/>
        <v>135611</v>
      </c>
      <c r="G92" s="217">
        <f t="shared" si="18"/>
        <v>280249</v>
      </c>
      <c r="H92" s="217">
        <f t="shared" si="18"/>
        <v>54691</v>
      </c>
      <c r="I92" s="217">
        <f t="shared" si="18"/>
        <v>19068</v>
      </c>
      <c r="J92" s="217">
        <f>J74-J89</f>
        <v>133776</v>
      </c>
      <c r="K92" s="217">
        <f>SUM(C92:J92)</f>
        <v>4715263</v>
      </c>
      <c r="L92" s="51"/>
      <c r="M92" s="51"/>
      <c r="N92" s="51"/>
      <c r="O92" s="51"/>
    </row>
    <row r="93" spans="2:15" outlineLevel="1" x14ac:dyDescent="0.2">
      <c r="C93" s="212"/>
      <c r="D93" s="212"/>
      <c r="E93" s="212"/>
      <c r="F93" s="212"/>
      <c r="G93" s="212"/>
      <c r="H93" s="212"/>
      <c r="I93" s="212"/>
      <c r="J93" s="212"/>
      <c r="K93" s="212"/>
      <c r="L93" s="51"/>
      <c r="M93" s="51"/>
      <c r="N93" s="51"/>
      <c r="O93" s="51"/>
    </row>
    <row r="94" spans="2:15" outlineLevel="1" x14ac:dyDescent="0.2">
      <c r="B94" s="34" t="s">
        <v>598</v>
      </c>
      <c r="C94" s="212"/>
      <c r="D94" s="212"/>
      <c r="E94" s="212"/>
      <c r="F94" s="212"/>
      <c r="G94" s="212"/>
      <c r="H94" s="212"/>
      <c r="I94" s="212"/>
      <c r="J94" s="212"/>
      <c r="K94" s="212"/>
      <c r="L94" s="51"/>
      <c r="M94" s="51"/>
      <c r="N94" s="51"/>
      <c r="O94" s="51"/>
    </row>
    <row r="95" spans="2:15" ht="13.5" outlineLevel="1" thickBot="1" x14ac:dyDescent="0.25">
      <c r="B95" s="156" t="str">
        <f>Update!$B$17</f>
        <v xml:space="preserve"> 31 March 2024</v>
      </c>
      <c r="C95" s="218">
        <f>C61-C77</f>
        <v>396033</v>
      </c>
      <c r="D95" s="218">
        <f t="shared" ref="D95:J95" si="19">D61-D77</f>
        <v>3314307</v>
      </c>
      <c r="E95" s="218">
        <f t="shared" si="19"/>
        <v>140812</v>
      </c>
      <c r="F95" s="218">
        <f t="shared" si="19"/>
        <v>134308</v>
      </c>
      <c r="G95" s="218">
        <f t="shared" si="19"/>
        <v>284248</v>
      </c>
      <c r="H95" s="218">
        <f t="shared" si="19"/>
        <v>52443</v>
      </c>
      <c r="I95" s="218">
        <f t="shared" si="19"/>
        <v>19471</v>
      </c>
      <c r="J95" s="218">
        <f t="shared" si="19"/>
        <v>268238</v>
      </c>
      <c r="K95" s="218">
        <f>SUM(C95:J95)</f>
        <v>4609860</v>
      </c>
      <c r="L95" s="51"/>
      <c r="M95" s="51"/>
      <c r="N95" s="51"/>
      <c r="O95" s="51"/>
    </row>
    <row r="96" spans="2:15" outlineLevel="1" x14ac:dyDescent="0.2">
      <c r="C96" s="231">
        <f>C95+C77-C61</f>
        <v>0</v>
      </c>
      <c r="D96" s="231">
        <f t="shared" ref="D96:J96" si="20">D95+D77-D61</f>
        <v>0</v>
      </c>
      <c r="E96" s="231">
        <f t="shared" si="20"/>
        <v>0</v>
      </c>
      <c r="F96" s="231">
        <f t="shared" si="20"/>
        <v>0</v>
      </c>
      <c r="G96" s="231">
        <f t="shared" si="20"/>
        <v>0</v>
      </c>
      <c r="H96" s="231">
        <f t="shared" si="20"/>
        <v>0</v>
      </c>
      <c r="I96" s="231">
        <f t="shared" si="20"/>
        <v>0</v>
      </c>
      <c r="J96" s="231">
        <f t="shared" si="20"/>
        <v>0</v>
      </c>
      <c r="K96" s="231">
        <f>K95+K77-K61</f>
        <v>0</v>
      </c>
      <c r="L96" s="51"/>
      <c r="M96" s="51"/>
      <c r="N96" s="51"/>
      <c r="O96" s="51"/>
    </row>
    <row r="97" spans="2:15" outlineLevel="1" x14ac:dyDescent="0.2">
      <c r="C97" s="212"/>
      <c r="D97" s="212"/>
      <c r="E97" s="212"/>
      <c r="F97" s="212"/>
      <c r="G97" s="212"/>
      <c r="H97" s="212"/>
      <c r="I97" s="212"/>
      <c r="J97" s="212"/>
      <c r="K97" s="212"/>
      <c r="L97" s="51"/>
      <c r="M97" s="51"/>
      <c r="N97" s="51"/>
      <c r="O97" s="51"/>
    </row>
    <row r="98" spans="2:15" outlineLevel="1" x14ac:dyDescent="0.2">
      <c r="B98" s="37" t="s">
        <v>194</v>
      </c>
      <c r="C98" s="212"/>
      <c r="D98" s="212"/>
      <c r="E98" s="212"/>
      <c r="F98" s="212"/>
      <c r="G98" s="212"/>
      <c r="H98" s="212"/>
      <c r="I98" s="212"/>
      <c r="J98" s="212"/>
      <c r="K98" s="212"/>
      <c r="L98" s="51"/>
      <c r="M98" s="51"/>
      <c r="N98" s="51"/>
      <c r="O98" s="51"/>
    </row>
    <row r="99" spans="2:15" outlineLevel="1" x14ac:dyDescent="0.2">
      <c r="B99" s="148" t="s">
        <v>197</v>
      </c>
      <c r="C99" s="767">
        <f>380640+1</f>
        <v>380641</v>
      </c>
      <c r="D99" s="767">
        <f>3226809+1</f>
        <v>3226810</v>
      </c>
      <c r="E99" s="767">
        <f>135743+1</f>
        <v>135744</v>
      </c>
      <c r="F99" s="767">
        <f>135610+1</f>
        <v>135611</v>
      </c>
      <c r="G99" s="767">
        <f>185866-3</f>
        <v>185863</v>
      </c>
      <c r="H99" s="767">
        <f>54692-1</f>
        <v>54691</v>
      </c>
      <c r="I99" s="767">
        <v>19068</v>
      </c>
      <c r="J99" s="767">
        <v>133776</v>
      </c>
      <c r="K99" s="212">
        <f>SUM(C99:J99)</f>
        <v>4272204</v>
      </c>
      <c r="L99" s="51"/>
      <c r="M99" s="51"/>
      <c r="N99" s="51"/>
      <c r="O99" s="51"/>
    </row>
    <row r="100" spans="2:15" outlineLevel="1" x14ac:dyDescent="0.2">
      <c r="B100" s="148" t="s">
        <v>198</v>
      </c>
      <c r="C100" s="767">
        <v>97</v>
      </c>
      <c r="D100" s="767">
        <v>40533</v>
      </c>
      <c r="E100" s="767">
        <v>724</v>
      </c>
      <c r="F100" s="767">
        <v>0</v>
      </c>
      <c r="G100" s="767">
        <v>85168</v>
      </c>
      <c r="H100" s="767">
        <v>0</v>
      </c>
      <c r="I100" s="767">
        <v>0</v>
      </c>
      <c r="J100" s="767">
        <v>0</v>
      </c>
      <c r="K100" s="212">
        <f>SUM(C100:J100)</f>
        <v>126522</v>
      </c>
      <c r="L100" s="51"/>
      <c r="M100" s="51"/>
      <c r="N100" s="51"/>
      <c r="O100" s="51"/>
    </row>
    <row r="101" spans="2:15" ht="25.5" outlineLevel="1" x14ac:dyDescent="0.2">
      <c r="B101" s="148" t="s">
        <v>199</v>
      </c>
      <c r="C101" s="767">
        <v>0</v>
      </c>
      <c r="D101" s="767">
        <v>307319</v>
      </c>
      <c r="E101" s="767">
        <v>0</v>
      </c>
      <c r="F101" s="767">
        <v>0</v>
      </c>
      <c r="G101" s="767">
        <v>9218</v>
      </c>
      <c r="H101" s="767">
        <v>0</v>
      </c>
      <c r="I101" s="767">
        <v>0</v>
      </c>
      <c r="J101" s="767">
        <v>0</v>
      </c>
      <c r="K101" s="212">
        <f>SUM(C101:J101)</f>
        <v>316537</v>
      </c>
      <c r="L101" s="51"/>
      <c r="M101" s="51"/>
      <c r="N101" s="51"/>
      <c r="O101" s="51"/>
    </row>
    <row r="102" spans="2:15" outlineLevel="1" x14ac:dyDescent="0.2">
      <c r="B102" s="148" t="s">
        <v>1695</v>
      </c>
      <c r="C102" s="767">
        <v>0</v>
      </c>
      <c r="D102" s="767">
        <v>0</v>
      </c>
      <c r="E102" s="767">
        <v>0</v>
      </c>
      <c r="F102" s="767">
        <v>0</v>
      </c>
      <c r="G102" s="767">
        <v>0</v>
      </c>
      <c r="H102" s="767">
        <v>0</v>
      </c>
      <c r="I102" s="767">
        <v>0</v>
      </c>
      <c r="J102" s="767">
        <v>0</v>
      </c>
      <c r="K102" s="212">
        <f>SUM(C102:J102)</f>
        <v>0</v>
      </c>
      <c r="L102" s="51"/>
      <c r="M102" s="51"/>
      <c r="N102" s="51"/>
      <c r="O102" s="51"/>
    </row>
    <row r="103" spans="2:15" ht="13.5" outlineLevel="1" thickBot="1" x14ac:dyDescent="0.25">
      <c r="B103" s="37" t="str">
        <f>"Carrying amount at"&amp;Update!$B$24</f>
        <v>Carrying amount at 31 March 2025</v>
      </c>
      <c r="C103" s="220">
        <f>SUM(C99:C102)</f>
        <v>380738</v>
      </c>
      <c r="D103" s="220">
        <f t="shared" ref="D103:J103" si="21">SUM(D99:D101)</f>
        <v>3574662</v>
      </c>
      <c r="E103" s="220">
        <f t="shared" si="21"/>
        <v>136468</v>
      </c>
      <c r="F103" s="220">
        <f t="shared" si="21"/>
        <v>135611</v>
      </c>
      <c r="G103" s="220">
        <f t="shared" si="21"/>
        <v>280249</v>
      </c>
      <c r="H103" s="220">
        <f t="shared" si="21"/>
        <v>54691</v>
      </c>
      <c r="I103" s="220">
        <f t="shared" si="21"/>
        <v>19068</v>
      </c>
      <c r="J103" s="220">
        <f t="shared" si="21"/>
        <v>133776</v>
      </c>
      <c r="K103" s="220">
        <f>SUM(K99:K101)</f>
        <v>4715263</v>
      </c>
      <c r="L103" s="51"/>
      <c r="M103" s="51"/>
      <c r="N103" s="51"/>
      <c r="O103" s="51"/>
    </row>
    <row r="104" spans="2:15" outlineLevel="1" x14ac:dyDescent="0.2">
      <c r="B104" s="37"/>
      <c r="C104" s="231">
        <f>C92-C103</f>
        <v>0</v>
      </c>
      <c r="D104" s="231">
        <f t="shared" ref="D104:K104" si="22">D92-D103</f>
        <v>0</v>
      </c>
      <c r="E104" s="231">
        <f t="shared" si="22"/>
        <v>0</v>
      </c>
      <c r="F104" s="231">
        <f t="shared" si="22"/>
        <v>0</v>
      </c>
      <c r="G104" s="231">
        <f t="shared" si="22"/>
        <v>0</v>
      </c>
      <c r="H104" s="231">
        <f t="shared" si="22"/>
        <v>0</v>
      </c>
      <c r="I104" s="231">
        <f t="shared" si="22"/>
        <v>0</v>
      </c>
      <c r="J104" s="231">
        <f t="shared" si="22"/>
        <v>0</v>
      </c>
      <c r="K104" s="231">
        <f t="shared" si="22"/>
        <v>0</v>
      </c>
      <c r="L104" s="51"/>
      <c r="M104" s="51"/>
      <c r="N104" s="51"/>
      <c r="O104" s="51"/>
    </row>
    <row r="105" spans="2:15" outlineLevel="1" x14ac:dyDescent="0.2">
      <c r="B105" s="37"/>
      <c r="C105" s="219"/>
      <c r="D105" s="219"/>
      <c r="E105" s="219"/>
      <c r="F105" s="219"/>
      <c r="G105" s="219"/>
      <c r="H105" s="219"/>
      <c r="I105" s="219"/>
      <c r="J105" s="219"/>
      <c r="K105" s="212"/>
      <c r="L105" s="51"/>
      <c r="M105" s="51"/>
      <c r="N105" s="51"/>
      <c r="O105" s="51"/>
    </row>
    <row r="106" spans="2:15" outlineLevel="1" x14ac:dyDescent="0.2">
      <c r="B106" s="37" t="s">
        <v>194</v>
      </c>
      <c r="C106" s="212"/>
      <c r="D106" s="212"/>
      <c r="E106" s="212"/>
      <c r="F106" s="212"/>
      <c r="G106" s="212"/>
      <c r="H106" s="212"/>
      <c r="I106" s="212"/>
      <c r="J106" s="212"/>
      <c r="K106" s="212"/>
      <c r="L106" s="51"/>
      <c r="M106" s="51"/>
      <c r="N106" s="51"/>
      <c r="O106" s="51"/>
    </row>
    <row r="107" spans="2:15" outlineLevel="1" x14ac:dyDescent="0.2">
      <c r="B107" s="34" t="s">
        <v>443</v>
      </c>
      <c r="C107" s="212">
        <f>366368+1</f>
        <v>366369</v>
      </c>
      <c r="D107" s="212">
        <f>2999399</f>
        <v>2999399</v>
      </c>
      <c r="E107" s="212">
        <v>140121</v>
      </c>
      <c r="F107" s="212">
        <v>134308</v>
      </c>
      <c r="G107" s="212">
        <f>189379</f>
        <v>189379</v>
      </c>
      <c r="H107" s="212">
        <v>52443</v>
      </c>
      <c r="I107" s="212">
        <v>19471</v>
      </c>
      <c r="J107" s="212">
        <v>268238</v>
      </c>
      <c r="K107" s="212">
        <f>K61-K77</f>
        <v>4609860</v>
      </c>
      <c r="L107" s="51"/>
      <c r="M107" s="51"/>
      <c r="N107" s="51"/>
      <c r="O107" s="51"/>
    </row>
    <row r="108" spans="2:15" outlineLevel="1" x14ac:dyDescent="0.2">
      <c r="B108" s="34" t="s">
        <v>444</v>
      </c>
      <c r="C108" s="767">
        <f>29665-1</f>
        <v>29664</v>
      </c>
      <c r="D108" s="767">
        <f>9991</f>
        <v>9991</v>
      </c>
      <c r="E108" s="767">
        <v>691</v>
      </c>
      <c r="F108" s="767">
        <v>0</v>
      </c>
      <c r="G108" s="767">
        <v>84546</v>
      </c>
      <c r="H108" s="767">
        <v>0</v>
      </c>
      <c r="I108" s="767">
        <v>0</v>
      </c>
      <c r="J108" s="767">
        <v>0</v>
      </c>
      <c r="K108" s="212">
        <v>0</v>
      </c>
      <c r="L108" s="51"/>
      <c r="M108" s="51"/>
      <c r="N108" s="51"/>
      <c r="O108" s="51"/>
    </row>
    <row r="109" spans="2:15" ht="25.5" outlineLevel="1" x14ac:dyDescent="0.2">
      <c r="B109" s="148" t="s">
        <v>199</v>
      </c>
      <c r="C109" s="767">
        <v>0</v>
      </c>
      <c r="D109" s="767">
        <v>304917</v>
      </c>
      <c r="E109" s="767">
        <v>0</v>
      </c>
      <c r="F109" s="767">
        <v>0</v>
      </c>
      <c r="G109" s="767">
        <v>10323</v>
      </c>
      <c r="H109" s="767">
        <v>0</v>
      </c>
      <c r="I109" s="767">
        <v>0</v>
      </c>
      <c r="J109" s="767">
        <v>0</v>
      </c>
      <c r="K109" s="212">
        <v>0</v>
      </c>
      <c r="L109" s="51"/>
      <c r="M109" s="51"/>
      <c r="N109" s="51"/>
      <c r="O109" s="51"/>
    </row>
    <row r="110" spans="2:15" outlineLevel="1" x14ac:dyDescent="0.2">
      <c r="B110" s="148" t="s">
        <v>1695</v>
      </c>
      <c r="C110" s="767">
        <v>0</v>
      </c>
      <c r="D110" s="767">
        <v>0</v>
      </c>
      <c r="E110" s="767">
        <v>0</v>
      </c>
      <c r="F110" s="767">
        <v>0</v>
      </c>
      <c r="G110" s="767">
        <v>0</v>
      </c>
      <c r="H110" s="767">
        <v>0</v>
      </c>
      <c r="I110" s="767">
        <v>0</v>
      </c>
      <c r="J110" s="767">
        <v>0</v>
      </c>
      <c r="K110" s="212"/>
      <c r="L110" s="51"/>
      <c r="M110" s="51"/>
      <c r="N110" s="51"/>
      <c r="O110" s="51"/>
    </row>
    <row r="111" spans="2:15" ht="13.5" outlineLevel="1" thickBot="1" x14ac:dyDescent="0.25">
      <c r="B111" s="37" t="str">
        <f>"Carrying amount at"&amp;Update!$B$17</f>
        <v>Carrying amount at 31 March 2024</v>
      </c>
      <c r="C111" s="220">
        <f t="shared" ref="C111:K111" si="23">SUM(C107:C109)</f>
        <v>396033</v>
      </c>
      <c r="D111" s="220">
        <f t="shared" si="23"/>
        <v>3314307</v>
      </c>
      <c r="E111" s="220">
        <f t="shared" si="23"/>
        <v>140812</v>
      </c>
      <c r="F111" s="220">
        <f t="shared" si="23"/>
        <v>134308</v>
      </c>
      <c r="G111" s="220">
        <f t="shared" si="23"/>
        <v>284248</v>
      </c>
      <c r="H111" s="220">
        <f t="shared" si="23"/>
        <v>52443</v>
      </c>
      <c r="I111" s="220">
        <f t="shared" si="23"/>
        <v>19471</v>
      </c>
      <c r="J111" s="220">
        <f t="shared" si="23"/>
        <v>268238</v>
      </c>
      <c r="K111" s="220">
        <f t="shared" si="23"/>
        <v>4609860</v>
      </c>
      <c r="L111" s="51"/>
      <c r="M111" s="51"/>
      <c r="N111" s="51"/>
      <c r="O111" s="51"/>
    </row>
    <row r="112" spans="2:15" outlineLevel="1" x14ac:dyDescent="0.2">
      <c r="B112" s="37"/>
      <c r="C112" s="231">
        <f>C61-C77-C111</f>
        <v>0</v>
      </c>
      <c r="D112" s="231">
        <f>D61-D77-D111</f>
        <v>0</v>
      </c>
      <c r="E112" s="231">
        <f t="shared" ref="E112:K112" si="24">E61-E77-E111</f>
        <v>0</v>
      </c>
      <c r="F112" s="231">
        <f t="shared" si="24"/>
        <v>0</v>
      </c>
      <c r="G112" s="231">
        <f>G61-G77-G111</f>
        <v>0</v>
      </c>
      <c r="H112" s="231">
        <f t="shared" si="24"/>
        <v>0</v>
      </c>
      <c r="I112" s="231">
        <f t="shared" si="24"/>
        <v>0</v>
      </c>
      <c r="J112" s="231">
        <f t="shared" si="24"/>
        <v>0</v>
      </c>
      <c r="K112" s="231">
        <f t="shared" si="24"/>
        <v>0</v>
      </c>
      <c r="L112" s="51"/>
      <c r="M112" s="51"/>
      <c r="N112" s="51"/>
      <c r="O112" s="51"/>
    </row>
    <row r="113" spans="1:15" x14ac:dyDescent="0.2">
      <c r="B113" s="37"/>
      <c r="C113" s="219"/>
      <c r="D113" s="219"/>
      <c r="E113" s="219"/>
      <c r="F113" s="219"/>
      <c r="G113" s="219"/>
      <c r="H113" s="219"/>
      <c r="I113" s="219"/>
      <c r="J113" s="219"/>
      <c r="K113" s="212"/>
      <c r="L113" s="51"/>
      <c r="M113" s="51"/>
      <c r="N113" s="51"/>
      <c r="O113" s="51"/>
    </row>
    <row r="114" spans="1:15" x14ac:dyDescent="0.2">
      <c r="A114" s="229">
        <f>SUMIF(Update!$B$33:$B$106,B114,Update!$A$33:$A$106)</f>
        <v>5.2999999999999989</v>
      </c>
      <c r="B114" s="37" t="s">
        <v>599</v>
      </c>
      <c r="C114" s="225"/>
      <c r="D114" s="225"/>
      <c r="E114" s="212"/>
      <c r="F114" s="212"/>
      <c r="G114" s="212"/>
      <c r="H114" s="212"/>
      <c r="I114" s="212"/>
      <c r="J114" s="212"/>
      <c r="K114" s="212"/>
      <c r="L114" s="51"/>
      <c r="M114" s="51"/>
      <c r="N114" s="51"/>
      <c r="O114" s="51"/>
    </row>
    <row r="115" spans="1:15" x14ac:dyDescent="0.2">
      <c r="B115" s="34" t="s">
        <v>600</v>
      </c>
      <c r="C115" s="212"/>
      <c r="D115" s="212"/>
      <c r="E115" s="212"/>
      <c r="F115" s="212"/>
      <c r="G115" s="212"/>
      <c r="H115" s="212"/>
      <c r="I115" s="212"/>
      <c r="J115" s="212"/>
      <c r="K115" s="212"/>
      <c r="L115" s="51"/>
      <c r="M115" s="51"/>
      <c r="N115" s="51"/>
      <c r="O115" s="51"/>
    </row>
    <row r="116" spans="1:15" x14ac:dyDescent="0.2">
      <c r="C116" s="212"/>
      <c r="D116" s="212"/>
      <c r="E116" s="212"/>
      <c r="F116" s="212"/>
      <c r="G116" s="212"/>
      <c r="H116" s="212"/>
      <c r="I116" s="212"/>
      <c r="J116" s="212"/>
      <c r="K116" s="212"/>
      <c r="L116" s="51"/>
      <c r="M116" s="51"/>
      <c r="N116" s="51"/>
      <c r="O116" s="51"/>
    </row>
    <row r="117" spans="1:15" x14ac:dyDescent="0.2">
      <c r="B117" s="34" t="s">
        <v>1698</v>
      </c>
      <c r="C117" s="333">
        <f>ROUND(MAP!$T$523,0)-C118</f>
        <v>32712</v>
      </c>
      <c r="D117" s="333">
        <f>ROUND(MAP!$T$560,0)-D118</f>
        <v>3329</v>
      </c>
      <c r="E117" s="333">
        <f>ROUND(MAP!$T$598,0)-E118</f>
        <v>445</v>
      </c>
      <c r="F117" s="333">
        <f>ROUND(MAP!$T$636,0)-F118</f>
        <v>0</v>
      </c>
      <c r="G117" s="333">
        <f>ROUND(MAP!$T$674,0)-G118</f>
        <v>18772</v>
      </c>
      <c r="H117" s="333">
        <f>ROUND(MAP!$T$712,0)-H118</f>
        <v>22</v>
      </c>
      <c r="I117" s="333">
        <f>ROUND(MAP!$T$750,0)-I118</f>
        <v>62</v>
      </c>
      <c r="J117" s="333">
        <f>ROUND(MAP!$T$788,0)-J118</f>
        <v>0</v>
      </c>
      <c r="K117" s="212">
        <f>SUM(C117:J117)</f>
        <v>55342</v>
      </c>
      <c r="L117" s="51"/>
      <c r="M117" s="51"/>
      <c r="N117" s="51"/>
      <c r="O117" s="51"/>
    </row>
    <row r="118" spans="1:15" x14ac:dyDescent="0.2">
      <c r="B118" s="34" t="s">
        <v>478</v>
      </c>
      <c r="C118" s="333">
        <f>ROUND(MAP!$X$523+MAP!$Y$523,0)</f>
        <v>0</v>
      </c>
      <c r="D118" s="333">
        <f>ROUND(MAP!$X$560+MAP!$Y$560,0)</f>
        <v>0</v>
      </c>
      <c r="E118" s="333">
        <f>ROUND(MAP!$X$598+MAP!$Y$598,0)</f>
        <v>0</v>
      </c>
      <c r="F118" s="333">
        <f>ROUND(MAP!$X$636+MAP!$Y$636,0)</f>
        <v>0</v>
      </c>
      <c r="G118" s="333">
        <f>ROUND(MAP!$X$674+MAP!$Y$674,0)</f>
        <v>0</v>
      </c>
      <c r="H118" s="333">
        <f>ROUND(MAP!$X$712+MAP!$Y$712,0)</f>
        <v>0</v>
      </c>
      <c r="I118" s="333">
        <f>ROUND(MAP!$X$750+MAP!$Y$750,0)</f>
        <v>0</v>
      </c>
      <c r="J118" s="333">
        <f>ROUND(MAP!$X$788+MAP!$Y$788,0)</f>
        <v>0</v>
      </c>
      <c r="K118" s="212">
        <f>SUM(C118:J118)</f>
        <v>0</v>
      </c>
      <c r="L118" s="51"/>
      <c r="M118" s="51"/>
      <c r="N118" s="51"/>
      <c r="O118" s="51"/>
    </row>
    <row r="119" spans="1:15" x14ac:dyDescent="0.2">
      <c r="B119" s="34" t="s">
        <v>1699</v>
      </c>
      <c r="C119" s="333">
        <f>ROUND(SUM(MAP!$Z$523:$AV$523),0)</f>
        <v>0</v>
      </c>
      <c r="D119" s="333">
        <f>ROUND(SUM(MAP!$Z$560:$AV$560),0)</f>
        <v>0</v>
      </c>
      <c r="E119" s="333">
        <f>ROUND(SUM(MAP!$Z$598:$AV$598),0)</f>
        <v>0</v>
      </c>
      <c r="F119" s="333">
        <f>ROUND(SUM(MAP!$Z$636:$AV$636),0)</f>
        <v>0</v>
      </c>
      <c r="G119" s="333">
        <f>ROUND(SUM(MAP!$Z$674:$AV$674),0)</f>
        <v>0</v>
      </c>
      <c r="H119" s="333">
        <f>ROUND(SUM(MAP!$Z$712:$AV$712),0)</f>
        <v>0</v>
      </c>
      <c r="I119" s="333">
        <f>ROUND(SUM(MAP!$Z$750:$AV$750),0)</f>
        <v>0</v>
      </c>
      <c r="J119" s="333">
        <f>ROUND(SUM(MAP!$Z$788:$AV$788),0)</f>
        <v>0</v>
      </c>
      <c r="K119" s="212">
        <f>SUM(C119:J119)</f>
        <v>0</v>
      </c>
      <c r="L119" s="51"/>
      <c r="M119" s="51"/>
      <c r="N119" s="51"/>
      <c r="O119" s="51"/>
    </row>
    <row r="120" spans="1:15" ht="13.5" thickBot="1" x14ac:dyDescent="0.25">
      <c r="B120" s="37" t="str">
        <f>$B$52</f>
        <v>Carrying amount at 31 March 2026</v>
      </c>
      <c r="C120" s="226">
        <f t="shared" ref="C120:K120" si="25">SUM(C117:C119)</f>
        <v>32712</v>
      </c>
      <c r="D120" s="226">
        <f t="shared" si="25"/>
        <v>3329</v>
      </c>
      <c r="E120" s="226">
        <f t="shared" si="25"/>
        <v>445</v>
      </c>
      <c r="F120" s="226">
        <f t="shared" si="25"/>
        <v>0</v>
      </c>
      <c r="G120" s="226">
        <f t="shared" si="25"/>
        <v>18772</v>
      </c>
      <c r="H120" s="226">
        <f t="shared" si="25"/>
        <v>22</v>
      </c>
      <c r="I120" s="226">
        <f t="shared" si="25"/>
        <v>62</v>
      </c>
      <c r="J120" s="226">
        <f t="shared" si="25"/>
        <v>0</v>
      </c>
      <c r="K120" s="226">
        <f t="shared" si="25"/>
        <v>55342</v>
      </c>
      <c r="L120" s="51"/>
      <c r="M120" s="51"/>
      <c r="N120" s="51"/>
      <c r="O120" s="51"/>
    </row>
    <row r="121" spans="1:15" x14ac:dyDescent="0.2">
      <c r="C121" s="227">
        <f t="shared" ref="C121:J121" si="26">C120-C41</f>
        <v>0</v>
      </c>
      <c r="D121" s="227">
        <f t="shared" si="26"/>
        <v>0</v>
      </c>
      <c r="E121" s="227">
        <f t="shared" si="26"/>
        <v>0</v>
      </c>
      <c r="F121" s="227">
        <f t="shared" si="26"/>
        <v>0</v>
      </c>
      <c r="G121" s="227">
        <f t="shared" si="26"/>
        <v>0</v>
      </c>
      <c r="H121" s="227">
        <f t="shared" si="26"/>
        <v>0</v>
      </c>
      <c r="I121" s="227">
        <f t="shared" si="26"/>
        <v>0</v>
      </c>
      <c r="J121" s="227">
        <f t="shared" si="26"/>
        <v>0</v>
      </c>
      <c r="K121" s="231">
        <f>K120-K52</f>
        <v>0</v>
      </c>
      <c r="L121" s="51"/>
      <c r="M121" s="51"/>
      <c r="N121" s="51"/>
      <c r="O121" s="51"/>
    </row>
    <row r="122" spans="1:15" x14ac:dyDescent="0.2">
      <c r="C122" s="212"/>
      <c r="D122" s="212"/>
      <c r="E122" s="212"/>
      <c r="F122" s="212"/>
      <c r="G122" s="212"/>
      <c r="H122" s="212"/>
      <c r="I122" s="212"/>
      <c r="J122" s="212"/>
      <c r="K122" s="219"/>
      <c r="L122" s="51"/>
      <c r="M122" s="51"/>
      <c r="N122" s="51"/>
      <c r="O122" s="51"/>
    </row>
    <row r="123" spans="1:15" outlineLevel="1" x14ac:dyDescent="0.2">
      <c r="B123" s="34" t="s">
        <v>1698</v>
      </c>
      <c r="C123" s="767">
        <v>32712</v>
      </c>
      <c r="D123" s="767">
        <v>3329</v>
      </c>
      <c r="E123" s="767">
        <v>445</v>
      </c>
      <c r="F123" s="767">
        <v>0</v>
      </c>
      <c r="G123" s="767">
        <v>18772</v>
      </c>
      <c r="H123" s="767">
        <v>22</v>
      </c>
      <c r="I123" s="767">
        <v>62</v>
      </c>
      <c r="J123" s="767">
        <v>0</v>
      </c>
      <c r="K123" s="212">
        <f>SUM(C123:J123)</f>
        <v>55342</v>
      </c>
      <c r="L123" s="51"/>
      <c r="M123" s="51"/>
      <c r="N123" s="51"/>
      <c r="O123" s="51"/>
    </row>
    <row r="124" spans="1:15" outlineLevel="1" x14ac:dyDescent="0.2">
      <c r="B124" s="34" t="s">
        <v>478</v>
      </c>
      <c r="C124" s="767">
        <v>3800</v>
      </c>
      <c r="D124" s="767">
        <v>9170</v>
      </c>
      <c r="E124" s="767">
        <v>0</v>
      </c>
      <c r="F124" s="767">
        <v>7809</v>
      </c>
      <c r="G124" s="767">
        <v>0</v>
      </c>
      <c r="H124" s="767">
        <v>0</v>
      </c>
      <c r="I124" s="767">
        <v>9</v>
      </c>
      <c r="J124" s="767">
        <v>335</v>
      </c>
      <c r="K124" s="212">
        <f>SUM(C124:J124)</f>
        <v>21123</v>
      </c>
      <c r="L124" s="51"/>
      <c r="M124" s="51"/>
      <c r="N124" s="51"/>
      <c r="O124" s="51"/>
    </row>
    <row r="125" spans="1:15" outlineLevel="1" x14ac:dyDescent="0.2">
      <c r="B125" s="34" t="s">
        <v>1699</v>
      </c>
      <c r="C125" s="767">
        <v>344225</v>
      </c>
      <c r="D125" s="767">
        <v>3562162</v>
      </c>
      <c r="E125" s="767">
        <v>136022</v>
      </c>
      <c r="F125" s="767">
        <v>127801</v>
      </c>
      <c r="G125" s="767">
        <v>261480</v>
      </c>
      <c r="H125" s="767">
        <v>54670</v>
      </c>
      <c r="I125" s="767">
        <v>18997</v>
      </c>
      <c r="J125" s="767">
        <v>133441</v>
      </c>
      <c r="K125" s="212">
        <f>SUM(C125:J125)</f>
        <v>4638798</v>
      </c>
      <c r="L125" s="51"/>
      <c r="M125" s="51"/>
      <c r="N125" s="51"/>
      <c r="O125" s="51"/>
    </row>
    <row r="126" spans="1:15" ht="13.5" outlineLevel="1" thickBot="1" x14ac:dyDescent="0.25">
      <c r="B126" s="37" t="str">
        <f>"Carrying amount at "&amp;Update!B24</f>
        <v>Carrying amount at  31 March 2025</v>
      </c>
      <c r="C126" s="220">
        <f t="shared" ref="C126:K126" si="27">SUM(C123:C125)</f>
        <v>380737</v>
      </c>
      <c r="D126" s="220">
        <f t="shared" si="27"/>
        <v>3574661</v>
      </c>
      <c r="E126" s="220">
        <f t="shared" si="27"/>
        <v>136467</v>
      </c>
      <c r="F126" s="220">
        <f t="shared" si="27"/>
        <v>135610</v>
      </c>
      <c r="G126" s="220">
        <f t="shared" si="27"/>
        <v>280252</v>
      </c>
      <c r="H126" s="220">
        <f t="shared" si="27"/>
        <v>54692</v>
      </c>
      <c r="I126" s="220">
        <f t="shared" si="27"/>
        <v>19068</v>
      </c>
      <c r="J126" s="220">
        <f t="shared" si="27"/>
        <v>133776</v>
      </c>
      <c r="K126" s="220">
        <f t="shared" si="27"/>
        <v>4715263</v>
      </c>
      <c r="L126" s="51"/>
      <c r="M126" s="51"/>
      <c r="N126" s="51"/>
      <c r="O126" s="51"/>
    </row>
    <row r="127" spans="1:15" outlineLevel="1" x14ac:dyDescent="0.2">
      <c r="C127" s="212"/>
      <c r="D127" s="212"/>
      <c r="E127" s="212"/>
      <c r="F127" s="212"/>
      <c r="G127" s="212"/>
      <c r="H127" s="212"/>
      <c r="I127" s="212"/>
      <c r="J127" s="212"/>
      <c r="K127" s="942">
        <f>K126-K44</f>
        <v>4659921</v>
      </c>
      <c r="L127" s="51"/>
      <c r="M127" s="51"/>
      <c r="N127" s="51"/>
      <c r="O127" s="51"/>
    </row>
    <row r="128" spans="1:15" x14ac:dyDescent="0.2">
      <c r="K128" s="942">
        <f>K126-K92</f>
        <v>0</v>
      </c>
    </row>
  </sheetData>
  <pageMargins left="0.35433070866141736" right="0.47244094488188981" top="0.19685039370078741" bottom="0.19685039370078741" header="0.31496062992125984" footer="0.31496062992125984"/>
  <pageSetup paperSize="9" scale="70" orientation="landscape" r:id="rId1"/>
  <rowBreaks count="3" manualBreakCount="3">
    <brk id="56" max="16383" man="1"/>
    <brk id="97" max="10" man="1"/>
    <brk id="129"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4">
    <tabColor rgb="FF00B0F0"/>
    <pageSetUpPr fitToPage="1"/>
  </sheetPr>
  <dimension ref="A1:O87"/>
  <sheetViews>
    <sheetView zoomScale="90" zoomScaleNormal="90" workbookViewId="0">
      <pane xSplit="2" topLeftCell="C1" activePane="topRight" state="frozen"/>
      <selection activeCell="G5" sqref="G4:G5"/>
      <selection pane="topRight" activeCell="G5" sqref="G4:G5"/>
    </sheetView>
  </sheetViews>
  <sheetFormatPr defaultColWidth="9.140625" defaultRowHeight="15" x14ac:dyDescent="0.25"/>
  <cols>
    <col min="1" max="1" width="5.140625" style="1282" customWidth="1"/>
    <col min="2" max="2" width="96" style="1282" bestFit="1" customWidth="1"/>
    <col min="3" max="3" width="10.7109375" style="1338" bestFit="1" customWidth="1"/>
    <col min="4" max="4" width="9.28515625" style="1338" bestFit="1" customWidth="1"/>
    <col min="5" max="5" width="10.42578125" style="1338" customWidth="1"/>
    <col min="6" max="6" width="13.28515625" style="1338" bestFit="1" customWidth="1"/>
    <col min="7" max="7" width="10.5703125" style="1338" bestFit="1" customWidth="1"/>
    <col min="8" max="8" width="11.28515625" style="1338" customWidth="1"/>
    <col min="9" max="9" width="12" style="1338" bestFit="1" customWidth="1"/>
    <col min="10" max="10" width="11.7109375" style="1338" customWidth="1"/>
    <col min="11" max="11" width="12.7109375" style="1338" customWidth="1"/>
    <col min="12" max="12" width="15.140625" style="1338" customWidth="1"/>
    <col min="13" max="13" width="18.5703125" style="1338" customWidth="1"/>
    <col min="14" max="14" width="15.42578125" style="1338" customWidth="1"/>
    <col min="15" max="15" width="17.42578125" style="1339" customWidth="1"/>
    <col min="16" max="16384" width="9.140625" style="1282"/>
  </cols>
  <sheetData>
    <row r="1" spans="1:15" s="34" customFormat="1" ht="12.75" x14ac:dyDescent="0.2">
      <c r="B1" s="37" t="str">
        <f>+SOAS!B2</f>
        <v>2025-26</v>
      </c>
      <c r="C1" s="1336"/>
      <c r="D1" s="1336"/>
      <c r="E1" s="1336"/>
      <c r="F1" s="1336"/>
      <c r="G1" s="1336"/>
      <c r="H1" s="1336"/>
      <c r="I1" s="1336"/>
      <c r="J1" s="1336"/>
      <c r="K1" s="1336"/>
      <c r="L1" s="1336"/>
      <c r="M1" s="1336"/>
      <c r="N1" s="1147"/>
      <c r="O1" s="331"/>
    </row>
    <row r="2" spans="1:15" s="34" customFormat="1" ht="12.75" x14ac:dyDescent="0.2">
      <c r="B2" s="37" t="s">
        <v>476</v>
      </c>
      <c r="C2" s="1336"/>
      <c r="D2" s="1336"/>
      <c r="E2" s="1336"/>
      <c r="F2" s="1336"/>
      <c r="G2" s="1336"/>
      <c r="H2" s="1336"/>
      <c r="I2" s="1336"/>
      <c r="J2" s="1336"/>
      <c r="K2" s="1336"/>
      <c r="L2" s="1336"/>
      <c r="M2" s="1336"/>
      <c r="N2" s="1147"/>
      <c r="O2" s="331"/>
    </row>
    <row r="3" spans="1:15" s="34" customFormat="1" ht="12.75" x14ac:dyDescent="0.2">
      <c r="B3" s="37" t="s">
        <v>840</v>
      </c>
      <c r="C3" s="1336"/>
      <c r="D3" s="1336"/>
      <c r="E3" s="1336"/>
      <c r="F3" s="1336"/>
      <c r="G3" s="1336"/>
      <c r="H3" s="1336"/>
      <c r="I3" s="1336"/>
      <c r="J3" s="1336"/>
      <c r="K3" s="1336"/>
      <c r="L3" s="1336"/>
      <c r="M3" s="1336"/>
      <c r="N3" s="1147"/>
      <c r="O3" s="331"/>
    </row>
    <row r="4" spans="1:15" s="34" customFormat="1" ht="12.75" x14ac:dyDescent="0.2">
      <c r="C4" s="1336"/>
      <c r="D4" s="1336"/>
      <c r="E4" s="1336"/>
      <c r="F4" s="1336"/>
      <c r="G4" s="1336"/>
      <c r="H4" s="1336"/>
      <c r="I4" s="1336"/>
      <c r="J4" s="1336"/>
      <c r="K4" s="1336"/>
      <c r="L4" s="1336"/>
      <c r="M4" s="1336"/>
      <c r="N4" s="1147"/>
      <c r="O4" s="331"/>
    </row>
    <row r="5" spans="1:15" s="34" customFormat="1" ht="12.75" x14ac:dyDescent="0.2">
      <c r="B5" s="177" t="s">
        <v>1965</v>
      </c>
      <c r="C5" s="1336"/>
      <c r="D5" s="1336"/>
      <c r="E5" s="1336"/>
      <c r="F5" s="1336"/>
      <c r="G5" s="1336"/>
      <c r="H5" s="1336"/>
      <c r="I5" s="1336"/>
      <c r="J5" s="1336"/>
      <c r="K5" s="1336"/>
      <c r="L5" s="1336"/>
      <c r="M5" s="1336"/>
      <c r="N5" s="1147"/>
      <c r="O5" s="331"/>
    </row>
    <row r="6" spans="1:15" s="34" customFormat="1" x14ac:dyDescent="0.25">
      <c r="A6" s="37"/>
      <c r="B6" s="1337" t="s">
        <v>2117</v>
      </c>
      <c r="C6" s="1336"/>
      <c r="D6" s="1336"/>
      <c r="E6" s="1336"/>
      <c r="F6" s="1336"/>
      <c r="G6" s="1336"/>
      <c r="H6" s="1336"/>
      <c r="I6" s="1336"/>
      <c r="J6" s="1336"/>
      <c r="K6" s="1336"/>
      <c r="L6" s="1336"/>
      <c r="M6" s="1336"/>
      <c r="N6" s="1147"/>
      <c r="O6" s="331"/>
    </row>
    <row r="7" spans="1:15" x14ac:dyDescent="0.25">
      <c r="B7" s="1337" t="s">
        <v>2118</v>
      </c>
    </row>
    <row r="8" spans="1:15" x14ac:dyDescent="0.25">
      <c r="M8" s="1340"/>
    </row>
    <row r="9" spans="1:15" x14ac:dyDescent="0.25">
      <c r="B9" s="1899" t="s">
        <v>2119</v>
      </c>
      <c r="C9" s="1891" t="s">
        <v>2120</v>
      </c>
      <c r="D9" s="1891"/>
      <c r="E9" s="1891"/>
      <c r="F9" s="1891"/>
      <c r="G9" s="1891"/>
      <c r="H9" s="1891"/>
      <c r="I9" s="1891"/>
      <c r="J9" s="1891" t="s">
        <v>494</v>
      </c>
      <c r="K9" s="1891"/>
      <c r="L9" s="1891"/>
      <c r="M9" s="1897" t="s">
        <v>2121</v>
      </c>
      <c r="N9" s="1890" t="s">
        <v>2431</v>
      </c>
    </row>
    <row r="10" spans="1:15" ht="25.5" customHeight="1" x14ac:dyDescent="0.25">
      <c r="B10" s="1899"/>
      <c r="C10" s="1891" t="s">
        <v>143</v>
      </c>
      <c r="D10" s="1891"/>
      <c r="E10" s="1891"/>
      <c r="F10" s="1891" t="s">
        <v>144</v>
      </c>
      <c r="G10" s="1891"/>
      <c r="H10" s="1892"/>
      <c r="I10" s="1893" t="s">
        <v>146</v>
      </c>
      <c r="J10" s="1895" t="s">
        <v>146</v>
      </c>
      <c r="K10" s="1896" t="s">
        <v>2122</v>
      </c>
      <c r="L10" s="1897" t="s">
        <v>2123</v>
      </c>
      <c r="M10" s="1897"/>
      <c r="N10" s="1890"/>
    </row>
    <row r="11" spans="1:15" ht="30" customHeight="1" x14ac:dyDescent="0.25">
      <c r="B11" s="1341"/>
      <c r="C11" s="1342" t="s">
        <v>2124</v>
      </c>
      <c r="D11" s="1342" t="s">
        <v>148</v>
      </c>
      <c r="E11" s="1342" t="s">
        <v>2125</v>
      </c>
      <c r="F11" s="1342" t="s">
        <v>2124</v>
      </c>
      <c r="G11" s="1342" t="s">
        <v>148</v>
      </c>
      <c r="H11" s="1343" t="s">
        <v>2125</v>
      </c>
      <c r="I11" s="1894"/>
      <c r="J11" s="1895"/>
      <c r="K11" s="1896"/>
      <c r="L11" s="1897"/>
      <c r="M11" s="1897"/>
      <c r="N11" s="1890"/>
    </row>
    <row r="12" spans="1:15" x14ac:dyDescent="0.25">
      <c r="B12" s="1344" t="s">
        <v>2126</v>
      </c>
      <c r="C12" s="1345"/>
      <c r="D12" s="1345"/>
      <c r="E12" s="1345"/>
      <c r="F12" s="1345">
        <f>ROUND(SUMIF(MAP!$E$389:$E$406,$B12,MAP!$N$389:$N$406),0)</f>
        <v>0</v>
      </c>
      <c r="G12" s="1345"/>
      <c r="H12" s="1345"/>
      <c r="I12" s="1346"/>
      <c r="J12" s="1345"/>
      <c r="K12" s="1345"/>
      <c r="L12" s="1346"/>
      <c r="M12" s="1346"/>
      <c r="N12" s="1346"/>
    </row>
    <row r="13" spans="1:15" x14ac:dyDescent="0.25">
      <c r="B13" s="1347"/>
      <c r="C13" s="1345"/>
      <c r="D13" s="1345"/>
      <c r="E13" s="1345"/>
      <c r="F13" s="1345"/>
      <c r="G13" s="1345"/>
      <c r="H13" s="1345"/>
      <c r="I13" s="1346"/>
      <c r="J13" s="1345"/>
      <c r="K13" s="1345"/>
      <c r="L13" s="1346"/>
      <c r="M13" s="1346"/>
      <c r="N13" s="1346"/>
    </row>
    <row r="14" spans="1:15" x14ac:dyDescent="0.25">
      <c r="B14" s="1344" t="s">
        <v>2127</v>
      </c>
      <c r="C14" s="1345"/>
      <c r="D14" s="1345"/>
      <c r="E14" s="1345"/>
      <c r="F14" s="1345"/>
      <c r="G14" s="1345"/>
      <c r="H14" s="1345"/>
      <c r="I14" s="1346"/>
      <c r="J14" s="1345"/>
      <c r="K14" s="1345"/>
      <c r="L14" s="1346"/>
      <c r="M14" s="1346"/>
      <c r="N14" s="1346"/>
    </row>
    <row r="15" spans="1:15" x14ac:dyDescent="0.25">
      <c r="B15" s="1617" t="s">
        <v>2128</v>
      </c>
      <c r="C15" s="1641"/>
      <c r="D15" s="1642"/>
      <c r="E15" s="1643">
        <f>SUM(C15:D15)</f>
        <v>0</v>
      </c>
      <c r="F15" s="1644"/>
      <c r="G15" s="1642"/>
      <c r="H15" s="1643">
        <f>SUM(F15:G15)</f>
        <v>0</v>
      </c>
      <c r="I15" s="1645">
        <f>+E15+H15</f>
        <v>0</v>
      </c>
      <c r="J15" s="1643">
        <f>3486+4800373</f>
        <v>4803859</v>
      </c>
      <c r="K15" s="1643"/>
      <c r="L15" s="1646">
        <f>SUM(J15:K15)</f>
        <v>4803859</v>
      </c>
      <c r="M15" s="1645">
        <f>+L15-I15</f>
        <v>4803859</v>
      </c>
      <c r="N15" s="1645">
        <v>4465299</v>
      </c>
      <c r="O15" s="1348"/>
    </row>
    <row r="16" spans="1:15" x14ac:dyDescent="0.25">
      <c r="B16" s="1617" t="s">
        <v>2129</v>
      </c>
      <c r="C16" s="1642"/>
      <c r="D16" s="1642"/>
      <c r="E16" s="1643">
        <f t="shared" ref="E16:E25" si="0">SUM(C16:D16)</f>
        <v>0</v>
      </c>
      <c r="F16" s="1644"/>
      <c r="G16" s="1642"/>
      <c r="H16" s="1643">
        <f t="shared" ref="H16:H25" si="1">SUM(F16:G16)</f>
        <v>0</v>
      </c>
      <c r="I16" s="1645">
        <f t="shared" ref="I16:I24" si="2">+E16+H16</f>
        <v>0</v>
      </c>
      <c r="J16" s="1643">
        <f>6599+1706290</f>
        <v>1712889</v>
      </c>
      <c r="K16" s="1642"/>
      <c r="L16" s="1646">
        <f t="shared" ref="L16:L25" si="3">SUM(J16:K16)</f>
        <v>1712889</v>
      </c>
      <c r="M16" s="1645">
        <f t="shared" ref="M16:M25" si="4">+L16-I16</f>
        <v>1712889</v>
      </c>
      <c r="N16" s="1645">
        <v>1654719</v>
      </c>
      <c r="O16" s="1348"/>
    </row>
    <row r="17" spans="2:15" x14ac:dyDescent="0.25">
      <c r="B17" s="1617" t="s">
        <v>2506</v>
      </c>
      <c r="C17" s="1642"/>
      <c r="D17" s="1642"/>
      <c r="E17" s="1643">
        <f t="shared" si="0"/>
        <v>0</v>
      </c>
      <c r="F17" s="1644"/>
      <c r="G17" s="1642"/>
      <c r="H17" s="1643">
        <f t="shared" si="1"/>
        <v>0</v>
      </c>
      <c r="I17" s="1645">
        <f t="shared" si="2"/>
        <v>0</v>
      </c>
      <c r="J17" s="1643">
        <f>1394+401270</f>
        <v>402664</v>
      </c>
      <c r="K17" s="1643"/>
      <c r="L17" s="1646">
        <f t="shared" si="3"/>
        <v>402664</v>
      </c>
      <c r="M17" s="1645">
        <f t="shared" si="4"/>
        <v>402664</v>
      </c>
      <c r="N17" s="1645">
        <v>379924</v>
      </c>
      <c r="O17" s="1348"/>
    </row>
    <row r="18" spans="2:15" x14ac:dyDescent="0.25">
      <c r="B18" s="1617" t="s">
        <v>2507</v>
      </c>
      <c r="C18" s="1642"/>
      <c r="D18" s="1642"/>
      <c r="E18" s="1643">
        <f t="shared" si="0"/>
        <v>0</v>
      </c>
      <c r="F18" s="1644"/>
      <c r="G18" s="1642"/>
      <c r="H18" s="1643">
        <f t="shared" si="1"/>
        <v>0</v>
      </c>
      <c r="I18" s="1645">
        <f t="shared" si="2"/>
        <v>0</v>
      </c>
      <c r="J18" s="1643">
        <f>1412+543112</f>
        <v>544524</v>
      </c>
      <c r="K18" s="1643"/>
      <c r="L18" s="1646">
        <f t="shared" si="3"/>
        <v>544524</v>
      </c>
      <c r="M18" s="1645">
        <f t="shared" si="4"/>
        <v>544524</v>
      </c>
      <c r="N18" s="1645">
        <v>509143</v>
      </c>
      <c r="O18" s="1348"/>
    </row>
    <row r="19" spans="2:15" x14ac:dyDescent="0.25">
      <c r="B19" s="1617" t="s">
        <v>2508</v>
      </c>
      <c r="C19" s="1642"/>
      <c r="D19" s="1642"/>
      <c r="E19" s="1643">
        <f t="shared" si="0"/>
        <v>0</v>
      </c>
      <c r="F19" s="1644"/>
      <c r="G19" s="1642"/>
      <c r="H19" s="1643">
        <f t="shared" si="1"/>
        <v>0</v>
      </c>
      <c r="I19" s="1645">
        <f t="shared" si="2"/>
        <v>0</v>
      </c>
      <c r="J19" s="1643">
        <f>149+113870</f>
        <v>114019</v>
      </c>
      <c r="K19" s="1643"/>
      <c r="L19" s="1646">
        <f t="shared" si="3"/>
        <v>114019</v>
      </c>
      <c r="M19" s="1645">
        <f t="shared" si="4"/>
        <v>114019</v>
      </c>
      <c r="N19" s="1645">
        <v>117501</v>
      </c>
      <c r="O19" s="1348"/>
    </row>
    <row r="20" spans="2:15" x14ac:dyDescent="0.25">
      <c r="B20" s="1617" t="s">
        <v>2509</v>
      </c>
      <c r="C20" s="1642"/>
      <c r="D20" s="1642"/>
      <c r="E20" s="1643">
        <f t="shared" si="0"/>
        <v>0</v>
      </c>
      <c r="F20" s="1644"/>
      <c r="G20" s="1642"/>
      <c r="H20" s="1643">
        <f t="shared" si="1"/>
        <v>0</v>
      </c>
      <c r="I20" s="1645">
        <f t="shared" si="2"/>
        <v>0</v>
      </c>
      <c r="J20" s="1643">
        <v>28517</v>
      </c>
      <c r="K20" s="1643"/>
      <c r="L20" s="1646">
        <f t="shared" si="3"/>
        <v>28517</v>
      </c>
      <c r="M20" s="1645">
        <f t="shared" si="4"/>
        <v>28517</v>
      </c>
      <c r="N20" s="1645">
        <v>26265</v>
      </c>
      <c r="O20" s="1348"/>
    </row>
    <row r="21" spans="2:15" x14ac:dyDescent="0.25">
      <c r="B21" s="1617" t="s">
        <v>2130</v>
      </c>
      <c r="C21" s="1642"/>
      <c r="D21" s="1642"/>
      <c r="E21" s="1643">
        <f t="shared" si="0"/>
        <v>0</v>
      </c>
      <c r="F21" s="1644"/>
      <c r="G21" s="1642"/>
      <c r="H21" s="1643">
        <f t="shared" si="1"/>
        <v>0</v>
      </c>
      <c r="I21" s="1645">
        <f t="shared" si="2"/>
        <v>0</v>
      </c>
      <c r="J21" s="1643">
        <f>29677+339994</f>
        <v>369671</v>
      </c>
      <c r="K21" s="1643"/>
      <c r="L21" s="1646">
        <f t="shared" si="3"/>
        <v>369671</v>
      </c>
      <c r="M21" s="1645">
        <f t="shared" si="4"/>
        <v>369671</v>
      </c>
      <c r="N21" s="1645">
        <v>300657</v>
      </c>
      <c r="O21" s="1348"/>
    </row>
    <row r="22" spans="2:15" x14ac:dyDescent="0.25">
      <c r="B22" s="1617" t="s">
        <v>2131</v>
      </c>
      <c r="C22" s="1642"/>
      <c r="D22" s="1642"/>
      <c r="E22" s="1643">
        <f t="shared" si="0"/>
        <v>0</v>
      </c>
      <c r="F22" s="1644"/>
      <c r="G22" s="1642"/>
      <c r="H22" s="1643">
        <f t="shared" si="1"/>
        <v>0</v>
      </c>
      <c r="I22" s="1645">
        <f t="shared" si="2"/>
        <v>0</v>
      </c>
      <c r="J22" s="1643">
        <f>3962+98715</f>
        <v>102677</v>
      </c>
      <c r="K22" s="1643"/>
      <c r="L22" s="1646">
        <f t="shared" si="3"/>
        <v>102677</v>
      </c>
      <c r="M22" s="1645">
        <f t="shared" si="4"/>
        <v>102677</v>
      </c>
      <c r="N22" s="1645">
        <v>92612</v>
      </c>
      <c r="O22" s="1348"/>
    </row>
    <row r="23" spans="2:15" x14ac:dyDescent="0.25">
      <c r="B23" s="1617" t="s">
        <v>2132</v>
      </c>
      <c r="C23" s="1642"/>
      <c r="D23" s="1642"/>
      <c r="E23" s="1643">
        <f t="shared" si="0"/>
        <v>0</v>
      </c>
      <c r="F23" s="1644"/>
      <c r="G23" s="1644"/>
      <c r="H23" s="1643">
        <f t="shared" si="1"/>
        <v>0</v>
      </c>
      <c r="I23" s="1645">
        <f t="shared" si="2"/>
        <v>0</v>
      </c>
      <c r="J23" s="1643">
        <v>142890</v>
      </c>
      <c r="K23" s="1643"/>
      <c r="L23" s="1646">
        <f t="shared" si="3"/>
        <v>142890</v>
      </c>
      <c r="M23" s="1645">
        <f t="shared" si="4"/>
        <v>142890</v>
      </c>
      <c r="N23" s="1645">
        <v>129919</v>
      </c>
      <c r="O23" s="1348"/>
    </row>
    <row r="24" spans="2:15" x14ac:dyDescent="0.25">
      <c r="B24" s="1617" t="s">
        <v>2510</v>
      </c>
      <c r="C24" s="1642"/>
      <c r="D24" s="1642"/>
      <c r="E24" s="1643">
        <f t="shared" si="0"/>
        <v>0</v>
      </c>
      <c r="F24" s="1644"/>
      <c r="G24" s="1644"/>
      <c r="H24" s="1643">
        <f t="shared" si="1"/>
        <v>0</v>
      </c>
      <c r="I24" s="1645">
        <f t="shared" si="2"/>
        <v>0</v>
      </c>
      <c r="J24" s="1643">
        <v>2034</v>
      </c>
      <c r="K24" s="1643"/>
      <c r="L24" s="1646">
        <f t="shared" si="3"/>
        <v>2034</v>
      </c>
      <c r="M24" s="1645">
        <f t="shared" si="4"/>
        <v>2034</v>
      </c>
      <c r="N24" s="1645">
        <v>2174</v>
      </c>
      <c r="O24" s="1348"/>
    </row>
    <row r="25" spans="2:15" x14ac:dyDescent="0.25">
      <c r="B25" s="1617" t="s">
        <v>2133</v>
      </c>
      <c r="C25" s="1642"/>
      <c r="D25" s="1642"/>
      <c r="E25" s="1643">
        <f t="shared" si="0"/>
        <v>0</v>
      </c>
      <c r="F25" s="1644"/>
      <c r="G25" s="1644"/>
      <c r="H25" s="1643">
        <f t="shared" si="1"/>
        <v>0</v>
      </c>
      <c r="I25" s="1645">
        <f>+E25+H25</f>
        <v>0</v>
      </c>
      <c r="J25" s="1643">
        <f>512+115308</f>
        <v>115820</v>
      </c>
      <c r="K25" s="1643"/>
      <c r="L25" s="1646">
        <f t="shared" si="3"/>
        <v>115820</v>
      </c>
      <c r="M25" s="1645">
        <f t="shared" si="4"/>
        <v>115820</v>
      </c>
      <c r="N25" s="1645">
        <v>109873</v>
      </c>
      <c r="O25" s="1348"/>
    </row>
    <row r="26" spans="2:15" x14ac:dyDescent="0.25">
      <c r="B26" s="1347"/>
      <c r="C26" s="1643"/>
      <c r="D26" s="1643"/>
      <c r="E26" s="1643"/>
      <c r="F26" s="1643"/>
      <c r="G26" s="1643"/>
      <c r="H26" s="1643"/>
      <c r="I26" s="1645"/>
      <c r="J26" s="1643"/>
      <c r="K26" s="1643"/>
      <c r="L26" s="1645"/>
      <c r="M26" s="1645"/>
      <c r="N26" s="1645"/>
      <c r="O26" s="1348"/>
    </row>
    <row r="27" spans="2:15" x14ac:dyDescent="0.25">
      <c r="B27" s="1349" t="s">
        <v>2134</v>
      </c>
      <c r="C27" s="1647">
        <f t="shared" ref="C27:N27" si="5">SUM(C15:C26)</f>
        <v>0</v>
      </c>
      <c r="D27" s="1647">
        <f t="shared" si="5"/>
        <v>0</v>
      </c>
      <c r="E27" s="1647">
        <f t="shared" si="5"/>
        <v>0</v>
      </c>
      <c r="F27" s="1647">
        <f t="shared" si="5"/>
        <v>0</v>
      </c>
      <c r="G27" s="1647">
        <f t="shared" si="5"/>
        <v>0</v>
      </c>
      <c r="H27" s="1648">
        <f t="shared" si="5"/>
        <v>0</v>
      </c>
      <c r="I27" s="1649">
        <f t="shared" si="5"/>
        <v>0</v>
      </c>
      <c r="J27" s="1647">
        <f t="shared" si="5"/>
        <v>8339564</v>
      </c>
      <c r="K27" s="1647">
        <f t="shared" si="5"/>
        <v>0</v>
      </c>
      <c r="L27" s="1649">
        <f t="shared" si="5"/>
        <v>8339564</v>
      </c>
      <c r="M27" s="1649">
        <f t="shared" si="5"/>
        <v>8339564</v>
      </c>
      <c r="N27" s="1649">
        <f t="shared" si="5"/>
        <v>7788086</v>
      </c>
      <c r="O27" s="1348"/>
    </row>
    <row r="28" spans="2:15" x14ac:dyDescent="0.25">
      <c r="B28" s="1347"/>
      <c r="C28" s="1643"/>
      <c r="D28" s="1643"/>
      <c r="E28" s="1643"/>
      <c r="F28" s="1643"/>
      <c r="G28" s="1643"/>
      <c r="H28" s="1643"/>
      <c r="I28" s="1645"/>
      <c r="J28" s="1643"/>
      <c r="K28" s="1643"/>
      <c r="L28" s="1645"/>
      <c r="M28" s="1645"/>
      <c r="N28" s="1645"/>
      <c r="O28" s="1348"/>
    </row>
    <row r="29" spans="2:15" x14ac:dyDescent="0.25">
      <c r="B29" s="1344" t="s">
        <v>2135</v>
      </c>
      <c r="C29" s="1643"/>
      <c r="D29" s="1643"/>
      <c r="E29" s="1643"/>
      <c r="F29" s="1643"/>
      <c r="G29" s="1643"/>
      <c r="H29" s="1643"/>
      <c r="I29" s="1645"/>
      <c r="J29" s="1643"/>
      <c r="K29" s="1643"/>
      <c r="L29" s="1645"/>
      <c r="M29" s="1645"/>
      <c r="N29" s="1645"/>
      <c r="O29" s="1348"/>
    </row>
    <row r="30" spans="2:15" x14ac:dyDescent="0.25">
      <c r="B30" s="1616" t="s">
        <v>2136</v>
      </c>
      <c r="C30" s="1642"/>
      <c r="D30" s="1642"/>
      <c r="E30" s="1643">
        <f>SUM(C30:D30)</f>
        <v>0</v>
      </c>
      <c r="F30" s="1644">
        <f>+MAP!N186</f>
        <v>0</v>
      </c>
      <c r="G30" s="1644"/>
      <c r="H30" s="1643">
        <f>SUM(F30:G30)</f>
        <v>0</v>
      </c>
      <c r="I30" s="1645">
        <f>+E30+H30</f>
        <v>0</v>
      </c>
      <c r="J30" s="1643">
        <v>824951</v>
      </c>
      <c r="K30" s="1643"/>
      <c r="L30" s="1645">
        <f>SUM(J30:K30)</f>
        <v>824951</v>
      </c>
      <c r="M30" s="1645">
        <f>+L30-I30</f>
        <v>824951</v>
      </c>
      <c r="N30" s="1645">
        <v>792951</v>
      </c>
      <c r="O30" s="1348"/>
    </row>
    <row r="31" spans="2:15" s="1351" customFormat="1" x14ac:dyDescent="0.25">
      <c r="B31" s="1616" t="s">
        <v>2660</v>
      </c>
      <c r="C31" s="1642"/>
      <c r="D31" s="1642"/>
      <c r="E31" s="1643">
        <f>SUM(C31:D31)</f>
        <v>0</v>
      </c>
      <c r="F31" s="1644"/>
      <c r="G31" s="1642">
        <f>+'SoAS 4'!E19</f>
        <v>0</v>
      </c>
      <c r="H31" s="1643">
        <f>SUM(F31:G31)</f>
        <v>0</v>
      </c>
      <c r="I31" s="1645">
        <f>+E31+H31</f>
        <v>0</v>
      </c>
      <c r="J31" s="1643">
        <v>-1000</v>
      </c>
      <c r="K31" s="1643"/>
      <c r="L31" s="1645">
        <f>SUM(J31:K31)</f>
        <v>-1000</v>
      </c>
      <c r="M31" s="1645">
        <f>+L31-I31</f>
        <v>-1000</v>
      </c>
      <c r="N31" s="1645">
        <v>-373</v>
      </c>
      <c r="O31" s="1348"/>
    </row>
    <row r="32" spans="2:15" s="1351" customFormat="1" x14ac:dyDescent="0.25">
      <c r="B32" s="1350"/>
      <c r="C32" s="1650"/>
      <c r="D32" s="1650"/>
      <c r="E32" s="1643"/>
      <c r="F32" s="1650"/>
      <c r="G32" s="1650"/>
      <c r="H32" s="1643"/>
      <c r="I32" s="1651"/>
      <c r="J32" s="1650"/>
      <c r="K32" s="1650"/>
      <c r="L32" s="1651"/>
      <c r="M32" s="1651"/>
      <c r="N32" s="1651"/>
      <c r="O32" s="1348"/>
    </row>
    <row r="33" spans="2:15" x14ac:dyDescent="0.25">
      <c r="B33" s="1349" t="s">
        <v>2137</v>
      </c>
      <c r="C33" s="1647">
        <f t="shared" ref="C33:N33" si="6">SUM(C30:C31)</f>
        <v>0</v>
      </c>
      <c r="D33" s="1647">
        <f>SUM(D30:D31)</f>
        <v>0</v>
      </c>
      <c r="E33" s="1647">
        <f t="shared" si="6"/>
        <v>0</v>
      </c>
      <c r="F33" s="1647">
        <f t="shared" si="6"/>
        <v>0</v>
      </c>
      <c r="G33" s="1647">
        <f t="shared" si="6"/>
        <v>0</v>
      </c>
      <c r="H33" s="1647">
        <f t="shared" si="6"/>
        <v>0</v>
      </c>
      <c r="I33" s="1649">
        <f t="shared" si="6"/>
        <v>0</v>
      </c>
      <c r="J33" s="1647">
        <f t="shared" si="6"/>
        <v>823951</v>
      </c>
      <c r="K33" s="1647">
        <f t="shared" si="6"/>
        <v>0</v>
      </c>
      <c r="L33" s="1649">
        <f t="shared" si="6"/>
        <v>823951</v>
      </c>
      <c r="M33" s="1649">
        <f t="shared" si="6"/>
        <v>823951</v>
      </c>
      <c r="N33" s="1649">
        <f t="shared" si="6"/>
        <v>792578</v>
      </c>
      <c r="O33" s="1348"/>
    </row>
    <row r="34" spans="2:15" x14ac:dyDescent="0.25">
      <c r="B34" s="1347"/>
      <c r="C34" s="1643"/>
      <c r="D34" s="1643"/>
      <c r="E34" s="1643"/>
      <c r="F34" s="1643"/>
      <c r="G34" s="1643"/>
      <c r="H34" s="1643"/>
      <c r="I34" s="1645"/>
      <c r="J34" s="1643"/>
      <c r="K34" s="1643"/>
      <c r="L34" s="1645"/>
      <c r="M34" s="1645"/>
      <c r="N34" s="1645"/>
      <c r="O34" s="1348"/>
    </row>
    <row r="35" spans="2:15" x14ac:dyDescent="0.25">
      <c r="B35" s="1349" t="s">
        <v>2138</v>
      </c>
      <c r="C35" s="1647">
        <f t="shared" ref="C35:H35" si="7">+C27+C33</f>
        <v>0</v>
      </c>
      <c r="D35" s="1647">
        <f t="shared" si="7"/>
        <v>0</v>
      </c>
      <c r="E35" s="1647">
        <f t="shared" si="7"/>
        <v>0</v>
      </c>
      <c r="F35" s="1647">
        <f t="shared" si="7"/>
        <v>0</v>
      </c>
      <c r="G35" s="1647">
        <f t="shared" si="7"/>
        <v>0</v>
      </c>
      <c r="H35" s="1648">
        <f t="shared" si="7"/>
        <v>0</v>
      </c>
      <c r="I35" s="1649">
        <f t="shared" ref="I35:N35" si="8">+I33+I27</f>
        <v>0</v>
      </c>
      <c r="J35" s="1647">
        <f t="shared" si="8"/>
        <v>9163515</v>
      </c>
      <c r="K35" s="1647">
        <f t="shared" si="8"/>
        <v>0</v>
      </c>
      <c r="L35" s="1649">
        <f t="shared" si="8"/>
        <v>9163515</v>
      </c>
      <c r="M35" s="1649">
        <f t="shared" si="8"/>
        <v>9163515</v>
      </c>
      <c r="N35" s="1649">
        <f t="shared" si="8"/>
        <v>8580664</v>
      </c>
      <c r="O35" s="1348"/>
    </row>
    <row r="36" spans="2:15" x14ac:dyDescent="0.25">
      <c r="B36" s="1347"/>
      <c r="C36" s="1643"/>
      <c r="D36" s="1643"/>
      <c r="E36" s="1643"/>
      <c r="F36" s="1643"/>
      <c r="G36" s="1643"/>
      <c r="H36" s="1643"/>
      <c r="I36" s="1645"/>
      <c r="J36" s="1643"/>
      <c r="K36" s="1643"/>
      <c r="L36" s="1645"/>
      <c r="M36" s="1645"/>
      <c r="N36" s="1645"/>
      <c r="O36" s="1348"/>
    </row>
    <row r="37" spans="2:15" x14ac:dyDescent="0.25">
      <c r="B37" s="1618" t="s">
        <v>475</v>
      </c>
      <c r="C37" s="1652"/>
      <c r="D37" s="1652"/>
      <c r="E37" s="1652"/>
      <c r="F37" s="1652"/>
      <c r="G37" s="1652"/>
      <c r="H37" s="1652"/>
      <c r="I37" s="1653"/>
      <c r="J37" s="1652"/>
      <c r="K37" s="1652"/>
      <c r="L37" s="1653"/>
      <c r="M37" s="1653"/>
      <c r="N37" s="1654"/>
      <c r="O37" s="1348"/>
    </row>
    <row r="38" spans="2:15" ht="15.75" x14ac:dyDescent="0.25">
      <c r="B38" s="1615"/>
      <c r="C38" s="1652"/>
      <c r="D38" s="1652"/>
      <c r="E38" s="1652"/>
      <c r="F38" s="1652"/>
      <c r="G38" s="1652"/>
      <c r="H38" s="1652"/>
      <c r="I38" s="1653"/>
      <c r="J38" s="1652"/>
      <c r="K38" s="1652"/>
      <c r="L38" s="1653"/>
      <c r="M38" s="1653"/>
      <c r="N38" s="1654"/>
      <c r="O38" s="1348"/>
    </row>
    <row r="39" spans="2:15" x14ac:dyDescent="0.25">
      <c r="B39" s="1616" t="s">
        <v>2512</v>
      </c>
      <c r="C39" s="1642"/>
      <c r="D39" s="1642"/>
      <c r="E39" s="1643">
        <f t="shared" ref="E39:E52" si="9">SUM(C39:D39)</f>
        <v>0</v>
      </c>
      <c r="F39" s="1642"/>
      <c r="G39" s="1642"/>
      <c r="H39" s="1643">
        <f t="shared" ref="H39:H54" si="10">SUM(F39:G39)</f>
        <v>0</v>
      </c>
      <c r="I39" s="1645">
        <f t="shared" ref="I39:I54" si="11">+E39+H39</f>
        <v>0</v>
      </c>
      <c r="J39" s="1642">
        <f>47191+1326663</f>
        <v>1373854</v>
      </c>
      <c r="K39" s="1652"/>
      <c r="L39" s="1646">
        <f t="shared" ref="L39:L54" si="12">SUM(J39:K39)</f>
        <v>1373854</v>
      </c>
      <c r="M39" s="1645">
        <f t="shared" ref="M39:M54" si="13">+L39-I39</f>
        <v>1373854</v>
      </c>
      <c r="N39" s="1755">
        <v>1264710</v>
      </c>
      <c r="O39" s="1348"/>
    </row>
    <row r="40" spans="2:15" x14ac:dyDescent="0.25">
      <c r="B40" s="1616" t="s">
        <v>2513</v>
      </c>
      <c r="C40" s="1642">
        <v>0</v>
      </c>
      <c r="D40" s="1642">
        <v>0</v>
      </c>
      <c r="E40" s="1643">
        <f t="shared" si="9"/>
        <v>0</v>
      </c>
      <c r="F40" s="1642"/>
      <c r="G40" s="1642"/>
      <c r="H40" s="1643">
        <f t="shared" si="10"/>
        <v>0</v>
      </c>
      <c r="I40" s="1645">
        <f t="shared" si="11"/>
        <v>0</v>
      </c>
      <c r="J40" s="1642">
        <v>7018076</v>
      </c>
      <c r="K40" s="1652"/>
      <c r="L40" s="1646">
        <f t="shared" si="12"/>
        <v>7018076</v>
      </c>
      <c r="M40" s="1645">
        <f t="shared" si="13"/>
        <v>7018076</v>
      </c>
      <c r="N40" s="1755">
        <v>6679585</v>
      </c>
      <c r="O40" s="1348"/>
    </row>
    <row r="41" spans="2:15" x14ac:dyDescent="0.25">
      <c r="B41" s="1616" t="s">
        <v>2514</v>
      </c>
      <c r="C41" s="1642">
        <v>0</v>
      </c>
      <c r="D41" s="1642">
        <v>0</v>
      </c>
      <c r="E41" s="1643">
        <f t="shared" si="9"/>
        <v>0</v>
      </c>
      <c r="F41" s="1642"/>
      <c r="G41" s="1642"/>
      <c r="H41" s="1643">
        <f t="shared" si="10"/>
        <v>0</v>
      </c>
      <c r="I41" s="1645">
        <f t="shared" si="11"/>
        <v>0</v>
      </c>
      <c r="J41" s="1642">
        <v>357058</v>
      </c>
      <c r="K41" s="1652"/>
      <c r="L41" s="1646">
        <f t="shared" si="12"/>
        <v>357058</v>
      </c>
      <c r="M41" s="1645">
        <f t="shared" si="13"/>
        <v>357058</v>
      </c>
      <c r="N41" s="1755">
        <v>291400</v>
      </c>
      <c r="O41" s="1348"/>
    </row>
    <row r="42" spans="2:15" x14ac:dyDescent="0.25">
      <c r="B42" s="1616" t="s">
        <v>2515</v>
      </c>
      <c r="C42" s="1642">
        <v>0</v>
      </c>
      <c r="D42" s="1642">
        <v>0</v>
      </c>
      <c r="E42" s="1643">
        <f t="shared" si="9"/>
        <v>0</v>
      </c>
      <c r="F42" s="1642"/>
      <c r="G42" s="1642"/>
      <c r="H42" s="1643">
        <f t="shared" si="10"/>
        <v>0</v>
      </c>
      <c r="I42" s="1645">
        <f t="shared" si="11"/>
        <v>0</v>
      </c>
      <c r="J42" s="1642">
        <v>18236</v>
      </c>
      <c r="K42" s="1652"/>
      <c r="L42" s="1646">
        <f t="shared" si="12"/>
        <v>18236</v>
      </c>
      <c r="M42" s="1645">
        <f t="shared" si="13"/>
        <v>18236</v>
      </c>
      <c r="N42" s="1755">
        <v>15637</v>
      </c>
      <c r="O42" s="1348"/>
    </row>
    <row r="43" spans="2:15" x14ac:dyDescent="0.25">
      <c r="B43" s="1616" t="s">
        <v>2649</v>
      </c>
      <c r="C43" s="1642">
        <v>0</v>
      </c>
      <c r="D43" s="1642">
        <v>0</v>
      </c>
      <c r="E43" s="1643">
        <f t="shared" si="9"/>
        <v>0</v>
      </c>
      <c r="F43" s="1642"/>
      <c r="G43" s="1642"/>
      <c r="H43" s="1643">
        <f t="shared" si="10"/>
        <v>0</v>
      </c>
      <c r="I43" s="1645">
        <f t="shared" si="11"/>
        <v>0</v>
      </c>
      <c r="J43" s="1642">
        <v>5660</v>
      </c>
      <c r="K43" s="1652"/>
      <c r="L43" s="1646">
        <f t="shared" si="12"/>
        <v>5660</v>
      </c>
      <c r="M43" s="1645">
        <f t="shared" si="13"/>
        <v>5660</v>
      </c>
      <c r="N43" s="1755">
        <v>4913</v>
      </c>
      <c r="O43" s="1348"/>
    </row>
    <row r="44" spans="2:15" x14ac:dyDescent="0.25">
      <c r="B44" s="1616" t="s">
        <v>2516</v>
      </c>
      <c r="C44" s="1642">
        <v>0</v>
      </c>
      <c r="D44" s="1642">
        <v>0</v>
      </c>
      <c r="E44" s="1643">
        <f t="shared" si="9"/>
        <v>0</v>
      </c>
      <c r="F44" s="1642"/>
      <c r="G44" s="1642"/>
      <c r="H44" s="1643">
        <f t="shared" si="10"/>
        <v>0</v>
      </c>
      <c r="I44" s="1645">
        <f t="shared" si="11"/>
        <v>0</v>
      </c>
      <c r="J44" s="1642">
        <v>255887</v>
      </c>
      <c r="K44" s="1652"/>
      <c r="L44" s="1646">
        <f t="shared" si="12"/>
        <v>255887</v>
      </c>
      <c r="M44" s="1645">
        <f t="shared" si="13"/>
        <v>255887</v>
      </c>
      <c r="N44" s="1755">
        <v>198420</v>
      </c>
      <c r="O44" s="1348"/>
    </row>
    <row r="45" spans="2:15" x14ac:dyDescent="0.25">
      <c r="B45" s="1616" t="s">
        <v>2517</v>
      </c>
      <c r="C45" s="1642">
        <v>0</v>
      </c>
      <c r="D45" s="1642">
        <v>0</v>
      </c>
      <c r="E45" s="1643">
        <f t="shared" si="9"/>
        <v>0</v>
      </c>
      <c r="F45" s="1642"/>
      <c r="G45" s="1642"/>
      <c r="H45" s="1643">
        <f t="shared" si="10"/>
        <v>0</v>
      </c>
      <c r="I45" s="1645">
        <f t="shared" si="11"/>
        <v>0</v>
      </c>
      <c r="J45" s="1642">
        <v>1530</v>
      </c>
      <c r="K45" s="1652"/>
      <c r="L45" s="1646">
        <f t="shared" si="12"/>
        <v>1530</v>
      </c>
      <c r="M45" s="1645">
        <f t="shared" si="13"/>
        <v>1530</v>
      </c>
      <c r="N45" s="1755">
        <v>1479</v>
      </c>
      <c r="O45" s="1348"/>
    </row>
    <row r="46" spans="2:15" x14ac:dyDescent="0.25">
      <c r="B46" s="1616" t="s">
        <v>2518</v>
      </c>
      <c r="C46" s="1642">
        <v>0</v>
      </c>
      <c r="D46" s="1642">
        <v>0</v>
      </c>
      <c r="E46" s="1643">
        <f t="shared" si="9"/>
        <v>0</v>
      </c>
      <c r="F46" s="1642"/>
      <c r="G46" s="1642"/>
      <c r="H46" s="1643">
        <f t="shared" si="10"/>
        <v>0</v>
      </c>
      <c r="I46" s="1645">
        <f t="shared" si="11"/>
        <v>0</v>
      </c>
      <c r="J46" s="1642">
        <v>4364</v>
      </c>
      <c r="K46" s="1652"/>
      <c r="L46" s="1646">
        <f t="shared" si="12"/>
        <v>4364</v>
      </c>
      <c r="M46" s="1645">
        <f t="shared" si="13"/>
        <v>4364</v>
      </c>
      <c r="N46" s="1755">
        <v>4007</v>
      </c>
      <c r="O46" s="1348"/>
    </row>
    <row r="47" spans="2:15" x14ac:dyDescent="0.25">
      <c r="B47" s="1616" t="s">
        <v>2519</v>
      </c>
      <c r="C47" s="1642">
        <v>0</v>
      </c>
      <c r="D47" s="1642">
        <v>0</v>
      </c>
      <c r="E47" s="1643">
        <f t="shared" si="9"/>
        <v>0</v>
      </c>
      <c r="F47" s="1642"/>
      <c r="G47" s="1642"/>
      <c r="H47" s="1643">
        <f t="shared" si="10"/>
        <v>0</v>
      </c>
      <c r="I47" s="1645">
        <f t="shared" si="11"/>
        <v>0</v>
      </c>
      <c r="J47" s="1642">
        <v>2141</v>
      </c>
      <c r="K47" s="1652"/>
      <c r="L47" s="1646">
        <f t="shared" si="12"/>
        <v>2141</v>
      </c>
      <c r="M47" s="1645">
        <f t="shared" si="13"/>
        <v>2141</v>
      </c>
      <c r="N47" s="1755">
        <v>2080</v>
      </c>
      <c r="O47" s="1348"/>
    </row>
    <row r="48" spans="2:15" x14ac:dyDescent="0.25">
      <c r="B48" s="1616" t="s">
        <v>2520</v>
      </c>
      <c r="C48" s="1642">
        <v>0</v>
      </c>
      <c r="D48" s="1642">
        <v>0</v>
      </c>
      <c r="E48" s="1643">
        <f t="shared" si="9"/>
        <v>0</v>
      </c>
      <c r="F48" s="1642"/>
      <c r="G48" s="1642"/>
      <c r="H48" s="1643">
        <f t="shared" si="10"/>
        <v>0</v>
      </c>
      <c r="I48" s="1645">
        <f t="shared" si="11"/>
        <v>0</v>
      </c>
      <c r="J48" s="1642">
        <v>10195</v>
      </c>
      <c r="K48" s="1652"/>
      <c r="L48" s="1646">
        <f t="shared" si="12"/>
        <v>10195</v>
      </c>
      <c r="M48" s="1645">
        <f t="shared" si="13"/>
        <v>10195</v>
      </c>
      <c r="N48" s="1755">
        <v>8929</v>
      </c>
      <c r="O48" s="1348"/>
    </row>
    <row r="49" spans="2:15" x14ac:dyDescent="0.25">
      <c r="B49" s="1616" t="s">
        <v>2521</v>
      </c>
      <c r="C49" s="1642">
        <v>0</v>
      </c>
      <c r="D49" s="1642">
        <v>0</v>
      </c>
      <c r="E49" s="1643">
        <f t="shared" si="9"/>
        <v>0</v>
      </c>
      <c r="F49" s="1642"/>
      <c r="G49" s="1642"/>
      <c r="H49" s="1643">
        <f t="shared" si="10"/>
        <v>0</v>
      </c>
      <c r="I49" s="1645">
        <f t="shared" si="11"/>
        <v>0</v>
      </c>
      <c r="J49" s="1642">
        <v>2034</v>
      </c>
      <c r="K49" s="1652"/>
      <c r="L49" s="1646">
        <f t="shared" si="12"/>
        <v>2034</v>
      </c>
      <c r="M49" s="1645">
        <f t="shared" si="13"/>
        <v>2034</v>
      </c>
      <c r="N49" s="1755">
        <v>2174</v>
      </c>
      <c r="O49" s="1348"/>
    </row>
    <row r="50" spans="2:15" x14ac:dyDescent="0.25">
      <c r="B50" s="1616" t="s">
        <v>2522</v>
      </c>
      <c r="C50" s="1642">
        <v>0</v>
      </c>
      <c r="D50" s="1642">
        <v>0</v>
      </c>
      <c r="E50" s="1643">
        <f t="shared" si="9"/>
        <v>0</v>
      </c>
      <c r="F50" s="1642"/>
      <c r="G50" s="1642"/>
      <c r="H50" s="1643">
        <f t="shared" si="10"/>
        <v>0</v>
      </c>
      <c r="I50" s="1645">
        <f t="shared" si="11"/>
        <v>0</v>
      </c>
      <c r="J50" s="1642">
        <v>497</v>
      </c>
      <c r="K50" s="1652"/>
      <c r="L50" s="1646">
        <f t="shared" si="12"/>
        <v>497</v>
      </c>
      <c r="M50" s="1645">
        <f t="shared" si="13"/>
        <v>497</v>
      </c>
      <c r="N50" s="1755">
        <v>422</v>
      </c>
      <c r="O50" s="1348"/>
    </row>
    <row r="51" spans="2:15" x14ac:dyDescent="0.25">
      <c r="B51" s="1616" t="s">
        <v>2523</v>
      </c>
      <c r="C51" s="1642">
        <v>0</v>
      </c>
      <c r="D51" s="1642">
        <v>0</v>
      </c>
      <c r="E51" s="1643">
        <f t="shared" si="9"/>
        <v>0</v>
      </c>
      <c r="F51" s="1642"/>
      <c r="G51" s="1642"/>
      <c r="H51" s="1643">
        <f t="shared" si="10"/>
        <v>0</v>
      </c>
      <c r="I51" s="1645">
        <f t="shared" si="11"/>
        <v>0</v>
      </c>
      <c r="J51" s="1642">
        <v>114983</v>
      </c>
      <c r="K51" s="1652"/>
      <c r="L51" s="1646">
        <f t="shared" si="12"/>
        <v>114983</v>
      </c>
      <c r="M51" s="1645">
        <f t="shared" si="13"/>
        <v>114983</v>
      </c>
      <c r="N51" s="1755">
        <v>107281</v>
      </c>
      <c r="O51" s="1348"/>
    </row>
    <row r="52" spans="2:15" x14ac:dyDescent="0.25">
      <c r="B52" s="1616" t="s">
        <v>2665</v>
      </c>
      <c r="C52" s="1642">
        <v>0</v>
      </c>
      <c r="D52" s="1642">
        <v>0</v>
      </c>
      <c r="E52" s="1643">
        <f t="shared" si="9"/>
        <v>0</v>
      </c>
      <c r="F52" s="1642"/>
      <c r="G52" s="1642"/>
      <c r="H52" s="1643">
        <f t="shared" si="10"/>
        <v>0</v>
      </c>
      <c r="I52" s="1645">
        <f t="shared" si="11"/>
        <v>0</v>
      </c>
      <c r="J52" s="1642">
        <v>-1000</v>
      </c>
      <c r="K52" s="1652"/>
      <c r="L52" s="1646">
        <f t="shared" si="12"/>
        <v>-1000</v>
      </c>
      <c r="M52" s="1645">
        <f t="shared" si="13"/>
        <v>-1000</v>
      </c>
      <c r="N52" s="1755">
        <v>-373</v>
      </c>
      <c r="O52" s="1348"/>
    </row>
    <row r="53" spans="2:15" x14ac:dyDescent="0.25">
      <c r="B53" s="1616" t="s">
        <v>2666</v>
      </c>
      <c r="C53" s="1642"/>
      <c r="D53" s="1642"/>
      <c r="E53" s="1643"/>
      <c r="F53" s="1642"/>
      <c r="G53" s="1642"/>
      <c r="H53" s="1643"/>
      <c r="I53" s="1645"/>
      <c r="J53" s="1642"/>
      <c r="K53" s="1652"/>
      <c r="L53" s="1646"/>
      <c r="M53" s="1645"/>
      <c r="N53" s="1755"/>
      <c r="O53" s="1348"/>
    </row>
    <row r="54" spans="2:15" x14ac:dyDescent="0.25">
      <c r="B54" s="1616" t="s">
        <v>2820</v>
      </c>
      <c r="C54" s="1642">
        <v>0</v>
      </c>
      <c r="D54" s="1642">
        <v>0</v>
      </c>
      <c r="E54" s="1643"/>
      <c r="F54" s="1642"/>
      <c r="G54" s="1642"/>
      <c r="H54" s="1643">
        <f t="shared" si="10"/>
        <v>0</v>
      </c>
      <c r="I54" s="1645">
        <f t="shared" si="11"/>
        <v>0</v>
      </c>
      <c r="J54" s="1642">
        <v>234</v>
      </c>
      <c r="K54" s="1652"/>
      <c r="L54" s="1646">
        <f t="shared" si="12"/>
        <v>234</v>
      </c>
      <c r="M54" s="1645">
        <f t="shared" si="13"/>
        <v>234</v>
      </c>
      <c r="N54" s="1755">
        <v>837</v>
      </c>
      <c r="O54" s="1348"/>
    </row>
    <row r="55" spans="2:15" x14ac:dyDescent="0.25">
      <c r="B55" s="1347"/>
      <c r="C55" s="1643"/>
      <c r="D55" s="1643"/>
      <c r="E55" s="1643"/>
      <c r="F55" s="1643"/>
      <c r="G55" s="1643"/>
      <c r="H55" s="1643"/>
      <c r="I55" s="1645"/>
      <c r="J55" s="1643"/>
      <c r="K55" s="1643"/>
      <c r="L55" s="1645"/>
      <c r="M55" s="1645"/>
      <c r="N55" s="1645"/>
      <c r="O55" s="1348"/>
    </row>
    <row r="56" spans="2:15" x14ac:dyDescent="0.25">
      <c r="B56" s="1619" t="s">
        <v>2139</v>
      </c>
      <c r="C56" s="1655"/>
      <c r="D56" s="1655"/>
      <c r="E56" s="1655"/>
      <c r="F56" s="1655"/>
      <c r="G56" s="1655"/>
      <c r="H56" s="1655"/>
      <c r="I56" s="1656"/>
      <c r="J56" s="1655"/>
      <c r="K56" s="1655"/>
      <c r="L56" s="1656"/>
      <c r="M56" s="1656"/>
      <c r="N56" s="1656"/>
      <c r="O56" s="1348"/>
    </row>
    <row r="57" spans="2:15" x14ac:dyDescent="0.25">
      <c r="B57" s="1347"/>
      <c r="C57" s="1643"/>
      <c r="D57" s="1643"/>
      <c r="E57" s="1643"/>
      <c r="F57" s="1643"/>
      <c r="G57" s="1643"/>
      <c r="H57" s="1643"/>
      <c r="I57" s="1645"/>
      <c r="J57" s="1643"/>
      <c r="K57" s="1643"/>
      <c r="L57" s="1645"/>
      <c r="M57" s="1645"/>
      <c r="N57" s="1645"/>
      <c r="O57" s="1348"/>
    </row>
    <row r="58" spans="2:15" x14ac:dyDescent="0.25">
      <c r="B58" s="1344" t="s">
        <v>2127</v>
      </c>
      <c r="C58" s="1643"/>
      <c r="D58" s="1643"/>
      <c r="E58" s="1643"/>
      <c r="F58" s="1643"/>
      <c r="G58" s="1643"/>
      <c r="H58" s="1643"/>
      <c r="I58" s="1645"/>
      <c r="J58" s="1643"/>
      <c r="K58" s="1643"/>
      <c r="L58" s="1645"/>
      <c r="M58" s="1645"/>
      <c r="N58" s="1645"/>
      <c r="O58" s="1348"/>
    </row>
    <row r="59" spans="2:15" x14ac:dyDescent="0.25">
      <c r="B59" s="1347" t="s">
        <v>2661</v>
      </c>
      <c r="C59" s="1644">
        <v>0</v>
      </c>
      <c r="D59" s="1644">
        <v>0</v>
      </c>
      <c r="E59" s="1643">
        <f>SUM(C59:D59)</f>
        <v>0</v>
      </c>
      <c r="F59" s="1642"/>
      <c r="G59" s="1644">
        <v>0</v>
      </c>
      <c r="H59" s="1643">
        <f>SUM(F59:G59)</f>
        <v>0</v>
      </c>
      <c r="I59" s="1645">
        <f>+E59+H59</f>
        <v>0</v>
      </c>
      <c r="J59" s="1643">
        <v>32347</v>
      </c>
      <c r="K59" s="1643"/>
      <c r="L59" s="1645">
        <f>SUM(J59:K59)</f>
        <v>32347</v>
      </c>
      <c r="M59" s="1645">
        <f>+L59-I59</f>
        <v>32347</v>
      </c>
      <c r="N59" s="1645">
        <v>25668</v>
      </c>
      <c r="O59" s="1348"/>
    </row>
    <row r="60" spans="2:15" x14ac:dyDescent="0.25">
      <c r="B60" s="1347" t="s">
        <v>2662</v>
      </c>
      <c r="C60" s="1644">
        <v>0</v>
      </c>
      <c r="D60" s="1644">
        <v>0</v>
      </c>
      <c r="E60" s="1643">
        <f>SUM(C60:D60)</f>
        <v>0</v>
      </c>
      <c r="F60" s="1642"/>
      <c r="G60" s="1644">
        <v>0</v>
      </c>
      <c r="H60" s="1643">
        <f>SUM(F60:G60)</f>
        <v>0</v>
      </c>
      <c r="I60" s="1645">
        <f>+E60+H60</f>
        <v>0</v>
      </c>
      <c r="J60" s="1643">
        <v>574598</v>
      </c>
      <c r="K60" s="1643"/>
      <c r="L60" s="1645">
        <f>SUM(J60:K60)</f>
        <v>574598</v>
      </c>
      <c r="M60" s="1645">
        <f>+L60-I60</f>
        <v>574598</v>
      </c>
      <c r="N60" s="1645">
        <v>589428</v>
      </c>
      <c r="O60" s="1348"/>
    </row>
    <row r="61" spans="2:15" x14ac:dyDescent="0.25">
      <c r="B61" s="1347" t="s">
        <v>2663</v>
      </c>
      <c r="C61" s="1644">
        <v>0</v>
      </c>
      <c r="D61" s="1644">
        <v>0</v>
      </c>
      <c r="E61" s="1643">
        <f>SUM(C61:D61)</f>
        <v>0</v>
      </c>
      <c r="F61" s="1642"/>
      <c r="G61" s="1644">
        <v>0</v>
      </c>
      <c r="H61" s="1643">
        <f>SUM(F61:G61)</f>
        <v>0</v>
      </c>
      <c r="I61" s="1645">
        <f>+E61+H61</f>
        <v>0</v>
      </c>
      <c r="J61" s="1643">
        <v>69682</v>
      </c>
      <c r="K61" s="1643"/>
      <c r="L61" s="1645">
        <f>SUM(J61:K61)</f>
        <v>69682</v>
      </c>
      <c r="M61" s="1645">
        <f>+L61-I61</f>
        <v>69682</v>
      </c>
      <c r="N61" s="1645">
        <v>36774</v>
      </c>
      <c r="O61" s="1348"/>
    </row>
    <row r="62" spans="2:15" x14ac:dyDescent="0.25">
      <c r="B62" s="1347" t="s">
        <v>2664</v>
      </c>
      <c r="C62" s="1644">
        <v>0</v>
      </c>
      <c r="D62" s="1644">
        <v>0</v>
      </c>
      <c r="E62" s="1643">
        <f>SUM(C62:D62)</f>
        <v>0</v>
      </c>
      <c r="F62" s="1642"/>
      <c r="G62" s="1644">
        <v>0</v>
      </c>
      <c r="H62" s="1643">
        <f>SUM(F62:G62)</f>
        <v>0</v>
      </c>
      <c r="I62" s="1645">
        <f>+E62+H62</f>
        <v>0</v>
      </c>
      <c r="J62" s="1643">
        <v>16160</v>
      </c>
      <c r="K62" s="1643"/>
      <c r="L62" s="1645">
        <f>SUM(J62:K62)</f>
        <v>16160</v>
      </c>
      <c r="M62" s="1645">
        <f>+L62-I62</f>
        <v>16160</v>
      </c>
      <c r="N62" s="1645">
        <v>23980</v>
      </c>
      <c r="O62" s="1348"/>
    </row>
    <row r="63" spans="2:15" x14ac:dyDescent="0.25">
      <c r="B63" s="1347"/>
      <c r="C63" s="1643"/>
      <c r="D63" s="1643"/>
      <c r="E63" s="1643"/>
      <c r="F63" s="1643"/>
      <c r="G63" s="1643"/>
      <c r="H63" s="1643"/>
      <c r="I63" s="1645"/>
      <c r="J63" s="1643"/>
      <c r="K63" s="1643"/>
      <c r="L63" s="1645"/>
      <c r="M63" s="1645"/>
      <c r="N63" s="1645"/>
      <c r="O63" s="1348"/>
    </row>
    <row r="64" spans="2:15" x14ac:dyDescent="0.25">
      <c r="B64" s="1349" t="s">
        <v>2140</v>
      </c>
      <c r="C64" s="1647">
        <f t="shared" ref="C64:H64" si="14">SUM(C59:C62)</f>
        <v>0</v>
      </c>
      <c r="D64" s="1647">
        <f t="shared" si="14"/>
        <v>0</v>
      </c>
      <c r="E64" s="1647">
        <f t="shared" si="14"/>
        <v>0</v>
      </c>
      <c r="F64" s="1647">
        <f t="shared" si="14"/>
        <v>0</v>
      </c>
      <c r="G64" s="1647">
        <f t="shared" si="14"/>
        <v>0</v>
      </c>
      <c r="H64" s="1648">
        <f t="shared" si="14"/>
        <v>0</v>
      </c>
      <c r="I64" s="1649">
        <f t="shared" ref="I64:N64" si="15">SUM(I59:I63)</f>
        <v>0</v>
      </c>
      <c r="J64" s="1647">
        <f t="shared" si="15"/>
        <v>692787</v>
      </c>
      <c r="K64" s="1647">
        <f t="shared" si="15"/>
        <v>0</v>
      </c>
      <c r="L64" s="1649">
        <f t="shared" si="15"/>
        <v>692787</v>
      </c>
      <c r="M64" s="1649">
        <f t="shared" si="15"/>
        <v>692787</v>
      </c>
      <c r="N64" s="1649">
        <f t="shared" si="15"/>
        <v>675850</v>
      </c>
      <c r="O64" s="1348"/>
    </row>
    <row r="65" spans="2:15" x14ac:dyDescent="0.25">
      <c r="B65" s="1347"/>
      <c r="C65" s="1643"/>
      <c r="D65" s="1643"/>
      <c r="E65" s="1643"/>
      <c r="F65" s="1643"/>
      <c r="G65" s="1643"/>
      <c r="H65" s="1643"/>
      <c r="I65" s="1645"/>
      <c r="J65" s="1643"/>
      <c r="K65" s="1643"/>
      <c r="L65" s="1645"/>
      <c r="M65" s="1645"/>
      <c r="N65" s="1645"/>
      <c r="O65" s="1348"/>
    </row>
    <row r="66" spans="2:15" s="1353" customFormat="1" x14ac:dyDescent="0.25">
      <c r="B66" s="1352" t="s">
        <v>2135</v>
      </c>
      <c r="C66" s="1657"/>
      <c r="D66" s="1657"/>
      <c r="E66" s="1657"/>
      <c r="F66" s="1657"/>
      <c r="G66" s="1657"/>
      <c r="H66" s="1657"/>
      <c r="I66" s="1658"/>
      <c r="J66" s="1657"/>
      <c r="K66" s="1657"/>
      <c r="L66" s="1658"/>
      <c r="M66" s="1658"/>
      <c r="N66" s="1658"/>
      <c r="O66" s="1348"/>
    </row>
    <row r="67" spans="2:15" s="1353" customFormat="1" x14ac:dyDescent="0.25">
      <c r="B67" s="1354" t="s">
        <v>2141</v>
      </c>
      <c r="C67" s="1657"/>
      <c r="D67" s="1657"/>
      <c r="E67" s="1657">
        <f>SUM(C67:D67)</f>
        <v>0</v>
      </c>
      <c r="F67" s="1657"/>
      <c r="G67" s="1657"/>
      <c r="H67" s="1657">
        <f>SUM(F67:G67)</f>
        <v>0</v>
      </c>
      <c r="I67" s="1658">
        <f>+E67+H67</f>
        <v>0</v>
      </c>
      <c r="J67" s="1657"/>
      <c r="K67" s="1657"/>
      <c r="L67" s="1658">
        <f>SUM(J67:K67)</f>
        <v>0</v>
      </c>
      <c r="M67" s="1658">
        <f>+L67-I67</f>
        <v>0</v>
      </c>
      <c r="N67" s="1658"/>
      <c r="O67" s="1348"/>
    </row>
    <row r="68" spans="2:15" s="1353" customFormat="1" x14ac:dyDescent="0.25">
      <c r="B68" s="1354"/>
      <c r="C68" s="1657"/>
      <c r="D68" s="1657"/>
      <c r="E68" s="1657"/>
      <c r="F68" s="1657"/>
      <c r="G68" s="1657"/>
      <c r="H68" s="1657"/>
      <c r="I68" s="1658"/>
      <c r="J68" s="1657"/>
      <c r="K68" s="1657"/>
      <c r="L68" s="1658"/>
      <c r="M68" s="1658"/>
      <c r="N68" s="1658"/>
      <c r="O68" s="1348"/>
    </row>
    <row r="69" spans="2:15" x14ac:dyDescent="0.25">
      <c r="B69" s="1349" t="s">
        <v>2142</v>
      </c>
      <c r="C69" s="1647">
        <f t="shared" ref="C69:N69" si="16">SUM(C67:C68)</f>
        <v>0</v>
      </c>
      <c r="D69" s="1647">
        <f t="shared" si="16"/>
        <v>0</v>
      </c>
      <c r="E69" s="1647">
        <f t="shared" si="16"/>
        <v>0</v>
      </c>
      <c r="F69" s="1647">
        <f t="shared" si="16"/>
        <v>0</v>
      </c>
      <c r="G69" s="1647">
        <f t="shared" si="16"/>
        <v>0</v>
      </c>
      <c r="H69" s="1648">
        <f t="shared" si="16"/>
        <v>0</v>
      </c>
      <c r="I69" s="1649">
        <f t="shared" si="16"/>
        <v>0</v>
      </c>
      <c r="J69" s="1647">
        <f t="shared" si="16"/>
        <v>0</v>
      </c>
      <c r="K69" s="1647">
        <f t="shared" si="16"/>
        <v>0</v>
      </c>
      <c r="L69" s="1649">
        <f t="shared" si="16"/>
        <v>0</v>
      </c>
      <c r="M69" s="1649">
        <f t="shared" si="16"/>
        <v>0</v>
      </c>
      <c r="N69" s="1649">
        <f t="shared" si="16"/>
        <v>0</v>
      </c>
      <c r="O69" s="1348"/>
    </row>
    <row r="70" spans="2:15" x14ac:dyDescent="0.25">
      <c r="B70" s="1347"/>
      <c r="C70" s="1643"/>
      <c r="D70" s="1643"/>
      <c r="E70" s="1643"/>
      <c r="F70" s="1643"/>
      <c r="G70" s="1643"/>
      <c r="H70" s="1643"/>
      <c r="I70" s="1645"/>
      <c r="J70" s="1643"/>
      <c r="K70" s="1643"/>
      <c r="L70" s="1645"/>
      <c r="M70" s="1645"/>
      <c r="N70" s="1645"/>
      <c r="O70" s="1348"/>
    </row>
    <row r="71" spans="2:15" x14ac:dyDescent="0.25">
      <c r="B71" s="1349" t="s">
        <v>2143</v>
      </c>
      <c r="C71" s="1647">
        <f t="shared" ref="C71:N71" si="17">+C64+C69</f>
        <v>0</v>
      </c>
      <c r="D71" s="1647">
        <f t="shared" si="17"/>
        <v>0</v>
      </c>
      <c r="E71" s="1647">
        <f t="shared" si="17"/>
        <v>0</v>
      </c>
      <c r="F71" s="1647">
        <f t="shared" si="17"/>
        <v>0</v>
      </c>
      <c r="G71" s="1647">
        <f t="shared" si="17"/>
        <v>0</v>
      </c>
      <c r="H71" s="1647">
        <f t="shared" si="17"/>
        <v>0</v>
      </c>
      <c r="I71" s="1649">
        <f t="shared" si="17"/>
        <v>0</v>
      </c>
      <c r="J71" s="1647">
        <f t="shared" si="17"/>
        <v>692787</v>
      </c>
      <c r="K71" s="1647">
        <f t="shared" si="17"/>
        <v>0</v>
      </c>
      <c r="L71" s="1649">
        <f t="shared" si="17"/>
        <v>692787</v>
      </c>
      <c r="M71" s="1649">
        <f t="shared" si="17"/>
        <v>692787</v>
      </c>
      <c r="N71" s="1649">
        <f t="shared" si="17"/>
        <v>675850</v>
      </c>
      <c r="O71" s="1348"/>
    </row>
    <row r="72" spans="2:15" x14ac:dyDescent="0.25">
      <c r="B72" s="1347"/>
      <c r="C72" s="1643"/>
      <c r="D72" s="1643"/>
      <c r="E72" s="1643"/>
      <c r="F72" s="1643"/>
      <c r="G72" s="1643"/>
      <c r="H72" s="1643"/>
      <c r="I72" s="1645"/>
      <c r="J72" s="1643"/>
      <c r="K72" s="1643"/>
      <c r="L72" s="1645"/>
      <c r="M72" s="1645"/>
      <c r="N72" s="1645"/>
      <c r="O72" s="1348"/>
    </row>
    <row r="73" spans="2:15" hidden="1" x14ac:dyDescent="0.25">
      <c r="B73" s="1347" t="s">
        <v>2144</v>
      </c>
      <c r="C73" s="1643"/>
      <c r="D73" s="1643"/>
      <c r="E73" s="1643">
        <f>SUM(C73:D73)</f>
        <v>0</v>
      </c>
      <c r="F73" s="1643"/>
      <c r="G73" s="1643"/>
      <c r="H73" s="1643">
        <f>SUM(F73:G73)</f>
        <v>0</v>
      </c>
      <c r="I73" s="1645">
        <f>+E73+H73</f>
        <v>0</v>
      </c>
      <c r="J73" s="1643"/>
      <c r="K73" s="1643"/>
      <c r="L73" s="1645">
        <f>SUM(J73:K73)</f>
        <v>0</v>
      </c>
      <c r="M73" s="1645">
        <f>L73-I73</f>
        <v>0</v>
      </c>
      <c r="N73" s="1645"/>
      <c r="O73" s="1348"/>
    </row>
    <row r="74" spans="2:15" hidden="1" x14ac:dyDescent="0.25">
      <c r="B74" s="1347"/>
      <c r="C74" s="1643"/>
      <c r="D74" s="1643"/>
      <c r="E74" s="1643"/>
      <c r="F74" s="1643"/>
      <c r="G74" s="1643"/>
      <c r="H74" s="1643"/>
      <c r="I74" s="1645"/>
      <c r="J74" s="1643"/>
      <c r="K74" s="1643"/>
      <c r="L74" s="1645"/>
      <c r="M74" s="1645"/>
      <c r="N74" s="1645"/>
      <c r="O74" s="1348"/>
    </row>
    <row r="75" spans="2:15" x14ac:dyDescent="0.25">
      <c r="B75" s="1349" t="s">
        <v>2145</v>
      </c>
      <c r="C75" s="1647">
        <f>SUM(C73:C74)</f>
        <v>0</v>
      </c>
      <c r="D75" s="1647">
        <f>SUM(D73:D74)</f>
        <v>0</v>
      </c>
      <c r="E75" s="1647">
        <f>SUM(E73:E74)</f>
        <v>0</v>
      </c>
      <c r="F75" s="1647">
        <f t="shared" ref="F75:N75" si="18">SUM(F73:F74)</f>
        <v>0</v>
      </c>
      <c r="G75" s="1647">
        <f t="shared" si="18"/>
        <v>0</v>
      </c>
      <c r="H75" s="1648">
        <f t="shared" si="18"/>
        <v>0</v>
      </c>
      <c r="I75" s="1649">
        <f t="shared" si="18"/>
        <v>0</v>
      </c>
      <c r="J75" s="1647">
        <f t="shared" si="18"/>
        <v>0</v>
      </c>
      <c r="K75" s="1647">
        <f t="shared" si="18"/>
        <v>0</v>
      </c>
      <c r="L75" s="1649">
        <f t="shared" si="18"/>
        <v>0</v>
      </c>
      <c r="M75" s="1649">
        <f t="shared" si="18"/>
        <v>0</v>
      </c>
      <c r="N75" s="1649">
        <f t="shared" si="18"/>
        <v>0</v>
      </c>
      <c r="O75" s="1348"/>
    </row>
    <row r="76" spans="2:15" x14ac:dyDescent="0.25">
      <c r="B76" s="1347"/>
      <c r="C76" s="1643"/>
      <c r="D76" s="1643"/>
      <c r="E76" s="1643"/>
      <c r="F76" s="1643"/>
      <c r="G76" s="1643"/>
      <c r="H76" s="1643"/>
      <c r="I76" s="1645"/>
      <c r="J76" s="1643"/>
      <c r="K76" s="1643"/>
      <c r="L76" s="1645"/>
      <c r="M76" s="1645"/>
      <c r="N76" s="1656"/>
      <c r="O76" s="1348"/>
    </row>
    <row r="77" spans="2:15" x14ac:dyDescent="0.25">
      <c r="B77" s="1349" t="s">
        <v>2146</v>
      </c>
      <c r="C77" s="1647">
        <f t="shared" ref="C77:N77" si="19">C35+C64+C75</f>
        <v>0</v>
      </c>
      <c r="D77" s="1647">
        <f t="shared" si="19"/>
        <v>0</v>
      </c>
      <c r="E77" s="1647">
        <f t="shared" si="19"/>
        <v>0</v>
      </c>
      <c r="F77" s="1647">
        <f>F35+F64+F75</f>
        <v>0</v>
      </c>
      <c r="G77" s="1647">
        <f t="shared" si="19"/>
        <v>0</v>
      </c>
      <c r="H77" s="1647">
        <f>H35+H64+H75</f>
        <v>0</v>
      </c>
      <c r="I77" s="1649">
        <f>I35+I64+I75</f>
        <v>0</v>
      </c>
      <c r="J77" s="1647">
        <f t="shared" si="19"/>
        <v>9856302</v>
      </c>
      <c r="K77" s="1647">
        <f t="shared" si="19"/>
        <v>0</v>
      </c>
      <c r="L77" s="1649">
        <f t="shared" si="19"/>
        <v>9856302</v>
      </c>
      <c r="M77" s="1649">
        <f t="shared" si="19"/>
        <v>9856302</v>
      </c>
      <c r="N77" s="1649">
        <f t="shared" si="19"/>
        <v>9256514</v>
      </c>
      <c r="O77" s="1348"/>
    </row>
    <row r="78" spans="2:15" x14ac:dyDescent="0.25">
      <c r="B78" s="1337" t="s">
        <v>2147</v>
      </c>
    </row>
    <row r="79" spans="2:15" x14ac:dyDescent="0.25">
      <c r="C79" s="1331"/>
      <c r="I79" s="1331" t="str">
        <f>IF(I77=+SOAS!F13+SOAS!F19+SOAS!F31,"OK","ERROR")</f>
        <v>OK</v>
      </c>
    </row>
    <row r="80" spans="2:15" x14ac:dyDescent="0.25">
      <c r="F80" s="1331" t="str">
        <f>IF(E27+H27=SOAS!D13,"OK","ERROR")</f>
        <v>OK</v>
      </c>
      <c r="G80" s="1331" t="str">
        <f>IF(E33+H33=SOAS!E13,"OK","ERROR")</f>
        <v>OK</v>
      </c>
      <c r="H80" s="1331" t="str">
        <f>IF(E35+H35=SOAS!F13,"OK","ERROR")</f>
        <v>OK</v>
      </c>
    </row>
    <row r="81" spans="6:9" x14ac:dyDescent="0.25">
      <c r="F81" s="1331" t="str">
        <f>IF(E64+H64=SOAS!D19,"OK","ERROR")</f>
        <v>OK</v>
      </c>
      <c r="G81" s="1331" t="str">
        <f>IF(E69+H69=SOAS!E19,"OK","ERROR")</f>
        <v>OK</v>
      </c>
      <c r="H81" s="1331" t="str">
        <f>IF(E71+H71=SOAS!F19,"OK","ERROR")</f>
        <v>OK</v>
      </c>
      <c r="I81" s="55"/>
    </row>
    <row r="82" spans="6:9" ht="25.5" customHeight="1" x14ac:dyDescent="0.25">
      <c r="F82" s="1331"/>
      <c r="G82" s="1331"/>
      <c r="H82" s="1331"/>
      <c r="I82" s="34"/>
    </row>
    <row r="83" spans="6:9" x14ac:dyDescent="0.25">
      <c r="G83" s="34"/>
      <c r="I83" s="34"/>
    </row>
    <row r="84" spans="6:9" x14ac:dyDescent="0.25">
      <c r="G84" s="34"/>
      <c r="I84" s="34"/>
    </row>
    <row r="85" spans="6:9" x14ac:dyDescent="0.25">
      <c r="G85" s="34"/>
      <c r="I85" s="34"/>
    </row>
    <row r="86" spans="6:9" x14ac:dyDescent="0.25">
      <c r="G86" s="34"/>
      <c r="I86" s="34"/>
    </row>
    <row r="87" spans="6:9" ht="27.75" customHeight="1" x14ac:dyDescent="0.25">
      <c r="G87" s="1898"/>
      <c r="H87" s="1898"/>
      <c r="I87" s="37"/>
    </row>
  </sheetData>
  <mergeCells count="12">
    <mergeCell ref="G87:H87"/>
    <mergeCell ref="B9:B10"/>
    <mergeCell ref="C9:I9"/>
    <mergeCell ref="J9:L9"/>
    <mergeCell ref="M9:M11"/>
    <mergeCell ref="N9:N11"/>
    <mergeCell ref="C10:E10"/>
    <mergeCell ref="F10:H10"/>
    <mergeCell ref="I10:I11"/>
    <mergeCell ref="J10:J11"/>
    <mergeCell ref="K10:K11"/>
    <mergeCell ref="L10:L11"/>
  </mergeCells>
  <pageMargins left="0.35433070866141736" right="0.47244094488188981" top="0.19685039370078741" bottom="0.19685039370078741" header="0.31496062992125984" footer="0.31496062992125984"/>
  <pageSetup paperSize="9" scale="51" orientation="landscape" r:id="rId1"/>
  <rowBreaks count="1" manualBreakCount="1">
    <brk id="36" min="1"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1">
    <tabColor rgb="FFFF00FF"/>
  </sheetPr>
  <dimension ref="A1:O127"/>
  <sheetViews>
    <sheetView zoomScale="90" zoomScaleNormal="90" workbookViewId="0">
      <pane xSplit="2" ySplit="8" topLeftCell="C9"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6.42578125" style="34" customWidth="1"/>
    <col min="2" max="2" width="43.42578125" style="34" customWidth="1"/>
    <col min="3" max="10" width="16" style="34" customWidth="1"/>
    <col min="11" max="11" width="16" style="52" customWidth="1"/>
    <col min="12" max="13" width="0" style="34" hidden="1" customWidth="1" outlineLevel="1"/>
    <col min="14" max="14" width="9.7109375" style="34" hidden="1" customWidth="1" outlineLevel="1"/>
    <col min="15" max="15" width="9.7109375" style="34" bestFit="1" customWidth="1" collapsed="1"/>
    <col min="16" max="256" width="9.140625" style="34"/>
    <col min="257" max="257" width="6.42578125" style="34" customWidth="1"/>
    <col min="258" max="258" width="37.7109375" style="34" customWidth="1"/>
    <col min="259" max="267" width="16" style="34" customWidth="1"/>
    <col min="268" max="512" width="9.140625" style="34"/>
    <col min="513" max="513" width="6.42578125" style="34" customWidth="1"/>
    <col min="514" max="514" width="37.7109375" style="34" customWidth="1"/>
    <col min="515" max="523" width="16" style="34" customWidth="1"/>
    <col min="524" max="768" width="9.140625" style="34"/>
    <col min="769" max="769" width="6.42578125" style="34" customWidth="1"/>
    <col min="770" max="770" width="37.7109375" style="34" customWidth="1"/>
    <col min="771" max="779" width="16" style="34" customWidth="1"/>
    <col min="780" max="1024" width="9.140625" style="34"/>
    <col min="1025" max="1025" width="6.42578125" style="34" customWidth="1"/>
    <col min="1026" max="1026" width="37.7109375" style="34" customWidth="1"/>
    <col min="1027" max="1035" width="16" style="34" customWidth="1"/>
    <col min="1036" max="1280" width="9.140625" style="34"/>
    <col min="1281" max="1281" width="6.42578125" style="34" customWidth="1"/>
    <col min="1282" max="1282" width="37.7109375" style="34" customWidth="1"/>
    <col min="1283" max="1291" width="16" style="34" customWidth="1"/>
    <col min="1292" max="1536" width="9.140625" style="34"/>
    <col min="1537" max="1537" width="6.42578125" style="34" customWidth="1"/>
    <col min="1538" max="1538" width="37.7109375" style="34" customWidth="1"/>
    <col min="1539" max="1547" width="16" style="34" customWidth="1"/>
    <col min="1548" max="1792" width="9.140625" style="34"/>
    <col min="1793" max="1793" width="6.42578125" style="34" customWidth="1"/>
    <col min="1794" max="1794" width="37.7109375" style="34" customWidth="1"/>
    <col min="1795" max="1803" width="16" style="34" customWidth="1"/>
    <col min="1804" max="2048" width="9.140625" style="34"/>
    <col min="2049" max="2049" width="6.42578125" style="34" customWidth="1"/>
    <col min="2050" max="2050" width="37.7109375" style="34" customWidth="1"/>
    <col min="2051" max="2059" width="16" style="34" customWidth="1"/>
    <col min="2060" max="2304" width="9.140625" style="34"/>
    <col min="2305" max="2305" width="6.42578125" style="34" customWidth="1"/>
    <col min="2306" max="2306" width="37.7109375" style="34" customWidth="1"/>
    <col min="2307" max="2315" width="16" style="34" customWidth="1"/>
    <col min="2316" max="2560" width="9.140625" style="34"/>
    <col min="2561" max="2561" width="6.42578125" style="34" customWidth="1"/>
    <col min="2562" max="2562" width="37.7109375" style="34" customWidth="1"/>
    <col min="2563" max="2571" width="16" style="34" customWidth="1"/>
    <col min="2572" max="2816" width="9.140625" style="34"/>
    <col min="2817" max="2817" width="6.42578125" style="34" customWidth="1"/>
    <col min="2818" max="2818" width="37.7109375" style="34" customWidth="1"/>
    <col min="2819" max="2827" width="16" style="34" customWidth="1"/>
    <col min="2828" max="3072" width="9.140625" style="34"/>
    <col min="3073" max="3073" width="6.42578125" style="34" customWidth="1"/>
    <col min="3074" max="3074" width="37.7109375" style="34" customWidth="1"/>
    <col min="3075" max="3083" width="16" style="34" customWidth="1"/>
    <col min="3084" max="3328" width="9.140625" style="34"/>
    <col min="3329" max="3329" width="6.42578125" style="34" customWidth="1"/>
    <col min="3330" max="3330" width="37.7109375" style="34" customWidth="1"/>
    <col min="3331" max="3339" width="16" style="34" customWidth="1"/>
    <col min="3340" max="3584" width="9.140625" style="34"/>
    <col min="3585" max="3585" width="6.42578125" style="34" customWidth="1"/>
    <col min="3586" max="3586" width="37.7109375" style="34" customWidth="1"/>
    <col min="3587" max="3595" width="16" style="34" customWidth="1"/>
    <col min="3596" max="3840" width="9.140625" style="34"/>
    <col min="3841" max="3841" width="6.42578125" style="34" customWidth="1"/>
    <col min="3842" max="3842" width="37.7109375" style="34" customWidth="1"/>
    <col min="3843" max="3851" width="16" style="34" customWidth="1"/>
    <col min="3852" max="4096" width="9.140625" style="34"/>
    <col min="4097" max="4097" width="6.42578125" style="34" customWidth="1"/>
    <col min="4098" max="4098" width="37.7109375" style="34" customWidth="1"/>
    <col min="4099" max="4107" width="16" style="34" customWidth="1"/>
    <col min="4108" max="4352" width="9.140625" style="34"/>
    <col min="4353" max="4353" width="6.42578125" style="34" customWidth="1"/>
    <col min="4354" max="4354" width="37.7109375" style="34" customWidth="1"/>
    <col min="4355" max="4363" width="16" style="34" customWidth="1"/>
    <col min="4364" max="4608" width="9.140625" style="34"/>
    <col min="4609" max="4609" width="6.42578125" style="34" customWidth="1"/>
    <col min="4610" max="4610" width="37.7109375" style="34" customWidth="1"/>
    <col min="4611" max="4619" width="16" style="34" customWidth="1"/>
    <col min="4620" max="4864" width="9.140625" style="34"/>
    <col min="4865" max="4865" width="6.42578125" style="34" customWidth="1"/>
    <col min="4866" max="4866" width="37.7109375" style="34" customWidth="1"/>
    <col min="4867" max="4875" width="16" style="34" customWidth="1"/>
    <col min="4876" max="5120" width="9.140625" style="34"/>
    <col min="5121" max="5121" width="6.42578125" style="34" customWidth="1"/>
    <col min="5122" max="5122" width="37.7109375" style="34" customWidth="1"/>
    <col min="5123" max="5131" width="16" style="34" customWidth="1"/>
    <col min="5132" max="5376" width="9.140625" style="34"/>
    <col min="5377" max="5377" width="6.42578125" style="34" customWidth="1"/>
    <col min="5378" max="5378" width="37.7109375" style="34" customWidth="1"/>
    <col min="5379" max="5387" width="16" style="34" customWidth="1"/>
    <col min="5388" max="5632" width="9.140625" style="34"/>
    <col min="5633" max="5633" width="6.42578125" style="34" customWidth="1"/>
    <col min="5634" max="5634" width="37.7109375" style="34" customWidth="1"/>
    <col min="5635" max="5643" width="16" style="34" customWidth="1"/>
    <col min="5644" max="5888" width="9.140625" style="34"/>
    <col min="5889" max="5889" width="6.42578125" style="34" customWidth="1"/>
    <col min="5890" max="5890" width="37.7109375" style="34" customWidth="1"/>
    <col min="5891" max="5899" width="16" style="34" customWidth="1"/>
    <col min="5900" max="6144" width="9.140625" style="34"/>
    <col min="6145" max="6145" width="6.42578125" style="34" customWidth="1"/>
    <col min="6146" max="6146" width="37.7109375" style="34" customWidth="1"/>
    <col min="6147" max="6155" width="16" style="34" customWidth="1"/>
    <col min="6156" max="6400" width="9.140625" style="34"/>
    <col min="6401" max="6401" width="6.42578125" style="34" customWidth="1"/>
    <col min="6402" max="6402" width="37.7109375" style="34" customWidth="1"/>
    <col min="6403" max="6411" width="16" style="34" customWidth="1"/>
    <col min="6412" max="6656" width="9.140625" style="34"/>
    <col min="6657" max="6657" width="6.42578125" style="34" customWidth="1"/>
    <col min="6658" max="6658" width="37.7109375" style="34" customWidth="1"/>
    <col min="6659" max="6667" width="16" style="34" customWidth="1"/>
    <col min="6668" max="6912" width="9.140625" style="34"/>
    <col min="6913" max="6913" width="6.42578125" style="34" customWidth="1"/>
    <col min="6914" max="6914" width="37.7109375" style="34" customWidth="1"/>
    <col min="6915" max="6923" width="16" style="34" customWidth="1"/>
    <col min="6924" max="7168" width="9.140625" style="34"/>
    <col min="7169" max="7169" width="6.42578125" style="34" customWidth="1"/>
    <col min="7170" max="7170" width="37.7109375" style="34" customWidth="1"/>
    <col min="7171" max="7179" width="16" style="34" customWidth="1"/>
    <col min="7180" max="7424" width="9.140625" style="34"/>
    <col min="7425" max="7425" width="6.42578125" style="34" customWidth="1"/>
    <col min="7426" max="7426" width="37.7109375" style="34" customWidth="1"/>
    <col min="7427" max="7435" width="16" style="34" customWidth="1"/>
    <col min="7436" max="7680" width="9.140625" style="34"/>
    <col min="7681" max="7681" width="6.42578125" style="34" customWidth="1"/>
    <col min="7682" max="7682" width="37.7109375" style="34" customWidth="1"/>
    <col min="7683" max="7691" width="16" style="34" customWidth="1"/>
    <col min="7692" max="7936" width="9.140625" style="34"/>
    <col min="7937" max="7937" width="6.42578125" style="34" customWidth="1"/>
    <col min="7938" max="7938" width="37.7109375" style="34" customWidth="1"/>
    <col min="7939" max="7947" width="16" style="34" customWidth="1"/>
    <col min="7948" max="8192" width="9.140625" style="34"/>
    <col min="8193" max="8193" width="6.42578125" style="34" customWidth="1"/>
    <col min="8194" max="8194" width="37.7109375" style="34" customWidth="1"/>
    <col min="8195" max="8203" width="16" style="34" customWidth="1"/>
    <col min="8204" max="8448" width="9.140625" style="34"/>
    <col min="8449" max="8449" width="6.42578125" style="34" customWidth="1"/>
    <col min="8450" max="8450" width="37.7109375" style="34" customWidth="1"/>
    <col min="8451" max="8459" width="16" style="34" customWidth="1"/>
    <col min="8460" max="8704" width="9.140625" style="34"/>
    <col min="8705" max="8705" width="6.42578125" style="34" customWidth="1"/>
    <col min="8706" max="8706" width="37.7109375" style="34" customWidth="1"/>
    <col min="8707" max="8715" width="16" style="34" customWidth="1"/>
    <col min="8716" max="8960" width="9.140625" style="34"/>
    <col min="8961" max="8961" width="6.42578125" style="34" customWidth="1"/>
    <col min="8962" max="8962" width="37.7109375" style="34" customWidth="1"/>
    <col min="8963" max="8971" width="16" style="34" customWidth="1"/>
    <col min="8972" max="9216" width="9.140625" style="34"/>
    <col min="9217" max="9217" width="6.42578125" style="34" customWidth="1"/>
    <col min="9218" max="9218" width="37.7109375" style="34" customWidth="1"/>
    <col min="9219" max="9227" width="16" style="34" customWidth="1"/>
    <col min="9228" max="9472" width="9.140625" style="34"/>
    <col min="9473" max="9473" width="6.42578125" style="34" customWidth="1"/>
    <col min="9474" max="9474" width="37.7109375" style="34" customWidth="1"/>
    <col min="9475" max="9483" width="16" style="34" customWidth="1"/>
    <col min="9484" max="9728" width="9.140625" style="34"/>
    <col min="9729" max="9729" width="6.42578125" style="34" customWidth="1"/>
    <col min="9730" max="9730" width="37.7109375" style="34" customWidth="1"/>
    <col min="9731" max="9739" width="16" style="34" customWidth="1"/>
    <col min="9740" max="9984" width="9.140625" style="34"/>
    <col min="9985" max="9985" width="6.42578125" style="34" customWidth="1"/>
    <col min="9986" max="9986" width="37.7109375" style="34" customWidth="1"/>
    <col min="9987" max="9995" width="16" style="34" customWidth="1"/>
    <col min="9996" max="10240" width="9.140625" style="34"/>
    <col min="10241" max="10241" width="6.42578125" style="34" customWidth="1"/>
    <col min="10242" max="10242" width="37.7109375" style="34" customWidth="1"/>
    <col min="10243" max="10251" width="16" style="34" customWidth="1"/>
    <col min="10252" max="10496" width="9.140625" style="34"/>
    <col min="10497" max="10497" width="6.42578125" style="34" customWidth="1"/>
    <col min="10498" max="10498" width="37.7109375" style="34" customWidth="1"/>
    <col min="10499" max="10507" width="16" style="34" customWidth="1"/>
    <col min="10508" max="10752" width="9.140625" style="34"/>
    <col min="10753" max="10753" width="6.42578125" style="34" customWidth="1"/>
    <col min="10754" max="10754" width="37.7109375" style="34" customWidth="1"/>
    <col min="10755" max="10763" width="16" style="34" customWidth="1"/>
    <col min="10764" max="11008" width="9.140625" style="34"/>
    <col min="11009" max="11009" width="6.42578125" style="34" customWidth="1"/>
    <col min="11010" max="11010" width="37.7109375" style="34" customWidth="1"/>
    <col min="11011" max="11019" width="16" style="34" customWidth="1"/>
    <col min="11020" max="11264" width="9.140625" style="34"/>
    <col min="11265" max="11265" width="6.42578125" style="34" customWidth="1"/>
    <col min="11266" max="11266" width="37.7109375" style="34" customWidth="1"/>
    <col min="11267" max="11275" width="16" style="34" customWidth="1"/>
    <col min="11276" max="11520" width="9.140625" style="34"/>
    <col min="11521" max="11521" width="6.42578125" style="34" customWidth="1"/>
    <col min="11522" max="11522" width="37.7109375" style="34" customWidth="1"/>
    <col min="11523" max="11531" width="16" style="34" customWidth="1"/>
    <col min="11532" max="11776" width="9.140625" style="34"/>
    <col min="11777" max="11777" width="6.42578125" style="34" customWidth="1"/>
    <col min="11778" max="11778" width="37.7109375" style="34" customWidth="1"/>
    <col min="11779" max="11787" width="16" style="34" customWidth="1"/>
    <col min="11788" max="12032" width="9.140625" style="34"/>
    <col min="12033" max="12033" width="6.42578125" style="34" customWidth="1"/>
    <col min="12034" max="12034" width="37.7109375" style="34" customWidth="1"/>
    <col min="12035" max="12043" width="16" style="34" customWidth="1"/>
    <col min="12044" max="12288" width="9.140625" style="34"/>
    <col min="12289" max="12289" width="6.42578125" style="34" customWidth="1"/>
    <col min="12290" max="12290" width="37.7109375" style="34" customWidth="1"/>
    <col min="12291" max="12299" width="16" style="34" customWidth="1"/>
    <col min="12300" max="12544" width="9.140625" style="34"/>
    <col min="12545" max="12545" width="6.42578125" style="34" customWidth="1"/>
    <col min="12546" max="12546" width="37.7109375" style="34" customWidth="1"/>
    <col min="12547" max="12555" width="16" style="34" customWidth="1"/>
    <col min="12556" max="12800" width="9.140625" style="34"/>
    <col min="12801" max="12801" width="6.42578125" style="34" customWidth="1"/>
    <col min="12802" max="12802" width="37.7109375" style="34" customWidth="1"/>
    <col min="12803" max="12811" width="16" style="34" customWidth="1"/>
    <col min="12812" max="13056" width="9.140625" style="34"/>
    <col min="13057" max="13057" width="6.42578125" style="34" customWidth="1"/>
    <col min="13058" max="13058" width="37.7109375" style="34" customWidth="1"/>
    <col min="13059" max="13067" width="16" style="34" customWidth="1"/>
    <col min="13068" max="13312" width="9.140625" style="34"/>
    <col min="13313" max="13313" width="6.42578125" style="34" customWidth="1"/>
    <col min="13314" max="13314" width="37.7109375" style="34" customWidth="1"/>
    <col min="13315" max="13323" width="16" style="34" customWidth="1"/>
    <col min="13324" max="13568" width="9.140625" style="34"/>
    <col min="13569" max="13569" width="6.42578125" style="34" customWidth="1"/>
    <col min="13570" max="13570" width="37.7109375" style="34" customWidth="1"/>
    <col min="13571" max="13579" width="16" style="34" customWidth="1"/>
    <col min="13580" max="13824" width="9.140625" style="34"/>
    <col min="13825" max="13825" width="6.42578125" style="34" customWidth="1"/>
    <col min="13826" max="13826" width="37.7109375" style="34" customWidth="1"/>
    <col min="13827" max="13835" width="16" style="34" customWidth="1"/>
    <col min="13836" max="14080" width="9.140625" style="34"/>
    <col min="14081" max="14081" width="6.42578125" style="34" customWidth="1"/>
    <col min="14082" max="14082" width="37.7109375" style="34" customWidth="1"/>
    <col min="14083" max="14091" width="16" style="34" customWidth="1"/>
    <col min="14092" max="14336" width="9.140625" style="34"/>
    <col min="14337" max="14337" width="6.42578125" style="34" customWidth="1"/>
    <col min="14338" max="14338" width="37.7109375" style="34" customWidth="1"/>
    <col min="14339" max="14347" width="16" style="34" customWidth="1"/>
    <col min="14348" max="14592" width="9.140625" style="34"/>
    <col min="14593" max="14593" width="6.42578125" style="34" customWidth="1"/>
    <col min="14594" max="14594" width="37.7109375" style="34" customWidth="1"/>
    <col min="14595" max="14603" width="16" style="34" customWidth="1"/>
    <col min="14604" max="14848" width="9.140625" style="34"/>
    <col min="14849" max="14849" width="6.42578125" style="34" customWidth="1"/>
    <col min="14850" max="14850" width="37.7109375" style="34" customWidth="1"/>
    <col min="14851" max="14859" width="16" style="34" customWidth="1"/>
    <col min="14860" max="15104" width="9.140625" style="34"/>
    <col min="15105" max="15105" width="6.42578125" style="34" customWidth="1"/>
    <col min="15106" max="15106" width="37.7109375" style="34" customWidth="1"/>
    <col min="15107" max="15115" width="16" style="34" customWidth="1"/>
    <col min="15116" max="15360" width="9.140625" style="34"/>
    <col min="15361" max="15361" width="6.42578125" style="34" customWidth="1"/>
    <col min="15362" max="15362" width="37.7109375" style="34" customWidth="1"/>
    <col min="15363" max="15371" width="16" style="34" customWidth="1"/>
    <col min="15372" max="15616" width="9.140625" style="34"/>
    <col min="15617" max="15617" width="6.42578125" style="34" customWidth="1"/>
    <col min="15618" max="15618" width="37.7109375" style="34" customWidth="1"/>
    <col min="15619" max="15627" width="16" style="34" customWidth="1"/>
    <col min="15628" max="15872" width="9.140625" style="34"/>
    <col min="15873" max="15873" width="6.42578125" style="34" customWidth="1"/>
    <col min="15874" max="15874" width="37.7109375" style="34" customWidth="1"/>
    <col min="15875" max="15883" width="16" style="34" customWidth="1"/>
    <col min="15884" max="16128" width="9.140625" style="34"/>
    <col min="16129" max="16129" width="6.42578125" style="34" customWidth="1"/>
    <col min="16130" max="16130" width="37.7109375" style="34" customWidth="1"/>
    <col min="16131" max="16139" width="16" style="34" customWidth="1"/>
    <col min="16140" max="16384" width="9.140625" style="34"/>
  </cols>
  <sheetData>
    <row r="1" spans="1:15" x14ac:dyDescent="0.2">
      <c r="B1" s="35" t="str">
        <f>Update!$B$6</f>
        <v>Department of Health</v>
      </c>
    </row>
    <row r="2" spans="1:15" x14ac:dyDescent="0.2">
      <c r="B2" s="35" t="str">
        <f>Update!$B$10</f>
        <v>Notes to the financial statements</v>
      </c>
    </row>
    <row r="3" spans="1:15" x14ac:dyDescent="0.2">
      <c r="B3" s="35" t="str">
        <f>Update!$A$3</f>
        <v>2025-26</v>
      </c>
    </row>
    <row r="4" spans="1:15" x14ac:dyDescent="0.2">
      <c r="C4" s="34" t="s">
        <v>281</v>
      </c>
      <c r="D4" s="34" t="s">
        <v>281</v>
      </c>
      <c r="E4" s="34" t="s">
        <v>281</v>
      </c>
      <c r="F4" s="34" t="s">
        <v>281</v>
      </c>
      <c r="G4" s="34" t="s">
        <v>281</v>
      </c>
      <c r="H4" s="34" t="s">
        <v>281</v>
      </c>
      <c r="I4" s="34" t="s">
        <v>281</v>
      </c>
      <c r="K4" s="52" t="s">
        <v>281</v>
      </c>
    </row>
    <row r="5" spans="1:15" x14ac:dyDescent="0.2">
      <c r="A5" s="229">
        <f>SUMIF(Update!$B$33:$B$106,B5,Update!$A$33:$A$106)</f>
        <v>5</v>
      </c>
      <c r="B5" s="37" t="s">
        <v>288</v>
      </c>
    </row>
    <row r="6" spans="1:15" x14ac:dyDescent="0.2">
      <c r="A6" s="229">
        <f>SUMIF(Update!$B$33:$B$106,B6,Update!$A$33:$A$106)</f>
        <v>5.0999999999999996</v>
      </c>
      <c r="B6" s="37" t="str">
        <f>"Consolidated property, plant and equipment "&amp;Update!$B$13</f>
        <v>Consolidated property, plant and equipment 2025-26</v>
      </c>
    </row>
    <row r="7" spans="1:15" s="41" customFormat="1" ht="51" x14ac:dyDescent="0.2">
      <c r="C7" s="775" t="s">
        <v>597</v>
      </c>
      <c r="D7" s="775" t="s">
        <v>196</v>
      </c>
      <c r="E7" s="775" t="s">
        <v>200</v>
      </c>
      <c r="F7" s="775" t="s">
        <v>201</v>
      </c>
      <c r="G7" s="775" t="s">
        <v>202</v>
      </c>
      <c r="H7" s="775" t="s">
        <v>203</v>
      </c>
      <c r="I7" s="775" t="s">
        <v>204</v>
      </c>
      <c r="J7" s="775" t="s">
        <v>455</v>
      </c>
      <c r="K7" s="776" t="s">
        <v>146</v>
      </c>
    </row>
    <row r="8" spans="1:15" x14ac:dyDescent="0.2">
      <c r="C8" s="57" t="s">
        <v>62</v>
      </c>
      <c r="D8" s="57" t="s">
        <v>62</v>
      </c>
      <c r="E8" s="57" t="s">
        <v>62</v>
      </c>
      <c r="F8" s="57" t="s">
        <v>62</v>
      </c>
      <c r="G8" s="57" t="s">
        <v>62</v>
      </c>
      <c r="H8" s="57" t="s">
        <v>62</v>
      </c>
      <c r="I8" s="57" t="s">
        <v>62</v>
      </c>
      <c r="J8" s="57" t="s">
        <v>62</v>
      </c>
      <c r="K8" s="57" t="s">
        <v>62</v>
      </c>
    </row>
    <row r="9" spans="1:15" x14ac:dyDescent="0.2">
      <c r="B9" s="37" t="s">
        <v>183</v>
      </c>
    </row>
    <row r="10" spans="1:15" x14ac:dyDescent="0.2">
      <c r="B10" s="34" t="str">
        <f>"At"&amp;Update!$B$20</f>
        <v>At 1 April 2025</v>
      </c>
      <c r="C10" s="333">
        <f>SUMIF(MAP!$E$493:$E$508,$B10,MAP!$T$493:$T$508)</f>
        <v>32712</v>
      </c>
      <c r="D10" s="333">
        <f>SUMIF(MAP!$E$531:$E$545,$B10,MAP!$T$531:$T$545)</f>
        <v>3810</v>
      </c>
      <c r="E10" s="333">
        <f>SUMIF(MAP!$E$568:$E$583,$B10,MAP!$T$568:$T$583)</f>
        <v>446</v>
      </c>
      <c r="F10" s="333">
        <f>SUMIF(MAP!$E$606:$E$621,$B10,MAP!$T$606:$T$621)</f>
        <v>0</v>
      </c>
      <c r="G10" s="333">
        <f>SUMIF(MAP!$E$645:$E$659,$B10,MAP!$T$645:$T$659)</f>
        <v>18930</v>
      </c>
      <c r="H10" s="333">
        <f>SUMIF(MAP!$E$683:$E$697,$B10,MAP!$T$683:$T$697)</f>
        <v>27</v>
      </c>
      <c r="I10" s="333">
        <f>SUMIF(MAP!$E$720:$E$735,$B10,MAP!$T$720:$T$735)</f>
        <v>95</v>
      </c>
      <c r="J10" s="333">
        <f>SUMIF(MAP!$E$758:$E$773,$B10,MAP!$T$758:$T$773)</f>
        <v>0</v>
      </c>
      <c r="K10" s="211">
        <f t="shared" ref="K10:K22" si="0">SUM(C10:J10)</f>
        <v>56020</v>
      </c>
      <c r="L10" s="51"/>
      <c r="M10" s="51"/>
      <c r="N10" s="51"/>
      <c r="O10" s="51"/>
    </row>
    <row r="11" spans="1:15" ht="14.25" customHeight="1" x14ac:dyDescent="0.2">
      <c r="B11" s="34" t="s">
        <v>435</v>
      </c>
      <c r="C11" s="333">
        <f>SUMIF(MAP!$E$493:$E$508,$B11,MAP!$T$493:$T$508)</f>
        <v>0</v>
      </c>
      <c r="D11" s="333">
        <f>SUMIF(MAP!$E$531:$E$545,$B11,MAP!$T$531:$T$545)</f>
        <v>0</v>
      </c>
      <c r="E11" s="333">
        <f>SUMIF(MAP!$E$568:$E$583,$B11,MAP!$T$568:$T$583)</f>
        <v>0</v>
      </c>
      <c r="F11" s="333">
        <f>SUMIF(MAP!$E$606:$E$621,$B11,MAP!$T$606:$T$621)</f>
        <v>0</v>
      </c>
      <c r="G11" s="333">
        <f>SUMIF(MAP!$E$645:$E$659,$B11,MAP!$T$645:$T$659)</f>
        <v>0</v>
      </c>
      <c r="H11" s="333">
        <f>SUMIF(MAP!$E$683:$E$697,$B11,MAP!$T$683:$T$697)</f>
        <v>0</v>
      </c>
      <c r="I11" s="333">
        <f>SUMIF(MAP!$E$720:$E$735,$B11,MAP!$T$720:$T$735)</f>
        <v>0</v>
      </c>
      <c r="J11" s="333">
        <f>SUMIF(MAP!$E$758:$E$773,$B11,MAP!$T$758:$T$773)</f>
        <v>0</v>
      </c>
      <c r="K11" s="211">
        <f t="shared" si="0"/>
        <v>0</v>
      </c>
      <c r="L11" s="51"/>
      <c r="M11" s="51"/>
      <c r="N11" s="51"/>
      <c r="O11" s="51"/>
    </row>
    <row r="12" spans="1:15" x14ac:dyDescent="0.2">
      <c r="B12" s="34" t="s">
        <v>442</v>
      </c>
      <c r="C12" s="354">
        <f>SUM(C10:C11)</f>
        <v>32712</v>
      </c>
      <c r="D12" s="354">
        <f t="shared" ref="D12:J12" si="1">SUM(D10:D11)</f>
        <v>3810</v>
      </c>
      <c r="E12" s="354">
        <f t="shared" si="1"/>
        <v>446</v>
      </c>
      <c r="F12" s="354">
        <f t="shared" si="1"/>
        <v>0</v>
      </c>
      <c r="G12" s="354">
        <f t="shared" si="1"/>
        <v>18930</v>
      </c>
      <c r="H12" s="354">
        <f t="shared" si="1"/>
        <v>27</v>
      </c>
      <c r="I12" s="354">
        <f t="shared" si="1"/>
        <v>95</v>
      </c>
      <c r="J12" s="354">
        <f t="shared" si="1"/>
        <v>0</v>
      </c>
      <c r="K12" s="213">
        <f>SUM(C12:J12)</f>
        <v>56020</v>
      </c>
      <c r="L12" s="230">
        <f>SUM(C12:J12)-SUM(K10:K11)</f>
        <v>0</v>
      </c>
      <c r="M12" s="51"/>
      <c r="N12" s="51"/>
      <c r="O12" s="51"/>
    </row>
    <row r="13" spans="1:15" x14ac:dyDescent="0.2">
      <c r="B13" s="34" t="s">
        <v>185</v>
      </c>
      <c r="C13" s="333">
        <f>SUMIF(MAP!$E$493:$E$508,$B13,MAP!$T$493:$T$508)</f>
        <v>0</v>
      </c>
      <c r="D13" s="333">
        <f>SUMIF(MAP!$E$531:$E$545,$B13,MAP!$T$531:$T$545)</f>
        <v>0</v>
      </c>
      <c r="E13" s="333">
        <f>SUMIF(MAP!$E$568:$E$583,$B13,MAP!$T$568:$T$583)</f>
        <v>0</v>
      </c>
      <c r="F13" s="333">
        <f>SUMIF(MAP!$E$606:$E$621,$B13,MAP!$T$606:$T$621)</f>
        <v>0</v>
      </c>
      <c r="G13" s="333">
        <f>SUMIF(MAP!$E$645:$E$659,$B13,MAP!$T$645:$T$659)</f>
        <v>0</v>
      </c>
      <c r="H13" s="333">
        <f>SUMIF(MAP!$E$683:$E$697,$B13,MAP!$T$683:$T$697)</f>
        <v>0</v>
      </c>
      <c r="I13" s="333">
        <f>SUMIF(MAP!$E$720:$E$735,$B13,MAP!$T$720:$T$735)</f>
        <v>0</v>
      </c>
      <c r="J13" s="333">
        <f>SUMIF(MAP!$E$758:$E$773,$B13,MAP!$T$758:$T$773)</f>
        <v>0</v>
      </c>
      <c r="K13" s="212">
        <f>SUM(C13:J13)</f>
        <v>0</v>
      </c>
      <c r="L13" s="51"/>
      <c r="M13" s="51"/>
      <c r="N13" s="51"/>
      <c r="O13" s="51"/>
    </row>
    <row r="14" spans="1:15" x14ac:dyDescent="0.2">
      <c r="B14" s="34" t="s">
        <v>437</v>
      </c>
      <c r="C14" s="333">
        <f>SUMIF(MAP!$E$493:$E$508,$B14,MAP!$T$493:$T$508)</f>
        <v>0</v>
      </c>
      <c r="D14" s="333">
        <f>SUMIF(MAP!$E$531:$E$545,$B14,MAP!$T$531:$T$545)</f>
        <v>0</v>
      </c>
      <c r="E14" s="333">
        <f>SUMIF(MAP!$E$568:$E$583,$B14,MAP!$T$568:$T$583)</f>
        <v>0</v>
      </c>
      <c r="F14" s="333">
        <f>SUMIF(MAP!$E$606:$E$621,$B14,MAP!$T$606:$T$621)</f>
        <v>0</v>
      </c>
      <c r="G14" s="333">
        <f>SUMIF(MAP!$E$645:$E$659,$B14,MAP!$T$645:$T$659)</f>
        <v>0</v>
      </c>
      <c r="H14" s="333">
        <f>SUMIF(MAP!$E$683:$E$697,$B14,MAP!$T$683:$T$697)</f>
        <v>0</v>
      </c>
      <c r="I14" s="333">
        <f>SUMIF(MAP!$E$720:$E$735,$B14,MAP!$T$720:$T$735)</f>
        <v>0</v>
      </c>
      <c r="J14" s="333">
        <f>SUMIF(MAP!$E$758:$E$773,$B14,MAP!$T$758:$T$773)</f>
        <v>0</v>
      </c>
      <c r="K14" s="212">
        <f t="shared" si="0"/>
        <v>0</v>
      </c>
      <c r="L14" s="51"/>
      <c r="M14" s="51"/>
      <c r="N14" s="51"/>
      <c r="O14" s="51"/>
    </row>
    <row r="15" spans="1:15" x14ac:dyDescent="0.2">
      <c r="B15" s="34" t="s">
        <v>191</v>
      </c>
      <c r="C15" s="333">
        <f>SUMIF(MAP!$E$493:$E$508,$B15,MAP!$T$493:$T$508)</f>
        <v>0</v>
      </c>
      <c r="D15" s="333">
        <f>SUMIF(MAP!$E$531:$E$545,$B15,MAP!$T$531:$T$545)</f>
        <v>0</v>
      </c>
      <c r="E15" s="333">
        <f>SUMIF(MAP!$E$568:$E$583,$B15,MAP!$T$568:$T$583)</f>
        <v>0</v>
      </c>
      <c r="F15" s="333">
        <f>SUMIF(MAP!$E$606:$E$621,$B15,MAP!$T$606:$T$621)</f>
        <v>0</v>
      </c>
      <c r="G15" s="333">
        <f>SUMIF(MAP!$E$645:$E$659,$B15,MAP!$T$645:$T$659)</f>
        <v>0</v>
      </c>
      <c r="H15" s="333">
        <f>SUMIF(MAP!$E$683:$E$697,$B15,MAP!$T$683:$T$697)</f>
        <v>0</v>
      </c>
      <c r="I15" s="333">
        <f>SUMIF(MAP!$E$720:$E$735,$B15,MAP!$T$720:$T$735)</f>
        <v>0</v>
      </c>
      <c r="J15" s="333">
        <f>SUMIF(MAP!$E$758:$E$773,$B15,MAP!$T$758:$T$773)</f>
        <v>0</v>
      </c>
      <c r="K15" s="212">
        <f t="shared" si="0"/>
        <v>0</v>
      </c>
      <c r="L15" s="51"/>
      <c r="M15" s="51"/>
      <c r="N15" s="51"/>
      <c r="O15" s="51"/>
    </row>
    <row r="16" spans="1:15" x14ac:dyDescent="0.2">
      <c r="B16" s="34" t="s">
        <v>186</v>
      </c>
      <c r="C16" s="333">
        <f>SUMIF(MAP!$E$493:$E$508,$B16,MAP!$T$493:$T$508)</f>
        <v>0</v>
      </c>
      <c r="D16" s="333">
        <f>SUMIF(MAP!$E$531:$E$545,$B16,MAP!$T$531:$T$545)</f>
        <v>0</v>
      </c>
      <c r="E16" s="333">
        <f>SUMIF(MAP!$E$568:$E$583,$B16,MAP!$T$568:$T$583)</f>
        <v>0</v>
      </c>
      <c r="F16" s="333">
        <f>SUMIF(MAP!$E$606:$E$621,$B16,MAP!$T$606:$T$621)</f>
        <v>0</v>
      </c>
      <c r="G16" s="333">
        <f>SUMIF(MAP!$E$645:$E$659,$B16,MAP!$T$645:$T$659)</f>
        <v>0</v>
      </c>
      <c r="H16" s="333">
        <f>SUMIF(MAP!$E$683:$E$697,$B16,MAP!$T$683:$T$697)</f>
        <v>0</v>
      </c>
      <c r="I16" s="333">
        <f>SUMIF(MAP!$E$720:$E$735,$B16,MAP!$T$720:$T$735)</f>
        <v>0</v>
      </c>
      <c r="J16" s="333">
        <f>SUMIF(MAP!$E$758:$E$773,$B16,MAP!$T$758:$T$773)</f>
        <v>0</v>
      </c>
      <c r="K16" s="212">
        <f t="shared" si="0"/>
        <v>0</v>
      </c>
      <c r="L16" s="51"/>
      <c r="M16" s="51"/>
      <c r="N16" s="51"/>
      <c r="O16" s="51"/>
    </row>
    <row r="17" spans="1:15" x14ac:dyDescent="0.2">
      <c r="B17" s="34" t="s">
        <v>810</v>
      </c>
      <c r="C17" s="333">
        <f>SUMIF(MAP!$E$493:$E$508,$B17,MAP!$T$493:$T$508)</f>
        <v>0</v>
      </c>
      <c r="D17" s="333">
        <f>SUMIF(MAP!$E$531:$E$545,$B17,MAP!$T$531:$T$545)</f>
        <v>0</v>
      </c>
      <c r="E17" s="333">
        <f>SUMIF(MAP!$E$568:$E$583,$B17,MAP!$T$568:$T$583)</f>
        <v>0</v>
      </c>
      <c r="F17" s="333">
        <f>SUMIF(MAP!$E$606:$E$621,$B17,MAP!$T$606:$T$621)</f>
        <v>0</v>
      </c>
      <c r="G17" s="333">
        <f>SUMIF(MAP!$E$645:$E$659,$B17,MAP!$T$645:$T$659)</f>
        <v>0</v>
      </c>
      <c r="H17" s="333">
        <f>SUMIF(MAP!$E$683:$E$697,$B17,MAP!$T$683:$T$697)</f>
        <v>0</v>
      </c>
      <c r="I17" s="333">
        <f>SUMIF(MAP!$E$720:$E$735,$B17,MAP!$T$720:$T$735)</f>
        <v>0</v>
      </c>
      <c r="J17" s="333">
        <f>SUMIF(MAP!$E$758:$E$773,$B17,MAP!$T$758:$T$773)</f>
        <v>0</v>
      </c>
      <c r="K17" s="212">
        <f>SUM(C17:J17)</f>
        <v>0</v>
      </c>
      <c r="L17" s="51"/>
      <c r="M17" s="51"/>
      <c r="N17" s="51"/>
      <c r="O17" s="51"/>
    </row>
    <row r="18" spans="1:15" x14ac:dyDescent="0.2">
      <c r="A18" s="353" t="s">
        <v>1066</v>
      </c>
      <c r="B18" s="34" t="s">
        <v>192</v>
      </c>
      <c r="C18" s="333">
        <f>SUMIF(MAP!$E$493:$E$508,$B18,MAP!$T$493:$T$508)</f>
        <v>0</v>
      </c>
      <c r="D18" s="333">
        <f>SUMIF(MAP!$E$531:$E$545,$B18,MAP!$T$531:$T$545)</f>
        <v>0</v>
      </c>
      <c r="E18" s="333">
        <f>SUMIF(MAP!$E$568:$E$583,$B18,MAP!$T$568:$T$583)</f>
        <v>0</v>
      </c>
      <c r="F18" s="333">
        <f>SUMIF(MAP!$E$606:$E$621,$B18,MAP!$T$606:$T$621)</f>
        <v>0</v>
      </c>
      <c r="G18" s="333">
        <f>SUMIF(MAP!$E$645:$E$659,$B18,MAP!$T$645:$T$659)</f>
        <v>0</v>
      </c>
      <c r="H18" s="333">
        <f>SUMIF(MAP!$E$683:$E$697,$B18,MAP!$T$683:$T$697)</f>
        <v>0</v>
      </c>
      <c r="I18" s="333">
        <f>SUMIF(MAP!$E$720:$E$735,$B18,MAP!$T$720:$T$735)</f>
        <v>0</v>
      </c>
      <c r="J18" s="333">
        <f>SUMIF(MAP!$E$758:$E$773,$B18,MAP!$T$758:$T$773)</f>
        <v>0</v>
      </c>
      <c r="K18" s="212">
        <f t="shared" si="0"/>
        <v>0</v>
      </c>
      <c r="L18" s="51"/>
      <c r="M18" s="51"/>
      <c r="N18" s="51"/>
      <c r="O18" s="51"/>
    </row>
    <row r="19" spans="1:15" ht="25.5" x14ac:dyDescent="0.2">
      <c r="B19" s="41" t="s">
        <v>193</v>
      </c>
      <c r="C19" s="333">
        <f>SUMIF(MAP!$E$493:$E$508,$B19,MAP!$T$493:$T$508)</f>
        <v>0</v>
      </c>
      <c r="D19" s="333">
        <f>SUMIF(MAP!$E$531:$E$545,$B19,MAP!$T$531:$T$545)</f>
        <v>0</v>
      </c>
      <c r="E19" s="333">
        <f>SUMIF(MAP!$E$568:$E$583,$B19,MAP!$T$568:$T$583)</f>
        <v>0</v>
      </c>
      <c r="F19" s="333">
        <f>SUMIF(MAP!$E$606:$E$621,$B19,MAP!$T$606:$T$621)</f>
        <v>0</v>
      </c>
      <c r="G19" s="333">
        <f>SUMIF(MAP!$E$645:$E$659,$B19,MAP!$T$645:$T$659)</f>
        <v>0</v>
      </c>
      <c r="H19" s="333">
        <f>SUMIF(MAP!$E$683:$E$697,$B19,MAP!$T$683:$T$697)</f>
        <v>0</v>
      </c>
      <c r="I19" s="333">
        <f>SUMIF(MAP!$E$720:$E$735,$B19,MAP!$T$720:$T$735)</f>
        <v>0</v>
      </c>
      <c r="J19" s="333">
        <f>SUMIF(MAP!$E$758:$E$773,$B19,MAP!$T$758:$T$773)</f>
        <v>0</v>
      </c>
      <c r="K19" s="212">
        <f t="shared" si="0"/>
        <v>0</v>
      </c>
      <c r="L19" s="51"/>
      <c r="M19" s="51"/>
      <c r="N19" s="51"/>
      <c r="O19" s="51"/>
    </row>
    <row r="20" spans="1:15" x14ac:dyDescent="0.2">
      <c r="B20" s="34" t="s">
        <v>187</v>
      </c>
      <c r="C20" s="333">
        <f>SUMIF(MAP!$E$493:$E$508,$B20,MAP!$T$493:$T$508)</f>
        <v>0</v>
      </c>
      <c r="D20" s="333">
        <f>SUMIF(MAP!$E$531:$E$545,$B20,MAP!$T$531:$T$545)</f>
        <v>0</v>
      </c>
      <c r="E20" s="333">
        <f>SUMIF(MAP!$E$568:$E$583,$B20,MAP!$T$568:$T$583)</f>
        <v>0</v>
      </c>
      <c r="F20" s="333">
        <f>SUMIF(MAP!$E$606:$E$621,$B20,MAP!$T$606:$T$621)</f>
        <v>0</v>
      </c>
      <c r="G20" s="333">
        <f>SUMIF(MAP!$E$645:$E$659,$B20,MAP!$T$645:$T$659)</f>
        <v>0</v>
      </c>
      <c r="H20" s="333">
        <f>SUMIF(MAP!$E$683:$E$697,$B20,MAP!$T$683:$T$697)</f>
        <v>0</v>
      </c>
      <c r="I20" s="333">
        <f>SUMIF(MAP!$E$720:$E$735,$B20,MAP!$T$720:$T$735)</f>
        <v>0</v>
      </c>
      <c r="J20" s="333">
        <f>SUMIF(MAP!$E$758:$E$773,$B20,MAP!$T$758:$T$773)</f>
        <v>0</v>
      </c>
      <c r="K20" s="212">
        <f t="shared" si="0"/>
        <v>0</v>
      </c>
      <c r="L20" s="51"/>
      <c r="M20" s="51"/>
      <c r="N20" s="51"/>
      <c r="O20" s="51"/>
    </row>
    <row r="21" spans="1:15" x14ac:dyDescent="0.2">
      <c r="A21" s="353" t="s">
        <v>1066</v>
      </c>
      <c r="B21" s="34" t="s">
        <v>188</v>
      </c>
      <c r="C21" s="333">
        <f>SUMIF(MAP!$E$493:$E$508,$B21,MAP!$T$493:$T$508)</f>
        <v>0</v>
      </c>
      <c r="D21" s="333">
        <f>SUMIF(MAP!$E$531:$E$545,$B21,MAP!$T$531:$T$545)</f>
        <v>0</v>
      </c>
      <c r="E21" s="333">
        <f>SUMIF(MAP!$E$568:$E$583,$B21,MAP!$T$568:$T$583)</f>
        <v>0</v>
      </c>
      <c r="F21" s="333">
        <f>SUMIF(MAP!$E$606:$E$621,$B21,MAP!$T$606:$T$621)</f>
        <v>0</v>
      </c>
      <c r="G21" s="333">
        <f>SUMIF(MAP!$E$645:$E$659,$B21,MAP!$T$645:$T$659)</f>
        <v>0</v>
      </c>
      <c r="H21" s="333">
        <f>SUMIF(MAP!$E$683:$E$697,$B21,MAP!$T$683:$T$697)</f>
        <v>0</v>
      </c>
      <c r="I21" s="333">
        <f>SUMIF(MAP!$E$720:$E$735,$B21,MAP!$T$720:$T$735)</f>
        <v>0</v>
      </c>
      <c r="J21" s="333">
        <f>SUMIF(MAP!$E$758:$E$773,$B21,MAP!$T$758:$T$773)</f>
        <v>0</v>
      </c>
      <c r="K21" s="212">
        <f t="shared" si="0"/>
        <v>0</v>
      </c>
      <c r="L21" s="51"/>
      <c r="N21" s="51"/>
      <c r="O21" s="51"/>
    </row>
    <row r="22" spans="1:15" x14ac:dyDescent="0.2">
      <c r="A22" s="353" t="s">
        <v>1066</v>
      </c>
      <c r="B22" s="34" t="s">
        <v>189</v>
      </c>
      <c r="C22" s="333">
        <f>SUMIF(MAP!$E$493:$E$508,$B22,MAP!$T$493:$T$508)</f>
        <v>0</v>
      </c>
      <c r="D22" s="333">
        <f>SUMIF(MAP!$E$531:$E$545,$B22,MAP!$T$531:$T$545)</f>
        <v>0</v>
      </c>
      <c r="E22" s="333">
        <f>SUMIF(MAP!$E$568:$E$583,$B22,MAP!$T$568:$T$583)</f>
        <v>0</v>
      </c>
      <c r="F22" s="333">
        <f>SUMIF(MAP!$E$606:$E$621,$B22,MAP!$T$606:$T$621)</f>
        <v>0</v>
      </c>
      <c r="G22" s="333">
        <f>SUMIF(MAP!$E$645:$E$659,$B22,MAP!$T$645:$T$659)</f>
        <v>0</v>
      </c>
      <c r="H22" s="333">
        <f>SUMIF(MAP!$E$683:$E$697,$B22,MAP!$T$683:$T$697)</f>
        <v>0</v>
      </c>
      <c r="I22" s="333">
        <f>SUMIF(MAP!$E$720:$E$735,$B22,MAP!$T$720:$T$735)</f>
        <v>0</v>
      </c>
      <c r="J22" s="333">
        <f>SUMIF(MAP!$E$758:$E$773,$B22,MAP!$T$758:$T$773)</f>
        <v>0</v>
      </c>
      <c r="K22" s="212">
        <f t="shared" si="0"/>
        <v>0</v>
      </c>
      <c r="L22" s="51"/>
      <c r="M22" s="47"/>
      <c r="N22" s="51"/>
      <c r="O22" s="51"/>
    </row>
    <row r="23" spans="1:15" s="37" customFormat="1" ht="19.7" customHeight="1" x14ac:dyDescent="0.2">
      <c r="B23" s="166" t="str">
        <f>"At"&amp;Update!$B$22</f>
        <v>At 31 March 2026</v>
      </c>
      <c r="C23" s="213">
        <f t="shared" ref="C23:K23" si="2">SUM(C12:C22)</f>
        <v>32712</v>
      </c>
      <c r="D23" s="213">
        <f t="shared" si="2"/>
        <v>3810</v>
      </c>
      <c r="E23" s="213">
        <f t="shared" si="2"/>
        <v>446</v>
      </c>
      <c r="F23" s="213">
        <f t="shared" si="2"/>
        <v>0</v>
      </c>
      <c r="G23" s="213">
        <f t="shared" si="2"/>
        <v>18930</v>
      </c>
      <c r="H23" s="213">
        <f t="shared" si="2"/>
        <v>27</v>
      </c>
      <c r="I23" s="213">
        <f t="shared" si="2"/>
        <v>95</v>
      </c>
      <c r="J23" s="213">
        <f t="shared" si="2"/>
        <v>0</v>
      </c>
      <c r="K23" s="213">
        <f t="shared" si="2"/>
        <v>56020</v>
      </c>
      <c r="L23" s="47"/>
      <c r="M23" s="47"/>
      <c r="N23" s="47"/>
      <c r="O23" s="47"/>
    </row>
    <row r="24" spans="1:15" x14ac:dyDescent="0.2">
      <c r="C24" s="227">
        <f>C23-MAP!T508</f>
        <v>0</v>
      </c>
      <c r="D24" s="227">
        <f>D23-MAP!$T$545</f>
        <v>0</v>
      </c>
      <c r="E24" s="227">
        <f>E23-MAP!$T$583</f>
        <v>0</v>
      </c>
      <c r="F24" s="227">
        <f>F23-MAP!$T$621</f>
        <v>0</v>
      </c>
      <c r="G24" s="227">
        <f>G23-MAP!$T$659</f>
        <v>0</v>
      </c>
      <c r="H24" s="227">
        <f>H23-MAP!$T$697</f>
        <v>0</v>
      </c>
      <c r="I24" s="227">
        <f>I23-MAP!$T$735</f>
        <v>0</v>
      </c>
      <c r="J24" s="227">
        <f>J23-MAP!$T$773</f>
        <v>0</v>
      </c>
      <c r="K24" s="212"/>
      <c r="L24" s="51"/>
      <c r="M24" s="51"/>
      <c r="N24" s="51"/>
      <c r="O24" s="51"/>
    </row>
    <row r="25" spans="1:15" x14ac:dyDescent="0.2">
      <c r="B25" s="37" t="s">
        <v>160</v>
      </c>
      <c r="C25" s="51"/>
      <c r="D25" s="51"/>
      <c r="E25" s="51"/>
      <c r="F25" s="51"/>
      <c r="G25" s="51"/>
      <c r="H25" s="51"/>
      <c r="I25" s="51"/>
      <c r="J25" s="51"/>
      <c r="K25" s="212"/>
      <c r="L25" s="51"/>
      <c r="M25" s="51"/>
      <c r="N25" s="51"/>
      <c r="O25" s="51"/>
    </row>
    <row r="26" spans="1:15" x14ac:dyDescent="0.2">
      <c r="B26" s="34" t="str">
        <f>"At"&amp;Update!$B$20&amp;" "</f>
        <v xml:space="preserve">At 1 April 2025 </v>
      </c>
      <c r="C26" s="333">
        <f>SUMIF(MAP!$E$509:$E$524,$B26,MAP!$T$509:$T$524)</f>
        <v>0</v>
      </c>
      <c r="D26" s="333">
        <f>SUMIF(MAP!$E$546:$E$559,$B26,MAP!$T$546:$T$559)</f>
        <v>481</v>
      </c>
      <c r="E26" s="333">
        <f>SUMIF(MAP!$E$584:$E$597,$B26,MAP!$T$584:$T$597)</f>
        <v>1</v>
      </c>
      <c r="F26" s="333">
        <f>SUMIF(MAP!$E$622:$E$637,$B26,MAP!$T$622:$T$637)</f>
        <v>0</v>
      </c>
      <c r="G26" s="333">
        <f>SUMIF(MAP!$E$660:$E$673,$B26,MAP!$T$660:$T$673)</f>
        <v>158</v>
      </c>
      <c r="H26" s="333">
        <f>SUMIF(MAP!$E$698:$E$711,$B26,MAP!$T$698:$T$711)</f>
        <v>5</v>
      </c>
      <c r="I26" s="333">
        <f>SUMIF(MAP!$E$736:$E$749,$B26,MAP!$T$736:$T$749)</f>
        <v>33</v>
      </c>
      <c r="J26" s="333">
        <f>SUMIF(MAP!$E$774:$E$787,$B26,MAP!$T$774:$T$787)</f>
        <v>0</v>
      </c>
      <c r="K26" s="212">
        <f t="shared" ref="K26:K34" si="3">SUM(C26:J26)</f>
        <v>678</v>
      </c>
      <c r="L26" s="51"/>
      <c r="M26" s="51"/>
      <c r="N26" s="51"/>
      <c r="O26" s="51"/>
    </row>
    <row r="27" spans="1:15" x14ac:dyDescent="0.2">
      <c r="B27" s="34" t="s">
        <v>1417</v>
      </c>
      <c r="C27" s="333">
        <f>SUMIF(MAP!$E$509:$E$524,$B27,MAP!$T$509:$T$524)</f>
        <v>0</v>
      </c>
      <c r="D27" s="333">
        <f>SUMIF(MAP!$E$546:$E$559,$B27,MAP!$T$546:$T$559)</f>
        <v>0</v>
      </c>
      <c r="E27" s="333">
        <f>SUMIF(MAP!$E$584:$E$597,$B27,MAP!$T$584:$T$597)</f>
        <v>0</v>
      </c>
      <c r="F27" s="333">
        <f>SUMIF(MAP!$E$622:$E$637,$B27,MAP!$T$622:$T$637)</f>
        <v>0</v>
      </c>
      <c r="G27" s="333">
        <f>SUMIF(MAP!$E$660:$E$673,$B27,MAP!$T$660:$T$673)</f>
        <v>0</v>
      </c>
      <c r="H27" s="333">
        <f>SUMIF(MAP!$E$698:$E$711,$B27,MAP!$T$698:$T$711)</f>
        <v>0</v>
      </c>
      <c r="I27" s="333">
        <f>SUMIF(MAP!$E$736:$E$749,$B27,MAP!$T$736:$T$749)</f>
        <v>0</v>
      </c>
      <c r="J27" s="333">
        <f>SUMIF(MAP!$E$774:$E$787,$B27,MAP!$T$774:$T$787)</f>
        <v>0</v>
      </c>
      <c r="K27" s="212">
        <f t="shared" si="3"/>
        <v>0</v>
      </c>
      <c r="L27" s="51"/>
      <c r="M27" s="51"/>
      <c r="N27" s="51"/>
      <c r="O27" s="51"/>
    </row>
    <row r="28" spans="1:15" x14ac:dyDescent="0.2">
      <c r="B28" s="34" t="s">
        <v>442</v>
      </c>
      <c r="C28" s="214">
        <f>SUM(C26:C27)</f>
        <v>0</v>
      </c>
      <c r="D28" s="214">
        <f t="shared" ref="D28:J28" si="4">SUM(D26:D27)</f>
        <v>481</v>
      </c>
      <c r="E28" s="214">
        <f t="shared" si="4"/>
        <v>1</v>
      </c>
      <c r="F28" s="214">
        <f t="shared" si="4"/>
        <v>0</v>
      </c>
      <c r="G28" s="214">
        <f t="shared" si="4"/>
        <v>158</v>
      </c>
      <c r="H28" s="214">
        <f t="shared" si="4"/>
        <v>5</v>
      </c>
      <c r="I28" s="214">
        <f t="shared" si="4"/>
        <v>33</v>
      </c>
      <c r="J28" s="214">
        <f t="shared" si="4"/>
        <v>0</v>
      </c>
      <c r="K28" s="215">
        <f>SUM(C28:J28)</f>
        <v>678</v>
      </c>
      <c r="L28" s="230">
        <f>SUM(C28:J28)-SUM(K26:K27)</f>
        <v>0</v>
      </c>
      <c r="M28" s="51"/>
      <c r="N28" s="51"/>
      <c r="O28" s="51"/>
    </row>
    <row r="29" spans="1:15" x14ac:dyDescent="0.2">
      <c r="B29" s="34" t="s">
        <v>1409</v>
      </c>
      <c r="C29" s="333">
        <f>SUMIF(MAP!$E$509:$E$524,$B29,MAP!$T$509:$T$524)</f>
        <v>0</v>
      </c>
      <c r="D29" s="333">
        <f>SUMIF(MAP!$E$546:$E$559,$B29,MAP!$T$546:$T$559)</f>
        <v>0</v>
      </c>
      <c r="E29" s="333">
        <f>SUMIF(MAP!$E$584:$E$597,$B29,MAP!$T$584:$T$597)</f>
        <v>0</v>
      </c>
      <c r="F29" s="333">
        <f>SUMIF(MAP!$E$622:$E$637,$B29,MAP!$T$622:$T$637)</f>
        <v>0</v>
      </c>
      <c r="G29" s="333">
        <f>SUMIF(MAP!$E$660:$E$673,$B29,MAP!$T$660:$T$673)</f>
        <v>0</v>
      </c>
      <c r="H29" s="333">
        <f>SUMIF(MAP!$E$698:$E$711,$B29,MAP!$T$698:$T$711)</f>
        <v>0</v>
      </c>
      <c r="I29" s="333">
        <f>SUMIF(MAP!$E$736:$E$749,$B29,MAP!$T$736:$T$749)</f>
        <v>0</v>
      </c>
      <c r="J29" s="333">
        <f>SUMIF(MAP!$E$774:$E$787,$B29,MAP!$T$774:$T$787)</f>
        <v>0</v>
      </c>
      <c r="K29" s="212">
        <f t="shared" si="3"/>
        <v>0</v>
      </c>
      <c r="L29" s="51"/>
      <c r="M29" s="51"/>
      <c r="N29" s="51"/>
      <c r="O29" s="51"/>
    </row>
    <row r="30" spans="1:15" x14ac:dyDescent="0.2">
      <c r="B30" s="34" t="s">
        <v>457</v>
      </c>
      <c r="C30" s="333">
        <f>SUMIF(MAP!$E$509:$E$524,$B30,MAP!$T$509:$T$524)</f>
        <v>0</v>
      </c>
      <c r="D30" s="333">
        <f>SUMIF(MAP!$E$546:$E$559,$B30,MAP!$T$546:$T$559)</f>
        <v>0</v>
      </c>
      <c r="E30" s="333">
        <f>SUMIF(MAP!$E$584:$E$597,$B30,MAP!$T$584:$T$597)</f>
        <v>0</v>
      </c>
      <c r="F30" s="333">
        <f>SUMIF(MAP!$E$622:$E$637,$B30,MAP!$T$622:$T$637)</f>
        <v>0</v>
      </c>
      <c r="G30" s="333">
        <f>SUMIF(MAP!$E$660:$E$673,$B30,MAP!$T$660:$T$673)</f>
        <v>0</v>
      </c>
      <c r="H30" s="333">
        <f>SUMIF(MAP!$E$698:$E$711,$B30,MAP!$T$698:$T$711)</f>
        <v>0</v>
      </c>
      <c r="I30" s="333">
        <f>SUMIF(MAP!$E$736:$E$749,$B30,MAP!$T$736:$T$749)</f>
        <v>0</v>
      </c>
      <c r="J30" s="333">
        <f>SUMIF(MAP!$E$774:$E$787,$B30,MAP!$T$774:$T$787)</f>
        <v>0</v>
      </c>
      <c r="K30" s="212">
        <f t="shared" si="3"/>
        <v>0</v>
      </c>
      <c r="L30" s="51"/>
      <c r="M30" s="51"/>
      <c r="N30" s="51"/>
      <c r="O30" s="51"/>
    </row>
    <row r="31" spans="1:15" x14ac:dyDescent="0.2">
      <c r="B31" s="34" t="s">
        <v>863</v>
      </c>
      <c r="C31" s="333">
        <f>SUMIF(MAP!$E$509:$E$524,$B31,MAP!$T$509:$T$524)</f>
        <v>0</v>
      </c>
      <c r="D31" s="333">
        <f>SUMIF(MAP!$E$546:$E$559,$B31,MAP!$T$546:$T$559)</f>
        <v>0</v>
      </c>
      <c r="E31" s="333">
        <f>SUMIF(MAP!$E$584:$E$597,$B31,MAP!$T$584:$T$597)</f>
        <v>0</v>
      </c>
      <c r="F31" s="333">
        <f>SUMIF(MAP!$E$622:$E$637,$B31,MAP!$T$622:$T$637)</f>
        <v>0</v>
      </c>
      <c r="G31" s="333">
        <f>SUMIF(MAP!$E$660:$E$673,$B31,MAP!$T$660:$T$673)</f>
        <v>0</v>
      </c>
      <c r="H31" s="333">
        <f>SUMIF(MAP!$E$698:$E$711,$B31,MAP!$T$698:$T$711)</f>
        <v>0</v>
      </c>
      <c r="I31" s="333">
        <f>SUMIF(MAP!$E$736:$E$749,$B31,MAP!$T$736:$T$749)</f>
        <v>0</v>
      </c>
      <c r="J31" s="333">
        <f>SUMIF(MAP!$E$774:$E$787,$B31,MAP!$T$774:$T$787)</f>
        <v>0</v>
      </c>
      <c r="K31" s="212">
        <f t="shared" si="3"/>
        <v>0</v>
      </c>
      <c r="L31" s="51"/>
      <c r="M31" s="51"/>
      <c r="N31" s="51"/>
      <c r="O31" s="51"/>
    </row>
    <row r="32" spans="1:15" x14ac:dyDescent="0.2">
      <c r="B32" s="34" t="s">
        <v>810</v>
      </c>
      <c r="C32" s="333">
        <f>SUMIF(MAP!$E$509:$E$524,$B32,MAP!$T$509:$T$524)</f>
        <v>0</v>
      </c>
      <c r="D32" s="333">
        <f>SUMIF(MAP!$E$546:$E$559,$B32,MAP!$T$546:$T$559)</f>
        <v>0</v>
      </c>
      <c r="E32" s="333">
        <f>SUMIF(MAP!$E$584:$E$597,$B32,MAP!$T$584:$T$597)</f>
        <v>0</v>
      </c>
      <c r="F32" s="333">
        <f>SUMIF(MAP!$E$622:$E$637,$B32,MAP!$T$622:$T$637)</f>
        <v>0</v>
      </c>
      <c r="G32" s="333">
        <f>SUMIF(MAP!$E$660:$E$673,$B32,MAP!$T$660:$T$673)</f>
        <v>0</v>
      </c>
      <c r="H32" s="333">
        <f>SUMIF(MAP!$E$698:$E$711,$B32,MAP!$T$698:$T$711)</f>
        <v>0</v>
      </c>
      <c r="I32" s="333">
        <f>SUMIF(MAP!$E$736:$E$749,$B32,MAP!$T$736:$T$749)</f>
        <v>0</v>
      </c>
      <c r="J32" s="333">
        <f>SUMIF(MAP!$E$774:$E$787,$B32,MAP!$T$774:$T$787)</f>
        <v>0</v>
      </c>
      <c r="K32" s="212">
        <f>SUM(C32:J32)</f>
        <v>0</v>
      </c>
      <c r="L32" s="51"/>
      <c r="M32" s="51"/>
      <c r="N32" s="51"/>
      <c r="O32" s="51"/>
    </row>
    <row r="33" spans="1:15" x14ac:dyDescent="0.2">
      <c r="A33" s="353" t="s">
        <v>1066</v>
      </c>
      <c r="B33" s="41" t="s">
        <v>1415</v>
      </c>
      <c r="C33" s="333">
        <f>SUMIF(MAP!$E$509:$E$524,$B33,MAP!$T$509:$T$524)</f>
        <v>0</v>
      </c>
      <c r="D33" s="333">
        <f>SUMIF(MAP!$E$546:$E$559,$B33,MAP!$T$546:$T$559)</f>
        <v>0</v>
      </c>
      <c r="E33" s="333">
        <f>SUMIF(MAP!$E$584:$E$597,$B33,MAP!$T$584:$T$597)</f>
        <v>0</v>
      </c>
      <c r="F33" s="333">
        <f>SUMIF(MAP!$E$622:$E$637,$B33,MAP!$T$622:$T$637)</f>
        <v>0</v>
      </c>
      <c r="G33" s="333">
        <f>SUMIF(MAP!$E$660:$E$673,$B33,MAP!$T$660:$T$673)</f>
        <v>0</v>
      </c>
      <c r="H33" s="333">
        <f>SUMIF(MAP!$E$698:$E$711,$B33,MAP!$T$698:$T$711)</f>
        <v>0</v>
      </c>
      <c r="I33" s="333">
        <f>SUMIF(MAP!$E$736:$E$749,$B33,MAP!$T$736:$T$749)</f>
        <v>0</v>
      </c>
      <c r="J33" s="333">
        <f>SUMIF(MAP!$E$774:$E$787,$B33,MAP!$T$774:$T$787)</f>
        <v>0</v>
      </c>
      <c r="K33" s="212">
        <f t="shared" si="3"/>
        <v>0</v>
      </c>
      <c r="M33" s="51"/>
      <c r="N33" s="51"/>
      <c r="O33" s="51"/>
    </row>
    <row r="34" spans="1:15" ht="25.5" x14ac:dyDescent="0.2">
      <c r="B34" s="125" t="s">
        <v>1410</v>
      </c>
      <c r="C34" s="333">
        <f>SUMIF(MAP!$E$509:$E$524,$B34,MAP!$T$509:$T$524)</f>
        <v>0</v>
      </c>
      <c r="D34" s="333">
        <f>SUMIF(MAP!$E$546:$E$559,$B34,MAP!$T$546:$T$559)</f>
        <v>0</v>
      </c>
      <c r="E34" s="333">
        <f>SUMIF(MAP!$E$584:$E$597,$B34,MAP!$T$584:$T$597)</f>
        <v>0</v>
      </c>
      <c r="F34" s="333">
        <f>SUMIF(MAP!$E$622:$E$637,$B34,MAP!$T$622:$T$637)</f>
        <v>0</v>
      </c>
      <c r="G34" s="333">
        <f>SUMIF(MAP!$E$660:$E$673,$B34,MAP!$T$660:$T$673)</f>
        <v>0</v>
      </c>
      <c r="H34" s="333">
        <f>SUMIF(MAP!$E$698:$E$711,$B34,MAP!$T$698:$T$711)</f>
        <v>0</v>
      </c>
      <c r="I34" s="333">
        <f>SUMIF(MAP!$E$736:$E$749,$B34,MAP!$T$736:$T$749)</f>
        <v>0</v>
      </c>
      <c r="J34" s="333">
        <f>SUMIF(MAP!$E$774:$E$787,$B34,MAP!$T$774:$T$787)</f>
        <v>0</v>
      </c>
      <c r="K34" s="212">
        <f t="shared" si="3"/>
        <v>0</v>
      </c>
      <c r="L34" s="892">
        <f>(ROUNDUP(-K19+K34-'Note 6 (C&amp;A)'!K21+'Note 6 (C&amp;A)'!K36-'Note 5.4 (C&amp;A)'!L18-'Notes 8 &amp; 9'!L32,0))*0</f>
        <v>0</v>
      </c>
      <c r="M34" s="339" t="s">
        <v>1045</v>
      </c>
      <c r="N34" s="51"/>
      <c r="O34" s="51"/>
    </row>
    <row r="35" spans="1:15" x14ac:dyDescent="0.2">
      <c r="B35" s="34" t="s">
        <v>867</v>
      </c>
      <c r="C35" s="333">
        <f>SUMIF(MAP!$E$509:$E$524,$B35,MAP!$T$509:$T$524)</f>
        <v>0</v>
      </c>
      <c r="D35" s="333">
        <f>SUMIF(MAP!$E$546:$E$559,$B35,MAP!$T$546:$T$559)</f>
        <v>0</v>
      </c>
      <c r="E35" s="333">
        <f>SUMIF(MAP!$E$584:$E$597,$B35,MAP!$T$584:$T$597)</f>
        <v>0</v>
      </c>
      <c r="F35" s="333">
        <f>SUMIF(MAP!$E$622:$E$637,$B35,MAP!$T$622:$T$637)</f>
        <v>0</v>
      </c>
      <c r="G35" s="333">
        <f>SUMIF(MAP!$E$660:$E$673,$B35,MAP!$T$660:$T$673)</f>
        <v>0</v>
      </c>
      <c r="H35" s="333">
        <f>SUMIF(MAP!$E$698:$E$711,$B35,MAP!$T$698:$T$711)</f>
        <v>0</v>
      </c>
      <c r="I35" s="333">
        <f>SUMIF(MAP!$E$736:$E$749,$B35,MAP!$T$736:$T$749)</f>
        <v>0</v>
      </c>
      <c r="J35" s="333">
        <f>SUMIF(MAP!$E$774:$E$787,$B35,MAP!$T$774:$T$787)</f>
        <v>0</v>
      </c>
      <c r="K35" s="212">
        <f>SUM(C35:J35)</f>
        <v>0</v>
      </c>
      <c r="L35" s="122"/>
      <c r="M35" s="51"/>
      <c r="N35" s="51"/>
      <c r="O35" s="51"/>
    </row>
    <row r="36" spans="1:15" x14ac:dyDescent="0.2">
      <c r="A36" s="353" t="s">
        <v>1066</v>
      </c>
      <c r="B36" s="34" t="s">
        <v>868</v>
      </c>
      <c r="C36" s="333">
        <f>SUMIF(MAP!$E$509:$E$524,$B36,MAP!$T$509:$T$524)</f>
        <v>0</v>
      </c>
      <c r="D36" s="333">
        <f>SUMIF(MAP!$E$546:$E$559,$B36,MAP!$T$546:$T$559)</f>
        <v>0</v>
      </c>
      <c r="E36" s="333">
        <f>SUMIF(MAP!$E$584:$E$597,$B36,MAP!$T$584:$T$597)</f>
        <v>0</v>
      </c>
      <c r="F36" s="333">
        <f>SUMIF(MAP!$E$622:$E$637,$B36,MAP!$T$622:$T$637)</f>
        <v>0</v>
      </c>
      <c r="G36" s="333">
        <f>SUMIF(MAP!$E$660:$E$673,$B36,MAP!$T$660:$T$673)</f>
        <v>0</v>
      </c>
      <c r="H36" s="333">
        <f>SUMIF(MAP!$E$698:$E$711,$B36,MAP!$T$698:$T$711)</f>
        <v>0</v>
      </c>
      <c r="I36" s="333">
        <f>SUMIF(MAP!$E$736:$E$749,$B36,MAP!$T$736:$T$749)</f>
        <v>0</v>
      </c>
      <c r="J36" s="333">
        <f>SUMIF(MAP!$E$774:$E$787,$B36,MAP!$T$774:$T$787)</f>
        <v>0</v>
      </c>
      <c r="K36" s="212">
        <f>SUM(C36:J36)</f>
        <v>0</v>
      </c>
      <c r="L36" s="51"/>
      <c r="M36" s="51"/>
      <c r="N36" s="51"/>
      <c r="O36" s="51"/>
    </row>
    <row r="37" spans="1:15" x14ac:dyDescent="0.2">
      <c r="A37" s="353" t="s">
        <v>1066</v>
      </c>
      <c r="B37" s="34" t="s">
        <v>1416</v>
      </c>
      <c r="C37" s="333">
        <f>SUMIF(MAP!$E$509:$E$524,$B37,MAP!$T$509:$T$524)</f>
        <v>0</v>
      </c>
      <c r="D37" s="333">
        <f>SUMIF(MAP!$E$546:$E$559,$B37,MAP!$T$546:$T$559)</f>
        <v>0</v>
      </c>
      <c r="E37" s="333">
        <f>SUMIF(MAP!$E$584:$E$597,$B37,MAP!$T$584:$T$597)</f>
        <v>0</v>
      </c>
      <c r="F37" s="333">
        <f>SUMIF(MAP!$E$622:$E$637,$B37,MAP!$T$622:$T$637)</f>
        <v>0</v>
      </c>
      <c r="G37" s="333">
        <f>SUMIF(MAP!$E$660:$E$673,$B37,MAP!$T$660:$T$673)</f>
        <v>0</v>
      </c>
      <c r="H37" s="333">
        <f>SUMIF(MAP!$E$698:$E$711,$B37,MAP!$T$698:$T$711)</f>
        <v>0</v>
      </c>
      <c r="I37" s="333">
        <f>SUMIF(MAP!$E$736:$E$749,$B37,MAP!$T$736:$T$749)</f>
        <v>0</v>
      </c>
      <c r="J37" s="333">
        <f>SUMIF(MAP!$E$774:$E$787,$B37,MAP!$T$774:$T$787)</f>
        <v>0</v>
      </c>
      <c r="K37" s="212">
        <f>SUM(C37:J37)</f>
        <v>0</v>
      </c>
      <c r="L37" s="51"/>
      <c r="M37" s="51"/>
      <c r="O37" s="51"/>
    </row>
    <row r="38" spans="1:15" s="37" customFormat="1" ht="17.45" customHeight="1" x14ac:dyDescent="0.2">
      <c r="B38" s="166" t="str">
        <f>B23</f>
        <v>At 31 March 2026</v>
      </c>
      <c r="C38" s="208">
        <f>SUM(C28:C37)</f>
        <v>0</v>
      </c>
      <c r="D38" s="208">
        <f t="shared" ref="D38:J38" si="5">SUM(D28:D37)</f>
        <v>481</v>
      </c>
      <c r="E38" s="208">
        <f t="shared" si="5"/>
        <v>1</v>
      </c>
      <c r="F38" s="208">
        <f t="shared" si="5"/>
        <v>0</v>
      </c>
      <c r="G38" s="208">
        <f t="shared" si="5"/>
        <v>158</v>
      </c>
      <c r="H38" s="208">
        <f t="shared" si="5"/>
        <v>5</v>
      </c>
      <c r="I38" s="208">
        <f t="shared" si="5"/>
        <v>33</v>
      </c>
      <c r="J38" s="208">
        <f t="shared" si="5"/>
        <v>0</v>
      </c>
      <c r="K38" s="208">
        <f>SUM(K28:K37)</f>
        <v>678</v>
      </c>
      <c r="L38" s="47"/>
      <c r="M38" s="47"/>
      <c r="N38" s="47"/>
      <c r="O38" s="47"/>
    </row>
    <row r="39" spans="1:15" x14ac:dyDescent="0.2">
      <c r="C39" s="227">
        <f>C38-MAP!$T$522</f>
        <v>0</v>
      </c>
      <c r="D39" s="227">
        <f>D38-MAP!$T$559</f>
        <v>0</v>
      </c>
      <c r="E39" s="227">
        <f>E38-MAP!$T$597</f>
        <v>0</v>
      </c>
      <c r="F39" s="227">
        <f>F38-MAP!$T$635</f>
        <v>0</v>
      </c>
      <c r="G39" s="227">
        <f>G38-MAP!$T$673</f>
        <v>0</v>
      </c>
      <c r="H39" s="227">
        <f>H38-MAP!$T$711</f>
        <v>0</v>
      </c>
      <c r="I39" s="227">
        <f>I38-MAP!$T$749</f>
        <v>0</v>
      </c>
      <c r="J39" s="227">
        <f>J38-MAP!$T$787</f>
        <v>0</v>
      </c>
      <c r="K39" s="212"/>
      <c r="L39" s="51"/>
      <c r="M39" s="51"/>
      <c r="N39" s="51"/>
      <c r="O39" s="51"/>
    </row>
    <row r="40" spans="1:15" x14ac:dyDescent="0.2">
      <c r="B40" s="37" t="s">
        <v>842</v>
      </c>
      <c r="C40" s="216"/>
      <c r="D40" s="216"/>
      <c r="E40" s="216"/>
      <c r="F40" s="216"/>
      <c r="G40" s="216"/>
      <c r="H40" s="216"/>
      <c r="I40" s="216"/>
      <c r="J40" s="216"/>
      <c r="K40" s="212"/>
      <c r="L40" s="51"/>
      <c r="M40" s="51"/>
      <c r="N40" s="51"/>
      <c r="O40" s="51"/>
    </row>
    <row r="41" spans="1:15" s="37" customFormat="1" ht="13.5" thickBot="1" x14ac:dyDescent="0.25">
      <c r="B41" s="166" t="str">
        <f>Update!$B$22</f>
        <v xml:space="preserve"> 31 March 2026</v>
      </c>
      <c r="C41" s="217">
        <f>C23-C38</f>
        <v>32712</v>
      </c>
      <c r="D41" s="217">
        <f t="shared" ref="D41:J41" si="6">D23-D38</f>
        <v>3329</v>
      </c>
      <c r="E41" s="217">
        <f t="shared" si="6"/>
        <v>445</v>
      </c>
      <c r="F41" s="217">
        <f t="shared" si="6"/>
        <v>0</v>
      </c>
      <c r="G41" s="217">
        <f t="shared" si="6"/>
        <v>18772</v>
      </c>
      <c r="H41" s="217">
        <f t="shared" si="6"/>
        <v>22</v>
      </c>
      <c r="I41" s="217">
        <f t="shared" si="6"/>
        <v>62</v>
      </c>
      <c r="J41" s="217">
        <f t="shared" si="6"/>
        <v>0</v>
      </c>
      <c r="K41" s="217">
        <f>SUM(C41:J41)</f>
        <v>55342</v>
      </c>
      <c r="L41" s="47"/>
      <c r="M41" s="47" t="s">
        <v>281</v>
      </c>
      <c r="N41" s="47"/>
      <c r="O41" s="47"/>
    </row>
    <row r="42" spans="1:15" x14ac:dyDescent="0.2">
      <c r="C42" s="212"/>
      <c r="D42" s="212"/>
      <c r="E42" s="212"/>
      <c r="F42" s="212"/>
      <c r="G42" s="212"/>
      <c r="H42" s="212"/>
      <c r="I42" s="212"/>
      <c r="J42" s="212"/>
      <c r="K42" s="212"/>
      <c r="L42" s="51"/>
      <c r="M42" s="51"/>
      <c r="N42" s="51"/>
      <c r="O42" s="51"/>
    </row>
    <row r="43" spans="1:15" x14ac:dyDescent="0.2">
      <c r="B43" s="34" t="s">
        <v>598</v>
      </c>
      <c r="C43" s="212"/>
      <c r="D43" s="212"/>
      <c r="E43" s="212"/>
      <c r="F43" s="212"/>
      <c r="G43" s="212"/>
      <c r="H43" s="212"/>
      <c r="I43" s="212"/>
      <c r="J43" s="212"/>
      <c r="K43" s="212"/>
      <c r="L43" s="51"/>
      <c r="M43" s="51"/>
      <c r="N43" s="51"/>
      <c r="O43" s="51"/>
    </row>
    <row r="44" spans="1:15" ht="13.5" thickBot="1" x14ac:dyDescent="0.25">
      <c r="B44" s="235" t="str">
        <f>Update!$B$24</f>
        <v xml:space="preserve"> 31 March 2025</v>
      </c>
      <c r="C44" s="218">
        <f t="shared" ref="C44:J44" si="7">+C10-C26</f>
        <v>32712</v>
      </c>
      <c r="D44" s="218">
        <f t="shared" si="7"/>
        <v>3329</v>
      </c>
      <c r="E44" s="218">
        <f t="shared" si="7"/>
        <v>445</v>
      </c>
      <c r="F44" s="218">
        <f t="shared" si="7"/>
        <v>0</v>
      </c>
      <c r="G44" s="218">
        <f>+G10-G26</f>
        <v>18772</v>
      </c>
      <c r="H44" s="218">
        <f t="shared" si="7"/>
        <v>22</v>
      </c>
      <c r="I44" s="218">
        <f t="shared" si="7"/>
        <v>62</v>
      </c>
      <c r="J44" s="218">
        <f t="shared" si="7"/>
        <v>0</v>
      </c>
      <c r="K44" s="218">
        <f>SUM(C44:J44)</f>
        <v>55342</v>
      </c>
      <c r="L44" s="206"/>
      <c r="M44" s="51"/>
      <c r="N44" s="51"/>
      <c r="O44" s="51"/>
    </row>
    <row r="45" spans="1:15" x14ac:dyDescent="0.2">
      <c r="C45" s="230">
        <f t="shared" ref="C45:K45" si="8">C44- (C10-C26)</f>
        <v>0</v>
      </c>
      <c r="D45" s="230">
        <f t="shared" si="8"/>
        <v>0</v>
      </c>
      <c r="E45" s="230">
        <f t="shared" si="8"/>
        <v>0</v>
      </c>
      <c r="F45" s="230">
        <f t="shared" si="8"/>
        <v>0</v>
      </c>
      <c r="G45" s="230">
        <f t="shared" si="8"/>
        <v>0</v>
      </c>
      <c r="H45" s="230">
        <f t="shared" si="8"/>
        <v>0</v>
      </c>
      <c r="I45" s="230">
        <f t="shared" si="8"/>
        <v>0</v>
      </c>
      <c r="J45" s="230">
        <f t="shared" si="8"/>
        <v>0</v>
      </c>
      <c r="K45" s="230">
        <f t="shared" si="8"/>
        <v>0</v>
      </c>
      <c r="L45" s="206"/>
      <c r="M45" s="51"/>
      <c r="N45" s="51"/>
      <c r="O45" s="51"/>
    </row>
    <row r="46" spans="1:15" x14ac:dyDescent="0.2">
      <c r="C46" s="122"/>
      <c r="D46" s="122"/>
      <c r="E46" s="122"/>
      <c r="F46" s="122"/>
      <c r="G46" s="122"/>
      <c r="H46" s="122"/>
      <c r="I46" s="122"/>
      <c r="J46" s="122"/>
      <c r="K46" s="219"/>
      <c r="L46" s="206"/>
      <c r="M46" s="51"/>
      <c r="N46" s="51"/>
      <c r="O46" s="51"/>
    </row>
    <row r="47" spans="1:15" x14ac:dyDescent="0.2">
      <c r="B47" s="37" t="s">
        <v>194</v>
      </c>
      <c r="C47" s="206"/>
      <c r="D47" s="206"/>
      <c r="E47" s="206"/>
      <c r="F47" s="206"/>
      <c r="G47" s="206"/>
      <c r="H47" s="206"/>
      <c r="I47" s="206"/>
      <c r="J47" s="206"/>
      <c r="K47" s="212"/>
      <c r="L47" s="206"/>
      <c r="M47" s="51"/>
      <c r="N47" s="51"/>
      <c r="O47" s="51"/>
    </row>
    <row r="48" spans="1:15" x14ac:dyDescent="0.2">
      <c r="B48" s="148" t="s">
        <v>197</v>
      </c>
      <c r="C48" s="333">
        <f>SUMIF(MAP!$E$525:$E$530,$B48,MAP!$T$525:$T$530)</f>
        <v>32712</v>
      </c>
      <c r="D48" s="333">
        <f>SUMIF(MAP!$E$562:$E$567,$B48,MAP!$T$562:$T$567)</f>
        <v>2963</v>
      </c>
      <c r="E48" s="333">
        <f>SUMIF(MAP!$E$600:$E$605,$B48,MAP!$T$600:$T$605)</f>
        <v>445</v>
      </c>
      <c r="F48" s="333">
        <f>SUMIF(MAP!$E$638:$E$643,$B48,MAP!$T$638:$T$643)</f>
        <v>0</v>
      </c>
      <c r="G48" s="333">
        <f>SUMIF(MAP!$E$676:$E$681,$B48,MAP!$T$676:$T$681)</f>
        <v>18772</v>
      </c>
      <c r="H48" s="333">
        <f>SUMIF(MAP!$E$714:$E$719,$B48,MAP!$T$714:$T$719)</f>
        <v>22</v>
      </c>
      <c r="I48" s="333">
        <f>SUMIF(MAP!$E$752:$E$757,$B48,MAP!$T$752:$T$757)</f>
        <v>62</v>
      </c>
      <c r="J48" s="333">
        <f>SUMIF(MAP!$E$790:$E$795,$B48,MAP!$T$790:$T$795)</f>
        <v>0</v>
      </c>
      <c r="K48" s="212">
        <f>SUM(C48:J48)</f>
        <v>54976</v>
      </c>
      <c r="L48" s="206"/>
      <c r="M48" s="51" t="s">
        <v>281</v>
      </c>
      <c r="N48" s="51"/>
      <c r="O48" s="51"/>
    </row>
    <row r="49" spans="1:15" x14ac:dyDescent="0.2">
      <c r="B49" s="148" t="s">
        <v>198</v>
      </c>
      <c r="C49" s="333">
        <f>SUMIF(MAP!$E$525:$E$530,$B49,MAP!$T$525:$T$530)</f>
        <v>0</v>
      </c>
      <c r="D49" s="333">
        <f>SUMIF(MAP!$E$562:$E$567,$B49,MAP!$T$562:$T$567)</f>
        <v>366</v>
      </c>
      <c r="E49" s="333">
        <f>SUMIF(MAP!$E$600:$E$605,$B49,MAP!$T$600:$T$605)</f>
        <v>0</v>
      </c>
      <c r="F49" s="333">
        <f>SUMIF(MAP!$E$638:$E$643,$B49,MAP!$T$638:$T$643)</f>
        <v>0</v>
      </c>
      <c r="G49" s="333">
        <f>SUMIF(MAP!$E$676:$E$681,$B49,MAP!$T$676:$T$681)</f>
        <v>0</v>
      </c>
      <c r="H49" s="333">
        <f>SUMIF(MAP!$E$714:$E$719,$B49,MAP!$T$714:$T$719)</f>
        <v>0</v>
      </c>
      <c r="I49" s="333">
        <f>SUMIF(MAP!$E$752:$E$757,$B49,MAP!$T$752:$T$757)</f>
        <v>0</v>
      </c>
      <c r="J49" s="333">
        <f>SUMIF(MAP!$E$790:$E$795,$B49,MAP!$T$790:$T$795)</f>
        <v>0</v>
      </c>
      <c r="K49" s="212">
        <f>SUM(C49:J49)</f>
        <v>366</v>
      </c>
      <c r="L49" s="206"/>
      <c r="M49" s="51"/>
      <c r="N49" s="51"/>
      <c r="O49" s="51"/>
    </row>
    <row r="50" spans="1:15" ht="25.5" x14ac:dyDescent="0.2">
      <c r="B50" s="148" t="s">
        <v>199</v>
      </c>
      <c r="C50" s="333">
        <f>SUMIF(MAP!$E$525:$E$530,$B50,MAP!$T$525:$T$530)</f>
        <v>0</v>
      </c>
      <c r="D50" s="333">
        <f>SUMIF(MAP!$E$562:$E$567,$B50,MAP!$T$562:$T$567)</f>
        <v>0</v>
      </c>
      <c r="E50" s="333">
        <f>SUMIF(MAP!$E$600:$E$605,$B50,MAP!$T$600:$T$605)</f>
        <v>0</v>
      </c>
      <c r="F50" s="333">
        <f>SUMIF(MAP!$E$638:$E$643,$B50,MAP!$T$638:$T$643)</f>
        <v>0</v>
      </c>
      <c r="G50" s="333">
        <f>SUMIF(MAP!$E$676:$E$681,$B50,MAP!$T$676:$T$681)</f>
        <v>0</v>
      </c>
      <c r="H50" s="333">
        <f>SUMIF(MAP!$E$714:$E$719,$B50,MAP!$T$714:$T$719)</f>
        <v>0</v>
      </c>
      <c r="I50" s="333">
        <f>SUMIF(MAP!$E$752:$E$757,$B50,MAP!$T$752:$T$757)</f>
        <v>0</v>
      </c>
      <c r="J50" s="333">
        <f>SUMIF(MAP!$E$790:$E$795,$B50,MAP!$T$790:$T$795)</f>
        <v>0</v>
      </c>
      <c r="K50" s="212">
        <f>SUM(C50:J50)</f>
        <v>0</v>
      </c>
      <c r="L50" s="206"/>
      <c r="M50" s="51"/>
      <c r="N50" s="51"/>
      <c r="O50" s="51"/>
    </row>
    <row r="51" spans="1:15" x14ac:dyDescent="0.2">
      <c r="B51" s="148" t="s">
        <v>1695</v>
      </c>
      <c r="C51" s="333">
        <f>SUMIF(MAP!$E$525:$E$530,$B51,MAP!$T$525:$T$530)</f>
        <v>0</v>
      </c>
      <c r="D51" s="333">
        <f>SUMIF(MAP!$E$562:$E$567,$B51,MAP!$T$562:$T$567)</f>
        <v>0</v>
      </c>
      <c r="E51" s="333">
        <f>SUMIF(MAP!$E$600:$E$605,$B51,MAP!$T$600:$T$605)</f>
        <v>0</v>
      </c>
      <c r="F51" s="333">
        <f>SUMIF(MAP!$E$638:$E$643,$B51,MAP!$T$638:$T$643)</f>
        <v>0</v>
      </c>
      <c r="G51" s="333">
        <f>SUMIF(MAP!$E$676:$E$681,$B51,MAP!$T$676:$T$681)</f>
        <v>0</v>
      </c>
      <c r="H51" s="333">
        <f>SUMIF(MAP!$E$714:$E$719,$B51,MAP!$T$714:$T$719)</f>
        <v>0</v>
      </c>
      <c r="I51" s="333">
        <f>SUMIF(MAP!$E$752:$E$757,$B51,MAP!$T$752:$T$757)</f>
        <v>0</v>
      </c>
      <c r="J51" s="333">
        <f>SUMIF(MAP!$E$790:$E$795,$B51,MAP!$T$790:$T$795)</f>
        <v>0</v>
      </c>
      <c r="K51" s="212">
        <f>SUM(C51:J51)</f>
        <v>0</v>
      </c>
      <c r="L51" s="206"/>
      <c r="M51" s="51"/>
      <c r="N51" s="51"/>
      <c r="O51" s="51"/>
    </row>
    <row r="52" spans="1:15" ht="13.5" thickBot="1" x14ac:dyDescent="0.25">
      <c r="B52" s="37" t="str">
        <f>"Carrying amount at"&amp;Update!$B$22</f>
        <v>Carrying amount at 31 March 2026</v>
      </c>
      <c r="C52" s="220">
        <f t="shared" ref="C52:K52" si="9">SUM(C48:C50)</f>
        <v>32712</v>
      </c>
      <c r="D52" s="220">
        <f t="shared" si="9"/>
        <v>3329</v>
      </c>
      <c r="E52" s="220">
        <f t="shared" si="9"/>
        <v>445</v>
      </c>
      <c r="F52" s="220">
        <f t="shared" si="9"/>
        <v>0</v>
      </c>
      <c r="G52" s="220">
        <f t="shared" si="9"/>
        <v>18772</v>
      </c>
      <c r="H52" s="220">
        <f t="shared" si="9"/>
        <v>22</v>
      </c>
      <c r="I52" s="220">
        <f t="shared" si="9"/>
        <v>62</v>
      </c>
      <c r="J52" s="220">
        <f t="shared" si="9"/>
        <v>0</v>
      </c>
      <c r="K52" s="220">
        <f t="shared" si="9"/>
        <v>55342</v>
      </c>
      <c r="L52" s="206"/>
      <c r="M52" s="51"/>
      <c r="N52" s="51"/>
      <c r="O52" s="51"/>
    </row>
    <row r="53" spans="1:15" x14ac:dyDescent="0.2">
      <c r="B53" s="37"/>
      <c r="C53" s="230">
        <f>C41-C52</f>
        <v>0</v>
      </c>
      <c r="D53" s="230">
        <f t="shared" ref="D53:K53" si="10">D41-D52</f>
        <v>0</v>
      </c>
      <c r="E53" s="230">
        <f t="shared" si="10"/>
        <v>0</v>
      </c>
      <c r="F53" s="230">
        <f t="shared" si="10"/>
        <v>0</v>
      </c>
      <c r="G53" s="230">
        <f t="shared" si="10"/>
        <v>0</v>
      </c>
      <c r="H53" s="230">
        <f t="shared" si="10"/>
        <v>0</v>
      </c>
      <c r="I53" s="230">
        <f t="shared" si="10"/>
        <v>0</v>
      </c>
      <c r="J53" s="230">
        <f t="shared" si="10"/>
        <v>0</v>
      </c>
      <c r="K53" s="230">
        <f t="shared" si="10"/>
        <v>0</v>
      </c>
      <c r="L53" s="206"/>
      <c r="M53" s="51"/>
      <c r="N53" s="51"/>
      <c r="O53" s="51"/>
    </row>
    <row r="54" spans="1:15" x14ac:dyDescent="0.2">
      <c r="B54" s="37"/>
      <c r="C54" s="122"/>
      <c r="D54" s="122"/>
      <c r="E54" s="122"/>
      <c r="F54" s="122"/>
      <c r="G54" s="122"/>
      <c r="H54" s="122"/>
      <c r="I54" s="122"/>
      <c r="J54" s="122"/>
      <c r="K54" s="219"/>
      <c r="L54" s="206"/>
      <c r="M54" s="51"/>
      <c r="N54" s="51"/>
      <c r="O54" s="51"/>
    </row>
    <row r="55" spans="1:15" x14ac:dyDescent="0.2">
      <c r="A55" s="209"/>
      <c r="B55" s="210"/>
      <c r="C55" s="221"/>
      <c r="D55" s="221"/>
      <c r="E55" s="221"/>
      <c r="F55" s="221"/>
      <c r="G55" s="221"/>
      <c r="H55" s="221"/>
      <c r="I55" s="221"/>
      <c r="J55" s="221"/>
      <c r="K55" s="222"/>
      <c r="L55" s="223"/>
      <c r="M55" s="51"/>
      <c r="N55" s="51"/>
      <c r="O55" s="51"/>
    </row>
    <row r="56" spans="1:15" x14ac:dyDescent="0.2">
      <c r="B56" s="37"/>
      <c r="C56" s="122"/>
      <c r="D56" s="122"/>
      <c r="E56" s="122"/>
      <c r="F56" s="122"/>
      <c r="G56" s="122"/>
      <c r="H56" s="122"/>
      <c r="I56" s="122"/>
      <c r="J56" s="122"/>
      <c r="K56" s="212"/>
      <c r="L56" s="51"/>
      <c r="M56" s="51"/>
      <c r="N56" s="51"/>
      <c r="O56" s="51"/>
    </row>
    <row r="57" spans="1:15" outlineLevel="1" x14ac:dyDescent="0.2">
      <c r="A57" s="229">
        <f>SUMIF(Update!$B$33:$B$106,B57,Update!$A$33:$A$106)</f>
        <v>5.1999999999999993</v>
      </c>
      <c r="B57" s="37" t="str">
        <f>"Consolidated property, plant and equipment "&amp;Update!$B$15</f>
        <v>Consolidated property, plant and equipment 2024-25</v>
      </c>
      <c r="C57" s="122"/>
      <c r="D57" s="122"/>
      <c r="E57" s="122"/>
      <c r="F57" s="122"/>
      <c r="G57" s="122"/>
      <c r="H57" s="122"/>
      <c r="I57" s="122"/>
      <c r="J57" s="122"/>
      <c r="K57" s="212"/>
      <c r="L57" s="51"/>
      <c r="M57" s="51"/>
      <c r="N57" s="51"/>
      <c r="O57" s="51"/>
    </row>
    <row r="58" spans="1:15" ht="51" outlineLevel="1" x14ac:dyDescent="0.2">
      <c r="B58" s="37"/>
      <c r="C58" s="224" t="s">
        <v>597</v>
      </c>
      <c r="D58" s="224" t="s">
        <v>196</v>
      </c>
      <c r="E58" s="224" t="s">
        <v>200</v>
      </c>
      <c r="F58" s="224" t="s">
        <v>201</v>
      </c>
      <c r="G58" s="224" t="s">
        <v>202</v>
      </c>
      <c r="H58" s="224" t="s">
        <v>839</v>
      </c>
      <c r="I58" s="224" t="s">
        <v>204</v>
      </c>
      <c r="J58" s="224" t="s">
        <v>455</v>
      </c>
      <c r="K58" s="224" t="s">
        <v>146</v>
      </c>
      <c r="L58" s="51"/>
      <c r="M58" s="51"/>
      <c r="N58" s="51"/>
      <c r="O58" s="51"/>
    </row>
    <row r="59" spans="1:15" outlineLevel="1" x14ac:dyDescent="0.2">
      <c r="C59" s="225" t="s">
        <v>462</v>
      </c>
      <c r="D59" s="225" t="s">
        <v>462</v>
      </c>
      <c r="E59" s="225" t="s">
        <v>462</v>
      </c>
      <c r="F59" s="225" t="s">
        <v>462</v>
      </c>
      <c r="G59" s="225" t="s">
        <v>462</v>
      </c>
      <c r="H59" s="225" t="s">
        <v>462</v>
      </c>
      <c r="I59" s="225" t="s">
        <v>462</v>
      </c>
      <c r="J59" s="225" t="s">
        <v>462</v>
      </c>
      <c r="K59" s="225" t="s">
        <v>462</v>
      </c>
      <c r="L59" s="51"/>
      <c r="M59" s="51"/>
      <c r="N59" s="51"/>
      <c r="O59" s="51"/>
    </row>
    <row r="60" spans="1:15" outlineLevel="1" x14ac:dyDescent="0.2">
      <c r="B60" s="37" t="s">
        <v>183</v>
      </c>
      <c r="C60" s="206"/>
      <c r="D60" s="206"/>
      <c r="E60" s="206"/>
      <c r="F60" s="206"/>
      <c r="G60" s="206"/>
      <c r="H60" s="206"/>
      <c r="I60" s="206"/>
      <c r="J60" s="206"/>
      <c r="K60" s="212"/>
      <c r="L60" s="51"/>
      <c r="M60" s="51"/>
      <c r="N60" s="51"/>
      <c r="O60" s="51"/>
    </row>
    <row r="61" spans="1:15" outlineLevel="1" x14ac:dyDescent="0.2">
      <c r="B61" s="34" t="str">
        <f>"At"&amp;Update!$B$18</f>
        <v>At 1 April 2024</v>
      </c>
      <c r="C61" s="767">
        <v>33053</v>
      </c>
      <c r="D61" s="767">
        <v>4646</v>
      </c>
      <c r="E61" s="767">
        <v>551</v>
      </c>
      <c r="F61" s="767">
        <v>19807</v>
      </c>
      <c r="G61" s="767">
        <v>7512</v>
      </c>
      <c r="H61" s="767">
        <v>26</v>
      </c>
      <c r="I61" s="767">
        <v>142</v>
      </c>
      <c r="J61" s="767">
        <v>245</v>
      </c>
      <c r="K61" s="212">
        <f>SUM(C61:J61)</f>
        <v>65982</v>
      </c>
      <c r="L61" s="51"/>
      <c r="M61" s="51"/>
      <c r="N61" s="51"/>
      <c r="O61" s="51"/>
    </row>
    <row r="62" spans="1:15" outlineLevel="1" x14ac:dyDescent="0.2">
      <c r="B62" s="56" t="s">
        <v>435</v>
      </c>
      <c r="C62" s="767">
        <v>0</v>
      </c>
      <c r="D62" s="767">
        <v>0</v>
      </c>
      <c r="E62" s="767">
        <v>0</v>
      </c>
      <c r="F62" s="767">
        <v>0</v>
      </c>
      <c r="G62" s="767">
        <v>0</v>
      </c>
      <c r="H62" s="767">
        <v>0</v>
      </c>
      <c r="I62" s="767">
        <v>0</v>
      </c>
      <c r="J62" s="767">
        <v>0</v>
      </c>
      <c r="K62" s="212">
        <f>SUM(C62:J62)</f>
        <v>0</v>
      </c>
      <c r="L62" s="51"/>
      <c r="M62" s="51"/>
      <c r="N62" s="51"/>
      <c r="O62" s="51"/>
    </row>
    <row r="63" spans="1:15" outlineLevel="1" x14ac:dyDescent="0.2">
      <c r="B63" s="34" t="s">
        <v>442</v>
      </c>
      <c r="C63" s="215">
        <f t="shared" ref="C63:J63" si="11">SUM(C61:C62)</f>
        <v>33053</v>
      </c>
      <c r="D63" s="215">
        <f t="shared" si="11"/>
        <v>4646</v>
      </c>
      <c r="E63" s="215">
        <f t="shared" si="11"/>
        <v>551</v>
      </c>
      <c r="F63" s="215">
        <f t="shared" si="11"/>
        <v>19807</v>
      </c>
      <c r="G63" s="215">
        <f t="shared" si="11"/>
        <v>7512</v>
      </c>
      <c r="H63" s="215">
        <f t="shared" si="11"/>
        <v>26</v>
      </c>
      <c r="I63" s="215">
        <f t="shared" si="11"/>
        <v>142</v>
      </c>
      <c r="J63" s="215">
        <f t="shared" si="11"/>
        <v>245</v>
      </c>
      <c r="K63" s="215">
        <f>SUM(C63:J63)</f>
        <v>65982</v>
      </c>
      <c r="L63" s="122" t="str">
        <f>IF(SUM(C63:J63)=SUM(K61:K62),"OK","ERROR")</f>
        <v>OK</v>
      </c>
      <c r="M63" s="51"/>
      <c r="N63" s="51"/>
      <c r="O63" s="51"/>
    </row>
    <row r="64" spans="1:15" outlineLevel="1" x14ac:dyDescent="0.2">
      <c r="B64" s="34" t="s">
        <v>185</v>
      </c>
      <c r="C64" s="767">
        <v>0</v>
      </c>
      <c r="D64" s="767">
        <v>89</v>
      </c>
      <c r="E64" s="767">
        <v>0</v>
      </c>
      <c r="F64" s="767">
        <v>3357</v>
      </c>
      <c r="G64" s="767">
        <v>31479</v>
      </c>
      <c r="H64" s="767">
        <v>0</v>
      </c>
      <c r="I64" s="767">
        <v>0</v>
      </c>
      <c r="J64" s="767">
        <v>90</v>
      </c>
      <c r="K64" s="212">
        <f t="shared" ref="K64:K72" si="12">SUM(C64:J64)</f>
        <v>35015</v>
      </c>
      <c r="L64" s="51"/>
      <c r="M64" s="51"/>
      <c r="N64" s="51"/>
      <c r="O64" s="51"/>
    </row>
    <row r="65" spans="2:15" outlineLevel="1" x14ac:dyDescent="0.2">
      <c r="B65" s="34" t="s">
        <v>437</v>
      </c>
      <c r="C65" s="767">
        <v>0</v>
      </c>
      <c r="D65" s="767">
        <v>0</v>
      </c>
      <c r="E65" s="767">
        <v>0</v>
      </c>
      <c r="F65" s="767">
        <v>0</v>
      </c>
      <c r="G65" s="767">
        <v>0</v>
      </c>
      <c r="H65" s="767">
        <v>0</v>
      </c>
      <c r="I65" s="767">
        <v>0</v>
      </c>
      <c r="J65" s="767">
        <v>0</v>
      </c>
      <c r="K65" s="212">
        <f t="shared" si="12"/>
        <v>0</v>
      </c>
      <c r="L65" s="51"/>
      <c r="M65" s="51"/>
      <c r="N65" s="51"/>
      <c r="O65" s="51"/>
    </row>
    <row r="66" spans="2:15" outlineLevel="1" x14ac:dyDescent="0.2">
      <c r="B66" s="34" t="s">
        <v>191</v>
      </c>
      <c r="C66" s="767">
        <v>0</v>
      </c>
      <c r="D66" s="767">
        <v>-103</v>
      </c>
      <c r="E66" s="767">
        <v>0</v>
      </c>
      <c r="F66" s="767">
        <v>-1036</v>
      </c>
      <c r="G66" s="767">
        <v>0</v>
      </c>
      <c r="H66" s="767">
        <v>0</v>
      </c>
      <c r="I66" s="767">
        <v>0</v>
      </c>
      <c r="J66" s="767">
        <v>0</v>
      </c>
      <c r="K66" s="212">
        <f>SUM(C66:J66)</f>
        <v>-1139</v>
      </c>
      <c r="L66" s="51"/>
      <c r="M66" s="51"/>
      <c r="N66" s="51"/>
      <c r="O66" s="51"/>
    </row>
    <row r="67" spans="2:15" outlineLevel="1" x14ac:dyDescent="0.2">
      <c r="B67" s="34" t="s">
        <v>186</v>
      </c>
      <c r="C67" s="767">
        <v>3800</v>
      </c>
      <c r="D67" s="767">
        <v>9745</v>
      </c>
      <c r="E67" s="767">
        <v>0</v>
      </c>
      <c r="F67" s="767">
        <v>-7</v>
      </c>
      <c r="G67" s="767">
        <v>0</v>
      </c>
      <c r="H67" s="767">
        <v>0</v>
      </c>
      <c r="I67" s="767">
        <v>0</v>
      </c>
      <c r="J67" s="767">
        <v>0</v>
      </c>
      <c r="K67" s="212">
        <f t="shared" si="12"/>
        <v>13538</v>
      </c>
      <c r="L67" s="51"/>
      <c r="M67" s="51"/>
      <c r="N67" s="51"/>
      <c r="O67" s="51"/>
    </row>
    <row r="68" spans="2:15" outlineLevel="1" x14ac:dyDescent="0.2">
      <c r="B68" s="34" t="s">
        <v>810</v>
      </c>
      <c r="C68" s="767">
        <v>0</v>
      </c>
      <c r="D68" s="767">
        <v>0</v>
      </c>
      <c r="E68" s="767">
        <v>0</v>
      </c>
      <c r="F68" s="767">
        <v>0</v>
      </c>
      <c r="G68" s="767">
        <v>0</v>
      </c>
      <c r="H68" s="767">
        <v>0</v>
      </c>
      <c r="I68" s="767">
        <v>0</v>
      </c>
      <c r="J68" s="767">
        <v>0</v>
      </c>
      <c r="K68" s="212"/>
      <c r="L68" s="51"/>
      <c r="M68" s="51"/>
      <c r="N68" s="51"/>
      <c r="O68" s="51"/>
    </row>
    <row r="69" spans="2:15" ht="25.5" outlineLevel="1" x14ac:dyDescent="0.2">
      <c r="B69" s="41" t="s">
        <v>438</v>
      </c>
      <c r="C69" s="767">
        <v>0</v>
      </c>
      <c r="D69" s="767">
        <v>0</v>
      </c>
      <c r="E69" s="767">
        <v>0</v>
      </c>
      <c r="F69" s="767">
        <v>0</v>
      </c>
      <c r="G69" s="767">
        <v>0</v>
      </c>
      <c r="H69" s="767">
        <v>0</v>
      </c>
      <c r="I69" s="767">
        <v>0</v>
      </c>
      <c r="J69" s="767">
        <v>0</v>
      </c>
      <c r="K69" s="212">
        <f t="shared" si="12"/>
        <v>0</v>
      </c>
      <c r="L69" s="51"/>
      <c r="M69" s="51"/>
      <c r="N69" s="51"/>
      <c r="O69" s="51"/>
    </row>
    <row r="70" spans="2:15" ht="25.5" outlineLevel="1" x14ac:dyDescent="0.2">
      <c r="B70" s="41" t="s">
        <v>193</v>
      </c>
      <c r="C70" s="767">
        <v>-1222</v>
      </c>
      <c r="D70" s="767">
        <v>-13</v>
      </c>
      <c r="E70" s="767">
        <v>-21</v>
      </c>
      <c r="F70" s="767">
        <v>0</v>
      </c>
      <c r="G70" s="767">
        <v>-20061</v>
      </c>
      <c r="H70" s="767">
        <v>0</v>
      </c>
      <c r="I70" s="767">
        <v>0</v>
      </c>
      <c r="J70" s="767">
        <v>0</v>
      </c>
      <c r="K70" s="212">
        <f t="shared" si="12"/>
        <v>-21317</v>
      </c>
      <c r="L70" s="51"/>
      <c r="M70" s="51"/>
      <c r="N70" s="51"/>
      <c r="O70" s="51"/>
    </row>
    <row r="71" spans="2:15" outlineLevel="1" x14ac:dyDescent="0.2">
      <c r="B71" s="34" t="s">
        <v>187</v>
      </c>
      <c r="C71" s="767">
        <v>0</v>
      </c>
      <c r="D71" s="767">
        <v>0</v>
      </c>
      <c r="E71" s="767">
        <v>0</v>
      </c>
      <c r="F71" s="767">
        <v>0</v>
      </c>
      <c r="G71" s="767">
        <v>0</v>
      </c>
      <c r="H71" s="767">
        <v>0</v>
      </c>
      <c r="I71" s="767">
        <v>0</v>
      </c>
      <c r="J71" s="767">
        <v>0</v>
      </c>
      <c r="K71" s="212">
        <f t="shared" si="12"/>
        <v>0</v>
      </c>
      <c r="L71" s="51"/>
      <c r="M71" s="51"/>
      <c r="N71" s="51"/>
      <c r="O71" s="51"/>
    </row>
    <row r="72" spans="2:15" outlineLevel="1" x14ac:dyDescent="0.2">
      <c r="B72" s="34" t="s">
        <v>188</v>
      </c>
      <c r="C72" s="767">
        <v>0</v>
      </c>
      <c r="D72" s="767">
        <v>6</v>
      </c>
      <c r="E72" s="767">
        <v>0</v>
      </c>
      <c r="F72" s="767">
        <v>9</v>
      </c>
      <c r="G72" s="767">
        <v>0</v>
      </c>
      <c r="H72" s="767">
        <v>1</v>
      </c>
      <c r="I72" s="767">
        <v>10</v>
      </c>
      <c r="J72" s="767">
        <v>0</v>
      </c>
      <c r="K72" s="212">
        <f t="shared" si="12"/>
        <v>26</v>
      </c>
      <c r="L72" s="51"/>
      <c r="M72" s="51"/>
      <c r="N72" s="51"/>
      <c r="O72" s="51"/>
    </row>
    <row r="73" spans="2:15" outlineLevel="1" x14ac:dyDescent="0.2">
      <c r="B73" s="34" t="s">
        <v>189</v>
      </c>
      <c r="C73" s="767">
        <v>881</v>
      </c>
      <c r="D73" s="767">
        <v>-745</v>
      </c>
      <c r="E73" s="767">
        <v>-84</v>
      </c>
      <c r="F73" s="767">
        <v>0</v>
      </c>
      <c r="G73" s="767">
        <v>0</v>
      </c>
      <c r="H73" s="767">
        <v>0</v>
      </c>
      <c r="I73" s="767">
        <v>0</v>
      </c>
      <c r="J73" s="767">
        <v>0</v>
      </c>
      <c r="K73" s="212">
        <f>SUM(C73:J73)</f>
        <v>52</v>
      </c>
      <c r="L73" s="51"/>
      <c r="M73" s="51"/>
      <c r="N73" s="51"/>
      <c r="O73" s="51"/>
    </row>
    <row r="74" spans="2:15" outlineLevel="1" x14ac:dyDescent="0.2">
      <c r="B74" s="166" t="str">
        <f>"At"&amp;Update!$B$24</f>
        <v>At 31 March 2025</v>
      </c>
      <c r="C74" s="208">
        <f>SUM(C63:C73)</f>
        <v>36512</v>
      </c>
      <c r="D74" s="208">
        <f t="shared" ref="D74:K74" si="13">SUM(D63:D73)</f>
        <v>13625</v>
      </c>
      <c r="E74" s="208">
        <f t="shared" si="13"/>
        <v>446</v>
      </c>
      <c r="F74" s="208">
        <f t="shared" si="13"/>
        <v>22130</v>
      </c>
      <c r="G74" s="208">
        <f t="shared" si="13"/>
        <v>18930</v>
      </c>
      <c r="H74" s="208">
        <f t="shared" si="13"/>
        <v>27</v>
      </c>
      <c r="I74" s="208">
        <f t="shared" si="13"/>
        <v>152</v>
      </c>
      <c r="J74" s="208">
        <f t="shared" si="13"/>
        <v>335</v>
      </c>
      <c r="K74" s="208">
        <f t="shared" si="13"/>
        <v>92157</v>
      </c>
      <c r="L74" s="51"/>
      <c r="M74" s="51"/>
      <c r="N74" s="51"/>
      <c r="O74" s="51"/>
    </row>
    <row r="75" spans="2:15" outlineLevel="1" x14ac:dyDescent="0.2">
      <c r="C75" s="212"/>
      <c r="D75" s="212"/>
      <c r="E75" s="212"/>
      <c r="F75" s="212"/>
      <c r="G75" s="212"/>
      <c r="H75" s="212"/>
      <c r="I75" s="212"/>
      <c r="J75" s="212"/>
      <c r="K75" s="212"/>
      <c r="L75" s="51"/>
      <c r="M75" s="51"/>
      <c r="N75" s="51"/>
      <c r="O75" s="51"/>
    </row>
    <row r="76" spans="2:15" outlineLevel="1" x14ac:dyDescent="0.2">
      <c r="B76" s="37" t="s">
        <v>160</v>
      </c>
      <c r="C76" s="212"/>
      <c r="D76" s="212"/>
      <c r="E76" s="212"/>
      <c r="F76" s="212"/>
      <c r="G76" s="212"/>
      <c r="H76" s="212"/>
      <c r="I76" s="212"/>
      <c r="J76" s="212"/>
      <c r="K76" s="212"/>
      <c r="L76" s="206"/>
      <c r="M76" s="206"/>
      <c r="N76" s="206"/>
      <c r="O76" s="206"/>
    </row>
    <row r="77" spans="2:15" outlineLevel="1" x14ac:dyDescent="0.2">
      <c r="B77" s="34" t="str">
        <f>B61</f>
        <v>At 1 April 2024</v>
      </c>
      <c r="C77" s="767">
        <v>0</v>
      </c>
      <c r="D77" s="767">
        <v>1747</v>
      </c>
      <c r="E77" s="767">
        <v>97</v>
      </c>
      <c r="F77" s="767">
        <v>12446</v>
      </c>
      <c r="G77" s="767">
        <v>158</v>
      </c>
      <c r="H77" s="767">
        <v>2</v>
      </c>
      <c r="I77" s="767">
        <v>68</v>
      </c>
      <c r="J77" s="767">
        <v>0</v>
      </c>
      <c r="K77" s="212">
        <f>SUM(C77:J77)</f>
        <v>14518</v>
      </c>
      <c r="L77" s="51"/>
      <c r="M77" s="51"/>
      <c r="N77" s="51"/>
      <c r="O77" s="51"/>
    </row>
    <row r="78" spans="2:15" outlineLevel="1" x14ac:dyDescent="0.2">
      <c r="B78" s="56" t="s">
        <v>435</v>
      </c>
      <c r="C78" s="767">
        <v>0</v>
      </c>
      <c r="D78" s="767">
        <v>0</v>
      </c>
      <c r="E78" s="767">
        <v>0</v>
      </c>
      <c r="F78" s="767">
        <v>0</v>
      </c>
      <c r="G78" s="767">
        <v>0</v>
      </c>
      <c r="H78" s="767">
        <v>0</v>
      </c>
      <c r="I78" s="767">
        <v>0</v>
      </c>
      <c r="J78" s="767">
        <v>0</v>
      </c>
      <c r="K78" s="212">
        <f>SUM(C78:J78)</f>
        <v>0</v>
      </c>
      <c r="L78" s="51"/>
      <c r="M78" s="51"/>
      <c r="N78" s="51"/>
      <c r="O78" s="51"/>
    </row>
    <row r="79" spans="2:15" outlineLevel="1" x14ac:dyDescent="0.2">
      <c r="B79" s="34" t="s">
        <v>442</v>
      </c>
      <c r="C79" s="215">
        <f t="shared" ref="C79:K79" si="14">SUM(C77:C78)</f>
        <v>0</v>
      </c>
      <c r="D79" s="215">
        <f t="shared" si="14"/>
        <v>1747</v>
      </c>
      <c r="E79" s="215">
        <f t="shared" si="14"/>
        <v>97</v>
      </c>
      <c r="F79" s="215">
        <f t="shared" si="14"/>
        <v>12446</v>
      </c>
      <c r="G79" s="215">
        <f t="shared" si="14"/>
        <v>158</v>
      </c>
      <c r="H79" s="215">
        <f t="shared" si="14"/>
        <v>2</v>
      </c>
      <c r="I79" s="215">
        <f t="shared" si="14"/>
        <v>68</v>
      </c>
      <c r="J79" s="215">
        <f t="shared" si="14"/>
        <v>0</v>
      </c>
      <c r="K79" s="215">
        <f t="shared" si="14"/>
        <v>14518</v>
      </c>
      <c r="L79" s="122" t="str">
        <f>IF(SUM(C79:J79)=SUM(K77:K78),"OK","ERROR")</f>
        <v>OK</v>
      </c>
      <c r="M79" s="51"/>
      <c r="N79" s="51"/>
      <c r="O79" s="51"/>
    </row>
    <row r="80" spans="2:15" outlineLevel="1" x14ac:dyDescent="0.2">
      <c r="B80" s="34" t="s">
        <v>190</v>
      </c>
      <c r="C80" s="767">
        <v>0</v>
      </c>
      <c r="D80" s="767">
        <v>733</v>
      </c>
      <c r="E80" s="767">
        <v>24</v>
      </c>
      <c r="F80" s="767">
        <v>2912</v>
      </c>
      <c r="G80" s="767">
        <v>0</v>
      </c>
      <c r="H80" s="767">
        <v>3</v>
      </c>
      <c r="I80" s="767">
        <v>9</v>
      </c>
      <c r="J80" s="767">
        <v>0</v>
      </c>
      <c r="K80" s="212">
        <f>SUM(C80:J80)</f>
        <v>3681</v>
      </c>
      <c r="L80" s="51"/>
      <c r="M80" s="51"/>
      <c r="N80" s="51"/>
      <c r="O80" s="51"/>
    </row>
    <row r="81" spans="2:15" outlineLevel="1" x14ac:dyDescent="0.2">
      <c r="B81" s="34" t="s">
        <v>191</v>
      </c>
      <c r="C81" s="767">
        <v>0</v>
      </c>
      <c r="D81" s="767">
        <v>-103</v>
      </c>
      <c r="E81" s="767">
        <v>0</v>
      </c>
      <c r="F81" s="767">
        <v>-1036</v>
      </c>
      <c r="G81" s="767">
        <v>0</v>
      </c>
      <c r="H81" s="767">
        <v>0</v>
      </c>
      <c r="I81" s="767">
        <v>0</v>
      </c>
      <c r="J81" s="767">
        <v>0</v>
      </c>
      <c r="K81" s="212">
        <f>SUM(C81:J81)</f>
        <v>-1139</v>
      </c>
      <c r="L81" s="51"/>
      <c r="M81" s="51"/>
      <c r="N81" s="51"/>
      <c r="O81" s="51"/>
    </row>
    <row r="82" spans="2:15" outlineLevel="1" x14ac:dyDescent="0.2">
      <c r="B82" s="34" t="s">
        <v>186</v>
      </c>
      <c r="C82" s="767">
        <v>0</v>
      </c>
      <c r="D82" s="767">
        <v>1969</v>
      </c>
      <c r="E82" s="767">
        <v>0</v>
      </c>
      <c r="F82" s="767">
        <v>-7</v>
      </c>
      <c r="G82" s="767">
        <v>0</v>
      </c>
      <c r="H82" s="767">
        <v>0</v>
      </c>
      <c r="I82" s="767">
        <v>0</v>
      </c>
      <c r="J82" s="767">
        <v>0</v>
      </c>
      <c r="K82" s="212">
        <f t="shared" ref="K82:K87" si="15">SUM(C82:J82)</f>
        <v>1962</v>
      </c>
      <c r="L82" s="51"/>
      <c r="M82" s="51"/>
      <c r="N82" s="51"/>
      <c r="O82" s="51"/>
    </row>
    <row r="83" spans="2:15" outlineLevel="1" x14ac:dyDescent="0.2">
      <c r="B83" s="34" t="s">
        <v>810</v>
      </c>
      <c r="C83" s="767">
        <v>0</v>
      </c>
      <c r="D83" s="767">
        <v>0</v>
      </c>
      <c r="E83" s="767">
        <v>0</v>
      </c>
      <c r="F83" s="767">
        <v>0</v>
      </c>
      <c r="G83" s="767">
        <v>0</v>
      </c>
      <c r="H83" s="767">
        <v>0</v>
      </c>
      <c r="I83" s="767">
        <v>0</v>
      </c>
      <c r="J83" s="767">
        <v>0</v>
      </c>
      <c r="K83" s="212"/>
      <c r="L83" s="51"/>
      <c r="M83" s="51"/>
      <c r="N83" s="51"/>
      <c r="O83" s="51"/>
    </row>
    <row r="84" spans="2:15" ht="25.5" outlineLevel="1" x14ac:dyDescent="0.2">
      <c r="B84" s="41" t="s">
        <v>438</v>
      </c>
      <c r="C84" s="767">
        <v>0</v>
      </c>
      <c r="D84" s="767">
        <v>0</v>
      </c>
      <c r="E84" s="767">
        <v>0</v>
      </c>
      <c r="F84" s="767">
        <v>0</v>
      </c>
      <c r="G84" s="767">
        <v>0</v>
      </c>
      <c r="H84" s="767">
        <v>0</v>
      </c>
      <c r="I84" s="767">
        <v>0</v>
      </c>
      <c r="J84" s="767">
        <v>0</v>
      </c>
      <c r="K84" s="212">
        <f t="shared" si="15"/>
        <v>0</v>
      </c>
      <c r="L84" s="122" t="str">
        <f>IF(ROUND(-K70+K85-'Note 6 (C&amp;A)'!K67+'Note 6 (C&amp;A)'!K82-'Note 5.4 (C&amp;A)'!M18,0)=ROUND('Note 3a'!L28+'Note 3b &amp; 3c'!K27+'Notes 8 &amp; 9'!L57,0),"OK","ERROR")</f>
        <v>OK</v>
      </c>
      <c r="M84" s="51"/>
      <c r="N84" s="51"/>
      <c r="O84" s="51"/>
    </row>
    <row r="85" spans="2:15" ht="25.5" outlineLevel="1" x14ac:dyDescent="0.2">
      <c r="B85" s="41" t="s">
        <v>193</v>
      </c>
      <c r="C85" s="767">
        <v>0</v>
      </c>
      <c r="D85" s="767">
        <v>-27</v>
      </c>
      <c r="E85" s="767">
        <v>-3</v>
      </c>
      <c r="F85" s="767">
        <v>0</v>
      </c>
      <c r="G85" s="767">
        <v>0</v>
      </c>
      <c r="H85" s="767">
        <v>0</v>
      </c>
      <c r="I85" s="767">
        <v>0</v>
      </c>
      <c r="J85" s="767">
        <v>0</v>
      </c>
      <c r="K85" s="212">
        <f t="shared" si="15"/>
        <v>-30</v>
      </c>
      <c r="L85" s="122"/>
      <c r="M85" s="51"/>
      <c r="N85" s="51"/>
      <c r="O85" s="51"/>
    </row>
    <row r="86" spans="2:15" outlineLevel="1" x14ac:dyDescent="0.2">
      <c r="B86" s="34" t="s">
        <v>187</v>
      </c>
      <c r="C86" s="767">
        <v>0</v>
      </c>
      <c r="D86" s="767">
        <v>0</v>
      </c>
      <c r="E86" s="767">
        <v>0</v>
      </c>
      <c r="F86" s="767">
        <v>0</v>
      </c>
      <c r="G86" s="767">
        <v>0</v>
      </c>
      <c r="H86" s="767">
        <v>0</v>
      </c>
      <c r="I86" s="767">
        <v>0</v>
      </c>
      <c r="J86" s="767">
        <v>0</v>
      </c>
      <c r="K86" s="212">
        <f t="shared" si="15"/>
        <v>0</v>
      </c>
      <c r="L86" s="122"/>
      <c r="M86" s="51"/>
      <c r="N86" s="51"/>
      <c r="O86" s="51"/>
    </row>
    <row r="87" spans="2:15" outlineLevel="1" x14ac:dyDescent="0.2">
      <c r="B87" s="34" t="s">
        <v>188</v>
      </c>
      <c r="C87" s="767">
        <v>0</v>
      </c>
      <c r="D87" s="767">
        <v>5</v>
      </c>
      <c r="E87" s="767">
        <v>0</v>
      </c>
      <c r="F87" s="767">
        <v>6</v>
      </c>
      <c r="G87" s="767">
        <v>0</v>
      </c>
      <c r="H87" s="767">
        <v>0</v>
      </c>
      <c r="I87" s="767">
        <v>4</v>
      </c>
      <c r="J87" s="767">
        <v>0</v>
      </c>
      <c r="K87" s="212">
        <f t="shared" si="15"/>
        <v>15</v>
      </c>
      <c r="L87" s="122"/>
      <c r="M87" s="51"/>
      <c r="N87" s="51"/>
      <c r="O87" s="51"/>
    </row>
    <row r="88" spans="2:15" outlineLevel="1" x14ac:dyDescent="0.2">
      <c r="B88" s="34" t="s">
        <v>189</v>
      </c>
      <c r="C88" s="767">
        <v>0</v>
      </c>
      <c r="D88" s="767">
        <v>-3198</v>
      </c>
      <c r="E88" s="767">
        <v>-117</v>
      </c>
      <c r="F88" s="767">
        <v>0</v>
      </c>
      <c r="G88" s="767">
        <v>0</v>
      </c>
      <c r="H88" s="767">
        <v>0</v>
      </c>
      <c r="I88" s="767">
        <v>0</v>
      </c>
      <c r="J88" s="767">
        <v>0</v>
      </c>
      <c r="K88" s="212">
        <f>SUM(C88:J88)</f>
        <v>-3315</v>
      </c>
      <c r="L88" s="51"/>
      <c r="M88" s="51"/>
      <c r="N88" s="51"/>
      <c r="O88" s="51"/>
    </row>
    <row r="89" spans="2:15" ht="18.95" customHeight="1" outlineLevel="1" x14ac:dyDescent="0.2">
      <c r="B89" s="37" t="str">
        <f>B74</f>
        <v>At 31 March 2025</v>
      </c>
      <c r="C89" s="208">
        <f>SUM(C79:C88)</f>
        <v>0</v>
      </c>
      <c r="D89" s="208">
        <f t="shared" ref="D89:J89" si="16">SUM(D79:D88)</f>
        <v>1126</v>
      </c>
      <c r="E89" s="208">
        <f t="shared" si="16"/>
        <v>1</v>
      </c>
      <c r="F89" s="208">
        <f t="shared" si="16"/>
        <v>14321</v>
      </c>
      <c r="G89" s="208">
        <f t="shared" si="16"/>
        <v>158</v>
      </c>
      <c r="H89" s="208">
        <f t="shared" si="16"/>
        <v>5</v>
      </c>
      <c r="I89" s="208">
        <f t="shared" si="16"/>
        <v>81</v>
      </c>
      <c r="J89" s="208">
        <f t="shared" si="16"/>
        <v>0</v>
      </c>
      <c r="K89" s="208">
        <f>SUM(K79:K88)</f>
        <v>15692</v>
      </c>
      <c r="L89" s="51"/>
      <c r="M89" s="51"/>
      <c r="N89" s="51"/>
      <c r="O89" s="51"/>
    </row>
    <row r="90" spans="2:15" outlineLevel="1" x14ac:dyDescent="0.2">
      <c r="C90" s="212"/>
      <c r="D90" s="212"/>
      <c r="E90" s="212"/>
      <c r="F90" s="212"/>
      <c r="G90" s="212"/>
      <c r="H90" s="212"/>
      <c r="I90" s="212"/>
      <c r="J90" s="212"/>
      <c r="K90" s="212"/>
      <c r="L90" s="51"/>
      <c r="M90" s="51"/>
      <c r="N90" s="51"/>
      <c r="O90" s="51"/>
    </row>
    <row r="91" spans="2:15" outlineLevel="1" x14ac:dyDescent="0.2">
      <c r="B91" s="34" t="s">
        <v>842</v>
      </c>
      <c r="C91" s="212"/>
      <c r="D91" s="212"/>
      <c r="E91" s="212"/>
      <c r="F91" s="212"/>
      <c r="G91" s="212"/>
      <c r="H91" s="212"/>
      <c r="I91" s="212"/>
      <c r="J91" s="212"/>
      <c r="K91" s="212"/>
      <c r="L91" s="51"/>
      <c r="M91" s="51"/>
      <c r="N91" s="51"/>
      <c r="O91" s="51"/>
    </row>
    <row r="92" spans="2:15" ht="13.5" outlineLevel="1" thickBot="1" x14ac:dyDescent="0.25">
      <c r="B92" s="156" t="str">
        <f>$B$89</f>
        <v>At 31 March 2025</v>
      </c>
      <c r="C92" s="217">
        <f>C74-C89</f>
        <v>36512</v>
      </c>
      <c r="D92" s="217">
        <f t="shared" ref="D92:J92" si="17">D74-D89</f>
        <v>12499</v>
      </c>
      <c r="E92" s="217">
        <f t="shared" si="17"/>
        <v>445</v>
      </c>
      <c r="F92" s="217">
        <f t="shared" si="17"/>
        <v>7809</v>
      </c>
      <c r="G92" s="217">
        <f t="shared" si="17"/>
        <v>18772</v>
      </c>
      <c r="H92" s="217">
        <f t="shared" si="17"/>
        <v>22</v>
      </c>
      <c r="I92" s="217">
        <f t="shared" si="17"/>
        <v>71</v>
      </c>
      <c r="J92" s="217">
        <f t="shared" si="17"/>
        <v>335</v>
      </c>
      <c r="K92" s="217">
        <f>SUM(C92:J92)</f>
        <v>76465</v>
      </c>
      <c r="L92" s="51"/>
      <c r="M92" s="51"/>
      <c r="N92" s="51"/>
      <c r="O92" s="51"/>
    </row>
    <row r="93" spans="2:15" outlineLevel="1" x14ac:dyDescent="0.2">
      <c r="C93" s="212"/>
      <c r="D93" s="212"/>
      <c r="E93" s="212"/>
      <c r="F93" s="212"/>
      <c r="G93" s="212"/>
      <c r="H93" s="212"/>
      <c r="I93" s="212"/>
      <c r="J93" s="212"/>
      <c r="K93" s="212"/>
      <c r="L93" s="51"/>
      <c r="M93" s="51"/>
      <c r="N93" s="51"/>
      <c r="O93" s="51"/>
    </row>
    <row r="94" spans="2:15" outlineLevel="1" x14ac:dyDescent="0.2">
      <c r="B94" s="34" t="s">
        <v>598</v>
      </c>
      <c r="C94" s="212"/>
      <c r="D94" s="212"/>
      <c r="E94" s="212"/>
      <c r="F94" s="212"/>
      <c r="G94" s="212"/>
      <c r="H94" s="212"/>
      <c r="I94" s="212"/>
      <c r="J94" s="212"/>
      <c r="K94" s="212"/>
      <c r="L94" s="51"/>
      <c r="M94" s="51"/>
      <c r="N94" s="51"/>
      <c r="O94" s="51"/>
    </row>
    <row r="95" spans="2:15" ht="13.5" outlineLevel="1" thickBot="1" x14ac:dyDescent="0.25">
      <c r="B95" s="156" t="str">
        <f>Update!$B$17</f>
        <v xml:space="preserve"> 31 March 2024</v>
      </c>
      <c r="C95" s="218">
        <f>C61-C77</f>
        <v>33053</v>
      </c>
      <c r="D95" s="218">
        <f t="shared" ref="D95:J95" si="18">D61-D77</f>
        <v>2899</v>
      </c>
      <c r="E95" s="218">
        <f t="shared" si="18"/>
        <v>454</v>
      </c>
      <c r="F95" s="218">
        <f t="shared" si="18"/>
        <v>7361</v>
      </c>
      <c r="G95" s="218">
        <f t="shared" si="18"/>
        <v>7354</v>
      </c>
      <c r="H95" s="218">
        <f t="shared" si="18"/>
        <v>24</v>
      </c>
      <c r="I95" s="218">
        <f t="shared" si="18"/>
        <v>74</v>
      </c>
      <c r="J95" s="218">
        <f t="shared" si="18"/>
        <v>245</v>
      </c>
      <c r="K95" s="218">
        <f>SUM(C95:J95)</f>
        <v>51464</v>
      </c>
      <c r="L95" s="51"/>
      <c r="M95" s="51"/>
      <c r="N95" s="51"/>
      <c r="O95" s="51"/>
    </row>
    <row r="96" spans="2:15" outlineLevel="1" x14ac:dyDescent="0.2">
      <c r="C96" s="231">
        <f>C95+C77-C61</f>
        <v>0</v>
      </c>
      <c r="D96" s="231">
        <f t="shared" ref="D96:J96" si="19">D95+D77-D61</f>
        <v>0</v>
      </c>
      <c r="E96" s="231">
        <f t="shared" si="19"/>
        <v>0</v>
      </c>
      <c r="F96" s="231">
        <f t="shared" si="19"/>
        <v>0</v>
      </c>
      <c r="G96" s="231">
        <f t="shared" si="19"/>
        <v>0</v>
      </c>
      <c r="H96" s="231">
        <f t="shared" si="19"/>
        <v>0</v>
      </c>
      <c r="I96" s="231">
        <f t="shared" si="19"/>
        <v>0</v>
      </c>
      <c r="J96" s="231">
        <f t="shared" si="19"/>
        <v>0</v>
      </c>
      <c r="K96" s="231">
        <f>K95+K77-K61</f>
        <v>0</v>
      </c>
      <c r="L96" s="51"/>
      <c r="M96" s="51"/>
      <c r="N96" s="51"/>
      <c r="O96" s="51"/>
    </row>
    <row r="97" spans="2:15" outlineLevel="1" x14ac:dyDescent="0.2">
      <c r="C97" s="212"/>
      <c r="D97" s="212"/>
      <c r="E97" s="212"/>
      <c r="F97" s="212"/>
      <c r="G97" s="212"/>
      <c r="H97" s="212"/>
      <c r="I97" s="212"/>
      <c r="J97" s="212"/>
      <c r="K97" s="212"/>
      <c r="L97" s="51"/>
      <c r="M97" s="51"/>
      <c r="N97" s="51"/>
      <c r="O97" s="51"/>
    </row>
    <row r="98" spans="2:15" outlineLevel="1" x14ac:dyDescent="0.2">
      <c r="B98" s="37" t="s">
        <v>194</v>
      </c>
      <c r="C98" s="212"/>
      <c r="D98" s="212"/>
      <c r="E98" s="212"/>
      <c r="F98" s="212"/>
      <c r="G98" s="212"/>
      <c r="H98" s="212"/>
      <c r="I98" s="212"/>
      <c r="J98" s="212"/>
      <c r="K98" s="212"/>
      <c r="L98" s="51"/>
      <c r="M98" s="51"/>
      <c r="N98" s="51"/>
      <c r="O98" s="51"/>
    </row>
    <row r="99" spans="2:15" outlineLevel="1" x14ac:dyDescent="0.2">
      <c r="B99" s="34" t="s">
        <v>443</v>
      </c>
      <c r="C99" s="212">
        <v>36512</v>
      </c>
      <c r="D99" s="212">
        <v>12335</v>
      </c>
      <c r="E99" s="212">
        <v>445</v>
      </c>
      <c r="F99" s="212">
        <v>7809</v>
      </c>
      <c r="G99" s="212">
        <v>18772</v>
      </c>
      <c r="H99" s="212">
        <v>22</v>
      </c>
      <c r="I99" s="212">
        <v>71</v>
      </c>
      <c r="J99" s="212">
        <v>335</v>
      </c>
      <c r="K99" s="212">
        <f>SUM(C99:J99)</f>
        <v>76301</v>
      </c>
      <c r="L99" s="51"/>
      <c r="M99" s="51"/>
      <c r="N99" s="51"/>
      <c r="O99" s="51"/>
    </row>
    <row r="100" spans="2:15" outlineLevel="1" x14ac:dyDescent="0.2">
      <c r="B100" s="34" t="s">
        <v>444</v>
      </c>
      <c r="C100" s="767">
        <v>0</v>
      </c>
      <c r="D100" s="767">
        <v>164</v>
      </c>
      <c r="E100" s="767">
        <v>0</v>
      </c>
      <c r="F100" s="767">
        <v>0</v>
      </c>
      <c r="G100" s="767">
        <v>0</v>
      </c>
      <c r="H100" s="767">
        <v>0</v>
      </c>
      <c r="I100" s="767">
        <v>0</v>
      </c>
      <c r="J100" s="767">
        <v>0</v>
      </c>
      <c r="K100" s="212">
        <f>SUM(C100:J100)</f>
        <v>164</v>
      </c>
      <c r="L100" s="51"/>
      <c r="M100" s="51"/>
      <c r="N100" s="51"/>
      <c r="O100" s="51"/>
    </row>
    <row r="101" spans="2:15" ht="25.5" outlineLevel="1" x14ac:dyDescent="0.2">
      <c r="B101" s="148" t="s">
        <v>199</v>
      </c>
      <c r="C101" s="767">
        <v>0</v>
      </c>
      <c r="D101" s="767">
        <v>0</v>
      </c>
      <c r="E101" s="767">
        <v>0</v>
      </c>
      <c r="F101" s="767">
        <v>0</v>
      </c>
      <c r="G101" s="767">
        <v>0</v>
      </c>
      <c r="H101" s="767">
        <v>0</v>
      </c>
      <c r="I101" s="767">
        <v>0</v>
      </c>
      <c r="J101" s="767">
        <v>0</v>
      </c>
      <c r="K101" s="212">
        <f>SUM(C101:J101)</f>
        <v>0</v>
      </c>
      <c r="L101" s="51"/>
      <c r="M101" s="51"/>
      <c r="N101" s="51"/>
      <c r="O101" s="51"/>
    </row>
    <row r="102" spans="2:15" outlineLevel="1" x14ac:dyDescent="0.2">
      <c r="B102" s="148" t="s">
        <v>1695</v>
      </c>
      <c r="C102" s="767">
        <v>0</v>
      </c>
      <c r="D102" s="767">
        <v>0</v>
      </c>
      <c r="E102" s="767">
        <v>0</v>
      </c>
      <c r="F102" s="767">
        <v>0</v>
      </c>
      <c r="G102" s="767">
        <v>0</v>
      </c>
      <c r="H102" s="767">
        <v>0</v>
      </c>
      <c r="I102" s="767">
        <v>0</v>
      </c>
      <c r="J102" s="767">
        <v>0</v>
      </c>
      <c r="K102" s="212">
        <f>SUM(C102:J102)</f>
        <v>0</v>
      </c>
      <c r="L102" s="51"/>
      <c r="M102" s="51"/>
      <c r="N102" s="51"/>
      <c r="O102" s="51"/>
    </row>
    <row r="103" spans="2:15" ht="13.5" outlineLevel="1" thickBot="1" x14ac:dyDescent="0.25">
      <c r="B103" s="37" t="str">
        <f>"Carrying amount at"&amp;Update!$B$24</f>
        <v>Carrying amount at 31 March 2025</v>
      </c>
      <c r="C103" s="220">
        <f t="shared" ref="C103:K103" si="20">SUM(C99:C101)</f>
        <v>36512</v>
      </c>
      <c r="D103" s="220">
        <f t="shared" si="20"/>
        <v>12499</v>
      </c>
      <c r="E103" s="220">
        <f t="shared" si="20"/>
        <v>445</v>
      </c>
      <c r="F103" s="220">
        <f t="shared" si="20"/>
        <v>7809</v>
      </c>
      <c r="G103" s="220">
        <f t="shared" si="20"/>
        <v>18772</v>
      </c>
      <c r="H103" s="220">
        <f t="shared" si="20"/>
        <v>22</v>
      </c>
      <c r="I103" s="220">
        <f t="shared" si="20"/>
        <v>71</v>
      </c>
      <c r="J103" s="220">
        <f t="shared" si="20"/>
        <v>335</v>
      </c>
      <c r="K103" s="220">
        <f t="shared" si="20"/>
        <v>76465</v>
      </c>
      <c r="L103" s="51"/>
      <c r="M103" s="51"/>
      <c r="N103" s="51"/>
      <c r="O103" s="51"/>
    </row>
    <row r="104" spans="2:15" outlineLevel="1" x14ac:dyDescent="0.2">
      <c r="B104" s="37"/>
      <c r="C104" s="231">
        <f>C92-C103</f>
        <v>0</v>
      </c>
      <c r="D104" s="231">
        <f t="shared" ref="D104:K104" si="21">D92-D103</f>
        <v>0</v>
      </c>
      <c r="E104" s="231">
        <f t="shared" si="21"/>
        <v>0</v>
      </c>
      <c r="F104" s="231">
        <f t="shared" si="21"/>
        <v>0</v>
      </c>
      <c r="G104" s="231">
        <f t="shared" si="21"/>
        <v>0</v>
      </c>
      <c r="H104" s="231">
        <f t="shared" si="21"/>
        <v>0</v>
      </c>
      <c r="I104" s="231">
        <f t="shared" si="21"/>
        <v>0</v>
      </c>
      <c r="J104" s="231">
        <f t="shared" si="21"/>
        <v>0</v>
      </c>
      <c r="K104" s="231">
        <f t="shared" si="21"/>
        <v>0</v>
      </c>
      <c r="L104" s="51"/>
      <c r="M104" s="51"/>
      <c r="N104" s="51"/>
      <c r="O104" s="51"/>
    </row>
    <row r="105" spans="2:15" outlineLevel="1" x14ac:dyDescent="0.2">
      <c r="B105" s="37"/>
      <c r="C105" s="219"/>
      <c r="D105" s="219"/>
      <c r="E105" s="219"/>
      <c r="F105" s="219"/>
      <c r="G105" s="219"/>
      <c r="H105" s="219"/>
      <c r="I105" s="219"/>
      <c r="J105" s="219"/>
      <c r="K105" s="212"/>
      <c r="L105" s="51"/>
      <c r="M105" s="51"/>
      <c r="N105" s="51"/>
      <c r="O105" s="51"/>
    </row>
    <row r="106" spans="2:15" outlineLevel="1" x14ac:dyDescent="0.2">
      <c r="B106" s="37" t="s">
        <v>194</v>
      </c>
      <c r="C106" s="212"/>
      <c r="D106" s="212"/>
      <c r="E106" s="212"/>
      <c r="F106" s="212"/>
      <c r="G106" s="212"/>
      <c r="H106" s="212"/>
      <c r="I106" s="212"/>
      <c r="J106" s="212"/>
      <c r="K106" s="212"/>
      <c r="L106" s="51"/>
      <c r="M106" s="51"/>
      <c r="N106" s="51"/>
      <c r="O106" s="51"/>
    </row>
    <row r="107" spans="2:15" outlineLevel="1" x14ac:dyDescent="0.2">
      <c r="B107" s="34" t="s">
        <v>443</v>
      </c>
      <c r="C107" s="212">
        <v>33053</v>
      </c>
      <c r="D107" s="212">
        <v>2899</v>
      </c>
      <c r="E107" s="212">
        <v>455</v>
      </c>
      <c r="F107" s="212">
        <v>7361</v>
      </c>
      <c r="G107" s="212">
        <v>7354</v>
      </c>
      <c r="H107" s="212">
        <v>23</v>
      </c>
      <c r="I107" s="212">
        <v>74</v>
      </c>
      <c r="J107" s="212">
        <v>245</v>
      </c>
      <c r="K107" s="212">
        <f t="shared" ref="K107" si="22">K63-K79</f>
        <v>51464</v>
      </c>
      <c r="L107" s="51"/>
      <c r="M107" s="51"/>
      <c r="N107" s="51"/>
      <c r="O107" s="51"/>
    </row>
    <row r="108" spans="2:15" outlineLevel="1" x14ac:dyDescent="0.2">
      <c r="B108" s="34" t="s">
        <v>444</v>
      </c>
      <c r="C108" s="767">
        <v>0</v>
      </c>
      <c r="D108" s="767">
        <v>0</v>
      </c>
      <c r="E108" s="767">
        <v>0</v>
      </c>
      <c r="F108" s="767">
        <v>0</v>
      </c>
      <c r="G108" s="767">
        <v>0</v>
      </c>
      <c r="H108" s="767">
        <v>0</v>
      </c>
      <c r="I108" s="767">
        <v>0</v>
      </c>
      <c r="J108" s="767">
        <v>0</v>
      </c>
      <c r="K108" s="212">
        <v>0</v>
      </c>
      <c r="L108" s="51"/>
      <c r="M108" s="51"/>
      <c r="N108" s="51"/>
      <c r="O108" s="51"/>
    </row>
    <row r="109" spans="2:15" ht="25.5" outlineLevel="1" x14ac:dyDescent="0.2">
      <c r="B109" s="148" t="s">
        <v>199</v>
      </c>
      <c r="C109" s="767">
        <v>0</v>
      </c>
      <c r="D109" s="767">
        <v>0</v>
      </c>
      <c r="E109" s="767">
        <v>0</v>
      </c>
      <c r="F109" s="767">
        <v>0</v>
      </c>
      <c r="G109" s="767">
        <v>0</v>
      </c>
      <c r="H109" s="767">
        <v>0</v>
      </c>
      <c r="I109" s="767">
        <v>0</v>
      </c>
      <c r="J109" s="767">
        <v>0</v>
      </c>
      <c r="K109" s="212">
        <v>0</v>
      </c>
      <c r="L109" s="51"/>
      <c r="M109" s="51"/>
      <c r="N109" s="51"/>
      <c r="O109" s="51"/>
    </row>
    <row r="110" spans="2:15" ht="13.5" outlineLevel="1" thickBot="1" x14ac:dyDescent="0.25">
      <c r="B110" s="37" t="str">
        <f>"Carrying amount at"&amp;Update!$B$17</f>
        <v>Carrying amount at 31 March 2024</v>
      </c>
      <c r="C110" s="220">
        <v>0</v>
      </c>
      <c r="D110" s="220">
        <v>0</v>
      </c>
      <c r="E110" s="220">
        <v>0</v>
      </c>
      <c r="F110" s="220">
        <v>0</v>
      </c>
      <c r="G110" s="220">
        <v>0</v>
      </c>
      <c r="H110" s="220">
        <v>0</v>
      </c>
      <c r="I110" s="220">
        <v>0</v>
      </c>
      <c r="J110" s="220">
        <v>0</v>
      </c>
      <c r="K110" s="220">
        <f t="shared" ref="K110" si="23">SUM(K107:K109)</f>
        <v>51464</v>
      </c>
      <c r="L110" s="51"/>
      <c r="M110" s="51"/>
      <c r="N110" s="51"/>
      <c r="O110" s="51"/>
    </row>
    <row r="111" spans="2:15" outlineLevel="1" x14ac:dyDescent="0.2">
      <c r="B111" s="37"/>
      <c r="C111" s="231">
        <f>C63-C79-C110</f>
        <v>33053</v>
      </c>
      <c r="D111" s="231">
        <f t="shared" ref="D111:K111" si="24">D63-D79-D110</f>
        <v>2899</v>
      </c>
      <c r="E111" s="231">
        <f t="shared" si="24"/>
        <v>454</v>
      </c>
      <c r="F111" s="231">
        <f t="shared" si="24"/>
        <v>7361</v>
      </c>
      <c r="G111" s="231">
        <f t="shared" si="24"/>
        <v>7354</v>
      </c>
      <c r="H111" s="231">
        <f t="shared" si="24"/>
        <v>24</v>
      </c>
      <c r="I111" s="231">
        <f t="shared" si="24"/>
        <v>74</v>
      </c>
      <c r="J111" s="231">
        <f t="shared" si="24"/>
        <v>245</v>
      </c>
      <c r="K111" s="231">
        <f t="shared" si="24"/>
        <v>0</v>
      </c>
      <c r="L111" s="51"/>
      <c r="M111" s="51"/>
      <c r="N111" s="51"/>
      <c r="O111" s="51"/>
    </row>
    <row r="112" spans="2:15" x14ac:dyDescent="0.2">
      <c r="B112" s="37"/>
      <c r="C112" s="219"/>
      <c r="D112" s="219"/>
      <c r="E112" s="219"/>
      <c r="F112" s="219"/>
      <c r="G112" s="219"/>
      <c r="H112" s="219"/>
      <c r="I112" s="219"/>
      <c r="J112" s="219"/>
      <c r="K112" s="212"/>
      <c r="L112" s="51"/>
      <c r="M112" s="51"/>
      <c r="N112" s="51"/>
      <c r="O112" s="51"/>
    </row>
    <row r="113" spans="1:15" x14ac:dyDescent="0.2">
      <c r="A113" s="229">
        <f>SUMIF(Update!$B$33:$B$106,B113,Update!$A$33:$A$106)</f>
        <v>5.2999999999999989</v>
      </c>
      <c r="B113" s="37" t="s">
        <v>599</v>
      </c>
      <c r="C113" s="225"/>
      <c r="D113" s="225"/>
      <c r="E113" s="212"/>
      <c r="F113" s="212"/>
      <c r="G113" s="212"/>
      <c r="H113" s="212"/>
      <c r="I113" s="212"/>
      <c r="J113" s="212"/>
      <c r="K113" s="212"/>
      <c r="L113" s="51"/>
      <c r="M113" s="51"/>
      <c r="N113" s="51"/>
      <c r="O113" s="51"/>
    </row>
    <row r="114" spans="1:15" x14ac:dyDescent="0.2">
      <c r="B114" s="34" t="s">
        <v>600</v>
      </c>
      <c r="C114" s="212"/>
      <c r="D114" s="212"/>
      <c r="E114" s="212"/>
      <c r="F114" s="212"/>
      <c r="G114" s="212"/>
      <c r="H114" s="212"/>
      <c r="I114" s="212"/>
      <c r="J114" s="212"/>
      <c r="K114" s="212"/>
      <c r="L114" s="51"/>
      <c r="M114" s="51"/>
      <c r="N114" s="51"/>
      <c r="O114" s="51"/>
    </row>
    <row r="115" spans="1:15" x14ac:dyDescent="0.2">
      <c r="C115" s="212"/>
      <c r="D115" s="212"/>
      <c r="E115" s="212"/>
      <c r="F115" s="212"/>
      <c r="G115" s="212"/>
      <c r="H115" s="212"/>
      <c r="I115" s="212"/>
      <c r="J115" s="212"/>
      <c r="K115" s="212"/>
      <c r="L115" s="51"/>
      <c r="M115" s="51"/>
      <c r="N115" s="51"/>
      <c r="O115" s="51"/>
    </row>
    <row r="116" spans="1:15" x14ac:dyDescent="0.2">
      <c r="B116" s="34" t="s">
        <v>1698</v>
      </c>
      <c r="C116" s="333">
        <f>ROUND(MAP!$T$523,0)-C117</f>
        <v>32712</v>
      </c>
      <c r="D116" s="333">
        <f>ROUND(MAP!$T$560,0)-D117</f>
        <v>3329</v>
      </c>
      <c r="E116" s="333">
        <f>ROUND(MAP!$T$598,0)-E117</f>
        <v>445</v>
      </c>
      <c r="F116" s="333">
        <f>ROUND(MAP!$T$636,0)-F117</f>
        <v>0</v>
      </c>
      <c r="G116" s="333">
        <f>ROUND(MAP!$T$674,0)-G117</f>
        <v>18772</v>
      </c>
      <c r="H116" s="333">
        <f>ROUND(MAP!$T$712,0)-H117</f>
        <v>22</v>
      </c>
      <c r="I116" s="333">
        <f>ROUND(MAP!$T$750,0)-I117</f>
        <v>62</v>
      </c>
      <c r="J116" s="333">
        <f>ROUND(MAP!$T$788,0)-J117</f>
        <v>0</v>
      </c>
      <c r="K116" s="212">
        <f>SUM(C116:J116)</f>
        <v>55342</v>
      </c>
      <c r="L116" s="51"/>
      <c r="M116" s="51"/>
      <c r="N116" s="51"/>
      <c r="O116" s="51"/>
    </row>
    <row r="117" spans="1:15" x14ac:dyDescent="0.2">
      <c r="B117" s="34" t="s">
        <v>478</v>
      </c>
      <c r="C117" s="333">
        <f>ROUND(MAP!$X$523+MAP!$Y$523,0)</f>
        <v>0</v>
      </c>
      <c r="D117" s="333">
        <f>ROUND(MAP!$X$560+MAP!$Y$560,0)</f>
        <v>0</v>
      </c>
      <c r="E117" s="333">
        <f>ROUND(MAP!$X$598+MAP!$Y$598,0)</f>
        <v>0</v>
      </c>
      <c r="F117" s="333">
        <f>ROUND(MAP!$X$636+MAP!$Y$636,0)</f>
        <v>0</v>
      </c>
      <c r="G117" s="333">
        <f>ROUND(MAP!$X$674+MAP!$Y$674,0)</f>
        <v>0</v>
      </c>
      <c r="H117" s="333">
        <f>ROUND(MAP!$X$712+MAP!$Y$712,0)</f>
        <v>0</v>
      </c>
      <c r="I117" s="333">
        <f>ROUND(MAP!$X$750+MAP!$Y$750,0)</f>
        <v>0</v>
      </c>
      <c r="J117" s="333">
        <f>ROUND(MAP!$X$788+MAP!$Y$788,0)</f>
        <v>0</v>
      </c>
      <c r="K117" s="212">
        <f>SUM(C117:J117)</f>
        <v>0</v>
      </c>
      <c r="L117" s="51"/>
      <c r="M117" s="51"/>
      <c r="N117" s="51"/>
      <c r="O117" s="51"/>
    </row>
    <row r="118" spans="1:15" x14ac:dyDescent="0.2">
      <c r="B118" s="34" t="s">
        <v>1699</v>
      </c>
      <c r="C118" s="333"/>
      <c r="D118" s="333"/>
      <c r="E118" s="333"/>
      <c r="F118" s="333"/>
      <c r="G118" s="333"/>
      <c r="H118" s="333"/>
      <c r="I118" s="333"/>
      <c r="J118" s="333"/>
      <c r="K118" s="212"/>
      <c r="L118" s="51"/>
      <c r="M118" s="51"/>
      <c r="N118" s="51"/>
      <c r="O118" s="51"/>
    </row>
    <row r="119" spans="1:15" ht="13.5" thickBot="1" x14ac:dyDescent="0.25">
      <c r="B119" s="37" t="str">
        <f>$B$52</f>
        <v>Carrying amount at 31 March 2026</v>
      </c>
      <c r="C119" s="226">
        <f t="shared" ref="C119:K119" si="25">SUM(C116:C118)</f>
        <v>32712</v>
      </c>
      <c r="D119" s="226">
        <f t="shared" si="25"/>
        <v>3329</v>
      </c>
      <c r="E119" s="226">
        <f t="shared" si="25"/>
        <v>445</v>
      </c>
      <c r="F119" s="226">
        <f t="shared" si="25"/>
        <v>0</v>
      </c>
      <c r="G119" s="226">
        <f t="shared" si="25"/>
        <v>18772</v>
      </c>
      <c r="H119" s="226">
        <f t="shared" si="25"/>
        <v>22</v>
      </c>
      <c r="I119" s="226">
        <f t="shared" si="25"/>
        <v>62</v>
      </c>
      <c r="J119" s="226">
        <f t="shared" si="25"/>
        <v>0</v>
      </c>
      <c r="K119" s="226">
        <f t="shared" si="25"/>
        <v>55342</v>
      </c>
      <c r="L119" s="51"/>
      <c r="M119" s="51"/>
      <c r="N119" s="51"/>
      <c r="O119" s="51"/>
    </row>
    <row r="120" spans="1:15" x14ac:dyDescent="0.2">
      <c r="C120" s="227">
        <f t="shared" ref="C120:J120" si="26">C119-C41</f>
        <v>0</v>
      </c>
      <c r="D120" s="227">
        <f t="shared" si="26"/>
        <v>0</v>
      </c>
      <c r="E120" s="227">
        <f t="shared" si="26"/>
        <v>0</v>
      </c>
      <c r="F120" s="227">
        <f t="shared" si="26"/>
        <v>0</v>
      </c>
      <c r="G120" s="227">
        <f t="shared" si="26"/>
        <v>0</v>
      </c>
      <c r="H120" s="227">
        <f t="shared" si="26"/>
        <v>0</v>
      </c>
      <c r="I120" s="227">
        <f t="shared" si="26"/>
        <v>0</v>
      </c>
      <c r="J120" s="227">
        <f t="shared" si="26"/>
        <v>0</v>
      </c>
      <c r="K120" s="231">
        <f>K119-K52</f>
        <v>0</v>
      </c>
      <c r="L120" s="51"/>
      <c r="M120" s="51"/>
      <c r="N120" s="51"/>
      <c r="O120" s="51"/>
    </row>
    <row r="121" spans="1:15" x14ac:dyDescent="0.2">
      <c r="C121" s="212"/>
      <c r="D121" s="212"/>
      <c r="E121" s="212"/>
      <c r="F121" s="212"/>
      <c r="G121" s="212"/>
      <c r="H121" s="212"/>
      <c r="I121" s="212"/>
      <c r="J121" s="212"/>
      <c r="K121" s="219"/>
      <c r="L121" s="51"/>
      <c r="M121" s="51"/>
      <c r="N121" s="51"/>
      <c r="O121" s="51"/>
    </row>
    <row r="122" spans="1:15" outlineLevel="1" x14ac:dyDescent="0.2">
      <c r="B122" s="34" t="s">
        <v>1698</v>
      </c>
      <c r="C122" s="767">
        <v>32712</v>
      </c>
      <c r="D122" s="767">
        <v>3329</v>
      </c>
      <c r="E122" s="767">
        <v>445</v>
      </c>
      <c r="F122" s="767">
        <v>0</v>
      </c>
      <c r="G122" s="767">
        <v>18772</v>
      </c>
      <c r="H122" s="767">
        <v>22</v>
      </c>
      <c r="I122" s="767">
        <v>62</v>
      </c>
      <c r="J122" s="767">
        <v>0</v>
      </c>
      <c r="K122" s="212">
        <f>SUM(C122:J122)</f>
        <v>55342</v>
      </c>
      <c r="L122" s="51"/>
      <c r="M122" s="51"/>
      <c r="N122" s="51"/>
      <c r="O122" s="51"/>
    </row>
    <row r="123" spans="1:15" outlineLevel="1" x14ac:dyDescent="0.2">
      <c r="B123" s="34" t="s">
        <v>478</v>
      </c>
      <c r="C123" s="767">
        <v>3800</v>
      </c>
      <c r="D123" s="767">
        <v>9170</v>
      </c>
      <c r="E123" s="767">
        <v>0</v>
      </c>
      <c r="F123" s="767">
        <v>7809</v>
      </c>
      <c r="G123" s="767">
        <v>0</v>
      </c>
      <c r="H123" s="767">
        <v>0</v>
      </c>
      <c r="I123" s="767">
        <v>9</v>
      </c>
      <c r="J123" s="767">
        <v>335</v>
      </c>
      <c r="K123" s="212">
        <f>SUM(C123:J123)</f>
        <v>21123</v>
      </c>
      <c r="L123" s="51"/>
      <c r="M123" s="51"/>
      <c r="N123" s="51"/>
      <c r="O123" s="51"/>
    </row>
    <row r="124" spans="1:15" outlineLevel="1" x14ac:dyDescent="0.2">
      <c r="B124" s="34" t="s">
        <v>1699</v>
      </c>
      <c r="C124" s="767"/>
      <c r="D124" s="767"/>
      <c r="E124" s="767"/>
      <c r="F124" s="767"/>
      <c r="G124" s="767"/>
      <c r="H124" s="767"/>
      <c r="I124" s="767"/>
      <c r="J124" s="767"/>
      <c r="K124" s="212">
        <f>SUM(C124:J124)</f>
        <v>0</v>
      </c>
      <c r="L124" s="51"/>
      <c r="M124" s="51"/>
      <c r="N124" s="51"/>
      <c r="O124" s="51"/>
    </row>
    <row r="125" spans="1:15" ht="13.5" outlineLevel="1" thickBot="1" x14ac:dyDescent="0.25">
      <c r="B125" s="37" t="str">
        <f>"Carrying amount at "&amp;Update!B24</f>
        <v>Carrying amount at  31 March 2025</v>
      </c>
      <c r="C125" s="220">
        <f t="shared" ref="C125:K125" si="27">SUM(C122:C124)</f>
        <v>36512</v>
      </c>
      <c r="D125" s="220">
        <f t="shared" si="27"/>
        <v>12499</v>
      </c>
      <c r="E125" s="220">
        <f t="shared" si="27"/>
        <v>445</v>
      </c>
      <c r="F125" s="220">
        <f t="shared" si="27"/>
        <v>7809</v>
      </c>
      <c r="G125" s="220">
        <f t="shared" si="27"/>
        <v>18772</v>
      </c>
      <c r="H125" s="220">
        <f t="shared" si="27"/>
        <v>22</v>
      </c>
      <c r="I125" s="220">
        <f t="shared" si="27"/>
        <v>71</v>
      </c>
      <c r="J125" s="220">
        <f t="shared" si="27"/>
        <v>335</v>
      </c>
      <c r="K125" s="220">
        <f t="shared" si="27"/>
        <v>76465</v>
      </c>
      <c r="L125" s="51"/>
      <c r="M125" s="51"/>
      <c r="N125" s="51"/>
      <c r="O125" s="51"/>
    </row>
    <row r="126" spans="1:15" outlineLevel="1" x14ac:dyDescent="0.2">
      <c r="C126" s="212"/>
      <c r="D126" s="212"/>
      <c r="E126" s="212"/>
      <c r="F126" s="212"/>
      <c r="G126" s="212"/>
      <c r="H126" s="212"/>
      <c r="I126" s="212"/>
      <c r="J126" s="212"/>
      <c r="K126" s="942">
        <f>K125-K44</f>
        <v>21123</v>
      </c>
      <c r="L126" s="51"/>
      <c r="M126" s="51"/>
      <c r="N126" s="51"/>
      <c r="O126" s="51"/>
    </row>
    <row r="127" spans="1:15" x14ac:dyDescent="0.2">
      <c r="K127" s="942">
        <f>K125-K92</f>
        <v>0</v>
      </c>
    </row>
  </sheetData>
  <pageMargins left="0.35433070866141736" right="0.55118110236220474" top="0.59055118110236227" bottom="0.59055118110236227" header="0.51181102362204722" footer="0.51181102362204722"/>
  <pageSetup paperSize="9" scale="61" fitToHeight="2" orientation="landscape" r:id="rId1"/>
  <headerFooter alignWithMargins="0">
    <oddFooter>&amp;L&amp;F - &amp;A&amp;C&amp;P&amp;RPrinted at &amp;T on &amp;D</oddFooter>
  </headerFooter>
  <rowBreaks count="3" manualBreakCount="3">
    <brk id="56" max="16383" man="1"/>
    <brk id="97" max="11" man="1"/>
    <brk id="128"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00B0F0"/>
    <pageSetUpPr fitToPage="1"/>
  </sheetPr>
  <dimension ref="A1:O26"/>
  <sheetViews>
    <sheetView zoomScale="90" zoomScaleNormal="90" workbookViewId="0">
      <selection activeCell="G5" sqref="G4:G5"/>
    </sheetView>
  </sheetViews>
  <sheetFormatPr defaultRowHeight="12.75" outlineLevelRow="1" x14ac:dyDescent="0.2"/>
  <cols>
    <col min="1" max="1" width="5.85546875" style="59" customWidth="1"/>
    <col min="2" max="2" width="40.42578125" style="59" customWidth="1"/>
    <col min="3" max="4" width="15" style="59" bestFit="1" customWidth="1"/>
    <col min="5" max="5" width="3.42578125" style="59" customWidth="1"/>
    <col min="6" max="7" width="15" style="59" bestFit="1" customWidth="1"/>
    <col min="8" max="8" width="3.42578125" style="59" customWidth="1"/>
    <col min="9" max="10" width="15" style="59" customWidth="1"/>
    <col min="11" max="11" width="9.140625" style="59"/>
    <col min="12" max="13" width="15.85546875" style="59" bestFit="1" customWidth="1"/>
    <col min="14" max="14" width="0.140625" style="59" customWidth="1"/>
    <col min="15" max="259" width="9.140625" style="59"/>
    <col min="260" max="260" width="5.85546875" style="59" customWidth="1"/>
    <col min="261" max="261" width="40.42578125" style="59" customWidth="1"/>
    <col min="262" max="263" width="15" style="59" bestFit="1" customWidth="1"/>
    <col min="264" max="264" width="4.85546875" style="59" customWidth="1"/>
    <col min="265" max="266" width="15" style="59" bestFit="1" customWidth="1"/>
    <col min="267" max="267" width="9.140625" style="59"/>
    <col min="268" max="269" width="15.85546875" style="59" bestFit="1" customWidth="1"/>
    <col min="270" max="270" width="0" style="59" hidden="1" customWidth="1"/>
    <col min="271" max="515" width="9.140625" style="59"/>
    <col min="516" max="516" width="5.85546875" style="59" customWidth="1"/>
    <col min="517" max="517" width="40.42578125" style="59" customWidth="1"/>
    <col min="518" max="519" width="15" style="59" bestFit="1" customWidth="1"/>
    <col min="520" max="520" width="4.85546875" style="59" customWidth="1"/>
    <col min="521" max="522" width="15" style="59" bestFit="1" customWidth="1"/>
    <col min="523" max="523" width="9.140625" style="59"/>
    <col min="524" max="525" width="15.85546875" style="59" bestFit="1" customWidth="1"/>
    <col min="526" max="526" width="0" style="59" hidden="1" customWidth="1"/>
    <col min="527" max="771" width="9.140625" style="59"/>
    <col min="772" max="772" width="5.85546875" style="59" customWidth="1"/>
    <col min="773" max="773" width="40.42578125" style="59" customWidth="1"/>
    <col min="774" max="775" width="15" style="59" bestFit="1" customWidth="1"/>
    <col min="776" max="776" width="4.85546875" style="59" customWidth="1"/>
    <col min="777" max="778" width="15" style="59" bestFit="1" customWidth="1"/>
    <col min="779" max="779" width="9.140625" style="59"/>
    <col min="780" max="781" width="15.85546875" style="59" bestFit="1" customWidth="1"/>
    <col min="782" max="782" width="0" style="59" hidden="1" customWidth="1"/>
    <col min="783" max="1027" width="9.140625" style="59"/>
    <col min="1028" max="1028" width="5.85546875" style="59" customWidth="1"/>
    <col min="1029" max="1029" width="40.42578125" style="59" customWidth="1"/>
    <col min="1030" max="1031" width="15" style="59" bestFit="1" customWidth="1"/>
    <col min="1032" max="1032" width="4.85546875" style="59" customWidth="1"/>
    <col min="1033" max="1034" width="15" style="59" bestFit="1" customWidth="1"/>
    <col min="1035" max="1035" width="9.140625" style="59"/>
    <col min="1036" max="1037" width="15.85546875" style="59" bestFit="1" customWidth="1"/>
    <col min="1038" max="1038" width="0" style="59" hidden="1" customWidth="1"/>
    <col min="1039" max="1283" width="9.140625" style="59"/>
    <col min="1284" max="1284" width="5.85546875" style="59" customWidth="1"/>
    <col min="1285" max="1285" width="40.42578125" style="59" customWidth="1"/>
    <col min="1286" max="1287" width="15" style="59" bestFit="1" customWidth="1"/>
    <col min="1288" max="1288" width="4.85546875" style="59" customWidth="1"/>
    <col min="1289" max="1290" width="15" style="59" bestFit="1" customWidth="1"/>
    <col min="1291" max="1291" width="9.140625" style="59"/>
    <col min="1292" max="1293" width="15.85546875" style="59" bestFit="1" customWidth="1"/>
    <col min="1294" max="1294" width="0" style="59" hidden="1" customWidth="1"/>
    <col min="1295" max="1539" width="9.140625" style="59"/>
    <col min="1540" max="1540" width="5.85546875" style="59" customWidth="1"/>
    <col min="1541" max="1541" width="40.42578125" style="59" customWidth="1"/>
    <col min="1542" max="1543" width="15" style="59" bestFit="1" customWidth="1"/>
    <col min="1544" max="1544" width="4.85546875" style="59" customWidth="1"/>
    <col min="1545" max="1546" width="15" style="59" bestFit="1" customWidth="1"/>
    <col min="1547" max="1547" width="9.140625" style="59"/>
    <col min="1548" max="1549" width="15.85546875" style="59" bestFit="1" customWidth="1"/>
    <col min="1550" max="1550" width="0" style="59" hidden="1" customWidth="1"/>
    <col min="1551" max="1795" width="9.140625" style="59"/>
    <col min="1796" max="1796" width="5.85546875" style="59" customWidth="1"/>
    <col min="1797" max="1797" width="40.42578125" style="59" customWidth="1"/>
    <col min="1798" max="1799" width="15" style="59" bestFit="1" customWidth="1"/>
    <col min="1800" max="1800" width="4.85546875" style="59" customWidth="1"/>
    <col min="1801" max="1802" width="15" style="59" bestFit="1" customWidth="1"/>
    <col min="1803" max="1803" width="9.140625" style="59"/>
    <col min="1804" max="1805" width="15.85546875" style="59" bestFit="1" customWidth="1"/>
    <col min="1806" max="1806" width="0" style="59" hidden="1" customWidth="1"/>
    <col min="1807" max="2051" width="9.140625" style="59"/>
    <col min="2052" max="2052" width="5.85546875" style="59" customWidth="1"/>
    <col min="2053" max="2053" width="40.42578125" style="59" customWidth="1"/>
    <col min="2054" max="2055" width="15" style="59" bestFit="1" customWidth="1"/>
    <col min="2056" max="2056" width="4.85546875" style="59" customWidth="1"/>
    <col min="2057" max="2058" width="15" style="59" bestFit="1" customWidth="1"/>
    <col min="2059" max="2059" width="9.140625" style="59"/>
    <col min="2060" max="2061" width="15.85546875" style="59" bestFit="1" customWidth="1"/>
    <col min="2062" max="2062" width="0" style="59" hidden="1" customWidth="1"/>
    <col min="2063" max="2307" width="9.140625" style="59"/>
    <col min="2308" max="2308" width="5.85546875" style="59" customWidth="1"/>
    <col min="2309" max="2309" width="40.42578125" style="59" customWidth="1"/>
    <col min="2310" max="2311" width="15" style="59" bestFit="1" customWidth="1"/>
    <col min="2312" max="2312" width="4.85546875" style="59" customWidth="1"/>
    <col min="2313" max="2314" width="15" style="59" bestFit="1" customWidth="1"/>
    <col min="2315" max="2315" width="9.140625" style="59"/>
    <col min="2316" max="2317" width="15.85546875" style="59" bestFit="1" customWidth="1"/>
    <col min="2318" max="2318" width="0" style="59" hidden="1" customWidth="1"/>
    <col min="2319" max="2563" width="9.140625" style="59"/>
    <col min="2564" max="2564" width="5.85546875" style="59" customWidth="1"/>
    <col min="2565" max="2565" width="40.42578125" style="59" customWidth="1"/>
    <col min="2566" max="2567" width="15" style="59" bestFit="1" customWidth="1"/>
    <col min="2568" max="2568" width="4.85546875" style="59" customWidth="1"/>
    <col min="2569" max="2570" width="15" style="59" bestFit="1" customWidth="1"/>
    <col min="2571" max="2571" width="9.140625" style="59"/>
    <col min="2572" max="2573" width="15.85546875" style="59" bestFit="1" customWidth="1"/>
    <col min="2574" max="2574" width="0" style="59" hidden="1" customWidth="1"/>
    <col min="2575" max="2819" width="9.140625" style="59"/>
    <col min="2820" max="2820" width="5.85546875" style="59" customWidth="1"/>
    <col min="2821" max="2821" width="40.42578125" style="59" customWidth="1"/>
    <col min="2822" max="2823" width="15" style="59" bestFit="1" customWidth="1"/>
    <col min="2824" max="2824" width="4.85546875" style="59" customWidth="1"/>
    <col min="2825" max="2826" width="15" style="59" bestFit="1" customWidth="1"/>
    <col min="2827" max="2827" width="9.140625" style="59"/>
    <col min="2828" max="2829" width="15.85546875" style="59" bestFit="1" customWidth="1"/>
    <col min="2830" max="2830" width="0" style="59" hidden="1" customWidth="1"/>
    <col min="2831" max="3075" width="9.140625" style="59"/>
    <col min="3076" max="3076" width="5.85546875" style="59" customWidth="1"/>
    <col min="3077" max="3077" width="40.42578125" style="59" customWidth="1"/>
    <col min="3078" max="3079" width="15" style="59" bestFit="1" customWidth="1"/>
    <col min="3080" max="3080" width="4.85546875" style="59" customWidth="1"/>
    <col min="3081" max="3082" width="15" style="59" bestFit="1" customWidth="1"/>
    <col min="3083" max="3083" width="9.140625" style="59"/>
    <col min="3084" max="3085" width="15.85546875" style="59" bestFit="1" customWidth="1"/>
    <col min="3086" max="3086" width="0" style="59" hidden="1" customWidth="1"/>
    <col min="3087" max="3331" width="9.140625" style="59"/>
    <col min="3332" max="3332" width="5.85546875" style="59" customWidth="1"/>
    <col min="3333" max="3333" width="40.42578125" style="59" customWidth="1"/>
    <col min="3334" max="3335" width="15" style="59" bestFit="1" customWidth="1"/>
    <col min="3336" max="3336" width="4.85546875" style="59" customWidth="1"/>
    <col min="3337" max="3338" width="15" style="59" bestFit="1" customWidth="1"/>
    <col min="3339" max="3339" width="9.140625" style="59"/>
    <col min="3340" max="3341" width="15.85546875" style="59" bestFit="1" customWidth="1"/>
    <col min="3342" max="3342" width="0" style="59" hidden="1" customWidth="1"/>
    <col min="3343" max="3587" width="9.140625" style="59"/>
    <col min="3588" max="3588" width="5.85546875" style="59" customWidth="1"/>
    <col min="3589" max="3589" width="40.42578125" style="59" customWidth="1"/>
    <col min="3590" max="3591" width="15" style="59" bestFit="1" customWidth="1"/>
    <col min="3592" max="3592" width="4.85546875" style="59" customWidth="1"/>
    <col min="3593" max="3594" width="15" style="59" bestFit="1" customWidth="1"/>
    <col min="3595" max="3595" width="9.140625" style="59"/>
    <col min="3596" max="3597" width="15.85546875" style="59" bestFit="1" customWidth="1"/>
    <col min="3598" max="3598" width="0" style="59" hidden="1" customWidth="1"/>
    <col min="3599" max="3843" width="9.140625" style="59"/>
    <col min="3844" max="3844" width="5.85546875" style="59" customWidth="1"/>
    <col min="3845" max="3845" width="40.42578125" style="59" customWidth="1"/>
    <col min="3846" max="3847" width="15" style="59" bestFit="1" customWidth="1"/>
    <col min="3848" max="3848" width="4.85546875" style="59" customWidth="1"/>
    <col min="3849" max="3850" width="15" style="59" bestFit="1" customWidth="1"/>
    <col min="3851" max="3851" width="9.140625" style="59"/>
    <col min="3852" max="3853" width="15.85546875" style="59" bestFit="1" customWidth="1"/>
    <col min="3854" max="3854" width="0" style="59" hidden="1" customWidth="1"/>
    <col min="3855" max="4099" width="9.140625" style="59"/>
    <col min="4100" max="4100" width="5.85546875" style="59" customWidth="1"/>
    <col min="4101" max="4101" width="40.42578125" style="59" customWidth="1"/>
    <col min="4102" max="4103" width="15" style="59" bestFit="1" customWidth="1"/>
    <col min="4104" max="4104" width="4.85546875" style="59" customWidth="1"/>
    <col min="4105" max="4106" width="15" style="59" bestFit="1" customWidth="1"/>
    <col min="4107" max="4107" width="9.140625" style="59"/>
    <col min="4108" max="4109" width="15.85546875" style="59" bestFit="1" customWidth="1"/>
    <col min="4110" max="4110" width="0" style="59" hidden="1" customWidth="1"/>
    <col min="4111" max="4355" width="9.140625" style="59"/>
    <col min="4356" max="4356" width="5.85546875" style="59" customWidth="1"/>
    <col min="4357" max="4357" width="40.42578125" style="59" customWidth="1"/>
    <col min="4358" max="4359" width="15" style="59" bestFit="1" customWidth="1"/>
    <col min="4360" max="4360" width="4.85546875" style="59" customWidth="1"/>
    <col min="4361" max="4362" width="15" style="59" bestFit="1" customWidth="1"/>
    <col min="4363" max="4363" width="9.140625" style="59"/>
    <col min="4364" max="4365" width="15.85546875" style="59" bestFit="1" customWidth="1"/>
    <col min="4366" max="4366" width="0" style="59" hidden="1" customWidth="1"/>
    <col min="4367" max="4611" width="9.140625" style="59"/>
    <col min="4612" max="4612" width="5.85546875" style="59" customWidth="1"/>
    <col min="4613" max="4613" width="40.42578125" style="59" customWidth="1"/>
    <col min="4614" max="4615" width="15" style="59" bestFit="1" customWidth="1"/>
    <col min="4616" max="4616" width="4.85546875" style="59" customWidth="1"/>
    <col min="4617" max="4618" width="15" style="59" bestFit="1" customWidth="1"/>
    <col min="4619" max="4619" width="9.140625" style="59"/>
    <col min="4620" max="4621" width="15.85546875" style="59" bestFit="1" customWidth="1"/>
    <col min="4622" max="4622" width="0" style="59" hidden="1" customWidth="1"/>
    <col min="4623" max="4867" width="9.140625" style="59"/>
    <col min="4868" max="4868" width="5.85546875" style="59" customWidth="1"/>
    <col min="4869" max="4869" width="40.42578125" style="59" customWidth="1"/>
    <col min="4870" max="4871" width="15" style="59" bestFit="1" customWidth="1"/>
    <col min="4872" max="4872" width="4.85546875" style="59" customWidth="1"/>
    <col min="4873" max="4874" width="15" style="59" bestFit="1" customWidth="1"/>
    <col min="4875" max="4875" width="9.140625" style="59"/>
    <col min="4876" max="4877" width="15.85546875" style="59" bestFit="1" customWidth="1"/>
    <col min="4878" max="4878" width="0" style="59" hidden="1" customWidth="1"/>
    <col min="4879" max="5123" width="9.140625" style="59"/>
    <col min="5124" max="5124" width="5.85546875" style="59" customWidth="1"/>
    <col min="5125" max="5125" width="40.42578125" style="59" customWidth="1"/>
    <col min="5126" max="5127" width="15" style="59" bestFit="1" customWidth="1"/>
    <col min="5128" max="5128" width="4.85546875" style="59" customWidth="1"/>
    <col min="5129" max="5130" width="15" style="59" bestFit="1" customWidth="1"/>
    <col min="5131" max="5131" width="9.140625" style="59"/>
    <col min="5132" max="5133" width="15.85546875" style="59" bestFit="1" customWidth="1"/>
    <col min="5134" max="5134" width="0" style="59" hidden="1" customWidth="1"/>
    <col min="5135" max="5379" width="9.140625" style="59"/>
    <col min="5380" max="5380" width="5.85546875" style="59" customWidth="1"/>
    <col min="5381" max="5381" width="40.42578125" style="59" customWidth="1"/>
    <col min="5382" max="5383" width="15" style="59" bestFit="1" customWidth="1"/>
    <col min="5384" max="5384" width="4.85546875" style="59" customWidth="1"/>
    <col min="5385" max="5386" width="15" style="59" bestFit="1" customWidth="1"/>
    <col min="5387" max="5387" width="9.140625" style="59"/>
    <col min="5388" max="5389" width="15.85546875" style="59" bestFit="1" customWidth="1"/>
    <col min="5390" max="5390" width="0" style="59" hidden="1" customWidth="1"/>
    <col min="5391" max="5635" width="9.140625" style="59"/>
    <col min="5636" max="5636" width="5.85546875" style="59" customWidth="1"/>
    <col min="5637" max="5637" width="40.42578125" style="59" customWidth="1"/>
    <col min="5638" max="5639" width="15" style="59" bestFit="1" customWidth="1"/>
    <col min="5640" max="5640" width="4.85546875" style="59" customWidth="1"/>
    <col min="5641" max="5642" width="15" style="59" bestFit="1" customWidth="1"/>
    <col min="5643" max="5643" width="9.140625" style="59"/>
    <col min="5644" max="5645" width="15.85546875" style="59" bestFit="1" customWidth="1"/>
    <col min="5646" max="5646" width="0" style="59" hidden="1" customWidth="1"/>
    <col min="5647" max="5891" width="9.140625" style="59"/>
    <col min="5892" max="5892" width="5.85546875" style="59" customWidth="1"/>
    <col min="5893" max="5893" width="40.42578125" style="59" customWidth="1"/>
    <col min="5894" max="5895" width="15" style="59" bestFit="1" customWidth="1"/>
    <col min="5896" max="5896" width="4.85546875" style="59" customWidth="1"/>
    <col min="5897" max="5898" width="15" style="59" bestFit="1" customWidth="1"/>
    <col min="5899" max="5899" width="9.140625" style="59"/>
    <col min="5900" max="5901" width="15.85546875" style="59" bestFit="1" customWidth="1"/>
    <col min="5902" max="5902" width="0" style="59" hidden="1" customWidth="1"/>
    <col min="5903" max="6147" width="9.140625" style="59"/>
    <col min="6148" max="6148" width="5.85546875" style="59" customWidth="1"/>
    <col min="6149" max="6149" width="40.42578125" style="59" customWidth="1"/>
    <col min="6150" max="6151" width="15" style="59" bestFit="1" customWidth="1"/>
    <col min="6152" max="6152" width="4.85546875" style="59" customWidth="1"/>
    <col min="6153" max="6154" width="15" style="59" bestFit="1" customWidth="1"/>
    <col min="6155" max="6155" width="9.140625" style="59"/>
    <col min="6156" max="6157" width="15.85546875" style="59" bestFit="1" customWidth="1"/>
    <col min="6158" max="6158" width="0" style="59" hidden="1" customWidth="1"/>
    <col min="6159" max="6403" width="9.140625" style="59"/>
    <col min="6404" max="6404" width="5.85546875" style="59" customWidth="1"/>
    <col min="6405" max="6405" width="40.42578125" style="59" customWidth="1"/>
    <col min="6406" max="6407" width="15" style="59" bestFit="1" customWidth="1"/>
    <col min="6408" max="6408" width="4.85546875" style="59" customWidth="1"/>
    <col min="6409" max="6410" width="15" style="59" bestFit="1" customWidth="1"/>
    <col min="6411" max="6411" width="9.140625" style="59"/>
    <col min="6412" max="6413" width="15.85546875" style="59" bestFit="1" customWidth="1"/>
    <col min="6414" max="6414" width="0" style="59" hidden="1" customWidth="1"/>
    <col min="6415" max="6659" width="9.140625" style="59"/>
    <col min="6660" max="6660" width="5.85546875" style="59" customWidth="1"/>
    <col min="6661" max="6661" width="40.42578125" style="59" customWidth="1"/>
    <col min="6662" max="6663" width="15" style="59" bestFit="1" customWidth="1"/>
    <col min="6664" max="6664" width="4.85546875" style="59" customWidth="1"/>
    <col min="6665" max="6666" width="15" style="59" bestFit="1" customWidth="1"/>
    <col min="6667" max="6667" width="9.140625" style="59"/>
    <col min="6668" max="6669" width="15.85546875" style="59" bestFit="1" customWidth="1"/>
    <col min="6670" max="6670" width="0" style="59" hidden="1" customWidth="1"/>
    <col min="6671" max="6915" width="9.140625" style="59"/>
    <col min="6916" max="6916" width="5.85546875" style="59" customWidth="1"/>
    <col min="6917" max="6917" width="40.42578125" style="59" customWidth="1"/>
    <col min="6918" max="6919" width="15" style="59" bestFit="1" customWidth="1"/>
    <col min="6920" max="6920" width="4.85546875" style="59" customWidth="1"/>
    <col min="6921" max="6922" width="15" style="59" bestFit="1" customWidth="1"/>
    <col min="6923" max="6923" width="9.140625" style="59"/>
    <col min="6924" max="6925" width="15.85546875" style="59" bestFit="1" customWidth="1"/>
    <col min="6926" max="6926" width="0" style="59" hidden="1" customWidth="1"/>
    <col min="6927" max="7171" width="9.140625" style="59"/>
    <col min="7172" max="7172" width="5.85546875" style="59" customWidth="1"/>
    <col min="7173" max="7173" width="40.42578125" style="59" customWidth="1"/>
    <col min="7174" max="7175" width="15" style="59" bestFit="1" customWidth="1"/>
    <col min="7176" max="7176" width="4.85546875" style="59" customWidth="1"/>
    <col min="7177" max="7178" width="15" style="59" bestFit="1" customWidth="1"/>
    <col min="7179" max="7179" width="9.140625" style="59"/>
    <col min="7180" max="7181" width="15.85546875" style="59" bestFit="1" customWidth="1"/>
    <col min="7182" max="7182" width="0" style="59" hidden="1" customWidth="1"/>
    <col min="7183" max="7427" width="9.140625" style="59"/>
    <col min="7428" max="7428" width="5.85546875" style="59" customWidth="1"/>
    <col min="7429" max="7429" width="40.42578125" style="59" customWidth="1"/>
    <col min="7430" max="7431" width="15" style="59" bestFit="1" customWidth="1"/>
    <col min="7432" max="7432" width="4.85546875" style="59" customWidth="1"/>
    <col min="7433" max="7434" width="15" style="59" bestFit="1" customWidth="1"/>
    <col min="7435" max="7435" width="9.140625" style="59"/>
    <col min="7436" max="7437" width="15.85546875" style="59" bestFit="1" customWidth="1"/>
    <col min="7438" max="7438" width="0" style="59" hidden="1" customWidth="1"/>
    <col min="7439" max="7683" width="9.140625" style="59"/>
    <col min="7684" max="7684" width="5.85546875" style="59" customWidth="1"/>
    <col min="7685" max="7685" width="40.42578125" style="59" customWidth="1"/>
    <col min="7686" max="7687" width="15" style="59" bestFit="1" customWidth="1"/>
    <col min="7688" max="7688" width="4.85546875" style="59" customWidth="1"/>
    <col min="7689" max="7690" width="15" style="59" bestFit="1" customWidth="1"/>
    <col min="7691" max="7691" width="9.140625" style="59"/>
    <col min="7692" max="7693" width="15.85546875" style="59" bestFit="1" customWidth="1"/>
    <col min="7694" max="7694" width="0" style="59" hidden="1" customWidth="1"/>
    <col min="7695" max="7939" width="9.140625" style="59"/>
    <col min="7940" max="7940" width="5.85546875" style="59" customWidth="1"/>
    <col min="7941" max="7941" width="40.42578125" style="59" customWidth="1"/>
    <col min="7942" max="7943" width="15" style="59" bestFit="1" customWidth="1"/>
    <col min="7944" max="7944" width="4.85546875" style="59" customWidth="1"/>
    <col min="7945" max="7946" width="15" style="59" bestFit="1" customWidth="1"/>
    <col min="7947" max="7947" width="9.140625" style="59"/>
    <col min="7948" max="7949" width="15.85546875" style="59" bestFit="1" customWidth="1"/>
    <col min="7950" max="7950" width="0" style="59" hidden="1" customWidth="1"/>
    <col min="7951" max="8195" width="9.140625" style="59"/>
    <col min="8196" max="8196" width="5.85546875" style="59" customWidth="1"/>
    <col min="8197" max="8197" width="40.42578125" style="59" customWidth="1"/>
    <col min="8198" max="8199" width="15" style="59" bestFit="1" customWidth="1"/>
    <col min="8200" max="8200" width="4.85546875" style="59" customWidth="1"/>
    <col min="8201" max="8202" width="15" style="59" bestFit="1" customWidth="1"/>
    <col min="8203" max="8203" width="9.140625" style="59"/>
    <col min="8204" max="8205" width="15.85546875" style="59" bestFit="1" customWidth="1"/>
    <col min="8206" max="8206" width="0" style="59" hidden="1" customWidth="1"/>
    <col min="8207" max="8451" width="9.140625" style="59"/>
    <col min="8452" max="8452" width="5.85546875" style="59" customWidth="1"/>
    <col min="8453" max="8453" width="40.42578125" style="59" customWidth="1"/>
    <col min="8454" max="8455" width="15" style="59" bestFit="1" customWidth="1"/>
    <col min="8456" max="8456" width="4.85546875" style="59" customWidth="1"/>
    <col min="8457" max="8458" width="15" style="59" bestFit="1" customWidth="1"/>
    <col min="8459" max="8459" width="9.140625" style="59"/>
    <col min="8460" max="8461" width="15.85546875" style="59" bestFit="1" customWidth="1"/>
    <col min="8462" max="8462" width="0" style="59" hidden="1" customWidth="1"/>
    <col min="8463" max="8707" width="9.140625" style="59"/>
    <col min="8708" max="8708" width="5.85546875" style="59" customWidth="1"/>
    <col min="8709" max="8709" width="40.42578125" style="59" customWidth="1"/>
    <col min="8710" max="8711" width="15" style="59" bestFit="1" customWidth="1"/>
    <col min="8712" max="8712" width="4.85546875" style="59" customWidth="1"/>
    <col min="8713" max="8714" width="15" style="59" bestFit="1" customWidth="1"/>
    <col min="8715" max="8715" width="9.140625" style="59"/>
    <col min="8716" max="8717" width="15.85546875" style="59" bestFit="1" customWidth="1"/>
    <col min="8718" max="8718" width="0" style="59" hidden="1" customWidth="1"/>
    <col min="8719" max="8963" width="9.140625" style="59"/>
    <col min="8964" max="8964" width="5.85546875" style="59" customWidth="1"/>
    <col min="8965" max="8965" width="40.42578125" style="59" customWidth="1"/>
    <col min="8966" max="8967" width="15" style="59" bestFit="1" customWidth="1"/>
    <col min="8968" max="8968" width="4.85546875" style="59" customWidth="1"/>
    <col min="8969" max="8970" width="15" style="59" bestFit="1" customWidth="1"/>
    <col min="8971" max="8971" width="9.140625" style="59"/>
    <col min="8972" max="8973" width="15.85546875" style="59" bestFit="1" customWidth="1"/>
    <col min="8974" max="8974" width="0" style="59" hidden="1" customWidth="1"/>
    <col min="8975" max="9219" width="9.140625" style="59"/>
    <col min="9220" max="9220" width="5.85546875" style="59" customWidth="1"/>
    <col min="9221" max="9221" width="40.42578125" style="59" customWidth="1"/>
    <col min="9222" max="9223" width="15" style="59" bestFit="1" customWidth="1"/>
    <col min="9224" max="9224" width="4.85546875" style="59" customWidth="1"/>
    <col min="9225" max="9226" width="15" style="59" bestFit="1" customWidth="1"/>
    <col min="9227" max="9227" width="9.140625" style="59"/>
    <col min="9228" max="9229" width="15.85546875" style="59" bestFit="1" customWidth="1"/>
    <col min="9230" max="9230" width="0" style="59" hidden="1" customWidth="1"/>
    <col min="9231" max="9475" width="9.140625" style="59"/>
    <col min="9476" max="9476" width="5.85546875" style="59" customWidth="1"/>
    <col min="9477" max="9477" width="40.42578125" style="59" customWidth="1"/>
    <col min="9478" max="9479" width="15" style="59" bestFit="1" customWidth="1"/>
    <col min="9480" max="9480" width="4.85546875" style="59" customWidth="1"/>
    <col min="9481" max="9482" width="15" style="59" bestFit="1" customWidth="1"/>
    <col min="9483" max="9483" width="9.140625" style="59"/>
    <col min="9484" max="9485" width="15.85546875" style="59" bestFit="1" customWidth="1"/>
    <col min="9486" max="9486" width="0" style="59" hidden="1" customWidth="1"/>
    <col min="9487" max="9731" width="9.140625" style="59"/>
    <col min="9732" max="9732" width="5.85546875" style="59" customWidth="1"/>
    <col min="9733" max="9733" width="40.42578125" style="59" customWidth="1"/>
    <col min="9734" max="9735" width="15" style="59" bestFit="1" customWidth="1"/>
    <col min="9736" max="9736" width="4.85546875" style="59" customWidth="1"/>
    <col min="9737" max="9738" width="15" style="59" bestFit="1" customWidth="1"/>
    <col min="9739" max="9739" width="9.140625" style="59"/>
    <col min="9740" max="9741" width="15.85546875" style="59" bestFit="1" customWidth="1"/>
    <col min="9742" max="9742" width="0" style="59" hidden="1" customWidth="1"/>
    <col min="9743" max="9987" width="9.140625" style="59"/>
    <col min="9988" max="9988" width="5.85546875" style="59" customWidth="1"/>
    <col min="9989" max="9989" width="40.42578125" style="59" customWidth="1"/>
    <col min="9990" max="9991" width="15" style="59" bestFit="1" customWidth="1"/>
    <col min="9992" max="9992" width="4.85546875" style="59" customWidth="1"/>
    <col min="9993" max="9994" width="15" style="59" bestFit="1" customWidth="1"/>
    <col min="9995" max="9995" width="9.140625" style="59"/>
    <col min="9996" max="9997" width="15.85546875" style="59" bestFit="1" customWidth="1"/>
    <col min="9998" max="9998" width="0" style="59" hidden="1" customWidth="1"/>
    <col min="9999" max="10243" width="9.140625" style="59"/>
    <col min="10244" max="10244" width="5.85546875" style="59" customWidth="1"/>
    <col min="10245" max="10245" width="40.42578125" style="59" customWidth="1"/>
    <col min="10246" max="10247" width="15" style="59" bestFit="1" customWidth="1"/>
    <col min="10248" max="10248" width="4.85546875" style="59" customWidth="1"/>
    <col min="10249" max="10250" width="15" style="59" bestFit="1" customWidth="1"/>
    <col min="10251" max="10251" width="9.140625" style="59"/>
    <col min="10252" max="10253" width="15.85546875" style="59" bestFit="1" customWidth="1"/>
    <col min="10254" max="10254" width="0" style="59" hidden="1" customWidth="1"/>
    <col min="10255" max="10499" width="9.140625" style="59"/>
    <col min="10500" max="10500" width="5.85546875" style="59" customWidth="1"/>
    <col min="10501" max="10501" width="40.42578125" style="59" customWidth="1"/>
    <col min="10502" max="10503" width="15" style="59" bestFit="1" customWidth="1"/>
    <col min="10504" max="10504" width="4.85546875" style="59" customWidth="1"/>
    <col min="10505" max="10506" width="15" style="59" bestFit="1" customWidth="1"/>
    <col min="10507" max="10507" width="9.140625" style="59"/>
    <col min="10508" max="10509" width="15.85546875" style="59" bestFit="1" customWidth="1"/>
    <col min="10510" max="10510" width="0" style="59" hidden="1" customWidth="1"/>
    <col min="10511" max="10755" width="9.140625" style="59"/>
    <col min="10756" max="10756" width="5.85546875" style="59" customWidth="1"/>
    <col min="10757" max="10757" width="40.42578125" style="59" customWidth="1"/>
    <col min="10758" max="10759" width="15" style="59" bestFit="1" customWidth="1"/>
    <col min="10760" max="10760" width="4.85546875" style="59" customWidth="1"/>
    <col min="10761" max="10762" width="15" style="59" bestFit="1" customWidth="1"/>
    <col min="10763" max="10763" width="9.140625" style="59"/>
    <col min="10764" max="10765" width="15.85546875" style="59" bestFit="1" customWidth="1"/>
    <col min="10766" max="10766" width="0" style="59" hidden="1" customWidth="1"/>
    <col min="10767" max="11011" width="9.140625" style="59"/>
    <col min="11012" max="11012" width="5.85546875" style="59" customWidth="1"/>
    <col min="11013" max="11013" width="40.42578125" style="59" customWidth="1"/>
    <col min="11014" max="11015" width="15" style="59" bestFit="1" customWidth="1"/>
    <col min="11016" max="11016" width="4.85546875" style="59" customWidth="1"/>
    <col min="11017" max="11018" width="15" style="59" bestFit="1" customWidth="1"/>
    <col min="11019" max="11019" width="9.140625" style="59"/>
    <col min="11020" max="11021" width="15.85546875" style="59" bestFit="1" customWidth="1"/>
    <col min="11022" max="11022" width="0" style="59" hidden="1" customWidth="1"/>
    <col min="11023" max="11267" width="9.140625" style="59"/>
    <col min="11268" max="11268" width="5.85546875" style="59" customWidth="1"/>
    <col min="11269" max="11269" width="40.42578125" style="59" customWidth="1"/>
    <col min="11270" max="11271" width="15" style="59" bestFit="1" customWidth="1"/>
    <col min="11272" max="11272" width="4.85546875" style="59" customWidth="1"/>
    <col min="11273" max="11274" width="15" style="59" bestFit="1" customWidth="1"/>
    <col min="11275" max="11275" width="9.140625" style="59"/>
    <col min="11276" max="11277" width="15.85546875" style="59" bestFit="1" customWidth="1"/>
    <col min="11278" max="11278" width="0" style="59" hidden="1" customWidth="1"/>
    <col min="11279" max="11523" width="9.140625" style="59"/>
    <col min="11524" max="11524" width="5.85546875" style="59" customWidth="1"/>
    <col min="11525" max="11525" width="40.42578125" style="59" customWidth="1"/>
    <col min="11526" max="11527" width="15" style="59" bestFit="1" customWidth="1"/>
    <col min="11528" max="11528" width="4.85546875" style="59" customWidth="1"/>
    <col min="11529" max="11530" width="15" style="59" bestFit="1" customWidth="1"/>
    <col min="11531" max="11531" width="9.140625" style="59"/>
    <col min="11532" max="11533" width="15.85546875" style="59" bestFit="1" customWidth="1"/>
    <col min="11534" max="11534" width="0" style="59" hidden="1" customWidth="1"/>
    <col min="11535" max="11779" width="9.140625" style="59"/>
    <col min="11780" max="11780" width="5.85546875" style="59" customWidth="1"/>
    <col min="11781" max="11781" width="40.42578125" style="59" customWidth="1"/>
    <col min="11782" max="11783" width="15" style="59" bestFit="1" customWidth="1"/>
    <col min="11784" max="11784" width="4.85546875" style="59" customWidth="1"/>
    <col min="11785" max="11786" width="15" style="59" bestFit="1" customWidth="1"/>
    <col min="11787" max="11787" width="9.140625" style="59"/>
    <col min="11788" max="11789" width="15.85546875" style="59" bestFit="1" customWidth="1"/>
    <col min="11790" max="11790" width="0" style="59" hidden="1" customWidth="1"/>
    <col min="11791" max="12035" width="9.140625" style="59"/>
    <col min="12036" max="12036" width="5.85546875" style="59" customWidth="1"/>
    <col min="12037" max="12037" width="40.42578125" style="59" customWidth="1"/>
    <col min="12038" max="12039" width="15" style="59" bestFit="1" customWidth="1"/>
    <col min="12040" max="12040" width="4.85546875" style="59" customWidth="1"/>
    <col min="12041" max="12042" width="15" style="59" bestFit="1" customWidth="1"/>
    <col min="12043" max="12043" width="9.140625" style="59"/>
    <col min="12044" max="12045" width="15.85546875" style="59" bestFit="1" customWidth="1"/>
    <col min="12046" max="12046" width="0" style="59" hidden="1" customWidth="1"/>
    <col min="12047" max="12291" width="9.140625" style="59"/>
    <col min="12292" max="12292" width="5.85546875" style="59" customWidth="1"/>
    <col min="12293" max="12293" width="40.42578125" style="59" customWidth="1"/>
    <col min="12294" max="12295" width="15" style="59" bestFit="1" customWidth="1"/>
    <col min="12296" max="12296" width="4.85546875" style="59" customWidth="1"/>
    <col min="12297" max="12298" width="15" style="59" bestFit="1" customWidth="1"/>
    <col min="12299" max="12299" width="9.140625" style="59"/>
    <col min="12300" max="12301" width="15.85546875" style="59" bestFit="1" customWidth="1"/>
    <col min="12302" max="12302" width="0" style="59" hidden="1" customWidth="1"/>
    <col min="12303" max="12547" width="9.140625" style="59"/>
    <col min="12548" max="12548" width="5.85546875" style="59" customWidth="1"/>
    <col min="12549" max="12549" width="40.42578125" style="59" customWidth="1"/>
    <col min="12550" max="12551" width="15" style="59" bestFit="1" customWidth="1"/>
    <col min="12552" max="12552" width="4.85546875" style="59" customWidth="1"/>
    <col min="12553" max="12554" width="15" style="59" bestFit="1" customWidth="1"/>
    <col min="12555" max="12555" width="9.140625" style="59"/>
    <col min="12556" max="12557" width="15.85546875" style="59" bestFit="1" customWidth="1"/>
    <col min="12558" max="12558" width="0" style="59" hidden="1" customWidth="1"/>
    <col min="12559" max="12803" width="9.140625" style="59"/>
    <col min="12804" max="12804" width="5.85546875" style="59" customWidth="1"/>
    <col min="12805" max="12805" width="40.42578125" style="59" customWidth="1"/>
    <col min="12806" max="12807" width="15" style="59" bestFit="1" customWidth="1"/>
    <col min="12808" max="12808" width="4.85546875" style="59" customWidth="1"/>
    <col min="12809" max="12810" width="15" style="59" bestFit="1" customWidth="1"/>
    <col min="12811" max="12811" width="9.140625" style="59"/>
    <col min="12812" max="12813" width="15.85546875" style="59" bestFit="1" customWidth="1"/>
    <col min="12814" max="12814" width="0" style="59" hidden="1" customWidth="1"/>
    <col min="12815" max="13059" width="9.140625" style="59"/>
    <col min="13060" max="13060" width="5.85546875" style="59" customWidth="1"/>
    <col min="13061" max="13061" width="40.42578125" style="59" customWidth="1"/>
    <col min="13062" max="13063" width="15" style="59" bestFit="1" customWidth="1"/>
    <col min="13064" max="13064" width="4.85546875" style="59" customWidth="1"/>
    <col min="13065" max="13066" width="15" style="59" bestFit="1" customWidth="1"/>
    <col min="13067" max="13067" width="9.140625" style="59"/>
    <col min="13068" max="13069" width="15.85546875" style="59" bestFit="1" customWidth="1"/>
    <col min="13070" max="13070" width="0" style="59" hidden="1" customWidth="1"/>
    <col min="13071" max="13315" width="9.140625" style="59"/>
    <col min="13316" max="13316" width="5.85546875" style="59" customWidth="1"/>
    <col min="13317" max="13317" width="40.42578125" style="59" customWidth="1"/>
    <col min="13318" max="13319" width="15" style="59" bestFit="1" customWidth="1"/>
    <col min="13320" max="13320" width="4.85546875" style="59" customWidth="1"/>
    <col min="13321" max="13322" width="15" style="59" bestFit="1" customWidth="1"/>
    <col min="13323" max="13323" width="9.140625" style="59"/>
    <col min="13324" max="13325" width="15.85546875" style="59" bestFit="1" customWidth="1"/>
    <col min="13326" max="13326" width="0" style="59" hidden="1" customWidth="1"/>
    <col min="13327" max="13571" width="9.140625" style="59"/>
    <col min="13572" max="13572" width="5.85546875" style="59" customWidth="1"/>
    <col min="13573" max="13573" width="40.42578125" style="59" customWidth="1"/>
    <col min="13574" max="13575" width="15" style="59" bestFit="1" customWidth="1"/>
    <col min="13576" max="13576" width="4.85546875" style="59" customWidth="1"/>
    <col min="13577" max="13578" width="15" style="59" bestFit="1" customWidth="1"/>
    <col min="13579" max="13579" width="9.140625" style="59"/>
    <col min="13580" max="13581" width="15.85546875" style="59" bestFit="1" customWidth="1"/>
    <col min="13582" max="13582" width="0" style="59" hidden="1" customWidth="1"/>
    <col min="13583" max="13827" width="9.140625" style="59"/>
    <col min="13828" max="13828" width="5.85546875" style="59" customWidth="1"/>
    <col min="13829" max="13829" width="40.42578125" style="59" customWidth="1"/>
    <col min="13830" max="13831" width="15" style="59" bestFit="1" customWidth="1"/>
    <col min="13832" max="13832" width="4.85546875" style="59" customWidth="1"/>
    <col min="13833" max="13834" width="15" style="59" bestFit="1" customWidth="1"/>
    <col min="13835" max="13835" width="9.140625" style="59"/>
    <col min="13836" max="13837" width="15.85546875" style="59" bestFit="1" customWidth="1"/>
    <col min="13838" max="13838" width="0" style="59" hidden="1" customWidth="1"/>
    <col min="13839" max="14083" width="9.140625" style="59"/>
    <col min="14084" max="14084" width="5.85546875" style="59" customWidth="1"/>
    <col min="14085" max="14085" width="40.42578125" style="59" customWidth="1"/>
    <col min="14086" max="14087" width="15" style="59" bestFit="1" customWidth="1"/>
    <col min="14088" max="14088" width="4.85546875" style="59" customWidth="1"/>
    <col min="14089" max="14090" width="15" style="59" bestFit="1" customWidth="1"/>
    <col min="14091" max="14091" width="9.140625" style="59"/>
    <col min="14092" max="14093" width="15.85546875" style="59" bestFit="1" customWidth="1"/>
    <col min="14094" max="14094" width="0" style="59" hidden="1" customWidth="1"/>
    <col min="14095" max="14339" width="9.140625" style="59"/>
    <col min="14340" max="14340" width="5.85546875" style="59" customWidth="1"/>
    <col min="14341" max="14341" width="40.42578125" style="59" customWidth="1"/>
    <col min="14342" max="14343" width="15" style="59" bestFit="1" customWidth="1"/>
    <col min="14344" max="14344" width="4.85546875" style="59" customWidth="1"/>
    <col min="14345" max="14346" width="15" style="59" bestFit="1" customWidth="1"/>
    <col min="14347" max="14347" width="9.140625" style="59"/>
    <col min="14348" max="14349" width="15.85546875" style="59" bestFit="1" customWidth="1"/>
    <col min="14350" max="14350" width="0" style="59" hidden="1" customWidth="1"/>
    <col min="14351" max="14595" width="9.140625" style="59"/>
    <col min="14596" max="14596" width="5.85546875" style="59" customWidth="1"/>
    <col min="14597" max="14597" width="40.42578125" style="59" customWidth="1"/>
    <col min="14598" max="14599" width="15" style="59" bestFit="1" customWidth="1"/>
    <col min="14600" max="14600" width="4.85546875" style="59" customWidth="1"/>
    <col min="14601" max="14602" width="15" style="59" bestFit="1" customWidth="1"/>
    <col min="14603" max="14603" width="9.140625" style="59"/>
    <col min="14604" max="14605" width="15.85546875" style="59" bestFit="1" customWidth="1"/>
    <col min="14606" max="14606" width="0" style="59" hidden="1" customWidth="1"/>
    <col min="14607" max="14851" width="9.140625" style="59"/>
    <col min="14852" max="14852" width="5.85546875" style="59" customWidth="1"/>
    <col min="14853" max="14853" width="40.42578125" style="59" customWidth="1"/>
    <col min="14854" max="14855" width="15" style="59" bestFit="1" customWidth="1"/>
    <col min="14856" max="14856" width="4.85546875" style="59" customWidth="1"/>
    <col min="14857" max="14858" width="15" style="59" bestFit="1" customWidth="1"/>
    <col min="14859" max="14859" width="9.140625" style="59"/>
    <col min="14860" max="14861" width="15.85546875" style="59" bestFit="1" customWidth="1"/>
    <col min="14862" max="14862" width="0" style="59" hidden="1" customWidth="1"/>
    <col min="14863" max="15107" width="9.140625" style="59"/>
    <col min="15108" max="15108" width="5.85546875" style="59" customWidth="1"/>
    <col min="15109" max="15109" width="40.42578125" style="59" customWidth="1"/>
    <col min="15110" max="15111" width="15" style="59" bestFit="1" customWidth="1"/>
    <col min="15112" max="15112" width="4.85546875" style="59" customWidth="1"/>
    <col min="15113" max="15114" width="15" style="59" bestFit="1" customWidth="1"/>
    <col min="15115" max="15115" width="9.140625" style="59"/>
    <col min="15116" max="15117" width="15.85546875" style="59" bestFit="1" customWidth="1"/>
    <col min="15118" max="15118" width="0" style="59" hidden="1" customWidth="1"/>
    <col min="15119" max="15363" width="9.140625" style="59"/>
    <col min="15364" max="15364" width="5.85546875" style="59" customWidth="1"/>
    <col min="15365" max="15365" width="40.42578125" style="59" customWidth="1"/>
    <col min="15366" max="15367" width="15" style="59" bestFit="1" customWidth="1"/>
    <col min="15368" max="15368" width="4.85546875" style="59" customWidth="1"/>
    <col min="15369" max="15370" width="15" style="59" bestFit="1" customWidth="1"/>
    <col min="15371" max="15371" width="9.140625" style="59"/>
    <col min="15372" max="15373" width="15.85546875" style="59" bestFit="1" customWidth="1"/>
    <col min="15374" max="15374" width="0" style="59" hidden="1" customWidth="1"/>
    <col min="15375" max="15619" width="9.140625" style="59"/>
    <col min="15620" max="15620" width="5.85546875" style="59" customWidth="1"/>
    <col min="15621" max="15621" width="40.42578125" style="59" customWidth="1"/>
    <col min="15622" max="15623" width="15" style="59" bestFit="1" customWidth="1"/>
    <col min="15624" max="15624" width="4.85546875" style="59" customWidth="1"/>
    <col min="15625" max="15626" width="15" style="59" bestFit="1" customWidth="1"/>
    <col min="15627" max="15627" width="9.140625" style="59"/>
    <col min="15628" max="15629" width="15.85546875" style="59" bestFit="1" customWidth="1"/>
    <col min="15630" max="15630" width="0" style="59" hidden="1" customWidth="1"/>
    <col min="15631" max="15875" width="9.140625" style="59"/>
    <col min="15876" max="15876" width="5.85546875" style="59" customWidth="1"/>
    <col min="15877" max="15877" width="40.42578125" style="59" customWidth="1"/>
    <col min="15878" max="15879" width="15" style="59" bestFit="1" customWidth="1"/>
    <col min="15880" max="15880" width="4.85546875" style="59" customWidth="1"/>
    <col min="15881" max="15882" width="15" style="59" bestFit="1" customWidth="1"/>
    <col min="15883" max="15883" width="9.140625" style="59"/>
    <col min="15884" max="15885" width="15.85546875" style="59" bestFit="1" customWidth="1"/>
    <col min="15886" max="15886" width="0" style="59" hidden="1" customWidth="1"/>
    <col min="15887" max="16131" width="9.140625" style="59"/>
    <col min="16132" max="16132" width="5.85546875" style="59" customWidth="1"/>
    <col min="16133" max="16133" width="40.42578125" style="59" customWidth="1"/>
    <col min="16134" max="16135" width="15" style="59" bestFit="1" customWidth="1"/>
    <col min="16136" max="16136" width="4.85546875" style="59" customWidth="1"/>
    <col min="16137" max="16138" width="15" style="59" bestFit="1" customWidth="1"/>
    <col min="16139" max="16139" width="9.140625" style="59"/>
    <col min="16140" max="16141" width="15.85546875" style="59" bestFit="1" customWidth="1"/>
    <col min="16142" max="16142" width="0" style="59" hidden="1" customWidth="1"/>
    <col min="16143" max="16384" width="9.140625" style="59"/>
  </cols>
  <sheetData>
    <row r="1" spans="1:15" s="34" customFormat="1" x14ac:dyDescent="0.2">
      <c r="B1" s="35" t="str">
        <f>Update!$B$6</f>
        <v>Department of Health</v>
      </c>
    </row>
    <row r="2" spans="1:15" s="34" customFormat="1" x14ac:dyDescent="0.2">
      <c r="B2" s="35" t="str">
        <f>Update!$B$10</f>
        <v>Notes to the financial statements</v>
      </c>
    </row>
    <row r="3" spans="1:15" s="34" customFormat="1" x14ac:dyDescent="0.2">
      <c r="B3" s="35" t="str">
        <f>Update!$A$3</f>
        <v>2025-26</v>
      </c>
    </row>
    <row r="4" spans="1:15" s="34" customFormat="1" x14ac:dyDescent="0.2">
      <c r="B4" s="35"/>
    </row>
    <row r="6" spans="1:15" s="34" customFormat="1" x14ac:dyDescent="0.2">
      <c r="A6" s="229">
        <f>SUMIF(Update!$B$33:$B$106,B6,Update!$A$33:$A$106)</f>
        <v>5.3999999999999986</v>
      </c>
      <c r="B6" s="37" t="s">
        <v>601</v>
      </c>
    </row>
    <row r="7" spans="1:15" s="34" customFormat="1" x14ac:dyDescent="0.2">
      <c r="D7" s="38"/>
      <c r="G7" s="38"/>
      <c r="H7" s="38"/>
      <c r="I7" s="38"/>
      <c r="J7" s="38"/>
      <c r="M7" s="2109"/>
      <c r="N7" s="2110"/>
    </row>
    <row r="8" spans="1:15" s="34" customFormat="1" x14ac:dyDescent="0.2">
      <c r="B8" s="157"/>
      <c r="C8" s="157"/>
      <c r="D8" s="157"/>
      <c r="E8" s="157"/>
      <c r="F8" s="157"/>
      <c r="G8" s="157"/>
      <c r="H8" s="157"/>
      <c r="I8" s="157"/>
      <c r="J8" s="157"/>
      <c r="K8" s="157"/>
      <c r="L8" s="59"/>
      <c r="M8" s="59"/>
      <c r="N8" s="59"/>
      <c r="O8" s="59"/>
    </row>
    <row r="9" spans="1:15" s="34" customFormat="1" x14ac:dyDescent="0.2">
      <c r="B9" s="157"/>
      <c r="C9" s="2111" t="s">
        <v>195</v>
      </c>
      <c r="D9" s="2112"/>
      <c r="E9" s="62"/>
      <c r="F9" s="2111" t="s">
        <v>196</v>
      </c>
      <c r="G9" s="2112"/>
      <c r="H9" s="144"/>
      <c r="I9" s="2111" t="s">
        <v>181</v>
      </c>
      <c r="J9" s="2112"/>
      <c r="K9" s="62"/>
      <c r="L9" s="2111" t="s">
        <v>146</v>
      </c>
      <c r="M9" s="2112"/>
      <c r="N9" s="2112"/>
      <c r="O9" s="59"/>
    </row>
    <row r="10" spans="1:15" s="34" customFormat="1" x14ac:dyDescent="0.2">
      <c r="B10" s="158"/>
      <c r="C10" s="90" t="str">
        <f>Update!$B$22</f>
        <v xml:space="preserve"> 31 March 2026</v>
      </c>
      <c r="D10" s="90" t="str">
        <f>Update!$B$24</f>
        <v xml:space="preserve"> 31 March 2025</v>
      </c>
      <c r="E10" s="59"/>
      <c r="F10" s="90" t="str">
        <f>C10</f>
        <v xml:space="preserve"> 31 March 2026</v>
      </c>
      <c r="G10" s="90" t="str">
        <f>D10</f>
        <v xml:space="preserve"> 31 March 2025</v>
      </c>
      <c r="H10" s="90"/>
      <c r="I10" s="90" t="str">
        <f>C10</f>
        <v xml:space="preserve"> 31 March 2026</v>
      </c>
      <c r="J10" s="90" t="str">
        <f>D10</f>
        <v xml:space="preserve"> 31 March 2025</v>
      </c>
      <c r="K10" s="59"/>
      <c r="L10" s="90" t="str">
        <f>F10</f>
        <v xml:space="preserve"> 31 March 2026</v>
      </c>
      <c r="M10" s="90" t="str">
        <f>G10</f>
        <v xml:space="preserve"> 31 March 2025</v>
      </c>
      <c r="N10" s="90" t="s">
        <v>537</v>
      </c>
      <c r="O10" s="59"/>
    </row>
    <row r="11" spans="1:15" s="34" customFormat="1" x14ac:dyDescent="0.2">
      <c r="B11" s="131"/>
      <c r="C11" s="57" t="s">
        <v>62</v>
      </c>
      <c r="D11" s="57" t="s">
        <v>62</v>
      </c>
      <c r="E11" s="157"/>
      <c r="F11" s="57" t="s">
        <v>62</v>
      </c>
      <c r="G11" s="57" t="s">
        <v>62</v>
      </c>
      <c r="H11" s="57"/>
      <c r="I11" s="57" t="s">
        <v>62</v>
      </c>
      <c r="J11" s="57" t="s">
        <v>62</v>
      </c>
      <c r="K11" s="157"/>
      <c r="L11" s="57" t="s">
        <v>62</v>
      </c>
      <c r="M11" s="57" t="s">
        <v>62</v>
      </c>
      <c r="N11" s="159" t="s">
        <v>62</v>
      </c>
      <c r="O11" s="59"/>
    </row>
    <row r="12" spans="1:15" s="34" customFormat="1" x14ac:dyDescent="0.2">
      <c r="B12" s="59"/>
      <c r="C12" s="160"/>
      <c r="D12" s="160"/>
      <c r="E12" s="157"/>
      <c r="F12" s="160">
        <f>ROUND(SUMIF(MAP!$E$389:$E$406,$B12,MAP!$N$389:$N$406),0)</f>
        <v>0</v>
      </c>
      <c r="G12" s="160"/>
      <c r="H12" s="160"/>
      <c r="I12" s="160"/>
      <c r="J12" s="160"/>
      <c r="K12" s="157"/>
      <c r="L12" s="160"/>
      <c r="M12" s="160"/>
      <c r="N12" s="160"/>
      <c r="O12" s="59"/>
    </row>
    <row r="13" spans="1:15" s="34" customFormat="1" x14ac:dyDescent="0.2">
      <c r="B13" s="37"/>
      <c r="C13" s="161"/>
      <c r="D13" s="161"/>
      <c r="E13" s="157"/>
      <c r="F13" s="161"/>
      <c r="G13" s="161"/>
      <c r="H13" s="161"/>
      <c r="I13" s="161"/>
      <c r="J13" s="161"/>
      <c r="K13" s="157"/>
      <c r="L13" s="161"/>
      <c r="M13" s="161"/>
      <c r="N13" s="161"/>
      <c r="O13" s="59"/>
    </row>
    <row r="14" spans="1:15" s="34" customFormat="1" x14ac:dyDescent="0.2">
      <c r="B14" s="34" t="s">
        <v>450</v>
      </c>
      <c r="C14" s="333">
        <f>SUMIF(MAP!$E$807:$E$813,$B14,MAP!$N$807:$N$813)</f>
        <v>0</v>
      </c>
      <c r="D14" s="1193">
        <v>2</v>
      </c>
      <c r="E14" s="162"/>
      <c r="F14" s="333">
        <f>SUMIF(MAP!$E$814:$E$819,$B14,MAP!$N$814:$N$819)</f>
        <v>0</v>
      </c>
      <c r="G14" s="1193">
        <v>0</v>
      </c>
      <c r="H14" s="161"/>
      <c r="I14" s="333">
        <f>SUMIF(MAP!$E$820:$E$825,$B14,MAP!$N$820:$N$825)</f>
        <v>0</v>
      </c>
      <c r="J14" s="1193">
        <v>0</v>
      </c>
      <c r="K14" s="142"/>
      <c r="L14" s="777">
        <f t="shared" ref="L14:M18" si="0">C14+F14+I14</f>
        <v>0</v>
      </c>
      <c r="M14" s="777">
        <f t="shared" si="0"/>
        <v>2</v>
      </c>
      <c r="N14" s="163"/>
      <c r="O14" s="59"/>
    </row>
    <row r="15" spans="1:15" s="34" customFormat="1" ht="25.5" x14ac:dyDescent="0.2">
      <c r="B15" s="41" t="s">
        <v>206</v>
      </c>
      <c r="C15" s="333">
        <f>SUMIF(MAP!$E$807:$E$813,$B15,MAP!$N$807:$N$813)</f>
        <v>0</v>
      </c>
      <c r="D15" s="1193">
        <v>120</v>
      </c>
      <c r="E15" s="59"/>
      <c r="F15" s="333">
        <f>SUMIF(MAP!$E$814:$E$819,$B15,MAP!$N$814:$N$819)</f>
        <v>0</v>
      </c>
      <c r="G15" s="1193">
        <v>275</v>
      </c>
      <c r="H15" s="161"/>
      <c r="I15" s="333">
        <f>SUMIF(MAP!$E$820:$E$825,$B15,MAP!$N$820:$N$825)</f>
        <v>0</v>
      </c>
      <c r="J15" s="1193">
        <v>0</v>
      </c>
      <c r="K15" s="59"/>
      <c r="L15" s="777">
        <f t="shared" si="0"/>
        <v>0</v>
      </c>
      <c r="M15" s="777">
        <f t="shared" si="0"/>
        <v>395</v>
      </c>
      <c r="N15" s="163"/>
      <c r="O15" s="59"/>
    </row>
    <row r="16" spans="1:15" s="34" customFormat="1" x14ac:dyDescent="0.2">
      <c r="C16" s="333">
        <f>SUMIF(MAP!$E$807:$E$813,$B16,MAP!$N$807:$N$813)</f>
        <v>0</v>
      </c>
      <c r="D16" s="1193">
        <v>0</v>
      </c>
      <c r="E16" s="59"/>
      <c r="F16" s="333">
        <f>SUMIF(MAP!$E$814:$E$819,$B16,MAP!$N$814:$N$819)</f>
        <v>0</v>
      </c>
      <c r="G16" s="1193">
        <v>0</v>
      </c>
      <c r="H16" s="161"/>
      <c r="I16" s="333">
        <f>SUMIF(MAP!$E$820:$E$825,$B16,MAP!$N$820:$N$825)</f>
        <v>0</v>
      </c>
      <c r="J16" s="1193">
        <v>0</v>
      </c>
      <c r="K16" s="59"/>
      <c r="L16" s="777">
        <f t="shared" si="0"/>
        <v>0</v>
      </c>
      <c r="M16" s="777">
        <f t="shared" si="0"/>
        <v>0</v>
      </c>
      <c r="N16" s="163"/>
      <c r="O16" s="59"/>
    </row>
    <row r="17" spans="2:15" s="34" customFormat="1" x14ac:dyDescent="0.2">
      <c r="B17" s="34" t="s">
        <v>207</v>
      </c>
      <c r="C17" s="333">
        <f>SUMIF(MAP!$E$807:$E$813,$B17,MAP!$N$807:$N$813)</f>
        <v>0</v>
      </c>
      <c r="D17" s="1193">
        <v>-120</v>
      </c>
      <c r="E17" s="100"/>
      <c r="F17" s="333">
        <f>SUMIF(MAP!$E$814:$E$819,$B17,MAP!$N$814:$N$819)</f>
        <v>0</v>
      </c>
      <c r="G17" s="1193">
        <v>-115</v>
      </c>
      <c r="H17" s="161"/>
      <c r="I17" s="333">
        <f>SUMIF(MAP!$E$820:$E$825,$B17,MAP!$N$820:$N$825)</f>
        <v>0</v>
      </c>
      <c r="J17" s="1193">
        <v>0</v>
      </c>
      <c r="K17" s="59"/>
      <c r="L17" s="777">
        <f t="shared" si="0"/>
        <v>0</v>
      </c>
      <c r="M17" s="777">
        <f t="shared" si="0"/>
        <v>-235</v>
      </c>
      <c r="N17" s="163"/>
      <c r="O17" s="59"/>
    </row>
    <row r="18" spans="2:15" s="34" customFormat="1" x14ac:dyDescent="0.2">
      <c r="B18" s="34" t="s">
        <v>208</v>
      </c>
      <c r="C18" s="333">
        <f>SUMIF(MAP!$E$807:$E$813,$B18,MAP!$N$807:$N$813)</f>
        <v>0</v>
      </c>
      <c r="D18" s="1193">
        <v>0</v>
      </c>
      <c r="E18" s="100"/>
      <c r="F18" s="333">
        <f>SUMIF(MAP!$E$814:$E$819,$B18,MAP!$N$814:$N$819)</f>
        <v>0</v>
      </c>
      <c r="G18" s="1193">
        <v>0</v>
      </c>
      <c r="H18" s="161"/>
      <c r="I18" s="333">
        <f>SUMIF(MAP!$E$820:$E$825,$B18,MAP!$N$820:$N$825)</f>
        <v>0</v>
      </c>
      <c r="J18" s="1193">
        <v>0</v>
      </c>
      <c r="K18" s="59"/>
      <c r="L18" s="777">
        <f t="shared" si="0"/>
        <v>0</v>
      </c>
      <c r="M18" s="777">
        <f t="shared" si="0"/>
        <v>0</v>
      </c>
      <c r="N18" s="163"/>
      <c r="O18" s="59"/>
    </row>
    <row r="19" spans="2:15" s="34" customFormat="1" x14ac:dyDescent="0.2">
      <c r="C19" s="137"/>
      <c r="D19" s="137"/>
      <c r="E19" s="59"/>
      <c r="F19" s="137">
        <f>ROUND(SUMIF(MAP!$E$389:$E$406,$B19,MAP!$N$389:$N$406),0)</f>
        <v>0</v>
      </c>
      <c r="G19" s="137"/>
      <c r="H19" s="161"/>
      <c r="I19" s="137"/>
      <c r="J19" s="137"/>
      <c r="K19" s="59"/>
      <c r="L19" s="100"/>
      <c r="M19" s="137"/>
      <c r="N19" s="137"/>
      <c r="O19" s="59"/>
    </row>
    <row r="20" spans="2:15" s="34" customFormat="1" x14ac:dyDescent="0.2">
      <c r="B20" s="37" t="s">
        <v>209</v>
      </c>
      <c r="C20" s="164">
        <f>SUM(C14:C18)</f>
        <v>0</v>
      </c>
      <c r="D20" s="164">
        <f>SUM(D14:D18)</f>
        <v>2</v>
      </c>
      <c r="E20" s="59"/>
      <c r="F20" s="164">
        <f>SUM(F14:F18)</f>
        <v>0</v>
      </c>
      <c r="G20" s="164">
        <f>SUM(G14:G18)</f>
        <v>160</v>
      </c>
      <c r="H20" s="161"/>
      <c r="I20" s="164">
        <f>SUM(I14:I18)</f>
        <v>0</v>
      </c>
      <c r="J20" s="164">
        <f>SUM(J14:J18)</f>
        <v>0</v>
      </c>
      <c r="K20" s="59"/>
      <c r="L20" s="164">
        <f>SUM(L14:L18)</f>
        <v>0</v>
      </c>
      <c r="M20" s="164">
        <f>SUM(M14:M18)</f>
        <v>162</v>
      </c>
      <c r="N20" s="164">
        <f>SUM(N14:N18)</f>
        <v>0</v>
      </c>
      <c r="O20" s="59"/>
    </row>
    <row r="21" spans="2:15" s="34" customFormat="1" x14ac:dyDescent="0.2">
      <c r="C21" s="140"/>
      <c r="D21" s="140"/>
      <c r="E21" s="59"/>
      <c r="F21" s="140"/>
      <c r="G21" s="140"/>
      <c r="H21" s="140"/>
      <c r="I21" s="140"/>
      <c r="J21" s="140"/>
      <c r="K21" s="59"/>
      <c r="L21" s="140"/>
      <c r="M21" s="140"/>
      <c r="N21" s="140"/>
      <c r="O21" s="59"/>
    </row>
    <row r="22" spans="2:15" s="34" customFormat="1" outlineLevel="1" x14ac:dyDescent="0.2">
      <c r="B22" s="89" t="s">
        <v>1046</v>
      </c>
      <c r="D22" s="340">
        <f>C14-D20</f>
        <v>-2</v>
      </c>
      <c r="E22" s="59"/>
      <c r="G22" s="340">
        <f>F14-G20</f>
        <v>-160</v>
      </c>
      <c r="H22" s="38"/>
      <c r="J22" s="340">
        <f>I14-J20</f>
        <v>0</v>
      </c>
      <c r="K22" s="59"/>
      <c r="L22" s="140"/>
      <c r="M22" s="340">
        <f>L14-M20</f>
        <v>-162</v>
      </c>
      <c r="N22" s="140"/>
      <c r="O22" s="59"/>
    </row>
    <row r="23" spans="2:15" s="34" customFormat="1" x14ac:dyDescent="0.2">
      <c r="C23" s="140"/>
      <c r="D23" s="140"/>
      <c r="E23" s="59"/>
      <c r="F23" s="140"/>
      <c r="G23" s="140"/>
      <c r="H23" s="140"/>
      <c r="I23" s="140"/>
      <c r="J23" s="140"/>
      <c r="K23" s="59"/>
      <c r="L23" s="140"/>
      <c r="M23" s="140"/>
      <c r="N23" s="140"/>
      <c r="O23" s="59"/>
    </row>
    <row r="24" spans="2:15" s="34" customFormat="1" x14ac:dyDescent="0.2"/>
    <row r="25" spans="2:15" s="34" customFormat="1" x14ac:dyDescent="0.2"/>
    <row r="26" spans="2:15" s="34" customFormat="1" x14ac:dyDescent="0.2"/>
  </sheetData>
  <mergeCells count="5">
    <mergeCell ref="M7:N7"/>
    <mergeCell ref="C9:D9"/>
    <mergeCell ref="F9:G9"/>
    <mergeCell ref="L9:N9"/>
    <mergeCell ref="I9:J9"/>
  </mergeCells>
  <pageMargins left="0.35433070866141736" right="0.47244094488188981" top="0.19685039370078741" bottom="0.19685039370078741" header="0.31496062992125984" footer="0.31496062992125984"/>
  <pageSetup paperSize="9" scale="7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2">
    <tabColor rgb="FFFF00FF"/>
  </sheetPr>
  <dimension ref="A1:O26"/>
  <sheetViews>
    <sheetView zoomScaleNormal="100" workbookViewId="0">
      <selection activeCell="G5" sqref="G4:G5"/>
    </sheetView>
  </sheetViews>
  <sheetFormatPr defaultRowHeight="12.75" outlineLevelRow="1" x14ac:dyDescent="0.2"/>
  <cols>
    <col min="1" max="1" width="5.85546875" style="59" customWidth="1"/>
    <col min="2" max="2" width="40.42578125" style="59" customWidth="1"/>
    <col min="3" max="4" width="15" style="59" bestFit="1" customWidth="1"/>
    <col min="5" max="5" width="3.42578125" style="59" customWidth="1"/>
    <col min="6" max="7" width="15" style="59" bestFit="1" customWidth="1"/>
    <col min="8" max="8" width="3.42578125" style="59" customWidth="1"/>
    <col min="9" max="10" width="15" style="59" customWidth="1"/>
    <col min="11" max="11" width="9.140625" style="59"/>
    <col min="12" max="13" width="15.85546875" style="59" bestFit="1" customWidth="1"/>
    <col min="14" max="14" width="12.5703125" style="59" hidden="1" customWidth="1"/>
    <col min="15" max="259" width="9.140625" style="59"/>
    <col min="260" max="260" width="5.85546875" style="59" customWidth="1"/>
    <col min="261" max="261" width="40.42578125" style="59" customWidth="1"/>
    <col min="262" max="263" width="15" style="59" bestFit="1" customWidth="1"/>
    <col min="264" max="264" width="4.85546875" style="59" customWidth="1"/>
    <col min="265" max="266" width="15" style="59" bestFit="1" customWidth="1"/>
    <col min="267" max="267" width="9.140625" style="59"/>
    <col min="268" max="269" width="15.85546875" style="59" bestFit="1" customWidth="1"/>
    <col min="270" max="270" width="0" style="59" hidden="1" customWidth="1"/>
    <col min="271" max="515" width="9.140625" style="59"/>
    <col min="516" max="516" width="5.85546875" style="59" customWidth="1"/>
    <col min="517" max="517" width="40.42578125" style="59" customWidth="1"/>
    <col min="518" max="519" width="15" style="59" bestFit="1" customWidth="1"/>
    <col min="520" max="520" width="4.85546875" style="59" customWidth="1"/>
    <col min="521" max="522" width="15" style="59" bestFit="1" customWidth="1"/>
    <col min="523" max="523" width="9.140625" style="59"/>
    <col min="524" max="525" width="15.85546875" style="59" bestFit="1" customWidth="1"/>
    <col min="526" max="526" width="0" style="59" hidden="1" customWidth="1"/>
    <col min="527" max="771" width="9.140625" style="59"/>
    <col min="772" max="772" width="5.85546875" style="59" customWidth="1"/>
    <col min="773" max="773" width="40.42578125" style="59" customWidth="1"/>
    <col min="774" max="775" width="15" style="59" bestFit="1" customWidth="1"/>
    <col min="776" max="776" width="4.85546875" style="59" customWidth="1"/>
    <col min="777" max="778" width="15" style="59" bestFit="1" customWidth="1"/>
    <col min="779" max="779" width="9.140625" style="59"/>
    <col min="780" max="781" width="15.85546875" style="59" bestFit="1" customWidth="1"/>
    <col min="782" max="782" width="0" style="59" hidden="1" customWidth="1"/>
    <col min="783" max="1027" width="9.140625" style="59"/>
    <col min="1028" max="1028" width="5.85546875" style="59" customWidth="1"/>
    <col min="1029" max="1029" width="40.42578125" style="59" customWidth="1"/>
    <col min="1030" max="1031" width="15" style="59" bestFit="1" customWidth="1"/>
    <col min="1032" max="1032" width="4.85546875" style="59" customWidth="1"/>
    <col min="1033" max="1034" width="15" style="59" bestFit="1" customWidth="1"/>
    <col min="1035" max="1035" width="9.140625" style="59"/>
    <col min="1036" max="1037" width="15.85546875" style="59" bestFit="1" customWidth="1"/>
    <col min="1038" max="1038" width="0" style="59" hidden="1" customWidth="1"/>
    <col min="1039" max="1283" width="9.140625" style="59"/>
    <col min="1284" max="1284" width="5.85546875" style="59" customWidth="1"/>
    <col min="1285" max="1285" width="40.42578125" style="59" customWidth="1"/>
    <col min="1286" max="1287" width="15" style="59" bestFit="1" customWidth="1"/>
    <col min="1288" max="1288" width="4.85546875" style="59" customWidth="1"/>
    <col min="1289" max="1290" width="15" style="59" bestFit="1" customWidth="1"/>
    <col min="1291" max="1291" width="9.140625" style="59"/>
    <col min="1292" max="1293" width="15.85546875" style="59" bestFit="1" customWidth="1"/>
    <col min="1294" max="1294" width="0" style="59" hidden="1" customWidth="1"/>
    <col min="1295" max="1539" width="9.140625" style="59"/>
    <col min="1540" max="1540" width="5.85546875" style="59" customWidth="1"/>
    <col min="1541" max="1541" width="40.42578125" style="59" customWidth="1"/>
    <col min="1542" max="1543" width="15" style="59" bestFit="1" customWidth="1"/>
    <col min="1544" max="1544" width="4.85546875" style="59" customWidth="1"/>
    <col min="1545" max="1546" width="15" style="59" bestFit="1" customWidth="1"/>
    <col min="1547" max="1547" width="9.140625" style="59"/>
    <col min="1548" max="1549" width="15.85546875" style="59" bestFit="1" customWidth="1"/>
    <col min="1550" max="1550" width="0" style="59" hidden="1" customWidth="1"/>
    <col min="1551" max="1795" width="9.140625" style="59"/>
    <col min="1796" max="1796" width="5.85546875" style="59" customWidth="1"/>
    <col min="1797" max="1797" width="40.42578125" style="59" customWidth="1"/>
    <col min="1798" max="1799" width="15" style="59" bestFit="1" customWidth="1"/>
    <col min="1800" max="1800" width="4.85546875" style="59" customWidth="1"/>
    <col min="1801" max="1802" width="15" style="59" bestFit="1" customWidth="1"/>
    <col min="1803" max="1803" width="9.140625" style="59"/>
    <col min="1804" max="1805" width="15.85546875" style="59" bestFit="1" customWidth="1"/>
    <col min="1806" max="1806" width="0" style="59" hidden="1" customWidth="1"/>
    <col min="1807" max="2051" width="9.140625" style="59"/>
    <col min="2052" max="2052" width="5.85546875" style="59" customWidth="1"/>
    <col min="2053" max="2053" width="40.42578125" style="59" customWidth="1"/>
    <col min="2054" max="2055" width="15" style="59" bestFit="1" customWidth="1"/>
    <col min="2056" max="2056" width="4.85546875" style="59" customWidth="1"/>
    <col min="2057" max="2058" width="15" style="59" bestFit="1" customWidth="1"/>
    <col min="2059" max="2059" width="9.140625" style="59"/>
    <col min="2060" max="2061" width="15.85546875" style="59" bestFit="1" customWidth="1"/>
    <col min="2062" max="2062" width="0" style="59" hidden="1" customWidth="1"/>
    <col min="2063" max="2307" width="9.140625" style="59"/>
    <col min="2308" max="2308" width="5.85546875" style="59" customWidth="1"/>
    <col min="2309" max="2309" width="40.42578125" style="59" customWidth="1"/>
    <col min="2310" max="2311" width="15" style="59" bestFit="1" customWidth="1"/>
    <col min="2312" max="2312" width="4.85546875" style="59" customWidth="1"/>
    <col min="2313" max="2314" width="15" style="59" bestFit="1" customWidth="1"/>
    <col min="2315" max="2315" width="9.140625" style="59"/>
    <col min="2316" max="2317" width="15.85546875" style="59" bestFit="1" customWidth="1"/>
    <col min="2318" max="2318" width="0" style="59" hidden="1" customWidth="1"/>
    <col min="2319" max="2563" width="9.140625" style="59"/>
    <col min="2564" max="2564" width="5.85546875" style="59" customWidth="1"/>
    <col min="2565" max="2565" width="40.42578125" style="59" customWidth="1"/>
    <col min="2566" max="2567" width="15" style="59" bestFit="1" customWidth="1"/>
    <col min="2568" max="2568" width="4.85546875" style="59" customWidth="1"/>
    <col min="2569" max="2570" width="15" style="59" bestFit="1" customWidth="1"/>
    <col min="2571" max="2571" width="9.140625" style="59"/>
    <col min="2572" max="2573" width="15.85546875" style="59" bestFit="1" customWidth="1"/>
    <col min="2574" max="2574" width="0" style="59" hidden="1" customWidth="1"/>
    <col min="2575" max="2819" width="9.140625" style="59"/>
    <col min="2820" max="2820" width="5.85546875" style="59" customWidth="1"/>
    <col min="2821" max="2821" width="40.42578125" style="59" customWidth="1"/>
    <col min="2822" max="2823" width="15" style="59" bestFit="1" customWidth="1"/>
    <col min="2824" max="2824" width="4.85546875" style="59" customWidth="1"/>
    <col min="2825" max="2826" width="15" style="59" bestFit="1" customWidth="1"/>
    <col min="2827" max="2827" width="9.140625" style="59"/>
    <col min="2828" max="2829" width="15.85546875" style="59" bestFit="1" customWidth="1"/>
    <col min="2830" max="2830" width="0" style="59" hidden="1" customWidth="1"/>
    <col min="2831" max="3075" width="9.140625" style="59"/>
    <col min="3076" max="3076" width="5.85546875" style="59" customWidth="1"/>
    <col min="3077" max="3077" width="40.42578125" style="59" customWidth="1"/>
    <col min="3078" max="3079" width="15" style="59" bestFit="1" customWidth="1"/>
    <col min="3080" max="3080" width="4.85546875" style="59" customWidth="1"/>
    <col min="3081" max="3082" width="15" style="59" bestFit="1" customWidth="1"/>
    <col min="3083" max="3083" width="9.140625" style="59"/>
    <col min="3084" max="3085" width="15.85546875" style="59" bestFit="1" customWidth="1"/>
    <col min="3086" max="3086" width="0" style="59" hidden="1" customWidth="1"/>
    <col min="3087" max="3331" width="9.140625" style="59"/>
    <col min="3332" max="3332" width="5.85546875" style="59" customWidth="1"/>
    <col min="3333" max="3333" width="40.42578125" style="59" customWidth="1"/>
    <col min="3334" max="3335" width="15" style="59" bestFit="1" customWidth="1"/>
    <col min="3336" max="3336" width="4.85546875" style="59" customWidth="1"/>
    <col min="3337" max="3338" width="15" style="59" bestFit="1" customWidth="1"/>
    <col min="3339" max="3339" width="9.140625" style="59"/>
    <col min="3340" max="3341" width="15.85546875" style="59" bestFit="1" customWidth="1"/>
    <col min="3342" max="3342" width="0" style="59" hidden="1" customWidth="1"/>
    <col min="3343" max="3587" width="9.140625" style="59"/>
    <col min="3588" max="3588" width="5.85546875" style="59" customWidth="1"/>
    <col min="3589" max="3589" width="40.42578125" style="59" customWidth="1"/>
    <col min="3590" max="3591" width="15" style="59" bestFit="1" customWidth="1"/>
    <col min="3592" max="3592" width="4.85546875" style="59" customWidth="1"/>
    <col min="3593" max="3594" width="15" style="59" bestFit="1" customWidth="1"/>
    <col min="3595" max="3595" width="9.140625" style="59"/>
    <col min="3596" max="3597" width="15.85546875" style="59" bestFit="1" customWidth="1"/>
    <col min="3598" max="3598" width="0" style="59" hidden="1" customWidth="1"/>
    <col min="3599" max="3843" width="9.140625" style="59"/>
    <col min="3844" max="3844" width="5.85546875" style="59" customWidth="1"/>
    <col min="3845" max="3845" width="40.42578125" style="59" customWidth="1"/>
    <col min="3846" max="3847" width="15" style="59" bestFit="1" customWidth="1"/>
    <col min="3848" max="3848" width="4.85546875" style="59" customWidth="1"/>
    <col min="3849" max="3850" width="15" style="59" bestFit="1" customWidth="1"/>
    <col min="3851" max="3851" width="9.140625" style="59"/>
    <col min="3852" max="3853" width="15.85546875" style="59" bestFit="1" customWidth="1"/>
    <col min="3854" max="3854" width="0" style="59" hidden="1" customWidth="1"/>
    <col min="3855" max="4099" width="9.140625" style="59"/>
    <col min="4100" max="4100" width="5.85546875" style="59" customWidth="1"/>
    <col min="4101" max="4101" width="40.42578125" style="59" customWidth="1"/>
    <col min="4102" max="4103" width="15" style="59" bestFit="1" customWidth="1"/>
    <col min="4104" max="4104" width="4.85546875" style="59" customWidth="1"/>
    <col min="4105" max="4106" width="15" style="59" bestFit="1" customWidth="1"/>
    <col min="4107" max="4107" width="9.140625" style="59"/>
    <col min="4108" max="4109" width="15.85546875" style="59" bestFit="1" customWidth="1"/>
    <col min="4110" max="4110" width="0" style="59" hidden="1" customWidth="1"/>
    <col min="4111" max="4355" width="9.140625" style="59"/>
    <col min="4356" max="4356" width="5.85546875" style="59" customWidth="1"/>
    <col min="4357" max="4357" width="40.42578125" style="59" customWidth="1"/>
    <col min="4358" max="4359" width="15" style="59" bestFit="1" customWidth="1"/>
    <col min="4360" max="4360" width="4.85546875" style="59" customWidth="1"/>
    <col min="4361" max="4362" width="15" style="59" bestFit="1" customWidth="1"/>
    <col min="4363" max="4363" width="9.140625" style="59"/>
    <col min="4364" max="4365" width="15.85546875" style="59" bestFit="1" customWidth="1"/>
    <col min="4366" max="4366" width="0" style="59" hidden="1" customWidth="1"/>
    <col min="4367" max="4611" width="9.140625" style="59"/>
    <col min="4612" max="4612" width="5.85546875" style="59" customWidth="1"/>
    <col min="4613" max="4613" width="40.42578125" style="59" customWidth="1"/>
    <col min="4614" max="4615" width="15" style="59" bestFit="1" customWidth="1"/>
    <col min="4616" max="4616" width="4.85546875" style="59" customWidth="1"/>
    <col min="4617" max="4618" width="15" style="59" bestFit="1" customWidth="1"/>
    <col min="4619" max="4619" width="9.140625" style="59"/>
    <col min="4620" max="4621" width="15.85546875" style="59" bestFit="1" customWidth="1"/>
    <col min="4622" max="4622" width="0" style="59" hidden="1" customWidth="1"/>
    <col min="4623" max="4867" width="9.140625" style="59"/>
    <col min="4868" max="4868" width="5.85546875" style="59" customWidth="1"/>
    <col min="4869" max="4869" width="40.42578125" style="59" customWidth="1"/>
    <col min="4870" max="4871" width="15" style="59" bestFit="1" customWidth="1"/>
    <col min="4872" max="4872" width="4.85546875" style="59" customWidth="1"/>
    <col min="4873" max="4874" width="15" style="59" bestFit="1" customWidth="1"/>
    <col min="4875" max="4875" width="9.140625" style="59"/>
    <col min="4876" max="4877" width="15.85546875" style="59" bestFit="1" customWidth="1"/>
    <col min="4878" max="4878" width="0" style="59" hidden="1" customWidth="1"/>
    <col min="4879" max="5123" width="9.140625" style="59"/>
    <col min="5124" max="5124" width="5.85546875" style="59" customWidth="1"/>
    <col min="5125" max="5125" width="40.42578125" style="59" customWidth="1"/>
    <col min="5126" max="5127" width="15" style="59" bestFit="1" customWidth="1"/>
    <col min="5128" max="5128" width="4.85546875" style="59" customWidth="1"/>
    <col min="5129" max="5130" width="15" style="59" bestFit="1" customWidth="1"/>
    <col min="5131" max="5131" width="9.140625" style="59"/>
    <col min="5132" max="5133" width="15.85546875" style="59" bestFit="1" customWidth="1"/>
    <col min="5134" max="5134" width="0" style="59" hidden="1" customWidth="1"/>
    <col min="5135" max="5379" width="9.140625" style="59"/>
    <col min="5380" max="5380" width="5.85546875" style="59" customWidth="1"/>
    <col min="5381" max="5381" width="40.42578125" style="59" customWidth="1"/>
    <col min="5382" max="5383" width="15" style="59" bestFit="1" customWidth="1"/>
    <col min="5384" max="5384" width="4.85546875" style="59" customWidth="1"/>
    <col min="5385" max="5386" width="15" style="59" bestFit="1" customWidth="1"/>
    <col min="5387" max="5387" width="9.140625" style="59"/>
    <col min="5388" max="5389" width="15.85546875" style="59" bestFit="1" customWidth="1"/>
    <col min="5390" max="5390" width="0" style="59" hidden="1" customWidth="1"/>
    <col min="5391" max="5635" width="9.140625" style="59"/>
    <col min="5636" max="5636" width="5.85546875" style="59" customWidth="1"/>
    <col min="5637" max="5637" width="40.42578125" style="59" customWidth="1"/>
    <col min="5638" max="5639" width="15" style="59" bestFit="1" customWidth="1"/>
    <col min="5640" max="5640" width="4.85546875" style="59" customWidth="1"/>
    <col min="5641" max="5642" width="15" style="59" bestFit="1" customWidth="1"/>
    <col min="5643" max="5643" width="9.140625" style="59"/>
    <col min="5644" max="5645" width="15.85546875" style="59" bestFit="1" customWidth="1"/>
    <col min="5646" max="5646" width="0" style="59" hidden="1" customWidth="1"/>
    <col min="5647" max="5891" width="9.140625" style="59"/>
    <col min="5892" max="5892" width="5.85546875" style="59" customWidth="1"/>
    <col min="5893" max="5893" width="40.42578125" style="59" customWidth="1"/>
    <col min="5894" max="5895" width="15" style="59" bestFit="1" customWidth="1"/>
    <col min="5896" max="5896" width="4.85546875" style="59" customWidth="1"/>
    <col min="5897" max="5898" width="15" style="59" bestFit="1" customWidth="1"/>
    <col min="5899" max="5899" width="9.140625" style="59"/>
    <col min="5900" max="5901" width="15.85546875" style="59" bestFit="1" customWidth="1"/>
    <col min="5902" max="5902" width="0" style="59" hidden="1" customWidth="1"/>
    <col min="5903" max="6147" width="9.140625" style="59"/>
    <col min="6148" max="6148" width="5.85546875" style="59" customWidth="1"/>
    <col min="6149" max="6149" width="40.42578125" style="59" customWidth="1"/>
    <col min="6150" max="6151" width="15" style="59" bestFit="1" customWidth="1"/>
    <col min="6152" max="6152" width="4.85546875" style="59" customWidth="1"/>
    <col min="6153" max="6154" width="15" style="59" bestFit="1" customWidth="1"/>
    <col min="6155" max="6155" width="9.140625" style="59"/>
    <col min="6156" max="6157" width="15.85546875" style="59" bestFit="1" customWidth="1"/>
    <col min="6158" max="6158" width="0" style="59" hidden="1" customWidth="1"/>
    <col min="6159" max="6403" width="9.140625" style="59"/>
    <col min="6404" max="6404" width="5.85546875" style="59" customWidth="1"/>
    <col min="6405" max="6405" width="40.42578125" style="59" customWidth="1"/>
    <col min="6406" max="6407" width="15" style="59" bestFit="1" customWidth="1"/>
    <col min="6408" max="6408" width="4.85546875" style="59" customWidth="1"/>
    <col min="6409" max="6410" width="15" style="59" bestFit="1" customWidth="1"/>
    <col min="6411" max="6411" width="9.140625" style="59"/>
    <col min="6412" max="6413" width="15.85546875" style="59" bestFit="1" customWidth="1"/>
    <col min="6414" max="6414" width="0" style="59" hidden="1" customWidth="1"/>
    <col min="6415" max="6659" width="9.140625" style="59"/>
    <col min="6660" max="6660" width="5.85546875" style="59" customWidth="1"/>
    <col min="6661" max="6661" width="40.42578125" style="59" customWidth="1"/>
    <col min="6662" max="6663" width="15" style="59" bestFit="1" customWidth="1"/>
    <col min="6664" max="6664" width="4.85546875" style="59" customWidth="1"/>
    <col min="6665" max="6666" width="15" style="59" bestFit="1" customWidth="1"/>
    <col min="6667" max="6667" width="9.140625" style="59"/>
    <col min="6668" max="6669" width="15.85546875" style="59" bestFit="1" customWidth="1"/>
    <col min="6670" max="6670" width="0" style="59" hidden="1" customWidth="1"/>
    <col min="6671" max="6915" width="9.140625" style="59"/>
    <col min="6916" max="6916" width="5.85546875" style="59" customWidth="1"/>
    <col min="6917" max="6917" width="40.42578125" style="59" customWidth="1"/>
    <col min="6918" max="6919" width="15" style="59" bestFit="1" customWidth="1"/>
    <col min="6920" max="6920" width="4.85546875" style="59" customWidth="1"/>
    <col min="6921" max="6922" width="15" style="59" bestFit="1" customWidth="1"/>
    <col min="6923" max="6923" width="9.140625" style="59"/>
    <col min="6924" max="6925" width="15.85546875" style="59" bestFit="1" customWidth="1"/>
    <col min="6926" max="6926" width="0" style="59" hidden="1" customWidth="1"/>
    <col min="6927" max="7171" width="9.140625" style="59"/>
    <col min="7172" max="7172" width="5.85546875" style="59" customWidth="1"/>
    <col min="7173" max="7173" width="40.42578125" style="59" customWidth="1"/>
    <col min="7174" max="7175" width="15" style="59" bestFit="1" customWidth="1"/>
    <col min="7176" max="7176" width="4.85546875" style="59" customWidth="1"/>
    <col min="7177" max="7178" width="15" style="59" bestFit="1" customWidth="1"/>
    <col min="7179" max="7179" width="9.140625" style="59"/>
    <col min="7180" max="7181" width="15.85546875" style="59" bestFit="1" customWidth="1"/>
    <col min="7182" max="7182" width="0" style="59" hidden="1" customWidth="1"/>
    <col min="7183" max="7427" width="9.140625" style="59"/>
    <col min="7428" max="7428" width="5.85546875" style="59" customWidth="1"/>
    <col min="7429" max="7429" width="40.42578125" style="59" customWidth="1"/>
    <col min="7430" max="7431" width="15" style="59" bestFit="1" customWidth="1"/>
    <col min="7432" max="7432" width="4.85546875" style="59" customWidth="1"/>
    <col min="7433" max="7434" width="15" style="59" bestFit="1" customWidth="1"/>
    <col min="7435" max="7435" width="9.140625" style="59"/>
    <col min="7436" max="7437" width="15.85546875" style="59" bestFit="1" customWidth="1"/>
    <col min="7438" max="7438" width="0" style="59" hidden="1" customWidth="1"/>
    <col min="7439" max="7683" width="9.140625" style="59"/>
    <col min="7684" max="7684" width="5.85546875" style="59" customWidth="1"/>
    <col min="7685" max="7685" width="40.42578125" style="59" customWidth="1"/>
    <col min="7686" max="7687" width="15" style="59" bestFit="1" customWidth="1"/>
    <col min="7688" max="7688" width="4.85546875" style="59" customWidth="1"/>
    <col min="7689" max="7690" width="15" style="59" bestFit="1" customWidth="1"/>
    <col min="7691" max="7691" width="9.140625" style="59"/>
    <col min="7692" max="7693" width="15.85546875" style="59" bestFit="1" customWidth="1"/>
    <col min="7694" max="7694" width="0" style="59" hidden="1" customWidth="1"/>
    <col min="7695" max="7939" width="9.140625" style="59"/>
    <col min="7940" max="7940" width="5.85546875" style="59" customWidth="1"/>
    <col min="7941" max="7941" width="40.42578125" style="59" customWidth="1"/>
    <col min="7942" max="7943" width="15" style="59" bestFit="1" customWidth="1"/>
    <col min="7944" max="7944" width="4.85546875" style="59" customWidth="1"/>
    <col min="7945" max="7946" width="15" style="59" bestFit="1" customWidth="1"/>
    <col min="7947" max="7947" width="9.140625" style="59"/>
    <col min="7948" max="7949" width="15.85546875" style="59" bestFit="1" customWidth="1"/>
    <col min="7950" max="7950" width="0" style="59" hidden="1" customWidth="1"/>
    <col min="7951" max="8195" width="9.140625" style="59"/>
    <col min="8196" max="8196" width="5.85546875" style="59" customWidth="1"/>
    <col min="8197" max="8197" width="40.42578125" style="59" customWidth="1"/>
    <col min="8198" max="8199" width="15" style="59" bestFit="1" customWidth="1"/>
    <col min="8200" max="8200" width="4.85546875" style="59" customWidth="1"/>
    <col min="8201" max="8202" width="15" style="59" bestFit="1" customWidth="1"/>
    <col min="8203" max="8203" width="9.140625" style="59"/>
    <col min="8204" max="8205" width="15.85546875" style="59" bestFit="1" customWidth="1"/>
    <col min="8206" max="8206" width="0" style="59" hidden="1" customWidth="1"/>
    <col min="8207" max="8451" width="9.140625" style="59"/>
    <col min="8452" max="8452" width="5.85546875" style="59" customWidth="1"/>
    <col min="8453" max="8453" width="40.42578125" style="59" customWidth="1"/>
    <col min="8454" max="8455" width="15" style="59" bestFit="1" customWidth="1"/>
    <col min="8456" max="8456" width="4.85546875" style="59" customWidth="1"/>
    <col min="8457" max="8458" width="15" style="59" bestFit="1" customWidth="1"/>
    <col min="8459" max="8459" width="9.140625" style="59"/>
    <col min="8460" max="8461" width="15.85546875" style="59" bestFit="1" customWidth="1"/>
    <col min="8462" max="8462" width="0" style="59" hidden="1" customWidth="1"/>
    <col min="8463" max="8707" width="9.140625" style="59"/>
    <col min="8708" max="8708" width="5.85546875" style="59" customWidth="1"/>
    <col min="8709" max="8709" width="40.42578125" style="59" customWidth="1"/>
    <col min="8710" max="8711" width="15" style="59" bestFit="1" customWidth="1"/>
    <col min="8712" max="8712" width="4.85546875" style="59" customWidth="1"/>
    <col min="8713" max="8714" width="15" style="59" bestFit="1" customWidth="1"/>
    <col min="8715" max="8715" width="9.140625" style="59"/>
    <col min="8716" max="8717" width="15.85546875" style="59" bestFit="1" customWidth="1"/>
    <col min="8718" max="8718" width="0" style="59" hidden="1" customWidth="1"/>
    <col min="8719" max="8963" width="9.140625" style="59"/>
    <col min="8964" max="8964" width="5.85546875" style="59" customWidth="1"/>
    <col min="8965" max="8965" width="40.42578125" style="59" customWidth="1"/>
    <col min="8966" max="8967" width="15" style="59" bestFit="1" customWidth="1"/>
    <col min="8968" max="8968" width="4.85546875" style="59" customWidth="1"/>
    <col min="8969" max="8970" width="15" style="59" bestFit="1" customWidth="1"/>
    <col min="8971" max="8971" width="9.140625" style="59"/>
    <col min="8972" max="8973" width="15.85546875" style="59" bestFit="1" customWidth="1"/>
    <col min="8974" max="8974" width="0" style="59" hidden="1" customWidth="1"/>
    <col min="8975" max="9219" width="9.140625" style="59"/>
    <col min="9220" max="9220" width="5.85546875" style="59" customWidth="1"/>
    <col min="9221" max="9221" width="40.42578125" style="59" customWidth="1"/>
    <col min="9222" max="9223" width="15" style="59" bestFit="1" customWidth="1"/>
    <col min="9224" max="9224" width="4.85546875" style="59" customWidth="1"/>
    <col min="9225" max="9226" width="15" style="59" bestFit="1" customWidth="1"/>
    <col min="9227" max="9227" width="9.140625" style="59"/>
    <col min="9228" max="9229" width="15.85546875" style="59" bestFit="1" customWidth="1"/>
    <col min="9230" max="9230" width="0" style="59" hidden="1" customWidth="1"/>
    <col min="9231" max="9475" width="9.140625" style="59"/>
    <col min="9476" max="9476" width="5.85546875" style="59" customWidth="1"/>
    <col min="9477" max="9477" width="40.42578125" style="59" customWidth="1"/>
    <col min="9478" max="9479" width="15" style="59" bestFit="1" customWidth="1"/>
    <col min="9480" max="9480" width="4.85546875" style="59" customWidth="1"/>
    <col min="9481" max="9482" width="15" style="59" bestFit="1" customWidth="1"/>
    <col min="9483" max="9483" width="9.140625" style="59"/>
    <col min="9484" max="9485" width="15.85546875" style="59" bestFit="1" customWidth="1"/>
    <col min="9486" max="9486" width="0" style="59" hidden="1" customWidth="1"/>
    <col min="9487" max="9731" width="9.140625" style="59"/>
    <col min="9732" max="9732" width="5.85546875" style="59" customWidth="1"/>
    <col min="9733" max="9733" width="40.42578125" style="59" customWidth="1"/>
    <col min="9734" max="9735" width="15" style="59" bestFit="1" customWidth="1"/>
    <col min="9736" max="9736" width="4.85546875" style="59" customWidth="1"/>
    <col min="9737" max="9738" width="15" style="59" bestFit="1" customWidth="1"/>
    <col min="9739" max="9739" width="9.140625" style="59"/>
    <col min="9740" max="9741" width="15.85546875" style="59" bestFit="1" customWidth="1"/>
    <col min="9742" max="9742" width="0" style="59" hidden="1" customWidth="1"/>
    <col min="9743" max="9987" width="9.140625" style="59"/>
    <col min="9988" max="9988" width="5.85546875" style="59" customWidth="1"/>
    <col min="9989" max="9989" width="40.42578125" style="59" customWidth="1"/>
    <col min="9990" max="9991" width="15" style="59" bestFit="1" customWidth="1"/>
    <col min="9992" max="9992" width="4.85546875" style="59" customWidth="1"/>
    <col min="9993" max="9994" width="15" style="59" bestFit="1" customWidth="1"/>
    <col min="9995" max="9995" width="9.140625" style="59"/>
    <col min="9996" max="9997" width="15.85546875" style="59" bestFit="1" customWidth="1"/>
    <col min="9998" max="9998" width="0" style="59" hidden="1" customWidth="1"/>
    <col min="9999" max="10243" width="9.140625" style="59"/>
    <col min="10244" max="10244" width="5.85546875" style="59" customWidth="1"/>
    <col min="10245" max="10245" width="40.42578125" style="59" customWidth="1"/>
    <col min="10246" max="10247" width="15" style="59" bestFit="1" customWidth="1"/>
    <col min="10248" max="10248" width="4.85546875" style="59" customWidth="1"/>
    <col min="10249" max="10250" width="15" style="59" bestFit="1" customWidth="1"/>
    <col min="10251" max="10251" width="9.140625" style="59"/>
    <col min="10252" max="10253" width="15.85546875" style="59" bestFit="1" customWidth="1"/>
    <col min="10254" max="10254" width="0" style="59" hidden="1" customWidth="1"/>
    <col min="10255" max="10499" width="9.140625" style="59"/>
    <col min="10500" max="10500" width="5.85546875" style="59" customWidth="1"/>
    <col min="10501" max="10501" width="40.42578125" style="59" customWidth="1"/>
    <col min="10502" max="10503" width="15" style="59" bestFit="1" customWidth="1"/>
    <col min="10504" max="10504" width="4.85546875" style="59" customWidth="1"/>
    <col min="10505" max="10506" width="15" style="59" bestFit="1" customWidth="1"/>
    <col min="10507" max="10507" width="9.140625" style="59"/>
    <col min="10508" max="10509" width="15.85546875" style="59" bestFit="1" customWidth="1"/>
    <col min="10510" max="10510" width="0" style="59" hidden="1" customWidth="1"/>
    <col min="10511" max="10755" width="9.140625" style="59"/>
    <col min="10756" max="10756" width="5.85546875" style="59" customWidth="1"/>
    <col min="10757" max="10757" width="40.42578125" style="59" customWidth="1"/>
    <col min="10758" max="10759" width="15" style="59" bestFit="1" customWidth="1"/>
    <col min="10760" max="10760" width="4.85546875" style="59" customWidth="1"/>
    <col min="10761" max="10762" width="15" style="59" bestFit="1" customWidth="1"/>
    <col min="10763" max="10763" width="9.140625" style="59"/>
    <col min="10764" max="10765" width="15.85546875" style="59" bestFit="1" customWidth="1"/>
    <col min="10766" max="10766" width="0" style="59" hidden="1" customWidth="1"/>
    <col min="10767" max="11011" width="9.140625" style="59"/>
    <col min="11012" max="11012" width="5.85546875" style="59" customWidth="1"/>
    <col min="11013" max="11013" width="40.42578125" style="59" customWidth="1"/>
    <col min="11014" max="11015" width="15" style="59" bestFit="1" customWidth="1"/>
    <col min="11016" max="11016" width="4.85546875" style="59" customWidth="1"/>
    <col min="11017" max="11018" width="15" style="59" bestFit="1" customWidth="1"/>
    <col min="11019" max="11019" width="9.140625" style="59"/>
    <col min="11020" max="11021" width="15.85546875" style="59" bestFit="1" customWidth="1"/>
    <col min="11022" max="11022" width="0" style="59" hidden="1" customWidth="1"/>
    <col min="11023" max="11267" width="9.140625" style="59"/>
    <col min="11268" max="11268" width="5.85546875" style="59" customWidth="1"/>
    <col min="11269" max="11269" width="40.42578125" style="59" customWidth="1"/>
    <col min="11270" max="11271" width="15" style="59" bestFit="1" customWidth="1"/>
    <col min="11272" max="11272" width="4.85546875" style="59" customWidth="1"/>
    <col min="11273" max="11274" width="15" style="59" bestFit="1" customWidth="1"/>
    <col min="11275" max="11275" width="9.140625" style="59"/>
    <col min="11276" max="11277" width="15.85546875" style="59" bestFit="1" customWidth="1"/>
    <col min="11278" max="11278" width="0" style="59" hidden="1" customWidth="1"/>
    <col min="11279" max="11523" width="9.140625" style="59"/>
    <col min="11524" max="11524" width="5.85546875" style="59" customWidth="1"/>
    <col min="11525" max="11525" width="40.42578125" style="59" customWidth="1"/>
    <col min="11526" max="11527" width="15" style="59" bestFit="1" customWidth="1"/>
    <col min="11528" max="11528" width="4.85546875" style="59" customWidth="1"/>
    <col min="11529" max="11530" width="15" style="59" bestFit="1" customWidth="1"/>
    <col min="11531" max="11531" width="9.140625" style="59"/>
    <col min="11532" max="11533" width="15.85546875" style="59" bestFit="1" customWidth="1"/>
    <col min="11534" max="11534" width="0" style="59" hidden="1" customWidth="1"/>
    <col min="11535" max="11779" width="9.140625" style="59"/>
    <col min="11780" max="11780" width="5.85546875" style="59" customWidth="1"/>
    <col min="11781" max="11781" width="40.42578125" style="59" customWidth="1"/>
    <col min="11782" max="11783" width="15" style="59" bestFit="1" customWidth="1"/>
    <col min="11784" max="11784" width="4.85546875" style="59" customWidth="1"/>
    <col min="11785" max="11786" width="15" style="59" bestFit="1" customWidth="1"/>
    <col min="11787" max="11787" width="9.140625" style="59"/>
    <col min="11788" max="11789" width="15.85546875" style="59" bestFit="1" customWidth="1"/>
    <col min="11790" max="11790" width="0" style="59" hidden="1" customWidth="1"/>
    <col min="11791" max="12035" width="9.140625" style="59"/>
    <col min="12036" max="12036" width="5.85546875" style="59" customWidth="1"/>
    <col min="12037" max="12037" width="40.42578125" style="59" customWidth="1"/>
    <col min="12038" max="12039" width="15" style="59" bestFit="1" customWidth="1"/>
    <col min="12040" max="12040" width="4.85546875" style="59" customWidth="1"/>
    <col min="12041" max="12042" width="15" style="59" bestFit="1" customWidth="1"/>
    <col min="12043" max="12043" width="9.140625" style="59"/>
    <col min="12044" max="12045" width="15.85546875" style="59" bestFit="1" customWidth="1"/>
    <col min="12046" max="12046" width="0" style="59" hidden="1" customWidth="1"/>
    <col min="12047" max="12291" width="9.140625" style="59"/>
    <col min="12292" max="12292" width="5.85546875" style="59" customWidth="1"/>
    <col min="12293" max="12293" width="40.42578125" style="59" customWidth="1"/>
    <col min="12294" max="12295" width="15" style="59" bestFit="1" customWidth="1"/>
    <col min="12296" max="12296" width="4.85546875" style="59" customWidth="1"/>
    <col min="12297" max="12298" width="15" style="59" bestFit="1" customWidth="1"/>
    <col min="12299" max="12299" width="9.140625" style="59"/>
    <col min="12300" max="12301" width="15.85546875" style="59" bestFit="1" customWidth="1"/>
    <col min="12302" max="12302" width="0" style="59" hidden="1" customWidth="1"/>
    <col min="12303" max="12547" width="9.140625" style="59"/>
    <col min="12548" max="12548" width="5.85546875" style="59" customWidth="1"/>
    <col min="12549" max="12549" width="40.42578125" style="59" customWidth="1"/>
    <col min="12550" max="12551" width="15" style="59" bestFit="1" customWidth="1"/>
    <col min="12552" max="12552" width="4.85546875" style="59" customWidth="1"/>
    <col min="12553" max="12554" width="15" style="59" bestFit="1" customWidth="1"/>
    <col min="12555" max="12555" width="9.140625" style="59"/>
    <col min="12556" max="12557" width="15.85546875" style="59" bestFit="1" customWidth="1"/>
    <col min="12558" max="12558" width="0" style="59" hidden="1" customWidth="1"/>
    <col min="12559" max="12803" width="9.140625" style="59"/>
    <col min="12804" max="12804" width="5.85546875" style="59" customWidth="1"/>
    <col min="12805" max="12805" width="40.42578125" style="59" customWidth="1"/>
    <col min="12806" max="12807" width="15" style="59" bestFit="1" customWidth="1"/>
    <col min="12808" max="12808" width="4.85546875" style="59" customWidth="1"/>
    <col min="12809" max="12810" width="15" style="59" bestFit="1" customWidth="1"/>
    <col min="12811" max="12811" width="9.140625" style="59"/>
    <col min="12812" max="12813" width="15.85546875" style="59" bestFit="1" customWidth="1"/>
    <col min="12814" max="12814" width="0" style="59" hidden="1" customWidth="1"/>
    <col min="12815" max="13059" width="9.140625" style="59"/>
    <col min="13060" max="13060" width="5.85546875" style="59" customWidth="1"/>
    <col min="13061" max="13061" width="40.42578125" style="59" customWidth="1"/>
    <col min="13062" max="13063" width="15" style="59" bestFit="1" customWidth="1"/>
    <col min="13064" max="13064" width="4.85546875" style="59" customWidth="1"/>
    <col min="13065" max="13066" width="15" style="59" bestFit="1" customWidth="1"/>
    <col min="13067" max="13067" width="9.140625" style="59"/>
    <col min="13068" max="13069" width="15.85546875" style="59" bestFit="1" customWidth="1"/>
    <col min="13070" max="13070" width="0" style="59" hidden="1" customWidth="1"/>
    <col min="13071" max="13315" width="9.140625" style="59"/>
    <col min="13316" max="13316" width="5.85546875" style="59" customWidth="1"/>
    <col min="13317" max="13317" width="40.42578125" style="59" customWidth="1"/>
    <col min="13318" max="13319" width="15" style="59" bestFit="1" customWidth="1"/>
    <col min="13320" max="13320" width="4.85546875" style="59" customWidth="1"/>
    <col min="13321" max="13322" width="15" style="59" bestFit="1" customWidth="1"/>
    <col min="13323" max="13323" width="9.140625" style="59"/>
    <col min="13324" max="13325" width="15.85546875" style="59" bestFit="1" customWidth="1"/>
    <col min="13326" max="13326" width="0" style="59" hidden="1" customWidth="1"/>
    <col min="13327" max="13571" width="9.140625" style="59"/>
    <col min="13572" max="13572" width="5.85546875" style="59" customWidth="1"/>
    <col min="13573" max="13573" width="40.42578125" style="59" customWidth="1"/>
    <col min="13574" max="13575" width="15" style="59" bestFit="1" customWidth="1"/>
    <col min="13576" max="13576" width="4.85546875" style="59" customWidth="1"/>
    <col min="13577" max="13578" width="15" style="59" bestFit="1" customWidth="1"/>
    <col min="13579" max="13579" width="9.140625" style="59"/>
    <col min="13580" max="13581" width="15.85546875" style="59" bestFit="1" customWidth="1"/>
    <col min="13582" max="13582" width="0" style="59" hidden="1" customWidth="1"/>
    <col min="13583" max="13827" width="9.140625" style="59"/>
    <col min="13828" max="13828" width="5.85546875" style="59" customWidth="1"/>
    <col min="13829" max="13829" width="40.42578125" style="59" customWidth="1"/>
    <col min="13830" max="13831" width="15" style="59" bestFit="1" customWidth="1"/>
    <col min="13832" max="13832" width="4.85546875" style="59" customWidth="1"/>
    <col min="13833" max="13834" width="15" style="59" bestFit="1" customWidth="1"/>
    <col min="13835" max="13835" width="9.140625" style="59"/>
    <col min="13836" max="13837" width="15.85546875" style="59" bestFit="1" customWidth="1"/>
    <col min="13838" max="13838" width="0" style="59" hidden="1" customWidth="1"/>
    <col min="13839" max="14083" width="9.140625" style="59"/>
    <col min="14084" max="14084" width="5.85546875" style="59" customWidth="1"/>
    <col min="14085" max="14085" width="40.42578125" style="59" customWidth="1"/>
    <col min="14086" max="14087" width="15" style="59" bestFit="1" customWidth="1"/>
    <col min="14088" max="14088" width="4.85546875" style="59" customWidth="1"/>
    <col min="14089" max="14090" width="15" style="59" bestFit="1" customWidth="1"/>
    <col min="14091" max="14091" width="9.140625" style="59"/>
    <col min="14092" max="14093" width="15.85546875" style="59" bestFit="1" customWidth="1"/>
    <col min="14094" max="14094" width="0" style="59" hidden="1" customWidth="1"/>
    <col min="14095" max="14339" width="9.140625" style="59"/>
    <col min="14340" max="14340" width="5.85546875" style="59" customWidth="1"/>
    <col min="14341" max="14341" width="40.42578125" style="59" customWidth="1"/>
    <col min="14342" max="14343" width="15" style="59" bestFit="1" customWidth="1"/>
    <col min="14344" max="14344" width="4.85546875" style="59" customWidth="1"/>
    <col min="14345" max="14346" width="15" style="59" bestFit="1" customWidth="1"/>
    <col min="14347" max="14347" width="9.140625" style="59"/>
    <col min="14348" max="14349" width="15.85546875" style="59" bestFit="1" customWidth="1"/>
    <col min="14350" max="14350" width="0" style="59" hidden="1" customWidth="1"/>
    <col min="14351" max="14595" width="9.140625" style="59"/>
    <col min="14596" max="14596" width="5.85546875" style="59" customWidth="1"/>
    <col min="14597" max="14597" width="40.42578125" style="59" customWidth="1"/>
    <col min="14598" max="14599" width="15" style="59" bestFit="1" customWidth="1"/>
    <col min="14600" max="14600" width="4.85546875" style="59" customWidth="1"/>
    <col min="14601" max="14602" width="15" style="59" bestFit="1" customWidth="1"/>
    <col min="14603" max="14603" width="9.140625" style="59"/>
    <col min="14604" max="14605" width="15.85546875" style="59" bestFit="1" customWidth="1"/>
    <col min="14606" max="14606" width="0" style="59" hidden="1" customWidth="1"/>
    <col min="14607" max="14851" width="9.140625" style="59"/>
    <col min="14852" max="14852" width="5.85546875" style="59" customWidth="1"/>
    <col min="14853" max="14853" width="40.42578125" style="59" customWidth="1"/>
    <col min="14854" max="14855" width="15" style="59" bestFit="1" customWidth="1"/>
    <col min="14856" max="14856" width="4.85546875" style="59" customWidth="1"/>
    <col min="14857" max="14858" width="15" style="59" bestFit="1" customWidth="1"/>
    <col min="14859" max="14859" width="9.140625" style="59"/>
    <col min="14860" max="14861" width="15.85546875" style="59" bestFit="1" customWidth="1"/>
    <col min="14862" max="14862" width="0" style="59" hidden="1" customWidth="1"/>
    <col min="14863" max="15107" width="9.140625" style="59"/>
    <col min="15108" max="15108" width="5.85546875" style="59" customWidth="1"/>
    <col min="15109" max="15109" width="40.42578125" style="59" customWidth="1"/>
    <col min="15110" max="15111" width="15" style="59" bestFit="1" customWidth="1"/>
    <col min="15112" max="15112" width="4.85546875" style="59" customWidth="1"/>
    <col min="15113" max="15114" width="15" style="59" bestFit="1" customWidth="1"/>
    <col min="15115" max="15115" width="9.140625" style="59"/>
    <col min="15116" max="15117" width="15.85546875" style="59" bestFit="1" customWidth="1"/>
    <col min="15118" max="15118" width="0" style="59" hidden="1" customWidth="1"/>
    <col min="15119" max="15363" width="9.140625" style="59"/>
    <col min="15364" max="15364" width="5.85546875" style="59" customWidth="1"/>
    <col min="15365" max="15365" width="40.42578125" style="59" customWidth="1"/>
    <col min="15366" max="15367" width="15" style="59" bestFit="1" customWidth="1"/>
    <col min="15368" max="15368" width="4.85546875" style="59" customWidth="1"/>
    <col min="15369" max="15370" width="15" style="59" bestFit="1" customWidth="1"/>
    <col min="15371" max="15371" width="9.140625" style="59"/>
    <col min="15372" max="15373" width="15.85546875" style="59" bestFit="1" customWidth="1"/>
    <col min="15374" max="15374" width="0" style="59" hidden="1" customWidth="1"/>
    <col min="15375" max="15619" width="9.140625" style="59"/>
    <col min="15620" max="15620" width="5.85546875" style="59" customWidth="1"/>
    <col min="15621" max="15621" width="40.42578125" style="59" customWidth="1"/>
    <col min="15622" max="15623" width="15" style="59" bestFit="1" customWidth="1"/>
    <col min="15624" max="15624" width="4.85546875" style="59" customWidth="1"/>
    <col min="15625" max="15626" width="15" style="59" bestFit="1" customWidth="1"/>
    <col min="15627" max="15627" width="9.140625" style="59"/>
    <col min="15628" max="15629" width="15.85546875" style="59" bestFit="1" customWidth="1"/>
    <col min="15630" max="15630" width="0" style="59" hidden="1" customWidth="1"/>
    <col min="15631" max="15875" width="9.140625" style="59"/>
    <col min="15876" max="15876" width="5.85546875" style="59" customWidth="1"/>
    <col min="15877" max="15877" width="40.42578125" style="59" customWidth="1"/>
    <col min="15878" max="15879" width="15" style="59" bestFit="1" customWidth="1"/>
    <col min="15880" max="15880" width="4.85546875" style="59" customWidth="1"/>
    <col min="15881" max="15882" width="15" style="59" bestFit="1" customWidth="1"/>
    <col min="15883" max="15883" width="9.140625" style="59"/>
    <col min="15884" max="15885" width="15.85546875" style="59" bestFit="1" customWidth="1"/>
    <col min="15886" max="15886" width="0" style="59" hidden="1" customWidth="1"/>
    <col min="15887" max="16131" width="9.140625" style="59"/>
    <col min="16132" max="16132" width="5.85546875" style="59" customWidth="1"/>
    <col min="16133" max="16133" width="40.42578125" style="59" customWidth="1"/>
    <col min="16134" max="16135" width="15" style="59" bestFit="1" customWidth="1"/>
    <col min="16136" max="16136" width="4.85546875" style="59" customWidth="1"/>
    <col min="16137" max="16138" width="15" style="59" bestFit="1" customWidth="1"/>
    <col min="16139" max="16139" width="9.140625" style="59"/>
    <col min="16140" max="16141" width="15.85546875" style="59" bestFit="1" customWidth="1"/>
    <col min="16142" max="16142" width="0" style="59" hidden="1" customWidth="1"/>
    <col min="16143" max="16384" width="9.140625" style="59"/>
  </cols>
  <sheetData>
    <row r="1" spans="1:15" s="34" customFormat="1" x14ac:dyDescent="0.2">
      <c r="B1" s="35" t="str">
        <f>Update!$B$6</f>
        <v>Department of Health</v>
      </c>
    </row>
    <row r="2" spans="1:15" s="34" customFormat="1" x14ac:dyDescent="0.2">
      <c r="B2" s="35" t="str">
        <f>Update!$B$10</f>
        <v>Notes to the financial statements</v>
      </c>
    </row>
    <row r="3" spans="1:15" s="34" customFormat="1" x14ac:dyDescent="0.2">
      <c r="B3" s="35" t="str">
        <f>Update!$A$3</f>
        <v>2025-26</v>
      </c>
    </row>
    <row r="4" spans="1:15" s="34" customFormat="1" x14ac:dyDescent="0.2">
      <c r="B4" s="35"/>
    </row>
    <row r="6" spans="1:15" s="34" customFormat="1" x14ac:dyDescent="0.2">
      <c r="A6" s="229">
        <f>SUMIF(Update!$B$33:$B$106,B6,Update!$A$33:$A$106)</f>
        <v>5.3999999999999986</v>
      </c>
      <c r="B6" s="37" t="s">
        <v>601</v>
      </c>
    </row>
    <row r="7" spans="1:15" s="34" customFormat="1" x14ac:dyDescent="0.2">
      <c r="D7" s="38"/>
      <c r="G7" s="38"/>
      <c r="H7" s="38"/>
      <c r="I7" s="38"/>
      <c r="J7" s="38"/>
      <c r="M7" s="2109"/>
      <c r="N7" s="2110"/>
    </row>
    <row r="8" spans="1:15" s="34" customFormat="1" x14ac:dyDescent="0.2">
      <c r="B8" s="157"/>
      <c r="C8" s="157"/>
      <c r="D8" s="157"/>
      <c r="E8" s="157"/>
      <c r="F8" s="157"/>
      <c r="G8" s="157"/>
      <c r="H8" s="157"/>
      <c r="I8" s="157"/>
      <c r="J8" s="157"/>
      <c r="K8" s="157"/>
      <c r="L8" s="59"/>
      <c r="M8" s="59"/>
      <c r="N8" s="59"/>
      <c r="O8" s="59"/>
    </row>
    <row r="9" spans="1:15" s="34" customFormat="1" x14ac:dyDescent="0.2">
      <c r="B9" s="157"/>
      <c r="C9" s="2111" t="s">
        <v>195</v>
      </c>
      <c r="D9" s="2112"/>
      <c r="E9" s="62"/>
      <c r="F9" s="2111" t="s">
        <v>196</v>
      </c>
      <c r="G9" s="2112"/>
      <c r="H9" s="144"/>
      <c r="I9" s="2111" t="s">
        <v>181</v>
      </c>
      <c r="J9" s="2112"/>
      <c r="K9" s="62"/>
      <c r="L9" s="2111" t="s">
        <v>146</v>
      </c>
      <c r="M9" s="2112"/>
      <c r="N9" s="2112"/>
      <c r="O9" s="59"/>
    </row>
    <row r="10" spans="1:15" s="34" customFormat="1" x14ac:dyDescent="0.2">
      <c r="B10" s="158"/>
      <c r="C10" s="90" t="str">
        <f>Update!$B$22</f>
        <v xml:space="preserve"> 31 March 2026</v>
      </c>
      <c r="D10" s="90" t="str">
        <f>Update!$B$24</f>
        <v xml:space="preserve"> 31 March 2025</v>
      </c>
      <c r="E10" s="59"/>
      <c r="F10" s="90" t="str">
        <f>C10</f>
        <v xml:space="preserve"> 31 March 2026</v>
      </c>
      <c r="G10" s="90" t="str">
        <f>D10</f>
        <v xml:space="preserve"> 31 March 2025</v>
      </c>
      <c r="H10" s="90"/>
      <c r="I10" s="90" t="str">
        <f>C10</f>
        <v xml:space="preserve"> 31 March 2026</v>
      </c>
      <c r="J10" s="90" t="str">
        <f>D10</f>
        <v xml:space="preserve"> 31 March 2025</v>
      </c>
      <c r="K10" s="59"/>
      <c r="L10" s="90" t="str">
        <f>F10</f>
        <v xml:space="preserve"> 31 March 2026</v>
      </c>
      <c r="M10" s="90" t="str">
        <f>G10</f>
        <v xml:space="preserve"> 31 March 2025</v>
      </c>
      <c r="N10" s="90" t="s">
        <v>537</v>
      </c>
      <c r="O10" s="59"/>
    </row>
    <row r="11" spans="1:15" s="34" customFormat="1" x14ac:dyDescent="0.2">
      <c r="B11" s="131"/>
      <c r="C11" s="57" t="s">
        <v>62</v>
      </c>
      <c r="D11" s="57" t="s">
        <v>62</v>
      </c>
      <c r="E11" s="157"/>
      <c r="F11" s="57" t="s">
        <v>62</v>
      </c>
      <c r="G11" s="57" t="s">
        <v>62</v>
      </c>
      <c r="H11" s="57"/>
      <c r="I11" s="57" t="s">
        <v>62</v>
      </c>
      <c r="J11" s="57" t="s">
        <v>62</v>
      </c>
      <c r="K11" s="157"/>
      <c r="L11" s="57" t="s">
        <v>62</v>
      </c>
      <c r="M11" s="57" t="s">
        <v>62</v>
      </c>
      <c r="N11" s="159" t="s">
        <v>62</v>
      </c>
      <c r="O11" s="59"/>
    </row>
    <row r="12" spans="1:15" s="34" customFormat="1" x14ac:dyDescent="0.2">
      <c r="B12" s="59"/>
      <c r="C12" s="160"/>
      <c r="D12" s="160"/>
      <c r="E12" s="157"/>
      <c r="F12" s="160"/>
      <c r="G12" s="160"/>
      <c r="H12" s="160"/>
      <c r="I12" s="160"/>
      <c r="J12" s="160"/>
      <c r="K12" s="157"/>
      <c r="L12" s="160"/>
      <c r="M12" s="160"/>
      <c r="N12" s="160"/>
      <c r="O12" s="59"/>
    </row>
    <row r="13" spans="1:15" s="34" customFormat="1" x14ac:dyDescent="0.2">
      <c r="B13" s="37"/>
      <c r="C13" s="161"/>
      <c r="D13" s="161"/>
      <c r="E13" s="157"/>
      <c r="F13" s="161"/>
      <c r="G13" s="161"/>
      <c r="H13" s="161"/>
      <c r="I13" s="161"/>
      <c r="J13" s="161"/>
      <c r="K13" s="157"/>
      <c r="L13" s="161"/>
      <c r="M13" s="161"/>
      <c r="N13" s="161"/>
      <c r="O13" s="59"/>
    </row>
    <row r="14" spans="1:15" s="34" customFormat="1" x14ac:dyDescent="0.2">
      <c r="B14" s="34" t="s">
        <v>450</v>
      </c>
      <c r="C14" s="333">
        <f>SUMIF(MAP!$E$807:$E$813,$B14,MAP!$T$807:$T$813)</f>
        <v>0</v>
      </c>
      <c r="D14" s="1193"/>
      <c r="E14" s="162"/>
      <c r="F14" s="333">
        <f>SUMIF(MAP!$E$814:$E$819,$B14,MAP!$T$814:$T$819)</f>
        <v>0</v>
      </c>
      <c r="G14" s="1193"/>
      <c r="H14" s="161"/>
      <c r="I14" s="333">
        <f>SUMIF(MAP!$E$820:$E$825,$B14,MAP!$T$820:$T$825)</f>
        <v>0</v>
      </c>
      <c r="J14" s="778"/>
      <c r="K14" s="142"/>
      <c r="L14" s="777">
        <f t="shared" ref="L14:M18" si="0">C14+F14+I14</f>
        <v>0</v>
      </c>
      <c r="M14" s="777">
        <f t="shared" si="0"/>
        <v>0</v>
      </c>
      <c r="N14" s="163"/>
      <c r="O14" s="59"/>
    </row>
    <row r="15" spans="1:15" s="34" customFormat="1" ht="25.5" x14ac:dyDescent="0.2">
      <c r="B15" s="41" t="s">
        <v>206</v>
      </c>
      <c r="C15" s="333">
        <f>SUMIF(MAP!$E$807:$E$813,$B15,MAP!$T$807:$T$813)</f>
        <v>0</v>
      </c>
      <c r="D15" s="1193"/>
      <c r="E15" s="59"/>
      <c r="F15" s="333">
        <f>SUMIF(MAP!$E$814:$E$819,$B15,MAP!$T$814:$T$819)</f>
        <v>0</v>
      </c>
      <c r="G15" s="1193"/>
      <c r="H15" s="161"/>
      <c r="I15" s="333">
        <f>SUMIF(MAP!$E$820:$E$825,$B15,MAP!$T$820:$T$825)</f>
        <v>0</v>
      </c>
      <c r="J15" s="778"/>
      <c r="K15" s="59"/>
      <c r="L15" s="777">
        <f t="shared" si="0"/>
        <v>0</v>
      </c>
      <c r="M15" s="777">
        <f t="shared" si="0"/>
        <v>0</v>
      </c>
      <c r="N15" s="163"/>
      <c r="O15" s="59"/>
    </row>
    <row r="16" spans="1:15" s="34" customFormat="1" x14ac:dyDescent="0.2">
      <c r="C16" s="333">
        <f>SUMIF(MAP!$E$807:$E$813,$B16,MAP!$T$807:$T$813)</f>
        <v>0</v>
      </c>
      <c r="D16" s="1193"/>
      <c r="E16" s="59"/>
      <c r="F16" s="333">
        <f>SUMIF(MAP!$E$814:$E$819,$B16,MAP!$T$814:$T$819)</f>
        <v>0</v>
      </c>
      <c r="G16" s="1193"/>
      <c r="H16" s="161"/>
      <c r="I16" s="333">
        <f>SUMIF(MAP!$E$820:$E$825,$B16,MAP!$T$820:$T$825)</f>
        <v>0</v>
      </c>
      <c r="J16" s="778"/>
      <c r="K16" s="59"/>
      <c r="L16" s="777">
        <f t="shared" si="0"/>
        <v>0</v>
      </c>
      <c r="M16" s="777">
        <f t="shared" si="0"/>
        <v>0</v>
      </c>
      <c r="N16" s="163"/>
      <c r="O16" s="59"/>
    </row>
    <row r="17" spans="2:15" s="34" customFormat="1" x14ac:dyDescent="0.2">
      <c r="B17" s="34" t="s">
        <v>207</v>
      </c>
      <c r="C17" s="333">
        <f>SUMIF(MAP!$E$807:$E$813,$B17,MAP!$T$807:$T$813)</f>
        <v>0</v>
      </c>
      <c r="D17" s="1193"/>
      <c r="E17" s="100"/>
      <c r="F17" s="333">
        <f>SUMIF(MAP!$E$814:$E$819,$B17,MAP!$T$814:$T$819)</f>
        <v>0</v>
      </c>
      <c r="G17" s="1193"/>
      <c r="H17" s="161"/>
      <c r="I17" s="333">
        <f>SUMIF(MAP!$E$820:$E$825,$B17,MAP!$T$820:$T$825)</f>
        <v>0</v>
      </c>
      <c r="J17" s="778"/>
      <c r="K17" s="59"/>
      <c r="L17" s="777">
        <f t="shared" si="0"/>
        <v>0</v>
      </c>
      <c r="M17" s="777">
        <f t="shared" si="0"/>
        <v>0</v>
      </c>
      <c r="N17" s="163"/>
      <c r="O17" s="59"/>
    </row>
    <row r="18" spans="2:15" s="34" customFormat="1" x14ac:dyDescent="0.2">
      <c r="B18" s="34" t="s">
        <v>208</v>
      </c>
      <c r="C18" s="333">
        <f>SUMIF(MAP!$E$807:$E$813,$B18,MAP!$T$807:$T$813)</f>
        <v>0</v>
      </c>
      <c r="D18" s="1193"/>
      <c r="E18" s="100"/>
      <c r="F18" s="333">
        <f>SUMIF(MAP!$E$814:$E$819,$B18,MAP!$T$814:$T$819)</f>
        <v>0</v>
      </c>
      <c r="G18" s="1193"/>
      <c r="H18" s="161"/>
      <c r="I18" s="333">
        <f>SUMIF(MAP!$E$820:$E$825,$B18,MAP!$T$820:$T$825)</f>
        <v>0</v>
      </c>
      <c r="J18" s="778">
        <f>I14</f>
        <v>0</v>
      </c>
      <c r="K18" s="59"/>
      <c r="L18" s="777">
        <f t="shared" si="0"/>
        <v>0</v>
      </c>
      <c r="M18" s="777">
        <f t="shared" si="0"/>
        <v>0</v>
      </c>
      <c r="N18" s="163"/>
      <c r="O18" s="59"/>
    </row>
    <row r="19" spans="2:15" s="34" customFormat="1" x14ac:dyDescent="0.2">
      <c r="C19" s="137"/>
      <c r="D19" s="137"/>
      <c r="E19" s="59"/>
      <c r="F19" s="137"/>
      <c r="G19" s="137"/>
      <c r="H19" s="161"/>
      <c r="I19" s="137"/>
      <c r="J19" s="137"/>
      <c r="K19" s="59"/>
      <c r="L19" s="100"/>
      <c r="M19" s="137"/>
      <c r="N19" s="137"/>
      <c r="O19" s="59"/>
    </row>
    <row r="20" spans="2:15" s="34" customFormat="1" x14ac:dyDescent="0.2">
      <c r="B20" s="37" t="s">
        <v>209</v>
      </c>
      <c r="C20" s="164">
        <f>SUM(C14:C18)</f>
        <v>0</v>
      </c>
      <c r="D20" s="164">
        <f>SUM(D14:D18)</f>
        <v>0</v>
      </c>
      <c r="E20" s="59"/>
      <c r="F20" s="164">
        <f>SUM(F14:F18)</f>
        <v>0</v>
      </c>
      <c r="G20" s="164">
        <f>SUM(G14:G18)</f>
        <v>0</v>
      </c>
      <c r="H20" s="161"/>
      <c r="I20" s="164">
        <f>SUM(I14:I18)</f>
        <v>0</v>
      </c>
      <c r="J20" s="164">
        <f>SUM(J14:J18)</f>
        <v>0</v>
      </c>
      <c r="K20" s="59"/>
      <c r="L20" s="164">
        <f>SUM(L14:L18)</f>
        <v>0</v>
      </c>
      <c r="M20" s="164">
        <f>SUM(M14:M18)</f>
        <v>0</v>
      </c>
      <c r="N20" s="164">
        <f>SUM(N14:N18)</f>
        <v>0</v>
      </c>
      <c r="O20" s="59"/>
    </row>
    <row r="21" spans="2:15" s="34" customFormat="1" x14ac:dyDescent="0.2">
      <c r="C21" s="140"/>
      <c r="D21" s="140"/>
      <c r="E21" s="59"/>
      <c r="F21" s="140"/>
      <c r="G21" s="140"/>
      <c r="H21" s="140"/>
      <c r="I21" s="140"/>
      <c r="J21" s="140"/>
      <c r="K21" s="59"/>
      <c r="L21" s="140"/>
      <c r="M21" s="140"/>
      <c r="N21" s="140"/>
      <c r="O21" s="59"/>
    </row>
    <row r="22" spans="2:15" s="34" customFormat="1" outlineLevel="1" x14ac:dyDescent="0.2">
      <c r="B22" s="89" t="s">
        <v>1046</v>
      </c>
      <c r="D22" s="340">
        <f>C14-D20</f>
        <v>0</v>
      </c>
      <c r="E22" s="59"/>
      <c r="G22" s="340">
        <f>F14-G20</f>
        <v>0</v>
      </c>
      <c r="H22" s="38"/>
      <c r="J22" s="340">
        <f>I14-J20</f>
        <v>0</v>
      </c>
      <c r="K22" s="59"/>
      <c r="L22" s="140"/>
      <c r="M22" s="340">
        <f>L14-M20</f>
        <v>0</v>
      </c>
      <c r="N22" s="140"/>
      <c r="O22" s="59"/>
    </row>
    <row r="23" spans="2:15" s="34" customFormat="1" x14ac:dyDescent="0.2">
      <c r="C23" s="140"/>
      <c r="D23" s="140"/>
      <c r="E23" s="59"/>
      <c r="F23" s="140"/>
      <c r="G23" s="140"/>
      <c r="H23" s="140"/>
      <c r="I23" s="140"/>
      <c r="J23" s="140"/>
      <c r="K23" s="59"/>
      <c r="L23" s="140"/>
      <c r="M23" s="140"/>
      <c r="N23" s="140"/>
      <c r="O23" s="59"/>
    </row>
    <row r="24" spans="2:15" s="34" customFormat="1" x14ac:dyDescent="0.2"/>
    <row r="25" spans="2:15" s="34" customFormat="1" x14ac:dyDescent="0.2"/>
    <row r="26" spans="2:15" s="34" customFormat="1" x14ac:dyDescent="0.2"/>
  </sheetData>
  <mergeCells count="5">
    <mergeCell ref="M7:N7"/>
    <mergeCell ref="C9:D9"/>
    <mergeCell ref="F9:G9"/>
    <mergeCell ref="I9:J9"/>
    <mergeCell ref="L9:N9"/>
  </mergeCells>
  <pageMargins left="0.75" right="0.75" top="1" bottom="1" header="0.5" footer="0.5"/>
  <pageSetup paperSize="9" scale="46"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00B0F0"/>
    <pageSetUpPr fitToPage="1"/>
  </sheetPr>
  <dimension ref="A1:R121"/>
  <sheetViews>
    <sheetView zoomScale="90" zoomScaleNormal="90" workbookViewId="0">
      <selection activeCell="G5" sqref="G4:G5"/>
    </sheetView>
  </sheetViews>
  <sheetFormatPr defaultRowHeight="12.75" outlineLevelRow="1" outlineLevelCol="1" x14ac:dyDescent="0.2"/>
  <cols>
    <col min="1" max="1" width="5.140625" style="34" customWidth="1"/>
    <col min="2" max="2" width="43.7109375" style="34" customWidth="1"/>
    <col min="3" max="6" width="12.85546875" style="34" customWidth="1"/>
    <col min="7" max="7" width="14.42578125" style="34" hidden="1" customWidth="1"/>
    <col min="8" max="9" width="12.85546875" style="34" hidden="1" customWidth="1"/>
    <col min="10" max="10" width="14.42578125" style="34" customWidth="1"/>
    <col min="11" max="11" width="12.85546875" style="34" customWidth="1"/>
    <col min="12" max="12" width="4.5703125" style="34" customWidth="1"/>
    <col min="13" max="13" width="9.28515625" style="34" hidden="1" customWidth="1" outlineLevel="1"/>
    <col min="14" max="14" width="9.7109375" style="34" hidden="1" customWidth="1" outlineLevel="1"/>
    <col min="15" max="17" width="9.140625" style="34" hidden="1" customWidth="1" outlineLevel="1"/>
    <col min="18" max="18" width="9.140625" style="34" collapsed="1"/>
    <col min="19" max="256" width="9.140625" style="34"/>
    <col min="257" max="257" width="5.140625" style="34" customWidth="1"/>
    <col min="258" max="258" width="43.7109375" style="34" customWidth="1"/>
    <col min="259" max="264" width="16.7109375" style="34" customWidth="1"/>
    <col min="265" max="266" width="14.42578125" style="34" customWidth="1"/>
    <col min="267" max="267" width="14.42578125" style="34" bestFit="1" customWidth="1"/>
    <col min="268" max="268" width="4.5703125" style="34" customWidth="1"/>
    <col min="269" max="269" width="14.42578125" style="34" customWidth="1"/>
    <col min="270" max="512" width="9.140625" style="34"/>
    <col min="513" max="513" width="5.140625" style="34" customWidth="1"/>
    <col min="514" max="514" width="43.7109375" style="34" customWidth="1"/>
    <col min="515" max="520" width="16.7109375" style="34" customWidth="1"/>
    <col min="521" max="522" width="14.42578125" style="34" customWidth="1"/>
    <col min="523" max="523" width="14.42578125" style="34" bestFit="1" customWidth="1"/>
    <col min="524" max="524" width="4.5703125" style="34" customWidth="1"/>
    <col min="525" max="525" width="14.42578125" style="34" customWidth="1"/>
    <col min="526" max="768" width="9.140625" style="34"/>
    <col min="769" max="769" width="5.140625" style="34" customWidth="1"/>
    <col min="770" max="770" width="43.7109375" style="34" customWidth="1"/>
    <col min="771" max="776" width="16.7109375" style="34" customWidth="1"/>
    <col min="777" max="778" width="14.42578125" style="34" customWidth="1"/>
    <col min="779" max="779" width="14.42578125" style="34" bestFit="1" customWidth="1"/>
    <col min="780" max="780" width="4.5703125" style="34" customWidth="1"/>
    <col min="781" max="781" width="14.42578125" style="34" customWidth="1"/>
    <col min="782" max="1024" width="9.140625" style="34"/>
    <col min="1025" max="1025" width="5.140625" style="34" customWidth="1"/>
    <col min="1026" max="1026" width="43.7109375" style="34" customWidth="1"/>
    <col min="1027" max="1032" width="16.7109375" style="34" customWidth="1"/>
    <col min="1033" max="1034" width="14.42578125" style="34" customWidth="1"/>
    <col min="1035" max="1035" width="14.42578125" style="34" bestFit="1" customWidth="1"/>
    <col min="1036" max="1036" width="4.5703125" style="34" customWidth="1"/>
    <col min="1037" max="1037" width="14.42578125" style="34" customWidth="1"/>
    <col min="1038" max="1280" width="9.140625" style="34"/>
    <col min="1281" max="1281" width="5.140625" style="34" customWidth="1"/>
    <col min="1282" max="1282" width="43.7109375" style="34" customWidth="1"/>
    <col min="1283" max="1288" width="16.7109375" style="34" customWidth="1"/>
    <col min="1289" max="1290" width="14.42578125" style="34" customWidth="1"/>
    <col min="1291" max="1291" width="14.42578125" style="34" bestFit="1" customWidth="1"/>
    <col min="1292" max="1292" width="4.5703125" style="34" customWidth="1"/>
    <col min="1293" max="1293" width="14.42578125" style="34" customWidth="1"/>
    <col min="1294" max="1536" width="9.140625" style="34"/>
    <col min="1537" max="1537" width="5.140625" style="34" customWidth="1"/>
    <col min="1538" max="1538" width="43.7109375" style="34" customWidth="1"/>
    <col min="1539" max="1544" width="16.7109375" style="34" customWidth="1"/>
    <col min="1545" max="1546" width="14.42578125" style="34" customWidth="1"/>
    <col min="1547" max="1547" width="14.42578125" style="34" bestFit="1" customWidth="1"/>
    <col min="1548" max="1548" width="4.5703125" style="34" customWidth="1"/>
    <col min="1549" max="1549" width="14.42578125" style="34" customWidth="1"/>
    <col min="1550" max="1792" width="9.140625" style="34"/>
    <col min="1793" max="1793" width="5.140625" style="34" customWidth="1"/>
    <col min="1794" max="1794" width="43.7109375" style="34" customWidth="1"/>
    <col min="1795" max="1800" width="16.7109375" style="34" customWidth="1"/>
    <col min="1801" max="1802" width="14.42578125" style="34" customWidth="1"/>
    <col min="1803" max="1803" width="14.42578125" style="34" bestFit="1" customWidth="1"/>
    <col min="1804" max="1804" width="4.5703125" style="34" customWidth="1"/>
    <col min="1805" max="1805" width="14.42578125" style="34" customWidth="1"/>
    <col min="1806" max="2048" width="9.140625" style="34"/>
    <col min="2049" max="2049" width="5.140625" style="34" customWidth="1"/>
    <col min="2050" max="2050" width="43.7109375" style="34" customWidth="1"/>
    <col min="2051" max="2056" width="16.7109375" style="34" customWidth="1"/>
    <col min="2057" max="2058" width="14.42578125" style="34" customWidth="1"/>
    <col min="2059" max="2059" width="14.42578125" style="34" bestFit="1" customWidth="1"/>
    <col min="2060" max="2060" width="4.5703125" style="34" customWidth="1"/>
    <col min="2061" max="2061" width="14.42578125" style="34" customWidth="1"/>
    <col min="2062" max="2304" width="9.140625" style="34"/>
    <col min="2305" max="2305" width="5.140625" style="34" customWidth="1"/>
    <col min="2306" max="2306" width="43.7109375" style="34" customWidth="1"/>
    <col min="2307" max="2312" width="16.7109375" style="34" customWidth="1"/>
    <col min="2313" max="2314" width="14.42578125" style="34" customWidth="1"/>
    <col min="2315" max="2315" width="14.42578125" style="34" bestFit="1" customWidth="1"/>
    <col min="2316" max="2316" width="4.5703125" style="34" customWidth="1"/>
    <col min="2317" max="2317" width="14.42578125" style="34" customWidth="1"/>
    <col min="2318" max="2560" width="9.140625" style="34"/>
    <col min="2561" max="2561" width="5.140625" style="34" customWidth="1"/>
    <col min="2562" max="2562" width="43.7109375" style="34" customWidth="1"/>
    <col min="2563" max="2568" width="16.7109375" style="34" customWidth="1"/>
    <col min="2569" max="2570" width="14.42578125" style="34" customWidth="1"/>
    <col min="2571" max="2571" width="14.42578125" style="34" bestFit="1" customWidth="1"/>
    <col min="2572" max="2572" width="4.5703125" style="34" customWidth="1"/>
    <col min="2573" max="2573" width="14.42578125" style="34" customWidth="1"/>
    <col min="2574" max="2816" width="9.140625" style="34"/>
    <col min="2817" max="2817" width="5.140625" style="34" customWidth="1"/>
    <col min="2818" max="2818" width="43.7109375" style="34" customWidth="1"/>
    <col min="2819" max="2824" width="16.7109375" style="34" customWidth="1"/>
    <col min="2825" max="2826" width="14.42578125" style="34" customWidth="1"/>
    <col min="2827" max="2827" width="14.42578125" style="34" bestFit="1" customWidth="1"/>
    <col min="2828" max="2828" width="4.5703125" style="34" customWidth="1"/>
    <col min="2829" max="2829" width="14.42578125" style="34" customWidth="1"/>
    <col min="2830" max="3072" width="9.140625" style="34"/>
    <col min="3073" max="3073" width="5.140625" style="34" customWidth="1"/>
    <col min="3074" max="3074" width="43.7109375" style="34" customWidth="1"/>
    <col min="3075" max="3080" width="16.7109375" style="34" customWidth="1"/>
    <col min="3081" max="3082" width="14.42578125" style="34" customWidth="1"/>
    <col min="3083" max="3083" width="14.42578125" style="34" bestFit="1" customWidth="1"/>
    <col min="3084" max="3084" width="4.5703125" style="34" customWidth="1"/>
    <col min="3085" max="3085" width="14.42578125" style="34" customWidth="1"/>
    <col min="3086" max="3328" width="9.140625" style="34"/>
    <col min="3329" max="3329" width="5.140625" style="34" customWidth="1"/>
    <col min="3330" max="3330" width="43.7109375" style="34" customWidth="1"/>
    <col min="3331" max="3336" width="16.7109375" style="34" customWidth="1"/>
    <col min="3337" max="3338" width="14.42578125" style="34" customWidth="1"/>
    <col min="3339" max="3339" width="14.42578125" style="34" bestFit="1" customWidth="1"/>
    <col min="3340" max="3340" width="4.5703125" style="34" customWidth="1"/>
    <col min="3341" max="3341" width="14.42578125" style="34" customWidth="1"/>
    <col min="3342" max="3584" width="9.140625" style="34"/>
    <col min="3585" max="3585" width="5.140625" style="34" customWidth="1"/>
    <col min="3586" max="3586" width="43.7109375" style="34" customWidth="1"/>
    <col min="3587" max="3592" width="16.7109375" style="34" customWidth="1"/>
    <col min="3593" max="3594" width="14.42578125" style="34" customWidth="1"/>
    <col min="3595" max="3595" width="14.42578125" style="34" bestFit="1" customWidth="1"/>
    <col min="3596" max="3596" width="4.5703125" style="34" customWidth="1"/>
    <col min="3597" max="3597" width="14.42578125" style="34" customWidth="1"/>
    <col min="3598" max="3840" width="9.140625" style="34"/>
    <col min="3841" max="3841" width="5.140625" style="34" customWidth="1"/>
    <col min="3842" max="3842" width="43.7109375" style="34" customWidth="1"/>
    <col min="3843" max="3848" width="16.7109375" style="34" customWidth="1"/>
    <col min="3849" max="3850" width="14.42578125" style="34" customWidth="1"/>
    <col min="3851" max="3851" width="14.42578125" style="34" bestFit="1" customWidth="1"/>
    <col min="3852" max="3852" width="4.5703125" style="34" customWidth="1"/>
    <col min="3853" max="3853" width="14.42578125" style="34" customWidth="1"/>
    <col min="3854" max="4096" width="9.140625" style="34"/>
    <col min="4097" max="4097" width="5.140625" style="34" customWidth="1"/>
    <col min="4098" max="4098" width="43.7109375" style="34" customWidth="1"/>
    <col min="4099" max="4104" width="16.7109375" style="34" customWidth="1"/>
    <col min="4105" max="4106" width="14.42578125" style="34" customWidth="1"/>
    <col min="4107" max="4107" width="14.42578125" style="34" bestFit="1" customWidth="1"/>
    <col min="4108" max="4108" width="4.5703125" style="34" customWidth="1"/>
    <col min="4109" max="4109" width="14.42578125" style="34" customWidth="1"/>
    <col min="4110" max="4352" width="9.140625" style="34"/>
    <col min="4353" max="4353" width="5.140625" style="34" customWidth="1"/>
    <col min="4354" max="4354" width="43.7109375" style="34" customWidth="1"/>
    <col min="4355" max="4360" width="16.7109375" style="34" customWidth="1"/>
    <col min="4361" max="4362" width="14.42578125" style="34" customWidth="1"/>
    <col min="4363" max="4363" width="14.42578125" style="34" bestFit="1" customWidth="1"/>
    <col min="4364" max="4364" width="4.5703125" style="34" customWidth="1"/>
    <col min="4365" max="4365" width="14.42578125" style="34" customWidth="1"/>
    <col min="4366" max="4608" width="9.140625" style="34"/>
    <col min="4609" max="4609" width="5.140625" style="34" customWidth="1"/>
    <col min="4610" max="4610" width="43.7109375" style="34" customWidth="1"/>
    <col min="4611" max="4616" width="16.7109375" style="34" customWidth="1"/>
    <col min="4617" max="4618" width="14.42578125" style="34" customWidth="1"/>
    <col min="4619" max="4619" width="14.42578125" style="34" bestFit="1" customWidth="1"/>
    <col min="4620" max="4620" width="4.5703125" style="34" customWidth="1"/>
    <col min="4621" max="4621" width="14.42578125" style="34" customWidth="1"/>
    <col min="4622" max="4864" width="9.140625" style="34"/>
    <col min="4865" max="4865" width="5.140625" style="34" customWidth="1"/>
    <col min="4866" max="4866" width="43.7109375" style="34" customWidth="1"/>
    <col min="4867" max="4872" width="16.7109375" style="34" customWidth="1"/>
    <col min="4873" max="4874" width="14.42578125" style="34" customWidth="1"/>
    <col min="4875" max="4875" width="14.42578125" style="34" bestFit="1" customWidth="1"/>
    <col min="4876" max="4876" width="4.5703125" style="34" customWidth="1"/>
    <col min="4877" max="4877" width="14.42578125" style="34" customWidth="1"/>
    <col min="4878" max="5120" width="9.140625" style="34"/>
    <col min="5121" max="5121" width="5.140625" style="34" customWidth="1"/>
    <col min="5122" max="5122" width="43.7109375" style="34" customWidth="1"/>
    <col min="5123" max="5128" width="16.7109375" style="34" customWidth="1"/>
    <col min="5129" max="5130" width="14.42578125" style="34" customWidth="1"/>
    <col min="5131" max="5131" width="14.42578125" style="34" bestFit="1" customWidth="1"/>
    <col min="5132" max="5132" width="4.5703125" style="34" customWidth="1"/>
    <col min="5133" max="5133" width="14.42578125" style="34" customWidth="1"/>
    <col min="5134" max="5376" width="9.140625" style="34"/>
    <col min="5377" max="5377" width="5.140625" style="34" customWidth="1"/>
    <col min="5378" max="5378" width="43.7109375" style="34" customWidth="1"/>
    <col min="5379" max="5384" width="16.7109375" style="34" customWidth="1"/>
    <col min="5385" max="5386" width="14.42578125" style="34" customWidth="1"/>
    <col min="5387" max="5387" width="14.42578125" style="34" bestFit="1" customWidth="1"/>
    <col min="5388" max="5388" width="4.5703125" style="34" customWidth="1"/>
    <col min="5389" max="5389" width="14.42578125" style="34" customWidth="1"/>
    <col min="5390" max="5632" width="9.140625" style="34"/>
    <col min="5633" max="5633" width="5.140625" style="34" customWidth="1"/>
    <col min="5634" max="5634" width="43.7109375" style="34" customWidth="1"/>
    <col min="5635" max="5640" width="16.7109375" style="34" customWidth="1"/>
    <col min="5641" max="5642" width="14.42578125" style="34" customWidth="1"/>
    <col min="5643" max="5643" width="14.42578125" style="34" bestFit="1" customWidth="1"/>
    <col min="5644" max="5644" width="4.5703125" style="34" customWidth="1"/>
    <col min="5645" max="5645" width="14.42578125" style="34" customWidth="1"/>
    <col min="5646" max="5888" width="9.140625" style="34"/>
    <col min="5889" max="5889" width="5.140625" style="34" customWidth="1"/>
    <col min="5890" max="5890" width="43.7109375" style="34" customWidth="1"/>
    <col min="5891" max="5896" width="16.7109375" style="34" customWidth="1"/>
    <col min="5897" max="5898" width="14.42578125" style="34" customWidth="1"/>
    <col min="5899" max="5899" width="14.42578125" style="34" bestFit="1" customWidth="1"/>
    <col min="5900" max="5900" width="4.5703125" style="34" customWidth="1"/>
    <col min="5901" max="5901" width="14.42578125" style="34" customWidth="1"/>
    <col min="5902" max="6144" width="9.140625" style="34"/>
    <col min="6145" max="6145" width="5.140625" style="34" customWidth="1"/>
    <col min="6146" max="6146" width="43.7109375" style="34" customWidth="1"/>
    <col min="6147" max="6152" width="16.7109375" style="34" customWidth="1"/>
    <col min="6153" max="6154" width="14.42578125" style="34" customWidth="1"/>
    <col min="6155" max="6155" width="14.42578125" style="34" bestFit="1" customWidth="1"/>
    <col min="6156" max="6156" width="4.5703125" style="34" customWidth="1"/>
    <col min="6157" max="6157" width="14.42578125" style="34" customWidth="1"/>
    <col min="6158" max="6400" width="9.140625" style="34"/>
    <col min="6401" max="6401" width="5.140625" style="34" customWidth="1"/>
    <col min="6402" max="6402" width="43.7109375" style="34" customWidth="1"/>
    <col min="6403" max="6408" width="16.7109375" style="34" customWidth="1"/>
    <col min="6409" max="6410" width="14.42578125" style="34" customWidth="1"/>
    <col min="6411" max="6411" width="14.42578125" style="34" bestFit="1" customWidth="1"/>
    <col min="6412" max="6412" width="4.5703125" style="34" customWidth="1"/>
    <col min="6413" max="6413" width="14.42578125" style="34" customWidth="1"/>
    <col min="6414" max="6656" width="9.140625" style="34"/>
    <col min="6657" max="6657" width="5.140625" style="34" customWidth="1"/>
    <col min="6658" max="6658" width="43.7109375" style="34" customWidth="1"/>
    <col min="6659" max="6664" width="16.7109375" style="34" customWidth="1"/>
    <col min="6665" max="6666" width="14.42578125" style="34" customWidth="1"/>
    <col min="6667" max="6667" width="14.42578125" style="34" bestFit="1" customWidth="1"/>
    <col min="6668" max="6668" width="4.5703125" style="34" customWidth="1"/>
    <col min="6669" max="6669" width="14.42578125" style="34" customWidth="1"/>
    <col min="6670" max="6912" width="9.140625" style="34"/>
    <col min="6913" max="6913" width="5.140625" style="34" customWidth="1"/>
    <col min="6914" max="6914" width="43.7109375" style="34" customWidth="1"/>
    <col min="6915" max="6920" width="16.7109375" style="34" customWidth="1"/>
    <col min="6921" max="6922" width="14.42578125" style="34" customWidth="1"/>
    <col min="6923" max="6923" width="14.42578125" style="34" bestFit="1" customWidth="1"/>
    <col min="6924" max="6924" width="4.5703125" style="34" customWidth="1"/>
    <col min="6925" max="6925" width="14.42578125" style="34" customWidth="1"/>
    <col min="6926" max="7168" width="9.140625" style="34"/>
    <col min="7169" max="7169" width="5.140625" style="34" customWidth="1"/>
    <col min="7170" max="7170" width="43.7109375" style="34" customWidth="1"/>
    <col min="7171" max="7176" width="16.7109375" style="34" customWidth="1"/>
    <col min="7177" max="7178" width="14.42578125" style="34" customWidth="1"/>
    <col min="7179" max="7179" width="14.42578125" style="34" bestFit="1" customWidth="1"/>
    <col min="7180" max="7180" width="4.5703125" style="34" customWidth="1"/>
    <col min="7181" max="7181" width="14.42578125" style="34" customWidth="1"/>
    <col min="7182" max="7424" width="9.140625" style="34"/>
    <col min="7425" max="7425" width="5.140625" style="34" customWidth="1"/>
    <col min="7426" max="7426" width="43.7109375" style="34" customWidth="1"/>
    <col min="7427" max="7432" width="16.7109375" style="34" customWidth="1"/>
    <col min="7433" max="7434" width="14.42578125" style="34" customWidth="1"/>
    <col min="7435" max="7435" width="14.42578125" style="34" bestFit="1" customWidth="1"/>
    <col min="7436" max="7436" width="4.5703125" style="34" customWidth="1"/>
    <col min="7437" max="7437" width="14.42578125" style="34" customWidth="1"/>
    <col min="7438" max="7680" width="9.140625" style="34"/>
    <col min="7681" max="7681" width="5.140625" style="34" customWidth="1"/>
    <col min="7682" max="7682" width="43.7109375" style="34" customWidth="1"/>
    <col min="7683" max="7688" width="16.7109375" style="34" customWidth="1"/>
    <col min="7689" max="7690" width="14.42578125" style="34" customWidth="1"/>
    <col min="7691" max="7691" width="14.42578125" style="34" bestFit="1" customWidth="1"/>
    <col min="7692" max="7692" width="4.5703125" style="34" customWidth="1"/>
    <col min="7693" max="7693" width="14.42578125" style="34" customWidth="1"/>
    <col min="7694" max="7936" width="9.140625" style="34"/>
    <col min="7937" max="7937" width="5.140625" style="34" customWidth="1"/>
    <col min="7938" max="7938" width="43.7109375" style="34" customWidth="1"/>
    <col min="7939" max="7944" width="16.7109375" style="34" customWidth="1"/>
    <col min="7945" max="7946" width="14.42578125" style="34" customWidth="1"/>
    <col min="7947" max="7947" width="14.42578125" style="34" bestFit="1" customWidth="1"/>
    <col min="7948" max="7948" width="4.5703125" style="34" customWidth="1"/>
    <col min="7949" max="7949" width="14.42578125" style="34" customWidth="1"/>
    <col min="7950" max="8192" width="9.140625" style="34"/>
    <col min="8193" max="8193" width="5.140625" style="34" customWidth="1"/>
    <col min="8194" max="8194" width="43.7109375" style="34" customWidth="1"/>
    <col min="8195" max="8200" width="16.7109375" style="34" customWidth="1"/>
    <col min="8201" max="8202" width="14.42578125" style="34" customWidth="1"/>
    <col min="8203" max="8203" width="14.42578125" style="34" bestFit="1" customWidth="1"/>
    <col min="8204" max="8204" width="4.5703125" style="34" customWidth="1"/>
    <col min="8205" max="8205" width="14.42578125" style="34" customWidth="1"/>
    <col min="8206" max="8448" width="9.140625" style="34"/>
    <col min="8449" max="8449" width="5.140625" style="34" customWidth="1"/>
    <col min="8450" max="8450" width="43.7109375" style="34" customWidth="1"/>
    <col min="8451" max="8456" width="16.7109375" style="34" customWidth="1"/>
    <col min="8457" max="8458" width="14.42578125" style="34" customWidth="1"/>
    <col min="8459" max="8459" width="14.42578125" style="34" bestFit="1" customWidth="1"/>
    <col min="8460" max="8460" width="4.5703125" style="34" customWidth="1"/>
    <col min="8461" max="8461" width="14.42578125" style="34" customWidth="1"/>
    <col min="8462" max="8704" width="9.140625" style="34"/>
    <col min="8705" max="8705" width="5.140625" style="34" customWidth="1"/>
    <col min="8706" max="8706" width="43.7109375" style="34" customWidth="1"/>
    <col min="8707" max="8712" width="16.7109375" style="34" customWidth="1"/>
    <col min="8713" max="8714" width="14.42578125" style="34" customWidth="1"/>
    <col min="8715" max="8715" width="14.42578125" style="34" bestFit="1" customWidth="1"/>
    <col min="8716" max="8716" width="4.5703125" style="34" customWidth="1"/>
    <col min="8717" max="8717" width="14.42578125" style="34" customWidth="1"/>
    <col min="8718" max="8960" width="9.140625" style="34"/>
    <col min="8961" max="8961" width="5.140625" style="34" customWidth="1"/>
    <col min="8962" max="8962" width="43.7109375" style="34" customWidth="1"/>
    <col min="8963" max="8968" width="16.7109375" style="34" customWidth="1"/>
    <col min="8969" max="8970" width="14.42578125" style="34" customWidth="1"/>
    <col min="8971" max="8971" width="14.42578125" style="34" bestFit="1" customWidth="1"/>
    <col min="8972" max="8972" width="4.5703125" style="34" customWidth="1"/>
    <col min="8973" max="8973" width="14.42578125" style="34" customWidth="1"/>
    <col min="8974" max="9216" width="9.140625" style="34"/>
    <col min="9217" max="9217" width="5.140625" style="34" customWidth="1"/>
    <col min="9218" max="9218" width="43.7109375" style="34" customWidth="1"/>
    <col min="9219" max="9224" width="16.7109375" style="34" customWidth="1"/>
    <col min="9225" max="9226" width="14.42578125" style="34" customWidth="1"/>
    <col min="9227" max="9227" width="14.42578125" style="34" bestFit="1" customWidth="1"/>
    <col min="9228" max="9228" width="4.5703125" style="34" customWidth="1"/>
    <col min="9229" max="9229" width="14.42578125" style="34" customWidth="1"/>
    <col min="9230" max="9472" width="9.140625" style="34"/>
    <col min="9473" max="9473" width="5.140625" style="34" customWidth="1"/>
    <col min="9474" max="9474" width="43.7109375" style="34" customWidth="1"/>
    <col min="9475" max="9480" width="16.7109375" style="34" customWidth="1"/>
    <col min="9481" max="9482" width="14.42578125" style="34" customWidth="1"/>
    <col min="9483" max="9483" width="14.42578125" style="34" bestFit="1" customWidth="1"/>
    <col min="9484" max="9484" width="4.5703125" style="34" customWidth="1"/>
    <col min="9485" max="9485" width="14.42578125" style="34" customWidth="1"/>
    <col min="9486" max="9728" width="9.140625" style="34"/>
    <col min="9729" max="9729" width="5.140625" style="34" customWidth="1"/>
    <col min="9730" max="9730" width="43.7109375" style="34" customWidth="1"/>
    <col min="9731" max="9736" width="16.7109375" style="34" customWidth="1"/>
    <col min="9737" max="9738" width="14.42578125" style="34" customWidth="1"/>
    <col min="9739" max="9739" width="14.42578125" style="34" bestFit="1" customWidth="1"/>
    <col min="9740" max="9740" width="4.5703125" style="34" customWidth="1"/>
    <col min="9741" max="9741" width="14.42578125" style="34" customWidth="1"/>
    <col min="9742" max="9984" width="9.140625" style="34"/>
    <col min="9985" max="9985" width="5.140625" style="34" customWidth="1"/>
    <col min="9986" max="9986" width="43.7109375" style="34" customWidth="1"/>
    <col min="9987" max="9992" width="16.7109375" style="34" customWidth="1"/>
    <col min="9993" max="9994" width="14.42578125" style="34" customWidth="1"/>
    <col min="9995" max="9995" width="14.42578125" style="34" bestFit="1" customWidth="1"/>
    <col min="9996" max="9996" width="4.5703125" style="34" customWidth="1"/>
    <col min="9997" max="9997" width="14.42578125" style="34" customWidth="1"/>
    <col min="9998" max="10240" width="9.140625" style="34"/>
    <col min="10241" max="10241" width="5.140625" style="34" customWidth="1"/>
    <col min="10242" max="10242" width="43.7109375" style="34" customWidth="1"/>
    <col min="10243" max="10248" width="16.7109375" style="34" customWidth="1"/>
    <col min="10249" max="10250" width="14.42578125" style="34" customWidth="1"/>
    <col min="10251" max="10251" width="14.42578125" style="34" bestFit="1" customWidth="1"/>
    <col min="10252" max="10252" width="4.5703125" style="34" customWidth="1"/>
    <col min="10253" max="10253" width="14.42578125" style="34" customWidth="1"/>
    <col min="10254" max="10496" width="9.140625" style="34"/>
    <col min="10497" max="10497" width="5.140625" style="34" customWidth="1"/>
    <col min="10498" max="10498" width="43.7109375" style="34" customWidth="1"/>
    <col min="10499" max="10504" width="16.7109375" style="34" customWidth="1"/>
    <col min="10505" max="10506" width="14.42578125" style="34" customWidth="1"/>
    <col min="10507" max="10507" width="14.42578125" style="34" bestFit="1" customWidth="1"/>
    <col min="10508" max="10508" width="4.5703125" style="34" customWidth="1"/>
    <col min="10509" max="10509" width="14.42578125" style="34" customWidth="1"/>
    <col min="10510" max="10752" width="9.140625" style="34"/>
    <col min="10753" max="10753" width="5.140625" style="34" customWidth="1"/>
    <col min="10754" max="10754" width="43.7109375" style="34" customWidth="1"/>
    <col min="10755" max="10760" width="16.7109375" style="34" customWidth="1"/>
    <col min="10761" max="10762" width="14.42578125" style="34" customWidth="1"/>
    <col min="10763" max="10763" width="14.42578125" style="34" bestFit="1" customWidth="1"/>
    <col min="10764" max="10764" width="4.5703125" style="34" customWidth="1"/>
    <col min="10765" max="10765" width="14.42578125" style="34" customWidth="1"/>
    <col min="10766" max="11008" width="9.140625" style="34"/>
    <col min="11009" max="11009" width="5.140625" style="34" customWidth="1"/>
    <col min="11010" max="11010" width="43.7109375" style="34" customWidth="1"/>
    <col min="11011" max="11016" width="16.7109375" style="34" customWidth="1"/>
    <col min="11017" max="11018" width="14.42578125" style="34" customWidth="1"/>
    <col min="11019" max="11019" width="14.42578125" style="34" bestFit="1" customWidth="1"/>
    <col min="11020" max="11020" width="4.5703125" style="34" customWidth="1"/>
    <col min="11021" max="11021" width="14.42578125" style="34" customWidth="1"/>
    <col min="11022" max="11264" width="9.140625" style="34"/>
    <col min="11265" max="11265" width="5.140625" style="34" customWidth="1"/>
    <col min="11266" max="11266" width="43.7109375" style="34" customWidth="1"/>
    <col min="11267" max="11272" width="16.7109375" style="34" customWidth="1"/>
    <col min="11273" max="11274" width="14.42578125" style="34" customWidth="1"/>
    <col min="11275" max="11275" width="14.42578125" style="34" bestFit="1" customWidth="1"/>
    <col min="11276" max="11276" width="4.5703125" style="34" customWidth="1"/>
    <col min="11277" max="11277" width="14.42578125" style="34" customWidth="1"/>
    <col min="11278" max="11520" width="9.140625" style="34"/>
    <col min="11521" max="11521" width="5.140625" style="34" customWidth="1"/>
    <col min="11522" max="11522" width="43.7109375" style="34" customWidth="1"/>
    <col min="11523" max="11528" width="16.7109375" style="34" customWidth="1"/>
    <col min="11529" max="11530" width="14.42578125" style="34" customWidth="1"/>
    <col min="11531" max="11531" width="14.42578125" style="34" bestFit="1" customWidth="1"/>
    <col min="11532" max="11532" width="4.5703125" style="34" customWidth="1"/>
    <col min="11533" max="11533" width="14.42578125" style="34" customWidth="1"/>
    <col min="11534" max="11776" width="9.140625" style="34"/>
    <col min="11777" max="11777" width="5.140625" style="34" customWidth="1"/>
    <col min="11778" max="11778" width="43.7109375" style="34" customWidth="1"/>
    <col min="11779" max="11784" width="16.7109375" style="34" customWidth="1"/>
    <col min="11785" max="11786" width="14.42578125" style="34" customWidth="1"/>
    <col min="11787" max="11787" width="14.42578125" style="34" bestFit="1" customWidth="1"/>
    <col min="11788" max="11788" width="4.5703125" style="34" customWidth="1"/>
    <col min="11789" max="11789" width="14.42578125" style="34" customWidth="1"/>
    <col min="11790" max="12032" width="9.140625" style="34"/>
    <col min="12033" max="12033" width="5.140625" style="34" customWidth="1"/>
    <col min="12034" max="12034" width="43.7109375" style="34" customWidth="1"/>
    <col min="12035" max="12040" width="16.7109375" style="34" customWidth="1"/>
    <col min="12041" max="12042" width="14.42578125" style="34" customWidth="1"/>
    <col min="12043" max="12043" width="14.42578125" style="34" bestFit="1" customWidth="1"/>
    <col min="12044" max="12044" width="4.5703125" style="34" customWidth="1"/>
    <col min="12045" max="12045" width="14.42578125" style="34" customWidth="1"/>
    <col min="12046" max="12288" width="9.140625" style="34"/>
    <col min="12289" max="12289" width="5.140625" style="34" customWidth="1"/>
    <col min="12290" max="12290" width="43.7109375" style="34" customWidth="1"/>
    <col min="12291" max="12296" width="16.7109375" style="34" customWidth="1"/>
    <col min="12297" max="12298" width="14.42578125" style="34" customWidth="1"/>
    <col min="12299" max="12299" width="14.42578125" style="34" bestFit="1" customWidth="1"/>
    <col min="12300" max="12300" width="4.5703125" style="34" customWidth="1"/>
    <col min="12301" max="12301" width="14.42578125" style="34" customWidth="1"/>
    <col min="12302" max="12544" width="9.140625" style="34"/>
    <col min="12545" max="12545" width="5.140625" style="34" customWidth="1"/>
    <col min="12546" max="12546" width="43.7109375" style="34" customWidth="1"/>
    <col min="12547" max="12552" width="16.7109375" style="34" customWidth="1"/>
    <col min="12553" max="12554" width="14.42578125" style="34" customWidth="1"/>
    <col min="12555" max="12555" width="14.42578125" style="34" bestFit="1" customWidth="1"/>
    <col min="12556" max="12556" width="4.5703125" style="34" customWidth="1"/>
    <col min="12557" max="12557" width="14.42578125" style="34" customWidth="1"/>
    <col min="12558" max="12800" width="9.140625" style="34"/>
    <col min="12801" max="12801" width="5.140625" style="34" customWidth="1"/>
    <col min="12802" max="12802" width="43.7109375" style="34" customWidth="1"/>
    <col min="12803" max="12808" width="16.7109375" style="34" customWidth="1"/>
    <col min="12809" max="12810" width="14.42578125" style="34" customWidth="1"/>
    <col min="12811" max="12811" width="14.42578125" style="34" bestFit="1" customWidth="1"/>
    <col min="12812" max="12812" width="4.5703125" style="34" customWidth="1"/>
    <col min="12813" max="12813" width="14.42578125" style="34" customWidth="1"/>
    <col min="12814" max="13056" width="9.140625" style="34"/>
    <col min="13057" max="13057" width="5.140625" style="34" customWidth="1"/>
    <col min="13058" max="13058" width="43.7109375" style="34" customWidth="1"/>
    <col min="13059" max="13064" width="16.7109375" style="34" customWidth="1"/>
    <col min="13065" max="13066" width="14.42578125" style="34" customWidth="1"/>
    <col min="13067" max="13067" width="14.42578125" style="34" bestFit="1" customWidth="1"/>
    <col min="13068" max="13068" width="4.5703125" style="34" customWidth="1"/>
    <col min="13069" max="13069" width="14.42578125" style="34" customWidth="1"/>
    <col min="13070" max="13312" width="9.140625" style="34"/>
    <col min="13313" max="13313" width="5.140625" style="34" customWidth="1"/>
    <col min="13314" max="13314" width="43.7109375" style="34" customWidth="1"/>
    <col min="13315" max="13320" width="16.7109375" style="34" customWidth="1"/>
    <col min="13321" max="13322" width="14.42578125" style="34" customWidth="1"/>
    <col min="13323" max="13323" width="14.42578125" style="34" bestFit="1" customWidth="1"/>
    <col min="13324" max="13324" width="4.5703125" style="34" customWidth="1"/>
    <col min="13325" max="13325" width="14.42578125" style="34" customWidth="1"/>
    <col min="13326" max="13568" width="9.140625" style="34"/>
    <col min="13569" max="13569" width="5.140625" style="34" customWidth="1"/>
    <col min="13570" max="13570" width="43.7109375" style="34" customWidth="1"/>
    <col min="13571" max="13576" width="16.7109375" style="34" customWidth="1"/>
    <col min="13577" max="13578" width="14.42578125" style="34" customWidth="1"/>
    <col min="13579" max="13579" width="14.42578125" style="34" bestFit="1" customWidth="1"/>
    <col min="13580" max="13580" width="4.5703125" style="34" customWidth="1"/>
    <col min="13581" max="13581" width="14.42578125" style="34" customWidth="1"/>
    <col min="13582" max="13824" width="9.140625" style="34"/>
    <col min="13825" max="13825" width="5.140625" style="34" customWidth="1"/>
    <col min="13826" max="13826" width="43.7109375" style="34" customWidth="1"/>
    <col min="13827" max="13832" width="16.7109375" style="34" customWidth="1"/>
    <col min="13833" max="13834" width="14.42578125" style="34" customWidth="1"/>
    <col min="13835" max="13835" width="14.42578125" style="34" bestFit="1" customWidth="1"/>
    <col min="13836" max="13836" width="4.5703125" style="34" customWidth="1"/>
    <col min="13837" max="13837" width="14.42578125" style="34" customWidth="1"/>
    <col min="13838" max="14080" width="9.140625" style="34"/>
    <col min="14081" max="14081" width="5.140625" style="34" customWidth="1"/>
    <col min="14082" max="14082" width="43.7109375" style="34" customWidth="1"/>
    <col min="14083" max="14088" width="16.7109375" style="34" customWidth="1"/>
    <col min="14089" max="14090" width="14.42578125" style="34" customWidth="1"/>
    <col min="14091" max="14091" width="14.42578125" style="34" bestFit="1" customWidth="1"/>
    <col min="14092" max="14092" width="4.5703125" style="34" customWidth="1"/>
    <col min="14093" max="14093" width="14.42578125" style="34" customWidth="1"/>
    <col min="14094" max="14336" width="9.140625" style="34"/>
    <col min="14337" max="14337" width="5.140625" style="34" customWidth="1"/>
    <col min="14338" max="14338" width="43.7109375" style="34" customWidth="1"/>
    <col min="14339" max="14344" width="16.7109375" style="34" customWidth="1"/>
    <col min="14345" max="14346" width="14.42578125" style="34" customWidth="1"/>
    <col min="14347" max="14347" width="14.42578125" style="34" bestFit="1" customWidth="1"/>
    <col min="14348" max="14348" width="4.5703125" style="34" customWidth="1"/>
    <col min="14349" max="14349" width="14.42578125" style="34" customWidth="1"/>
    <col min="14350" max="14592" width="9.140625" style="34"/>
    <col min="14593" max="14593" width="5.140625" style="34" customWidth="1"/>
    <col min="14594" max="14594" width="43.7109375" style="34" customWidth="1"/>
    <col min="14595" max="14600" width="16.7109375" style="34" customWidth="1"/>
    <col min="14601" max="14602" width="14.42578125" style="34" customWidth="1"/>
    <col min="14603" max="14603" width="14.42578125" style="34" bestFit="1" customWidth="1"/>
    <col min="14604" max="14604" width="4.5703125" style="34" customWidth="1"/>
    <col min="14605" max="14605" width="14.42578125" style="34" customWidth="1"/>
    <col min="14606" max="14848" width="9.140625" style="34"/>
    <col min="14849" max="14849" width="5.140625" style="34" customWidth="1"/>
    <col min="14850" max="14850" width="43.7109375" style="34" customWidth="1"/>
    <col min="14851" max="14856" width="16.7109375" style="34" customWidth="1"/>
    <col min="14857" max="14858" width="14.42578125" style="34" customWidth="1"/>
    <col min="14859" max="14859" width="14.42578125" style="34" bestFit="1" customWidth="1"/>
    <col min="14860" max="14860" width="4.5703125" style="34" customWidth="1"/>
    <col min="14861" max="14861" width="14.42578125" style="34" customWidth="1"/>
    <col min="14862" max="15104" width="9.140625" style="34"/>
    <col min="15105" max="15105" width="5.140625" style="34" customWidth="1"/>
    <col min="15106" max="15106" width="43.7109375" style="34" customWidth="1"/>
    <col min="15107" max="15112" width="16.7109375" style="34" customWidth="1"/>
    <col min="15113" max="15114" width="14.42578125" style="34" customWidth="1"/>
    <col min="15115" max="15115" width="14.42578125" style="34" bestFit="1" customWidth="1"/>
    <col min="15116" max="15116" width="4.5703125" style="34" customWidth="1"/>
    <col min="15117" max="15117" width="14.42578125" style="34" customWidth="1"/>
    <col min="15118" max="15360" width="9.140625" style="34"/>
    <col min="15361" max="15361" width="5.140625" style="34" customWidth="1"/>
    <col min="15362" max="15362" width="43.7109375" style="34" customWidth="1"/>
    <col min="15363" max="15368" width="16.7109375" style="34" customWidth="1"/>
    <col min="15369" max="15370" width="14.42578125" style="34" customWidth="1"/>
    <col min="15371" max="15371" width="14.42578125" style="34" bestFit="1" customWidth="1"/>
    <col min="15372" max="15372" width="4.5703125" style="34" customWidth="1"/>
    <col min="15373" max="15373" width="14.42578125" style="34" customWidth="1"/>
    <col min="15374" max="15616" width="9.140625" style="34"/>
    <col min="15617" max="15617" width="5.140625" style="34" customWidth="1"/>
    <col min="15618" max="15618" width="43.7109375" style="34" customWidth="1"/>
    <col min="15619" max="15624" width="16.7109375" style="34" customWidth="1"/>
    <col min="15625" max="15626" width="14.42578125" style="34" customWidth="1"/>
    <col min="15627" max="15627" width="14.42578125" style="34" bestFit="1" customWidth="1"/>
    <col min="15628" max="15628" width="4.5703125" style="34" customWidth="1"/>
    <col min="15629" max="15629" width="14.42578125" style="34" customWidth="1"/>
    <col min="15630" max="15872" width="9.140625" style="34"/>
    <col min="15873" max="15873" width="5.140625" style="34" customWidth="1"/>
    <col min="15874" max="15874" width="43.7109375" style="34" customWidth="1"/>
    <col min="15875" max="15880" width="16.7109375" style="34" customWidth="1"/>
    <col min="15881" max="15882" width="14.42578125" style="34" customWidth="1"/>
    <col min="15883" max="15883" width="14.42578125" style="34" bestFit="1" customWidth="1"/>
    <col min="15884" max="15884" width="4.5703125" style="34" customWidth="1"/>
    <col min="15885" max="15885" width="14.42578125" style="34" customWidth="1"/>
    <col min="15886" max="16128" width="9.140625" style="34"/>
    <col min="16129" max="16129" width="5.140625" style="34" customWidth="1"/>
    <col min="16130" max="16130" width="43.7109375" style="34" customWidth="1"/>
    <col min="16131" max="16136" width="16.7109375" style="34" customWidth="1"/>
    <col min="16137" max="16138" width="14.42578125" style="34" customWidth="1"/>
    <col min="16139" max="16139" width="14.42578125" style="34" bestFit="1" customWidth="1"/>
    <col min="16140" max="16140" width="4.5703125" style="34" customWidth="1"/>
    <col min="16141" max="16141" width="14.42578125" style="34" customWidth="1"/>
    <col min="16142" max="16384" width="9.140625" style="34"/>
  </cols>
  <sheetData>
    <row r="1" spans="1:14" x14ac:dyDescent="0.2">
      <c r="B1" s="35" t="str">
        <f>Update!$B$6</f>
        <v>Department of Health</v>
      </c>
    </row>
    <row r="2" spans="1:14" x14ac:dyDescent="0.2">
      <c r="B2" s="35" t="str">
        <f>Update!$B$10</f>
        <v>Notes to the financial statements</v>
      </c>
    </row>
    <row r="3" spans="1:14" x14ac:dyDescent="0.2">
      <c r="B3" s="35" t="str">
        <f>Update!$A$3</f>
        <v>2025-26</v>
      </c>
    </row>
    <row r="5" spans="1:14" x14ac:dyDescent="0.2">
      <c r="A5" s="229">
        <f>SUMIF(Update!$B$33:$B$106,B5,Update!$A$33:$A$106)</f>
        <v>6</v>
      </c>
      <c r="B5" s="37" t="s">
        <v>602</v>
      </c>
    </row>
    <row r="6" spans="1:14" x14ac:dyDescent="0.2">
      <c r="A6" s="229">
        <f>SUMIF(Update!$B$33:$B$106,B6,Update!$A$33:$A$106)</f>
        <v>6.1</v>
      </c>
      <c r="B6" s="37" t="str">
        <f>"Consolidated intangible assets "&amp;Update!$B$13</f>
        <v>Consolidated intangible assets 2025-26</v>
      </c>
    </row>
    <row r="9" spans="1:14" ht="51" x14ac:dyDescent="0.2">
      <c r="C9" s="779" t="s">
        <v>201</v>
      </c>
      <c r="D9" s="779" t="s">
        <v>211</v>
      </c>
      <c r="E9" s="779" t="s">
        <v>451</v>
      </c>
      <c r="F9" s="779" t="s">
        <v>603</v>
      </c>
      <c r="G9" s="779" t="s">
        <v>452</v>
      </c>
      <c r="H9" s="779" t="s">
        <v>453</v>
      </c>
      <c r="I9" s="779" t="s">
        <v>454</v>
      </c>
      <c r="J9" s="779" t="s">
        <v>455</v>
      </c>
      <c r="K9" s="779" t="s">
        <v>604</v>
      </c>
    </row>
    <row r="10" spans="1:14" x14ac:dyDescent="0.2">
      <c r="C10" s="57" t="s">
        <v>62</v>
      </c>
      <c r="D10" s="57" t="s">
        <v>62</v>
      </c>
      <c r="E10" s="57" t="s">
        <v>62</v>
      </c>
      <c r="F10" s="57" t="s">
        <v>62</v>
      </c>
      <c r="G10" s="57" t="s">
        <v>62</v>
      </c>
      <c r="H10" s="57" t="s">
        <v>62</v>
      </c>
      <c r="I10" s="57" t="s">
        <v>62</v>
      </c>
      <c r="J10" s="57" t="s">
        <v>62</v>
      </c>
      <c r="K10" s="57" t="s">
        <v>62</v>
      </c>
      <c r="L10" s="39"/>
      <c r="M10" s="165"/>
    </row>
    <row r="11" spans="1:14" x14ac:dyDescent="0.2">
      <c r="B11" s="37" t="s">
        <v>183</v>
      </c>
      <c r="C11" s="37"/>
      <c r="D11" s="37"/>
      <c r="E11" s="37"/>
    </row>
    <row r="12" spans="1:14" x14ac:dyDescent="0.2">
      <c r="B12" s="34" t="str">
        <f>"At"&amp;Update!$B$20</f>
        <v>At 1 April 2025</v>
      </c>
      <c r="C12" s="747">
        <f>SUMIF(MAP!$E$847:$E$861,$B12,MAP!$N$847:$N$861)</f>
        <v>0</v>
      </c>
      <c r="D12" s="747">
        <f>SUMIF(MAP!$E$884:$E$897,$B12,MAP!$N$884:$N$897)</f>
        <v>148</v>
      </c>
      <c r="E12" s="747">
        <f>SUMIF(MAP!$E$920:$E$933,$B12,MAP!$N$920:$N$933)</f>
        <v>0</v>
      </c>
      <c r="F12" s="747">
        <f>SUMIF(MAP!$E$956:$E$969,$B12,MAP!$N$956:$N$969)</f>
        <v>63</v>
      </c>
      <c r="G12" s="747">
        <f>SUMIF(MAP!$E$992:$E$1005,$B12,MAP!$N$992:$N$1005)</f>
        <v>0</v>
      </c>
      <c r="H12" s="747">
        <f>SUMIF(MAP!$E$1028:$E$1041,$B12,MAP!$N$1028:$N$1041)</f>
        <v>0</v>
      </c>
      <c r="I12" s="747">
        <f>SUMIF(MAP!$E$1064:$E$1077,$B12,MAP!$N$1064:$N$1077)</f>
        <v>0</v>
      </c>
      <c r="J12" s="747">
        <f>SUMIF(MAP!$E$1100:$E$1113,$B12,MAP!$N$1100:$N$1113)</f>
        <v>0</v>
      </c>
      <c r="K12" s="34">
        <f>SUM(C12:J12)</f>
        <v>211</v>
      </c>
      <c r="M12" s="246"/>
      <c r="N12" s="34" t="s">
        <v>844</v>
      </c>
    </row>
    <row r="13" spans="1:14" x14ac:dyDescent="0.2">
      <c r="B13" s="34" t="s">
        <v>435</v>
      </c>
      <c r="C13" s="747">
        <f>SUMIF(MAP!$E$847:$E$861,$B13,MAP!$N$847:$N$861)</f>
        <v>0</v>
      </c>
      <c r="D13" s="747">
        <f>SUMIF(MAP!$E$884:$E$897,$B13,MAP!$N$884:$N$897)</f>
        <v>0</v>
      </c>
      <c r="E13" s="747">
        <f>SUMIF(MAP!$E$920:$E$933,$B13,MAP!$N$920:$N$933)</f>
        <v>0</v>
      </c>
      <c r="F13" s="747">
        <f>SUMIF(MAP!$E$956:$E$969,$B13,MAP!$N$956:$N$969)</f>
        <v>0</v>
      </c>
      <c r="G13" s="747">
        <f>SUMIF(MAP!$E$992:$E$1005,$B13,MAP!$N$992:$N$1005)</f>
        <v>0</v>
      </c>
      <c r="H13" s="747">
        <f>SUMIF(MAP!$E$1028:$E$1041,$B13,MAP!$N$1028:$N$1041)</f>
        <v>0</v>
      </c>
      <c r="I13" s="747">
        <f>SUMIF(MAP!$E$1064:$E$1077,$B13,MAP!$N$1064:$N$1077)</f>
        <v>0</v>
      </c>
      <c r="J13" s="747">
        <f>SUMIF(MAP!$E$1100:$E$1113,$B13,MAP!$N$1100:$N$1113)</f>
        <v>0</v>
      </c>
      <c r="K13" s="34">
        <f>SUM(C13:J13)</f>
        <v>0</v>
      </c>
      <c r="M13" s="74"/>
    </row>
    <row r="14" spans="1:14" x14ac:dyDescent="0.2">
      <c r="B14" s="34" t="s">
        <v>442</v>
      </c>
      <c r="C14" s="98">
        <f>SUM(C12:C13)</f>
        <v>0</v>
      </c>
      <c r="D14" s="98">
        <f>SUM(D12:D13)</f>
        <v>148</v>
      </c>
      <c r="E14" s="98">
        <f t="shared" ref="E14:K14" si="0">SUM(E12:E13)</f>
        <v>0</v>
      </c>
      <c r="F14" s="98">
        <f t="shared" si="0"/>
        <v>63</v>
      </c>
      <c r="G14" s="98">
        <f t="shared" si="0"/>
        <v>0</v>
      </c>
      <c r="H14" s="98">
        <f t="shared" si="0"/>
        <v>0</v>
      </c>
      <c r="I14" s="98">
        <f t="shared" si="0"/>
        <v>0</v>
      </c>
      <c r="J14" s="98">
        <f t="shared" si="0"/>
        <v>0</v>
      </c>
      <c r="K14" s="98">
        <f t="shared" si="0"/>
        <v>211</v>
      </c>
      <c r="M14" s="246">
        <f>SUM(C14:J14)-SUM(K12:K13)</f>
        <v>0</v>
      </c>
    </row>
    <row r="15" spans="1:14" x14ac:dyDescent="0.2">
      <c r="B15" s="34" t="s">
        <v>185</v>
      </c>
      <c r="C15" s="747">
        <f>SUMIF(MAP!$E$847:$E$861,$B15,MAP!$N$847:$N$861)</f>
        <v>0</v>
      </c>
      <c r="D15" s="747">
        <f>SUMIF(MAP!$E$884:$E$897,$B15,MAP!$N$884:$N$897)</f>
        <v>0</v>
      </c>
      <c r="E15" s="747">
        <f>SUMIF(MAP!$E$920:$E$933,$B15,MAP!$N$920:$N$933)</f>
        <v>0</v>
      </c>
      <c r="F15" s="747">
        <f>SUMIF(MAP!$E$956:$E$969,$B15,MAP!$N$956:$N$969)</f>
        <v>0</v>
      </c>
      <c r="G15" s="747">
        <f>SUMIF(MAP!$E$992:$E$1005,$B15,MAP!$N$992:$N$1005)</f>
        <v>0</v>
      </c>
      <c r="H15" s="747">
        <f>SUMIF(MAP!$E$1028:$E$1041,$B15,MAP!$N$1028:$N$1041)</f>
        <v>0</v>
      </c>
      <c r="I15" s="747">
        <f>SUMIF(MAP!$E$1064:$E$1077,$B15,MAP!$N$1064:$N$1077)</f>
        <v>0</v>
      </c>
      <c r="J15" s="747">
        <f>SUMIF(MAP!$E$1100:$E$1113,$B15,MAP!$N$1100:$N$1113)</f>
        <v>0</v>
      </c>
      <c r="K15" s="34">
        <f t="shared" ref="K15:K23" si="1">SUM(C15:J15)</f>
        <v>0</v>
      </c>
    </row>
    <row r="16" spans="1:14" x14ac:dyDescent="0.2">
      <c r="B16" s="34" t="s">
        <v>437</v>
      </c>
      <c r="C16" s="747">
        <f>SUMIF(MAP!$E$847:$E$861,$B16,MAP!$N$847:$N$861)</f>
        <v>0</v>
      </c>
      <c r="D16" s="747">
        <f>SUMIF(MAP!$E$884:$E$897,$B16,MAP!$N$884:$N$897)</f>
        <v>0</v>
      </c>
      <c r="E16" s="747">
        <f>SUMIF(MAP!$E$920:$E$933,$B16,MAP!$N$920:$N$933)</f>
        <v>0</v>
      </c>
      <c r="F16" s="747">
        <f>SUMIF(MAP!$E$956:$E$969,$B16,MAP!$N$956:$N$969)</f>
        <v>0</v>
      </c>
      <c r="G16" s="747">
        <f>SUMIF(MAP!$E$992:$E$1005,$B16,MAP!$N$992:$N$1005)</f>
        <v>0</v>
      </c>
      <c r="H16" s="747">
        <f>SUMIF(MAP!$E$1028:$E$1041,$B16,MAP!$N$1028:$N$1041)</f>
        <v>0</v>
      </c>
      <c r="I16" s="747">
        <f>SUMIF(MAP!$E$1064:$E$1077,$B16,MAP!$N$1064:$N$1077)</f>
        <v>0</v>
      </c>
      <c r="J16" s="747">
        <f>SUMIF(MAP!$E$1100:$E$1113,$B16,MAP!$N$1100:$N$1113)</f>
        <v>0</v>
      </c>
      <c r="K16" s="34">
        <f t="shared" si="1"/>
        <v>0</v>
      </c>
    </row>
    <row r="17" spans="1:14" x14ac:dyDescent="0.2">
      <c r="B17" s="34" t="s">
        <v>191</v>
      </c>
      <c r="C17" s="747">
        <f>SUMIF(MAP!$E$847:$E$861,$B17,MAP!$N$847:$N$861)</f>
        <v>0</v>
      </c>
      <c r="D17" s="747">
        <f>SUMIF(MAP!$E$884:$E$897,$B17,MAP!$N$884:$N$897)</f>
        <v>0</v>
      </c>
      <c r="E17" s="747">
        <f>SUMIF(MAP!$E$920:$E$933,$B17,MAP!$N$920:$N$933)</f>
        <v>0</v>
      </c>
      <c r="F17" s="747">
        <f>SUMIF(MAP!$E$956:$E$969,$B17,MAP!$N$956:$N$969)</f>
        <v>0</v>
      </c>
      <c r="G17" s="747">
        <f>SUMIF(MAP!$E$992:$E$1005,$B17,MAP!$N$992:$N$1005)</f>
        <v>0</v>
      </c>
      <c r="H17" s="747">
        <f>SUMIF(MAP!$E$1028:$E$1041,$B17,MAP!$N$1028:$N$1041)</f>
        <v>0</v>
      </c>
      <c r="I17" s="747">
        <f>SUMIF(MAP!$E$1064:$E$1077,$B17,MAP!$N$1064:$N$1077)</f>
        <v>0</v>
      </c>
      <c r="J17" s="747">
        <f>SUMIF(MAP!$E$1100:$E$1113,$B17,MAP!$N$1100:$N$1113)</f>
        <v>0</v>
      </c>
      <c r="K17" s="34">
        <f t="shared" si="1"/>
        <v>0</v>
      </c>
    </row>
    <row r="18" spans="1:14" x14ac:dyDescent="0.2">
      <c r="B18" s="34" t="s">
        <v>187</v>
      </c>
      <c r="C18" s="747">
        <f>SUMIF(MAP!$E$847:$E$861,$B18,MAP!$N$847:$N$861)</f>
        <v>0</v>
      </c>
      <c r="D18" s="747">
        <f>SUMIF(MAP!$E$884:$E$897,$B18,MAP!$N$884:$N$897)</f>
        <v>0</v>
      </c>
      <c r="E18" s="747">
        <f>SUMIF(MAP!$E$920:$E$933,$B18,MAP!$N$920:$N$933)</f>
        <v>0</v>
      </c>
      <c r="F18" s="747">
        <f>SUMIF(MAP!$E$956:$E$969,$B18,MAP!$N$956:$N$969)</f>
        <v>0</v>
      </c>
      <c r="G18" s="747">
        <f>SUMIF(MAP!$E$992:$E$1005,$B18,MAP!$N$992:$N$1005)</f>
        <v>0</v>
      </c>
      <c r="H18" s="747">
        <f>SUMIF(MAP!$E$1028:$E$1041,$B18,MAP!$N$1028:$N$1041)</f>
        <v>0</v>
      </c>
      <c r="I18" s="747">
        <f>SUMIF(MAP!$E$1064:$E$1077,$B18,MAP!$N$1064:$N$1077)</f>
        <v>0</v>
      </c>
      <c r="J18" s="747">
        <f>SUMIF(MAP!$E$1100:$E$1113,$B18,MAP!$N$1100:$N$1113)</f>
        <v>0</v>
      </c>
      <c r="K18" s="34">
        <f t="shared" si="1"/>
        <v>0</v>
      </c>
    </row>
    <row r="19" spans="1:14" x14ac:dyDescent="0.2">
      <c r="B19" s="34" t="s">
        <v>186</v>
      </c>
      <c r="C19" s="747">
        <f>SUMIF(MAP!$E$847:$E$861,$B19,MAP!$N$847:$N$861)</f>
        <v>0</v>
      </c>
      <c r="D19" s="747">
        <f>SUMIF(MAP!$E$884:$E$897,$B19,MAP!$N$884:$N$897)</f>
        <v>0</v>
      </c>
      <c r="E19" s="747">
        <f>SUMIF(MAP!$E$920:$E$933,$B19,MAP!$N$920:$N$933)</f>
        <v>0</v>
      </c>
      <c r="F19" s="747">
        <f>ROUND(SUMIF(MAP!$E$389:$E$406,$B19,MAP!$N$389:$N$406),0)</f>
        <v>0</v>
      </c>
      <c r="G19" s="747">
        <f>SUMIF(MAP!$E$992:$E$1005,$B19,MAP!$N$992:$N$1005)</f>
        <v>0</v>
      </c>
      <c r="H19" s="747">
        <f>SUMIF(MAP!$E$1028:$E$1041,$B19,MAP!$N$1028:$N$1041)</f>
        <v>0</v>
      </c>
      <c r="I19" s="747">
        <f>SUMIF(MAP!$E$1064:$E$1077,$B19,MAP!$N$1064:$N$1077)</f>
        <v>0</v>
      </c>
      <c r="J19" s="747">
        <f>SUMIF(MAP!$E$1100:$E$1113,$B19,MAP!$N$1100:$N$1113)</f>
        <v>0</v>
      </c>
      <c r="K19" s="34">
        <f t="shared" si="1"/>
        <v>0</v>
      </c>
    </row>
    <row r="20" spans="1:14" x14ac:dyDescent="0.2">
      <c r="A20" s="34" t="s">
        <v>1069</v>
      </c>
      <c r="B20" s="34" t="s">
        <v>188</v>
      </c>
      <c r="C20" s="747">
        <f>SUMIF(MAP!$E$847:$E$861,$B20,MAP!$N$847:$N$861)</f>
        <v>0</v>
      </c>
      <c r="D20" s="747">
        <f>SUMIF(MAP!$E$884:$E$897,$B20,MAP!$N$884:$N$897)</f>
        <v>0</v>
      </c>
      <c r="E20" s="747">
        <f>SUMIF(MAP!$E$920:$E$933,$B20,MAP!$N$920:$N$933)</f>
        <v>0</v>
      </c>
      <c r="F20" s="747">
        <f>SUMIF(MAP!$E$956:$E$969,$B20,MAP!$N$956:$N$969)</f>
        <v>0</v>
      </c>
      <c r="G20" s="747">
        <f>SUMIF(MAP!$E$992:$E$1005,$B20,MAP!$N$992:$N$1005)</f>
        <v>0</v>
      </c>
      <c r="H20" s="747">
        <f>SUMIF(MAP!$E$1028:$E$1041,$B20,MAP!$N$1028:$N$1041)</f>
        <v>0</v>
      </c>
      <c r="I20" s="747">
        <f>SUMIF(MAP!$E$1064:$E$1077,$B20,MAP!$N$1064:$N$1077)</f>
        <v>0</v>
      </c>
      <c r="J20" s="747">
        <f>SUMIF(MAP!$E$1100:$E$1113,$B20,MAP!$N$1100:$N$1113)</f>
        <v>0</v>
      </c>
      <c r="K20" s="34">
        <f t="shared" si="1"/>
        <v>0</v>
      </c>
    </row>
    <row r="21" spans="1:14" x14ac:dyDescent="0.2">
      <c r="A21" s="34" t="s">
        <v>1069</v>
      </c>
      <c r="B21" s="41" t="s">
        <v>192</v>
      </c>
      <c r="C21" s="747">
        <f>SUMIF(MAP!$E$847:$E$861,$B21,MAP!$N$847:$N$861)</f>
        <v>0</v>
      </c>
      <c r="D21" s="747">
        <f>SUMIF(MAP!$E$884:$E$897,$B21,MAP!$N$884:$N$897)</f>
        <v>0</v>
      </c>
      <c r="E21" s="747">
        <f>SUMIF(MAP!$E$920:$E$933,$B21,MAP!$N$920:$N$933)</f>
        <v>0</v>
      </c>
      <c r="F21" s="747">
        <f>SUMIF(MAP!$E$956:$E$969,$B21,MAP!$N$956:$N$969)</f>
        <v>0</v>
      </c>
      <c r="G21" s="747">
        <f>SUMIF(MAP!$E$992:$E$1005,$B21,MAP!$N$992:$N$1005)</f>
        <v>0</v>
      </c>
      <c r="H21" s="747">
        <f>SUMIF(MAP!$E$1028:$E$1041,$B21,MAP!$N$1028:$N$1041)</f>
        <v>0</v>
      </c>
      <c r="I21" s="747">
        <f>SUMIF(MAP!$E$1064:$E$1077,$B21,MAP!$N$1064:$N$1077)</f>
        <v>0</v>
      </c>
      <c r="J21" s="747">
        <f>SUMIF(MAP!$E$1100:$E$1113,$B21,MAP!$N$1100:$N$1113)</f>
        <v>0</v>
      </c>
      <c r="K21" s="34">
        <f t="shared" si="1"/>
        <v>0</v>
      </c>
    </row>
    <row r="22" spans="1:14" ht="25.5" x14ac:dyDescent="0.2">
      <c r="B22" s="41" t="s">
        <v>193</v>
      </c>
      <c r="C22" s="747">
        <f>SUMIF(MAP!$E$847:$E$861,$B22,MAP!$N$847:$N$861)</f>
        <v>0</v>
      </c>
      <c r="D22" s="747">
        <f>SUMIF(MAP!$E$884:$E$897,$B22,MAP!$N$884:$N$897)</f>
        <v>0</v>
      </c>
      <c r="E22" s="747">
        <f>SUMIF(MAP!$E$920:$E$933,$B22,MAP!$N$920:$N$933)</f>
        <v>0</v>
      </c>
      <c r="F22" s="747">
        <f>SUMIF(MAP!$E$956:$E$969,$B22,MAP!$N$956:$N$969)</f>
        <v>0</v>
      </c>
      <c r="G22" s="747">
        <f>SUMIF(MAP!$E$992:$E$1005,$B22,MAP!$N$992:$N$1005)</f>
        <v>0</v>
      </c>
      <c r="H22" s="747">
        <f>SUMIF(MAP!$E$1028:$E$1041,$B22,MAP!$N$1028:$N$1041)</f>
        <v>0</v>
      </c>
      <c r="I22" s="747">
        <f>SUMIF(MAP!$E$1064:$E$1077,$B22,MAP!$N$1064:$N$1077)</f>
        <v>0</v>
      </c>
      <c r="J22" s="747">
        <f>SUMIF(MAP!$E$1100:$E$1113,$B22,MAP!$N$1100:$N$1113)</f>
        <v>0</v>
      </c>
      <c r="K22" s="34">
        <f t="shared" si="1"/>
        <v>0</v>
      </c>
    </row>
    <row r="23" spans="1:14" x14ac:dyDescent="0.2">
      <c r="A23" s="34" t="s">
        <v>1069</v>
      </c>
      <c r="B23" s="34" t="s">
        <v>189</v>
      </c>
      <c r="C23" s="747">
        <f>SUMIF(MAP!$E$847:$E$861,$B23,MAP!$N$847:$N$861)</f>
        <v>0</v>
      </c>
      <c r="D23" s="747">
        <f>SUMIF(MAP!$E$884:$E$897,$B23,MAP!$N$884:$N$897)</f>
        <v>0</v>
      </c>
      <c r="E23" s="747">
        <f>SUMIF(MAP!$E$920:$E$933,$B23,MAP!$N$920:$N$933)</f>
        <v>0</v>
      </c>
      <c r="F23" s="747">
        <f>SUMIF(MAP!$E$956:$E$969,$B23,MAP!$N$956:$N$969)</f>
        <v>0</v>
      </c>
      <c r="G23" s="747">
        <f>SUMIF(MAP!$E$992:$E$1005,$B23,MAP!$N$992:$N$1005)</f>
        <v>0</v>
      </c>
      <c r="H23" s="747">
        <f>SUMIF(MAP!$E$1028:$E$1041,$B23,MAP!$N$1028:$N$1041)</f>
        <v>0</v>
      </c>
      <c r="I23" s="747">
        <f>SUMIF(MAP!$E$1064:$E$1077,$B23,MAP!$N$1064:$N$1077)</f>
        <v>0</v>
      </c>
      <c r="J23" s="747">
        <f>SUMIF(MAP!$E$1100:$E$1113,$B23,MAP!$N$1100:$N$1113)</f>
        <v>0</v>
      </c>
      <c r="K23" s="34">
        <f t="shared" si="1"/>
        <v>0</v>
      </c>
      <c r="M23" s="246"/>
      <c r="N23" s="46"/>
    </row>
    <row r="24" spans="1:14" ht="16.5" customHeight="1" x14ac:dyDescent="0.2">
      <c r="B24" s="166" t="str">
        <f>"At"&amp;Update!$B$22</f>
        <v>At 31 March 2026</v>
      </c>
      <c r="C24" s="97">
        <f>SUM(C14:C23)</f>
        <v>0</v>
      </c>
      <c r="D24" s="97">
        <f>SUM(D14:D23)</f>
        <v>148</v>
      </c>
      <c r="E24" s="97">
        <f t="shared" ref="E24:J24" si="2">SUM(E14:E23)</f>
        <v>0</v>
      </c>
      <c r="F24" s="97">
        <f t="shared" si="2"/>
        <v>63</v>
      </c>
      <c r="G24" s="97">
        <f t="shared" si="2"/>
        <v>0</v>
      </c>
      <c r="H24" s="97">
        <f t="shared" si="2"/>
        <v>0</v>
      </c>
      <c r="I24" s="97">
        <f t="shared" si="2"/>
        <v>0</v>
      </c>
      <c r="J24" s="97">
        <f t="shared" si="2"/>
        <v>0</v>
      </c>
      <c r="K24" s="97">
        <f>SUM(K14:K23)</f>
        <v>211</v>
      </c>
    </row>
    <row r="25" spans="1:14" x14ac:dyDescent="0.2">
      <c r="C25" s="204">
        <f>C24-MAP!N861</f>
        <v>0</v>
      </c>
      <c r="D25" s="204">
        <f>D24-MAP!$N$897</f>
        <v>0</v>
      </c>
      <c r="E25" s="204">
        <f>E24-MAP!$N$933</f>
        <v>0</v>
      </c>
      <c r="F25" s="204">
        <f>F24-MAP!$N$969</f>
        <v>0</v>
      </c>
      <c r="G25" s="204">
        <f>G24-MAP!$N$1005</f>
        <v>0</v>
      </c>
      <c r="H25" s="204">
        <f>H24-MAP!$N$1041</f>
        <v>0</v>
      </c>
      <c r="I25" s="204">
        <f>I24-MAP!$N$1067</f>
        <v>0</v>
      </c>
      <c r="J25" s="204">
        <f>J24-MAP!$N$1113</f>
        <v>0</v>
      </c>
    </row>
    <row r="26" spans="1:14" x14ac:dyDescent="0.2">
      <c r="B26" s="37" t="s">
        <v>161</v>
      </c>
      <c r="C26" s="37"/>
      <c r="D26" s="37"/>
      <c r="E26" s="37"/>
    </row>
    <row r="27" spans="1:14" ht="15" x14ac:dyDescent="0.2">
      <c r="B27" s="7" t="str">
        <f>"At"&amp;Update!$B$20&amp;" "</f>
        <v xml:space="preserve">At 1 April 2025 </v>
      </c>
      <c r="C27" s="747">
        <f>SUMIF(MAP!$E$862:$E$875,$B27,MAP!$N$862:$N$875)</f>
        <v>0</v>
      </c>
      <c r="D27" s="747">
        <f>SUMIF(MAP!$E$898:$E$911,$B27,MAP!$N$898:$N$911)</f>
        <v>47</v>
      </c>
      <c r="E27" s="747">
        <f>SUMIF(MAP!$E$934:$E$947,$B27,MAP!$N$934:$N$947)</f>
        <v>0</v>
      </c>
      <c r="F27" s="747">
        <f>SUMIF(MAP!$E$970:$E$983,$B27,MAP!$N$970:$N$983)</f>
        <v>63</v>
      </c>
      <c r="G27" s="747">
        <f>SUMIF(MAP!$E$1006:$E$1019,$B27,MAP!$N$1006:$N$1019)</f>
        <v>0</v>
      </c>
      <c r="H27" s="747">
        <f>SUMIF(MAP!$E$1042:$E$1055,$B27,MAP!$N$1042:$N$1055)</f>
        <v>0</v>
      </c>
      <c r="I27" s="747">
        <f>SUMIF(MAP!$E$1078:$E$1091,$B27,MAP!$N$1078:$N$1091)</f>
        <v>0</v>
      </c>
      <c r="J27" s="747">
        <f>SUMIF(MAP!$E$1114:$E$1127,$B27,MAP!$N$1114:$N$1127)</f>
        <v>0</v>
      </c>
      <c r="K27" s="34">
        <f>SUM(C27:J27)</f>
        <v>110</v>
      </c>
    </row>
    <row r="28" spans="1:14" x14ac:dyDescent="0.2">
      <c r="B28" s="34" t="s">
        <v>1417</v>
      </c>
      <c r="C28" s="747">
        <f>SUMIF(MAP!$E$862:$E$875,$B28,MAP!$N$862:$N$875)</f>
        <v>0</v>
      </c>
      <c r="D28" s="747">
        <f>SUMIF(MAP!$E$898:$E$911,$B28,MAP!$N$898:$N$911)</f>
        <v>0</v>
      </c>
      <c r="E28" s="747">
        <f>SUMIF(MAP!$E$934:$E$947,$B28,MAP!$N$934:$N$947)</f>
        <v>0</v>
      </c>
      <c r="F28" s="747">
        <f>SUMIF(MAP!$E$970:$E$983,$B28,MAP!$N$970:$N$983)</f>
        <v>0</v>
      </c>
      <c r="G28" s="747">
        <f>SUMIF(MAP!$E$1006:$E$1019,$B28,MAP!$N$1006:$N$1019)</f>
        <v>0</v>
      </c>
      <c r="H28" s="747">
        <f>SUMIF(MAP!$E$1042:$E$1055,$B28,MAP!$N$1042:$N$1055)</f>
        <v>0</v>
      </c>
      <c r="I28" s="747">
        <f>SUMIF(MAP!$E$1078:$E$1091,$B28,MAP!$N$1078:$N$1091)</f>
        <v>0</v>
      </c>
      <c r="J28" s="747">
        <f>SUMIF(MAP!$E$1114:$E$1127,$B28,MAP!$N$1114:$N$1127)</f>
        <v>0</v>
      </c>
      <c r="K28" s="34">
        <f>SUM(C28:J28)</f>
        <v>0</v>
      </c>
    </row>
    <row r="29" spans="1:14" x14ac:dyDescent="0.2">
      <c r="B29" s="34" t="s">
        <v>442</v>
      </c>
      <c r="C29" s="98">
        <f>SUM(C27:C28)</f>
        <v>0</v>
      </c>
      <c r="D29" s="98">
        <f>SUM(D27:D28)</f>
        <v>47</v>
      </c>
      <c r="E29" s="98">
        <f t="shared" ref="E29:J29" si="3">SUM(E27:E28)</f>
        <v>0</v>
      </c>
      <c r="F29" s="98">
        <f t="shared" si="3"/>
        <v>63</v>
      </c>
      <c r="G29" s="98">
        <f t="shared" si="3"/>
        <v>0</v>
      </c>
      <c r="H29" s="98">
        <f t="shared" si="3"/>
        <v>0</v>
      </c>
      <c r="I29" s="98">
        <f t="shared" si="3"/>
        <v>0</v>
      </c>
      <c r="J29" s="98">
        <f t="shared" si="3"/>
        <v>0</v>
      </c>
      <c r="K29" s="98">
        <f>SUM(K27:K27)</f>
        <v>110</v>
      </c>
      <c r="M29" s="246">
        <f>SUM(C29:J29)-SUM(K27:K28)</f>
        <v>0</v>
      </c>
    </row>
    <row r="30" spans="1:14" x14ac:dyDescent="0.2">
      <c r="B30" s="34" t="s">
        <v>1409</v>
      </c>
      <c r="C30" s="747">
        <f>SUMIF(MAP!$E$862:$E$875,$B30,MAP!$N$862:$N$875)</f>
        <v>0</v>
      </c>
      <c r="D30" s="747">
        <f>SUMIF(MAP!$E$898:$E$911,$B30,MAP!$N$898:$N$911)</f>
        <v>0</v>
      </c>
      <c r="E30" s="747">
        <f>SUMIF(MAP!$E$934:$E$947,$B30,MAP!$N$934:$N$947)</f>
        <v>0</v>
      </c>
      <c r="F30" s="747">
        <f>SUMIF(MAP!$E$970:$E$983,$B30,MAP!$N$970:$N$983)</f>
        <v>0</v>
      </c>
      <c r="G30" s="747">
        <f>SUMIF(MAP!$E$1006:$E$1019,$B30,MAP!$N$1006:$N$1019)</f>
        <v>0</v>
      </c>
      <c r="H30" s="747">
        <f>SUMIF(MAP!$E$1042:$E$1055,$B30,MAP!$N$1042:$N$1055)</f>
        <v>0</v>
      </c>
      <c r="I30" s="747">
        <f>SUMIF(MAP!$E$1078:$E$1091,$B30,MAP!$N$1078:$N$1091)</f>
        <v>0</v>
      </c>
      <c r="J30" s="747">
        <f>SUMIF(MAP!$E$1114:$E$1127,$B30,MAP!$N$1114:$N$1127)</f>
        <v>0</v>
      </c>
      <c r="K30" s="34">
        <f t="shared" ref="K30:K38" si="4">SUM(C30:J30)</f>
        <v>0</v>
      </c>
    </row>
    <row r="31" spans="1:14" x14ac:dyDescent="0.2">
      <c r="B31" s="34" t="s">
        <v>457</v>
      </c>
      <c r="C31" s="747">
        <f>SUMIF(MAP!$E$862:$E$875,$B31,MAP!$N$862:$N$875)</f>
        <v>0</v>
      </c>
      <c r="D31" s="747">
        <f>SUMIF(MAP!$E$898:$E$911,$B31,MAP!$N$898:$N$911)</f>
        <v>0</v>
      </c>
      <c r="E31" s="747">
        <f>SUMIF(MAP!$E$934:$E$947,$B31,MAP!$N$934:$N$947)</f>
        <v>0</v>
      </c>
      <c r="F31" s="747">
        <f>SUMIF(MAP!$E$970:$E$983,$B31,MAP!$N$970:$N$983)</f>
        <v>0</v>
      </c>
      <c r="G31" s="747">
        <f>SUMIF(MAP!$E$1006:$E$1019,$B31,MAP!$N$1006:$N$1019)</f>
        <v>0</v>
      </c>
      <c r="H31" s="747">
        <f>SUMIF(MAP!$E$1042:$E$1055,$B31,MAP!$N$1042:$N$1055)</f>
        <v>0</v>
      </c>
      <c r="I31" s="747">
        <f>SUMIF(MAP!$E$1078:$E$1091,$B31,MAP!$N$1078:$N$1091)</f>
        <v>0</v>
      </c>
      <c r="J31" s="747">
        <f>SUMIF(MAP!$E$1114:$E$1127,$B31,MAP!$N$1114:$N$1127)</f>
        <v>0</v>
      </c>
      <c r="K31" s="34">
        <f t="shared" si="4"/>
        <v>0</v>
      </c>
    </row>
    <row r="32" spans="1:14" x14ac:dyDescent="0.2">
      <c r="B32" s="34" t="s">
        <v>867</v>
      </c>
      <c r="C32" s="747">
        <f>SUMIF(MAP!$E$862:$E$875,$B32,MAP!$N$862:$N$875)</f>
        <v>0</v>
      </c>
      <c r="D32" s="747">
        <f>SUMIF(MAP!$E$898:$E$911,$B32,MAP!$N$898:$N$911)</f>
        <v>0</v>
      </c>
      <c r="E32" s="747">
        <f>SUMIF(MAP!$E$934:$E$947,$B32,MAP!$N$934:$N$947)</f>
        <v>0</v>
      </c>
      <c r="F32" s="747">
        <f>SUMIF(MAP!$E$970:$E$983,$B32,MAP!$N$970:$N$983)</f>
        <v>0</v>
      </c>
      <c r="G32" s="747">
        <f>SUMIF(MAP!$E$1006:$E$1019,$B32,MAP!$N$1006:$N$1019)</f>
        <v>0</v>
      </c>
      <c r="H32" s="747">
        <f>SUMIF(MAP!$E$1042:$E$1055,$B32,MAP!$N$1042:$N$1055)</f>
        <v>0</v>
      </c>
      <c r="I32" s="747">
        <f>SUMIF(MAP!$E$1078:$E$1091,$B32,MAP!$N$1078:$N$1091)</f>
        <v>0</v>
      </c>
      <c r="J32" s="747">
        <f>SUMIF(MAP!$E$1114:$E$1127,$B32,MAP!$N$1114:$N$1127)</f>
        <v>0</v>
      </c>
      <c r="K32" s="34">
        <f>SUM(C32:J32)</f>
        <v>0</v>
      </c>
    </row>
    <row r="33" spans="1:13" x14ac:dyDescent="0.2">
      <c r="B33" s="34" t="s">
        <v>863</v>
      </c>
      <c r="C33" s="747">
        <f>SUMIF(MAP!$E$862:$E$875,$B33,MAP!$N$862:$N$875)</f>
        <v>0</v>
      </c>
      <c r="D33" s="747">
        <f>SUMIF(MAP!$E$898:$E$911,$B33,MAP!$N$898:$N$911)</f>
        <v>0</v>
      </c>
      <c r="E33" s="747">
        <f>SUMIF(MAP!$E$934:$E$947,$B33,MAP!$N$934:$N$947)</f>
        <v>0</v>
      </c>
      <c r="F33" s="747">
        <f>SUMIF(MAP!$E$970:$E$983,$B33,MAP!$N$970:$N$983)</f>
        <v>0</v>
      </c>
      <c r="G33" s="747">
        <f>SUMIF(MAP!$E$1006:$E$1019,$B33,MAP!$N$1006:$N$1019)</f>
        <v>0</v>
      </c>
      <c r="H33" s="747">
        <f>SUMIF(MAP!$E$1042:$E$1055,$B33,MAP!$N$1042:$N$1055)</f>
        <v>0</v>
      </c>
      <c r="I33" s="747">
        <f>SUMIF(MAP!$E$1078:$E$1091,$B33,MAP!$N$1078:$N$1091)</f>
        <v>0</v>
      </c>
      <c r="J33" s="747">
        <f>SUMIF(MAP!$E$1114:$E$1127,$B33,MAP!$N$1114:$N$1127)</f>
        <v>0</v>
      </c>
      <c r="K33" s="34">
        <f t="shared" si="4"/>
        <v>0</v>
      </c>
    </row>
    <row r="34" spans="1:13" x14ac:dyDescent="0.2">
      <c r="A34" s="34" t="s">
        <v>1069</v>
      </c>
      <c r="B34" s="34" t="s">
        <v>868</v>
      </c>
      <c r="C34" s="747">
        <f>SUMIF(MAP!$E$862:$E$875,$B34,MAP!$N$862:$N$875)</f>
        <v>0</v>
      </c>
      <c r="D34" s="747">
        <f>SUMIF(MAP!$E$898:$E$911,$B34,MAP!$N$898:$N$911)</f>
        <v>0</v>
      </c>
      <c r="E34" s="747">
        <f>SUMIF(MAP!$E$934:$E$947,$B34,MAP!$N$934:$N$947)</f>
        <v>0</v>
      </c>
      <c r="F34" s="747">
        <f>SUMIF(MAP!$E$970:$E$983,$B34,MAP!$N$970:$N$983)</f>
        <v>0</v>
      </c>
      <c r="G34" s="747">
        <f>SUMIF(MAP!$E$1006:$E$1019,$B34,MAP!$N$1006:$N$1019)</f>
        <v>0</v>
      </c>
      <c r="H34" s="747">
        <f>SUMIF(MAP!$E$1042:$E$1055,$B34,MAP!$N$1042:$N$1055)</f>
        <v>0</v>
      </c>
      <c r="I34" s="747">
        <f>SUMIF(MAP!$E$1078:$E$1091,$B34,MAP!$N$1078:$N$1091)</f>
        <v>0</v>
      </c>
      <c r="J34" s="747">
        <f>SUMIF(MAP!$E$1114:$E$1127,$B34,MAP!$N$1114:$N$1127)</f>
        <v>0</v>
      </c>
      <c r="K34" s="34">
        <f>SUM(C34:J34)</f>
        <v>0</v>
      </c>
    </row>
    <row r="35" spans="1:13" x14ac:dyDescent="0.2">
      <c r="B35" s="34" t="s">
        <v>875</v>
      </c>
      <c r="C35" s="747">
        <f>SUMIF(MAP!$E$862:$E$875,$B35,MAP!$N$862:$N$875)</f>
        <v>0</v>
      </c>
      <c r="D35" s="747">
        <f>SUMIF(MAP!$E$898:$E$911,$B35,MAP!$N$898:$N$911)</f>
        <v>0</v>
      </c>
      <c r="E35" s="747">
        <f>SUMIF(MAP!$E$934:$E$947,$B35,MAP!$N$934:$N$947)</f>
        <v>0</v>
      </c>
      <c r="F35" s="747">
        <f>SUMIF(MAP!$E$970:$E$983,$B35,MAP!$N$970:$N$983)</f>
        <v>0</v>
      </c>
      <c r="G35" s="747">
        <f>SUMIF(MAP!$E$1006:$E$1019,$B35,MAP!$N$1006:$N$1019)</f>
        <v>0</v>
      </c>
      <c r="H35" s="747">
        <f>SUMIF(MAP!$E$1042:$E$1055,$B35,MAP!$N$1042:$N$1055)</f>
        <v>0</v>
      </c>
      <c r="I35" s="747">
        <f>SUMIF(MAP!$E$1078:$E$1091,$B35,MAP!$N$1078:$N$1091)</f>
        <v>0</v>
      </c>
      <c r="J35" s="747">
        <f>SUMIF(MAP!$E$1114:$E$1127,$B35,MAP!$N$1114:$N$1127)</f>
        <v>0</v>
      </c>
      <c r="K35" s="34">
        <f t="shared" si="4"/>
        <v>0</v>
      </c>
    </row>
    <row r="36" spans="1:13" x14ac:dyDescent="0.2">
      <c r="A36" s="34" t="s">
        <v>1069</v>
      </c>
      <c r="B36" s="41" t="s">
        <v>1415</v>
      </c>
      <c r="C36" s="747">
        <f>SUMIF(MAP!$E$862:$E$875,$B36,MAP!$N$862:$N$875)</f>
        <v>0</v>
      </c>
      <c r="D36" s="747">
        <f>SUMIF(MAP!$E$898:$E$911,$B36,MAP!$N$898:$N$911)</f>
        <v>0</v>
      </c>
      <c r="E36" s="747">
        <f>SUMIF(MAP!$E$934:$E$947,$B36,MAP!$N$934:$N$947)</f>
        <v>0</v>
      </c>
      <c r="F36" s="747">
        <f>SUMIF(MAP!$E$970:$E$983,$B36,MAP!$N$970:$N$983)</f>
        <v>0</v>
      </c>
      <c r="G36" s="747">
        <f>SUMIF(MAP!$E$1006:$E$1019,$B36,MAP!$N$1006:$N$1019)</f>
        <v>0</v>
      </c>
      <c r="H36" s="747">
        <f>SUMIF(MAP!$E$1042:$E$1055,$B36,MAP!$N$1042:$N$1055)</f>
        <v>0</v>
      </c>
      <c r="I36" s="747">
        <f>SUMIF(MAP!$E$1078:$E$1091,$B36,MAP!$N$1078:$N$1091)</f>
        <v>0</v>
      </c>
      <c r="J36" s="747">
        <f>SUMIF(MAP!$E$1114:$E$1127,$B36,MAP!$N$1114:$N$1127)</f>
        <v>0</v>
      </c>
      <c r="K36" s="34">
        <f t="shared" si="4"/>
        <v>0</v>
      </c>
    </row>
    <row r="37" spans="1:13" ht="25.5" x14ac:dyDescent="0.2">
      <c r="B37" s="41" t="s">
        <v>1410</v>
      </c>
      <c r="C37" s="747">
        <f>SUMIF(MAP!$E$862:$E$875,$B37,MAP!$N$862:$N$875)</f>
        <v>0</v>
      </c>
      <c r="D37" s="747">
        <f>SUMIF(MAP!$E$898:$E$911,$B37,MAP!$N$898:$N$911)</f>
        <v>0</v>
      </c>
      <c r="E37" s="747">
        <f>SUMIF(MAP!$E$934:$E$947,$B37,MAP!$N$934:$N$947)</f>
        <v>0</v>
      </c>
      <c r="F37" s="747">
        <f>SUMIF(MAP!$E$970:$E$983,$B37,MAP!$N$970:$N$983)</f>
        <v>0</v>
      </c>
      <c r="G37" s="747">
        <f>SUMIF(MAP!$E$1006:$E$1019,$B37,MAP!$N$1006:$N$1019)</f>
        <v>0</v>
      </c>
      <c r="H37" s="747">
        <f>SUMIF(MAP!$E$1042:$E$1055,$B37,MAP!$N$1042:$N$1055)</f>
        <v>0</v>
      </c>
      <c r="I37" s="747">
        <f>SUMIF(MAP!$E$1078:$E$1091,$B37,MAP!$N$1078:$N$1091)</f>
        <v>0</v>
      </c>
      <c r="J37" s="747">
        <f>SUMIF(MAP!$E$1114:$E$1127,$B37,MAP!$N$1114:$N$1127)</f>
        <v>0</v>
      </c>
      <c r="K37" s="34">
        <f t="shared" si="4"/>
        <v>0</v>
      </c>
    </row>
    <row r="38" spans="1:13" x14ac:dyDescent="0.2">
      <c r="A38" s="34" t="s">
        <v>1069</v>
      </c>
      <c r="B38" s="34" t="s">
        <v>1416</v>
      </c>
      <c r="C38" s="747">
        <f>SUMIF(MAP!$E$862:$E$875,$B38,MAP!$N$862:$N$875)</f>
        <v>0</v>
      </c>
      <c r="D38" s="747">
        <f>SUMIF(MAP!$E$898:$E$911,$B38,MAP!$N$898:$N$911)</f>
        <v>0</v>
      </c>
      <c r="E38" s="747">
        <f>SUMIF(MAP!$E$934:$E$947,$B38,MAP!$N$934:$N$947)</f>
        <v>0</v>
      </c>
      <c r="F38" s="747">
        <f>SUMIF(MAP!$E$970:$E$983,$B38,MAP!$N$970:$N$983)</f>
        <v>0</v>
      </c>
      <c r="G38" s="747">
        <f>SUMIF(MAP!$E$1006:$E$1019,$B38,MAP!$N$1006:$N$1019)</f>
        <v>0</v>
      </c>
      <c r="H38" s="747">
        <f>SUMIF(MAP!$E$1042:$E$1055,$B38,MAP!$N$1042:$N$1055)</f>
        <v>0</v>
      </c>
      <c r="I38" s="747">
        <f>SUMIF(MAP!$E$1078:$E$1091,$B38,MAP!$N$1078:$N$1091)</f>
        <v>0</v>
      </c>
      <c r="J38" s="747">
        <f>SUMIF(MAP!$E$1114:$E$1127,$B38,MAP!$N$1114:$N$1127)</f>
        <v>0</v>
      </c>
      <c r="K38" s="34">
        <f t="shared" si="4"/>
        <v>0</v>
      </c>
    </row>
    <row r="39" spans="1:13" ht="18.95" customHeight="1" x14ac:dyDescent="0.2">
      <c r="B39" s="166" t="str">
        <f>"At"&amp;Update!$B$22</f>
        <v>At 31 March 2026</v>
      </c>
      <c r="C39" s="97">
        <f>SUM(C29:C38)</f>
        <v>0</v>
      </c>
      <c r="D39" s="97">
        <f>SUM(D29:D38)</f>
        <v>47</v>
      </c>
      <c r="E39" s="97">
        <f t="shared" ref="E39:J39" si="5">SUM(E29:E38)</f>
        <v>0</v>
      </c>
      <c r="F39" s="97">
        <f t="shared" si="5"/>
        <v>63</v>
      </c>
      <c r="G39" s="97">
        <f t="shared" si="5"/>
        <v>0</v>
      </c>
      <c r="H39" s="97">
        <f t="shared" si="5"/>
        <v>0</v>
      </c>
      <c r="I39" s="97">
        <f t="shared" si="5"/>
        <v>0</v>
      </c>
      <c r="J39" s="97">
        <f t="shared" si="5"/>
        <v>0</v>
      </c>
      <c r="K39" s="97">
        <f>SUM(K29:K38)</f>
        <v>110</v>
      </c>
    </row>
    <row r="40" spans="1:13" x14ac:dyDescent="0.2">
      <c r="C40" s="204">
        <f>C39-MAP!$N$875</f>
        <v>0</v>
      </c>
      <c r="D40" s="204">
        <f>D39-MAP!$N$911</f>
        <v>0</v>
      </c>
      <c r="E40" s="204">
        <f>E39-MAP!$N$947</f>
        <v>0</v>
      </c>
      <c r="F40" s="204">
        <f>F39-MAP!$N$983</f>
        <v>0</v>
      </c>
      <c r="G40" s="204">
        <f>G39-MAP!$N$1019</f>
        <v>0</v>
      </c>
      <c r="H40" s="204">
        <f>H39-MAP!$N$1055</f>
        <v>0</v>
      </c>
      <c r="I40" s="204">
        <f>I39-MAP!$N$1091</f>
        <v>0</v>
      </c>
      <c r="J40" s="204">
        <f>J39-MAP!$N$1127</f>
        <v>0</v>
      </c>
      <c r="K40" s="232"/>
    </row>
    <row r="41" spans="1:13" ht="13.5" thickBot="1" x14ac:dyDescent="0.25">
      <c r="B41" s="37" t="str">
        <f>"Carrying amount at"&amp;Update!$B$22</f>
        <v>Carrying amount at 31 March 2026</v>
      </c>
      <c r="C41" s="233">
        <f>C24-C39</f>
        <v>0</v>
      </c>
      <c r="D41" s="233">
        <f>D24-D39</f>
        <v>101</v>
      </c>
      <c r="E41" s="233">
        <f t="shared" ref="E41:J41" si="6">E24-E39</f>
        <v>0</v>
      </c>
      <c r="F41" s="233">
        <f t="shared" si="6"/>
        <v>0</v>
      </c>
      <c r="G41" s="233">
        <f t="shared" si="6"/>
        <v>0</v>
      </c>
      <c r="H41" s="233">
        <f t="shared" si="6"/>
        <v>0</v>
      </c>
      <c r="I41" s="233">
        <f t="shared" si="6"/>
        <v>0</v>
      </c>
      <c r="J41" s="233">
        <f t="shared" si="6"/>
        <v>0</v>
      </c>
      <c r="K41" s="233">
        <f>K24-K39</f>
        <v>101</v>
      </c>
    </row>
    <row r="42" spans="1:13" x14ac:dyDescent="0.2">
      <c r="B42" s="37"/>
      <c r="C42" s="167"/>
      <c r="D42" s="167"/>
      <c r="E42" s="167"/>
      <c r="F42" s="167"/>
      <c r="G42" s="167"/>
      <c r="H42" s="167"/>
      <c r="I42" s="167"/>
      <c r="J42" s="167"/>
      <c r="K42" s="167"/>
    </row>
    <row r="43" spans="1:13" x14ac:dyDescent="0.2">
      <c r="B43" s="37" t="str">
        <f>"Carrying amount at"&amp;Update!$B$24</f>
        <v>Carrying amount at 31 March 2025</v>
      </c>
      <c r="C43" s="44">
        <f>C14-C27</f>
        <v>0</v>
      </c>
      <c r="D43" s="44">
        <f>D14-D27</f>
        <v>101</v>
      </c>
      <c r="E43" s="44">
        <f t="shared" ref="E43:J43" si="7">E14-E27</f>
        <v>0</v>
      </c>
      <c r="F43" s="44">
        <f t="shared" si="7"/>
        <v>0</v>
      </c>
      <c r="G43" s="44">
        <f t="shared" si="7"/>
        <v>0</v>
      </c>
      <c r="H43" s="44">
        <f t="shared" si="7"/>
        <v>0</v>
      </c>
      <c r="I43" s="44">
        <f t="shared" si="7"/>
        <v>0</v>
      </c>
      <c r="J43" s="44">
        <f t="shared" si="7"/>
        <v>0</v>
      </c>
      <c r="K43" s="44">
        <f>K14-K27</f>
        <v>101</v>
      </c>
      <c r="M43" s="74"/>
    </row>
    <row r="44" spans="1:13" x14ac:dyDescent="0.2">
      <c r="B44" s="37"/>
      <c r="C44" s="37"/>
      <c r="D44" s="37"/>
      <c r="E44" s="37"/>
      <c r="M44" s="74"/>
    </row>
    <row r="45" spans="1:13" x14ac:dyDescent="0.2">
      <c r="B45" s="37" t="s">
        <v>194</v>
      </c>
      <c r="L45" s="74"/>
    </row>
    <row r="46" spans="1:13" x14ac:dyDescent="0.2">
      <c r="B46" s="148" t="s">
        <v>197</v>
      </c>
      <c r="C46" s="747" t="e">
        <f>SUMIF(MAP!$E$878:$E$883,$B46,MAP!$N$878:$N$883)</f>
        <v>#VALUE!</v>
      </c>
      <c r="D46" s="747">
        <f>SUMIF(MAP!$E$914:$E$919,$B46,MAP!$N$914:$N$919)</f>
        <v>101</v>
      </c>
      <c r="E46" s="747" t="e">
        <f>SUMIF(MAP!$E$950:$E$955,$B46,MAP!$N$950:$N$955)</f>
        <v>#VALUE!</v>
      </c>
      <c r="F46" s="747">
        <f>SUMIF(MAP!$E$986:$E$991,$B46,MAP!$N$986:$N$991)</f>
        <v>0</v>
      </c>
      <c r="G46" s="747" t="e">
        <f>SUMIF(MAP!$E$1022:$E$1027,$B46,MAP!$N$1022:$N$1027)</f>
        <v>#VALUE!</v>
      </c>
      <c r="H46" s="747" t="e">
        <f>SUMIF(MAP!$E$1058:$E$1063,$B46,MAP!$N$1058:$N$1063)</f>
        <v>#VALUE!</v>
      </c>
      <c r="I46" s="747" t="e">
        <f>SUMIF(MAP!$E$1094:$E$1099,$B46,MAP!$N$1094:$N$1099)</f>
        <v>#VALUE!</v>
      </c>
      <c r="J46" s="747" t="e">
        <f>SUMIF(MAP!$E$1130:$E$1135,$B46,MAP!$N$1130:$N$1135)</f>
        <v>#VALUE!</v>
      </c>
      <c r="K46" s="34" t="e">
        <f>SUM(C46:J46)</f>
        <v>#VALUE!</v>
      </c>
      <c r="L46" s="74"/>
    </row>
    <row r="47" spans="1:13" x14ac:dyDescent="0.2">
      <c r="B47" s="148" t="s">
        <v>198</v>
      </c>
      <c r="C47" s="747" t="e">
        <f>SUMIF(MAP!$E$878:$E$883,$B47,MAP!$N$878:$N$883)</f>
        <v>#VALUE!</v>
      </c>
      <c r="D47" s="747" t="e">
        <f>SUMIF(MAP!$E$914:$E$919,$B47,MAP!$N$914:$N$919)</f>
        <v>#VALUE!</v>
      </c>
      <c r="E47" s="747" t="e">
        <f>SUMIF(MAP!$E$950:$E$955,$B47,MAP!$N$950:$N$955)</f>
        <v>#VALUE!</v>
      </c>
      <c r="F47" s="747">
        <f>SUMIF(MAP!$E$986:$E$991,$B47,MAP!$N$986:$N$991)</f>
        <v>0</v>
      </c>
      <c r="G47" s="747" t="e">
        <f>SUMIF(MAP!$E$1022:$E$1027,$B47,MAP!$N$1022:$N$1027)</f>
        <v>#VALUE!</v>
      </c>
      <c r="H47" s="747" t="e">
        <f>SUMIF(MAP!$E$1058:$E$1063,$B47,MAP!$N$1058:$N$1063)</f>
        <v>#VALUE!</v>
      </c>
      <c r="I47" s="747" t="e">
        <f>SUMIF(MAP!$E$1094:$E$1099,$B47,MAP!$N$1094:$N$1099)</f>
        <v>#VALUE!</v>
      </c>
      <c r="J47" s="747" t="e">
        <f>SUMIF(MAP!$E$1130:$E$1135,$B47,MAP!$N$1130:$N$1135)</f>
        <v>#VALUE!</v>
      </c>
      <c r="K47" s="34" t="e">
        <f>SUM(C47:J47)</f>
        <v>#VALUE!</v>
      </c>
      <c r="L47" s="74"/>
    </row>
    <row r="48" spans="1:13" ht="25.5" x14ac:dyDescent="0.2">
      <c r="B48" s="148" t="s">
        <v>199</v>
      </c>
      <c r="C48" s="747">
        <f>SUMIF(MAP!$E$878:$E$883,$B48,MAP!$N$878:$N$883)</f>
        <v>0</v>
      </c>
      <c r="D48" s="747">
        <f>SUMIF(MAP!$E$914:$E$919,$B48,MAP!$N$914:$N$919)</f>
        <v>0</v>
      </c>
      <c r="E48" s="747">
        <f>SUMIF(MAP!$E$950:$E$955,$B48,MAP!$N$950:$N$955)</f>
        <v>0</v>
      </c>
      <c r="F48" s="747">
        <f>SUMIF(MAP!$E$986:$E$991,$B48,MAP!$N$986:$N$991)</f>
        <v>0</v>
      </c>
      <c r="G48" s="747" t="e">
        <f>SUMIF(MAP!$E$1022:$E$1027,$B48,MAP!$N$1022:$N$1027)</f>
        <v>#VALUE!</v>
      </c>
      <c r="H48" s="747">
        <f>SUMIF(MAP!$E$1058:$E$1063,$B48,MAP!$N$1058:$N$1063)</f>
        <v>0</v>
      </c>
      <c r="I48" s="747">
        <f>SUMIF(MAP!$E$1094:$E$1099,$B48,MAP!$N$1094:$N$1099)</f>
        <v>0</v>
      </c>
      <c r="J48" s="747">
        <f>SUMIF(MAP!$E$1130:$E$1135,$B48,MAP!$N$1130:$N$1135)</f>
        <v>0</v>
      </c>
      <c r="K48" s="34" t="e">
        <f>SUM(C48:J48)</f>
        <v>#VALUE!</v>
      </c>
      <c r="L48" s="74"/>
    </row>
    <row r="49" spans="1:13" x14ac:dyDescent="0.2">
      <c r="B49" s="148" t="s">
        <v>1695</v>
      </c>
      <c r="C49" s="747" t="e">
        <f>SUMIF(MAP!$E$878:$E$883,$B49,MAP!$N$878:$N$883)</f>
        <v>#VALUE!</v>
      </c>
      <c r="D49" s="747">
        <f>SUMIF(MAP!$E$914:$E$919,$B49,MAP!$N$914:$N$919)</f>
        <v>0</v>
      </c>
      <c r="E49" s="747" t="e">
        <f>SUMIF(MAP!$E$950:$E$955,$B49,MAP!$N$950:$N$955)</f>
        <v>#VALUE!</v>
      </c>
      <c r="F49" s="747">
        <f>SUMIF(MAP!$E$986:$E$991,$B49,MAP!$N$986:$N$991)</f>
        <v>0</v>
      </c>
      <c r="G49" s="747" t="e">
        <f>SUMIF(MAP!$E$1022:$E$1027,$B49,MAP!$N$1022:$N$1027)</f>
        <v>#VALUE!</v>
      </c>
      <c r="H49" s="747" t="e">
        <f>SUMIF(MAP!$E$1058:$E$1063,$B49,MAP!$N$1058:$N$1063)</f>
        <v>#VALUE!</v>
      </c>
      <c r="I49" s="747" t="e">
        <f>SUMIF(MAP!$E$1094:$E$1099,$B49,MAP!$N$1094:$N$1099)</f>
        <v>#VALUE!</v>
      </c>
      <c r="J49" s="747" t="e">
        <f>SUMIF(MAP!$E$1130:$E$1135,$B49,MAP!$N$1130:$N$1135)</f>
        <v>#VALUE!</v>
      </c>
      <c r="K49" s="34" t="e">
        <f>SUM(C49:J49)</f>
        <v>#VALUE!</v>
      </c>
      <c r="L49" s="74"/>
    </row>
    <row r="50" spans="1:13" ht="13.5" thickBot="1" x14ac:dyDescent="0.25">
      <c r="B50" s="37" t="str">
        <f>"Carrying amount at"&amp;Update!$B$22</f>
        <v>Carrying amount at 31 March 2026</v>
      </c>
      <c r="C50" s="54" t="e">
        <f>SUM(C46:C49)</f>
        <v>#VALUE!</v>
      </c>
      <c r="D50" s="54" t="e">
        <f t="shared" ref="D50:J50" si="8">SUM(D46:D49)</f>
        <v>#VALUE!</v>
      </c>
      <c r="E50" s="54" t="e">
        <f t="shared" si="8"/>
        <v>#VALUE!</v>
      </c>
      <c r="F50" s="54">
        <f t="shared" si="8"/>
        <v>0</v>
      </c>
      <c r="G50" s="54" t="e">
        <f t="shared" si="8"/>
        <v>#VALUE!</v>
      </c>
      <c r="H50" s="54" t="e">
        <f t="shared" si="8"/>
        <v>#VALUE!</v>
      </c>
      <c r="I50" s="54" t="e">
        <f t="shared" si="8"/>
        <v>#VALUE!</v>
      </c>
      <c r="J50" s="54" t="e">
        <f t="shared" si="8"/>
        <v>#VALUE!</v>
      </c>
      <c r="K50" s="54" t="e">
        <f>SUM(K46:K49)</f>
        <v>#VALUE!</v>
      </c>
      <c r="L50" s="74"/>
    </row>
    <row r="51" spans="1:13" x14ac:dyDescent="0.2">
      <c r="B51" s="37"/>
      <c r="C51" s="234" t="e">
        <f>C41-C50</f>
        <v>#VALUE!</v>
      </c>
      <c r="D51" s="234" t="e">
        <f t="shared" ref="D51:K51" si="9">D41-D50</f>
        <v>#VALUE!</v>
      </c>
      <c r="E51" s="234" t="e">
        <f t="shared" si="9"/>
        <v>#VALUE!</v>
      </c>
      <c r="F51" s="234">
        <f>F41-F50</f>
        <v>0</v>
      </c>
      <c r="G51" s="234" t="e">
        <f t="shared" si="9"/>
        <v>#VALUE!</v>
      </c>
      <c r="H51" s="234" t="e">
        <f t="shared" si="9"/>
        <v>#VALUE!</v>
      </c>
      <c r="I51" s="234" t="e">
        <f t="shared" si="9"/>
        <v>#VALUE!</v>
      </c>
      <c r="J51" s="234" t="e">
        <f t="shared" si="9"/>
        <v>#VALUE!</v>
      </c>
      <c r="K51" s="234" t="e">
        <f t="shared" si="9"/>
        <v>#VALUE!</v>
      </c>
      <c r="L51" s="74"/>
    </row>
    <row r="52" spans="1:13" ht="28.7" customHeight="1" x14ac:dyDescent="0.2">
      <c r="B52" s="37"/>
      <c r="C52" s="96"/>
      <c r="D52" s="96"/>
      <c r="E52" s="96"/>
      <c r="F52" s="96"/>
      <c r="G52" s="96"/>
      <c r="H52" s="96"/>
      <c r="I52" s="96"/>
      <c r="J52" s="96"/>
      <c r="K52" s="96"/>
      <c r="M52" s="74"/>
    </row>
    <row r="53" spans="1:13" x14ac:dyDescent="0.2">
      <c r="A53" s="229">
        <f>SUMIF(Update!$B$33:$B$106,B53,Update!$A$33:$A$106)</f>
        <v>6.1999999999999993</v>
      </c>
      <c r="B53" s="37" t="str">
        <f>"Consolidated intangible assets "&amp;Update!$B$15</f>
        <v>Consolidated intangible assets 2024-25</v>
      </c>
      <c r="C53" s="37"/>
      <c r="D53" s="37"/>
      <c r="E53" s="37"/>
      <c r="M53" s="74"/>
    </row>
    <row r="54" spans="1:13" outlineLevel="1" x14ac:dyDescent="0.2">
      <c r="B54" s="37"/>
      <c r="C54" s="37"/>
      <c r="D54" s="2109"/>
      <c r="E54" s="2109"/>
      <c r="F54" s="2109"/>
      <c r="G54" s="38"/>
      <c r="H54" s="38"/>
      <c r="I54" s="38"/>
      <c r="J54" s="38"/>
      <c r="M54" s="74"/>
    </row>
    <row r="55" spans="1:13" ht="51" outlineLevel="1" x14ac:dyDescent="0.2">
      <c r="B55" s="37"/>
      <c r="C55" s="57" t="s">
        <v>201</v>
      </c>
      <c r="D55" s="57" t="s">
        <v>211</v>
      </c>
      <c r="E55" s="57" t="s">
        <v>451</v>
      </c>
      <c r="F55" s="57" t="s">
        <v>603</v>
      </c>
      <c r="G55" s="57" t="s">
        <v>452</v>
      </c>
      <c r="H55" s="57" t="s">
        <v>453</v>
      </c>
      <c r="I55" s="57" t="s">
        <v>454</v>
      </c>
      <c r="J55" s="57" t="s">
        <v>455</v>
      </c>
      <c r="K55" s="154" t="s">
        <v>604</v>
      </c>
      <c r="M55" s="74"/>
    </row>
    <row r="56" spans="1:13" outlineLevel="1" x14ac:dyDescent="0.2">
      <c r="C56" s="57" t="s">
        <v>62</v>
      </c>
      <c r="D56" s="57" t="s">
        <v>62</v>
      </c>
      <c r="E56" s="57" t="s">
        <v>62</v>
      </c>
      <c r="F56" s="57" t="s">
        <v>62</v>
      </c>
      <c r="G56" s="57" t="s">
        <v>62</v>
      </c>
      <c r="H56" s="57" t="s">
        <v>62</v>
      </c>
      <c r="I56" s="57" t="s">
        <v>62</v>
      </c>
      <c r="J56" s="57" t="s">
        <v>62</v>
      </c>
      <c r="K56" s="57" t="s">
        <v>62</v>
      </c>
      <c r="M56" s="74"/>
    </row>
    <row r="57" spans="1:13" outlineLevel="1" x14ac:dyDescent="0.2">
      <c r="B57" s="37" t="s">
        <v>183</v>
      </c>
      <c r="C57" s="37"/>
      <c r="D57" s="37"/>
      <c r="E57" s="37"/>
      <c r="M57" s="74"/>
    </row>
    <row r="58" spans="1:13" outlineLevel="1" x14ac:dyDescent="0.2">
      <c r="B58" s="34" t="str">
        <f>"At"&amp;Update!$B$18</f>
        <v>At 1 April 2024</v>
      </c>
      <c r="C58" s="342">
        <f>202933-1</f>
        <v>202932</v>
      </c>
      <c r="D58" s="342">
        <f>326325+1-2147</f>
        <v>324179</v>
      </c>
      <c r="E58" s="342">
        <v>30</v>
      </c>
      <c r="F58" s="342">
        <v>213</v>
      </c>
      <c r="G58" s="342">
        <v>0</v>
      </c>
      <c r="H58" s="342">
        <v>0</v>
      </c>
      <c r="I58" s="342">
        <v>0</v>
      </c>
      <c r="J58" s="342">
        <v>88928</v>
      </c>
      <c r="K58" s="34">
        <f>SUM(C58:J58)</f>
        <v>616282</v>
      </c>
      <c r="M58" s="74"/>
    </row>
    <row r="59" spans="1:13" outlineLevel="1" x14ac:dyDescent="0.2">
      <c r="B59" s="34" t="s">
        <v>435</v>
      </c>
      <c r="C59" s="342">
        <v>0</v>
      </c>
      <c r="D59" s="342">
        <v>2147</v>
      </c>
      <c r="E59" s="342">
        <v>0</v>
      </c>
      <c r="F59" s="342">
        <v>0</v>
      </c>
      <c r="G59" s="342">
        <v>0</v>
      </c>
      <c r="H59" s="342">
        <v>0</v>
      </c>
      <c r="I59" s="342">
        <v>0</v>
      </c>
      <c r="J59" s="342">
        <v>0</v>
      </c>
      <c r="K59" s="34">
        <f>SUM(C59:J59)</f>
        <v>2147</v>
      </c>
      <c r="M59" s="74"/>
    </row>
    <row r="60" spans="1:13" outlineLevel="1" x14ac:dyDescent="0.2">
      <c r="B60" s="34" t="s">
        <v>442</v>
      </c>
      <c r="C60" s="98">
        <f t="shared" ref="C60:J60" si="10">SUM(C58:C59)</f>
        <v>202932</v>
      </c>
      <c r="D60" s="98">
        <f t="shared" si="10"/>
        <v>326326</v>
      </c>
      <c r="E60" s="98">
        <f t="shared" si="10"/>
        <v>30</v>
      </c>
      <c r="F60" s="98">
        <f t="shared" si="10"/>
        <v>213</v>
      </c>
      <c r="G60" s="98">
        <f t="shared" si="10"/>
        <v>0</v>
      </c>
      <c r="H60" s="98">
        <f t="shared" si="10"/>
        <v>0</v>
      </c>
      <c r="I60" s="98">
        <f t="shared" si="10"/>
        <v>0</v>
      </c>
      <c r="J60" s="98">
        <f t="shared" si="10"/>
        <v>88928</v>
      </c>
      <c r="K60" s="98">
        <f>SUM(C60:J60)</f>
        <v>618429</v>
      </c>
      <c r="M60" s="246">
        <f>SUM(C60:J60)-SUM(K58:K59)</f>
        <v>0</v>
      </c>
    </row>
    <row r="61" spans="1:13" outlineLevel="1" x14ac:dyDescent="0.2">
      <c r="B61" s="34" t="s">
        <v>185</v>
      </c>
      <c r="C61" s="342">
        <v>1489</v>
      </c>
      <c r="D61" s="342">
        <v>25290</v>
      </c>
      <c r="E61" s="342">
        <v>0</v>
      </c>
      <c r="F61" s="342">
        <v>0</v>
      </c>
      <c r="G61" s="342">
        <v>0</v>
      </c>
      <c r="H61" s="342">
        <v>0</v>
      </c>
      <c r="I61" s="342">
        <v>0</v>
      </c>
      <c r="J61" s="342">
        <v>78769</v>
      </c>
      <c r="K61" s="34">
        <f t="shared" ref="K61:K69" si="11">SUM(C61:J61)</f>
        <v>105548</v>
      </c>
      <c r="M61" s="74"/>
    </row>
    <row r="62" spans="1:13" outlineLevel="1" x14ac:dyDescent="0.2">
      <c r="B62" s="34" t="s">
        <v>437</v>
      </c>
      <c r="C62" s="342">
        <v>0</v>
      </c>
      <c r="D62" s="342">
        <v>9</v>
      </c>
      <c r="E62" s="342">
        <v>0</v>
      </c>
      <c r="F62" s="342">
        <v>0</v>
      </c>
      <c r="G62" s="342">
        <v>0</v>
      </c>
      <c r="H62" s="342">
        <v>0</v>
      </c>
      <c r="I62" s="342">
        <v>0</v>
      </c>
      <c r="J62" s="342">
        <v>0</v>
      </c>
      <c r="K62" s="34">
        <f t="shared" si="11"/>
        <v>9</v>
      </c>
      <c r="M62" s="74"/>
    </row>
    <row r="63" spans="1:13" outlineLevel="1" x14ac:dyDescent="0.2">
      <c r="B63" s="34" t="s">
        <v>605</v>
      </c>
      <c r="C63" s="342">
        <v>0</v>
      </c>
      <c r="D63" s="342">
        <v>-621</v>
      </c>
      <c r="E63" s="342">
        <v>0</v>
      </c>
      <c r="F63" s="342">
        <v>0</v>
      </c>
      <c r="G63" s="342">
        <v>0</v>
      </c>
      <c r="H63" s="342">
        <v>0</v>
      </c>
      <c r="I63" s="342">
        <v>0</v>
      </c>
      <c r="J63" s="342">
        <v>-47</v>
      </c>
      <c r="K63" s="34">
        <f t="shared" si="11"/>
        <v>-668</v>
      </c>
      <c r="M63" s="74"/>
    </row>
    <row r="64" spans="1:13" outlineLevel="1" x14ac:dyDescent="0.2">
      <c r="B64" s="34" t="s">
        <v>187</v>
      </c>
      <c r="C64" s="342">
        <v>0</v>
      </c>
      <c r="D64" s="342">
        <v>20</v>
      </c>
      <c r="E64" s="342">
        <v>0</v>
      </c>
      <c r="F64" s="342">
        <v>0</v>
      </c>
      <c r="G64" s="342">
        <v>0</v>
      </c>
      <c r="H64" s="342">
        <v>0</v>
      </c>
      <c r="I64" s="342">
        <v>0</v>
      </c>
      <c r="J64" s="342">
        <v>0</v>
      </c>
      <c r="K64" s="34">
        <f t="shared" si="11"/>
        <v>20</v>
      </c>
      <c r="M64" s="74"/>
    </row>
    <row r="65" spans="2:13" outlineLevel="1" x14ac:dyDescent="0.2">
      <c r="B65" s="34" t="s">
        <v>186</v>
      </c>
      <c r="C65" s="342">
        <v>103017</v>
      </c>
      <c r="D65" s="342">
        <v>871</v>
      </c>
      <c r="E65" s="342">
        <v>0</v>
      </c>
      <c r="F65" s="342">
        <v>0</v>
      </c>
      <c r="G65" s="342">
        <v>0</v>
      </c>
      <c r="H65" s="342">
        <v>0</v>
      </c>
      <c r="I65" s="342">
        <v>0</v>
      </c>
      <c r="J65" s="342">
        <v>-104217</v>
      </c>
      <c r="K65" s="34">
        <f t="shared" si="11"/>
        <v>-329</v>
      </c>
      <c r="M65" s="74"/>
    </row>
    <row r="66" spans="2:13" outlineLevel="1" x14ac:dyDescent="0.2">
      <c r="B66" s="34" t="s">
        <v>188</v>
      </c>
      <c r="C66" s="342">
        <v>3726</v>
      </c>
      <c r="D66" s="342">
        <v>829</v>
      </c>
      <c r="E66" s="342">
        <v>0</v>
      </c>
      <c r="F66" s="342">
        <v>0</v>
      </c>
      <c r="G66" s="342">
        <v>0</v>
      </c>
      <c r="H66" s="342">
        <v>0</v>
      </c>
      <c r="I66" s="342">
        <v>0</v>
      </c>
      <c r="J66" s="342">
        <v>0</v>
      </c>
      <c r="K66" s="34">
        <f t="shared" si="11"/>
        <v>4555</v>
      </c>
      <c r="M66" s="74"/>
    </row>
    <row r="67" spans="2:13" ht="25.5" outlineLevel="1" x14ac:dyDescent="0.2">
      <c r="B67" s="41" t="s">
        <v>438</v>
      </c>
      <c r="C67" s="342">
        <v>0</v>
      </c>
      <c r="D67" s="342">
        <v>0</v>
      </c>
      <c r="E67" s="342">
        <v>0</v>
      </c>
      <c r="F67" s="342">
        <v>0</v>
      </c>
      <c r="G67" s="342">
        <v>0</v>
      </c>
      <c r="H67" s="342">
        <v>0</v>
      </c>
      <c r="I67" s="342">
        <v>0</v>
      </c>
      <c r="J67" s="342">
        <v>0</v>
      </c>
      <c r="K67" s="34">
        <f t="shared" si="11"/>
        <v>0</v>
      </c>
      <c r="M67" s="74"/>
    </row>
    <row r="68" spans="2:13" ht="25.5" outlineLevel="1" x14ac:dyDescent="0.2">
      <c r="B68" s="41" t="s">
        <v>193</v>
      </c>
      <c r="C68" s="342">
        <v>0</v>
      </c>
      <c r="D68" s="342">
        <v>0</v>
      </c>
      <c r="E68" s="342">
        <v>0</v>
      </c>
      <c r="F68" s="342">
        <v>0</v>
      </c>
      <c r="G68" s="342">
        <v>0</v>
      </c>
      <c r="H68" s="342">
        <v>0</v>
      </c>
      <c r="I68" s="342">
        <v>0</v>
      </c>
      <c r="J68" s="342">
        <v>0</v>
      </c>
      <c r="K68" s="34">
        <f t="shared" si="11"/>
        <v>0</v>
      </c>
      <c r="M68" s="74"/>
    </row>
    <row r="69" spans="2:13" outlineLevel="1" x14ac:dyDescent="0.2">
      <c r="B69" s="34" t="s">
        <v>189</v>
      </c>
      <c r="C69" s="342">
        <v>0</v>
      </c>
      <c r="D69" s="342">
        <v>0</v>
      </c>
      <c r="E69" s="342">
        <v>0</v>
      </c>
      <c r="F69" s="342">
        <v>0</v>
      </c>
      <c r="G69" s="342">
        <v>0</v>
      </c>
      <c r="H69" s="342">
        <v>0</v>
      </c>
      <c r="I69" s="342">
        <v>0</v>
      </c>
      <c r="J69" s="342">
        <v>0</v>
      </c>
      <c r="K69" s="34">
        <f t="shared" si="11"/>
        <v>0</v>
      </c>
      <c r="M69" s="74"/>
    </row>
    <row r="70" spans="2:13" outlineLevel="1" x14ac:dyDescent="0.2">
      <c r="B70" s="37" t="str">
        <f>"At"&amp;Update!$B$24</f>
        <v>At 31 March 2025</v>
      </c>
      <c r="C70" s="97">
        <f>SUM(C60:C69)</f>
        <v>311164</v>
      </c>
      <c r="D70" s="97">
        <f>SUM(D60:D69)</f>
        <v>352724</v>
      </c>
      <c r="E70" s="97">
        <f t="shared" ref="E70:J70" si="12">SUM(E60:E69)</f>
        <v>30</v>
      </c>
      <c r="F70" s="97">
        <f t="shared" si="12"/>
        <v>213</v>
      </c>
      <c r="G70" s="97">
        <f t="shared" si="12"/>
        <v>0</v>
      </c>
      <c r="H70" s="97">
        <f t="shared" si="12"/>
        <v>0</v>
      </c>
      <c r="I70" s="97">
        <f t="shared" si="12"/>
        <v>0</v>
      </c>
      <c r="J70" s="97">
        <f t="shared" si="12"/>
        <v>63433</v>
      </c>
      <c r="K70" s="97">
        <f>SUM(K60:K69)</f>
        <v>727564</v>
      </c>
      <c r="M70" s="74"/>
    </row>
    <row r="71" spans="2:13" outlineLevel="1" x14ac:dyDescent="0.2">
      <c r="M71" s="74"/>
    </row>
    <row r="72" spans="2:13" outlineLevel="1" x14ac:dyDescent="0.2">
      <c r="B72" s="37" t="s">
        <v>161</v>
      </c>
      <c r="C72" s="37"/>
      <c r="D72" s="37"/>
      <c r="E72" s="37"/>
      <c r="M72" s="74"/>
    </row>
    <row r="73" spans="2:13" outlineLevel="1" x14ac:dyDescent="0.2">
      <c r="B73" s="34" t="str">
        <f>+B58</f>
        <v>At 1 April 2024</v>
      </c>
      <c r="C73" s="342">
        <v>100150</v>
      </c>
      <c r="D73" s="342">
        <f>186259-1827</f>
        <v>184432</v>
      </c>
      <c r="E73" s="342">
        <v>30</v>
      </c>
      <c r="F73" s="342">
        <v>205</v>
      </c>
      <c r="G73" s="342">
        <v>0</v>
      </c>
      <c r="H73" s="342">
        <v>0</v>
      </c>
      <c r="I73" s="342">
        <v>0</v>
      </c>
      <c r="J73" s="342">
        <v>0</v>
      </c>
      <c r="K73" s="34">
        <f>SUM(C73:J73)</f>
        <v>284817</v>
      </c>
      <c r="M73" s="74"/>
    </row>
    <row r="74" spans="2:13" outlineLevel="1" x14ac:dyDescent="0.2">
      <c r="B74" s="34" t="s">
        <v>435</v>
      </c>
      <c r="C74" s="342">
        <v>0</v>
      </c>
      <c r="D74" s="342">
        <v>1827</v>
      </c>
      <c r="E74" s="342">
        <v>0</v>
      </c>
      <c r="F74" s="342">
        <v>0</v>
      </c>
      <c r="G74" s="342">
        <v>0</v>
      </c>
      <c r="H74" s="342">
        <v>0</v>
      </c>
      <c r="I74" s="342">
        <v>0</v>
      </c>
      <c r="J74" s="342">
        <v>0</v>
      </c>
      <c r="K74" s="34">
        <f>SUM(C74:J74)</f>
        <v>1827</v>
      </c>
      <c r="M74" s="74"/>
    </row>
    <row r="75" spans="2:13" outlineLevel="1" x14ac:dyDescent="0.2">
      <c r="B75" s="34" t="str">
        <f>+B60</f>
        <v>Opening balance - restated</v>
      </c>
      <c r="C75" s="98">
        <f>SUM(C73:C74)</f>
        <v>100150</v>
      </c>
      <c r="D75" s="98">
        <f>SUM(D73:D74)</f>
        <v>186259</v>
      </c>
      <c r="E75" s="98">
        <f t="shared" ref="E75:J75" si="13">SUM(E73:E74)</f>
        <v>30</v>
      </c>
      <c r="F75" s="98">
        <f t="shared" si="13"/>
        <v>205</v>
      </c>
      <c r="G75" s="98">
        <f t="shared" si="13"/>
        <v>0</v>
      </c>
      <c r="H75" s="98">
        <f t="shared" si="13"/>
        <v>0</v>
      </c>
      <c r="I75" s="98">
        <f t="shared" si="13"/>
        <v>0</v>
      </c>
      <c r="J75" s="98">
        <f t="shared" si="13"/>
        <v>0</v>
      </c>
      <c r="K75" s="98">
        <f>SUM(K73:K74)</f>
        <v>286644</v>
      </c>
      <c r="M75" s="246">
        <f>SUM(C75:J75)-SUM(K73:K74)</f>
        <v>0</v>
      </c>
    </row>
    <row r="76" spans="2:13" outlineLevel="1" x14ac:dyDescent="0.2">
      <c r="B76" s="34" t="s">
        <v>190</v>
      </c>
      <c r="C76" s="342">
        <v>25690</v>
      </c>
      <c r="D76" s="342">
        <v>47958</v>
      </c>
      <c r="E76" s="342">
        <v>0</v>
      </c>
      <c r="F76" s="342">
        <v>8</v>
      </c>
      <c r="G76" s="342">
        <v>0</v>
      </c>
      <c r="H76" s="342">
        <v>0</v>
      </c>
      <c r="I76" s="342">
        <v>0</v>
      </c>
      <c r="J76" s="342">
        <v>0</v>
      </c>
      <c r="K76" s="34">
        <f t="shared" ref="K76:K84" si="14">SUM(C76:J76)</f>
        <v>73656</v>
      </c>
      <c r="M76" s="74"/>
    </row>
    <row r="77" spans="2:13" outlineLevel="1" x14ac:dyDescent="0.2">
      <c r="B77" s="34" t="s">
        <v>605</v>
      </c>
      <c r="C77" s="342">
        <v>0</v>
      </c>
      <c r="D77" s="342">
        <v>-621</v>
      </c>
      <c r="E77" s="342">
        <v>0</v>
      </c>
      <c r="F77" s="342">
        <v>0</v>
      </c>
      <c r="G77" s="342">
        <v>0</v>
      </c>
      <c r="H77" s="342">
        <v>0</v>
      </c>
      <c r="I77" s="342">
        <v>0</v>
      </c>
      <c r="J77" s="342">
        <v>0</v>
      </c>
      <c r="K77" s="34">
        <f t="shared" si="14"/>
        <v>-621</v>
      </c>
      <c r="M77" s="74"/>
    </row>
    <row r="78" spans="2:13" outlineLevel="1" x14ac:dyDescent="0.2">
      <c r="B78" s="34" t="s">
        <v>187</v>
      </c>
      <c r="C78" s="342">
        <v>0</v>
      </c>
      <c r="D78" s="342">
        <v>0</v>
      </c>
      <c r="E78" s="342">
        <v>0</v>
      </c>
      <c r="F78" s="342">
        <v>0</v>
      </c>
      <c r="G78" s="342">
        <v>0</v>
      </c>
      <c r="H78" s="342">
        <v>0</v>
      </c>
      <c r="I78" s="342">
        <v>0</v>
      </c>
      <c r="J78" s="342">
        <v>0</v>
      </c>
      <c r="K78" s="34">
        <f t="shared" si="14"/>
        <v>0</v>
      </c>
      <c r="M78" s="74"/>
    </row>
    <row r="79" spans="2:13" outlineLevel="1" x14ac:dyDescent="0.2">
      <c r="B79" s="34" t="s">
        <v>186</v>
      </c>
      <c r="C79" s="342">
        <v>3</v>
      </c>
      <c r="D79" s="342">
        <v>160</v>
      </c>
      <c r="E79" s="342">
        <v>0</v>
      </c>
      <c r="F79" s="342">
        <v>0</v>
      </c>
      <c r="G79" s="342">
        <v>0</v>
      </c>
      <c r="H79" s="342">
        <v>0</v>
      </c>
      <c r="I79" s="342">
        <v>0</v>
      </c>
      <c r="J79" s="342">
        <v>0</v>
      </c>
      <c r="K79" s="34">
        <f t="shared" si="14"/>
        <v>163</v>
      </c>
      <c r="M79" s="74"/>
    </row>
    <row r="80" spans="2:13" outlineLevel="1" x14ac:dyDescent="0.2">
      <c r="B80" s="34" t="s">
        <v>188</v>
      </c>
      <c r="C80" s="342">
        <v>1158</v>
      </c>
      <c r="D80" s="342">
        <v>400</v>
      </c>
      <c r="E80" s="342">
        <v>0</v>
      </c>
      <c r="F80" s="342">
        <v>0</v>
      </c>
      <c r="G80" s="342">
        <v>0</v>
      </c>
      <c r="H80" s="342">
        <v>0</v>
      </c>
      <c r="I80" s="342">
        <v>0</v>
      </c>
      <c r="J80" s="342">
        <v>0</v>
      </c>
      <c r="K80" s="34">
        <f t="shared" si="14"/>
        <v>1558</v>
      </c>
      <c r="M80" s="74"/>
    </row>
    <row r="81" spans="2:13" outlineLevel="1" x14ac:dyDescent="0.2">
      <c r="B81" s="34" t="s">
        <v>210</v>
      </c>
      <c r="C81" s="342">
        <v>0</v>
      </c>
      <c r="D81" s="342">
        <v>0</v>
      </c>
      <c r="E81" s="342">
        <v>0</v>
      </c>
      <c r="F81" s="342">
        <v>0</v>
      </c>
      <c r="G81" s="342">
        <v>0</v>
      </c>
      <c r="H81" s="342">
        <v>0</v>
      </c>
      <c r="I81" s="342">
        <v>0</v>
      </c>
      <c r="J81" s="342">
        <v>0</v>
      </c>
      <c r="K81" s="34">
        <f t="shared" si="14"/>
        <v>0</v>
      </c>
      <c r="M81" s="74"/>
    </row>
    <row r="82" spans="2:13" ht="25.5" outlineLevel="1" x14ac:dyDescent="0.2">
      <c r="B82" s="41" t="s">
        <v>438</v>
      </c>
      <c r="C82" s="342">
        <v>0</v>
      </c>
      <c r="D82" s="342">
        <v>-1</v>
      </c>
      <c r="E82" s="342">
        <v>0</v>
      </c>
      <c r="F82" s="342">
        <v>0</v>
      </c>
      <c r="G82" s="342">
        <v>0</v>
      </c>
      <c r="H82" s="342">
        <v>0</v>
      </c>
      <c r="I82" s="342">
        <v>0</v>
      </c>
      <c r="J82" s="342">
        <v>0</v>
      </c>
      <c r="K82" s="34">
        <f t="shared" si="14"/>
        <v>-1</v>
      </c>
      <c r="M82" s="74"/>
    </row>
    <row r="83" spans="2:13" ht="25.5" outlineLevel="1" x14ac:dyDescent="0.2">
      <c r="B83" s="41" t="s">
        <v>193</v>
      </c>
      <c r="C83" s="342">
        <v>0</v>
      </c>
      <c r="D83" s="342">
        <v>0</v>
      </c>
      <c r="E83" s="342">
        <v>0</v>
      </c>
      <c r="F83" s="342">
        <v>0</v>
      </c>
      <c r="G83" s="342">
        <v>0</v>
      </c>
      <c r="H83" s="342">
        <v>0</v>
      </c>
      <c r="I83" s="342">
        <v>0</v>
      </c>
      <c r="J83" s="342">
        <v>0</v>
      </c>
      <c r="K83" s="34">
        <f t="shared" si="14"/>
        <v>0</v>
      </c>
      <c r="M83" s="74"/>
    </row>
    <row r="84" spans="2:13" outlineLevel="1" x14ac:dyDescent="0.2">
      <c r="B84" s="34" t="s">
        <v>189</v>
      </c>
      <c r="C84" s="342">
        <v>0</v>
      </c>
      <c r="D84" s="342">
        <v>0</v>
      </c>
      <c r="E84" s="342">
        <v>0</v>
      </c>
      <c r="F84" s="342">
        <v>0</v>
      </c>
      <c r="G84" s="342">
        <v>0</v>
      </c>
      <c r="H84" s="342">
        <v>0</v>
      </c>
      <c r="I84" s="342">
        <v>0</v>
      </c>
      <c r="J84" s="342">
        <v>0</v>
      </c>
      <c r="K84" s="34">
        <f t="shared" si="14"/>
        <v>0</v>
      </c>
      <c r="M84" s="74"/>
    </row>
    <row r="85" spans="2:13" outlineLevel="1" x14ac:dyDescent="0.2">
      <c r="B85" s="37" t="str">
        <f>+B70</f>
        <v>At 31 March 2025</v>
      </c>
      <c r="C85" s="97">
        <f>SUM(C75:C84)</f>
        <v>127001</v>
      </c>
      <c r="D85" s="97">
        <f>SUM(D75:D84)</f>
        <v>234155</v>
      </c>
      <c r="E85" s="97">
        <f t="shared" ref="E85:J85" si="15">SUM(E75:E84)</f>
        <v>30</v>
      </c>
      <c r="F85" s="97">
        <f t="shared" si="15"/>
        <v>213</v>
      </c>
      <c r="G85" s="97">
        <f t="shared" si="15"/>
        <v>0</v>
      </c>
      <c r="H85" s="97">
        <f t="shared" si="15"/>
        <v>0</v>
      </c>
      <c r="I85" s="97">
        <f t="shared" si="15"/>
        <v>0</v>
      </c>
      <c r="J85" s="97">
        <f t="shared" si="15"/>
        <v>0</v>
      </c>
      <c r="K85" s="97">
        <f>SUM(K75:K84)</f>
        <v>361399</v>
      </c>
      <c r="M85" s="74"/>
    </row>
    <row r="86" spans="2:13" outlineLevel="1" x14ac:dyDescent="0.2">
      <c r="M86" s="74"/>
    </row>
    <row r="87" spans="2:13" ht="13.5" outlineLevel="1" thickBot="1" x14ac:dyDescent="0.25">
      <c r="B87" s="37" t="str">
        <f>"Carrying amount at"&amp;Update!$B$24</f>
        <v>Carrying amount at 31 March 2025</v>
      </c>
      <c r="C87" s="118">
        <f>C70-C85</f>
        <v>184163</v>
      </c>
      <c r="D87" s="118">
        <f>D70-D85</f>
        <v>118569</v>
      </c>
      <c r="E87" s="118">
        <f t="shared" ref="E87:J87" si="16">E70-E85</f>
        <v>0</v>
      </c>
      <c r="F87" s="118">
        <f t="shared" si="16"/>
        <v>0</v>
      </c>
      <c r="G87" s="118">
        <f t="shared" si="16"/>
        <v>0</v>
      </c>
      <c r="H87" s="118">
        <f t="shared" si="16"/>
        <v>0</v>
      </c>
      <c r="I87" s="118">
        <f t="shared" si="16"/>
        <v>0</v>
      </c>
      <c r="J87" s="118">
        <f t="shared" si="16"/>
        <v>63433</v>
      </c>
      <c r="K87" s="118">
        <f>K70-K85</f>
        <v>366165</v>
      </c>
      <c r="M87" s="74"/>
    </row>
    <row r="88" spans="2:13" outlineLevel="1" x14ac:dyDescent="0.2">
      <c r="B88" s="37"/>
      <c r="C88" s="167"/>
      <c r="D88" s="167"/>
      <c r="E88" s="167"/>
      <c r="F88" s="167"/>
      <c r="G88" s="167"/>
      <c r="H88" s="167"/>
      <c r="I88" s="167"/>
      <c r="J88" s="167"/>
      <c r="K88" s="167"/>
      <c r="M88" s="74"/>
    </row>
    <row r="89" spans="2:13" outlineLevel="1" x14ac:dyDescent="0.2">
      <c r="B89" s="34" t="str">
        <f>"Carrying amount at"&amp;Update!$B$17</f>
        <v>Carrying amount at 31 March 2024</v>
      </c>
      <c r="C89" s="44">
        <f>C60-C75</f>
        <v>102782</v>
      </c>
      <c r="D89" s="44">
        <f>D60-D75</f>
        <v>140067</v>
      </c>
      <c r="E89" s="44">
        <f t="shared" ref="E89:J89" si="17">E60-E75</f>
        <v>0</v>
      </c>
      <c r="F89" s="44">
        <f t="shared" si="17"/>
        <v>8</v>
      </c>
      <c r="G89" s="44">
        <f t="shared" si="17"/>
        <v>0</v>
      </c>
      <c r="H89" s="44">
        <f t="shared" si="17"/>
        <v>0</v>
      </c>
      <c r="I89" s="44">
        <f t="shared" si="17"/>
        <v>0</v>
      </c>
      <c r="J89" s="44">
        <f t="shared" si="17"/>
        <v>88928</v>
      </c>
      <c r="K89" s="44">
        <f>K60-K75</f>
        <v>331785</v>
      </c>
      <c r="M89" s="74"/>
    </row>
    <row r="90" spans="2:13" outlineLevel="1" x14ac:dyDescent="0.2">
      <c r="B90" s="37"/>
      <c r="C90" s="37"/>
      <c r="D90" s="37"/>
      <c r="E90" s="37"/>
      <c r="M90" s="74"/>
    </row>
    <row r="91" spans="2:13" outlineLevel="1" x14ac:dyDescent="0.2">
      <c r="B91" s="37" t="s">
        <v>194</v>
      </c>
      <c r="C91" s="74"/>
      <c r="D91" s="74"/>
      <c r="E91" s="74"/>
      <c r="F91" s="74"/>
      <c r="G91" s="74"/>
      <c r="H91" s="74"/>
      <c r="I91" s="74"/>
      <c r="J91" s="74"/>
      <c r="K91" s="74"/>
    </row>
    <row r="92" spans="2:13" outlineLevel="1" x14ac:dyDescent="0.2">
      <c r="B92" s="34" t="s">
        <v>443</v>
      </c>
      <c r="C92" s="342">
        <f>184164-1</f>
        <v>184163</v>
      </c>
      <c r="D92" s="342">
        <f>118568+1</f>
        <v>118569</v>
      </c>
      <c r="E92" s="342">
        <v>0</v>
      </c>
      <c r="F92" s="342">
        <v>0</v>
      </c>
      <c r="G92" s="342">
        <v>0</v>
      </c>
      <c r="H92" s="342">
        <v>0</v>
      </c>
      <c r="I92" s="342">
        <v>0</v>
      </c>
      <c r="J92" s="342">
        <v>63433</v>
      </c>
      <c r="K92" s="74">
        <f>SUM(C92:J92)</f>
        <v>366165</v>
      </c>
    </row>
    <row r="93" spans="2:13" outlineLevel="1" x14ac:dyDescent="0.2">
      <c r="B93" s="34" t="s">
        <v>444</v>
      </c>
      <c r="C93" s="342">
        <v>0</v>
      </c>
      <c r="D93" s="342">
        <v>0</v>
      </c>
      <c r="E93" s="342">
        <v>0</v>
      </c>
      <c r="F93" s="342">
        <v>0</v>
      </c>
      <c r="G93" s="342">
        <v>0</v>
      </c>
      <c r="H93" s="342">
        <v>0</v>
      </c>
      <c r="I93" s="342">
        <v>0</v>
      </c>
      <c r="J93" s="342">
        <v>0</v>
      </c>
      <c r="K93" s="74">
        <f>SUM(C93:J93)</f>
        <v>0</v>
      </c>
    </row>
    <row r="94" spans="2:13" ht="25.5" outlineLevel="1" x14ac:dyDescent="0.2">
      <c r="B94" s="148" t="s">
        <v>199</v>
      </c>
      <c r="C94" s="342">
        <v>0</v>
      </c>
      <c r="D94" s="342">
        <v>0</v>
      </c>
      <c r="E94" s="342">
        <v>0</v>
      </c>
      <c r="F94" s="342">
        <v>0</v>
      </c>
      <c r="G94" s="342">
        <v>0</v>
      </c>
      <c r="H94" s="342">
        <v>0</v>
      </c>
      <c r="I94" s="342">
        <v>0</v>
      </c>
      <c r="J94" s="342">
        <v>0</v>
      </c>
      <c r="K94" s="74">
        <f>SUM(C94:J94)</f>
        <v>0</v>
      </c>
    </row>
    <row r="95" spans="2:13" outlineLevel="1" x14ac:dyDescent="0.2">
      <c r="B95" s="148" t="s">
        <v>1695</v>
      </c>
      <c r="C95" s="342">
        <v>0</v>
      </c>
      <c r="D95" s="342">
        <v>0</v>
      </c>
      <c r="E95" s="342">
        <v>0</v>
      </c>
      <c r="F95" s="342">
        <v>0</v>
      </c>
      <c r="G95" s="342">
        <v>0</v>
      </c>
      <c r="H95" s="342">
        <v>0</v>
      </c>
      <c r="I95" s="342">
        <v>0</v>
      </c>
      <c r="J95" s="342">
        <v>0</v>
      </c>
      <c r="K95" s="74">
        <f>SUM(C95:J95)</f>
        <v>0</v>
      </c>
    </row>
    <row r="96" spans="2:13" ht="13.5" outlineLevel="1" thickBot="1" x14ac:dyDescent="0.25">
      <c r="B96" s="34" t="str">
        <f>"Carrying amount at"&amp;Update!$B$24</f>
        <v>Carrying amount at 31 March 2025</v>
      </c>
      <c r="C96" s="1536">
        <f>SUM(C92:C95)</f>
        <v>184163</v>
      </c>
      <c r="D96" s="1536">
        <f t="shared" ref="D96:J96" si="18">SUM(D92:D95)</f>
        <v>118569</v>
      </c>
      <c r="E96" s="1536">
        <f t="shared" si="18"/>
        <v>0</v>
      </c>
      <c r="F96" s="1536">
        <f t="shared" si="18"/>
        <v>0</v>
      </c>
      <c r="G96" s="1536">
        <f t="shared" si="18"/>
        <v>0</v>
      </c>
      <c r="H96" s="1536">
        <f t="shared" si="18"/>
        <v>0</v>
      </c>
      <c r="I96" s="1536">
        <f t="shared" si="18"/>
        <v>0</v>
      </c>
      <c r="J96" s="1536">
        <f t="shared" si="18"/>
        <v>63433</v>
      </c>
      <c r="K96" s="1536">
        <f>SUM(K92:K95)</f>
        <v>366165</v>
      </c>
    </row>
    <row r="97" spans="1:14" outlineLevel="1" x14ac:dyDescent="0.2">
      <c r="B97" s="37"/>
      <c r="C97" s="340">
        <f>C87-C96</f>
        <v>0</v>
      </c>
      <c r="D97" s="340">
        <f t="shared" ref="D97:K97" si="19">D87-D96</f>
        <v>0</v>
      </c>
      <c r="E97" s="340">
        <f t="shared" si="19"/>
        <v>0</v>
      </c>
      <c r="F97" s="340">
        <f t="shared" si="19"/>
        <v>0</v>
      </c>
      <c r="G97" s="340">
        <f t="shared" si="19"/>
        <v>0</v>
      </c>
      <c r="H97" s="340">
        <f t="shared" si="19"/>
        <v>0</v>
      </c>
      <c r="I97" s="340">
        <f t="shared" si="19"/>
        <v>0</v>
      </c>
      <c r="J97" s="340">
        <f t="shared" si="19"/>
        <v>0</v>
      </c>
      <c r="K97" s="340">
        <f t="shared" si="19"/>
        <v>0</v>
      </c>
    </row>
    <row r="98" spans="1:14" outlineLevel="1" x14ac:dyDescent="0.2">
      <c r="B98" s="37"/>
      <c r="C98" s="46"/>
      <c r="D98" s="46"/>
      <c r="E98" s="46"/>
      <c r="F98" s="46"/>
      <c r="G98" s="46"/>
      <c r="H98" s="46"/>
      <c r="I98" s="46"/>
      <c r="J98" s="46"/>
      <c r="K98" s="74"/>
    </row>
    <row r="99" spans="1:14" outlineLevel="1" x14ac:dyDescent="0.2">
      <c r="B99" s="37" t="s">
        <v>194</v>
      </c>
      <c r="C99" s="74"/>
      <c r="D99" s="74"/>
      <c r="E99" s="74"/>
      <c r="F99" s="74"/>
      <c r="G99" s="74"/>
      <c r="H99" s="74"/>
      <c r="I99" s="74"/>
      <c r="J99" s="74"/>
      <c r="K99" s="74"/>
    </row>
    <row r="100" spans="1:14" outlineLevel="1" x14ac:dyDescent="0.2">
      <c r="B100" s="34" t="s">
        <v>443</v>
      </c>
      <c r="C100" s="342">
        <v>102782</v>
      </c>
      <c r="D100" s="342">
        <f>139747+320</f>
        <v>140067</v>
      </c>
      <c r="E100" s="342">
        <v>0</v>
      </c>
      <c r="F100" s="342">
        <v>8</v>
      </c>
      <c r="G100" s="342">
        <v>0</v>
      </c>
      <c r="H100" s="342">
        <v>0</v>
      </c>
      <c r="I100" s="342">
        <v>0</v>
      </c>
      <c r="J100" s="342">
        <v>88928</v>
      </c>
      <c r="K100" s="74">
        <f>SUM(C100:J100)</f>
        <v>331785</v>
      </c>
    </row>
    <row r="101" spans="1:14" outlineLevel="1" x14ac:dyDescent="0.2">
      <c r="B101" s="34" t="s">
        <v>444</v>
      </c>
      <c r="C101" s="342">
        <v>0</v>
      </c>
      <c r="D101" s="342">
        <v>0</v>
      </c>
      <c r="E101" s="342">
        <v>0</v>
      </c>
      <c r="F101" s="342">
        <v>0</v>
      </c>
      <c r="G101" s="342">
        <v>0</v>
      </c>
      <c r="H101" s="342">
        <v>0</v>
      </c>
      <c r="I101" s="342">
        <v>0</v>
      </c>
      <c r="J101" s="342">
        <v>0</v>
      </c>
      <c r="K101" s="74">
        <f>SUM(C101:J101)</f>
        <v>0</v>
      </c>
    </row>
    <row r="102" spans="1:14" ht="25.5" outlineLevel="1" x14ac:dyDescent="0.2">
      <c r="B102" s="148" t="s">
        <v>199</v>
      </c>
      <c r="C102" s="342">
        <v>0</v>
      </c>
      <c r="D102" s="342">
        <v>0</v>
      </c>
      <c r="E102" s="342">
        <v>0</v>
      </c>
      <c r="F102" s="342">
        <v>0</v>
      </c>
      <c r="G102" s="342">
        <v>0</v>
      </c>
      <c r="H102" s="342">
        <v>0</v>
      </c>
      <c r="I102" s="342">
        <v>0</v>
      </c>
      <c r="J102" s="342">
        <v>0</v>
      </c>
      <c r="K102" s="74">
        <f>SUM(C102:J102)</f>
        <v>0</v>
      </c>
    </row>
    <row r="103" spans="1:14" outlineLevel="1" x14ac:dyDescent="0.2">
      <c r="B103" s="148" t="s">
        <v>1695</v>
      </c>
      <c r="C103" s="342">
        <v>0</v>
      </c>
      <c r="D103" s="342">
        <v>0</v>
      </c>
      <c r="E103" s="342">
        <v>0</v>
      </c>
      <c r="F103" s="342">
        <v>0</v>
      </c>
      <c r="G103" s="342">
        <v>0</v>
      </c>
      <c r="H103" s="342">
        <v>0</v>
      </c>
      <c r="I103" s="342">
        <v>0</v>
      </c>
      <c r="J103" s="342">
        <v>0</v>
      </c>
      <c r="K103" s="74">
        <f>SUM(C103:J103)</f>
        <v>0</v>
      </c>
    </row>
    <row r="104" spans="1:14" ht="13.5" outlineLevel="1" thickBot="1" x14ac:dyDescent="0.25">
      <c r="B104" s="34" t="str">
        <f>"Carrying amount at"&amp;Update!$B$17</f>
        <v>Carrying amount at 31 March 2024</v>
      </c>
      <c r="C104" s="1536">
        <f>SUM(C100:C103)</f>
        <v>102782</v>
      </c>
      <c r="D104" s="1536">
        <f t="shared" ref="D104:K104" si="20">SUM(D100:D103)</f>
        <v>140067</v>
      </c>
      <c r="E104" s="1536">
        <f t="shared" si="20"/>
        <v>0</v>
      </c>
      <c r="F104" s="1536">
        <f t="shared" si="20"/>
        <v>8</v>
      </c>
      <c r="G104" s="1536">
        <f t="shared" si="20"/>
        <v>0</v>
      </c>
      <c r="H104" s="1536">
        <f t="shared" si="20"/>
        <v>0</v>
      </c>
      <c r="I104" s="1536">
        <f t="shared" si="20"/>
        <v>0</v>
      </c>
      <c r="J104" s="1536">
        <f t="shared" si="20"/>
        <v>88928</v>
      </c>
      <c r="K104" s="1536">
        <f t="shared" si="20"/>
        <v>331785</v>
      </c>
    </row>
    <row r="105" spans="1:14" outlineLevel="1" x14ac:dyDescent="0.2">
      <c r="B105" s="37"/>
      <c r="C105" s="246">
        <f>C89-C104</f>
        <v>0</v>
      </c>
      <c r="D105" s="246">
        <f>D89-D104</f>
        <v>0</v>
      </c>
      <c r="E105" s="246">
        <f t="shared" ref="E105:K105" si="21">E89-E104</f>
        <v>0</v>
      </c>
      <c r="F105" s="246">
        <f t="shared" si="21"/>
        <v>0</v>
      </c>
      <c r="G105" s="246">
        <f t="shared" si="21"/>
        <v>0</v>
      </c>
      <c r="H105" s="246">
        <f t="shared" si="21"/>
        <v>0</v>
      </c>
      <c r="I105" s="246">
        <f t="shared" si="21"/>
        <v>0</v>
      </c>
      <c r="J105" s="246">
        <f t="shared" si="21"/>
        <v>0</v>
      </c>
      <c r="K105" s="246">
        <f t="shared" si="21"/>
        <v>0</v>
      </c>
    </row>
    <row r="108" spans="1:14" x14ac:dyDescent="0.2">
      <c r="A108" s="229">
        <f>SUMIF(Update!$B$33:$B$106,B108,Update!$A$33:$A$106)</f>
        <v>6.2999999999999989</v>
      </c>
      <c r="B108" s="37" t="s">
        <v>843</v>
      </c>
      <c r="C108" s="225"/>
      <c r="D108" s="225"/>
      <c r="E108" s="212"/>
      <c r="F108" s="212"/>
      <c r="G108" s="212"/>
      <c r="H108" s="212"/>
      <c r="I108" s="212"/>
      <c r="J108" s="212"/>
      <c r="K108" s="212"/>
      <c r="L108" s="51"/>
      <c r="M108" s="51"/>
      <c r="N108" s="51"/>
    </row>
    <row r="109" spans="1:14" x14ac:dyDescent="0.2">
      <c r="B109" s="34" t="s">
        <v>600</v>
      </c>
      <c r="C109" s="212"/>
      <c r="D109" s="212"/>
      <c r="E109" s="212"/>
      <c r="F109" s="212"/>
      <c r="G109" s="212"/>
      <c r="H109" s="212"/>
      <c r="I109" s="212"/>
      <c r="J109" s="212"/>
      <c r="K109" s="212"/>
      <c r="L109" s="51"/>
      <c r="M109" s="51"/>
      <c r="N109" s="51"/>
    </row>
    <row r="110" spans="1:14" x14ac:dyDescent="0.2">
      <c r="C110" s="212"/>
      <c r="D110" s="212"/>
      <c r="E110" s="212"/>
      <c r="F110" s="212"/>
      <c r="G110" s="212"/>
      <c r="H110" s="212"/>
      <c r="I110" s="212"/>
      <c r="J110" s="212"/>
      <c r="K110" s="212"/>
      <c r="L110" s="51"/>
      <c r="M110" s="51"/>
      <c r="N110" s="51"/>
    </row>
    <row r="111" spans="1:14" x14ac:dyDescent="0.2">
      <c r="B111" s="34" t="s">
        <v>1698</v>
      </c>
      <c r="C111" s="333">
        <f>ROUND(MAP!$T$876,0)-C112</f>
        <v>0</v>
      </c>
      <c r="D111" s="333">
        <f>ROUND(MAP!$T$912,0)-D112</f>
        <v>101</v>
      </c>
      <c r="E111" s="333">
        <f>ROUND(MAP!$T$948,0)-E112</f>
        <v>0</v>
      </c>
      <c r="F111" s="333">
        <f>ROUND(MAP!$T984,0)-F112</f>
        <v>0</v>
      </c>
      <c r="G111" s="333">
        <f>ROUND(MAP!$T$1020,0)-G112</f>
        <v>0</v>
      </c>
      <c r="H111" s="333">
        <f>ROUND(MAP!$T$1056,0)-H112</f>
        <v>0</v>
      </c>
      <c r="I111" s="333">
        <f>ROUND(MAP!$T$1092,0)-I112</f>
        <v>0</v>
      </c>
      <c r="J111" s="333">
        <f>ROUND(MAP!$T$1128,0)-J112</f>
        <v>0</v>
      </c>
      <c r="K111" s="212">
        <f>SUM(C111:J111)</f>
        <v>101</v>
      </c>
      <c r="L111" s="51"/>
      <c r="M111" s="51"/>
      <c r="N111" s="51"/>
    </row>
    <row r="112" spans="1:14" x14ac:dyDescent="0.2">
      <c r="B112" s="34" t="s">
        <v>478</v>
      </c>
      <c r="C112" s="333">
        <f>ROUND(SUM(MAP!$X$876:$Y$876),0)</f>
        <v>0</v>
      </c>
      <c r="D112" s="333">
        <f>ROUND(SUM(MAP!$X$912:$Y$912),0)</f>
        <v>0</v>
      </c>
      <c r="E112" s="333">
        <f>ROUND(SUM(MAP!$X$948:$Y$948),0)</f>
        <v>0</v>
      </c>
      <c r="F112" s="333">
        <f>ROUND(SUM(MAP!$X983:$Y983),0)</f>
        <v>0</v>
      </c>
      <c r="G112" s="333">
        <f>ROUND(SUM(MAP!$X$1020:$Y$1020),0)</f>
        <v>0</v>
      </c>
      <c r="H112" s="333">
        <f>ROUND(SUM(MAP!$X$1056:$Y$1056),0)</f>
        <v>0</v>
      </c>
      <c r="I112" s="333">
        <f>ROUND(SUM(MAP!$X$1092:$Y$1092),0)</f>
        <v>0</v>
      </c>
      <c r="J112" s="333">
        <f>ROUND(SUM(MAP!$X$1128:$Y$1128),0)</f>
        <v>0</v>
      </c>
      <c r="K112" s="212">
        <f>SUM(C112:J112)</f>
        <v>0</v>
      </c>
      <c r="L112" s="51"/>
      <c r="M112" s="51"/>
      <c r="N112" s="51"/>
    </row>
    <row r="113" spans="2:14" x14ac:dyDescent="0.2">
      <c r="B113" s="34" t="s">
        <v>1699</v>
      </c>
      <c r="C113" s="333">
        <f>ROUND(SUM(MAP!$Z$876:$AV$876),0)</f>
        <v>0</v>
      </c>
      <c r="D113" s="333">
        <f>ROUND(SUM(MAP!$Z$912:$AV$912),0)</f>
        <v>0</v>
      </c>
      <c r="E113" s="333">
        <f>ROUND(SUM(MAP!$Z$948:$AV$948),0)</f>
        <v>0</v>
      </c>
      <c r="F113" s="333">
        <f>ROUND(SUM(MAP!$Z984:$AV984),0)</f>
        <v>0</v>
      </c>
      <c r="G113" s="333">
        <f>ROUND(SUM(MAP!$Z$1020:$AV$1020),0)</f>
        <v>0</v>
      </c>
      <c r="H113" s="333">
        <f>ROUND(SUM(MAP!$Z$1056:$AV$1056),0)</f>
        <v>0</v>
      </c>
      <c r="I113" s="333">
        <f>ROUND(SUM(MAP!$Z$1092:$AV$1092),0)</f>
        <v>0</v>
      </c>
      <c r="J113" s="333">
        <f>ROUND(SUM(MAP!$Z$1128:$AV$1128),0)</f>
        <v>0</v>
      </c>
      <c r="K113" s="212">
        <f>SUM(C113:J113)</f>
        <v>0</v>
      </c>
      <c r="L113" s="51"/>
      <c r="M113" s="51"/>
      <c r="N113" s="51"/>
    </row>
    <row r="114" spans="2:14" ht="13.5" thickBot="1" x14ac:dyDescent="0.25">
      <c r="B114" s="37" t="str">
        <f>$B$50</f>
        <v>Carrying amount at 31 March 2026</v>
      </c>
      <c r="C114" s="226">
        <f t="shared" ref="C114:K114" si="22">SUM(C111:C113)</f>
        <v>0</v>
      </c>
      <c r="D114" s="226">
        <f t="shared" si="22"/>
        <v>101</v>
      </c>
      <c r="E114" s="226">
        <f t="shared" si="22"/>
        <v>0</v>
      </c>
      <c r="F114" s="226">
        <f t="shared" si="22"/>
        <v>0</v>
      </c>
      <c r="G114" s="226">
        <f t="shared" si="22"/>
        <v>0</v>
      </c>
      <c r="H114" s="226">
        <f t="shared" si="22"/>
        <v>0</v>
      </c>
      <c r="I114" s="226">
        <f t="shared" si="22"/>
        <v>0</v>
      </c>
      <c r="J114" s="226">
        <f t="shared" si="22"/>
        <v>0</v>
      </c>
      <c r="K114" s="226">
        <f t="shared" si="22"/>
        <v>101</v>
      </c>
      <c r="L114" s="51"/>
      <c r="M114" s="51"/>
      <c r="N114" s="51"/>
    </row>
    <row r="115" spans="2:14" x14ac:dyDescent="0.2">
      <c r="C115" s="227" t="e">
        <f>C114-C50</f>
        <v>#VALUE!</v>
      </c>
      <c r="D115" s="227" t="e">
        <f t="shared" ref="D115:K115" si="23">D114-D50</f>
        <v>#VALUE!</v>
      </c>
      <c r="E115" s="227" t="e">
        <f t="shared" si="23"/>
        <v>#VALUE!</v>
      </c>
      <c r="F115" s="227">
        <f t="shared" si="23"/>
        <v>0</v>
      </c>
      <c r="G115" s="227" t="e">
        <f t="shared" si="23"/>
        <v>#VALUE!</v>
      </c>
      <c r="H115" s="227" t="e">
        <f t="shared" si="23"/>
        <v>#VALUE!</v>
      </c>
      <c r="I115" s="227" t="e">
        <f t="shared" si="23"/>
        <v>#VALUE!</v>
      </c>
      <c r="J115" s="227" t="e">
        <f t="shared" si="23"/>
        <v>#VALUE!</v>
      </c>
      <c r="K115" s="227" t="e">
        <f t="shared" si="23"/>
        <v>#VALUE!</v>
      </c>
      <c r="L115" s="51"/>
      <c r="M115" s="51"/>
      <c r="N115" s="51"/>
    </row>
    <row r="116" spans="2:14" x14ac:dyDescent="0.2">
      <c r="C116" s="212"/>
      <c r="D116" s="212"/>
      <c r="E116" s="212"/>
      <c r="F116" s="212"/>
      <c r="G116" s="212"/>
      <c r="H116" s="212"/>
      <c r="I116" s="212"/>
      <c r="J116" s="212"/>
      <c r="K116" s="219"/>
      <c r="L116" s="51"/>
      <c r="M116" s="51"/>
      <c r="N116" s="51"/>
    </row>
    <row r="117" spans="2:14" x14ac:dyDescent="0.2">
      <c r="B117" s="34" t="s">
        <v>1698</v>
      </c>
      <c r="C117" s="767">
        <v>0</v>
      </c>
      <c r="D117" s="767">
        <v>101</v>
      </c>
      <c r="E117" s="767">
        <v>0</v>
      </c>
      <c r="F117" s="767">
        <v>0</v>
      </c>
      <c r="G117" s="767">
        <v>0</v>
      </c>
      <c r="H117" s="767">
        <v>0</v>
      </c>
      <c r="I117" s="767">
        <v>0</v>
      </c>
      <c r="J117" s="767">
        <v>0</v>
      </c>
      <c r="K117" s="212">
        <f>SUM(C117:J117)</f>
        <v>101</v>
      </c>
      <c r="L117" s="51"/>
      <c r="M117" s="51"/>
      <c r="N117" s="51"/>
    </row>
    <row r="118" spans="2:14" x14ac:dyDescent="0.2">
      <c r="B118" s="34" t="s">
        <v>478</v>
      </c>
      <c r="C118" s="767">
        <v>6494</v>
      </c>
      <c r="D118" s="767">
        <v>1021</v>
      </c>
      <c r="E118" s="767">
        <v>0</v>
      </c>
      <c r="F118" s="767">
        <v>0</v>
      </c>
      <c r="G118" s="767">
        <v>0</v>
      </c>
      <c r="H118" s="767">
        <v>0</v>
      </c>
      <c r="I118" s="767">
        <v>0</v>
      </c>
      <c r="J118" s="767">
        <v>2995</v>
      </c>
      <c r="K118" s="212">
        <f>SUM(C118:J118)</f>
        <v>10510</v>
      </c>
      <c r="L118" s="51"/>
      <c r="M118" s="51"/>
      <c r="N118" s="51"/>
    </row>
    <row r="119" spans="2:14" x14ac:dyDescent="0.2">
      <c r="B119" s="34" t="s">
        <v>1699</v>
      </c>
      <c r="C119" s="767">
        <f>177670-1</f>
        <v>177669</v>
      </c>
      <c r="D119" s="767">
        <f>117446+1</f>
        <v>117447</v>
      </c>
      <c r="E119" s="767">
        <v>0</v>
      </c>
      <c r="F119" s="767">
        <v>0</v>
      </c>
      <c r="G119" s="767">
        <v>0</v>
      </c>
      <c r="H119" s="767">
        <v>0</v>
      </c>
      <c r="I119" s="767">
        <v>0</v>
      </c>
      <c r="J119" s="767">
        <v>60438</v>
      </c>
      <c r="K119" s="212">
        <f>SUM(C119:J119)</f>
        <v>355554</v>
      </c>
      <c r="L119" s="51"/>
      <c r="M119" s="51"/>
      <c r="N119" s="51"/>
    </row>
    <row r="120" spans="2:14" ht="13.5" thickBot="1" x14ac:dyDescent="0.25">
      <c r="B120" s="37" t="str">
        <f>$B$43</f>
        <v>Carrying amount at 31 March 2025</v>
      </c>
      <c r="C120" s="220">
        <f>SUM(C117:C119)</f>
        <v>184163</v>
      </c>
      <c r="D120" s="220">
        <f t="shared" ref="D120:K120" si="24">SUM(D117:D119)</f>
        <v>118569</v>
      </c>
      <c r="E120" s="220">
        <f t="shared" si="24"/>
        <v>0</v>
      </c>
      <c r="F120" s="220">
        <f t="shared" si="24"/>
        <v>0</v>
      </c>
      <c r="G120" s="220">
        <f t="shared" si="24"/>
        <v>0</v>
      </c>
      <c r="H120" s="220">
        <f t="shared" si="24"/>
        <v>0</v>
      </c>
      <c r="I120" s="220">
        <f t="shared" si="24"/>
        <v>0</v>
      </c>
      <c r="J120" s="220">
        <f t="shared" si="24"/>
        <v>63433</v>
      </c>
      <c r="K120" s="220">
        <f t="shared" si="24"/>
        <v>366165</v>
      </c>
      <c r="L120" s="51"/>
      <c r="M120" s="51"/>
      <c r="N120" s="51"/>
    </row>
    <row r="121" spans="2:14" x14ac:dyDescent="0.2">
      <c r="C121" s="227">
        <f t="shared" ref="C121:K121" si="25">C120-C96</f>
        <v>0</v>
      </c>
      <c r="D121" s="227">
        <f t="shared" si="25"/>
        <v>0</v>
      </c>
      <c r="E121" s="227">
        <f t="shared" si="25"/>
        <v>0</v>
      </c>
      <c r="F121" s="227">
        <f t="shared" si="25"/>
        <v>0</v>
      </c>
      <c r="G121" s="227">
        <f t="shared" si="25"/>
        <v>0</v>
      </c>
      <c r="H121" s="227">
        <f t="shared" si="25"/>
        <v>0</v>
      </c>
      <c r="I121" s="227">
        <f t="shared" si="25"/>
        <v>0</v>
      </c>
      <c r="J121" s="227">
        <f t="shared" si="25"/>
        <v>0</v>
      </c>
      <c r="K121" s="227">
        <f t="shared" si="25"/>
        <v>0</v>
      </c>
      <c r="L121" s="51"/>
      <c r="M121" s="51"/>
      <c r="N121" s="51"/>
    </row>
  </sheetData>
  <mergeCells count="1">
    <mergeCell ref="D54:F54"/>
  </mergeCells>
  <pageMargins left="0.35433070866141736" right="0.47244094488188981" top="0.19685039370078741" bottom="0.19685039370078741" header="0.31496062992125984" footer="0.31496062992125984"/>
  <pageSetup paperSize="9" scale="5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3">
    <tabColor rgb="FFFF00FF"/>
    <pageSetUpPr fitToPage="1"/>
  </sheetPr>
  <dimension ref="A1:R121"/>
  <sheetViews>
    <sheetView zoomScale="80" zoomScaleNormal="80" workbookViewId="0">
      <pane xSplit="11" ySplit="10" topLeftCell="L11"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5.140625" style="34" customWidth="1"/>
    <col min="2" max="2" width="43.7109375" style="34" customWidth="1"/>
    <col min="3" max="3" width="14.42578125" style="34" bestFit="1" customWidth="1"/>
    <col min="4" max="5" width="12.85546875" style="34" customWidth="1"/>
    <col min="6" max="6" width="16.140625" style="34" customWidth="1"/>
    <col min="7" max="7" width="14" style="34" bestFit="1" customWidth="1"/>
    <col min="8" max="9" width="12.85546875" style="34" customWidth="1"/>
    <col min="10" max="10" width="15.85546875" style="34" customWidth="1"/>
    <col min="11" max="11" width="12.85546875" style="34" customWidth="1"/>
    <col min="12" max="12" width="4.5703125" style="34" customWidth="1"/>
    <col min="13" max="13" width="9.28515625" style="34" hidden="1" customWidth="1" outlineLevel="1"/>
    <col min="14" max="14" width="9.7109375" style="34" hidden="1" customWidth="1" outlineLevel="1"/>
    <col min="15" max="17" width="0" style="34" hidden="1" customWidth="1" outlineLevel="1"/>
    <col min="18" max="18" width="9.140625" style="34" collapsed="1"/>
    <col min="19" max="256" width="9.140625" style="34"/>
    <col min="257" max="257" width="5.140625" style="34" customWidth="1"/>
    <col min="258" max="258" width="43.7109375" style="34" customWidth="1"/>
    <col min="259" max="264" width="16.7109375" style="34" customWidth="1"/>
    <col min="265" max="266" width="14.42578125" style="34" customWidth="1"/>
    <col min="267" max="267" width="14.42578125" style="34" bestFit="1" customWidth="1"/>
    <col min="268" max="268" width="4.5703125" style="34" customWidth="1"/>
    <col min="269" max="269" width="14.42578125" style="34" customWidth="1"/>
    <col min="270" max="512" width="9.140625" style="34"/>
    <col min="513" max="513" width="5.140625" style="34" customWidth="1"/>
    <col min="514" max="514" width="43.7109375" style="34" customWidth="1"/>
    <col min="515" max="520" width="16.7109375" style="34" customWidth="1"/>
    <col min="521" max="522" width="14.42578125" style="34" customWidth="1"/>
    <col min="523" max="523" width="14.42578125" style="34" bestFit="1" customWidth="1"/>
    <col min="524" max="524" width="4.5703125" style="34" customWidth="1"/>
    <col min="525" max="525" width="14.42578125" style="34" customWidth="1"/>
    <col min="526" max="768" width="9.140625" style="34"/>
    <col min="769" max="769" width="5.140625" style="34" customWidth="1"/>
    <col min="770" max="770" width="43.7109375" style="34" customWidth="1"/>
    <col min="771" max="776" width="16.7109375" style="34" customWidth="1"/>
    <col min="777" max="778" width="14.42578125" style="34" customWidth="1"/>
    <col min="779" max="779" width="14.42578125" style="34" bestFit="1" customWidth="1"/>
    <col min="780" max="780" width="4.5703125" style="34" customWidth="1"/>
    <col min="781" max="781" width="14.42578125" style="34" customWidth="1"/>
    <col min="782" max="1024" width="9.140625" style="34"/>
    <col min="1025" max="1025" width="5.140625" style="34" customWidth="1"/>
    <col min="1026" max="1026" width="43.7109375" style="34" customWidth="1"/>
    <col min="1027" max="1032" width="16.7109375" style="34" customWidth="1"/>
    <col min="1033" max="1034" width="14.42578125" style="34" customWidth="1"/>
    <col min="1035" max="1035" width="14.42578125" style="34" bestFit="1" customWidth="1"/>
    <col min="1036" max="1036" width="4.5703125" style="34" customWidth="1"/>
    <col min="1037" max="1037" width="14.42578125" style="34" customWidth="1"/>
    <col min="1038" max="1280" width="9.140625" style="34"/>
    <col min="1281" max="1281" width="5.140625" style="34" customWidth="1"/>
    <col min="1282" max="1282" width="43.7109375" style="34" customWidth="1"/>
    <col min="1283" max="1288" width="16.7109375" style="34" customWidth="1"/>
    <col min="1289" max="1290" width="14.42578125" style="34" customWidth="1"/>
    <col min="1291" max="1291" width="14.42578125" style="34" bestFit="1" customWidth="1"/>
    <col min="1292" max="1292" width="4.5703125" style="34" customWidth="1"/>
    <col min="1293" max="1293" width="14.42578125" style="34" customWidth="1"/>
    <col min="1294" max="1536" width="9.140625" style="34"/>
    <col min="1537" max="1537" width="5.140625" style="34" customWidth="1"/>
    <col min="1538" max="1538" width="43.7109375" style="34" customWidth="1"/>
    <col min="1539" max="1544" width="16.7109375" style="34" customWidth="1"/>
    <col min="1545" max="1546" width="14.42578125" style="34" customWidth="1"/>
    <col min="1547" max="1547" width="14.42578125" style="34" bestFit="1" customWidth="1"/>
    <col min="1548" max="1548" width="4.5703125" style="34" customWidth="1"/>
    <col min="1549" max="1549" width="14.42578125" style="34" customWidth="1"/>
    <col min="1550" max="1792" width="9.140625" style="34"/>
    <col min="1793" max="1793" width="5.140625" style="34" customWidth="1"/>
    <col min="1794" max="1794" width="43.7109375" style="34" customWidth="1"/>
    <col min="1795" max="1800" width="16.7109375" style="34" customWidth="1"/>
    <col min="1801" max="1802" width="14.42578125" style="34" customWidth="1"/>
    <col min="1803" max="1803" width="14.42578125" style="34" bestFit="1" customWidth="1"/>
    <col min="1804" max="1804" width="4.5703125" style="34" customWidth="1"/>
    <col min="1805" max="1805" width="14.42578125" style="34" customWidth="1"/>
    <col min="1806" max="2048" width="9.140625" style="34"/>
    <col min="2049" max="2049" width="5.140625" style="34" customWidth="1"/>
    <col min="2050" max="2050" width="43.7109375" style="34" customWidth="1"/>
    <col min="2051" max="2056" width="16.7109375" style="34" customWidth="1"/>
    <col min="2057" max="2058" width="14.42578125" style="34" customWidth="1"/>
    <col min="2059" max="2059" width="14.42578125" style="34" bestFit="1" customWidth="1"/>
    <col min="2060" max="2060" width="4.5703125" style="34" customWidth="1"/>
    <col min="2061" max="2061" width="14.42578125" style="34" customWidth="1"/>
    <col min="2062" max="2304" width="9.140625" style="34"/>
    <col min="2305" max="2305" width="5.140625" style="34" customWidth="1"/>
    <col min="2306" max="2306" width="43.7109375" style="34" customWidth="1"/>
    <col min="2307" max="2312" width="16.7109375" style="34" customWidth="1"/>
    <col min="2313" max="2314" width="14.42578125" style="34" customWidth="1"/>
    <col min="2315" max="2315" width="14.42578125" style="34" bestFit="1" customWidth="1"/>
    <col min="2316" max="2316" width="4.5703125" style="34" customWidth="1"/>
    <col min="2317" max="2317" width="14.42578125" style="34" customWidth="1"/>
    <col min="2318" max="2560" width="9.140625" style="34"/>
    <col min="2561" max="2561" width="5.140625" style="34" customWidth="1"/>
    <col min="2562" max="2562" width="43.7109375" style="34" customWidth="1"/>
    <col min="2563" max="2568" width="16.7109375" style="34" customWidth="1"/>
    <col min="2569" max="2570" width="14.42578125" style="34" customWidth="1"/>
    <col min="2571" max="2571" width="14.42578125" style="34" bestFit="1" customWidth="1"/>
    <col min="2572" max="2572" width="4.5703125" style="34" customWidth="1"/>
    <col min="2573" max="2573" width="14.42578125" style="34" customWidth="1"/>
    <col min="2574" max="2816" width="9.140625" style="34"/>
    <col min="2817" max="2817" width="5.140625" style="34" customWidth="1"/>
    <col min="2818" max="2818" width="43.7109375" style="34" customWidth="1"/>
    <col min="2819" max="2824" width="16.7109375" style="34" customWidth="1"/>
    <col min="2825" max="2826" width="14.42578125" style="34" customWidth="1"/>
    <col min="2827" max="2827" width="14.42578125" style="34" bestFit="1" customWidth="1"/>
    <col min="2828" max="2828" width="4.5703125" style="34" customWidth="1"/>
    <col min="2829" max="2829" width="14.42578125" style="34" customWidth="1"/>
    <col min="2830" max="3072" width="9.140625" style="34"/>
    <col min="3073" max="3073" width="5.140625" style="34" customWidth="1"/>
    <col min="3074" max="3074" width="43.7109375" style="34" customWidth="1"/>
    <col min="3075" max="3080" width="16.7109375" style="34" customWidth="1"/>
    <col min="3081" max="3082" width="14.42578125" style="34" customWidth="1"/>
    <col min="3083" max="3083" width="14.42578125" style="34" bestFit="1" customWidth="1"/>
    <col min="3084" max="3084" width="4.5703125" style="34" customWidth="1"/>
    <col min="3085" max="3085" width="14.42578125" style="34" customWidth="1"/>
    <col min="3086" max="3328" width="9.140625" style="34"/>
    <col min="3329" max="3329" width="5.140625" style="34" customWidth="1"/>
    <col min="3330" max="3330" width="43.7109375" style="34" customWidth="1"/>
    <col min="3331" max="3336" width="16.7109375" style="34" customWidth="1"/>
    <col min="3337" max="3338" width="14.42578125" style="34" customWidth="1"/>
    <col min="3339" max="3339" width="14.42578125" style="34" bestFit="1" customWidth="1"/>
    <col min="3340" max="3340" width="4.5703125" style="34" customWidth="1"/>
    <col min="3341" max="3341" width="14.42578125" style="34" customWidth="1"/>
    <col min="3342" max="3584" width="9.140625" style="34"/>
    <col min="3585" max="3585" width="5.140625" style="34" customWidth="1"/>
    <col min="3586" max="3586" width="43.7109375" style="34" customWidth="1"/>
    <col min="3587" max="3592" width="16.7109375" style="34" customWidth="1"/>
    <col min="3593" max="3594" width="14.42578125" style="34" customWidth="1"/>
    <col min="3595" max="3595" width="14.42578125" style="34" bestFit="1" customWidth="1"/>
    <col min="3596" max="3596" width="4.5703125" style="34" customWidth="1"/>
    <col min="3597" max="3597" width="14.42578125" style="34" customWidth="1"/>
    <col min="3598" max="3840" width="9.140625" style="34"/>
    <col min="3841" max="3841" width="5.140625" style="34" customWidth="1"/>
    <col min="3842" max="3842" width="43.7109375" style="34" customWidth="1"/>
    <col min="3843" max="3848" width="16.7109375" style="34" customWidth="1"/>
    <col min="3849" max="3850" width="14.42578125" style="34" customWidth="1"/>
    <col min="3851" max="3851" width="14.42578125" style="34" bestFit="1" customWidth="1"/>
    <col min="3852" max="3852" width="4.5703125" style="34" customWidth="1"/>
    <col min="3853" max="3853" width="14.42578125" style="34" customWidth="1"/>
    <col min="3854" max="4096" width="9.140625" style="34"/>
    <col min="4097" max="4097" width="5.140625" style="34" customWidth="1"/>
    <col min="4098" max="4098" width="43.7109375" style="34" customWidth="1"/>
    <col min="4099" max="4104" width="16.7109375" style="34" customWidth="1"/>
    <col min="4105" max="4106" width="14.42578125" style="34" customWidth="1"/>
    <col min="4107" max="4107" width="14.42578125" style="34" bestFit="1" customWidth="1"/>
    <col min="4108" max="4108" width="4.5703125" style="34" customWidth="1"/>
    <col min="4109" max="4109" width="14.42578125" style="34" customWidth="1"/>
    <col min="4110" max="4352" width="9.140625" style="34"/>
    <col min="4353" max="4353" width="5.140625" style="34" customWidth="1"/>
    <col min="4354" max="4354" width="43.7109375" style="34" customWidth="1"/>
    <col min="4355" max="4360" width="16.7109375" style="34" customWidth="1"/>
    <col min="4361" max="4362" width="14.42578125" style="34" customWidth="1"/>
    <col min="4363" max="4363" width="14.42578125" style="34" bestFit="1" customWidth="1"/>
    <col min="4364" max="4364" width="4.5703125" style="34" customWidth="1"/>
    <col min="4365" max="4365" width="14.42578125" style="34" customWidth="1"/>
    <col min="4366" max="4608" width="9.140625" style="34"/>
    <col min="4609" max="4609" width="5.140625" style="34" customWidth="1"/>
    <col min="4610" max="4610" width="43.7109375" style="34" customWidth="1"/>
    <col min="4611" max="4616" width="16.7109375" style="34" customWidth="1"/>
    <col min="4617" max="4618" width="14.42578125" style="34" customWidth="1"/>
    <col min="4619" max="4619" width="14.42578125" style="34" bestFit="1" customWidth="1"/>
    <col min="4620" max="4620" width="4.5703125" style="34" customWidth="1"/>
    <col min="4621" max="4621" width="14.42578125" style="34" customWidth="1"/>
    <col min="4622" max="4864" width="9.140625" style="34"/>
    <col min="4865" max="4865" width="5.140625" style="34" customWidth="1"/>
    <col min="4866" max="4866" width="43.7109375" style="34" customWidth="1"/>
    <col min="4867" max="4872" width="16.7109375" style="34" customWidth="1"/>
    <col min="4873" max="4874" width="14.42578125" style="34" customWidth="1"/>
    <col min="4875" max="4875" width="14.42578125" style="34" bestFit="1" customWidth="1"/>
    <col min="4876" max="4876" width="4.5703125" style="34" customWidth="1"/>
    <col min="4877" max="4877" width="14.42578125" style="34" customWidth="1"/>
    <col min="4878" max="5120" width="9.140625" style="34"/>
    <col min="5121" max="5121" width="5.140625" style="34" customWidth="1"/>
    <col min="5122" max="5122" width="43.7109375" style="34" customWidth="1"/>
    <col min="5123" max="5128" width="16.7109375" style="34" customWidth="1"/>
    <col min="5129" max="5130" width="14.42578125" style="34" customWidth="1"/>
    <col min="5131" max="5131" width="14.42578125" style="34" bestFit="1" customWidth="1"/>
    <col min="5132" max="5132" width="4.5703125" style="34" customWidth="1"/>
    <col min="5133" max="5133" width="14.42578125" style="34" customWidth="1"/>
    <col min="5134" max="5376" width="9.140625" style="34"/>
    <col min="5377" max="5377" width="5.140625" style="34" customWidth="1"/>
    <col min="5378" max="5378" width="43.7109375" style="34" customWidth="1"/>
    <col min="5379" max="5384" width="16.7109375" style="34" customWidth="1"/>
    <col min="5385" max="5386" width="14.42578125" style="34" customWidth="1"/>
    <col min="5387" max="5387" width="14.42578125" style="34" bestFit="1" customWidth="1"/>
    <col min="5388" max="5388" width="4.5703125" style="34" customWidth="1"/>
    <col min="5389" max="5389" width="14.42578125" style="34" customWidth="1"/>
    <col min="5390" max="5632" width="9.140625" style="34"/>
    <col min="5633" max="5633" width="5.140625" style="34" customWidth="1"/>
    <col min="5634" max="5634" width="43.7109375" style="34" customWidth="1"/>
    <col min="5635" max="5640" width="16.7109375" style="34" customWidth="1"/>
    <col min="5641" max="5642" width="14.42578125" style="34" customWidth="1"/>
    <col min="5643" max="5643" width="14.42578125" style="34" bestFit="1" customWidth="1"/>
    <col min="5644" max="5644" width="4.5703125" style="34" customWidth="1"/>
    <col min="5645" max="5645" width="14.42578125" style="34" customWidth="1"/>
    <col min="5646" max="5888" width="9.140625" style="34"/>
    <col min="5889" max="5889" width="5.140625" style="34" customWidth="1"/>
    <col min="5890" max="5890" width="43.7109375" style="34" customWidth="1"/>
    <col min="5891" max="5896" width="16.7109375" style="34" customWidth="1"/>
    <col min="5897" max="5898" width="14.42578125" style="34" customWidth="1"/>
    <col min="5899" max="5899" width="14.42578125" style="34" bestFit="1" customWidth="1"/>
    <col min="5900" max="5900" width="4.5703125" style="34" customWidth="1"/>
    <col min="5901" max="5901" width="14.42578125" style="34" customWidth="1"/>
    <col min="5902" max="6144" width="9.140625" style="34"/>
    <col min="6145" max="6145" width="5.140625" style="34" customWidth="1"/>
    <col min="6146" max="6146" width="43.7109375" style="34" customWidth="1"/>
    <col min="6147" max="6152" width="16.7109375" style="34" customWidth="1"/>
    <col min="6153" max="6154" width="14.42578125" style="34" customWidth="1"/>
    <col min="6155" max="6155" width="14.42578125" style="34" bestFit="1" customWidth="1"/>
    <col min="6156" max="6156" width="4.5703125" style="34" customWidth="1"/>
    <col min="6157" max="6157" width="14.42578125" style="34" customWidth="1"/>
    <col min="6158" max="6400" width="9.140625" style="34"/>
    <col min="6401" max="6401" width="5.140625" style="34" customWidth="1"/>
    <col min="6402" max="6402" width="43.7109375" style="34" customWidth="1"/>
    <col min="6403" max="6408" width="16.7109375" style="34" customWidth="1"/>
    <col min="6409" max="6410" width="14.42578125" style="34" customWidth="1"/>
    <col min="6411" max="6411" width="14.42578125" style="34" bestFit="1" customWidth="1"/>
    <col min="6412" max="6412" width="4.5703125" style="34" customWidth="1"/>
    <col min="6413" max="6413" width="14.42578125" style="34" customWidth="1"/>
    <col min="6414" max="6656" width="9.140625" style="34"/>
    <col min="6657" max="6657" width="5.140625" style="34" customWidth="1"/>
    <col min="6658" max="6658" width="43.7109375" style="34" customWidth="1"/>
    <col min="6659" max="6664" width="16.7109375" style="34" customWidth="1"/>
    <col min="6665" max="6666" width="14.42578125" style="34" customWidth="1"/>
    <col min="6667" max="6667" width="14.42578125" style="34" bestFit="1" customWidth="1"/>
    <col min="6668" max="6668" width="4.5703125" style="34" customWidth="1"/>
    <col min="6669" max="6669" width="14.42578125" style="34" customWidth="1"/>
    <col min="6670" max="6912" width="9.140625" style="34"/>
    <col min="6913" max="6913" width="5.140625" style="34" customWidth="1"/>
    <col min="6914" max="6914" width="43.7109375" style="34" customWidth="1"/>
    <col min="6915" max="6920" width="16.7109375" style="34" customWidth="1"/>
    <col min="6921" max="6922" width="14.42578125" style="34" customWidth="1"/>
    <col min="6923" max="6923" width="14.42578125" style="34" bestFit="1" customWidth="1"/>
    <col min="6924" max="6924" width="4.5703125" style="34" customWidth="1"/>
    <col min="6925" max="6925" width="14.42578125" style="34" customWidth="1"/>
    <col min="6926" max="7168" width="9.140625" style="34"/>
    <col min="7169" max="7169" width="5.140625" style="34" customWidth="1"/>
    <col min="7170" max="7170" width="43.7109375" style="34" customWidth="1"/>
    <col min="7171" max="7176" width="16.7109375" style="34" customWidth="1"/>
    <col min="7177" max="7178" width="14.42578125" style="34" customWidth="1"/>
    <col min="7179" max="7179" width="14.42578125" style="34" bestFit="1" customWidth="1"/>
    <col min="7180" max="7180" width="4.5703125" style="34" customWidth="1"/>
    <col min="7181" max="7181" width="14.42578125" style="34" customWidth="1"/>
    <col min="7182" max="7424" width="9.140625" style="34"/>
    <col min="7425" max="7425" width="5.140625" style="34" customWidth="1"/>
    <col min="7426" max="7426" width="43.7109375" style="34" customWidth="1"/>
    <col min="7427" max="7432" width="16.7109375" style="34" customWidth="1"/>
    <col min="7433" max="7434" width="14.42578125" style="34" customWidth="1"/>
    <col min="7435" max="7435" width="14.42578125" style="34" bestFit="1" customWidth="1"/>
    <col min="7436" max="7436" width="4.5703125" style="34" customWidth="1"/>
    <col min="7437" max="7437" width="14.42578125" style="34" customWidth="1"/>
    <col min="7438" max="7680" width="9.140625" style="34"/>
    <col min="7681" max="7681" width="5.140625" style="34" customWidth="1"/>
    <col min="7682" max="7682" width="43.7109375" style="34" customWidth="1"/>
    <col min="7683" max="7688" width="16.7109375" style="34" customWidth="1"/>
    <col min="7689" max="7690" width="14.42578125" style="34" customWidth="1"/>
    <col min="7691" max="7691" width="14.42578125" style="34" bestFit="1" customWidth="1"/>
    <col min="7692" max="7692" width="4.5703125" style="34" customWidth="1"/>
    <col min="7693" max="7693" width="14.42578125" style="34" customWidth="1"/>
    <col min="7694" max="7936" width="9.140625" style="34"/>
    <col min="7937" max="7937" width="5.140625" style="34" customWidth="1"/>
    <col min="7938" max="7938" width="43.7109375" style="34" customWidth="1"/>
    <col min="7939" max="7944" width="16.7109375" style="34" customWidth="1"/>
    <col min="7945" max="7946" width="14.42578125" style="34" customWidth="1"/>
    <col min="7947" max="7947" width="14.42578125" style="34" bestFit="1" customWidth="1"/>
    <col min="7948" max="7948" width="4.5703125" style="34" customWidth="1"/>
    <col min="7949" max="7949" width="14.42578125" style="34" customWidth="1"/>
    <col min="7950" max="8192" width="9.140625" style="34"/>
    <col min="8193" max="8193" width="5.140625" style="34" customWidth="1"/>
    <col min="8194" max="8194" width="43.7109375" style="34" customWidth="1"/>
    <col min="8195" max="8200" width="16.7109375" style="34" customWidth="1"/>
    <col min="8201" max="8202" width="14.42578125" style="34" customWidth="1"/>
    <col min="8203" max="8203" width="14.42578125" style="34" bestFit="1" customWidth="1"/>
    <col min="8204" max="8204" width="4.5703125" style="34" customWidth="1"/>
    <col min="8205" max="8205" width="14.42578125" style="34" customWidth="1"/>
    <col min="8206" max="8448" width="9.140625" style="34"/>
    <col min="8449" max="8449" width="5.140625" style="34" customWidth="1"/>
    <col min="8450" max="8450" width="43.7109375" style="34" customWidth="1"/>
    <col min="8451" max="8456" width="16.7109375" style="34" customWidth="1"/>
    <col min="8457" max="8458" width="14.42578125" style="34" customWidth="1"/>
    <col min="8459" max="8459" width="14.42578125" style="34" bestFit="1" customWidth="1"/>
    <col min="8460" max="8460" width="4.5703125" style="34" customWidth="1"/>
    <col min="8461" max="8461" width="14.42578125" style="34" customWidth="1"/>
    <col min="8462" max="8704" width="9.140625" style="34"/>
    <col min="8705" max="8705" width="5.140625" style="34" customWidth="1"/>
    <col min="8706" max="8706" width="43.7109375" style="34" customWidth="1"/>
    <col min="8707" max="8712" width="16.7109375" style="34" customWidth="1"/>
    <col min="8713" max="8714" width="14.42578125" style="34" customWidth="1"/>
    <col min="8715" max="8715" width="14.42578125" style="34" bestFit="1" customWidth="1"/>
    <col min="8716" max="8716" width="4.5703125" style="34" customWidth="1"/>
    <col min="8717" max="8717" width="14.42578125" style="34" customWidth="1"/>
    <col min="8718" max="8960" width="9.140625" style="34"/>
    <col min="8961" max="8961" width="5.140625" style="34" customWidth="1"/>
    <col min="8962" max="8962" width="43.7109375" style="34" customWidth="1"/>
    <col min="8963" max="8968" width="16.7109375" style="34" customWidth="1"/>
    <col min="8969" max="8970" width="14.42578125" style="34" customWidth="1"/>
    <col min="8971" max="8971" width="14.42578125" style="34" bestFit="1" customWidth="1"/>
    <col min="8972" max="8972" width="4.5703125" style="34" customWidth="1"/>
    <col min="8973" max="8973" width="14.42578125" style="34" customWidth="1"/>
    <col min="8974" max="9216" width="9.140625" style="34"/>
    <col min="9217" max="9217" width="5.140625" style="34" customWidth="1"/>
    <col min="9218" max="9218" width="43.7109375" style="34" customWidth="1"/>
    <col min="9219" max="9224" width="16.7109375" style="34" customWidth="1"/>
    <col min="9225" max="9226" width="14.42578125" style="34" customWidth="1"/>
    <col min="9227" max="9227" width="14.42578125" style="34" bestFit="1" customWidth="1"/>
    <col min="9228" max="9228" width="4.5703125" style="34" customWidth="1"/>
    <col min="9229" max="9229" width="14.42578125" style="34" customWidth="1"/>
    <col min="9230" max="9472" width="9.140625" style="34"/>
    <col min="9473" max="9473" width="5.140625" style="34" customWidth="1"/>
    <col min="9474" max="9474" width="43.7109375" style="34" customWidth="1"/>
    <col min="9475" max="9480" width="16.7109375" style="34" customWidth="1"/>
    <col min="9481" max="9482" width="14.42578125" style="34" customWidth="1"/>
    <col min="9483" max="9483" width="14.42578125" style="34" bestFit="1" customWidth="1"/>
    <col min="9484" max="9484" width="4.5703125" style="34" customWidth="1"/>
    <col min="9485" max="9485" width="14.42578125" style="34" customWidth="1"/>
    <col min="9486" max="9728" width="9.140625" style="34"/>
    <col min="9729" max="9729" width="5.140625" style="34" customWidth="1"/>
    <col min="9730" max="9730" width="43.7109375" style="34" customWidth="1"/>
    <col min="9731" max="9736" width="16.7109375" style="34" customWidth="1"/>
    <col min="9737" max="9738" width="14.42578125" style="34" customWidth="1"/>
    <col min="9739" max="9739" width="14.42578125" style="34" bestFit="1" customWidth="1"/>
    <col min="9740" max="9740" width="4.5703125" style="34" customWidth="1"/>
    <col min="9741" max="9741" width="14.42578125" style="34" customWidth="1"/>
    <col min="9742" max="9984" width="9.140625" style="34"/>
    <col min="9985" max="9985" width="5.140625" style="34" customWidth="1"/>
    <col min="9986" max="9986" width="43.7109375" style="34" customWidth="1"/>
    <col min="9987" max="9992" width="16.7109375" style="34" customWidth="1"/>
    <col min="9993" max="9994" width="14.42578125" style="34" customWidth="1"/>
    <col min="9995" max="9995" width="14.42578125" style="34" bestFit="1" customWidth="1"/>
    <col min="9996" max="9996" width="4.5703125" style="34" customWidth="1"/>
    <col min="9997" max="9997" width="14.42578125" style="34" customWidth="1"/>
    <col min="9998" max="10240" width="9.140625" style="34"/>
    <col min="10241" max="10241" width="5.140625" style="34" customWidth="1"/>
    <col min="10242" max="10242" width="43.7109375" style="34" customWidth="1"/>
    <col min="10243" max="10248" width="16.7109375" style="34" customWidth="1"/>
    <col min="10249" max="10250" width="14.42578125" style="34" customWidth="1"/>
    <col min="10251" max="10251" width="14.42578125" style="34" bestFit="1" customWidth="1"/>
    <col min="10252" max="10252" width="4.5703125" style="34" customWidth="1"/>
    <col min="10253" max="10253" width="14.42578125" style="34" customWidth="1"/>
    <col min="10254" max="10496" width="9.140625" style="34"/>
    <col min="10497" max="10497" width="5.140625" style="34" customWidth="1"/>
    <col min="10498" max="10498" width="43.7109375" style="34" customWidth="1"/>
    <col min="10499" max="10504" width="16.7109375" style="34" customWidth="1"/>
    <col min="10505" max="10506" width="14.42578125" style="34" customWidth="1"/>
    <col min="10507" max="10507" width="14.42578125" style="34" bestFit="1" customWidth="1"/>
    <col min="10508" max="10508" width="4.5703125" style="34" customWidth="1"/>
    <col min="10509" max="10509" width="14.42578125" style="34" customWidth="1"/>
    <col min="10510" max="10752" width="9.140625" style="34"/>
    <col min="10753" max="10753" width="5.140625" style="34" customWidth="1"/>
    <col min="10754" max="10754" width="43.7109375" style="34" customWidth="1"/>
    <col min="10755" max="10760" width="16.7109375" style="34" customWidth="1"/>
    <col min="10761" max="10762" width="14.42578125" style="34" customWidth="1"/>
    <col min="10763" max="10763" width="14.42578125" style="34" bestFit="1" customWidth="1"/>
    <col min="10764" max="10764" width="4.5703125" style="34" customWidth="1"/>
    <col min="10765" max="10765" width="14.42578125" style="34" customWidth="1"/>
    <col min="10766" max="11008" width="9.140625" style="34"/>
    <col min="11009" max="11009" width="5.140625" style="34" customWidth="1"/>
    <col min="11010" max="11010" width="43.7109375" style="34" customWidth="1"/>
    <col min="11011" max="11016" width="16.7109375" style="34" customWidth="1"/>
    <col min="11017" max="11018" width="14.42578125" style="34" customWidth="1"/>
    <col min="11019" max="11019" width="14.42578125" style="34" bestFit="1" customWidth="1"/>
    <col min="11020" max="11020" width="4.5703125" style="34" customWidth="1"/>
    <col min="11021" max="11021" width="14.42578125" style="34" customWidth="1"/>
    <col min="11022" max="11264" width="9.140625" style="34"/>
    <col min="11265" max="11265" width="5.140625" style="34" customWidth="1"/>
    <col min="11266" max="11266" width="43.7109375" style="34" customWidth="1"/>
    <col min="11267" max="11272" width="16.7109375" style="34" customWidth="1"/>
    <col min="11273" max="11274" width="14.42578125" style="34" customWidth="1"/>
    <col min="11275" max="11275" width="14.42578125" style="34" bestFit="1" customWidth="1"/>
    <col min="11276" max="11276" width="4.5703125" style="34" customWidth="1"/>
    <col min="11277" max="11277" width="14.42578125" style="34" customWidth="1"/>
    <col min="11278" max="11520" width="9.140625" style="34"/>
    <col min="11521" max="11521" width="5.140625" style="34" customWidth="1"/>
    <col min="11522" max="11522" width="43.7109375" style="34" customWidth="1"/>
    <col min="11523" max="11528" width="16.7109375" style="34" customWidth="1"/>
    <col min="11529" max="11530" width="14.42578125" style="34" customWidth="1"/>
    <col min="11531" max="11531" width="14.42578125" style="34" bestFit="1" customWidth="1"/>
    <col min="11532" max="11532" width="4.5703125" style="34" customWidth="1"/>
    <col min="11533" max="11533" width="14.42578125" style="34" customWidth="1"/>
    <col min="11534" max="11776" width="9.140625" style="34"/>
    <col min="11777" max="11777" width="5.140625" style="34" customWidth="1"/>
    <col min="11778" max="11778" width="43.7109375" style="34" customWidth="1"/>
    <col min="11779" max="11784" width="16.7109375" style="34" customWidth="1"/>
    <col min="11785" max="11786" width="14.42578125" style="34" customWidth="1"/>
    <col min="11787" max="11787" width="14.42578125" style="34" bestFit="1" customWidth="1"/>
    <col min="11788" max="11788" width="4.5703125" style="34" customWidth="1"/>
    <col min="11789" max="11789" width="14.42578125" style="34" customWidth="1"/>
    <col min="11790" max="12032" width="9.140625" style="34"/>
    <col min="12033" max="12033" width="5.140625" style="34" customWidth="1"/>
    <col min="12034" max="12034" width="43.7109375" style="34" customWidth="1"/>
    <col min="12035" max="12040" width="16.7109375" style="34" customWidth="1"/>
    <col min="12041" max="12042" width="14.42578125" style="34" customWidth="1"/>
    <col min="12043" max="12043" width="14.42578125" style="34" bestFit="1" customWidth="1"/>
    <col min="12044" max="12044" width="4.5703125" style="34" customWidth="1"/>
    <col min="12045" max="12045" width="14.42578125" style="34" customWidth="1"/>
    <col min="12046" max="12288" width="9.140625" style="34"/>
    <col min="12289" max="12289" width="5.140625" style="34" customWidth="1"/>
    <col min="12290" max="12290" width="43.7109375" style="34" customWidth="1"/>
    <col min="12291" max="12296" width="16.7109375" style="34" customWidth="1"/>
    <col min="12297" max="12298" width="14.42578125" style="34" customWidth="1"/>
    <col min="12299" max="12299" width="14.42578125" style="34" bestFit="1" customWidth="1"/>
    <col min="12300" max="12300" width="4.5703125" style="34" customWidth="1"/>
    <col min="12301" max="12301" width="14.42578125" style="34" customWidth="1"/>
    <col min="12302" max="12544" width="9.140625" style="34"/>
    <col min="12545" max="12545" width="5.140625" style="34" customWidth="1"/>
    <col min="12546" max="12546" width="43.7109375" style="34" customWidth="1"/>
    <col min="12547" max="12552" width="16.7109375" style="34" customWidth="1"/>
    <col min="12553" max="12554" width="14.42578125" style="34" customWidth="1"/>
    <col min="12555" max="12555" width="14.42578125" style="34" bestFit="1" customWidth="1"/>
    <col min="12556" max="12556" width="4.5703125" style="34" customWidth="1"/>
    <col min="12557" max="12557" width="14.42578125" style="34" customWidth="1"/>
    <col min="12558" max="12800" width="9.140625" style="34"/>
    <col min="12801" max="12801" width="5.140625" style="34" customWidth="1"/>
    <col min="12802" max="12802" width="43.7109375" style="34" customWidth="1"/>
    <col min="12803" max="12808" width="16.7109375" style="34" customWidth="1"/>
    <col min="12809" max="12810" width="14.42578125" style="34" customWidth="1"/>
    <col min="12811" max="12811" width="14.42578125" style="34" bestFit="1" customWidth="1"/>
    <col min="12812" max="12812" width="4.5703125" style="34" customWidth="1"/>
    <col min="12813" max="12813" width="14.42578125" style="34" customWidth="1"/>
    <col min="12814" max="13056" width="9.140625" style="34"/>
    <col min="13057" max="13057" width="5.140625" style="34" customWidth="1"/>
    <col min="13058" max="13058" width="43.7109375" style="34" customWidth="1"/>
    <col min="13059" max="13064" width="16.7109375" style="34" customWidth="1"/>
    <col min="13065" max="13066" width="14.42578125" style="34" customWidth="1"/>
    <col min="13067" max="13067" width="14.42578125" style="34" bestFit="1" customWidth="1"/>
    <col min="13068" max="13068" width="4.5703125" style="34" customWidth="1"/>
    <col min="13069" max="13069" width="14.42578125" style="34" customWidth="1"/>
    <col min="13070" max="13312" width="9.140625" style="34"/>
    <col min="13313" max="13313" width="5.140625" style="34" customWidth="1"/>
    <col min="13314" max="13314" width="43.7109375" style="34" customWidth="1"/>
    <col min="13315" max="13320" width="16.7109375" style="34" customWidth="1"/>
    <col min="13321" max="13322" width="14.42578125" style="34" customWidth="1"/>
    <col min="13323" max="13323" width="14.42578125" style="34" bestFit="1" customWidth="1"/>
    <col min="13324" max="13324" width="4.5703125" style="34" customWidth="1"/>
    <col min="13325" max="13325" width="14.42578125" style="34" customWidth="1"/>
    <col min="13326" max="13568" width="9.140625" style="34"/>
    <col min="13569" max="13569" width="5.140625" style="34" customWidth="1"/>
    <col min="13570" max="13570" width="43.7109375" style="34" customWidth="1"/>
    <col min="13571" max="13576" width="16.7109375" style="34" customWidth="1"/>
    <col min="13577" max="13578" width="14.42578125" style="34" customWidth="1"/>
    <col min="13579" max="13579" width="14.42578125" style="34" bestFit="1" customWidth="1"/>
    <col min="13580" max="13580" width="4.5703125" style="34" customWidth="1"/>
    <col min="13581" max="13581" width="14.42578125" style="34" customWidth="1"/>
    <col min="13582" max="13824" width="9.140625" style="34"/>
    <col min="13825" max="13825" width="5.140625" style="34" customWidth="1"/>
    <col min="13826" max="13826" width="43.7109375" style="34" customWidth="1"/>
    <col min="13827" max="13832" width="16.7109375" style="34" customWidth="1"/>
    <col min="13833" max="13834" width="14.42578125" style="34" customWidth="1"/>
    <col min="13835" max="13835" width="14.42578125" style="34" bestFit="1" customWidth="1"/>
    <col min="13836" max="13836" width="4.5703125" style="34" customWidth="1"/>
    <col min="13837" max="13837" width="14.42578125" style="34" customWidth="1"/>
    <col min="13838" max="14080" width="9.140625" style="34"/>
    <col min="14081" max="14081" width="5.140625" style="34" customWidth="1"/>
    <col min="14082" max="14082" width="43.7109375" style="34" customWidth="1"/>
    <col min="14083" max="14088" width="16.7109375" style="34" customWidth="1"/>
    <col min="14089" max="14090" width="14.42578125" style="34" customWidth="1"/>
    <col min="14091" max="14091" width="14.42578125" style="34" bestFit="1" customWidth="1"/>
    <col min="14092" max="14092" width="4.5703125" style="34" customWidth="1"/>
    <col min="14093" max="14093" width="14.42578125" style="34" customWidth="1"/>
    <col min="14094" max="14336" width="9.140625" style="34"/>
    <col min="14337" max="14337" width="5.140625" style="34" customWidth="1"/>
    <col min="14338" max="14338" width="43.7109375" style="34" customWidth="1"/>
    <col min="14339" max="14344" width="16.7109375" style="34" customWidth="1"/>
    <col min="14345" max="14346" width="14.42578125" style="34" customWidth="1"/>
    <col min="14347" max="14347" width="14.42578125" style="34" bestFit="1" customWidth="1"/>
    <col min="14348" max="14348" width="4.5703125" style="34" customWidth="1"/>
    <col min="14349" max="14349" width="14.42578125" style="34" customWidth="1"/>
    <col min="14350" max="14592" width="9.140625" style="34"/>
    <col min="14593" max="14593" width="5.140625" style="34" customWidth="1"/>
    <col min="14594" max="14594" width="43.7109375" style="34" customWidth="1"/>
    <col min="14595" max="14600" width="16.7109375" style="34" customWidth="1"/>
    <col min="14601" max="14602" width="14.42578125" style="34" customWidth="1"/>
    <col min="14603" max="14603" width="14.42578125" style="34" bestFit="1" customWidth="1"/>
    <col min="14604" max="14604" width="4.5703125" style="34" customWidth="1"/>
    <col min="14605" max="14605" width="14.42578125" style="34" customWidth="1"/>
    <col min="14606" max="14848" width="9.140625" style="34"/>
    <col min="14849" max="14849" width="5.140625" style="34" customWidth="1"/>
    <col min="14850" max="14850" width="43.7109375" style="34" customWidth="1"/>
    <col min="14851" max="14856" width="16.7109375" style="34" customWidth="1"/>
    <col min="14857" max="14858" width="14.42578125" style="34" customWidth="1"/>
    <col min="14859" max="14859" width="14.42578125" style="34" bestFit="1" customWidth="1"/>
    <col min="14860" max="14860" width="4.5703125" style="34" customWidth="1"/>
    <col min="14861" max="14861" width="14.42578125" style="34" customWidth="1"/>
    <col min="14862" max="15104" width="9.140625" style="34"/>
    <col min="15105" max="15105" width="5.140625" style="34" customWidth="1"/>
    <col min="15106" max="15106" width="43.7109375" style="34" customWidth="1"/>
    <col min="15107" max="15112" width="16.7109375" style="34" customWidth="1"/>
    <col min="15113" max="15114" width="14.42578125" style="34" customWidth="1"/>
    <col min="15115" max="15115" width="14.42578125" style="34" bestFit="1" customWidth="1"/>
    <col min="15116" max="15116" width="4.5703125" style="34" customWidth="1"/>
    <col min="15117" max="15117" width="14.42578125" style="34" customWidth="1"/>
    <col min="15118" max="15360" width="9.140625" style="34"/>
    <col min="15361" max="15361" width="5.140625" style="34" customWidth="1"/>
    <col min="15362" max="15362" width="43.7109375" style="34" customWidth="1"/>
    <col min="15363" max="15368" width="16.7109375" style="34" customWidth="1"/>
    <col min="15369" max="15370" width="14.42578125" style="34" customWidth="1"/>
    <col min="15371" max="15371" width="14.42578125" style="34" bestFit="1" customWidth="1"/>
    <col min="15372" max="15372" width="4.5703125" style="34" customWidth="1"/>
    <col min="15373" max="15373" width="14.42578125" style="34" customWidth="1"/>
    <col min="15374" max="15616" width="9.140625" style="34"/>
    <col min="15617" max="15617" width="5.140625" style="34" customWidth="1"/>
    <col min="15618" max="15618" width="43.7109375" style="34" customWidth="1"/>
    <col min="15619" max="15624" width="16.7109375" style="34" customWidth="1"/>
    <col min="15625" max="15626" width="14.42578125" style="34" customWidth="1"/>
    <col min="15627" max="15627" width="14.42578125" style="34" bestFit="1" customWidth="1"/>
    <col min="15628" max="15628" width="4.5703125" style="34" customWidth="1"/>
    <col min="15629" max="15629" width="14.42578125" style="34" customWidth="1"/>
    <col min="15630" max="15872" width="9.140625" style="34"/>
    <col min="15873" max="15873" width="5.140625" style="34" customWidth="1"/>
    <col min="15874" max="15874" width="43.7109375" style="34" customWidth="1"/>
    <col min="15875" max="15880" width="16.7109375" style="34" customWidth="1"/>
    <col min="15881" max="15882" width="14.42578125" style="34" customWidth="1"/>
    <col min="15883" max="15883" width="14.42578125" style="34" bestFit="1" customWidth="1"/>
    <col min="15884" max="15884" width="4.5703125" style="34" customWidth="1"/>
    <col min="15885" max="15885" width="14.42578125" style="34" customWidth="1"/>
    <col min="15886" max="16128" width="9.140625" style="34"/>
    <col min="16129" max="16129" width="5.140625" style="34" customWidth="1"/>
    <col min="16130" max="16130" width="43.7109375" style="34" customWidth="1"/>
    <col min="16131" max="16136" width="16.7109375" style="34" customWidth="1"/>
    <col min="16137" max="16138" width="14.42578125" style="34" customWidth="1"/>
    <col min="16139" max="16139" width="14.42578125" style="34" bestFit="1" customWidth="1"/>
    <col min="16140" max="16140" width="4.5703125" style="34" customWidth="1"/>
    <col min="16141" max="16141" width="14.42578125" style="34" customWidth="1"/>
    <col min="16142" max="16384" width="9.140625" style="34"/>
  </cols>
  <sheetData>
    <row r="1" spans="1:14" x14ac:dyDescent="0.2">
      <c r="B1" s="35" t="str">
        <f>Update!$B$6</f>
        <v>Department of Health</v>
      </c>
    </row>
    <row r="2" spans="1:14" x14ac:dyDescent="0.2">
      <c r="B2" s="35" t="str">
        <f>Update!$B$10</f>
        <v>Notes to the financial statements</v>
      </c>
    </row>
    <row r="3" spans="1:14" x14ac:dyDescent="0.2">
      <c r="B3" s="35" t="str">
        <f>Update!$A$3</f>
        <v>2025-26</v>
      </c>
    </row>
    <row r="5" spans="1:14" x14ac:dyDescent="0.2">
      <c r="A5" s="229">
        <f>SUMIF(Update!$B$33:$B$106,B5,Update!$A$33:$A$106)</f>
        <v>6</v>
      </c>
      <c r="B5" s="37" t="s">
        <v>602</v>
      </c>
    </row>
    <row r="6" spans="1:14" x14ac:dyDescent="0.2">
      <c r="A6" s="229">
        <f>SUMIF(Update!$B$33:$B$106,B6,Update!$A$33:$A$106)</f>
        <v>6.1</v>
      </c>
      <c r="B6" s="37" t="str">
        <f>"Consolidated intangible assets "&amp;Update!$B$13</f>
        <v>Consolidated intangible assets 2025-26</v>
      </c>
    </row>
    <row r="9" spans="1:14" ht="51" x14ac:dyDescent="0.2">
      <c r="C9" s="779" t="s">
        <v>201</v>
      </c>
      <c r="D9" s="779" t="s">
        <v>211</v>
      </c>
      <c r="E9" s="779" t="s">
        <v>451</v>
      </c>
      <c r="F9" s="779" t="s">
        <v>603</v>
      </c>
      <c r="G9" s="779" t="s">
        <v>452</v>
      </c>
      <c r="H9" s="779" t="s">
        <v>453</v>
      </c>
      <c r="I9" s="779" t="s">
        <v>454</v>
      </c>
      <c r="J9" s="779" t="s">
        <v>455</v>
      </c>
      <c r="K9" s="779" t="s">
        <v>604</v>
      </c>
    </row>
    <row r="10" spans="1:14" x14ac:dyDescent="0.2">
      <c r="C10" s="57" t="s">
        <v>62</v>
      </c>
      <c r="D10" s="57" t="s">
        <v>62</v>
      </c>
      <c r="E10" s="57" t="s">
        <v>62</v>
      </c>
      <c r="F10" s="57" t="s">
        <v>62</v>
      </c>
      <c r="G10" s="57" t="s">
        <v>62</v>
      </c>
      <c r="H10" s="57" t="s">
        <v>62</v>
      </c>
      <c r="I10" s="57" t="s">
        <v>62</v>
      </c>
      <c r="J10" s="57" t="s">
        <v>62</v>
      </c>
      <c r="K10" s="57" t="s">
        <v>62</v>
      </c>
      <c r="L10" s="39"/>
      <c r="M10" s="165"/>
    </row>
    <row r="11" spans="1:14" x14ac:dyDescent="0.2">
      <c r="B11" s="37" t="s">
        <v>183</v>
      </c>
      <c r="C11" s="37"/>
      <c r="D11" s="37"/>
      <c r="E11" s="37"/>
    </row>
    <row r="12" spans="1:14" x14ac:dyDescent="0.2">
      <c r="B12" s="34" t="str">
        <f>"At"&amp;Update!$B$20</f>
        <v>At 1 April 2025</v>
      </c>
      <c r="C12" s="747">
        <f>SUMIF(MAP!$E$847:$E$861,$B12,MAP!$T$847:$T$861)</f>
        <v>0</v>
      </c>
      <c r="D12" s="747">
        <f>SUMIF(MAP!$E$884:$E$897,$B12,MAP!$T$884:$T$897)</f>
        <v>148</v>
      </c>
      <c r="E12" s="747">
        <f>SUMIF(MAP!$E$920:$E$933,$B12,MAP!$T$920:$T$933)</f>
        <v>0</v>
      </c>
      <c r="F12" s="747">
        <f>SUMIF(MAP!$E$956:$E$969,$B12,MAP!$T$956:$T$969)</f>
        <v>63</v>
      </c>
      <c r="G12" s="747">
        <f>SUMIF(MAP!$E$992:$E$1005,$B12,MAP!$T$992:$T$1005)</f>
        <v>0</v>
      </c>
      <c r="H12" s="747">
        <f>SUMIF(MAP!$E$1028:$E$1041,$B12,MAP!$T$1028:$T$1041)</f>
        <v>0</v>
      </c>
      <c r="I12" s="747">
        <f>SUMIF(MAP!$E$1064:$E$1077,$B12,MAP!$T$1064:$T$1077)</f>
        <v>0</v>
      </c>
      <c r="J12" s="747">
        <f>SUMIF(MAP!$E$1100:$E$1113,$B12,MAP!$T$1100:$T$1113)</f>
        <v>0</v>
      </c>
      <c r="K12" s="34">
        <f>SUM(C12:J12)</f>
        <v>211</v>
      </c>
      <c r="M12" s="246"/>
      <c r="N12" s="34" t="s">
        <v>844</v>
      </c>
    </row>
    <row r="13" spans="1:14" x14ac:dyDescent="0.2">
      <c r="B13" s="34" t="s">
        <v>435</v>
      </c>
      <c r="C13" s="747">
        <f>SUMIF(MAP!$E$847:$E$861,$B13,MAP!$T$847:$T$861)</f>
        <v>0</v>
      </c>
      <c r="D13" s="747">
        <f>SUMIF(MAP!$E$884:$E$897,$B13,MAP!$T$884:$T$897)</f>
        <v>0</v>
      </c>
      <c r="E13" s="747">
        <f>SUMIF(MAP!$E$920:$E$933,$B13,MAP!$T$920:$T$933)</f>
        <v>0</v>
      </c>
      <c r="F13" s="747">
        <f>SUMIF(MAP!$E$956:$E$969,$B13,MAP!$T$956:$T$969)</f>
        <v>0</v>
      </c>
      <c r="G13" s="747">
        <f>SUMIF(MAP!$E$992:$E$1005,$B13,MAP!$T$992:$T$1005)</f>
        <v>0</v>
      </c>
      <c r="H13" s="747">
        <f>SUMIF(MAP!$E$1028:$E$1041,$B13,MAP!$T$1028:$T$1041)</f>
        <v>0</v>
      </c>
      <c r="I13" s="747">
        <f>SUMIF(MAP!$E$1064:$E$1077,$B13,MAP!$T$1064:$T$1077)</f>
        <v>0</v>
      </c>
      <c r="J13" s="747">
        <f>SUMIF(MAP!$E$1100:$E$1113,$B13,MAP!$T$1100:$T$1113)</f>
        <v>0</v>
      </c>
      <c r="K13" s="34">
        <f>SUM(C13:J13)</f>
        <v>0</v>
      </c>
      <c r="M13" s="74"/>
    </row>
    <row r="14" spans="1:14" x14ac:dyDescent="0.2">
      <c r="B14" s="34" t="s">
        <v>442</v>
      </c>
      <c r="C14" s="98">
        <f>SUM(C12:C13)</f>
        <v>0</v>
      </c>
      <c r="D14" s="98">
        <f>SUM(D12:D13)</f>
        <v>148</v>
      </c>
      <c r="E14" s="98">
        <f t="shared" ref="E14:K14" si="0">SUM(E12:E13)</f>
        <v>0</v>
      </c>
      <c r="F14" s="98">
        <f t="shared" si="0"/>
        <v>63</v>
      </c>
      <c r="G14" s="98">
        <f t="shared" si="0"/>
        <v>0</v>
      </c>
      <c r="H14" s="98">
        <f t="shared" si="0"/>
        <v>0</v>
      </c>
      <c r="I14" s="98">
        <f t="shared" si="0"/>
        <v>0</v>
      </c>
      <c r="J14" s="98">
        <f t="shared" si="0"/>
        <v>0</v>
      </c>
      <c r="K14" s="98">
        <f t="shared" si="0"/>
        <v>211</v>
      </c>
      <c r="M14" s="246">
        <f>SUM(C14:J14)-SUM(K12:K13)</f>
        <v>0</v>
      </c>
    </row>
    <row r="15" spans="1:14" x14ac:dyDescent="0.2">
      <c r="B15" s="34" t="s">
        <v>185</v>
      </c>
      <c r="C15" s="747">
        <f>SUMIF(MAP!$E$847:$E$861,$B15,MAP!$T$847:$T$861)</f>
        <v>0</v>
      </c>
      <c r="D15" s="747">
        <f>SUMIF(MAP!$E$884:$E$897,$B15,MAP!$T$884:$T$897)</f>
        <v>0</v>
      </c>
      <c r="E15" s="747">
        <f>SUMIF(MAP!$E$920:$E$933,$B15,MAP!$T$920:$T$933)</f>
        <v>0</v>
      </c>
      <c r="F15" s="747">
        <f>SUMIF(MAP!$E$956:$E$969,$B15,MAP!$T$956:$T$969)</f>
        <v>0</v>
      </c>
      <c r="G15" s="747">
        <f>SUMIF(MAP!$E$992:$E$1005,$B15,MAP!$T$992:$T$1005)</f>
        <v>0</v>
      </c>
      <c r="H15" s="747">
        <f>SUMIF(MAP!$E$1028:$E$1041,$B15,MAP!$T$1028:$T$1041)</f>
        <v>0</v>
      </c>
      <c r="I15" s="747">
        <f>SUMIF(MAP!$E$1064:$E$1077,$B15,MAP!$T$1064:$T$1077)</f>
        <v>0</v>
      </c>
      <c r="J15" s="747">
        <f>SUMIF(MAP!$E$1100:$E$1113,$B15,MAP!$T$1100:$T$1113)</f>
        <v>0</v>
      </c>
      <c r="K15" s="34">
        <f t="shared" ref="K15:K23" si="1">SUM(C15:J15)</f>
        <v>0</v>
      </c>
    </row>
    <row r="16" spans="1:14" x14ac:dyDescent="0.2">
      <c r="B16" s="34" t="s">
        <v>437</v>
      </c>
      <c r="C16" s="747">
        <f>SUMIF(MAP!$E$847:$E$861,$B16,MAP!$T$847:$T$861)</f>
        <v>0</v>
      </c>
      <c r="D16" s="747">
        <f>SUMIF(MAP!$E$884:$E$897,$B16,MAP!$T$884:$T$897)</f>
        <v>0</v>
      </c>
      <c r="E16" s="747">
        <f>SUMIF(MAP!$E$920:$E$933,$B16,MAP!$T$920:$T$933)</f>
        <v>0</v>
      </c>
      <c r="F16" s="747">
        <f>SUMIF(MAP!$E$956:$E$969,$B16,MAP!$T$956:$T$969)</f>
        <v>0</v>
      </c>
      <c r="G16" s="747">
        <f>SUMIF(MAP!$E$992:$E$1005,$B16,MAP!$T$992:$T$1005)</f>
        <v>0</v>
      </c>
      <c r="H16" s="747">
        <f>SUMIF(MAP!$E$1028:$E$1041,$B16,MAP!$T$1028:$T$1041)</f>
        <v>0</v>
      </c>
      <c r="I16" s="747">
        <f>SUMIF(MAP!$E$1064:$E$1077,$B16,MAP!$T$1064:$T$1077)</f>
        <v>0</v>
      </c>
      <c r="J16" s="747">
        <f>SUMIF(MAP!$E$1100:$E$1113,$B16,MAP!$T$1100:$T$1113)</f>
        <v>0</v>
      </c>
      <c r="K16" s="34">
        <f t="shared" si="1"/>
        <v>0</v>
      </c>
    </row>
    <row r="17" spans="1:14" x14ac:dyDescent="0.2">
      <c r="B17" s="34" t="s">
        <v>191</v>
      </c>
      <c r="C17" s="747">
        <f>SUMIF(MAP!$E$847:$E$861,$B17,MAP!$T$847:$T$861)</f>
        <v>0</v>
      </c>
      <c r="D17" s="747">
        <f>SUMIF(MAP!$E$884:$E$897,$B17,MAP!$T$884:$T$897)</f>
        <v>0</v>
      </c>
      <c r="E17" s="747">
        <f>SUMIF(MAP!$E$920:$E$933,$B17,MAP!$T$920:$T$933)</f>
        <v>0</v>
      </c>
      <c r="F17" s="747">
        <f>SUMIF(MAP!$E$956:$E$969,$B17,MAP!$T$956:$T$969)</f>
        <v>0</v>
      </c>
      <c r="G17" s="747">
        <f>SUMIF(MAP!$E$992:$E$1005,$B17,MAP!$T$992:$T$1005)</f>
        <v>0</v>
      </c>
      <c r="H17" s="747">
        <f>SUMIF(MAP!$E$1028:$E$1041,$B17,MAP!$T$1028:$T$1041)</f>
        <v>0</v>
      </c>
      <c r="I17" s="747">
        <f>SUMIF(MAP!$E$1064:$E$1077,$B17,MAP!$T$1064:$T$1077)</f>
        <v>0</v>
      </c>
      <c r="J17" s="747">
        <f>SUMIF(MAP!$E$1100:$E$1113,$B17,MAP!$T$1100:$T$1113)</f>
        <v>0</v>
      </c>
      <c r="K17" s="34">
        <f t="shared" si="1"/>
        <v>0</v>
      </c>
    </row>
    <row r="18" spans="1:14" x14ac:dyDescent="0.2">
      <c r="B18" s="34" t="s">
        <v>187</v>
      </c>
      <c r="C18" s="747">
        <f>SUMIF(MAP!$E$847:$E$861,$B18,MAP!$T$847:$T$861)</f>
        <v>0</v>
      </c>
      <c r="D18" s="747">
        <f>SUMIF(MAP!$E$884:$E$897,$B18,MAP!$T$884:$T$897)</f>
        <v>0</v>
      </c>
      <c r="E18" s="747">
        <f>SUMIF(MAP!$E$920:$E$933,$B18,MAP!$T$920:$T$933)</f>
        <v>0</v>
      </c>
      <c r="F18" s="747">
        <f>SUMIF(MAP!$E$956:$E$969,$B18,MAP!$T$956:$T$969)</f>
        <v>0</v>
      </c>
      <c r="G18" s="747">
        <f>SUMIF(MAP!$E$992:$E$1005,$B18,MAP!$T$992:$T$1005)</f>
        <v>0</v>
      </c>
      <c r="H18" s="747">
        <f>SUMIF(MAP!$E$1028:$E$1041,$B18,MAP!$T$1028:$T$1041)</f>
        <v>0</v>
      </c>
      <c r="I18" s="747">
        <f>SUMIF(MAP!$E$1064:$E$1077,$B18,MAP!$T$1064:$T$1077)</f>
        <v>0</v>
      </c>
      <c r="J18" s="747">
        <f>SUMIF(MAP!$E$1100:$E$1113,$B18,MAP!$T$1100:$T$1113)</f>
        <v>0</v>
      </c>
      <c r="K18" s="34">
        <f t="shared" si="1"/>
        <v>0</v>
      </c>
    </row>
    <row r="19" spans="1:14" x14ac:dyDescent="0.2">
      <c r="B19" s="34" t="s">
        <v>186</v>
      </c>
      <c r="C19" s="747">
        <f>SUMIF(MAP!$E$847:$E$861,$B19,MAP!$T$847:$T$861)</f>
        <v>0</v>
      </c>
      <c r="D19" s="747">
        <f>SUMIF(MAP!$E$884:$E$897,$B19,MAP!$T$884:$T$897)</f>
        <v>0</v>
      </c>
      <c r="E19" s="747">
        <f>SUMIF(MAP!$E$920:$E$933,$B19,MAP!$T$920:$T$933)</f>
        <v>0</v>
      </c>
      <c r="F19" s="747">
        <f>SUMIF(MAP!$E$956:$E$969,$B19,MAP!$T$956:$T$969)</f>
        <v>0</v>
      </c>
      <c r="G19" s="747">
        <f>SUMIF(MAP!$E$992:$E$1005,$B19,MAP!$T$992:$T$1005)</f>
        <v>0</v>
      </c>
      <c r="H19" s="747">
        <f>SUMIF(MAP!$E$1028:$E$1041,$B19,MAP!$T$1028:$T$1041)</f>
        <v>0</v>
      </c>
      <c r="I19" s="747">
        <f>SUMIF(MAP!$E$1064:$E$1077,$B19,MAP!$T$1064:$T$1077)</f>
        <v>0</v>
      </c>
      <c r="J19" s="747">
        <f>SUMIF(MAP!$E$1100:$E$1113,$B19,MAP!$T$1100:$T$1113)</f>
        <v>0</v>
      </c>
      <c r="K19" s="34">
        <f t="shared" si="1"/>
        <v>0</v>
      </c>
    </row>
    <row r="20" spans="1:14" x14ac:dyDescent="0.2">
      <c r="A20" s="34" t="s">
        <v>1069</v>
      </c>
      <c r="B20" s="34" t="s">
        <v>188</v>
      </c>
      <c r="C20" s="747">
        <f>SUMIF(MAP!$E$847:$E$861,$B20,MAP!$T$847:$T$861)</f>
        <v>0</v>
      </c>
      <c r="D20" s="747">
        <f>SUMIF(MAP!$E$884:$E$897,$B20,MAP!$T$884:$T$897)</f>
        <v>0</v>
      </c>
      <c r="E20" s="747">
        <f>SUMIF(MAP!$E$920:$E$933,$B20,MAP!$T$920:$T$933)</f>
        <v>0</v>
      </c>
      <c r="F20" s="747">
        <f>SUMIF(MAP!$E$956:$E$969,$B20,MAP!$T$956:$T$969)</f>
        <v>0</v>
      </c>
      <c r="G20" s="747">
        <f>SUMIF(MAP!$E$992:$E$1005,$B20,MAP!$T$992:$T$1005)</f>
        <v>0</v>
      </c>
      <c r="H20" s="747">
        <f>SUMIF(MAP!$E$1028:$E$1041,$B20,MAP!$T$1028:$T$1041)</f>
        <v>0</v>
      </c>
      <c r="I20" s="747">
        <f>SUMIF(MAP!$E$1064:$E$1077,$B20,MAP!$T$1064:$T$1077)</f>
        <v>0</v>
      </c>
      <c r="J20" s="747">
        <f>SUMIF(MAP!$E$1100:$E$1113,$B20,MAP!$T$1100:$T$1113)</f>
        <v>0</v>
      </c>
      <c r="K20" s="34">
        <f t="shared" si="1"/>
        <v>0</v>
      </c>
    </row>
    <row r="21" spans="1:14" x14ac:dyDescent="0.2">
      <c r="A21" s="34" t="s">
        <v>1069</v>
      </c>
      <c r="B21" s="41" t="s">
        <v>192</v>
      </c>
      <c r="C21" s="747">
        <f>SUMIF(MAP!$E$847:$E$861,$B21,MAP!$T$847:$T$861)</f>
        <v>0</v>
      </c>
      <c r="D21" s="747">
        <f>SUMIF(MAP!$E$884:$E$897,$B21,MAP!$T$884:$T$897)</f>
        <v>0</v>
      </c>
      <c r="E21" s="747">
        <f>SUMIF(MAP!$E$920:$E$933,$B21,MAP!$T$920:$T$933)</f>
        <v>0</v>
      </c>
      <c r="F21" s="747">
        <f>SUMIF(MAP!$E$956:$E$969,$B21,MAP!$T$956:$T$969)</f>
        <v>0</v>
      </c>
      <c r="G21" s="747">
        <f>SUMIF(MAP!$E$992:$E$1005,$B21,MAP!$T$992:$T$1005)</f>
        <v>0</v>
      </c>
      <c r="H21" s="747">
        <f>SUMIF(MAP!$E$1028:$E$1041,$B21,MAP!$T$1028:$T$1041)</f>
        <v>0</v>
      </c>
      <c r="I21" s="747">
        <f>SUMIF(MAP!$E$1064:$E$1077,$B21,MAP!$T$1064:$T$1077)</f>
        <v>0</v>
      </c>
      <c r="J21" s="747">
        <f>SUMIF(MAP!$E$1100:$E$1113,$B21,MAP!$T$1100:$T$1113)</f>
        <v>0</v>
      </c>
      <c r="K21" s="34">
        <f t="shared" si="1"/>
        <v>0</v>
      </c>
    </row>
    <row r="22" spans="1:14" ht="25.5" x14ac:dyDescent="0.2">
      <c r="B22" s="41" t="s">
        <v>193</v>
      </c>
      <c r="C22" s="747">
        <f>SUMIF(MAP!$E$847:$E$861,$B22,MAP!$T$847:$T$861)</f>
        <v>0</v>
      </c>
      <c r="D22" s="747">
        <f>SUMIF(MAP!$E$884:$E$897,$B22,MAP!$T$884:$T$897)</f>
        <v>0</v>
      </c>
      <c r="E22" s="747">
        <f>SUMIF(MAP!$E$920:$E$933,$B22,MAP!$T$920:$T$933)</f>
        <v>0</v>
      </c>
      <c r="F22" s="747">
        <f>SUMIF(MAP!$E$956:$E$969,$B22,MAP!$T$956:$T$969)</f>
        <v>0</v>
      </c>
      <c r="G22" s="747">
        <f>SUMIF(MAP!$E$992:$E$1005,$B22,MAP!$T$992:$T$1005)</f>
        <v>0</v>
      </c>
      <c r="H22" s="747">
        <f>SUMIF(MAP!$E$1028:$E$1041,$B22,MAP!$T$1028:$T$1041)</f>
        <v>0</v>
      </c>
      <c r="I22" s="747">
        <f>SUMIF(MAP!$E$1064:$E$1077,$B22,MAP!$T$1064:$T$1077)</f>
        <v>0</v>
      </c>
      <c r="J22" s="747">
        <f>SUMIF(MAP!$E$1100:$E$1113,$B22,MAP!$T$1100:$T$1113)</f>
        <v>0</v>
      </c>
      <c r="K22" s="34">
        <f t="shared" si="1"/>
        <v>0</v>
      </c>
    </row>
    <row r="23" spans="1:14" x14ac:dyDescent="0.2">
      <c r="A23" s="34" t="s">
        <v>1069</v>
      </c>
      <c r="B23" s="34" t="s">
        <v>189</v>
      </c>
      <c r="C23" s="747">
        <f>SUMIF(MAP!$E$847:$E$861,$B23,MAP!$T$847:$T$861)</f>
        <v>0</v>
      </c>
      <c r="D23" s="747">
        <f>SUMIF(MAP!$E$884:$E$897,$B23,MAP!$T$884:$T$897)</f>
        <v>0</v>
      </c>
      <c r="E23" s="747">
        <f>SUMIF(MAP!$E$920:$E$933,$B23,MAP!$T$920:$T$933)</f>
        <v>0</v>
      </c>
      <c r="F23" s="747">
        <f>SUMIF(MAP!$E$956:$E$969,$B23,MAP!$T$956:$T$969)</f>
        <v>0</v>
      </c>
      <c r="G23" s="747">
        <f>SUMIF(MAP!$E$992:$E$1005,$B23,MAP!$T$992:$T$1005)</f>
        <v>0</v>
      </c>
      <c r="H23" s="747">
        <f>SUMIF(MAP!$E$1028:$E$1041,$B23,MAP!$T$1028:$T$1041)</f>
        <v>0</v>
      </c>
      <c r="I23" s="747">
        <f>SUMIF(MAP!$E$1064:$E$1077,$B23,MAP!$T$1064:$T$1077)</f>
        <v>0</v>
      </c>
      <c r="J23" s="747">
        <f>SUMIF(MAP!$E$1100:$E$1113,$B23,MAP!$T$1100:$T$1113)</f>
        <v>0</v>
      </c>
      <c r="K23" s="34">
        <f t="shared" si="1"/>
        <v>0</v>
      </c>
      <c r="M23" s="246"/>
      <c r="N23" s="46"/>
    </row>
    <row r="24" spans="1:14" ht="16.5" customHeight="1" x14ac:dyDescent="0.2">
      <c r="B24" s="166" t="str">
        <f>"At"&amp;Update!$B$22</f>
        <v>At 31 March 2026</v>
      </c>
      <c r="C24" s="97">
        <f>SUM(C14:C23)</f>
        <v>0</v>
      </c>
      <c r="D24" s="97">
        <f>SUM(D14:D23)</f>
        <v>148</v>
      </c>
      <c r="E24" s="97">
        <f t="shared" ref="E24:J24" si="2">SUM(E14:E23)</f>
        <v>0</v>
      </c>
      <c r="F24" s="97">
        <f t="shared" si="2"/>
        <v>63</v>
      </c>
      <c r="G24" s="97">
        <f t="shared" si="2"/>
        <v>0</v>
      </c>
      <c r="H24" s="97">
        <f t="shared" si="2"/>
        <v>0</v>
      </c>
      <c r="I24" s="97">
        <f t="shared" si="2"/>
        <v>0</v>
      </c>
      <c r="J24" s="97">
        <f t="shared" si="2"/>
        <v>0</v>
      </c>
      <c r="K24" s="97">
        <f>SUM(K14:K23)</f>
        <v>211</v>
      </c>
    </row>
    <row r="25" spans="1:14" x14ac:dyDescent="0.2">
      <c r="C25" s="204">
        <f>C24-MAP!T861</f>
        <v>0</v>
      </c>
      <c r="D25" s="204">
        <f>D24-MAP!$T$897</f>
        <v>0</v>
      </c>
      <c r="E25" s="204">
        <f>E24-MAP!$T$933</f>
        <v>0</v>
      </c>
      <c r="F25" s="204">
        <f>F24-MAP!$T$969</f>
        <v>0</v>
      </c>
      <c r="G25" s="204">
        <f>G24-MAP!$T$1005</f>
        <v>0</v>
      </c>
      <c r="H25" s="204">
        <f>H24-MAP!$T$1041</f>
        <v>0</v>
      </c>
      <c r="I25" s="204">
        <f>I24-MAP!$T$1067</f>
        <v>0</v>
      </c>
      <c r="J25" s="204">
        <f>J24-MAP!$T$1113</f>
        <v>0</v>
      </c>
    </row>
    <row r="26" spans="1:14" x14ac:dyDescent="0.2">
      <c r="B26" s="37" t="s">
        <v>161</v>
      </c>
      <c r="C26" s="37"/>
      <c r="D26" s="37"/>
      <c r="E26" s="37"/>
    </row>
    <row r="27" spans="1:14" ht="15" x14ac:dyDescent="0.2">
      <c r="B27" s="7" t="str">
        <f>"At"&amp;Update!$B$20&amp;" "</f>
        <v xml:space="preserve">At 1 April 2025 </v>
      </c>
      <c r="C27" s="747">
        <f>SUMIF(MAP!$E$862:$E$875,$B27,MAP!$T$862:$T$875)</f>
        <v>0</v>
      </c>
      <c r="D27" s="747">
        <f>SUMIF(MAP!$E$898:$E$911,$B27,MAP!$T$898:$T$911)</f>
        <v>47</v>
      </c>
      <c r="E27" s="747">
        <f>SUMIF(MAP!$E$934:$E$947,$B27,MAP!$T$934:$T$947)</f>
        <v>0</v>
      </c>
      <c r="F27" s="747">
        <f>SUMIF(MAP!$E$970:$E$983,$B27,MAP!$T$970:$T$983)</f>
        <v>63</v>
      </c>
      <c r="G27" s="747">
        <f>SUMIF(MAP!$E$1006:$E$1019,$B27,MAP!$T$1006:$T$1019)</f>
        <v>0</v>
      </c>
      <c r="H27" s="747">
        <f>SUMIF(MAP!$E$1042:$E$1055,$B27,MAP!$T$1042:$T$1055)</f>
        <v>0</v>
      </c>
      <c r="I27" s="747">
        <f>SUMIF(MAP!$E$1078:$E$1091,$B27,MAP!$T$1078:$T$1091)</f>
        <v>0</v>
      </c>
      <c r="J27" s="747">
        <f>SUMIF(MAP!$E$1114:$E$1127,$B27,MAP!$T$1114:$T$1127)</f>
        <v>0</v>
      </c>
      <c r="K27" s="34">
        <f>SUM(C27:J27)</f>
        <v>110</v>
      </c>
    </row>
    <row r="28" spans="1:14" x14ac:dyDescent="0.2">
      <c r="B28" s="34" t="s">
        <v>1417</v>
      </c>
      <c r="C28" s="747">
        <f>SUMIF(MAP!$E$862:$E$875,$B28,MAP!$T$862:$T$875)</f>
        <v>0</v>
      </c>
      <c r="D28" s="747">
        <f>SUMIF(MAP!$E$898:$E$911,$B28,MAP!$T$898:$T$911)</f>
        <v>0</v>
      </c>
      <c r="E28" s="747">
        <f>SUMIF(MAP!$E$934:$E$947,$B28,MAP!$T$934:$T$947)</f>
        <v>0</v>
      </c>
      <c r="F28" s="747">
        <f>SUMIF(MAP!$E$970:$E$983,$B28,MAP!$T$970:$T$983)</f>
        <v>0</v>
      </c>
      <c r="G28" s="747">
        <f>SUMIF(MAP!$E$1006:$E$1019,$B28,MAP!$T$1006:$T$1019)</f>
        <v>0</v>
      </c>
      <c r="H28" s="747">
        <f>SUMIF(MAP!$E$1042:$E$1055,$B28,MAP!$T$1042:$T$1055)</f>
        <v>0</v>
      </c>
      <c r="I28" s="747">
        <f>SUMIF(MAP!$E$1078:$E$1091,$B28,MAP!$T$1078:$T$1091)</f>
        <v>0</v>
      </c>
      <c r="J28" s="747">
        <f>SUMIF(MAP!$E$1114:$E$1127,$B28,MAP!$T$1114:$T$1127)</f>
        <v>0</v>
      </c>
      <c r="K28" s="34">
        <f>SUM(C28:J28)</f>
        <v>0</v>
      </c>
    </row>
    <row r="29" spans="1:14" x14ac:dyDescent="0.2">
      <c r="B29" s="34" t="s">
        <v>442</v>
      </c>
      <c r="C29" s="98">
        <f>SUM(C27:C28)</f>
        <v>0</v>
      </c>
      <c r="D29" s="98">
        <f>SUM(D27:D28)</f>
        <v>47</v>
      </c>
      <c r="E29" s="98">
        <f t="shared" ref="E29:J29" si="3">SUM(E27:E28)</f>
        <v>0</v>
      </c>
      <c r="F29" s="98">
        <f t="shared" si="3"/>
        <v>63</v>
      </c>
      <c r="G29" s="98">
        <f t="shared" si="3"/>
        <v>0</v>
      </c>
      <c r="H29" s="98">
        <f t="shared" si="3"/>
        <v>0</v>
      </c>
      <c r="I29" s="98">
        <f t="shared" si="3"/>
        <v>0</v>
      </c>
      <c r="J29" s="98">
        <f t="shared" si="3"/>
        <v>0</v>
      </c>
      <c r="K29" s="98">
        <f>SUM(K27:K27)</f>
        <v>110</v>
      </c>
      <c r="M29" s="246">
        <f>SUM(C29:J29)-SUM(K27:K28)</f>
        <v>0</v>
      </c>
    </row>
    <row r="30" spans="1:14" x14ac:dyDescent="0.2">
      <c r="B30" s="34" t="s">
        <v>1409</v>
      </c>
      <c r="C30" s="747">
        <f>SUMIF(MAP!$E$862:$E$875,$B30,MAP!$T$862:$T$875)</f>
        <v>0</v>
      </c>
      <c r="D30" s="747">
        <f>SUMIF(MAP!$E$898:$E$911,$B30,MAP!$T$898:$T$911)</f>
        <v>0</v>
      </c>
      <c r="E30" s="747">
        <f>SUMIF(MAP!$E$934:$E$947,$B30,MAP!$T$934:$T$947)</f>
        <v>0</v>
      </c>
      <c r="F30" s="747">
        <f>SUMIF(MAP!$E$970:$E$983,$B30,MAP!$T$970:$T$983)</f>
        <v>0</v>
      </c>
      <c r="G30" s="747">
        <f>SUMIF(MAP!$E$1006:$E$1019,$B30,MAP!$T$1006:$T$1019)</f>
        <v>0</v>
      </c>
      <c r="H30" s="747">
        <f>SUMIF(MAP!$E$1042:$E$1055,$B30,MAP!$T$1042:$T$1055)</f>
        <v>0</v>
      </c>
      <c r="I30" s="747">
        <f>SUMIF(MAP!$E$1078:$E$1091,$B30,MAP!$T$1078:$T$1091)</f>
        <v>0</v>
      </c>
      <c r="J30" s="747">
        <f>SUMIF(MAP!$E$1114:$E$1127,$B30,MAP!$T$1114:$T$1127)</f>
        <v>0</v>
      </c>
      <c r="K30" s="34">
        <f t="shared" ref="K30:K38" si="4">SUM(C30:J30)</f>
        <v>0</v>
      </c>
    </row>
    <row r="31" spans="1:14" x14ac:dyDescent="0.2">
      <c r="B31" s="34" t="s">
        <v>457</v>
      </c>
      <c r="C31" s="747">
        <f>SUMIF(MAP!$E$862:$E$875,$B31,MAP!$T$862:$T$875)</f>
        <v>0</v>
      </c>
      <c r="D31" s="747">
        <f>SUMIF(MAP!$E$898:$E$911,$B31,MAP!$T$898:$T$911)</f>
        <v>0</v>
      </c>
      <c r="E31" s="747">
        <f>SUMIF(MAP!$E$934:$E$947,$B31,MAP!$T$934:$T$947)</f>
        <v>0</v>
      </c>
      <c r="F31" s="747">
        <f>SUMIF(MAP!$E$970:$E$983,$B31,MAP!$T$970:$T$983)</f>
        <v>0</v>
      </c>
      <c r="G31" s="747">
        <f>SUMIF(MAP!$E$1006:$E$1019,$B31,MAP!$T$1006:$T$1019)</f>
        <v>0</v>
      </c>
      <c r="H31" s="747">
        <f>SUMIF(MAP!$E$1042:$E$1055,$B31,MAP!$T$1042:$T$1055)</f>
        <v>0</v>
      </c>
      <c r="I31" s="747">
        <f>SUMIF(MAP!$E$1078:$E$1091,$B31,MAP!$T$1078:$T$1091)</f>
        <v>0</v>
      </c>
      <c r="J31" s="747">
        <f>SUMIF(MAP!$E$1114:$E$1127,$B31,MAP!$T$1114:$T$1127)</f>
        <v>0</v>
      </c>
      <c r="K31" s="34">
        <f t="shared" si="4"/>
        <v>0</v>
      </c>
    </row>
    <row r="32" spans="1:14" x14ac:dyDescent="0.2">
      <c r="B32" s="34" t="s">
        <v>867</v>
      </c>
      <c r="C32" s="747">
        <f>SUMIF(MAP!$E$862:$E$875,$B32,MAP!$T$862:$T$875)</f>
        <v>0</v>
      </c>
      <c r="D32" s="747">
        <f>SUMIF(MAP!$E$898:$E$911,$B32,MAP!$T$898:$T$911)</f>
        <v>0</v>
      </c>
      <c r="E32" s="747">
        <f>SUMIF(MAP!$E$934:$E$947,$B32,MAP!$T$934:$T$947)</f>
        <v>0</v>
      </c>
      <c r="F32" s="747">
        <f>SUMIF(MAP!$E$970:$E$983,$B32,MAP!$T$970:$T$983)</f>
        <v>0</v>
      </c>
      <c r="G32" s="747">
        <f>SUMIF(MAP!$E$1006:$E$1019,$B32,MAP!$T$1006:$T$1019)</f>
        <v>0</v>
      </c>
      <c r="H32" s="747">
        <f>SUMIF(MAP!$E$1042:$E$1055,$B32,MAP!$T$1042:$T$1055)</f>
        <v>0</v>
      </c>
      <c r="I32" s="747">
        <f>SUMIF(MAP!$E$1078:$E$1091,$B32,MAP!$T$1078:$T$1091)</f>
        <v>0</v>
      </c>
      <c r="J32" s="747">
        <f>SUMIF(MAP!$E$1114:$E$1127,$B32,MAP!$T$1114:$T$1127)</f>
        <v>0</v>
      </c>
      <c r="K32" s="34">
        <f>SUM(C32:J32)</f>
        <v>0</v>
      </c>
    </row>
    <row r="33" spans="1:13" x14ac:dyDescent="0.2">
      <c r="B33" s="34" t="s">
        <v>863</v>
      </c>
      <c r="C33" s="747">
        <f>SUMIF(MAP!$E$862:$E$875,$B33,MAP!$T$862:$T$875)</f>
        <v>0</v>
      </c>
      <c r="D33" s="747">
        <f>SUMIF(MAP!$E$898:$E$911,$B33,MAP!$T$898:$T$911)</f>
        <v>0</v>
      </c>
      <c r="E33" s="747">
        <f>SUMIF(MAP!$E$934:$E$947,$B33,MAP!$T$934:$T$947)</f>
        <v>0</v>
      </c>
      <c r="F33" s="747">
        <f>SUMIF(MAP!$E$970:$E$983,$B33,MAP!$T$970:$T$983)</f>
        <v>0</v>
      </c>
      <c r="G33" s="747">
        <f>SUMIF(MAP!$E$1006:$E$1019,$B33,MAP!$T$1006:$T$1019)</f>
        <v>0</v>
      </c>
      <c r="H33" s="747">
        <f>SUMIF(MAP!$E$1042:$E$1055,$B33,MAP!$T$1042:$T$1055)</f>
        <v>0</v>
      </c>
      <c r="I33" s="747">
        <f>SUMIF(MAP!$E$1078:$E$1091,$B33,MAP!$T$1078:$T$1091)</f>
        <v>0</v>
      </c>
      <c r="J33" s="747">
        <f>SUMIF(MAP!$E$1114:$E$1127,$B33,MAP!$T$1114:$T$1127)</f>
        <v>0</v>
      </c>
      <c r="K33" s="34">
        <f t="shared" si="4"/>
        <v>0</v>
      </c>
    </row>
    <row r="34" spans="1:13" x14ac:dyDescent="0.2">
      <c r="A34" s="34" t="s">
        <v>1069</v>
      </c>
      <c r="B34" s="34" t="s">
        <v>868</v>
      </c>
      <c r="C34" s="747">
        <f>SUMIF(MAP!$E$862:$E$875,$B34,MAP!$T$862:$T$875)</f>
        <v>0</v>
      </c>
      <c r="D34" s="747">
        <f>SUMIF(MAP!$E$898:$E$911,$B34,MAP!$T$898:$T$911)</f>
        <v>0</v>
      </c>
      <c r="E34" s="747">
        <f>SUMIF(MAP!$E$934:$E$947,$B34,MAP!$T$934:$T$947)</f>
        <v>0</v>
      </c>
      <c r="F34" s="747">
        <f>SUMIF(MAP!$E$970:$E$983,$B34,MAP!$T$970:$T$983)</f>
        <v>0</v>
      </c>
      <c r="G34" s="747">
        <f>SUMIF(MAP!$E$1006:$E$1019,$B34,MAP!$T$1006:$T$1019)</f>
        <v>0</v>
      </c>
      <c r="H34" s="747">
        <f>SUMIF(MAP!$E$1042:$E$1055,$B34,MAP!$T$1042:$T$1055)</f>
        <v>0</v>
      </c>
      <c r="I34" s="747">
        <f>SUMIF(MAP!$E$1078:$E$1091,$B34,MAP!$T$1078:$T$1091)</f>
        <v>0</v>
      </c>
      <c r="J34" s="747">
        <f>SUMIF(MAP!$E$1114:$E$1127,$B34,MAP!$T$1114:$T$1127)</f>
        <v>0</v>
      </c>
      <c r="K34" s="34">
        <f>SUM(C34:J34)</f>
        <v>0</v>
      </c>
    </row>
    <row r="35" spans="1:13" x14ac:dyDescent="0.2">
      <c r="B35" s="34" t="s">
        <v>875</v>
      </c>
      <c r="C35" s="747">
        <f>SUMIF(MAP!$E$862:$E$875,$B35,MAP!$T$862:$T$875)</f>
        <v>0</v>
      </c>
      <c r="D35" s="747">
        <f>SUMIF(MAP!$E$898:$E$911,$B35,MAP!$T$898:$T$911)</f>
        <v>0</v>
      </c>
      <c r="E35" s="747">
        <f>SUMIF(MAP!$E$934:$E$947,$B35,MAP!$T$934:$T$947)</f>
        <v>0</v>
      </c>
      <c r="F35" s="747">
        <f>SUMIF(MAP!$E$970:$E$983,$B35,MAP!$T$970:$T$983)</f>
        <v>0</v>
      </c>
      <c r="G35" s="747">
        <f>SUMIF(MAP!$E$1006:$E$1019,$B35,MAP!$T$1006:$T$1019)</f>
        <v>0</v>
      </c>
      <c r="H35" s="747">
        <f>SUMIF(MAP!$E$1042:$E$1055,$B35,MAP!$T$1042:$T$1055)</f>
        <v>0</v>
      </c>
      <c r="I35" s="747">
        <f>SUMIF(MAP!$E$1078:$E$1091,$B35,MAP!$T$1078:$T$1091)</f>
        <v>0</v>
      </c>
      <c r="J35" s="747">
        <f>SUMIF(MAP!$E$1114:$E$1127,$B35,MAP!$T$1114:$T$1127)</f>
        <v>0</v>
      </c>
      <c r="K35" s="34">
        <f t="shared" si="4"/>
        <v>0</v>
      </c>
    </row>
    <row r="36" spans="1:13" x14ac:dyDescent="0.2">
      <c r="A36" s="34" t="s">
        <v>1069</v>
      </c>
      <c r="B36" s="41" t="s">
        <v>1415</v>
      </c>
      <c r="C36" s="747">
        <f>SUMIF(MAP!$E$862:$E$875,$B36,MAP!$T$862:$T$875)</f>
        <v>0</v>
      </c>
      <c r="D36" s="747">
        <f>SUMIF(MAP!$E$898:$E$911,$B36,MAP!$T$898:$T$911)</f>
        <v>0</v>
      </c>
      <c r="E36" s="747">
        <f>SUMIF(MAP!$E$934:$E$947,$B36,MAP!$T$934:$T$947)</f>
        <v>0</v>
      </c>
      <c r="F36" s="747">
        <f>SUMIF(MAP!$E$970:$E$983,$B36,MAP!$T$970:$T$983)</f>
        <v>0</v>
      </c>
      <c r="G36" s="747">
        <f>SUMIF(MAP!$E$1006:$E$1019,$B36,MAP!$T$1006:$T$1019)</f>
        <v>0</v>
      </c>
      <c r="H36" s="747">
        <f>SUMIF(MAP!$E$1042:$E$1055,$B36,MAP!$T$1042:$T$1055)</f>
        <v>0</v>
      </c>
      <c r="I36" s="747">
        <f>SUMIF(MAP!$E$1078:$E$1091,$B36,MAP!$T$1078:$T$1091)</f>
        <v>0</v>
      </c>
      <c r="J36" s="747">
        <f>SUMIF(MAP!$E$1114:$E$1127,$B36,MAP!$T$1114:$T$1127)</f>
        <v>0</v>
      </c>
      <c r="K36" s="34">
        <f t="shared" si="4"/>
        <v>0</v>
      </c>
    </row>
    <row r="37" spans="1:13" ht="25.5" x14ac:dyDescent="0.2">
      <c r="B37" s="41" t="s">
        <v>1410</v>
      </c>
      <c r="C37" s="747">
        <f>SUMIF(MAP!$E$862:$E$875,$B37,MAP!$T$862:$T$875)</f>
        <v>0</v>
      </c>
      <c r="D37" s="747">
        <f>SUMIF(MAP!$E$898:$E$911,$B37,MAP!$T$898:$T$911)</f>
        <v>0</v>
      </c>
      <c r="E37" s="747">
        <f>SUMIF(MAP!$E$934:$E$947,$B37,MAP!$T$934:$T$947)</f>
        <v>0</v>
      </c>
      <c r="F37" s="747">
        <f>SUMIF(MAP!$E$970:$E$983,$B37,MAP!$T$970:$T$983)</f>
        <v>0</v>
      </c>
      <c r="G37" s="747">
        <f>SUMIF(MAP!$E$1006:$E$1019,$B37,MAP!$T$1006:$T$1019)</f>
        <v>0</v>
      </c>
      <c r="H37" s="747">
        <f>SUMIF(MAP!$E$1042:$E$1055,$B37,MAP!$T$1042:$T$1055)</f>
        <v>0</v>
      </c>
      <c r="I37" s="747">
        <f>SUMIF(MAP!$E$1078:$E$1091,$B37,MAP!$T$1078:$T$1091)</f>
        <v>0</v>
      </c>
      <c r="J37" s="747">
        <f>SUMIF(MAP!$E$1114:$E$1127,$B37,MAP!$T$1114:$T$1127)</f>
        <v>0</v>
      </c>
      <c r="K37" s="34">
        <f t="shared" si="4"/>
        <v>0</v>
      </c>
    </row>
    <row r="38" spans="1:13" x14ac:dyDescent="0.2">
      <c r="A38" s="34" t="s">
        <v>1069</v>
      </c>
      <c r="B38" s="34" t="s">
        <v>1416</v>
      </c>
      <c r="C38" s="747">
        <f>SUMIF(MAP!$E$862:$E$875,$B38,MAP!$T$862:$T$875)</f>
        <v>0</v>
      </c>
      <c r="D38" s="747">
        <f>SUMIF(MAP!$E$898:$E$911,$B38,MAP!$T$898:$T$911)</f>
        <v>0</v>
      </c>
      <c r="E38" s="747">
        <f>SUMIF(MAP!$E$934:$E$947,$B38,MAP!$T$934:$T$947)</f>
        <v>0</v>
      </c>
      <c r="F38" s="747">
        <f>SUMIF(MAP!$E$970:$E$983,$B38,MAP!$T$970:$T$983)</f>
        <v>0</v>
      </c>
      <c r="G38" s="747">
        <f>SUMIF(MAP!$E$1006:$E$1019,$B38,MAP!$T$1006:$T$1019)</f>
        <v>0</v>
      </c>
      <c r="H38" s="747">
        <f>SUMIF(MAP!$E$1042:$E$1055,$B38,MAP!$T$1042:$T$1055)</f>
        <v>0</v>
      </c>
      <c r="I38" s="747">
        <f>SUMIF(MAP!$E$1078:$E$1091,$B38,MAP!$T$1078:$T$1091)</f>
        <v>0</v>
      </c>
      <c r="J38" s="747">
        <f>SUMIF(MAP!$E$1114:$E$1127,$B38,MAP!$T$1114:$T$1127)</f>
        <v>0</v>
      </c>
      <c r="K38" s="34">
        <f t="shared" si="4"/>
        <v>0</v>
      </c>
    </row>
    <row r="39" spans="1:13" ht="18.95" customHeight="1" x14ac:dyDescent="0.2">
      <c r="B39" s="166" t="str">
        <f>"At"&amp;Update!$B$22</f>
        <v>At 31 March 2026</v>
      </c>
      <c r="C39" s="97">
        <f>SUM(C29:C38)</f>
        <v>0</v>
      </c>
      <c r="D39" s="97">
        <f>SUM(D29:D38)</f>
        <v>47</v>
      </c>
      <c r="E39" s="97">
        <f t="shared" ref="E39:J39" si="5">SUM(E29:E38)</f>
        <v>0</v>
      </c>
      <c r="F39" s="97">
        <f t="shared" si="5"/>
        <v>63</v>
      </c>
      <c r="G39" s="97">
        <f t="shared" si="5"/>
        <v>0</v>
      </c>
      <c r="H39" s="97">
        <f t="shared" si="5"/>
        <v>0</v>
      </c>
      <c r="I39" s="97">
        <f t="shared" si="5"/>
        <v>0</v>
      </c>
      <c r="J39" s="97">
        <f t="shared" si="5"/>
        <v>0</v>
      </c>
      <c r="K39" s="97">
        <f>SUM(K29:K38)</f>
        <v>110</v>
      </c>
    </row>
    <row r="40" spans="1:13" x14ac:dyDescent="0.2">
      <c r="C40" s="204">
        <f>C39-MAP!$T$875</f>
        <v>0</v>
      </c>
      <c r="D40" s="204">
        <f>D39-MAP!$T$911</f>
        <v>0</v>
      </c>
      <c r="E40" s="204">
        <f>E39-MAP!$T$947</f>
        <v>0</v>
      </c>
      <c r="F40" s="204">
        <f>F39-MAP!$T$983</f>
        <v>0</v>
      </c>
      <c r="G40" s="204">
        <f>G39-MAP!$T$1019</f>
        <v>0</v>
      </c>
      <c r="H40" s="204">
        <f>H39-MAP!$T$1055</f>
        <v>0</v>
      </c>
      <c r="I40" s="204">
        <f>I39-MAP!$T$1091</f>
        <v>0</v>
      </c>
      <c r="J40" s="204">
        <f>J39-MAP!$T$1127</f>
        <v>0</v>
      </c>
      <c r="K40" s="232"/>
    </row>
    <row r="41" spans="1:13" ht="13.5" thickBot="1" x14ac:dyDescent="0.25">
      <c r="B41" s="37" t="str">
        <f>"Carrying amount at"&amp;Update!$B$22</f>
        <v>Carrying amount at 31 March 2026</v>
      </c>
      <c r="C41" s="233">
        <f>C24-C39</f>
        <v>0</v>
      </c>
      <c r="D41" s="233">
        <f>D24-D39</f>
        <v>101</v>
      </c>
      <c r="E41" s="233">
        <f t="shared" ref="E41:J41" si="6">E24-E39</f>
        <v>0</v>
      </c>
      <c r="F41" s="233">
        <f t="shared" si="6"/>
        <v>0</v>
      </c>
      <c r="G41" s="233">
        <f t="shared" si="6"/>
        <v>0</v>
      </c>
      <c r="H41" s="233">
        <f t="shared" si="6"/>
        <v>0</v>
      </c>
      <c r="I41" s="233">
        <f t="shared" si="6"/>
        <v>0</v>
      </c>
      <c r="J41" s="233">
        <f t="shared" si="6"/>
        <v>0</v>
      </c>
      <c r="K41" s="233">
        <f>K24-K39</f>
        <v>101</v>
      </c>
    </row>
    <row r="42" spans="1:13" x14ac:dyDescent="0.2">
      <c r="B42" s="37"/>
      <c r="C42" s="167"/>
      <c r="D42" s="167"/>
      <c r="E42" s="167"/>
      <c r="F42" s="167"/>
      <c r="G42" s="167"/>
      <c r="H42" s="167"/>
      <c r="I42" s="167"/>
      <c r="J42" s="167"/>
      <c r="K42" s="167"/>
    </row>
    <row r="43" spans="1:13" x14ac:dyDescent="0.2">
      <c r="B43" s="37" t="str">
        <f>"Carrying amount at"&amp;Update!$B$24</f>
        <v>Carrying amount at 31 March 2025</v>
      </c>
      <c r="C43" s="44">
        <f>C14-C27</f>
        <v>0</v>
      </c>
      <c r="D43" s="44">
        <f>D14-D27</f>
        <v>101</v>
      </c>
      <c r="E43" s="44">
        <f t="shared" ref="E43:J43" si="7">E14-E27</f>
        <v>0</v>
      </c>
      <c r="F43" s="44">
        <f t="shared" si="7"/>
        <v>0</v>
      </c>
      <c r="G43" s="44">
        <f t="shared" si="7"/>
        <v>0</v>
      </c>
      <c r="H43" s="44">
        <f t="shared" si="7"/>
        <v>0</v>
      </c>
      <c r="I43" s="44">
        <f t="shared" si="7"/>
        <v>0</v>
      </c>
      <c r="J43" s="44">
        <f t="shared" si="7"/>
        <v>0</v>
      </c>
      <c r="K43" s="44">
        <f>K14-K27</f>
        <v>101</v>
      </c>
      <c r="M43" s="74"/>
    </row>
    <row r="44" spans="1:13" x14ac:dyDescent="0.2">
      <c r="B44" s="37"/>
      <c r="C44" s="37"/>
      <c r="D44" s="37"/>
      <c r="E44" s="37"/>
      <c r="M44" s="74"/>
    </row>
    <row r="45" spans="1:13" x14ac:dyDescent="0.2">
      <c r="B45" s="37" t="s">
        <v>194</v>
      </c>
      <c r="L45" s="74"/>
    </row>
    <row r="46" spans="1:13" x14ac:dyDescent="0.2">
      <c r="B46" s="148" t="s">
        <v>197</v>
      </c>
      <c r="C46" s="34" t="e">
        <f>SUMIF(MAP!$E$878:$E$883,$B46,MAP!$T$878:$T$883)</f>
        <v>#VALUE!</v>
      </c>
      <c r="D46" s="34">
        <f>SUMIF(MAP!$E$914:$E$919,$B46,MAP!$T$914:$T$919)</f>
        <v>101</v>
      </c>
      <c r="E46" s="34" t="e">
        <f>SUMIF(MAP!$E$950:$E$955,$B46,MAP!$T$950:$T$955)</f>
        <v>#VALUE!</v>
      </c>
      <c r="F46" s="34">
        <f>SUMIF(MAP!$E$986:$E$991,$B46,MAP!$T$986:$T$991)</f>
        <v>0</v>
      </c>
      <c r="G46" s="34" t="e">
        <f>SUMIF(MAP!$E$1022:$E$1027,$B46,MAP!$T$1022:$T$1027)</f>
        <v>#VALUE!</v>
      </c>
      <c r="H46" s="34" t="e">
        <f>SUMIF(MAP!$E$1058:$E$1063,$B46,MAP!$T$1058:$T$1063)</f>
        <v>#VALUE!</v>
      </c>
      <c r="I46" s="34" t="e">
        <f>SUMIF(MAP!$E$1094:$E$1099,$B46,MAP!$T$1094:$T$1099)</f>
        <v>#VALUE!</v>
      </c>
      <c r="J46" s="34" t="e">
        <f>SUMIF(MAP!$E$1130:$E$1135,$B46,MAP!$T$1130:$T$1135)</f>
        <v>#VALUE!</v>
      </c>
      <c r="K46" s="34" t="e">
        <f>SUM(C46:J46)</f>
        <v>#VALUE!</v>
      </c>
      <c r="L46" s="74"/>
    </row>
    <row r="47" spans="1:13" x14ac:dyDescent="0.2">
      <c r="B47" s="148" t="s">
        <v>198</v>
      </c>
      <c r="C47" s="747" t="e">
        <f>SUMIF(MAP!$E$878:$E$883,$B47,MAP!$T$878:$T$883)</f>
        <v>#VALUE!</v>
      </c>
      <c r="D47" s="747" t="e">
        <f>SUMIF(MAP!$E$914:$E$919,$B47,MAP!$T$914:$T$919)</f>
        <v>#VALUE!</v>
      </c>
      <c r="E47" s="747" t="e">
        <f>SUMIF(MAP!$E$950:$E$955,$B47,MAP!$T$950:$T$955)</f>
        <v>#VALUE!</v>
      </c>
      <c r="F47" s="747">
        <f>SUMIF(MAP!$E$986:$E$991,$B47,MAP!$T$986:$T$991)</f>
        <v>0</v>
      </c>
      <c r="G47" s="747" t="e">
        <f>SUMIF(MAP!$E$1022:$E$1027,$B47,MAP!$T$1022:$T$1027)</f>
        <v>#VALUE!</v>
      </c>
      <c r="H47" s="747" t="e">
        <f>SUMIF(MAP!$E$1058:$E$1063,$B47,MAP!$T$1058:$T$1063)</f>
        <v>#VALUE!</v>
      </c>
      <c r="I47" s="747" t="e">
        <f>SUMIF(MAP!$E$1094:$E$1099,$B47,MAP!$T$1094:$T$1099)</f>
        <v>#VALUE!</v>
      </c>
      <c r="J47" s="747" t="e">
        <f>SUMIF(MAP!$E$1130:$E$1135,$B47,MAP!$T$1130:$T$1135)</f>
        <v>#VALUE!</v>
      </c>
      <c r="K47" s="34" t="e">
        <f>SUM(C47:J47)</f>
        <v>#VALUE!</v>
      </c>
      <c r="L47" s="74"/>
    </row>
    <row r="48" spans="1:13" ht="25.5" x14ac:dyDescent="0.2">
      <c r="B48" s="148" t="s">
        <v>199</v>
      </c>
      <c r="C48" s="747">
        <f>SUMIF(MAP!$E$878:$E$883,$B48,MAP!$T$878:$T$883)</f>
        <v>0</v>
      </c>
      <c r="D48" s="747">
        <f>SUMIF(MAP!$E$914:$E$919,$B48,MAP!$T$914:$T$919)</f>
        <v>0</v>
      </c>
      <c r="E48" s="747">
        <f>SUMIF(MAP!$E$950:$E$955,$B48,MAP!$T$950:$T$955)</f>
        <v>0</v>
      </c>
      <c r="F48" s="747">
        <f>SUMIF(MAP!$E$986:$E$991,$B48,MAP!$T$986:$T$991)</f>
        <v>0</v>
      </c>
      <c r="G48" s="747" t="e">
        <f>SUMIF(MAP!$E$1022:$E$1027,$B48,MAP!$T$1022:$T$1027)</f>
        <v>#VALUE!</v>
      </c>
      <c r="H48" s="747">
        <f>SUMIF(MAP!$E$1058:$E$1063,$B48,MAP!$T$1058:$T$1063)</f>
        <v>0</v>
      </c>
      <c r="I48" s="747">
        <f>SUMIF(MAP!$E$1094:$E$1099,$B48,MAP!$T$1094:$T$1099)</f>
        <v>0</v>
      </c>
      <c r="J48" s="747">
        <f>SUMIF(MAP!$E$1130:$E$1135,$B48,MAP!$T$1130:$T$1135)</f>
        <v>0</v>
      </c>
      <c r="K48" s="34" t="e">
        <f>SUM(C48:J48)</f>
        <v>#VALUE!</v>
      </c>
      <c r="L48" s="74"/>
    </row>
    <row r="49" spans="1:13" x14ac:dyDescent="0.2">
      <c r="B49" s="148" t="s">
        <v>1695</v>
      </c>
      <c r="C49" s="747" t="e">
        <f>SUMIF(MAP!$E$878:$E$883,$B49,MAP!$T$878:$T$883)</f>
        <v>#VALUE!</v>
      </c>
      <c r="D49" s="747">
        <f>SUMIF(MAP!$E$914:$E$919,$B49,MAP!$T$914:$T$919)</f>
        <v>0</v>
      </c>
      <c r="E49" s="747" t="e">
        <f>SUMIF(MAP!$E$950:$E$955,$B49,MAP!$T$950:$T$955)</f>
        <v>#VALUE!</v>
      </c>
      <c r="F49" s="747">
        <f>SUMIF(MAP!$E$986:$E$991,$B49,MAP!$T$986:$T$991)</f>
        <v>0</v>
      </c>
      <c r="G49" s="747" t="e">
        <f>SUMIF(MAP!$E$1022:$E$1027,$B49,MAP!$T$1022:$T$1027)</f>
        <v>#VALUE!</v>
      </c>
      <c r="H49" s="747" t="e">
        <f>SUMIF(MAP!$E$1058:$E$1063,$B49,MAP!$T$1058:$T$1063)</f>
        <v>#VALUE!</v>
      </c>
      <c r="I49" s="747" t="e">
        <f>SUMIF(MAP!$E$1094:$E$1099,$B49,MAP!$T$1094:$T$1099)</f>
        <v>#VALUE!</v>
      </c>
      <c r="J49" s="747" t="e">
        <f>SUMIF(MAP!$E$1130:$E$1135,$B49,MAP!$T$1130:$T$1135)</f>
        <v>#VALUE!</v>
      </c>
      <c r="L49" s="74"/>
    </row>
    <row r="50" spans="1:13" ht="13.5" thickBot="1" x14ac:dyDescent="0.25">
      <c r="B50" s="37" t="str">
        <f>"Carrying amount at"&amp;Update!$B$22</f>
        <v>Carrying amount at 31 March 2026</v>
      </c>
      <c r="C50" s="54" t="e">
        <f t="shared" ref="C50:K50" si="8">SUM(C46:C48)</f>
        <v>#VALUE!</v>
      </c>
      <c r="D50" s="54" t="e">
        <f t="shared" si="8"/>
        <v>#VALUE!</v>
      </c>
      <c r="E50" s="54" t="e">
        <f t="shared" si="8"/>
        <v>#VALUE!</v>
      </c>
      <c r="F50" s="54">
        <f t="shared" si="8"/>
        <v>0</v>
      </c>
      <c r="G50" s="54" t="e">
        <f t="shared" si="8"/>
        <v>#VALUE!</v>
      </c>
      <c r="H50" s="54" t="e">
        <f t="shared" si="8"/>
        <v>#VALUE!</v>
      </c>
      <c r="I50" s="54" t="e">
        <f t="shared" si="8"/>
        <v>#VALUE!</v>
      </c>
      <c r="J50" s="54" t="e">
        <f t="shared" si="8"/>
        <v>#VALUE!</v>
      </c>
      <c r="K50" s="54" t="e">
        <f t="shared" si="8"/>
        <v>#VALUE!</v>
      </c>
      <c r="L50" s="74"/>
    </row>
    <row r="51" spans="1:13" x14ac:dyDescent="0.2">
      <c r="B51" s="37"/>
      <c r="C51" s="234" t="e">
        <f>C41-C50</f>
        <v>#VALUE!</v>
      </c>
      <c r="D51" s="234" t="e">
        <f t="shared" ref="D51:K51" si="9">D41-D50</f>
        <v>#VALUE!</v>
      </c>
      <c r="E51" s="234" t="e">
        <f t="shared" si="9"/>
        <v>#VALUE!</v>
      </c>
      <c r="F51" s="234">
        <f t="shared" si="9"/>
        <v>0</v>
      </c>
      <c r="G51" s="234" t="e">
        <f t="shared" si="9"/>
        <v>#VALUE!</v>
      </c>
      <c r="H51" s="234" t="e">
        <f t="shared" si="9"/>
        <v>#VALUE!</v>
      </c>
      <c r="I51" s="234" t="e">
        <f t="shared" si="9"/>
        <v>#VALUE!</v>
      </c>
      <c r="J51" s="234" t="e">
        <f t="shared" si="9"/>
        <v>#VALUE!</v>
      </c>
      <c r="K51" s="234" t="e">
        <f t="shared" si="9"/>
        <v>#VALUE!</v>
      </c>
      <c r="L51" s="74"/>
    </row>
    <row r="52" spans="1:13" ht="28.7" customHeight="1" x14ac:dyDescent="0.2">
      <c r="B52" s="37"/>
      <c r="C52" s="96"/>
      <c r="D52" s="96"/>
      <c r="E52" s="96"/>
      <c r="F52" s="96"/>
      <c r="G52" s="96"/>
      <c r="H52" s="96"/>
      <c r="I52" s="96"/>
      <c r="J52" s="96"/>
      <c r="K52" s="96"/>
      <c r="M52" s="74"/>
    </row>
    <row r="53" spans="1:13" x14ac:dyDescent="0.2">
      <c r="A53" s="229">
        <f>SUMIF(Update!$B$33:$B$106,B53,Update!$A$33:$A$106)</f>
        <v>6.1999999999999993</v>
      </c>
      <c r="B53" s="37" t="str">
        <f>"Consolidated intangible assets "&amp;Update!$B$15</f>
        <v>Consolidated intangible assets 2024-25</v>
      </c>
      <c r="C53" s="37"/>
      <c r="D53" s="37"/>
      <c r="E53" s="37"/>
      <c r="M53" s="74"/>
    </row>
    <row r="54" spans="1:13" outlineLevel="1" x14ac:dyDescent="0.2">
      <c r="B54" s="37"/>
      <c r="C54" s="37"/>
      <c r="D54" s="2109"/>
      <c r="E54" s="2109"/>
      <c r="F54" s="2109"/>
      <c r="G54" s="38"/>
      <c r="H54" s="38"/>
      <c r="I54" s="38"/>
      <c r="J54" s="38"/>
      <c r="M54" s="74"/>
    </row>
    <row r="55" spans="1:13" ht="51" outlineLevel="1" x14ac:dyDescent="0.2">
      <c r="B55" s="37"/>
      <c r="C55" s="57" t="s">
        <v>201</v>
      </c>
      <c r="D55" s="57" t="s">
        <v>211</v>
      </c>
      <c r="E55" s="57" t="s">
        <v>451</v>
      </c>
      <c r="F55" s="57" t="s">
        <v>603</v>
      </c>
      <c r="G55" s="57" t="s">
        <v>452</v>
      </c>
      <c r="H55" s="57" t="s">
        <v>453</v>
      </c>
      <c r="I55" s="57" t="s">
        <v>454</v>
      </c>
      <c r="J55" s="57" t="s">
        <v>455</v>
      </c>
      <c r="K55" s="154" t="s">
        <v>604</v>
      </c>
      <c r="M55" s="74"/>
    </row>
    <row r="56" spans="1:13" outlineLevel="1" x14ac:dyDescent="0.2">
      <c r="C56" s="57" t="s">
        <v>62</v>
      </c>
      <c r="D56" s="57" t="s">
        <v>62</v>
      </c>
      <c r="E56" s="57" t="s">
        <v>62</v>
      </c>
      <c r="F56" s="57" t="s">
        <v>62</v>
      </c>
      <c r="G56" s="57" t="s">
        <v>62</v>
      </c>
      <c r="H56" s="57" t="s">
        <v>62</v>
      </c>
      <c r="I56" s="57" t="s">
        <v>62</v>
      </c>
      <c r="J56" s="57" t="s">
        <v>62</v>
      </c>
      <c r="K56" s="57" t="s">
        <v>62</v>
      </c>
      <c r="M56" s="74"/>
    </row>
    <row r="57" spans="1:13" outlineLevel="1" x14ac:dyDescent="0.2">
      <c r="B57" s="37" t="s">
        <v>183</v>
      </c>
      <c r="C57" s="37"/>
      <c r="D57" s="37"/>
      <c r="E57" s="37"/>
      <c r="M57" s="74"/>
    </row>
    <row r="58" spans="1:13" outlineLevel="1" x14ac:dyDescent="0.2">
      <c r="B58" s="34" t="str">
        <f>"At"&amp;Update!$B$18</f>
        <v>At 1 April 2024</v>
      </c>
      <c r="C58" s="342">
        <v>18436</v>
      </c>
      <c r="D58" s="342">
        <v>3819</v>
      </c>
      <c r="E58" s="342">
        <v>0</v>
      </c>
      <c r="F58" s="342">
        <v>63</v>
      </c>
      <c r="G58" s="342">
        <v>0</v>
      </c>
      <c r="H58" s="342">
        <v>0</v>
      </c>
      <c r="I58" s="342">
        <v>0</v>
      </c>
      <c r="J58" s="342">
        <v>2403</v>
      </c>
      <c r="K58" s="34">
        <f>SUM(C58:J58)</f>
        <v>24721</v>
      </c>
      <c r="M58" s="74"/>
    </row>
    <row r="59" spans="1:13" outlineLevel="1" x14ac:dyDescent="0.2">
      <c r="B59" s="34" t="s">
        <v>435</v>
      </c>
      <c r="C59" s="342">
        <v>0</v>
      </c>
      <c r="D59" s="342">
        <v>0</v>
      </c>
      <c r="E59" s="342">
        <v>0</v>
      </c>
      <c r="F59" s="342">
        <v>0</v>
      </c>
      <c r="G59" s="342">
        <v>0</v>
      </c>
      <c r="H59" s="342">
        <v>0</v>
      </c>
      <c r="I59" s="342">
        <v>0</v>
      </c>
      <c r="J59" s="342">
        <v>0</v>
      </c>
      <c r="K59" s="34">
        <f>SUM(C59:J59)</f>
        <v>0</v>
      </c>
      <c r="M59" s="74"/>
    </row>
    <row r="60" spans="1:13" outlineLevel="1" x14ac:dyDescent="0.2">
      <c r="B60" s="34" t="s">
        <v>442</v>
      </c>
      <c r="C60" s="98">
        <f t="shared" ref="C60:J60" si="10">SUM(C58:C59)</f>
        <v>18436</v>
      </c>
      <c r="D60" s="98">
        <f t="shared" si="10"/>
        <v>3819</v>
      </c>
      <c r="E60" s="98">
        <f t="shared" si="10"/>
        <v>0</v>
      </c>
      <c r="F60" s="98">
        <f t="shared" si="10"/>
        <v>63</v>
      </c>
      <c r="G60" s="98">
        <f t="shared" si="10"/>
        <v>0</v>
      </c>
      <c r="H60" s="98">
        <f t="shared" si="10"/>
        <v>0</v>
      </c>
      <c r="I60" s="98">
        <f t="shared" si="10"/>
        <v>0</v>
      </c>
      <c r="J60" s="98">
        <f t="shared" si="10"/>
        <v>2403</v>
      </c>
      <c r="K60" s="98">
        <f>SUM(C60:J60)</f>
        <v>24721</v>
      </c>
      <c r="M60" s="246">
        <f>SUM(C60:J60)-SUM(K58:K59)</f>
        <v>0</v>
      </c>
    </row>
    <row r="61" spans="1:13" outlineLevel="1" x14ac:dyDescent="0.2">
      <c r="B61" s="34" t="s">
        <v>185</v>
      </c>
      <c r="C61" s="342">
        <v>445</v>
      </c>
      <c r="D61" s="342">
        <v>214</v>
      </c>
      <c r="E61" s="342">
        <v>0</v>
      </c>
      <c r="F61" s="342">
        <v>0</v>
      </c>
      <c r="G61" s="342">
        <v>0</v>
      </c>
      <c r="H61" s="342">
        <v>0</v>
      </c>
      <c r="I61" s="342">
        <v>0</v>
      </c>
      <c r="J61" s="342">
        <v>608</v>
      </c>
      <c r="K61" s="34">
        <f t="shared" ref="K61:K69" si="11">SUM(C61:J61)</f>
        <v>1267</v>
      </c>
      <c r="M61" s="74"/>
    </row>
    <row r="62" spans="1:13" outlineLevel="1" x14ac:dyDescent="0.2">
      <c r="B62" s="34" t="s">
        <v>437</v>
      </c>
      <c r="C62" s="342">
        <v>0</v>
      </c>
      <c r="D62" s="342">
        <v>0</v>
      </c>
      <c r="E62" s="342">
        <v>0</v>
      </c>
      <c r="F62" s="342">
        <v>0</v>
      </c>
      <c r="G62" s="342">
        <v>0</v>
      </c>
      <c r="H62" s="342">
        <v>0</v>
      </c>
      <c r="I62" s="342">
        <v>0</v>
      </c>
      <c r="J62" s="342">
        <v>0</v>
      </c>
      <c r="K62" s="34">
        <f t="shared" si="11"/>
        <v>0</v>
      </c>
      <c r="M62" s="74"/>
    </row>
    <row r="63" spans="1:13" outlineLevel="1" x14ac:dyDescent="0.2">
      <c r="B63" s="34" t="s">
        <v>605</v>
      </c>
      <c r="C63" s="342">
        <v>0</v>
      </c>
      <c r="D63" s="342">
        <v>0</v>
      </c>
      <c r="E63" s="342">
        <v>0</v>
      </c>
      <c r="F63" s="342">
        <v>0</v>
      </c>
      <c r="G63" s="342">
        <v>0</v>
      </c>
      <c r="H63" s="342">
        <v>0</v>
      </c>
      <c r="I63" s="342">
        <v>0</v>
      </c>
      <c r="J63" s="342">
        <v>0</v>
      </c>
      <c r="K63" s="34">
        <f t="shared" si="11"/>
        <v>0</v>
      </c>
      <c r="M63" s="74"/>
    </row>
    <row r="64" spans="1:13" outlineLevel="1" x14ac:dyDescent="0.2">
      <c r="B64" s="34" t="s">
        <v>187</v>
      </c>
      <c r="C64" s="342">
        <v>0</v>
      </c>
      <c r="D64" s="342">
        <v>0</v>
      </c>
      <c r="E64" s="342">
        <v>0</v>
      </c>
      <c r="F64" s="342">
        <v>0</v>
      </c>
      <c r="G64" s="342">
        <v>0</v>
      </c>
      <c r="H64" s="342">
        <v>0</v>
      </c>
      <c r="I64" s="342">
        <v>0</v>
      </c>
      <c r="J64" s="342">
        <v>0</v>
      </c>
      <c r="K64" s="34">
        <f t="shared" si="11"/>
        <v>0</v>
      </c>
      <c r="M64" s="74"/>
    </row>
    <row r="65" spans="2:13" outlineLevel="1" x14ac:dyDescent="0.2">
      <c r="B65" s="34" t="s">
        <v>186</v>
      </c>
      <c r="C65" s="342">
        <v>16</v>
      </c>
      <c r="D65" s="342">
        <v>0</v>
      </c>
      <c r="E65" s="342">
        <v>0</v>
      </c>
      <c r="F65" s="342">
        <v>0</v>
      </c>
      <c r="G65" s="342">
        <v>0</v>
      </c>
      <c r="H65" s="342">
        <v>0</v>
      </c>
      <c r="I65" s="342">
        <v>0</v>
      </c>
      <c r="J65" s="342">
        <v>-16</v>
      </c>
      <c r="K65" s="34">
        <f t="shared" si="11"/>
        <v>0</v>
      </c>
      <c r="M65" s="74"/>
    </row>
    <row r="66" spans="2:13" outlineLevel="1" x14ac:dyDescent="0.2">
      <c r="B66" s="34" t="s">
        <v>188</v>
      </c>
      <c r="C66" s="342">
        <v>3</v>
      </c>
      <c r="D66" s="342">
        <v>2</v>
      </c>
      <c r="E66" s="342">
        <v>0</v>
      </c>
      <c r="F66" s="342">
        <v>0</v>
      </c>
      <c r="G66" s="342">
        <v>0</v>
      </c>
      <c r="H66" s="342">
        <v>0</v>
      </c>
      <c r="I66" s="342">
        <v>0</v>
      </c>
      <c r="J66" s="342">
        <v>0</v>
      </c>
      <c r="K66" s="34">
        <f t="shared" si="11"/>
        <v>5</v>
      </c>
      <c r="M66" s="74"/>
    </row>
    <row r="67" spans="2:13" ht="25.5" outlineLevel="1" x14ac:dyDescent="0.2">
      <c r="B67" s="41" t="s">
        <v>438</v>
      </c>
      <c r="C67" s="342">
        <v>0</v>
      </c>
      <c r="D67" s="342">
        <v>0</v>
      </c>
      <c r="E67" s="342">
        <v>0</v>
      </c>
      <c r="F67" s="342">
        <v>0</v>
      </c>
      <c r="G67" s="342">
        <v>0</v>
      </c>
      <c r="H67" s="342">
        <v>0</v>
      </c>
      <c r="I67" s="342">
        <v>0</v>
      </c>
      <c r="J67" s="342">
        <v>0</v>
      </c>
      <c r="K67" s="34">
        <f t="shared" si="11"/>
        <v>0</v>
      </c>
      <c r="M67" s="74"/>
    </row>
    <row r="68" spans="2:13" ht="25.5" outlineLevel="1" x14ac:dyDescent="0.2">
      <c r="B68" s="41" t="s">
        <v>193</v>
      </c>
      <c r="C68" s="342">
        <v>0</v>
      </c>
      <c r="D68" s="342">
        <v>0</v>
      </c>
      <c r="E68" s="342">
        <v>0</v>
      </c>
      <c r="F68" s="342">
        <v>0</v>
      </c>
      <c r="G68" s="342">
        <v>0</v>
      </c>
      <c r="H68" s="342">
        <v>0</v>
      </c>
      <c r="I68" s="342">
        <v>0</v>
      </c>
      <c r="J68" s="342">
        <v>0</v>
      </c>
      <c r="K68" s="34">
        <f t="shared" si="11"/>
        <v>0</v>
      </c>
      <c r="M68" s="74"/>
    </row>
    <row r="69" spans="2:13" outlineLevel="1" x14ac:dyDescent="0.2">
      <c r="B69" s="34" t="s">
        <v>189</v>
      </c>
      <c r="C69" s="342">
        <v>0</v>
      </c>
      <c r="D69" s="342">
        <v>0</v>
      </c>
      <c r="E69" s="342">
        <v>0</v>
      </c>
      <c r="F69" s="342">
        <v>0</v>
      </c>
      <c r="G69" s="342">
        <v>0</v>
      </c>
      <c r="H69" s="342">
        <v>0</v>
      </c>
      <c r="I69" s="342">
        <v>0</v>
      </c>
      <c r="J69" s="342">
        <v>0</v>
      </c>
      <c r="K69" s="34">
        <f t="shared" si="11"/>
        <v>0</v>
      </c>
      <c r="M69" s="74"/>
    </row>
    <row r="70" spans="2:13" outlineLevel="1" x14ac:dyDescent="0.2">
      <c r="B70" s="37" t="str">
        <f>"At"&amp;Update!$B$24</f>
        <v>At 31 March 2025</v>
      </c>
      <c r="C70" s="97">
        <f>SUM(C60:C69)</f>
        <v>18900</v>
      </c>
      <c r="D70" s="97">
        <f>SUM(D60:D69)</f>
        <v>4035</v>
      </c>
      <c r="E70" s="97">
        <f t="shared" ref="E70:J70" si="12">SUM(E60:E69)</f>
        <v>0</v>
      </c>
      <c r="F70" s="97">
        <f t="shared" si="12"/>
        <v>63</v>
      </c>
      <c r="G70" s="97">
        <f t="shared" si="12"/>
        <v>0</v>
      </c>
      <c r="H70" s="97">
        <f t="shared" si="12"/>
        <v>0</v>
      </c>
      <c r="I70" s="97">
        <f t="shared" si="12"/>
        <v>0</v>
      </c>
      <c r="J70" s="97">
        <f t="shared" si="12"/>
        <v>2995</v>
      </c>
      <c r="K70" s="97">
        <f>SUM(K60:K69)</f>
        <v>25993</v>
      </c>
      <c r="M70" s="74"/>
    </row>
    <row r="71" spans="2:13" outlineLevel="1" x14ac:dyDescent="0.2">
      <c r="M71" s="74"/>
    </row>
    <row r="72" spans="2:13" outlineLevel="1" x14ac:dyDescent="0.2">
      <c r="B72" s="37" t="s">
        <v>161</v>
      </c>
      <c r="C72" s="37"/>
      <c r="D72" s="37"/>
      <c r="E72" s="37"/>
      <c r="M72" s="74"/>
    </row>
    <row r="73" spans="2:13" outlineLevel="1" x14ac:dyDescent="0.2">
      <c r="B73" s="34" t="str">
        <f>+B58</f>
        <v>At 1 April 2024</v>
      </c>
      <c r="C73" s="342">
        <v>9041</v>
      </c>
      <c r="D73" s="342">
        <v>2323</v>
      </c>
      <c r="E73" s="342">
        <v>0</v>
      </c>
      <c r="F73" s="342">
        <v>55</v>
      </c>
      <c r="G73" s="342">
        <v>0</v>
      </c>
      <c r="H73" s="342">
        <v>0</v>
      </c>
      <c r="I73" s="342">
        <v>0</v>
      </c>
      <c r="J73" s="342">
        <v>0</v>
      </c>
      <c r="K73" s="34">
        <f>SUM(C73:J73)</f>
        <v>11419</v>
      </c>
      <c r="M73" s="74"/>
    </row>
    <row r="74" spans="2:13" outlineLevel="1" x14ac:dyDescent="0.2">
      <c r="B74" s="34" t="s">
        <v>435</v>
      </c>
      <c r="C74" s="342">
        <v>0</v>
      </c>
      <c r="D74" s="342">
        <v>0</v>
      </c>
      <c r="E74" s="342">
        <v>0</v>
      </c>
      <c r="F74" s="342">
        <v>0</v>
      </c>
      <c r="G74" s="342">
        <v>0</v>
      </c>
      <c r="H74" s="342">
        <v>0</v>
      </c>
      <c r="I74" s="342">
        <v>0</v>
      </c>
      <c r="J74" s="342">
        <v>0</v>
      </c>
      <c r="K74" s="34">
        <f>SUM(C74:J74)</f>
        <v>0</v>
      </c>
      <c r="M74" s="74"/>
    </row>
    <row r="75" spans="2:13" outlineLevel="1" x14ac:dyDescent="0.2">
      <c r="B75" s="34" t="str">
        <f>+B60</f>
        <v>Opening balance - restated</v>
      </c>
      <c r="C75" s="98">
        <f>SUM(C73:C74)</f>
        <v>9041</v>
      </c>
      <c r="D75" s="98">
        <f>SUM(D73:D74)</f>
        <v>2323</v>
      </c>
      <c r="E75" s="98">
        <f t="shared" ref="E75:J75" si="13">SUM(E73:E74)</f>
        <v>0</v>
      </c>
      <c r="F75" s="98">
        <f t="shared" si="13"/>
        <v>55</v>
      </c>
      <c r="G75" s="98">
        <f t="shared" si="13"/>
        <v>0</v>
      </c>
      <c r="H75" s="98">
        <f t="shared" si="13"/>
        <v>0</v>
      </c>
      <c r="I75" s="98">
        <f t="shared" si="13"/>
        <v>0</v>
      </c>
      <c r="J75" s="98">
        <f t="shared" si="13"/>
        <v>0</v>
      </c>
      <c r="K75" s="98">
        <f>SUM(K73:K74)</f>
        <v>11419</v>
      </c>
      <c r="M75" s="246">
        <f>SUM(C75:J75)-SUM(K73:K74)</f>
        <v>0</v>
      </c>
    </row>
    <row r="76" spans="2:13" outlineLevel="1" x14ac:dyDescent="0.2">
      <c r="B76" s="34" t="s">
        <v>190</v>
      </c>
      <c r="C76" s="342">
        <v>3362</v>
      </c>
      <c r="D76" s="342">
        <v>590</v>
      </c>
      <c r="E76" s="342">
        <v>0</v>
      </c>
      <c r="F76" s="342">
        <v>8</v>
      </c>
      <c r="G76" s="342">
        <v>0</v>
      </c>
      <c r="H76" s="342">
        <v>0</v>
      </c>
      <c r="I76" s="342">
        <v>0</v>
      </c>
      <c r="J76" s="342">
        <v>0</v>
      </c>
      <c r="K76" s="34">
        <f t="shared" ref="K76:K84" si="14">SUM(C76:J76)</f>
        <v>3960</v>
      </c>
      <c r="M76" s="74"/>
    </row>
    <row r="77" spans="2:13" outlineLevel="1" x14ac:dyDescent="0.2">
      <c r="B77" s="34" t="s">
        <v>605</v>
      </c>
      <c r="C77" s="342">
        <v>0</v>
      </c>
      <c r="D77" s="342">
        <v>0</v>
      </c>
      <c r="E77" s="342">
        <v>0</v>
      </c>
      <c r="F77" s="342">
        <v>0</v>
      </c>
      <c r="G77" s="342">
        <v>0</v>
      </c>
      <c r="H77" s="342">
        <v>0</v>
      </c>
      <c r="I77" s="342">
        <v>0</v>
      </c>
      <c r="J77" s="342">
        <v>0</v>
      </c>
      <c r="K77" s="34">
        <f t="shared" si="14"/>
        <v>0</v>
      </c>
      <c r="M77" s="74"/>
    </row>
    <row r="78" spans="2:13" outlineLevel="1" x14ac:dyDescent="0.2">
      <c r="B78" s="34" t="s">
        <v>187</v>
      </c>
      <c r="C78" s="342">
        <v>0</v>
      </c>
      <c r="D78" s="342">
        <v>0</v>
      </c>
      <c r="E78" s="342">
        <v>0</v>
      </c>
      <c r="F78" s="342">
        <v>0</v>
      </c>
      <c r="G78" s="342">
        <v>0</v>
      </c>
      <c r="H78" s="342">
        <v>0</v>
      </c>
      <c r="I78" s="342">
        <v>0</v>
      </c>
      <c r="J78" s="342">
        <v>0</v>
      </c>
      <c r="K78" s="34">
        <f t="shared" si="14"/>
        <v>0</v>
      </c>
      <c r="M78" s="74"/>
    </row>
    <row r="79" spans="2:13" outlineLevel="1" x14ac:dyDescent="0.2">
      <c r="B79" s="34" t="s">
        <v>186</v>
      </c>
      <c r="C79" s="342">
        <v>0</v>
      </c>
      <c r="D79" s="342">
        <v>0</v>
      </c>
      <c r="E79" s="342">
        <v>0</v>
      </c>
      <c r="F79" s="342">
        <v>0</v>
      </c>
      <c r="G79" s="342">
        <v>0</v>
      </c>
      <c r="H79" s="342">
        <v>0</v>
      </c>
      <c r="I79" s="342">
        <v>0</v>
      </c>
      <c r="J79" s="342">
        <v>0</v>
      </c>
      <c r="K79" s="34">
        <f t="shared" si="14"/>
        <v>0</v>
      </c>
      <c r="M79" s="74"/>
    </row>
    <row r="80" spans="2:13" outlineLevel="1" x14ac:dyDescent="0.2">
      <c r="B80" s="34" t="s">
        <v>188</v>
      </c>
      <c r="C80" s="342">
        <v>3</v>
      </c>
      <c r="D80" s="342">
        <v>0</v>
      </c>
      <c r="E80" s="342">
        <v>0</v>
      </c>
      <c r="F80" s="342">
        <v>0</v>
      </c>
      <c r="G80" s="342">
        <v>0</v>
      </c>
      <c r="H80" s="342">
        <v>0</v>
      </c>
      <c r="I80" s="342">
        <v>0</v>
      </c>
      <c r="J80" s="342">
        <v>0</v>
      </c>
      <c r="K80" s="34">
        <f t="shared" si="14"/>
        <v>3</v>
      </c>
      <c r="M80" s="74"/>
    </row>
    <row r="81" spans="2:13" outlineLevel="1" x14ac:dyDescent="0.2">
      <c r="B81" s="34" t="s">
        <v>210</v>
      </c>
      <c r="C81" s="342">
        <v>0</v>
      </c>
      <c r="D81" s="342">
        <v>0</v>
      </c>
      <c r="E81" s="342">
        <v>0</v>
      </c>
      <c r="F81" s="342">
        <v>0</v>
      </c>
      <c r="G81" s="342">
        <v>0</v>
      </c>
      <c r="H81" s="342">
        <v>0</v>
      </c>
      <c r="I81" s="342">
        <v>0</v>
      </c>
      <c r="J81" s="342">
        <v>0</v>
      </c>
      <c r="K81" s="34">
        <f t="shared" si="14"/>
        <v>0</v>
      </c>
      <c r="M81" s="74"/>
    </row>
    <row r="82" spans="2:13" ht="25.5" outlineLevel="1" x14ac:dyDescent="0.2">
      <c r="B82" s="41" t="s">
        <v>438</v>
      </c>
      <c r="C82" s="342">
        <v>0</v>
      </c>
      <c r="D82" s="342">
        <v>0</v>
      </c>
      <c r="E82" s="342">
        <v>0</v>
      </c>
      <c r="F82" s="342">
        <v>0</v>
      </c>
      <c r="G82" s="342">
        <v>0</v>
      </c>
      <c r="H82" s="342">
        <v>0</v>
      </c>
      <c r="I82" s="342">
        <v>0</v>
      </c>
      <c r="J82" s="342">
        <v>0</v>
      </c>
      <c r="K82" s="34">
        <f t="shared" si="14"/>
        <v>0</v>
      </c>
      <c r="M82" s="74"/>
    </row>
    <row r="83" spans="2:13" ht="25.5" outlineLevel="1" x14ac:dyDescent="0.2">
      <c r="B83" s="41" t="s">
        <v>193</v>
      </c>
      <c r="C83" s="342">
        <v>0</v>
      </c>
      <c r="D83" s="342">
        <v>0</v>
      </c>
      <c r="E83" s="342">
        <v>0</v>
      </c>
      <c r="F83" s="342">
        <v>0</v>
      </c>
      <c r="G83" s="342">
        <v>0</v>
      </c>
      <c r="H83" s="342">
        <v>0</v>
      </c>
      <c r="I83" s="342">
        <v>0</v>
      </c>
      <c r="J83" s="342">
        <v>0</v>
      </c>
      <c r="K83" s="34">
        <f t="shared" si="14"/>
        <v>0</v>
      </c>
      <c r="M83" s="74"/>
    </row>
    <row r="84" spans="2:13" outlineLevel="1" x14ac:dyDescent="0.2">
      <c r="B84" s="34" t="s">
        <v>189</v>
      </c>
      <c r="C84" s="342">
        <v>0</v>
      </c>
      <c r="D84" s="342">
        <v>0</v>
      </c>
      <c r="E84" s="342">
        <v>0</v>
      </c>
      <c r="F84" s="342">
        <v>0</v>
      </c>
      <c r="G84" s="342">
        <v>0</v>
      </c>
      <c r="H84" s="342">
        <v>0</v>
      </c>
      <c r="I84" s="342">
        <v>0</v>
      </c>
      <c r="J84" s="342">
        <v>0</v>
      </c>
      <c r="K84" s="34">
        <f t="shared" si="14"/>
        <v>0</v>
      </c>
      <c r="M84" s="74"/>
    </row>
    <row r="85" spans="2:13" outlineLevel="1" x14ac:dyDescent="0.2">
      <c r="B85" s="37" t="str">
        <f>+B70</f>
        <v>At 31 March 2025</v>
      </c>
      <c r="C85" s="97">
        <f>SUM(C75:C84)</f>
        <v>12406</v>
      </c>
      <c r="D85" s="97">
        <f>SUM(D75:D84)</f>
        <v>2913</v>
      </c>
      <c r="E85" s="97">
        <f t="shared" ref="E85:J85" si="15">SUM(E75:E84)</f>
        <v>0</v>
      </c>
      <c r="F85" s="97">
        <f t="shared" si="15"/>
        <v>63</v>
      </c>
      <c r="G85" s="97">
        <f t="shared" si="15"/>
        <v>0</v>
      </c>
      <c r="H85" s="97">
        <f t="shared" si="15"/>
        <v>0</v>
      </c>
      <c r="I85" s="97">
        <f t="shared" si="15"/>
        <v>0</v>
      </c>
      <c r="J85" s="97">
        <f t="shared" si="15"/>
        <v>0</v>
      </c>
      <c r="K85" s="97">
        <f>SUM(K75:K84)</f>
        <v>15382</v>
      </c>
      <c r="M85" s="74"/>
    </row>
    <row r="86" spans="2:13" outlineLevel="1" x14ac:dyDescent="0.2">
      <c r="M86" s="74"/>
    </row>
    <row r="87" spans="2:13" ht="13.5" outlineLevel="1" thickBot="1" x14ac:dyDescent="0.25">
      <c r="B87" s="37" t="str">
        <f>"Carrying amount at"&amp;Update!$B$24</f>
        <v>Carrying amount at 31 March 2025</v>
      </c>
      <c r="C87" s="118">
        <f>C70-C85</f>
        <v>6494</v>
      </c>
      <c r="D87" s="118">
        <f>D70-D85</f>
        <v>1122</v>
      </c>
      <c r="E87" s="118">
        <f t="shared" ref="E87:J87" si="16">E70-E85</f>
        <v>0</v>
      </c>
      <c r="F87" s="118">
        <f t="shared" si="16"/>
        <v>0</v>
      </c>
      <c r="G87" s="118">
        <f t="shared" si="16"/>
        <v>0</v>
      </c>
      <c r="H87" s="118">
        <f t="shared" si="16"/>
        <v>0</v>
      </c>
      <c r="I87" s="118">
        <f t="shared" si="16"/>
        <v>0</v>
      </c>
      <c r="J87" s="118">
        <f t="shared" si="16"/>
        <v>2995</v>
      </c>
      <c r="K87" s="118">
        <f>K70-K85</f>
        <v>10611</v>
      </c>
      <c r="M87" s="74"/>
    </row>
    <row r="88" spans="2:13" outlineLevel="1" x14ac:dyDescent="0.2">
      <c r="B88" s="37"/>
      <c r="C88" s="167"/>
      <c r="D88" s="167"/>
      <c r="E88" s="167"/>
      <c r="F88" s="167"/>
      <c r="G88" s="167"/>
      <c r="H88" s="167"/>
      <c r="I88" s="167"/>
      <c r="J88" s="167"/>
      <c r="K88" s="167"/>
      <c r="M88" s="74"/>
    </row>
    <row r="89" spans="2:13" outlineLevel="1" x14ac:dyDescent="0.2">
      <c r="B89" s="34" t="str">
        <f>"Carrying amount at"&amp;Update!$B$17</f>
        <v>Carrying amount at 31 March 2024</v>
      </c>
      <c r="C89" s="44">
        <f>C58-C73</f>
        <v>9395</v>
      </c>
      <c r="D89" s="44">
        <f t="shared" ref="D89:J89" si="17">D58-D73</f>
        <v>1496</v>
      </c>
      <c r="E89" s="44">
        <f t="shared" si="17"/>
        <v>0</v>
      </c>
      <c r="F89" s="44">
        <f t="shared" si="17"/>
        <v>8</v>
      </c>
      <c r="G89" s="44">
        <f t="shared" si="17"/>
        <v>0</v>
      </c>
      <c r="H89" s="44">
        <f t="shared" si="17"/>
        <v>0</v>
      </c>
      <c r="I89" s="44">
        <f t="shared" si="17"/>
        <v>0</v>
      </c>
      <c r="J89" s="44">
        <f t="shared" si="17"/>
        <v>2403</v>
      </c>
      <c r="K89" s="44">
        <f>K60-K75</f>
        <v>13302</v>
      </c>
      <c r="M89" s="74"/>
    </row>
    <row r="90" spans="2:13" outlineLevel="1" x14ac:dyDescent="0.2">
      <c r="B90" s="37"/>
      <c r="C90" s="37"/>
      <c r="D90" s="37"/>
      <c r="E90" s="37"/>
      <c r="M90" s="74"/>
    </row>
    <row r="91" spans="2:13" outlineLevel="1" x14ac:dyDescent="0.2">
      <c r="B91" s="37" t="s">
        <v>194</v>
      </c>
      <c r="C91" s="74"/>
      <c r="D91" s="74"/>
      <c r="E91" s="74"/>
      <c r="F91" s="74"/>
      <c r="G91" s="74"/>
      <c r="H91" s="74"/>
      <c r="I91" s="74"/>
      <c r="J91" s="74"/>
      <c r="K91" s="74"/>
    </row>
    <row r="92" spans="2:13" outlineLevel="1" x14ac:dyDescent="0.2">
      <c r="B92" s="34" t="s">
        <v>443</v>
      </c>
      <c r="C92" s="342">
        <v>6494</v>
      </c>
      <c r="D92" s="342">
        <v>1122</v>
      </c>
      <c r="E92" s="342">
        <v>0</v>
      </c>
      <c r="F92" s="342">
        <v>0</v>
      </c>
      <c r="G92" s="342">
        <v>0</v>
      </c>
      <c r="H92" s="342">
        <v>0</v>
      </c>
      <c r="I92" s="342">
        <v>0</v>
      </c>
      <c r="J92" s="342">
        <v>2995</v>
      </c>
      <c r="K92" s="74">
        <f>SUM(C92:J92)</f>
        <v>10611</v>
      </c>
    </row>
    <row r="93" spans="2:13" outlineLevel="1" x14ac:dyDescent="0.2">
      <c r="B93" s="34" t="s">
        <v>444</v>
      </c>
      <c r="C93" s="342">
        <v>0</v>
      </c>
      <c r="D93" s="342">
        <v>0</v>
      </c>
      <c r="E93" s="342">
        <v>0</v>
      </c>
      <c r="F93" s="342">
        <v>0</v>
      </c>
      <c r="G93" s="342">
        <v>0</v>
      </c>
      <c r="H93" s="342">
        <v>0</v>
      </c>
      <c r="I93" s="342">
        <v>0</v>
      </c>
      <c r="J93" s="342">
        <v>0</v>
      </c>
      <c r="K93" s="74">
        <f>SUM(C93:J93)</f>
        <v>0</v>
      </c>
    </row>
    <row r="94" spans="2:13" ht="25.5" outlineLevel="1" x14ac:dyDescent="0.2">
      <c r="B94" s="148" t="s">
        <v>199</v>
      </c>
      <c r="C94" s="342">
        <v>0</v>
      </c>
      <c r="D94" s="342">
        <v>0</v>
      </c>
      <c r="E94" s="342">
        <v>0</v>
      </c>
      <c r="F94" s="342">
        <v>0</v>
      </c>
      <c r="G94" s="342">
        <v>0</v>
      </c>
      <c r="H94" s="342">
        <v>0</v>
      </c>
      <c r="I94" s="342">
        <v>0</v>
      </c>
      <c r="J94" s="342">
        <v>0</v>
      </c>
      <c r="K94" s="74">
        <f>SUM(C94:J94)</f>
        <v>0</v>
      </c>
    </row>
    <row r="95" spans="2:13" outlineLevel="1" x14ac:dyDescent="0.2">
      <c r="B95" s="148" t="s">
        <v>1695</v>
      </c>
      <c r="C95" s="342">
        <v>0</v>
      </c>
      <c r="D95" s="342">
        <v>0</v>
      </c>
      <c r="E95" s="342">
        <v>0</v>
      </c>
      <c r="F95" s="342">
        <v>0</v>
      </c>
      <c r="G95" s="342">
        <v>0</v>
      </c>
      <c r="H95" s="342">
        <v>0</v>
      </c>
      <c r="I95" s="342">
        <v>0</v>
      </c>
      <c r="J95" s="342">
        <v>0</v>
      </c>
      <c r="K95" s="74">
        <f>SUM(C95:J95)</f>
        <v>0</v>
      </c>
    </row>
    <row r="96" spans="2:13" ht="13.5" outlineLevel="1" thickBot="1" x14ac:dyDescent="0.25">
      <c r="B96" s="34" t="str">
        <f>"Carrying amount at"&amp;Update!$B$24</f>
        <v>Carrying amount at 31 March 2025</v>
      </c>
      <c r="C96" s="168">
        <f>SUM(C92:C95)</f>
        <v>6494</v>
      </c>
      <c r="D96" s="168">
        <f t="shared" ref="D96:K96" si="18">SUM(D92:D95)</f>
        <v>1122</v>
      </c>
      <c r="E96" s="168">
        <f t="shared" si="18"/>
        <v>0</v>
      </c>
      <c r="F96" s="168">
        <f t="shared" si="18"/>
        <v>0</v>
      </c>
      <c r="G96" s="168">
        <f t="shared" si="18"/>
        <v>0</v>
      </c>
      <c r="H96" s="168">
        <f t="shared" si="18"/>
        <v>0</v>
      </c>
      <c r="I96" s="168">
        <f t="shared" si="18"/>
        <v>0</v>
      </c>
      <c r="J96" s="168">
        <f t="shared" si="18"/>
        <v>2995</v>
      </c>
      <c r="K96" s="168">
        <f t="shared" si="18"/>
        <v>10611</v>
      </c>
    </row>
    <row r="97" spans="1:14" outlineLevel="1" x14ac:dyDescent="0.2">
      <c r="B97" s="37"/>
      <c r="C97" s="340">
        <f>C87-C96</f>
        <v>0</v>
      </c>
      <c r="D97" s="340">
        <f t="shared" ref="D97:K97" si="19">D87-D96</f>
        <v>0</v>
      </c>
      <c r="E97" s="340">
        <f t="shared" si="19"/>
        <v>0</v>
      </c>
      <c r="F97" s="340">
        <f t="shared" si="19"/>
        <v>0</v>
      </c>
      <c r="G97" s="340">
        <f t="shared" si="19"/>
        <v>0</v>
      </c>
      <c r="H97" s="340">
        <f t="shared" si="19"/>
        <v>0</v>
      </c>
      <c r="I97" s="340">
        <f t="shared" si="19"/>
        <v>0</v>
      </c>
      <c r="J97" s="340">
        <f t="shared" si="19"/>
        <v>0</v>
      </c>
      <c r="K97" s="340">
        <f t="shared" si="19"/>
        <v>0</v>
      </c>
    </row>
    <row r="98" spans="1:14" outlineLevel="1" x14ac:dyDescent="0.2">
      <c r="B98" s="37"/>
      <c r="C98" s="46"/>
      <c r="D98" s="46"/>
      <c r="E98" s="46"/>
      <c r="F98" s="46"/>
      <c r="G98" s="46"/>
      <c r="H98" s="46"/>
      <c r="I98" s="46"/>
      <c r="J98" s="46"/>
      <c r="K98" s="74"/>
    </row>
    <row r="99" spans="1:14" outlineLevel="1" x14ac:dyDescent="0.2">
      <c r="B99" s="37" t="s">
        <v>194</v>
      </c>
      <c r="C99" s="74"/>
      <c r="D99" s="74"/>
      <c r="E99" s="74"/>
      <c r="F99" s="74"/>
      <c r="G99" s="74"/>
      <c r="H99" s="74"/>
      <c r="I99" s="74"/>
      <c r="J99" s="74"/>
      <c r="K99" s="74"/>
    </row>
    <row r="100" spans="1:14" outlineLevel="1" x14ac:dyDescent="0.2">
      <c r="B100" s="34" t="s">
        <v>443</v>
      </c>
      <c r="C100" s="342">
        <v>9395</v>
      </c>
      <c r="D100" s="342">
        <v>1496</v>
      </c>
      <c r="E100" s="342">
        <v>0</v>
      </c>
      <c r="F100" s="342">
        <v>8</v>
      </c>
      <c r="G100" s="342">
        <v>0</v>
      </c>
      <c r="H100" s="342">
        <v>0</v>
      </c>
      <c r="I100" s="342">
        <v>0</v>
      </c>
      <c r="J100" s="342">
        <v>2403</v>
      </c>
      <c r="K100" s="74">
        <f>SUM(C100:J100)</f>
        <v>13302</v>
      </c>
    </row>
    <row r="101" spans="1:14" outlineLevel="1" x14ac:dyDescent="0.2">
      <c r="B101" s="34" t="s">
        <v>444</v>
      </c>
      <c r="C101" s="342">
        <v>0</v>
      </c>
      <c r="D101" s="342">
        <v>0</v>
      </c>
      <c r="E101" s="342">
        <v>0</v>
      </c>
      <c r="F101" s="342">
        <v>0</v>
      </c>
      <c r="G101" s="342">
        <v>0</v>
      </c>
      <c r="H101" s="342">
        <v>0</v>
      </c>
      <c r="I101" s="342">
        <v>0</v>
      </c>
      <c r="J101" s="342">
        <v>0</v>
      </c>
      <c r="K101" s="74">
        <f>SUM(C101:J101)</f>
        <v>0</v>
      </c>
    </row>
    <row r="102" spans="1:14" ht="25.5" outlineLevel="1" x14ac:dyDescent="0.2">
      <c r="B102" s="148" t="s">
        <v>199</v>
      </c>
      <c r="C102" s="342">
        <v>0</v>
      </c>
      <c r="D102" s="342">
        <v>0</v>
      </c>
      <c r="E102" s="342">
        <v>0</v>
      </c>
      <c r="F102" s="342">
        <v>0</v>
      </c>
      <c r="G102" s="342">
        <v>0</v>
      </c>
      <c r="H102" s="342">
        <v>0</v>
      </c>
      <c r="I102" s="342">
        <v>0</v>
      </c>
      <c r="J102" s="342">
        <v>0</v>
      </c>
      <c r="K102" s="74">
        <f>SUM(C102:J102)</f>
        <v>0</v>
      </c>
    </row>
    <row r="103" spans="1:14" outlineLevel="1" x14ac:dyDescent="0.2">
      <c r="B103" s="148" t="s">
        <v>1695</v>
      </c>
      <c r="C103" s="342">
        <v>0</v>
      </c>
      <c r="D103" s="342">
        <v>0</v>
      </c>
      <c r="E103" s="342">
        <v>0</v>
      </c>
      <c r="F103" s="342">
        <v>0</v>
      </c>
      <c r="G103" s="342">
        <v>0</v>
      </c>
      <c r="H103" s="342">
        <v>0</v>
      </c>
      <c r="I103" s="342">
        <v>0</v>
      </c>
      <c r="J103" s="342">
        <v>0</v>
      </c>
      <c r="K103" s="74">
        <f>SUM(C103:J103)</f>
        <v>0</v>
      </c>
    </row>
    <row r="104" spans="1:14" ht="13.5" outlineLevel="1" thickBot="1" x14ac:dyDescent="0.25">
      <c r="B104" s="34" t="str">
        <f>"Carrying amount at"&amp;Update!$B$17</f>
        <v>Carrying amount at 31 March 2024</v>
      </c>
      <c r="C104" s="168">
        <f>SUM(C100:C103)</f>
        <v>9395</v>
      </c>
      <c r="D104" s="168">
        <f t="shared" ref="D104:K104" si="20">SUM(D100:D103)</f>
        <v>1496</v>
      </c>
      <c r="E104" s="168">
        <f t="shared" si="20"/>
        <v>0</v>
      </c>
      <c r="F104" s="168">
        <f t="shared" si="20"/>
        <v>8</v>
      </c>
      <c r="G104" s="168">
        <f t="shared" si="20"/>
        <v>0</v>
      </c>
      <c r="H104" s="168">
        <f t="shared" si="20"/>
        <v>0</v>
      </c>
      <c r="I104" s="168">
        <f t="shared" si="20"/>
        <v>0</v>
      </c>
      <c r="J104" s="168">
        <f t="shared" si="20"/>
        <v>2403</v>
      </c>
      <c r="K104" s="168">
        <f t="shared" si="20"/>
        <v>13302</v>
      </c>
    </row>
    <row r="105" spans="1:14" outlineLevel="1" x14ac:dyDescent="0.2">
      <c r="B105" s="37"/>
      <c r="C105" s="246">
        <f>C89-C104</f>
        <v>0</v>
      </c>
      <c r="D105" s="246">
        <f t="shared" ref="D105:K105" si="21">D89-D104</f>
        <v>0</v>
      </c>
      <c r="E105" s="246">
        <f t="shared" si="21"/>
        <v>0</v>
      </c>
      <c r="F105" s="246">
        <f t="shared" si="21"/>
        <v>0</v>
      </c>
      <c r="G105" s="246">
        <f t="shared" si="21"/>
        <v>0</v>
      </c>
      <c r="H105" s="246">
        <f t="shared" si="21"/>
        <v>0</v>
      </c>
      <c r="I105" s="246">
        <f t="shared" si="21"/>
        <v>0</v>
      </c>
      <c r="J105" s="246">
        <f t="shared" si="21"/>
        <v>0</v>
      </c>
      <c r="K105" s="246">
        <f t="shared" si="21"/>
        <v>0</v>
      </c>
    </row>
    <row r="108" spans="1:14" x14ac:dyDescent="0.2">
      <c r="A108" s="229">
        <f>SUMIF(Update!$B$33:$B$106,B108,Update!$A$33:$A$106)</f>
        <v>6.2999999999999989</v>
      </c>
      <c r="B108" s="37" t="s">
        <v>843</v>
      </c>
      <c r="C108" s="225"/>
      <c r="D108" s="225"/>
      <c r="E108" s="212"/>
      <c r="F108" s="212"/>
      <c r="G108" s="212"/>
      <c r="H108" s="212"/>
      <c r="I108" s="212"/>
      <c r="J108" s="212"/>
      <c r="K108" s="212"/>
      <c r="L108" s="51"/>
      <c r="M108" s="51"/>
      <c r="N108" s="51"/>
    </row>
    <row r="109" spans="1:14" x14ac:dyDescent="0.2">
      <c r="B109" s="34" t="s">
        <v>600</v>
      </c>
      <c r="C109" s="212"/>
      <c r="D109" s="212"/>
      <c r="E109" s="212"/>
      <c r="F109" s="212"/>
      <c r="G109" s="212"/>
      <c r="H109" s="212"/>
      <c r="I109" s="212"/>
      <c r="J109" s="212"/>
      <c r="K109" s="212"/>
      <c r="L109" s="51"/>
      <c r="M109" s="51"/>
      <c r="N109" s="51"/>
    </row>
    <row r="110" spans="1:14" x14ac:dyDescent="0.2">
      <c r="C110" s="212"/>
      <c r="D110" s="212"/>
      <c r="E110" s="212"/>
      <c r="F110" s="212"/>
      <c r="G110" s="212"/>
      <c r="H110" s="212"/>
      <c r="I110" s="212"/>
      <c r="J110" s="212"/>
      <c r="K110" s="212"/>
      <c r="L110" s="51"/>
      <c r="M110" s="51"/>
      <c r="N110" s="51"/>
    </row>
    <row r="111" spans="1:14" x14ac:dyDescent="0.2">
      <c r="B111" s="34" t="s">
        <v>1698</v>
      </c>
      <c r="C111" s="333">
        <f>ROUND(MAP!$T$876,0)-C112</f>
        <v>0</v>
      </c>
      <c r="D111" s="333">
        <f>ROUND(MAP!$T$912,0)-D112</f>
        <v>101</v>
      </c>
      <c r="E111" s="333">
        <f>ROUND(MAP!$T$948,0)-E112</f>
        <v>0</v>
      </c>
      <c r="F111" s="333">
        <f>ROUND(MAP!$T984,0)-F112</f>
        <v>0</v>
      </c>
      <c r="G111" s="333">
        <f>ROUND(MAP!$T$1020,0)-G112</f>
        <v>0</v>
      </c>
      <c r="H111" s="333">
        <f>ROUND(MAP!$T$1056,0)-H112</f>
        <v>0</v>
      </c>
      <c r="I111" s="333">
        <f>ROUND(MAP!$T$1092,0)-I112</f>
        <v>0</v>
      </c>
      <c r="J111" s="333">
        <f>ROUND(MAP!$T$1128,0)-J112</f>
        <v>0</v>
      </c>
      <c r="K111" s="212">
        <f>SUM(C111:J111)</f>
        <v>101</v>
      </c>
      <c r="L111" s="51"/>
      <c r="M111" s="51"/>
      <c r="N111" s="51"/>
    </row>
    <row r="112" spans="1:14" x14ac:dyDescent="0.2">
      <c r="B112" s="34" t="s">
        <v>478</v>
      </c>
      <c r="C112" s="333">
        <f>ROUND(SUM(MAP!$X$876:$Y$876),0)</f>
        <v>0</v>
      </c>
      <c r="D112" s="333">
        <f>ROUND(SUM(MAP!$X$912:$Y$912),0)</f>
        <v>0</v>
      </c>
      <c r="E112" s="333">
        <f>ROUND(SUM(MAP!$X$948:$Y$948),0)</f>
        <v>0</v>
      </c>
      <c r="F112" s="333">
        <f>ROUND(SUM(MAP!$X983:$Y983),0)</f>
        <v>0</v>
      </c>
      <c r="G112" s="333">
        <f>ROUND(SUM(MAP!$X$1020:$Y$1020),0)</f>
        <v>0</v>
      </c>
      <c r="H112" s="333">
        <f>ROUND(SUM(MAP!$X$1056:$Y$1056),0)</f>
        <v>0</v>
      </c>
      <c r="I112" s="333">
        <f>ROUND(SUM(MAP!$X$1092:$Y$1092),0)</f>
        <v>0</v>
      </c>
      <c r="J112" s="333">
        <f>ROUND(SUM(MAP!$X$1128:$Y$1128),0)</f>
        <v>0</v>
      </c>
      <c r="K112" s="212">
        <f>SUM(C112:J112)</f>
        <v>0</v>
      </c>
      <c r="L112" s="51"/>
      <c r="M112" s="51"/>
      <c r="N112" s="51"/>
    </row>
    <row r="113" spans="2:14" x14ac:dyDescent="0.2">
      <c r="B113" s="34" t="s">
        <v>1699</v>
      </c>
      <c r="C113" s="333"/>
      <c r="D113" s="333"/>
      <c r="E113" s="333"/>
      <c r="F113" s="333"/>
      <c r="G113" s="333"/>
      <c r="H113" s="333"/>
      <c r="I113" s="333"/>
      <c r="J113" s="333"/>
      <c r="K113" s="212">
        <f>SUM(C113:J113)</f>
        <v>0</v>
      </c>
      <c r="L113" s="51"/>
      <c r="M113" s="51"/>
      <c r="N113" s="51"/>
    </row>
    <row r="114" spans="2:14" ht="13.5" thickBot="1" x14ac:dyDescent="0.25">
      <c r="B114" s="37" t="str">
        <f>$B$50</f>
        <v>Carrying amount at 31 March 2026</v>
      </c>
      <c r="C114" s="226">
        <f t="shared" ref="C114:K114" si="22">SUM(C111:C113)</f>
        <v>0</v>
      </c>
      <c r="D114" s="226">
        <f t="shared" si="22"/>
        <v>101</v>
      </c>
      <c r="E114" s="226">
        <f t="shared" si="22"/>
        <v>0</v>
      </c>
      <c r="F114" s="226">
        <f t="shared" si="22"/>
        <v>0</v>
      </c>
      <c r="G114" s="226">
        <f t="shared" si="22"/>
        <v>0</v>
      </c>
      <c r="H114" s="226">
        <f t="shared" si="22"/>
        <v>0</v>
      </c>
      <c r="I114" s="226">
        <f t="shared" si="22"/>
        <v>0</v>
      </c>
      <c r="J114" s="226">
        <f t="shared" si="22"/>
        <v>0</v>
      </c>
      <c r="K114" s="226">
        <f t="shared" si="22"/>
        <v>101</v>
      </c>
      <c r="L114" s="51"/>
      <c r="M114" s="51"/>
      <c r="N114" s="51"/>
    </row>
    <row r="115" spans="2:14" x14ac:dyDescent="0.2">
      <c r="C115" s="227" t="e">
        <f>C114-C50</f>
        <v>#VALUE!</v>
      </c>
      <c r="D115" s="227" t="e">
        <f t="shared" ref="D115:K115" si="23">D114-D50</f>
        <v>#VALUE!</v>
      </c>
      <c r="E115" s="227" t="e">
        <f t="shared" si="23"/>
        <v>#VALUE!</v>
      </c>
      <c r="F115" s="227">
        <f t="shared" si="23"/>
        <v>0</v>
      </c>
      <c r="G115" s="227" t="e">
        <f t="shared" si="23"/>
        <v>#VALUE!</v>
      </c>
      <c r="H115" s="227" t="e">
        <f t="shared" si="23"/>
        <v>#VALUE!</v>
      </c>
      <c r="I115" s="227" t="e">
        <f t="shared" si="23"/>
        <v>#VALUE!</v>
      </c>
      <c r="J115" s="227" t="e">
        <f t="shared" si="23"/>
        <v>#VALUE!</v>
      </c>
      <c r="K115" s="227" t="e">
        <f t="shared" si="23"/>
        <v>#VALUE!</v>
      </c>
      <c r="L115" s="51"/>
      <c r="M115" s="51"/>
      <c r="N115" s="51"/>
    </row>
    <row r="116" spans="2:14" x14ac:dyDescent="0.2">
      <c r="C116" s="212"/>
      <c r="D116" s="212"/>
      <c r="E116" s="212"/>
      <c r="F116" s="212"/>
      <c r="G116" s="212"/>
      <c r="H116" s="212"/>
      <c r="I116" s="212"/>
      <c r="J116" s="212"/>
      <c r="K116" s="219"/>
      <c r="L116" s="51"/>
      <c r="M116" s="51"/>
      <c r="N116" s="51"/>
    </row>
    <row r="117" spans="2:14" x14ac:dyDescent="0.2">
      <c r="B117" s="34" t="s">
        <v>1698</v>
      </c>
      <c r="C117" s="767">
        <v>0</v>
      </c>
      <c r="D117" s="767">
        <v>101</v>
      </c>
      <c r="E117" s="767">
        <v>0</v>
      </c>
      <c r="F117" s="767">
        <v>0</v>
      </c>
      <c r="G117" s="767">
        <v>0</v>
      </c>
      <c r="H117" s="767">
        <v>0</v>
      </c>
      <c r="I117" s="767">
        <v>0</v>
      </c>
      <c r="J117" s="767">
        <v>0</v>
      </c>
      <c r="K117" s="212">
        <f>SUM(C117:J117)</f>
        <v>101</v>
      </c>
      <c r="L117" s="51"/>
      <c r="M117" s="51"/>
      <c r="N117" s="51"/>
    </row>
    <row r="118" spans="2:14" x14ac:dyDescent="0.2">
      <c r="B118" s="34" t="s">
        <v>478</v>
      </c>
      <c r="C118" s="767">
        <v>6494</v>
      </c>
      <c r="D118" s="767">
        <v>1021</v>
      </c>
      <c r="E118" s="767">
        <v>0</v>
      </c>
      <c r="F118" s="767">
        <v>0</v>
      </c>
      <c r="G118" s="767">
        <v>0</v>
      </c>
      <c r="H118" s="767">
        <v>0</v>
      </c>
      <c r="I118" s="767">
        <v>0</v>
      </c>
      <c r="J118" s="767">
        <v>2995</v>
      </c>
      <c r="K118" s="212">
        <f>SUM(C118:J118)</f>
        <v>10510</v>
      </c>
      <c r="L118" s="51"/>
      <c r="M118" s="51"/>
      <c r="N118" s="51"/>
    </row>
    <row r="119" spans="2:14" x14ac:dyDescent="0.2">
      <c r="B119" s="34" t="s">
        <v>1699</v>
      </c>
      <c r="C119" s="767"/>
      <c r="D119" s="767"/>
      <c r="E119" s="767"/>
      <c r="F119" s="767"/>
      <c r="G119" s="767"/>
      <c r="H119" s="767"/>
      <c r="I119" s="767"/>
      <c r="J119" s="767"/>
      <c r="K119" s="212">
        <f>SUM(C119:J119)</f>
        <v>0</v>
      </c>
      <c r="L119" s="51"/>
      <c r="M119" s="51"/>
      <c r="N119" s="51"/>
    </row>
    <row r="120" spans="2:14" ht="13.5" thickBot="1" x14ac:dyDescent="0.25">
      <c r="B120" s="37" t="str">
        <f>$B$43</f>
        <v>Carrying amount at 31 March 2025</v>
      </c>
      <c r="C120" s="220">
        <f t="shared" ref="C120:K120" si="24">SUM(C117:C119)</f>
        <v>6494</v>
      </c>
      <c r="D120" s="220">
        <f t="shared" si="24"/>
        <v>1122</v>
      </c>
      <c r="E120" s="220">
        <f t="shared" si="24"/>
        <v>0</v>
      </c>
      <c r="F120" s="220">
        <f t="shared" si="24"/>
        <v>0</v>
      </c>
      <c r="G120" s="220">
        <f t="shared" si="24"/>
        <v>0</v>
      </c>
      <c r="H120" s="220">
        <f t="shared" si="24"/>
        <v>0</v>
      </c>
      <c r="I120" s="220">
        <f t="shared" si="24"/>
        <v>0</v>
      </c>
      <c r="J120" s="220">
        <f t="shared" si="24"/>
        <v>2995</v>
      </c>
      <c r="K120" s="220">
        <f t="shared" si="24"/>
        <v>10611</v>
      </c>
      <c r="L120" s="51"/>
      <c r="M120" s="51"/>
      <c r="N120" s="51"/>
    </row>
    <row r="121" spans="2:14" x14ac:dyDescent="0.2">
      <c r="C121" s="227">
        <f>C120-C96</f>
        <v>0</v>
      </c>
      <c r="D121" s="227">
        <f t="shared" ref="D121:K121" si="25">D120-D96</f>
        <v>0</v>
      </c>
      <c r="E121" s="227">
        <f t="shared" si="25"/>
        <v>0</v>
      </c>
      <c r="F121" s="227">
        <f t="shared" si="25"/>
        <v>0</v>
      </c>
      <c r="G121" s="227">
        <f t="shared" si="25"/>
        <v>0</v>
      </c>
      <c r="H121" s="227">
        <f t="shared" si="25"/>
        <v>0</v>
      </c>
      <c r="I121" s="227">
        <f t="shared" si="25"/>
        <v>0</v>
      </c>
      <c r="J121" s="227">
        <f t="shared" si="25"/>
        <v>0</v>
      </c>
      <c r="K121" s="227">
        <f t="shared" si="25"/>
        <v>0</v>
      </c>
      <c r="L121" s="51"/>
      <c r="M121" s="51"/>
      <c r="N121" s="51"/>
    </row>
  </sheetData>
  <mergeCells count="1">
    <mergeCell ref="D54:F54"/>
  </mergeCells>
  <pageMargins left="0.75" right="0.75" top="1" bottom="1" header="0.5" footer="0.5"/>
  <pageSetup paperSize="9" scale="49" orientation="portrait" r:id="rId1"/>
  <headerFooter alignWithMargins="0">
    <oddFooter>&amp;L&amp;F - &amp;A&amp;C&amp;P&amp;RPrinted at &amp;T on &amp;D</oddFooter>
  </headerFooter>
  <rowBreaks count="1" manualBreakCount="1">
    <brk id="52" max="16383" man="1"/>
  </rowBreaks>
  <colBreaks count="1" manualBreakCount="1">
    <brk id="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00B0F0"/>
    <pageSetUpPr fitToPage="1"/>
  </sheetPr>
  <dimension ref="A1:M19"/>
  <sheetViews>
    <sheetView zoomScale="90" zoomScaleNormal="90" workbookViewId="0">
      <selection activeCell="G5" sqref="G4:G5"/>
    </sheetView>
  </sheetViews>
  <sheetFormatPr defaultRowHeight="12.75" outlineLevelCol="1" x14ac:dyDescent="0.2"/>
  <cols>
    <col min="1" max="1" width="5.7109375" style="59" bestFit="1" customWidth="1"/>
    <col min="2" max="2" width="65.7109375" style="59" customWidth="1"/>
    <col min="3" max="3" width="13.140625" style="59" customWidth="1"/>
    <col min="4" max="4" width="1.85546875" style="59" customWidth="1"/>
    <col min="5" max="5" width="11" style="59" customWidth="1"/>
    <col min="6" max="7" width="8.7109375" style="59" customWidth="1" outlineLevel="1"/>
    <col min="8" max="8" width="5.140625" style="59" customWidth="1"/>
    <col min="9" max="9" width="12.140625" style="59" customWidth="1" outlineLevel="1"/>
    <col min="10" max="10" width="1.85546875" style="59" customWidth="1" outlineLevel="1"/>
    <col min="11" max="11" width="12.7109375" style="59" customWidth="1" outlineLevel="1"/>
    <col min="12" max="258" width="9.140625" style="59"/>
    <col min="259" max="259" width="5.7109375" style="59" bestFit="1" customWidth="1"/>
    <col min="260" max="260" width="39.85546875" style="59" bestFit="1" customWidth="1"/>
    <col min="261" max="262" width="8.85546875" style="59" bestFit="1" customWidth="1"/>
    <col min="263" max="263" width="9.140625" style="59"/>
    <col min="264" max="264" width="9.5703125" style="59" customWidth="1"/>
    <col min="265" max="514" width="9.140625" style="59"/>
    <col min="515" max="515" width="5.7109375" style="59" bestFit="1" customWidth="1"/>
    <col min="516" max="516" width="39.85546875" style="59" bestFit="1" customWidth="1"/>
    <col min="517" max="518" width="8.85546875" style="59" bestFit="1" customWidth="1"/>
    <col min="519" max="519" width="9.140625" style="59"/>
    <col min="520" max="520" width="9.5703125" style="59" customWidth="1"/>
    <col min="521" max="770" width="9.140625" style="59"/>
    <col min="771" max="771" width="5.7109375" style="59" bestFit="1" customWidth="1"/>
    <col min="772" max="772" width="39.85546875" style="59" bestFit="1" customWidth="1"/>
    <col min="773" max="774" width="8.85546875" style="59" bestFit="1" customWidth="1"/>
    <col min="775" max="775" width="9.140625" style="59"/>
    <col min="776" max="776" width="9.5703125" style="59" customWidth="1"/>
    <col min="777" max="1026" width="9.140625" style="59"/>
    <col min="1027" max="1027" width="5.7109375" style="59" bestFit="1" customWidth="1"/>
    <col min="1028" max="1028" width="39.85546875" style="59" bestFit="1" customWidth="1"/>
    <col min="1029" max="1030" width="8.85546875" style="59" bestFit="1" customWidth="1"/>
    <col min="1031" max="1031" width="9.140625" style="59"/>
    <col min="1032" max="1032" width="9.5703125" style="59" customWidth="1"/>
    <col min="1033" max="1282" width="9.140625" style="59"/>
    <col min="1283" max="1283" width="5.7109375" style="59" bestFit="1" customWidth="1"/>
    <col min="1284" max="1284" width="39.85546875" style="59" bestFit="1" customWidth="1"/>
    <col min="1285" max="1286" width="8.85546875" style="59" bestFit="1" customWidth="1"/>
    <col min="1287" max="1287" width="9.140625" style="59"/>
    <col min="1288" max="1288" width="9.5703125" style="59" customWidth="1"/>
    <col min="1289" max="1538" width="9.140625" style="59"/>
    <col min="1539" max="1539" width="5.7109375" style="59" bestFit="1" customWidth="1"/>
    <col min="1540" max="1540" width="39.85546875" style="59" bestFit="1" customWidth="1"/>
    <col min="1541" max="1542" width="8.85546875" style="59" bestFit="1" customWidth="1"/>
    <col min="1543" max="1543" width="9.140625" style="59"/>
    <col min="1544" max="1544" width="9.5703125" style="59" customWidth="1"/>
    <col min="1545" max="1794" width="9.140625" style="59"/>
    <col min="1795" max="1795" width="5.7109375" style="59" bestFit="1" customWidth="1"/>
    <col min="1796" max="1796" width="39.85546875" style="59" bestFit="1" customWidth="1"/>
    <col min="1797" max="1798" width="8.85546875" style="59" bestFit="1" customWidth="1"/>
    <col min="1799" max="1799" width="9.140625" style="59"/>
    <col min="1800" max="1800" width="9.5703125" style="59" customWidth="1"/>
    <col min="1801" max="2050" width="9.140625" style="59"/>
    <col min="2051" max="2051" width="5.7109375" style="59" bestFit="1" customWidth="1"/>
    <col min="2052" max="2052" width="39.85546875" style="59" bestFit="1" customWidth="1"/>
    <col min="2053" max="2054" width="8.85546875" style="59" bestFit="1" customWidth="1"/>
    <col min="2055" max="2055" width="9.140625" style="59"/>
    <col min="2056" max="2056" width="9.5703125" style="59" customWidth="1"/>
    <col min="2057" max="2306" width="9.140625" style="59"/>
    <col min="2307" max="2307" width="5.7109375" style="59" bestFit="1" customWidth="1"/>
    <col min="2308" max="2308" width="39.85546875" style="59" bestFit="1" customWidth="1"/>
    <col min="2309" max="2310" width="8.85546875" style="59" bestFit="1" customWidth="1"/>
    <col min="2311" max="2311" width="9.140625" style="59"/>
    <col min="2312" max="2312" width="9.5703125" style="59" customWidth="1"/>
    <col min="2313" max="2562" width="9.140625" style="59"/>
    <col min="2563" max="2563" width="5.7109375" style="59" bestFit="1" customWidth="1"/>
    <col min="2564" max="2564" width="39.85546875" style="59" bestFit="1" customWidth="1"/>
    <col min="2565" max="2566" width="8.85546875" style="59" bestFit="1" customWidth="1"/>
    <col min="2567" max="2567" width="9.140625" style="59"/>
    <col min="2568" max="2568" width="9.5703125" style="59" customWidth="1"/>
    <col min="2569" max="2818" width="9.140625" style="59"/>
    <col min="2819" max="2819" width="5.7109375" style="59" bestFit="1" customWidth="1"/>
    <col min="2820" max="2820" width="39.85546875" style="59" bestFit="1" customWidth="1"/>
    <col min="2821" max="2822" width="8.85546875" style="59" bestFit="1" customWidth="1"/>
    <col min="2823" max="2823" width="9.140625" style="59"/>
    <col min="2824" max="2824" width="9.5703125" style="59" customWidth="1"/>
    <col min="2825" max="3074" width="9.140625" style="59"/>
    <col min="3075" max="3075" width="5.7109375" style="59" bestFit="1" customWidth="1"/>
    <col min="3076" max="3076" width="39.85546875" style="59" bestFit="1" customWidth="1"/>
    <col min="3077" max="3078" width="8.85546875" style="59" bestFit="1" customWidth="1"/>
    <col min="3079" max="3079" width="9.140625" style="59"/>
    <col min="3080" max="3080" width="9.5703125" style="59" customWidth="1"/>
    <col min="3081" max="3330" width="9.140625" style="59"/>
    <col min="3331" max="3331" width="5.7109375" style="59" bestFit="1" customWidth="1"/>
    <col min="3332" max="3332" width="39.85546875" style="59" bestFit="1" customWidth="1"/>
    <col min="3333" max="3334" width="8.85546875" style="59" bestFit="1" customWidth="1"/>
    <col min="3335" max="3335" width="9.140625" style="59"/>
    <col min="3336" max="3336" width="9.5703125" style="59" customWidth="1"/>
    <col min="3337" max="3586" width="9.140625" style="59"/>
    <col min="3587" max="3587" width="5.7109375" style="59" bestFit="1" customWidth="1"/>
    <col min="3588" max="3588" width="39.85546875" style="59" bestFit="1" customWidth="1"/>
    <col min="3589" max="3590" width="8.85546875" style="59" bestFit="1" customWidth="1"/>
    <col min="3591" max="3591" width="9.140625" style="59"/>
    <col min="3592" max="3592" width="9.5703125" style="59" customWidth="1"/>
    <col min="3593" max="3842" width="9.140625" style="59"/>
    <col min="3843" max="3843" width="5.7109375" style="59" bestFit="1" customWidth="1"/>
    <col min="3844" max="3844" width="39.85546875" style="59" bestFit="1" customWidth="1"/>
    <col min="3845" max="3846" width="8.85546875" style="59" bestFit="1" customWidth="1"/>
    <col min="3847" max="3847" width="9.140625" style="59"/>
    <col min="3848" max="3848" width="9.5703125" style="59" customWidth="1"/>
    <col min="3849" max="4098" width="9.140625" style="59"/>
    <col min="4099" max="4099" width="5.7109375" style="59" bestFit="1" customWidth="1"/>
    <col min="4100" max="4100" width="39.85546875" style="59" bestFit="1" customWidth="1"/>
    <col min="4101" max="4102" width="8.85546875" style="59" bestFit="1" customWidth="1"/>
    <col min="4103" max="4103" width="9.140625" style="59"/>
    <col min="4104" max="4104" width="9.5703125" style="59" customWidth="1"/>
    <col min="4105" max="4354" width="9.140625" style="59"/>
    <col min="4355" max="4355" width="5.7109375" style="59" bestFit="1" customWidth="1"/>
    <col min="4356" max="4356" width="39.85546875" style="59" bestFit="1" customWidth="1"/>
    <col min="4357" max="4358" width="8.85546875" style="59" bestFit="1" customWidth="1"/>
    <col min="4359" max="4359" width="9.140625" style="59"/>
    <col min="4360" max="4360" width="9.5703125" style="59" customWidth="1"/>
    <col min="4361" max="4610" width="9.140625" style="59"/>
    <col min="4611" max="4611" width="5.7109375" style="59" bestFit="1" customWidth="1"/>
    <col min="4612" max="4612" width="39.85546875" style="59" bestFit="1" customWidth="1"/>
    <col min="4613" max="4614" width="8.85546875" style="59" bestFit="1" customWidth="1"/>
    <col min="4615" max="4615" width="9.140625" style="59"/>
    <col min="4616" max="4616" width="9.5703125" style="59" customWidth="1"/>
    <col min="4617" max="4866" width="9.140625" style="59"/>
    <col min="4867" max="4867" width="5.7109375" style="59" bestFit="1" customWidth="1"/>
    <col min="4868" max="4868" width="39.85546875" style="59" bestFit="1" customWidth="1"/>
    <col min="4869" max="4870" width="8.85546875" style="59" bestFit="1" customWidth="1"/>
    <col min="4871" max="4871" width="9.140625" style="59"/>
    <col min="4872" max="4872" width="9.5703125" style="59" customWidth="1"/>
    <col min="4873" max="5122" width="9.140625" style="59"/>
    <col min="5123" max="5123" width="5.7109375" style="59" bestFit="1" customWidth="1"/>
    <col min="5124" max="5124" width="39.85546875" style="59" bestFit="1" customWidth="1"/>
    <col min="5125" max="5126" width="8.85546875" style="59" bestFit="1" customWidth="1"/>
    <col min="5127" max="5127" width="9.140625" style="59"/>
    <col min="5128" max="5128" width="9.5703125" style="59" customWidth="1"/>
    <col min="5129" max="5378" width="9.140625" style="59"/>
    <col min="5379" max="5379" width="5.7109375" style="59" bestFit="1" customWidth="1"/>
    <col min="5380" max="5380" width="39.85546875" style="59" bestFit="1" customWidth="1"/>
    <col min="5381" max="5382" width="8.85546875" style="59" bestFit="1" customWidth="1"/>
    <col min="5383" max="5383" width="9.140625" style="59"/>
    <col min="5384" max="5384" width="9.5703125" style="59" customWidth="1"/>
    <col min="5385" max="5634" width="9.140625" style="59"/>
    <col min="5635" max="5635" width="5.7109375" style="59" bestFit="1" customWidth="1"/>
    <col min="5636" max="5636" width="39.85546875" style="59" bestFit="1" customWidth="1"/>
    <col min="5637" max="5638" width="8.85546875" style="59" bestFit="1" customWidth="1"/>
    <col min="5639" max="5639" width="9.140625" style="59"/>
    <col min="5640" max="5640" width="9.5703125" style="59" customWidth="1"/>
    <col min="5641" max="5890" width="9.140625" style="59"/>
    <col min="5891" max="5891" width="5.7109375" style="59" bestFit="1" customWidth="1"/>
    <col min="5892" max="5892" width="39.85546875" style="59" bestFit="1" customWidth="1"/>
    <col min="5893" max="5894" width="8.85546875" style="59" bestFit="1" customWidth="1"/>
    <col min="5895" max="5895" width="9.140625" style="59"/>
    <col min="5896" max="5896" width="9.5703125" style="59" customWidth="1"/>
    <col min="5897" max="6146" width="9.140625" style="59"/>
    <col min="6147" max="6147" width="5.7109375" style="59" bestFit="1" customWidth="1"/>
    <col min="6148" max="6148" width="39.85546875" style="59" bestFit="1" customWidth="1"/>
    <col min="6149" max="6150" width="8.85546875" style="59" bestFit="1" customWidth="1"/>
    <col min="6151" max="6151" width="9.140625" style="59"/>
    <col min="6152" max="6152" width="9.5703125" style="59" customWidth="1"/>
    <col min="6153" max="6402" width="9.140625" style="59"/>
    <col min="6403" max="6403" width="5.7109375" style="59" bestFit="1" customWidth="1"/>
    <col min="6404" max="6404" width="39.85546875" style="59" bestFit="1" customWidth="1"/>
    <col min="6405" max="6406" width="8.85546875" style="59" bestFit="1" customWidth="1"/>
    <col min="6407" max="6407" width="9.140625" style="59"/>
    <col min="6408" max="6408" width="9.5703125" style="59" customWidth="1"/>
    <col min="6409" max="6658" width="9.140625" style="59"/>
    <col min="6659" max="6659" width="5.7109375" style="59" bestFit="1" customWidth="1"/>
    <col min="6660" max="6660" width="39.85546875" style="59" bestFit="1" customWidth="1"/>
    <col min="6661" max="6662" width="8.85546875" style="59" bestFit="1" customWidth="1"/>
    <col min="6663" max="6663" width="9.140625" style="59"/>
    <col min="6664" max="6664" width="9.5703125" style="59" customWidth="1"/>
    <col min="6665" max="6914" width="9.140625" style="59"/>
    <col min="6915" max="6915" width="5.7109375" style="59" bestFit="1" customWidth="1"/>
    <col min="6916" max="6916" width="39.85546875" style="59" bestFit="1" customWidth="1"/>
    <col min="6917" max="6918" width="8.85546875" style="59" bestFit="1" customWidth="1"/>
    <col min="6919" max="6919" width="9.140625" style="59"/>
    <col min="6920" max="6920" width="9.5703125" style="59" customWidth="1"/>
    <col min="6921" max="7170" width="9.140625" style="59"/>
    <col min="7171" max="7171" width="5.7109375" style="59" bestFit="1" customWidth="1"/>
    <col min="7172" max="7172" width="39.85546875" style="59" bestFit="1" customWidth="1"/>
    <col min="7173" max="7174" width="8.85546875" style="59" bestFit="1" customWidth="1"/>
    <col min="7175" max="7175" width="9.140625" style="59"/>
    <col min="7176" max="7176" width="9.5703125" style="59" customWidth="1"/>
    <col min="7177" max="7426" width="9.140625" style="59"/>
    <col min="7427" max="7427" width="5.7109375" style="59" bestFit="1" customWidth="1"/>
    <col min="7428" max="7428" width="39.85546875" style="59" bestFit="1" customWidth="1"/>
    <col min="7429" max="7430" width="8.85546875" style="59" bestFit="1" customWidth="1"/>
    <col min="7431" max="7431" width="9.140625" style="59"/>
    <col min="7432" max="7432" width="9.5703125" style="59" customWidth="1"/>
    <col min="7433" max="7682" width="9.140625" style="59"/>
    <col min="7683" max="7683" width="5.7109375" style="59" bestFit="1" customWidth="1"/>
    <col min="7684" max="7684" width="39.85546875" style="59" bestFit="1" customWidth="1"/>
    <col min="7685" max="7686" width="8.85546875" style="59" bestFit="1" customWidth="1"/>
    <col min="7687" max="7687" width="9.140625" style="59"/>
    <col min="7688" max="7688" width="9.5703125" style="59" customWidth="1"/>
    <col min="7689" max="7938" width="9.140625" style="59"/>
    <col min="7939" max="7939" width="5.7109375" style="59" bestFit="1" customWidth="1"/>
    <col min="7940" max="7940" width="39.85546875" style="59" bestFit="1" customWidth="1"/>
    <col min="7941" max="7942" width="8.85546875" style="59" bestFit="1" customWidth="1"/>
    <col min="7943" max="7943" width="9.140625" style="59"/>
    <col min="7944" max="7944" width="9.5703125" style="59" customWidth="1"/>
    <col min="7945" max="8194" width="9.140625" style="59"/>
    <col min="8195" max="8195" width="5.7109375" style="59" bestFit="1" customWidth="1"/>
    <col min="8196" max="8196" width="39.85546875" style="59" bestFit="1" customWidth="1"/>
    <col min="8197" max="8198" width="8.85546875" style="59" bestFit="1" customWidth="1"/>
    <col min="8199" max="8199" width="9.140625" style="59"/>
    <col min="8200" max="8200" width="9.5703125" style="59" customWidth="1"/>
    <col min="8201" max="8450" width="9.140625" style="59"/>
    <col min="8451" max="8451" width="5.7109375" style="59" bestFit="1" customWidth="1"/>
    <col min="8452" max="8452" width="39.85546875" style="59" bestFit="1" customWidth="1"/>
    <col min="8453" max="8454" width="8.85546875" style="59" bestFit="1" customWidth="1"/>
    <col min="8455" max="8455" width="9.140625" style="59"/>
    <col min="8456" max="8456" width="9.5703125" style="59" customWidth="1"/>
    <col min="8457" max="8706" width="9.140625" style="59"/>
    <col min="8707" max="8707" width="5.7109375" style="59" bestFit="1" customWidth="1"/>
    <col min="8708" max="8708" width="39.85546875" style="59" bestFit="1" customWidth="1"/>
    <col min="8709" max="8710" width="8.85546875" style="59" bestFit="1" customWidth="1"/>
    <col min="8711" max="8711" width="9.140625" style="59"/>
    <col min="8712" max="8712" width="9.5703125" style="59" customWidth="1"/>
    <col min="8713" max="8962" width="9.140625" style="59"/>
    <col min="8963" max="8963" width="5.7109375" style="59" bestFit="1" customWidth="1"/>
    <col min="8964" max="8964" width="39.85546875" style="59" bestFit="1" customWidth="1"/>
    <col min="8965" max="8966" width="8.85546875" style="59" bestFit="1" customWidth="1"/>
    <col min="8967" max="8967" width="9.140625" style="59"/>
    <col min="8968" max="8968" width="9.5703125" style="59" customWidth="1"/>
    <col min="8969" max="9218" width="9.140625" style="59"/>
    <col min="9219" max="9219" width="5.7109375" style="59" bestFit="1" customWidth="1"/>
    <col min="9220" max="9220" width="39.85546875" style="59" bestFit="1" customWidth="1"/>
    <col min="9221" max="9222" width="8.85546875" style="59" bestFit="1" customWidth="1"/>
    <col min="9223" max="9223" width="9.140625" style="59"/>
    <col min="9224" max="9224" width="9.5703125" style="59" customWidth="1"/>
    <col min="9225" max="9474" width="9.140625" style="59"/>
    <col min="9475" max="9475" width="5.7109375" style="59" bestFit="1" customWidth="1"/>
    <col min="9476" max="9476" width="39.85546875" style="59" bestFit="1" customWidth="1"/>
    <col min="9477" max="9478" width="8.85546875" style="59" bestFit="1" customWidth="1"/>
    <col min="9479" max="9479" width="9.140625" style="59"/>
    <col min="9480" max="9480" width="9.5703125" style="59" customWidth="1"/>
    <col min="9481" max="9730" width="9.140625" style="59"/>
    <col min="9731" max="9731" width="5.7109375" style="59" bestFit="1" customWidth="1"/>
    <col min="9732" max="9732" width="39.85546875" style="59" bestFit="1" customWidth="1"/>
    <col min="9733" max="9734" width="8.85546875" style="59" bestFit="1" customWidth="1"/>
    <col min="9735" max="9735" width="9.140625" style="59"/>
    <col min="9736" max="9736" width="9.5703125" style="59" customWidth="1"/>
    <col min="9737" max="9986" width="9.140625" style="59"/>
    <col min="9987" max="9987" width="5.7109375" style="59" bestFit="1" customWidth="1"/>
    <col min="9988" max="9988" width="39.85546875" style="59" bestFit="1" customWidth="1"/>
    <col min="9989" max="9990" width="8.85546875" style="59" bestFit="1" customWidth="1"/>
    <col min="9991" max="9991" width="9.140625" style="59"/>
    <col min="9992" max="9992" width="9.5703125" style="59" customWidth="1"/>
    <col min="9993" max="10242" width="9.140625" style="59"/>
    <col min="10243" max="10243" width="5.7109375" style="59" bestFit="1" customWidth="1"/>
    <col min="10244" max="10244" width="39.85546875" style="59" bestFit="1" customWidth="1"/>
    <col min="10245" max="10246" width="8.85546875" style="59" bestFit="1" customWidth="1"/>
    <col min="10247" max="10247" width="9.140625" style="59"/>
    <col min="10248" max="10248" width="9.5703125" style="59" customWidth="1"/>
    <col min="10249" max="10498" width="9.140625" style="59"/>
    <col min="10499" max="10499" width="5.7109375" style="59" bestFit="1" customWidth="1"/>
    <col min="10500" max="10500" width="39.85546875" style="59" bestFit="1" customWidth="1"/>
    <col min="10501" max="10502" width="8.85546875" style="59" bestFit="1" customWidth="1"/>
    <col min="10503" max="10503" width="9.140625" style="59"/>
    <col min="10504" max="10504" width="9.5703125" style="59" customWidth="1"/>
    <col min="10505" max="10754" width="9.140625" style="59"/>
    <col min="10755" max="10755" width="5.7109375" style="59" bestFit="1" customWidth="1"/>
    <col min="10756" max="10756" width="39.85546875" style="59" bestFit="1" customWidth="1"/>
    <col min="10757" max="10758" width="8.85546875" style="59" bestFit="1" customWidth="1"/>
    <col min="10759" max="10759" width="9.140625" style="59"/>
    <col min="10760" max="10760" width="9.5703125" style="59" customWidth="1"/>
    <col min="10761" max="11010" width="9.140625" style="59"/>
    <col min="11011" max="11011" width="5.7109375" style="59" bestFit="1" customWidth="1"/>
    <col min="11012" max="11012" width="39.85546875" style="59" bestFit="1" customWidth="1"/>
    <col min="11013" max="11014" width="8.85546875" style="59" bestFit="1" customWidth="1"/>
    <col min="11015" max="11015" width="9.140625" style="59"/>
    <col min="11016" max="11016" width="9.5703125" style="59" customWidth="1"/>
    <col min="11017" max="11266" width="9.140625" style="59"/>
    <col min="11267" max="11267" width="5.7109375" style="59" bestFit="1" customWidth="1"/>
    <col min="11268" max="11268" width="39.85546875" style="59" bestFit="1" customWidth="1"/>
    <col min="11269" max="11270" width="8.85546875" style="59" bestFit="1" customWidth="1"/>
    <col min="11271" max="11271" width="9.140625" style="59"/>
    <col min="11272" max="11272" width="9.5703125" style="59" customWidth="1"/>
    <col min="11273" max="11522" width="9.140625" style="59"/>
    <col min="11523" max="11523" width="5.7109375" style="59" bestFit="1" customWidth="1"/>
    <col min="11524" max="11524" width="39.85546875" style="59" bestFit="1" customWidth="1"/>
    <col min="11525" max="11526" width="8.85546875" style="59" bestFit="1" customWidth="1"/>
    <col min="11527" max="11527" width="9.140625" style="59"/>
    <col min="11528" max="11528" width="9.5703125" style="59" customWidth="1"/>
    <col min="11529" max="11778" width="9.140625" style="59"/>
    <col min="11779" max="11779" width="5.7109375" style="59" bestFit="1" customWidth="1"/>
    <col min="11780" max="11780" width="39.85546875" style="59" bestFit="1" customWidth="1"/>
    <col min="11781" max="11782" width="8.85546875" style="59" bestFit="1" customWidth="1"/>
    <col min="11783" max="11783" width="9.140625" style="59"/>
    <col min="11784" max="11784" width="9.5703125" style="59" customWidth="1"/>
    <col min="11785" max="12034" width="9.140625" style="59"/>
    <col min="12035" max="12035" width="5.7109375" style="59" bestFit="1" customWidth="1"/>
    <col min="12036" max="12036" width="39.85546875" style="59" bestFit="1" customWidth="1"/>
    <col min="12037" max="12038" width="8.85546875" style="59" bestFit="1" customWidth="1"/>
    <col min="12039" max="12039" width="9.140625" style="59"/>
    <col min="12040" max="12040" width="9.5703125" style="59" customWidth="1"/>
    <col min="12041" max="12290" width="9.140625" style="59"/>
    <col min="12291" max="12291" width="5.7109375" style="59" bestFit="1" customWidth="1"/>
    <col min="12292" max="12292" width="39.85546875" style="59" bestFit="1" customWidth="1"/>
    <col min="12293" max="12294" width="8.85546875" style="59" bestFit="1" customWidth="1"/>
    <col min="12295" max="12295" width="9.140625" style="59"/>
    <col min="12296" max="12296" width="9.5703125" style="59" customWidth="1"/>
    <col min="12297" max="12546" width="9.140625" style="59"/>
    <col min="12547" max="12547" width="5.7109375" style="59" bestFit="1" customWidth="1"/>
    <col min="12548" max="12548" width="39.85546875" style="59" bestFit="1" customWidth="1"/>
    <col min="12549" max="12550" width="8.85546875" style="59" bestFit="1" customWidth="1"/>
    <col min="12551" max="12551" width="9.140625" style="59"/>
    <col min="12552" max="12552" width="9.5703125" style="59" customWidth="1"/>
    <col min="12553" max="12802" width="9.140625" style="59"/>
    <col min="12803" max="12803" width="5.7109375" style="59" bestFit="1" customWidth="1"/>
    <col min="12804" max="12804" width="39.85546875" style="59" bestFit="1" customWidth="1"/>
    <col min="12805" max="12806" width="8.85546875" style="59" bestFit="1" customWidth="1"/>
    <col min="12807" max="12807" width="9.140625" style="59"/>
    <col min="12808" max="12808" width="9.5703125" style="59" customWidth="1"/>
    <col min="12809" max="13058" width="9.140625" style="59"/>
    <col min="13059" max="13059" width="5.7109375" style="59" bestFit="1" customWidth="1"/>
    <col min="13060" max="13060" width="39.85546875" style="59" bestFit="1" customWidth="1"/>
    <col min="13061" max="13062" width="8.85546875" style="59" bestFit="1" customWidth="1"/>
    <col min="13063" max="13063" width="9.140625" style="59"/>
    <col min="13064" max="13064" width="9.5703125" style="59" customWidth="1"/>
    <col min="13065" max="13314" width="9.140625" style="59"/>
    <col min="13315" max="13315" width="5.7109375" style="59" bestFit="1" customWidth="1"/>
    <col min="13316" max="13316" width="39.85546875" style="59" bestFit="1" customWidth="1"/>
    <col min="13317" max="13318" width="8.85546875" style="59" bestFit="1" customWidth="1"/>
    <col min="13319" max="13319" width="9.140625" style="59"/>
    <col min="13320" max="13320" width="9.5703125" style="59" customWidth="1"/>
    <col min="13321" max="13570" width="9.140625" style="59"/>
    <col min="13571" max="13571" width="5.7109375" style="59" bestFit="1" customWidth="1"/>
    <col min="13572" max="13572" width="39.85546875" style="59" bestFit="1" customWidth="1"/>
    <col min="13573" max="13574" width="8.85546875" style="59" bestFit="1" customWidth="1"/>
    <col min="13575" max="13575" width="9.140625" style="59"/>
    <col min="13576" max="13576" width="9.5703125" style="59" customWidth="1"/>
    <col min="13577" max="13826" width="9.140625" style="59"/>
    <col min="13827" max="13827" width="5.7109375" style="59" bestFit="1" customWidth="1"/>
    <col min="13828" max="13828" width="39.85546875" style="59" bestFit="1" customWidth="1"/>
    <col min="13829" max="13830" width="8.85546875" style="59" bestFit="1" customWidth="1"/>
    <col min="13831" max="13831" width="9.140625" style="59"/>
    <col min="13832" max="13832" width="9.5703125" style="59" customWidth="1"/>
    <col min="13833" max="14082" width="9.140625" style="59"/>
    <col min="14083" max="14083" width="5.7109375" style="59" bestFit="1" customWidth="1"/>
    <col min="14084" max="14084" width="39.85546875" style="59" bestFit="1" customWidth="1"/>
    <col min="14085" max="14086" width="8.85546875" style="59" bestFit="1" customWidth="1"/>
    <col min="14087" max="14087" width="9.140625" style="59"/>
    <col min="14088" max="14088" width="9.5703125" style="59" customWidth="1"/>
    <col min="14089" max="14338" width="9.140625" style="59"/>
    <col min="14339" max="14339" width="5.7109375" style="59" bestFit="1" customWidth="1"/>
    <col min="14340" max="14340" width="39.85546875" style="59" bestFit="1" customWidth="1"/>
    <col min="14341" max="14342" width="8.85546875" style="59" bestFit="1" customWidth="1"/>
    <col min="14343" max="14343" width="9.140625" style="59"/>
    <col min="14344" max="14344" width="9.5703125" style="59" customWidth="1"/>
    <col min="14345" max="14594" width="9.140625" style="59"/>
    <col min="14595" max="14595" width="5.7109375" style="59" bestFit="1" customWidth="1"/>
    <col min="14596" max="14596" width="39.85546875" style="59" bestFit="1" customWidth="1"/>
    <col min="14597" max="14598" width="8.85546875" style="59" bestFit="1" customWidth="1"/>
    <col min="14599" max="14599" width="9.140625" style="59"/>
    <col min="14600" max="14600" width="9.5703125" style="59" customWidth="1"/>
    <col min="14601" max="14850" width="9.140625" style="59"/>
    <col min="14851" max="14851" width="5.7109375" style="59" bestFit="1" customWidth="1"/>
    <col min="14852" max="14852" width="39.85546875" style="59" bestFit="1" customWidth="1"/>
    <col min="14853" max="14854" width="8.85546875" style="59" bestFit="1" customWidth="1"/>
    <col min="14855" max="14855" width="9.140625" style="59"/>
    <col min="14856" max="14856" width="9.5703125" style="59" customWidth="1"/>
    <col min="14857" max="15106" width="9.140625" style="59"/>
    <col min="15107" max="15107" width="5.7109375" style="59" bestFit="1" customWidth="1"/>
    <col min="15108" max="15108" width="39.85546875" style="59" bestFit="1" customWidth="1"/>
    <col min="15109" max="15110" width="8.85546875" style="59" bestFit="1" customWidth="1"/>
    <col min="15111" max="15111" width="9.140625" style="59"/>
    <col min="15112" max="15112" width="9.5703125" style="59" customWidth="1"/>
    <col min="15113" max="15362" width="9.140625" style="59"/>
    <col min="15363" max="15363" width="5.7109375" style="59" bestFit="1" customWidth="1"/>
    <col min="15364" max="15364" width="39.85546875" style="59" bestFit="1" customWidth="1"/>
    <col min="15365" max="15366" width="8.85546875" style="59" bestFit="1" customWidth="1"/>
    <col min="15367" max="15367" width="9.140625" style="59"/>
    <col min="15368" max="15368" width="9.5703125" style="59" customWidth="1"/>
    <col min="15369" max="15618" width="9.140625" style="59"/>
    <col min="15619" max="15619" width="5.7109375" style="59" bestFit="1" customWidth="1"/>
    <col min="15620" max="15620" width="39.85546875" style="59" bestFit="1" customWidth="1"/>
    <col min="15621" max="15622" width="8.85546875" style="59" bestFit="1" customWidth="1"/>
    <col min="15623" max="15623" width="9.140625" style="59"/>
    <col min="15624" max="15624" width="9.5703125" style="59" customWidth="1"/>
    <col min="15625" max="15874" width="9.140625" style="59"/>
    <col min="15875" max="15875" width="5.7109375" style="59" bestFit="1" customWidth="1"/>
    <col min="15876" max="15876" width="39.85546875" style="59" bestFit="1" customWidth="1"/>
    <col min="15877" max="15878" width="8.85546875" style="59" bestFit="1" customWidth="1"/>
    <col min="15879" max="15879" width="9.140625" style="59"/>
    <col min="15880" max="15880" width="9.5703125" style="59" customWidth="1"/>
    <col min="15881" max="16130" width="9.140625" style="59"/>
    <col min="16131" max="16131" width="5.7109375" style="59" bestFit="1" customWidth="1"/>
    <col min="16132" max="16132" width="39.85546875" style="59" bestFit="1" customWidth="1"/>
    <col min="16133" max="16134" width="8.85546875" style="59" bestFit="1" customWidth="1"/>
    <col min="16135" max="16135" width="9.140625" style="59"/>
    <col min="16136" max="16136" width="9.5703125" style="59" customWidth="1"/>
    <col min="16137" max="16384" width="9.140625" style="59"/>
  </cols>
  <sheetData>
    <row r="1" spans="1:13" s="34" customFormat="1" x14ac:dyDescent="0.2">
      <c r="B1" s="35" t="str">
        <f>Update!$B$6</f>
        <v>Department of Health</v>
      </c>
      <c r="C1" s="35"/>
      <c r="D1" s="35"/>
      <c r="M1" s="74"/>
    </row>
    <row r="2" spans="1:13" s="34" customFormat="1" x14ac:dyDescent="0.2">
      <c r="B2" s="35" t="str">
        <f>Update!$B$10</f>
        <v>Notes to the financial statements</v>
      </c>
      <c r="C2" s="35"/>
      <c r="D2" s="35"/>
      <c r="M2" s="74"/>
    </row>
    <row r="3" spans="1:13" s="34" customFormat="1" x14ac:dyDescent="0.2">
      <c r="B3" s="35" t="str">
        <f>Update!$A$3</f>
        <v>2025-26</v>
      </c>
      <c r="C3" s="35"/>
      <c r="D3" s="35"/>
      <c r="M3" s="74"/>
    </row>
    <row r="4" spans="1:13" s="34" customFormat="1" x14ac:dyDescent="0.2">
      <c r="M4" s="74"/>
    </row>
    <row r="5" spans="1:13" s="34" customFormat="1" x14ac:dyDescent="0.2">
      <c r="A5" s="229">
        <f>SUMIF(Update!$B$33:$B$106,B5,Update!$A$33:$A$106)</f>
        <v>7</v>
      </c>
      <c r="B5" s="37" t="s">
        <v>208</v>
      </c>
      <c r="C5" s="37"/>
      <c r="D5" s="37"/>
      <c r="M5" s="74"/>
    </row>
    <row r="6" spans="1:13" s="34" customFormat="1" ht="45" x14ac:dyDescent="0.2">
      <c r="C6" s="341" t="str">
        <f>Update!$B$7</f>
        <v>Core Department &amp; Agencies</v>
      </c>
      <c r="D6" s="341"/>
      <c r="E6" s="341" t="str">
        <f>Update!$B$8</f>
        <v>Departmental Group</v>
      </c>
      <c r="F6" s="341" t="str">
        <f>Update!$B$7</f>
        <v>Core Department &amp; Agencies</v>
      </c>
      <c r="G6" s="341" t="str">
        <f>Update!$B$8</f>
        <v>Departmental Group</v>
      </c>
      <c r="H6" s="341"/>
      <c r="I6" s="341" t="str">
        <f>Update!$B$7</f>
        <v>Core Department &amp; Agencies</v>
      </c>
      <c r="J6" s="341"/>
      <c r="K6" s="341" t="str">
        <f>Update!$B$8</f>
        <v>Departmental Group</v>
      </c>
      <c r="M6" s="74"/>
    </row>
    <row r="7" spans="1:13" s="34" customFormat="1" x14ac:dyDescent="0.2">
      <c r="C7" s="116" t="str">
        <f>Update!$B$13</f>
        <v>2025-26</v>
      </c>
      <c r="E7" s="116" t="str">
        <f>Update!$B$13</f>
        <v>2025-26</v>
      </c>
      <c r="F7" s="201"/>
      <c r="G7" s="201"/>
      <c r="H7" s="201"/>
      <c r="I7" s="116" t="str">
        <f>Update!$B$15</f>
        <v>2024-25</v>
      </c>
      <c r="J7" s="201"/>
      <c r="K7" s="116" t="str">
        <f>Update!$B$15</f>
        <v>2024-25</v>
      </c>
      <c r="M7" s="74"/>
    </row>
    <row r="8" spans="1:13" s="34" customFormat="1" x14ac:dyDescent="0.2">
      <c r="C8" s="57" t="s">
        <v>62</v>
      </c>
      <c r="E8" s="57" t="s">
        <v>62</v>
      </c>
      <c r="F8" s="201"/>
      <c r="G8" s="201"/>
      <c r="H8" s="201"/>
      <c r="I8" s="57" t="s">
        <v>62</v>
      </c>
      <c r="J8" s="201"/>
      <c r="K8" s="57" t="s">
        <v>62</v>
      </c>
      <c r="M8" s="74"/>
    </row>
    <row r="9" spans="1:13" s="34" customFormat="1" x14ac:dyDescent="0.2">
      <c r="C9" s="52"/>
      <c r="D9" s="52"/>
      <c r="E9" s="52"/>
      <c r="F9" s="201"/>
      <c r="G9" s="201"/>
      <c r="H9" s="201"/>
      <c r="J9" s="201"/>
      <c r="M9" s="74"/>
    </row>
    <row r="10" spans="1:13" s="34" customFormat="1" ht="25.5" x14ac:dyDescent="0.2">
      <c r="B10" s="41" t="s">
        <v>606</v>
      </c>
      <c r="C10" s="333">
        <f>SUMIF(MAP!$E$1147:$E$1157,$B10,MAP!$T$1147:$T$1157)</f>
        <v>0</v>
      </c>
      <c r="D10" s="95"/>
      <c r="E10" s="333">
        <f>SUMIF(MAP!$E$1147:$E$1157,$B10,MAP!$N$1147:$N$1157)</f>
        <v>0</v>
      </c>
      <c r="F10" s="340">
        <f>C10-'Note 3a'!D28-'Note 3b &amp; 3c'!D27</f>
        <v>0</v>
      </c>
      <c r="G10" s="340">
        <f>E10-'Note 3a'!F28-'Note 3b &amp; 3c'!F27</f>
        <v>0</v>
      </c>
      <c r="H10" s="201"/>
      <c r="I10" s="1194">
        <v>21287</v>
      </c>
      <c r="J10" s="201"/>
      <c r="K10" s="1194">
        <v>49328</v>
      </c>
      <c r="M10" s="74"/>
    </row>
    <row r="11" spans="1:13" s="34" customFormat="1" ht="25.5" x14ac:dyDescent="0.2">
      <c r="B11" s="41" t="s">
        <v>215</v>
      </c>
      <c r="C11" s="333">
        <f>SUMIF(MAP!$E$1147:$E$1157,$B11,MAP!$T$1147:$T$1157)</f>
        <v>0</v>
      </c>
      <c r="D11" s="95"/>
      <c r="E11" s="333">
        <f>SUMIF(MAP!$E$1147:$E$1157,$B11,MAP!$N$1147:$N$1157)</f>
        <v>0</v>
      </c>
      <c r="F11" s="201"/>
      <c r="G11" s="201"/>
      <c r="H11" s="201"/>
      <c r="I11" s="1194">
        <v>-3</v>
      </c>
      <c r="J11" s="201"/>
      <c r="K11" s="1194">
        <v>64504</v>
      </c>
      <c r="M11" s="74"/>
    </row>
    <row r="12" spans="1:13" s="34" customFormat="1" x14ac:dyDescent="0.2">
      <c r="B12" s="34" t="s">
        <v>214</v>
      </c>
      <c r="C12" s="155">
        <f>SUM(C10:C11)</f>
        <v>0</v>
      </c>
      <c r="D12" s="52"/>
      <c r="E12" s="155">
        <f>SUM(E10:E11)</f>
        <v>0</v>
      </c>
      <c r="F12" s="201">
        <f>ROUND(SUMIF(MAP!$E$389:$E$406,$B12,MAP!$N$389:$N$406),0)</f>
        <v>0</v>
      </c>
      <c r="G12" s="201"/>
      <c r="H12" s="201"/>
      <c r="I12" s="155">
        <f>SUM(I10:I11)</f>
        <v>21284</v>
      </c>
      <c r="J12" s="201"/>
      <c r="K12" s="155">
        <f>SUM(K10:K11)</f>
        <v>113832</v>
      </c>
      <c r="M12" s="74"/>
    </row>
    <row r="13" spans="1:13" s="34" customFormat="1" x14ac:dyDescent="0.2">
      <c r="F13" s="201"/>
      <c r="G13" s="201"/>
      <c r="H13" s="201"/>
      <c r="J13" s="201"/>
      <c r="M13" s="74"/>
    </row>
    <row r="14" spans="1:13" s="34" customFormat="1" x14ac:dyDescent="0.2">
      <c r="F14" s="201"/>
      <c r="G14" s="201"/>
      <c r="H14" s="201"/>
      <c r="I14" s="201"/>
      <c r="M14" s="74"/>
    </row>
    <row r="15" spans="1:13" x14ac:dyDescent="0.2">
      <c r="F15" s="201"/>
      <c r="G15" s="201"/>
      <c r="H15" s="201"/>
      <c r="I15" s="201"/>
    </row>
    <row r="16" spans="1:13" x14ac:dyDescent="0.2">
      <c r="F16" s="201"/>
      <c r="G16" s="201"/>
      <c r="H16" s="201"/>
      <c r="I16" s="201"/>
    </row>
    <row r="17" spans="6:9" x14ac:dyDescent="0.2">
      <c r="F17" s="201"/>
      <c r="G17" s="201"/>
      <c r="H17" s="201"/>
      <c r="I17" s="201"/>
    </row>
    <row r="19" spans="6:9" x14ac:dyDescent="0.2">
      <c r="F19" s="59">
        <f>ROUND(SUMIF(MAP!$E$389:$E$406,$B19,MAP!$N$389:$N$406),0)</f>
        <v>0</v>
      </c>
    </row>
  </sheetData>
  <pageMargins left="0.35433070866141736" right="0.47244094488188981" top="0.19685039370078741" bottom="0.19685039370078741"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B0F0"/>
    <pageSetUpPr fitToPage="1"/>
  </sheetPr>
  <dimension ref="A1:M70"/>
  <sheetViews>
    <sheetView zoomScale="90" zoomScaleNormal="90" workbookViewId="0">
      <selection activeCell="G5" sqref="G4:G5"/>
    </sheetView>
  </sheetViews>
  <sheetFormatPr defaultRowHeight="15" outlineLevelRow="1" outlineLevelCol="1" x14ac:dyDescent="0.25"/>
  <cols>
    <col min="1" max="1" width="5.140625" customWidth="1"/>
    <col min="2" max="2" width="47.42578125" customWidth="1"/>
    <col min="3" max="3" width="17" customWidth="1"/>
    <col min="4" max="4" width="15.7109375" customWidth="1"/>
    <col min="5" max="6" width="14" customWidth="1"/>
    <col min="7" max="7" width="10.85546875" bestFit="1" customWidth="1" outlineLevel="1"/>
    <col min="8" max="8" width="10.140625" customWidth="1"/>
    <col min="9" max="9" width="16.140625" customWidth="1"/>
    <col min="10" max="10" width="13.28515625" customWidth="1"/>
    <col min="11" max="11" width="13.7109375" customWidth="1"/>
    <col min="12" max="12" width="13.42578125" customWidth="1"/>
    <col min="13" max="13" width="10.85546875" customWidth="1" outlineLevel="1"/>
    <col min="240" max="240" width="5.140625" customWidth="1"/>
    <col min="241" max="241" width="47.42578125" customWidth="1"/>
    <col min="242" max="242" width="20.42578125" bestFit="1" customWidth="1"/>
    <col min="243" max="243" width="17" bestFit="1" customWidth="1"/>
    <col min="244" max="244" width="15.7109375" customWidth="1"/>
    <col min="245" max="245" width="7.140625" customWidth="1"/>
    <col min="246" max="246" width="16.5703125" customWidth="1"/>
    <col min="247" max="247" width="15.85546875" customWidth="1"/>
    <col min="248" max="248" width="13.140625" customWidth="1"/>
    <col min="249" max="249" width="7.140625" customWidth="1"/>
    <col min="250" max="250" width="11" bestFit="1" customWidth="1"/>
    <col min="252" max="252" width="12.85546875" bestFit="1" customWidth="1"/>
    <col min="254" max="254" width="11" bestFit="1" customWidth="1"/>
    <col min="496" max="496" width="5.140625" customWidth="1"/>
    <col min="497" max="497" width="47.42578125" customWidth="1"/>
    <col min="498" max="498" width="20.42578125" bestFit="1" customWidth="1"/>
    <col min="499" max="499" width="17" bestFit="1" customWidth="1"/>
    <col min="500" max="500" width="15.7109375" customWidth="1"/>
    <col min="501" max="501" width="7.140625" customWidth="1"/>
    <col min="502" max="502" width="16.5703125" customWidth="1"/>
    <col min="503" max="503" width="15.85546875" customWidth="1"/>
    <col min="504" max="504" width="13.140625" customWidth="1"/>
    <col min="505" max="505" width="7.140625" customWidth="1"/>
    <col min="506" max="506" width="11" bestFit="1" customWidth="1"/>
    <col min="508" max="508" width="12.85546875" bestFit="1" customWidth="1"/>
    <col min="510" max="510" width="11" bestFit="1" customWidth="1"/>
    <col min="752" max="752" width="5.140625" customWidth="1"/>
    <col min="753" max="753" width="47.42578125" customWidth="1"/>
    <col min="754" max="754" width="20.42578125" bestFit="1" customWidth="1"/>
    <col min="755" max="755" width="17" bestFit="1" customWidth="1"/>
    <col min="756" max="756" width="15.7109375" customWidth="1"/>
    <col min="757" max="757" width="7.140625" customWidth="1"/>
    <col min="758" max="758" width="16.5703125" customWidth="1"/>
    <col min="759" max="759" width="15.85546875" customWidth="1"/>
    <col min="760" max="760" width="13.140625" customWidth="1"/>
    <col min="761" max="761" width="7.140625" customWidth="1"/>
    <col min="762" max="762" width="11" bestFit="1" customWidth="1"/>
    <col min="764" max="764" width="12.85546875" bestFit="1" customWidth="1"/>
    <col min="766" max="766" width="11" bestFit="1" customWidth="1"/>
    <col min="1008" max="1008" width="5.140625" customWidth="1"/>
    <col min="1009" max="1009" width="47.42578125" customWidth="1"/>
    <col min="1010" max="1010" width="20.42578125" bestFit="1" customWidth="1"/>
    <col min="1011" max="1011" width="17" bestFit="1" customWidth="1"/>
    <col min="1012" max="1012" width="15.7109375" customWidth="1"/>
    <col min="1013" max="1013" width="7.140625" customWidth="1"/>
    <col min="1014" max="1014" width="16.5703125" customWidth="1"/>
    <col min="1015" max="1015" width="15.85546875" customWidth="1"/>
    <col min="1016" max="1016" width="13.140625" customWidth="1"/>
    <col min="1017" max="1017" width="7.140625" customWidth="1"/>
    <col min="1018" max="1018" width="11" bestFit="1" customWidth="1"/>
    <col min="1020" max="1020" width="12.85546875" bestFit="1" customWidth="1"/>
    <col min="1022" max="1022" width="11" bestFit="1" customWidth="1"/>
    <col min="1264" max="1264" width="5.140625" customWidth="1"/>
    <col min="1265" max="1265" width="47.42578125" customWidth="1"/>
    <col min="1266" max="1266" width="20.42578125" bestFit="1" customWidth="1"/>
    <col min="1267" max="1267" width="17" bestFit="1" customWidth="1"/>
    <col min="1268" max="1268" width="15.7109375" customWidth="1"/>
    <col min="1269" max="1269" width="7.140625" customWidth="1"/>
    <col min="1270" max="1270" width="16.5703125" customWidth="1"/>
    <col min="1271" max="1271" width="15.85546875" customWidth="1"/>
    <col min="1272" max="1272" width="13.140625" customWidth="1"/>
    <col min="1273" max="1273" width="7.140625" customWidth="1"/>
    <col min="1274" max="1274" width="11" bestFit="1" customWidth="1"/>
    <col min="1276" max="1276" width="12.85546875" bestFit="1" customWidth="1"/>
    <col min="1278" max="1278" width="11" bestFit="1" customWidth="1"/>
    <col min="1520" max="1520" width="5.140625" customWidth="1"/>
    <col min="1521" max="1521" width="47.42578125" customWidth="1"/>
    <col min="1522" max="1522" width="20.42578125" bestFit="1" customWidth="1"/>
    <col min="1523" max="1523" width="17" bestFit="1" customWidth="1"/>
    <col min="1524" max="1524" width="15.7109375" customWidth="1"/>
    <col min="1525" max="1525" width="7.140625" customWidth="1"/>
    <col min="1526" max="1526" width="16.5703125" customWidth="1"/>
    <col min="1527" max="1527" width="15.85546875" customWidth="1"/>
    <col min="1528" max="1528" width="13.140625" customWidth="1"/>
    <col min="1529" max="1529" width="7.140625" customWidth="1"/>
    <col min="1530" max="1530" width="11" bestFit="1" customWidth="1"/>
    <col min="1532" max="1532" width="12.85546875" bestFit="1" customWidth="1"/>
    <col min="1534" max="1534" width="11" bestFit="1" customWidth="1"/>
    <col min="1776" max="1776" width="5.140625" customWidth="1"/>
    <col min="1777" max="1777" width="47.42578125" customWidth="1"/>
    <col min="1778" max="1778" width="20.42578125" bestFit="1" customWidth="1"/>
    <col min="1779" max="1779" width="17" bestFit="1" customWidth="1"/>
    <col min="1780" max="1780" width="15.7109375" customWidth="1"/>
    <col min="1781" max="1781" width="7.140625" customWidth="1"/>
    <col min="1782" max="1782" width="16.5703125" customWidth="1"/>
    <col min="1783" max="1783" width="15.85546875" customWidth="1"/>
    <col min="1784" max="1784" width="13.140625" customWidth="1"/>
    <col min="1785" max="1785" width="7.140625" customWidth="1"/>
    <col min="1786" max="1786" width="11" bestFit="1" customWidth="1"/>
    <col min="1788" max="1788" width="12.85546875" bestFit="1" customWidth="1"/>
    <col min="1790" max="1790" width="11" bestFit="1" customWidth="1"/>
    <col min="2032" max="2032" width="5.140625" customWidth="1"/>
    <col min="2033" max="2033" width="47.42578125" customWidth="1"/>
    <col min="2034" max="2034" width="20.42578125" bestFit="1" customWidth="1"/>
    <col min="2035" max="2035" width="17" bestFit="1" customWidth="1"/>
    <col min="2036" max="2036" width="15.7109375" customWidth="1"/>
    <col min="2037" max="2037" width="7.140625" customWidth="1"/>
    <col min="2038" max="2038" width="16.5703125" customWidth="1"/>
    <col min="2039" max="2039" width="15.85546875" customWidth="1"/>
    <col min="2040" max="2040" width="13.140625" customWidth="1"/>
    <col min="2041" max="2041" width="7.140625" customWidth="1"/>
    <col min="2042" max="2042" width="11" bestFit="1" customWidth="1"/>
    <col min="2044" max="2044" width="12.85546875" bestFit="1" customWidth="1"/>
    <col min="2046" max="2046" width="11" bestFit="1" customWidth="1"/>
    <col min="2288" max="2288" width="5.140625" customWidth="1"/>
    <col min="2289" max="2289" width="47.42578125" customWidth="1"/>
    <col min="2290" max="2290" width="20.42578125" bestFit="1" customWidth="1"/>
    <col min="2291" max="2291" width="17" bestFit="1" customWidth="1"/>
    <col min="2292" max="2292" width="15.7109375" customWidth="1"/>
    <col min="2293" max="2293" width="7.140625" customWidth="1"/>
    <col min="2294" max="2294" width="16.5703125" customWidth="1"/>
    <col min="2295" max="2295" width="15.85546875" customWidth="1"/>
    <col min="2296" max="2296" width="13.140625" customWidth="1"/>
    <col min="2297" max="2297" width="7.140625" customWidth="1"/>
    <col min="2298" max="2298" width="11" bestFit="1" customWidth="1"/>
    <col min="2300" max="2300" width="12.85546875" bestFit="1" customWidth="1"/>
    <col min="2302" max="2302" width="11" bestFit="1" customWidth="1"/>
    <col min="2544" max="2544" width="5.140625" customWidth="1"/>
    <col min="2545" max="2545" width="47.42578125" customWidth="1"/>
    <col min="2546" max="2546" width="20.42578125" bestFit="1" customWidth="1"/>
    <col min="2547" max="2547" width="17" bestFit="1" customWidth="1"/>
    <col min="2548" max="2548" width="15.7109375" customWidth="1"/>
    <col min="2549" max="2549" width="7.140625" customWidth="1"/>
    <col min="2550" max="2550" width="16.5703125" customWidth="1"/>
    <col min="2551" max="2551" width="15.85546875" customWidth="1"/>
    <col min="2552" max="2552" width="13.140625" customWidth="1"/>
    <col min="2553" max="2553" width="7.140625" customWidth="1"/>
    <col min="2554" max="2554" width="11" bestFit="1" customWidth="1"/>
    <col min="2556" max="2556" width="12.85546875" bestFit="1" customWidth="1"/>
    <col min="2558" max="2558" width="11" bestFit="1" customWidth="1"/>
    <col min="2800" max="2800" width="5.140625" customWidth="1"/>
    <col min="2801" max="2801" width="47.42578125" customWidth="1"/>
    <col min="2802" max="2802" width="20.42578125" bestFit="1" customWidth="1"/>
    <col min="2803" max="2803" width="17" bestFit="1" customWidth="1"/>
    <col min="2804" max="2804" width="15.7109375" customWidth="1"/>
    <col min="2805" max="2805" width="7.140625" customWidth="1"/>
    <col min="2806" max="2806" width="16.5703125" customWidth="1"/>
    <col min="2807" max="2807" width="15.85546875" customWidth="1"/>
    <col min="2808" max="2808" width="13.140625" customWidth="1"/>
    <col min="2809" max="2809" width="7.140625" customWidth="1"/>
    <col min="2810" max="2810" width="11" bestFit="1" customWidth="1"/>
    <col min="2812" max="2812" width="12.85546875" bestFit="1" customWidth="1"/>
    <col min="2814" max="2814" width="11" bestFit="1" customWidth="1"/>
    <col min="3056" max="3056" width="5.140625" customWidth="1"/>
    <col min="3057" max="3057" width="47.42578125" customWidth="1"/>
    <col min="3058" max="3058" width="20.42578125" bestFit="1" customWidth="1"/>
    <col min="3059" max="3059" width="17" bestFit="1" customWidth="1"/>
    <col min="3060" max="3060" width="15.7109375" customWidth="1"/>
    <col min="3061" max="3061" width="7.140625" customWidth="1"/>
    <col min="3062" max="3062" width="16.5703125" customWidth="1"/>
    <col min="3063" max="3063" width="15.85546875" customWidth="1"/>
    <col min="3064" max="3064" width="13.140625" customWidth="1"/>
    <col min="3065" max="3065" width="7.140625" customWidth="1"/>
    <col min="3066" max="3066" width="11" bestFit="1" customWidth="1"/>
    <col min="3068" max="3068" width="12.85546875" bestFit="1" customWidth="1"/>
    <col min="3070" max="3070" width="11" bestFit="1" customWidth="1"/>
    <col min="3312" max="3312" width="5.140625" customWidth="1"/>
    <col min="3313" max="3313" width="47.42578125" customWidth="1"/>
    <col min="3314" max="3314" width="20.42578125" bestFit="1" customWidth="1"/>
    <col min="3315" max="3315" width="17" bestFit="1" customWidth="1"/>
    <col min="3316" max="3316" width="15.7109375" customWidth="1"/>
    <col min="3317" max="3317" width="7.140625" customWidth="1"/>
    <col min="3318" max="3318" width="16.5703125" customWidth="1"/>
    <col min="3319" max="3319" width="15.85546875" customWidth="1"/>
    <col min="3320" max="3320" width="13.140625" customWidth="1"/>
    <col min="3321" max="3321" width="7.140625" customWidth="1"/>
    <col min="3322" max="3322" width="11" bestFit="1" customWidth="1"/>
    <col min="3324" max="3324" width="12.85546875" bestFit="1" customWidth="1"/>
    <col min="3326" max="3326" width="11" bestFit="1" customWidth="1"/>
    <col min="3568" max="3568" width="5.140625" customWidth="1"/>
    <col min="3569" max="3569" width="47.42578125" customWidth="1"/>
    <col min="3570" max="3570" width="20.42578125" bestFit="1" customWidth="1"/>
    <col min="3571" max="3571" width="17" bestFit="1" customWidth="1"/>
    <col min="3572" max="3572" width="15.7109375" customWidth="1"/>
    <col min="3573" max="3573" width="7.140625" customWidth="1"/>
    <col min="3574" max="3574" width="16.5703125" customWidth="1"/>
    <col min="3575" max="3575" width="15.85546875" customWidth="1"/>
    <col min="3576" max="3576" width="13.140625" customWidth="1"/>
    <col min="3577" max="3577" width="7.140625" customWidth="1"/>
    <col min="3578" max="3578" width="11" bestFit="1" customWidth="1"/>
    <col min="3580" max="3580" width="12.85546875" bestFit="1" customWidth="1"/>
    <col min="3582" max="3582" width="11" bestFit="1" customWidth="1"/>
    <col min="3824" max="3824" width="5.140625" customWidth="1"/>
    <col min="3825" max="3825" width="47.42578125" customWidth="1"/>
    <col min="3826" max="3826" width="20.42578125" bestFit="1" customWidth="1"/>
    <col min="3827" max="3827" width="17" bestFit="1" customWidth="1"/>
    <col min="3828" max="3828" width="15.7109375" customWidth="1"/>
    <col min="3829" max="3829" width="7.140625" customWidth="1"/>
    <col min="3830" max="3830" width="16.5703125" customWidth="1"/>
    <col min="3831" max="3831" width="15.85546875" customWidth="1"/>
    <col min="3832" max="3832" width="13.140625" customWidth="1"/>
    <col min="3833" max="3833" width="7.140625" customWidth="1"/>
    <col min="3834" max="3834" width="11" bestFit="1" customWidth="1"/>
    <col min="3836" max="3836" width="12.85546875" bestFit="1" customWidth="1"/>
    <col min="3838" max="3838" width="11" bestFit="1" customWidth="1"/>
    <col min="4080" max="4080" width="5.140625" customWidth="1"/>
    <col min="4081" max="4081" width="47.42578125" customWidth="1"/>
    <col min="4082" max="4082" width="20.42578125" bestFit="1" customWidth="1"/>
    <col min="4083" max="4083" width="17" bestFit="1" customWidth="1"/>
    <col min="4084" max="4084" width="15.7109375" customWidth="1"/>
    <col min="4085" max="4085" width="7.140625" customWidth="1"/>
    <col min="4086" max="4086" width="16.5703125" customWidth="1"/>
    <col min="4087" max="4087" width="15.85546875" customWidth="1"/>
    <col min="4088" max="4088" width="13.140625" customWidth="1"/>
    <col min="4089" max="4089" width="7.140625" customWidth="1"/>
    <col min="4090" max="4090" width="11" bestFit="1" customWidth="1"/>
    <col min="4092" max="4092" width="12.85546875" bestFit="1" customWidth="1"/>
    <col min="4094" max="4094" width="11" bestFit="1" customWidth="1"/>
    <col min="4336" max="4336" width="5.140625" customWidth="1"/>
    <col min="4337" max="4337" width="47.42578125" customWidth="1"/>
    <col min="4338" max="4338" width="20.42578125" bestFit="1" customWidth="1"/>
    <col min="4339" max="4339" width="17" bestFit="1" customWidth="1"/>
    <col min="4340" max="4340" width="15.7109375" customWidth="1"/>
    <col min="4341" max="4341" width="7.140625" customWidth="1"/>
    <col min="4342" max="4342" width="16.5703125" customWidth="1"/>
    <col min="4343" max="4343" width="15.85546875" customWidth="1"/>
    <col min="4344" max="4344" width="13.140625" customWidth="1"/>
    <col min="4345" max="4345" width="7.140625" customWidth="1"/>
    <col min="4346" max="4346" width="11" bestFit="1" customWidth="1"/>
    <col min="4348" max="4348" width="12.85546875" bestFit="1" customWidth="1"/>
    <col min="4350" max="4350" width="11" bestFit="1" customWidth="1"/>
    <col min="4592" max="4592" width="5.140625" customWidth="1"/>
    <col min="4593" max="4593" width="47.42578125" customWidth="1"/>
    <col min="4594" max="4594" width="20.42578125" bestFit="1" customWidth="1"/>
    <col min="4595" max="4595" width="17" bestFit="1" customWidth="1"/>
    <col min="4596" max="4596" width="15.7109375" customWidth="1"/>
    <col min="4597" max="4597" width="7.140625" customWidth="1"/>
    <col min="4598" max="4598" width="16.5703125" customWidth="1"/>
    <col min="4599" max="4599" width="15.85546875" customWidth="1"/>
    <col min="4600" max="4600" width="13.140625" customWidth="1"/>
    <col min="4601" max="4601" width="7.140625" customWidth="1"/>
    <col min="4602" max="4602" width="11" bestFit="1" customWidth="1"/>
    <col min="4604" max="4604" width="12.85546875" bestFit="1" customWidth="1"/>
    <col min="4606" max="4606" width="11" bestFit="1" customWidth="1"/>
    <col min="4848" max="4848" width="5.140625" customWidth="1"/>
    <col min="4849" max="4849" width="47.42578125" customWidth="1"/>
    <col min="4850" max="4850" width="20.42578125" bestFit="1" customWidth="1"/>
    <col min="4851" max="4851" width="17" bestFit="1" customWidth="1"/>
    <col min="4852" max="4852" width="15.7109375" customWidth="1"/>
    <col min="4853" max="4853" width="7.140625" customWidth="1"/>
    <col min="4854" max="4854" width="16.5703125" customWidth="1"/>
    <col min="4855" max="4855" width="15.85546875" customWidth="1"/>
    <col min="4856" max="4856" width="13.140625" customWidth="1"/>
    <col min="4857" max="4857" width="7.140625" customWidth="1"/>
    <col min="4858" max="4858" width="11" bestFit="1" customWidth="1"/>
    <col min="4860" max="4860" width="12.85546875" bestFit="1" customWidth="1"/>
    <col min="4862" max="4862" width="11" bestFit="1" customWidth="1"/>
    <col min="5104" max="5104" width="5.140625" customWidth="1"/>
    <col min="5105" max="5105" width="47.42578125" customWidth="1"/>
    <col min="5106" max="5106" width="20.42578125" bestFit="1" customWidth="1"/>
    <col min="5107" max="5107" width="17" bestFit="1" customWidth="1"/>
    <col min="5108" max="5108" width="15.7109375" customWidth="1"/>
    <col min="5109" max="5109" width="7.140625" customWidth="1"/>
    <col min="5110" max="5110" width="16.5703125" customWidth="1"/>
    <col min="5111" max="5111" width="15.85546875" customWidth="1"/>
    <col min="5112" max="5112" width="13.140625" customWidth="1"/>
    <col min="5113" max="5113" width="7.140625" customWidth="1"/>
    <col min="5114" max="5114" width="11" bestFit="1" customWidth="1"/>
    <col min="5116" max="5116" width="12.85546875" bestFit="1" customWidth="1"/>
    <col min="5118" max="5118" width="11" bestFit="1" customWidth="1"/>
    <col min="5360" max="5360" width="5.140625" customWidth="1"/>
    <col min="5361" max="5361" width="47.42578125" customWidth="1"/>
    <col min="5362" max="5362" width="20.42578125" bestFit="1" customWidth="1"/>
    <col min="5363" max="5363" width="17" bestFit="1" customWidth="1"/>
    <col min="5364" max="5364" width="15.7109375" customWidth="1"/>
    <col min="5365" max="5365" width="7.140625" customWidth="1"/>
    <col min="5366" max="5366" width="16.5703125" customWidth="1"/>
    <col min="5367" max="5367" width="15.85546875" customWidth="1"/>
    <col min="5368" max="5368" width="13.140625" customWidth="1"/>
    <col min="5369" max="5369" width="7.140625" customWidth="1"/>
    <col min="5370" max="5370" width="11" bestFit="1" customWidth="1"/>
    <col min="5372" max="5372" width="12.85546875" bestFit="1" customWidth="1"/>
    <col min="5374" max="5374" width="11" bestFit="1" customWidth="1"/>
    <col min="5616" max="5616" width="5.140625" customWidth="1"/>
    <col min="5617" max="5617" width="47.42578125" customWidth="1"/>
    <col min="5618" max="5618" width="20.42578125" bestFit="1" customWidth="1"/>
    <col min="5619" max="5619" width="17" bestFit="1" customWidth="1"/>
    <col min="5620" max="5620" width="15.7109375" customWidth="1"/>
    <col min="5621" max="5621" width="7.140625" customWidth="1"/>
    <col min="5622" max="5622" width="16.5703125" customWidth="1"/>
    <col min="5623" max="5623" width="15.85546875" customWidth="1"/>
    <col min="5624" max="5624" width="13.140625" customWidth="1"/>
    <col min="5625" max="5625" width="7.140625" customWidth="1"/>
    <col min="5626" max="5626" width="11" bestFit="1" customWidth="1"/>
    <col min="5628" max="5628" width="12.85546875" bestFit="1" customWidth="1"/>
    <col min="5630" max="5630" width="11" bestFit="1" customWidth="1"/>
    <col min="5872" max="5872" width="5.140625" customWidth="1"/>
    <col min="5873" max="5873" width="47.42578125" customWidth="1"/>
    <col min="5874" max="5874" width="20.42578125" bestFit="1" customWidth="1"/>
    <col min="5875" max="5875" width="17" bestFit="1" customWidth="1"/>
    <col min="5876" max="5876" width="15.7109375" customWidth="1"/>
    <col min="5877" max="5877" width="7.140625" customWidth="1"/>
    <col min="5878" max="5878" width="16.5703125" customWidth="1"/>
    <col min="5879" max="5879" width="15.85546875" customWidth="1"/>
    <col min="5880" max="5880" width="13.140625" customWidth="1"/>
    <col min="5881" max="5881" width="7.140625" customWidth="1"/>
    <col min="5882" max="5882" width="11" bestFit="1" customWidth="1"/>
    <col min="5884" max="5884" width="12.85546875" bestFit="1" customWidth="1"/>
    <col min="5886" max="5886" width="11" bestFit="1" customWidth="1"/>
    <col min="6128" max="6128" width="5.140625" customWidth="1"/>
    <col min="6129" max="6129" width="47.42578125" customWidth="1"/>
    <col min="6130" max="6130" width="20.42578125" bestFit="1" customWidth="1"/>
    <col min="6131" max="6131" width="17" bestFit="1" customWidth="1"/>
    <col min="6132" max="6132" width="15.7109375" customWidth="1"/>
    <col min="6133" max="6133" width="7.140625" customWidth="1"/>
    <col min="6134" max="6134" width="16.5703125" customWidth="1"/>
    <col min="6135" max="6135" width="15.85546875" customWidth="1"/>
    <col min="6136" max="6136" width="13.140625" customWidth="1"/>
    <col min="6137" max="6137" width="7.140625" customWidth="1"/>
    <col min="6138" max="6138" width="11" bestFit="1" customWidth="1"/>
    <col min="6140" max="6140" width="12.85546875" bestFit="1" customWidth="1"/>
    <col min="6142" max="6142" width="11" bestFit="1" customWidth="1"/>
    <col min="6384" max="6384" width="5.140625" customWidth="1"/>
    <col min="6385" max="6385" width="47.42578125" customWidth="1"/>
    <col min="6386" max="6386" width="20.42578125" bestFit="1" customWidth="1"/>
    <col min="6387" max="6387" width="17" bestFit="1" customWidth="1"/>
    <col min="6388" max="6388" width="15.7109375" customWidth="1"/>
    <col min="6389" max="6389" width="7.140625" customWidth="1"/>
    <col min="6390" max="6390" width="16.5703125" customWidth="1"/>
    <col min="6391" max="6391" width="15.85546875" customWidth="1"/>
    <col min="6392" max="6392" width="13.140625" customWidth="1"/>
    <col min="6393" max="6393" width="7.140625" customWidth="1"/>
    <col min="6394" max="6394" width="11" bestFit="1" customWidth="1"/>
    <col min="6396" max="6396" width="12.85546875" bestFit="1" customWidth="1"/>
    <col min="6398" max="6398" width="11" bestFit="1" customWidth="1"/>
    <col min="6640" max="6640" width="5.140625" customWidth="1"/>
    <col min="6641" max="6641" width="47.42578125" customWidth="1"/>
    <col min="6642" max="6642" width="20.42578125" bestFit="1" customWidth="1"/>
    <col min="6643" max="6643" width="17" bestFit="1" customWidth="1"/>
    <col min="6644" max="6644" width="15.7109375" customWidth="1"/>
    <col min="6645" max="6645" width="7.140625" customWidth="1"/>
    <col min="6646" max="6646" width="16.5703125" customWidth="1"/>
    <col min="6647" max="6647" width="15.85546875" customWidth="1"/>
    <col min="6648" max="6648" width="13.140625" customWidth="1"/>
    <col min="6649" max="6649" width="7.140625" customWidth="1"/>
    <col min="6650" max="6650" width="11" bestFit="1" customWidth="1"/>
    <col min="6652" max="6652" width="12.85546875" bestFit="1" customWidth="1"/>
    <col min="6654" max="6654" width="11" bestFit="1" customWidth="1"/>
    <col min="6896" max="6896" width="5.140625" customWidth="1"/>
    <col min="6897" max="6897" width="47.42578125" customWidth="1"/>
    <col min="6898" max="6898" width="20.42578125" bestFit="1" customWidth="1"/>
    <col min="6899" max="6899" width="17" bestFit="1" customWidth="1"/>
    <col min="6900" max="6900" width="15.7109375" customWidth="1"/>
    <col min="6901" max="6901" width="7.140625" customWidth="1"/>
    <col min="6902" max="6902" width="16.5703125" customWidth="1"/>
    <col min="6903" max="6903" width="15.85546875" customWidth="1"/>
    <col min="6904" max="6904" width="13.140625" customWidth="1"/>
    <col min="6905" max="6905" width="7.140625" customWidth="1"/>
    <col min="6906" max="6906" width="11" bestFit="1" customWidth="1"/>
    <col min="6908" max="6908" width="12.85546875" bestFit="1" customWidth="1"/>
    <col min="6910" max="6910" width="11" bestFit="1" customWidth="1"/>
    <col min="7152" max="7152" width="5.140625" customWidth="1"/>
    <col min="7153" max="7153" width="47.42578125" customWidth="1"/>
    <col min="7154" max="7154" width="20.42578125" bestFit="1" customWidth="1"/>
    <col min="7155" max="7155" width="17" bestFit="1" customWidth="1"/>
    <col min="7156" max="7156" width="15.7109375" customWidth="1"/>
    <col min="7157" max="7157" width="7.140625" customWidth="1"/>
    <col min="7158" max="7158" width="16.5703125" customWidth="1"/>
    <col min="7159" max="7159" width="15.85546875" customWidth="1"/>
    <col min="7160" max="7160" width="13.140625" customWidth="1"/>
    <col min="7161" max="7161" width="7.140625" customWidth="1"/>
    <col min="7162" max="7162" width="11" bestFit="1" customWidth="1"/>
    <col min="7164" max="7164" width="12.85546875" bestFit="1" customWidth="1"/>
    <col min="7166" max="7166" width="11" bestFit="1" customWidth="1"/>
    <col min="7408" max="7408" width="5.140625" customWidth="1"/>
    <col min="7409" max="7409" width="47.42578125" customWidth="1"/>
    <col min="7410" max="7410" width="20.42578125" bestFit="1" customWidth="1"/>
    <col min="7411" max="7411" width="17" bestFit="1" customWidth="1"/>
    <col min="7412" max="7412" width="15.7109375" customWidth="1"/>
    <col min="7413" max="7413" width="7.140625" customWidth="1"/>
    <col min="7414" max="7414" width="16.5703125" customWidth="1"/>
    <col min="7415" max="7415" width="15.85546875" customWidth="1"/>
    <col min="7416" max="7416" width="13.140625" customWidth="1"/>
    <col min="7417" max="7417" width="7.140625" customWidth="1"/>
    <col min="7418" max="7418" width="11" bestFit="1" customWidth="1"/>
    <col min="7420" max="7420" width="12.85546875" bestFit="1" customWidth="1"/>
    <col min="7422" max="7422" width="11" bestFit="1" customWidth="1"/>
    <col min="7664" max="7664" width="5.140625" customWidth="1"/>
    <col min="7665" max="7665" width="47.42578125" customWidth="1"/>
    <col min="7666" max="7666" width="20.42578125" bestFit="1" customWidth="1"/>
    <col min="7667" max="7667" width="17" bestFit="1" customWidth="1"/>
    <col min="7668" max="7668" width="15.7109375" customWidth="1"/>
    <col min="7669" max="7669" width="7.140625" customWidth="1"/>
    <col min="7670" max="7670" width="16.5703125" customWidth="1"/>
    <col min="7671" max="7671" width="15.85546875" customWidth="1"/>
    <col min="7672" max="7672" width="13.140625" customWidth="1"/>
    <col min="7673" max="7673" width="7.140625" customWidth="1"/>
    <col min="7674" max="7674" width="11" bestFit="1" customWidth="1"/>
    <col min="7676" max="7676" width="12.85546875" bestFit="1" customWidth="1"/>
    <col min="7678" max="7678" width="11" bestFit="1" customWidth="1"/>
    <col min="7920" max="7920" width="5.140625" customWidth="1"/>
    <col min="7921" max="7921" width="47.42578125" customWidth="1"/>
    <col min="7922" max="7922" width="20.42578125" bestFit="1" customWidth="1"/>
    <col min="7923" max="7923" width="17" bestFit="1" customWidth="1"/>
    <col min="7924" max="7924" width="15.7109375" customWidth="1"/>
    <col min="7925" max="7925" width="7.140625" customWidth="1"/>
    <col min="7926" max="7926" width="16.5703125" customWidth="1"/>
    <col min="7927" max="7927" width="15.85546875" customWidth="1"/>
    <col min="7928" max="7928" width="13.140625" customWidth="1"/>
    <col min="7929" max="7929" width="7.140625" customWidth="1"/>
    <col min="7930" max="7930" width="11" bestFit="1" customWidth="1"/>
    <col min="7932" max="7932" width="12.85546875" bestFit="1" customWidth="1"/>
    <col min="7934" max="7934" width="11" bestFit="1" customWidth="1"/>
    <col min="8176" max="8176" width="5.140625" customWidth="1"/>
    <col min="8177" max="8177" width="47.42578125" customWidth="1"/>
    <col min="8178" max="8178" width="20.42578125" bestFit="1" customWidth="1"/>
    <col min="8179" max="8179" width="17" bestFit="1" customWidth="1"/>
    <col min="8180" max="8180" width="15.7109375" customWidth="1"/>
    <col min="8181" max="8181" width="7.140625" customWidth="1"/>
    <col min="8182" max="8182" width="16.5703125" customWidth="1"/>
    <col min="8183" max="8183" width="15.85546875" customWidth="1"/>
    <col min="8184" max="8184" width="13.140625" customWidth="1"/>
    <col min="8185" max="8185" width="7.140625" customWidth="1"/>
    <col min="8186" max="8186" width="11" bestFit="1" customWidth="1"/>
    <col min="8188" max="8188" width="12.85546875" bestFit="1" customWidth="1"/>
    <col min="8190" max="8190" width="11" bestFit="1" customWidth="1"/>
    <col min="8432" max="8432" width="5.140625" customWidth="1"/>
    <col min="8433" max="8433" width="47.42578125" customWidth="1"/>
    <col min="8434" max="8434" width="20.42578125" bestFit="1" customWidth="1"/>
    <col min="8435" max="8435" width="17" bestFit="1" customWidth="1"/>
    <col min="8436" max="8436" width="15.7109375" customWidth="1"/>
    <col min="8437" max="8437" width="7.140625" customWidth="1"/>
    <col min="8438" max="8438" width="16.5703125" customWidth="1"/>
    <col min="8439" max="8439" width="15.85546875" customWidth="1"/>
    <col min="8440" max="8440" width="13.140625" customWidth="1"/>
    <col min="8441" max="8441" width="7.140625" customWidth="1"/>
    <col min="8442" max="8442" width="11" bestFit="1" customWidth="1"/>
    <col min="8444" max="8444" width="12.85546875" bestFit="1" customWidth="1"/>
    <col min="8446" max="8446" width="11" bestFit="1" customWidth="1"/>
    <col min="8688" max="8688" width="5.140625" customWidth="1"/>
    <col min="8689" max="8689" width="47.42578125" customWidth="1"/>
    <col min="8690" max="8690" width="20.42578125" bestFit="1" customWidth="1"/>
    <col min="8691" max="8691" width="17" bestFit="1" customWidth="1"/>
    <col min="8692" max="8692" width="15.7109375" customWidth="1"/>
    <col min="8693" max="8693" width="7.140625" customWidth="1"/>
    <col min="8694" max="8694" width="16.5703125" customWidth="1"/>
    <col min="8695" max="8695" width="15.85546875" customWidth="1"/>
    <col min="8696" max="8696" width="13.140625" customWidth="1"/>
    <col min="8697" max="8697" width="7.140625" customWidth="1"/>
    <col min="8698" max="8698" width="11" bestFit="1" customWidth="1"/>
    <col min="8700" max="8700" width="12.85546875" bestFit="1" customWidth="1"/>
    <col min="8702" max="8702" width="11" bestFit="1" customWidth="1"/>
    <col min="8944" max="8944" width="5.140625" customWidth="1"/>
    <col min="8945" max="8945" width="47.42578125" customWidth="1"/>
    <col min="8946" max="8946" width="20.42578125" bestFit="1" customWidth="1"/>
    <col min="8947" max="8947" width="17" bestFit="1" customWidth="1"/>
    <col min="8948" max="8948" width="15.7109375" customWidth="1"/>
    <col min="8949" max="8949" width="7.140625" customWidth="1"/>
    <col min="8950" max="8950" width="16.5703125" customWidth="1"/>
    <col min="8951" max="8951" width="15.85546875" customWidth="1"/>
    <col min="8952" max="8952" width="13.140625" customWidth="1"/>
    <col min="8953" max="8953" width="7.140625" customWidth="1"/>
    <col min="8954" max="8954" width="11" bestFit="1" customWidth="1"/>
    <col min="8956" max="8956" width="12.85546875" bestFit="1" customWidth="1"/>
    <col min="8958" max="8958" width="11" bestFit="1" customWidth="1"/>
    <col min="9200" max="9200" width="5.140625" customWidth="1"/>
    <col min="9201" max="9201" width="47.42578125" customWidth="1"/>
    <col min="9202" max="9202" width="20.42578125" bestFit="1" customWidth="1"/>
    <col min="9203" max="9203" width="17" bestFit="1" customWidth="1"/>
    <col min="9204" max="9204" width="15.7109375" customWidth="1"/>
    <col min="9205" max="9205" width="7.140625" customWidth="1"/>
    <col min="9206" max="9206" width="16.5703125" customWidth="1"/>
    <col min="9207" max="9207" width="15.85546875" customWidth="1"/>
    <col min="9208" max="9208" width="13.140625" customWidth="1"/>
    <col min="9209" max="9209" width="7.140625" customWidth="1"/>
    <col min="9210" max="9210" width="11" bestFit="1" customWidth="1"/>
    <col min="9212" max="9212" width="12.85546875" bestFit="1" customWidth="1"/>
    <col min="9214" max="9214" width="11" bestFit="1" customWidth="1"/>
    <col min="9456" max="9456" width="5.140625" customWidth="1"/>
    <col min="9457" max="9457" width="47.42578125" customWidth="1"/>
    <col min="9458" max="9458" width="20.42578125" bestFit="1" customWidth="1"/>
    <col min="9459" max="9459" width="17" bestFit="1" customWidth="1"/>
    <col min="9460" max="9460" width="15.7109375" customWidth="1"/>
    <col min="9461" max="9461" width="7.140625" customWidth="1"/>
    <col min="9462" max="9462" width="16.5703125" customWidth="1"/>
    <col min="9463" max="9463" width="15.85546875" customWidth="1"/>
    <col min="9464" max="9464" width="13.140625" customWidth="1"/>
    <col min="9465" max="9465" width="7.140625" customWidth="1"/>
    <col min="9466" max="9466" width="11" bestFit="1" customWidth="1"/>
    <col min="9468" max="9468" width="12.85546875" bestFit="1" customWidth="1"/>
    <col min="9470" max="9470" width="11" bestFit="1" customWidth="1"/>
    <col min="9712" max="9712" width="5.140625" customWidth="1"/>
    <col min="9713" max="9713" width="47.42578125" customWidth="1"/>
    <col min="9714" max="9714" width="20.42578125" bestFit="1" customWidth="1"/>
    <col min="9715" max="9715" width="17" bestFit="1" customWidth="1"/>
    <col min="9716" max="9716" width="15.7109375" customWidth="1"/>
    <col min="9717" max="9717" width="7.140625" customWidth="1"/>
    <col min="9718" max="9718" width="16.5703125" customWidth="1"/>
    <col min="9719" max="9719" width="15.85546875" customWidth="1"/>
    <col min="9720" max="9720" width="13.140625" customWidth="1"/>
    <col min="9721" max="9721" width="7.140625" customWidth="1"/>
    <col min="9722" max="9722" width="11" bestFit="1" customWidth="1"/>
    <col min="9724" max="9724" width="12.85546875" bestFit="1" customWidth="1"/>
    <col min="9726" max="9726" width="11" bestFit="1" customWidth="1"/>
    <col min="9968" max="9968" width="5.140625" customWidth="1"/>
    <col min="9969" max="9969" width="47.42578125" customWidth="1"/>
    <col min="9970" max="9970" width="20.42578125" bestFit="1" customWidth="1"/>
    <col min="9971" max="9971" width="17" bestFit="1" customWidth="1"/>
    <col min="9972" max="9972" width="15.7109375" customWidth="1"/>
    <col min="9973" max="9973" width="7.140625" customWidth="1"/>
    <col min="9974" max="9974" width="16.5703125" customWidth="1"/>
    <col min="9975" max="9975" width="15.85546875" customWidth="1"/>
    <col min="9976" max="9976" width="13.140625" customWidth="1"/>
    <col min="9977" max="9977" width="7.140625" customWidth="1"/>
    <col min="9978" max="9978" width="11" bestFit="1" customWidth="1"/>
    <col min="9980" max="9980" width="12.85546875" bestFit="1" customWidth="1"/>
    <col min="9982" max="9982" width="11" bestFit="1" customWidth="1"/>
    <col min="10224" max="10224" width="5.140625" customWidth="1"/>
    <col min="10225" max="10225" width="47.42578125" customWidth="1"/>
    <col min="10226" max="10226" width="20.42578125" bestFit="1" customWidth="1"/>
    <col min="10227" max="10227" width="17" bestFit="1" customWidth="1"/>
    <col min="10228" max="10228" width="15.7109375" customWidth="1"/>
    <col min="10229" max="10229" width="7.140625" customWidth="1"/>
    <col min="10230" max="10230" width="16.5703125" customWidth="1"/>
    <col min="10231" max="10231" width="15.85546875" customWidth="1"/>
    <col min="10232" max="10232" width="13.140625" customWidth="1"/>
    <col min="10233" max="10233" width="7.140625" customWidth="1"/>
    <col min="10234" max="10234" width="11" bestFit="1" customWidth="1"/>
    <col min="10236" max="10236" width="12.85546875" bestFit="1" customWidth="1"/>
    <col min="10238" max="10238" width="11" bestFit="1" customWidth="1"/>
    <col min="10480" max="10480" width="5.140625" customWidth="1"/>
    <col min="10481" max="10481" width="47.42578125" customWidth="1"/>
    <col min="10482" max="10482" width="20.42578125" bestFit="1" customWidth="1"/>
    <col min="10483" max="10483" width="17" bestFit="1" customWidth="1"/>
    <col min="10484" max="10484" width="15.7109375" customWidth="1"/>
    <col min="10485" max="10485" width="7.140625" customWidth="1"/>
    <col min="10486" max="10486" width="16.5703125" customWidth="1"/>
    <col min="10487" max="10487" width="15.85546875" customWidth="1"/>
    <col min="10488" max="10488" width="13.140625" customWidth="1"/>
    <col min="10489" max="10489" width="7.140625" customWidth="1"/>
    <col min="10490" max="10490" width="11" bestFit="1" customWidth="1"/>
    <col min="10492" max="10492" width="12.85546875" bestFit="1" customWidth="1"/>
    <col min="10494" max="10494" width="11" bestFit="1" customWidth="1"/>
    <col min="10736" max="10736" width="5.140625" customWidth="1"/>
    <col min="10737" max="10737" width="47.42578125" customWidth="1"/>
    <col min="10738" max="10738" width="20.42578125" bestFit="1" customWidth="1"/>
    <col min="10739" max="10739" width="17" bestFit="1" customWidth="1"/>
    <col min="10740" max="10740" width="15.7109375" customWidth="1"/>
    <col min="10741" max="10741" width="7.140625" customWidth="1"/>
    <col min="10742" max="10742" width="16.5703125" customWidth="1"/>
    <col min="10743" max="10743" width="15.85546875" customWidth="1"/>
    <col min="10744" max="10744" width="13.140625" customWidth="1"/>
    <col min="10745" max="10745" width="7.140625" customWidth="1"/>
    <col min="10746" max="10746" width="11" bestFit="1" customWidth="1"/>
    <col min="10748" max="10748" width="12.85546875" bestFit="1" customWidth="1"/>
    <col min="10750" max="10750" width="11" bestFit="1" customWidth="1"/>
    <col min="10992" max="10992" width="5.140625" customWidth="1"/>
    <col min="10993" max="10993" width="47.42578125" customWidth="1"/>
    <col min="10994" max="10994" width="20.42578125" bestFit="1" customWidth="1"/>
    <col min="10995" max="10995" width="17" bestFit="1" customWidth="1"/>
    <col min="10996" max="10996" width="15.7109375" customWidth="1"/>
    <col min="10997" max="10997" width="7.140625" customWidth="1"/>
    <col min="10998" max="10998" width="16.5703125" customWidth="1"/>
    <col min="10999" max="10999" width="15.85546875" customWidth="1"/>
    <col min="11000" max="11000" width="13.140625" customWidth="1"/>
    <col min="11001" max="11001" width="7.140625" customWidth="1"/>
    <col min="11002" max="11002" width="11" bestFit="1" customWidth="1"/>
    <col min="11004" max="11004" width="12.85546875" bestFit="1" customWidth="1"/>
    <col min="11006" max="11006" width="11" bestFit="1" customWidth="1"/>
    <col min="11248" max="11248" width="5.140625" customWidth="1"/>
    <col min="11249" max="11249" width="47.42578125" customWidth="1"/>
    <col min="11250" max="11250" width="20.42578125" bestFit="1" customWidth="1"/>
    <col min="11251" max="11251" width="17" bestFit="1" customWidth="1"/>
    <col min="11252" max="11252" width="15.7109375" customWidth="1"/>
    <col min="11253" max="11253" width="7.140625" customWidth="1"/>
    <col min="11254" max="11254" width="16.5703125" customWidth="1"/>
    <col min="11255" max="11255" width="15.85546875" customWidth="1"/>
    <col min="11256" max="11256" width="13.140625" customWidth="1"/>
    <col min="11257" max="11257" width="7.140625" customWidth="1"/>
    <col min="11258" max="11258" width="11" bestFit="1" customWidth="1"/>
    <col min="11260" max="11260" width="12.85546875" bestFit="1" customWidth="1"/>
    <col min="11262" max="11262" width="11" bestFit="1" customWidth="1"/>
    <col min="11504" max="11504" width="5.140625" customWidth="1"/>
    <col min="11505" max="11505" width="47.42578125" customWidth="1"/>
    <col min="11506" max="11506" width="20.42578125" bestFit="1" customWidth="1"/>
    <col min="11507" max="11507" width="17" bestFit="1" customWidth="1"/>
    <col min="11508" max="11508" width="15.7109375" customWidth="1"/>
    <col min="11509" max="11509" width="7.140625" customWidth="1"/>
    <col min="11510" max="11510" width="16.5703125" customWidth="1"/>
    <col min="11511" max="11511" width="15.85546875" customWidth="1"/>
    <col min="11512" max="11512" width="13.140625" customWidth="1"/>
    <col min="11513" max="11513" width="7.140625" customWidth="1"/>
    <col min="11514" max="11514" width="11" bestFit="1" customWidth="1"/>
    <col min="11516" max="11516" width="12.85546875" bestFit="1" customWidth="1"/>
    <col min="11518" max="11518" width="11" bestFit="1" customWidth="1"/>
    <col min="11760" max="11760" width="5.140625" customWidth="1"/>
    <col min="11761" max="11761" width="47.42578125" customWidth="1"/>
    <col min="11762" max="11762" width="20.42578125" bestFit="1" customWidth="1"/>
    <col min="11763" max="11763" width="17" bestFit="1" customWidth="1"/>
    <col min="11764" max="11764" width="15.7109375" customWidth="1"/>
    <col min="11765" max="11765" width="7.140625" customWidth="1"/>
    <col min="11766" max="11766" width="16.5703125" customWidth="1"/>
    <col min="11767" max="11767" width="15.85546875" customWidth="1"/>
    <col min="11768" max="11768" width="13.140625" customWidth="1"/>
    <col min="11769" max="11769" width="7.140625" customWidth="1"/>
    <col min="11770" max="11770" width="11" bestFit="1" customWidth="1"/>
    <col min="11772" max="11772" width="12.85546875" bestFit="1" customWidth="1"/>
    <col min="11774" max="11774" width="11" bestFit="1" customWidth="1"/>
    <col min="12016" max="12016" width="5.140625" customWidth="1"/>
    <col min="12017" max="12017" width="47.42578125" customWidth="1"/>
    <col min="12018" max="12018" width="20.42578125" bestFit="1" customWidth="1"/>
    <col min="12019" max="12019" width="17" bestFit="1" customWidth="1"/>
    <col min="12020" max="12020" width="15.7109375" customWidth="1"/>
    <col min="12021" max="12021" width="7.140625" customWidth="1"/>
    <col min="12022" max="12022" width="16.5703125" customWidth="1"/>
    <col min="12023" max="12023" width="15.85546875" customWidth="1"/>
    <col min="12024" max="12024" width="13.140625" customWidth="1"/>
    <col min="12025" max="12025" width="7.140625" customWidth="1"/>
    <col min="12026" max="12026" width="11" bestFit="1" customWidth="1"/>
    <col min="12028" max="12028" width="12.85546875" bestFit="1" customWidth="1"/>
    <col min="12030" max="12030" width="11" bestFit="1" customWidth="1"/>
    <col min="12272" max="12272" width="5.140625" customWidth="1"/>
    <col min="12273" max="12273" width="47.42578125" customWidth="1"/>
    <col min="12274" max="12274" width="20.42578125" bestFit="1" customWidth="1"/>
    <col min="12275" max="12275" width="17" bestFit="1" customWidth="1"/>
    <col min="12276" max="12276" width="15.7109375" customWidth="1"/>
    <col min="12277" max="12277" width="7.140625" customWidth="1"/>
    <col min="12278" max="12278" width="16.5703125" customWidth="1"/>
    <col min="12279" max="12279" width="15.85546875" customWidth="1"/>
    <col min="12280" max="12280" width="13.140625" customWidth="1"/>
    <col min="12281" max="12281" width="7.140625" customWidth="1"/>
    <col min="12282" max="12282" width="11" bestFit="1" customWidth="1"/>
    <col min="12284" max="12284" width="12.85546875" bestFit="1" customWidth="1"/>
    <col min="12286" max="12286" width="11" bestFit="1" customWidth="1"/>
    <col min="12528" max="12528" width="5.140625" customWidth="1"/>
    <col min="12529" max="12529" width="47.42578125" customWidth="1"/>
    <col min="12530" max="12530" width="20.42578125" bestFit="1" customWidth="1"/>
    <col min="12531" max="12531" width="17" bestFit="1" customWidth="1"/>
    <col min="12532" max="12532" width="15.7109375" customWidth="1"/>
    <col min="12533" max="12533" width="7.140625" customWidth="1"/>
    <col min="12534" max="12534" width="16.5703125" customWidth="1"/>
    <col min="12535" max="12535" width="15.85546875" customWidth="1"/>
    <col min="12536" max="12536" width="13.140625" customWidth="1"/>
    <col min="12537" max="12537" width="7.140625" customWidth="1"/>
    <col min="12538" max="12538" width="11" bestFit="1" customWidth="1"/>
    <col min="12540" max="12540" width="12.85546875" bestFit="1" customWidth="1"/>
    <col min="12542" max="12542" width="11" bestFit="1" customWidth="1"/>
    <col min="12784" max="12784" width="5.140625" customWidth="1"/>
    <col min="12785" max="12785" width="47.42578125" customWidth="1"/>
    <col min="12786" max="12786" width="20.42578125" bestFit="1" customWidth="1"/>
    <col min="12787" max="12787" width="17" bestFit="1" customWidth="1"/>
    <col min="12788" max="12788" width="15.7109375" customWidth="1"/>
    <col min="12789" max="12789" width="7.140625" customWidth="1"/>
    <col min="12790" max="12790" width="16.5703125" customWidth="1"/>
    <col min="12791" max="12791" width="15.85546875" customWidth="1"/>
    <col min="12792" max="12792" width="13.140625" customWidth="1"/>
    <col min="12793" max="12793" width="7.140625" customWidth="1"/>
    <col min="12794" max="12794" width="11" bestFit="1" customWidth="1"/>
    <col min="12796" max="12796" width="12.85546875" bestFit="1" customWidth="1"/>
    <col min="12798" max="12798" width="11" bestFit="1" customWidth="1"/>
    <col min="13040" max="13040" width="5.140625" customWidth="1"/>
    <col min="13041" max="13041" width="47.42578125" customWidth="1"/>
    <col min="13042" max="13042" width="20.42578125" bestFit="1" customWidth="1"/>
    <col min="13043" max="13043" width="17" bestFit="1" customWidth="1"/>
    <col min="13044" max="13044" width="15.7109375" customWidth="1"/>
    <col min="13045" max="13045" width="7.140625" customWidth="1"/>
    <col min="13046" max="13046" width="16.5703125" customWidth="1"/>
    <col min="13047" max="13047" width="15.85546875" customWidth="1"/>
    <col min="13048" max="13048" width="13.140625" customWidth="1"/>
    <col min="13049" max="13049" width="7.140625" customWidth="1"/>
    <col min="13050" max="13050" width="11" bestFit="1" customWidth="1"/>
    <col min="13052" max="13052" width="12.85546875" bestFit="1" customWidth="1"/>
    <col min="13054" max="13054" width="11" bestFit="1" customWidth="1"/>
    <col min="13296" max="13296" width="5.140625" customWidth="1"/>
    <col min="13297" max="13297" width="47.42578125" customWidth="1"/>
    <col min="13298" max="13298" width="20.42578125" bestFit="1" customWidth="1"/>
    <col min="13299" max="13299" width="17" bestFit="1" customWidth="1"/>
    <col min="13300" max="13300" width="15.7109375" customWidth="1"/>
    <col min="13301" max="13301" width="7.140625" customWidth="1"/>
    <col min="13302" max="13302" width="16.5703125" customWidth="1"/>
    <col min="13303" max="13303" width="15.85546875" customWidth="1"/>
    <col min="13304" max="13304" width="13.140625" customWidth="1"/>
    <col min="13305" max="13305" width="7.140625" customWidth="1"/>
    <col min="13306" max="13306" width="11" bestFit="1" customWidth="1"/>
    <col min="13308" max="13308" width="12.85546875" bestFit="1" customWidth="1"/>
    <col min="13310" max="13310" width="11" bestFit="1" customWidth="1"/>
    <col min="13552" max="13552" width="5.140625" customWidth="1"/>
    <col min="13553" max="13553" width="47.42578125" customWidth="1"/>
    <col min="13554" max="13554" width="20.42578125" bestFit="1" customWidth="1"/>
    <col min="13555" max="13555" width="17" bestFit="1" customWidth="1"/>
    <col min="13556" max="13556" width="15.7109375" customWidth="1"/>
    <col min="13557" max="13557" width="7.140625" customWidth="1"/>
    <col min="13558" max="13558" width="16.5703125" customWidth="1"/>
    <col min="13559" max="13559" width="15.85546875" customWidth="1"/>
    <col min="13560" max="13560" width="13.140625" customWidth="1"/>
    <col min="13561" max="13561" width="7.140625" customWidth="1"/>
    <col min="13562" max="13562" width="11" bestFit="1" customWidth="1"/>
    <col min="13564" max="13564" width="12.85546875" bestFit="1" customWidth="1"/>
    <col min="13566" max="13566" width="11" bestFit="1" customWidth="1"/>
    <col min="13808" max="13808" width="5.140625" customWidth="1"/>
    <col min="13809" max="13809" width="47.42578125" customWidth="1"/>
    <col min="13810" max="13810" width="20.42578125" bestFit="1" customWidth="1"/>
    <col min="13811" max="13811" width="17" bestFit="1" customWidth="1"/>
    <col min="13812" max="13812" width="15.7109375" customWidth="1"/>
    <col min="13813" max="13813" width="7.140625" customWidth="1"/>
    <col min="13814" max="13814" width="16.5703125" customWidth="1"/>
    <col min="13815" max="13815" width="15.85546875" customWidth="1"/>
    <col min="13816" max="13816" width="13.140625" customWidth="1"/>
    <col min="13817" max="13817" width="7.140625" customWidth="1"/>
    <col min="13818" max="13818" width="11" bestFit="1" customWidth="1"/>
    <col min="13820" max="13820" width="12.85546875" bestFit="1" customWidth="1"/>
    <col min="13822" max="13822" width="11" bestFit="1" customWidth="1"/>
    <col min="14064" max="14064" width="5.140625" customWidth="1"/>
    <col min="14065" max="14065" width="47.42578125" customWidth="1"/>
    <col min="14066" max="14066" width="20.42578125" bestFit="1" customWidth="1"/>
    <col min="14067" max="14067" width="17" bestFit="1" customWidth="1"/>
    <col min="14068" max="14068" width="15.7109375" customWidth="1"/>
    <col min="14069" max="14069" width="7.140625" customWidth="1"/>
    <col min="14070" max="14070" width="16.5703125" customWidth="1"/>
    <col min="14071" max="14071" width="15.85546875" customWidth="1"/>
    <col min="14072" max="14072" width="13.140625" customWidth="1"/>
    <col min="14073" max="14073" width="7.140625" customWidth="1"/>
    <col min="14074" max="14074" width="11" bestFit="1" customWidth="1"/>
    <col min="14076" max="14076" width="12.85546875" bestFit="1" customWidth="1"/>
    <col min="14078" max="14078" width="11" bestFit="1" customWidth="1"/>
    <col min="14320" max="14320" width="5.140625" customWidth="1"/>
    <col min="14321" max="14321" width="47.42578125" customWidth="1"/>
    <col min="14322" max="14322" width="20.42578125" bestFit="1" customWidth="1"/>
    <col min="14323" max="14323" width="17" bestFit="1" customWidth="1"/>
    <col min="14324" max="14324" width="15.7109375" customWidth="1"/>
    <col min="14325" max="14325" width="7.140625" customWidth="1"/>
    <col min="14326" max="14326" width="16.5703125" customWidth="1"/>
    <col min="14327" max="14327" width="15.85546875" customWidth="1"/>
    <col min="14328" max="14328" width="13.140625" customWidth="1"/>
    <col min="14329" max="14329" width="7.140625" customWidth="1"/>
    <col min="14330" max="14330" width="11" bestFit="1" customWidth="1"/>
    <col min="14332" max="14332" width="12.85546875" bestFit="1" customWidth="1"/>
    <col min="14334" max="14334" width="11" bestFit="1" customWidth="1"/>
    <col min="14576" max="14576" width="5.140625" customWidth="1"/>
    <col min="14577" max="14577" width="47.42578125" customWidth="1"/>
    <col min="14578" max="14578" width="20.42578125" bestFit="1" customWidth="1"/>
    <col min="14579" max="14579" width="17" bestFit="1" customWidth="1"/>
    <col min="14580" max="14580" width="15.7109375" customWidth="1"/>
    <col min="14581" max="14581" width="7.140625" customWidth="1"/>
    <col min="14582" max="14582" width="16.5703125" customWidth="1"/>
    <col min="14583" max="14583" width="15.85546875" customWidth="1"/>
    <col min="14584" max="14584" width="13.140625" customWidth="1"/>
    <col min="14585" max="14585" width="7.140625" customWidth="1"/>
    <col min="14586" max="14586" width="11" bestFit="1" customWidth="1"/>
    <col min="14588" max="14588" width="12.85546875" bestFit="1" customWidth="1"/>
    <col min="14590" max="14590" width="11" bestFit="1" customWidth="1"/>
    <col min="14832" max="14832" width="5.140625" customWidth="1"/>
    <col min="14833" max="14833" width="47.42578125" customWidth="1"/>
    <col min="14834" max="14834" width="20.42578125" bestFit="1" customWidth="1"/>
    <col min="14835" max="14835" width="17" bestFit="1" customWidth="1"/>
    <col min="14836" max="14836" width="15.7109375" customWidth="1"/>
    <col min="14837" max="14837" width="7.140625" customWidth="1"/>
    <col min="14838" max="14838" width="16.5703125" customWidth="1"/>
    <col min="14839" max="14839" width="15.85546875" customWidth="1"/>
    <col min="14840" max="14840" width="13.140625" customWidth="1"/>
    <col min="14841" max="14841" width="7.140625" customWidth="1"/>
    <col min="14842" max="14842" width="11" bestFit="1" customWidth="1"/>
    <col min="14844" max="14844" width="12.85546875" bestFit="1" customWidth="1"/>
    <col min="14846" max="14846" width="11" bestFit="1" customWidth="1"/>
    <col min="15088" max="15088" width="5.140625" customWidth="1"/>
    <col min="15089" max="15089" width="47.42578125" customWidth="1"/>
    <col min="15090" max="15090" width="20.42578125" bestFit="1" customWidth="1"/>
    <col min="15091" max="15091" width="17" bestFit="1" customWidth="1"/>
    <col min="15092" max="15092" width="15.7109375" customWidth="1"/>
    <col min="15093" max="15093" width="7.140625" customWidth="1"/>
    <col min="15094" max="15094" width="16.5703125" customWidth="1"/>
    <col min="15095" max="15095" width="15.85546875" customWidth="1"/>
    <col min="15096" max="15096" width="13.140625" customWidth="1"/>
    <col min="15097" max="15097" width="7.140625" customWidth="1"/>
    <col min="15098" max="15098" width="11" bestFit="1" customWidth="1"/>
    <col min="15100" max="15100" width="12.85546875" bestFit="1" customWidth="1"/>
    <col min="15102" max="15102" width="11" bestFit="1" customWidth="1"/>
    <col min="15344" max="15344" width="5.140625" customWidth="1"/>
    <col min="15345" max="15345" width="47.42578125" customWidth="1"/>
    <col min="15346" max="15346" width="20.42578125" bestFit="1" customWidth="1"/>
    <col min="15347" max="15347" width="17" bestFit="1" customWidth="1"/>
    <col min="15348" max="15348" width="15.7109375" customWidth="1"/>
    <col min="15349" max="15349" width="7.140625" customWidth="1"/>
    <col min="15350" max="15350" width="16.5703125" customWidth="1"/>
    <col min="15351" max="15351" width="15.85546875" customWidth="1"/>
    <col min="15352" max="15352" width="13.140625" customWidth="1"/>
    <col min="15353" max="15353" width="7.140625" customWidth="1"/>
    <col min="15354" max="15354" width="11" bestFit="1" customWidth="1"/>
    <col min="15356" max="15356" width="12.85546875" bestFit="1" customWidth="1"/>
    <col min="15358" max="15358" width="11" bestFit="1" customWidth="1"/>
    <col min="15600" max="15600" width="5.140625" customWidth="1"/>
    <col min="15601" max="15601" width="47.42578125" customWidth="1"/>
    <col min="15602" max="15602" width="20.42578125" bestFit="1" customWidth="1"/>
    <col min="15603" max="15603" width="17" bestFit="1" customWidth="1"/>
    <col min="15604" max="15604" width="15.7109375" customWidth="1"/>
    <col min="15605" max="15605" width="7.140625" customWidth="1"/>
    <col min="15606" max="15606" width="16.5703125" customWidth="1"/>
    <col min="15607" max="15607" width="15.85546875" customWidth="1"/>
    <col min="15608" max="15608" width="13.140625" customWidth="1"/>
    <col min="15609" max="15609" width="7.140625" customWidth="1"/>
    <col min="15610" max="15610" width="11" bestFit="1" customWidth="1"/>
    <col min="15612" max="15612" width="12.85546875" bestFit="1" customWidth="1"/>
    <col min="15614" max="15614" width="11" bestFit="1" customWidth="1"/>
    <col min="15856" max="15856" width="5.140625" customWidth="1"/>
    <col min="15857" max="15857" width="47.42578125" customWidth="1"/>
    <col min="15858" max="15858" width="20.42578125" bestFit="1" customWidth="1"/>
    <col min="15859" max="15859" width="17" bestFit="1" customWidth="1"/>
    <col min="15860" max="15860" width="15.7109375" customWidth="1"/>
    <col min="15861" max="15861" width="7.140625" customWidth="1"/>
    <col min="15862" max="15862" width="16.5703125" customWidth="1"/>
    <col min="15863" max="15863" width="15.85546875" customWidth="1"/>
    <col min="15864" max="15864" width="13.140625" customWidth="1"/>
    <col min="15865" max="15865" width="7.140625" customWidth="1"/>
    <col min="15866" max="15866" width="11" bestFit="1" customWidth="1"/>
    <col min="15868" max="15868" width="12.85546875" bestFit="1" customWidth="1"/>
    <col min="15870" max="15870" width="11" bestFit="1" customWidth="1"/>
    <col min="16112" max="16112" width="5.140625" customWidth="1"/>
    <col min="16113" max="16113" width="47.42578125" customWidth="1"/>
    <col min="16114" max="16114" width="20.42578125" bestFit="1" customWidth="1"/>
    <col min="16115" max="16115" width="17" bestFit="1" customWidth="1"/>
    <col min="16116" max="16116" width="15.7109375" customWidth="1"/>
    <col min="16117" max="16117" width="7.140625" customWidth="1"/>
    <col min="16118" max="16118" width="16.5703125" customWidth="1"/>
    <col min="16119" max="16119" width="15.85546875" customWidth="1"/>
    <col min="16120" max="16120" width="13.140625" customWidth="1"/>
    <col min="16121" max="16121" width="7.140625" customWidth="1"/>
    <col min="16122" max="16122" width="11" bestFit="1" customWidth="1"/>
    <col min="16124" max="16124" width="12.85546875" bestFit="1" customWidth="1"/>
    <col min="16126" max="16126" width="11" bestFit="1" customWidth="1"/>
  </cols>
  <sheetData>
    <row r="1" spans="1:12" x14ac:dyDescent="0.25">
      <c r="A1" s="34"/>
      <c r="B1" s="35" t="str">
        <f>Update!$B$6</f>
        <v>Department of Health</v>
      </c>
      <c r="C1" s="35"/>
      <c r="D1" s="35"/>
      <c r="E1" s="35"/>
      <c r="F1" s="35"/>
      <c r="G1" s="35"/>
      <c r="H1" s="35"/>
      <c r="I1" s="34"/>
      <c r="J1" s="34"/>
      <c r="K1" s="34"/>
      <c r="L1" s="34"/>
    </row>
    <row r="2" spans="1:12" x14ac:dyDescent="0.25">
      <c r="A2" s="34"/>
      <c r="B2" s="35" t="str">
        <f>Update!$B$10</f>
        <v>Notes to the financial statements</v>
      </c>
      <c r="C2" s="35"/>
      <c r="D2" s="35"/>
      <c r="E2" s="35"/>
      <c r="F2" s="35"/>
      <c r="G2" s="35"/>
      <c r="H2" s="35"/>
      <c r="I2" s="34"/>
      <c r="J2" s="34"/>
      <c r="K2" s="34"/>
      <c r="L2" s="34"/>
    </row>
    <row r="3" spans="1:12" x14ac:dyDescent="0.25">
      <c r="A3" s="34"/>
      <c r="B3" s="35" t="str">
        <f>Update!$A$3</f>
        <v>2025-26</v>
      </c>
      <c r="C3" s="35"/>
      <c r="D3" s="35"/>
      <c r="E3" s="35"/>
      <c r="F3" s="35"/>
      <c r="G3" s="35"/>
      <c r="H3" s="35"/>
      <c r="I3" s="34"/>
      <c r="J3" s="34"/>
      <c r="K3" s="34"/>
      <c r="L3" s="34"/>
    </row>
    <row r="4" spans="1:12" x14ac:dyDescent="0.25">
      <c r="A4" s="34"/>
      <c r="B4" s="35"/>
      <c r="C4" s="35"/>
      <c r="D4" s="35"/>
      <c r="E4" s="35"/>
      <c r="F4" s="35"/>
      <c r="G4" s="35"/>
      <c r="H4" s="35"/>
      <c r="I4" s="34"/>
      <c r="J4" s="34"/>
      <c r="K4" s="34"/>
      <c r="L4" s="34"/>
    </row>
    <row r="5" spans="1:12" x14ac:dyDescent="0.25">
      <c r="A5" s="229">
        <f>SUMIF(Update!$B$33:$B$106,B5,Update!$A$33:$A$106)</f>
        <v>8</v>
      </c>
      <c r="B5" s="37" t="s">
        <v>365</v>
      </c>
      <c r="C5" s="37"/>
      <c r="D5" s="37"/>
      <c r="E5" s="37"/>
      <c r="F5" s="37"/>
      <c r="G5" s="37"/>
      <c r="H5" s="37"/>
      <c r="I5" s="34"/>
      <c r="J5" s="34"/>
      <c r="K5" s="34"/>
      <c r="L5" s="34"/>
    </row>
    <row r="6" spans="1:12" hidden="1" outlineLevel="1" x14ac:dyDescent="0.25">
      <c r="A6" s="36"/>
      <c r="B6" s="37"/>
      <c r="C6" s="37"/>
      <c r="D6" s="37"/>
      <c r="E6" s="37"/>
      <c r="F6" s="37"/>
      <c r="G6" s="37"/>
      <c r="H6" s="37"/>
      <c r="I6" s="34"/>
      <c r="J6" s="34"/>
      <c r="K6" s="34"/>
      <c r="L6" s="34"/>
    </row>
    <row r="7" spans="1:12" ht="46.5" hidden="1" customHeight="1" outlineLevel="1" x14ac:dyDescent="0.25">
      <c r="A7" s="36"/>
      <c r="B7" s="2102" t="s">
        <v>1344</v>
      </c>
      <c r="C7" s="2102"/>
      <c r="D7" s="2102"/>
      <c r="E7" s="2102"/>
      <c r="F7" s="2102"/>
      <c r="G7" s="2102"/>
      <c r="H7" s="2102"/>
      <c r="I7" s="2102"/>
      <c r="J7" s="2102"/>
      <c r="K7" s="2102"/>
      <c r="L7" s="2102"/>
    </row>
    <row r="8" spans="1:12" collapsed="1" x14ac:dyDescent="0.25">
      <c r="A8" s="36"/>
      <c r="B8" s="34"/>
      <c r="C8" s="34"/>
      <c r="D8" s="34"/>
      <c r="E8" s="34"/>
      <c r="F8" s="34"/>
      <c r="G8" s="34"/>
      <c r="H8" s="34"/>
      <c r="I8" s="34"/>
      <c r="J8" s="34"/>
      <c r="K8" s="34"/>
      <c r="L8" s="34"/>
    </row>
    <row r="9" spans="1:12" ht="15" customHeight="1" x14ac:dyDescent="0.25">
      <c r="A9" s="34"/>
      <c r="B9" s="37"/>
      <c r="C9" s="2115" t="s">
        <v>483</v>
      </c>
      <c r="D9" s="2115"/>
      <c r="E9" s="201"/>
      <c r="G9" s="201"/>
      <c r="H9" s="201"/>
      <c r="I9" s="1178" t="str">
        <f>Update!$B$8</f>
        <v>Departmental Group</v>
      </c>
      <c r="J9" s="201"/>
      <c r="K9" s="169"/>
      <c r="L9" s="34"/>
    </row>
    <row r="10" spans="1:12" s="169" customFormat="1" ht="12.75" x14ac:dyDescent="0.2">
      <c r="A10" s="308"/>
      <c r="B10" s="308"/>
      <c r="C10" s="1163" t="str">
        <f>Update!$B$22</f>
        <v xml:space="preserve"> 31 March 2026</v>
      </c>
      <c r="D10" s="1164" t="str">
        <f>Update!$B$24</f>
        <v xml:space="preserve"> 31 March 2025</v>
      </c>
      <c r="G10" s="57"/>
      <c r="H10" s="57"/>
      <c r="I10" s="1163" t="str">
        <f>Update!$B$22</f>
        <v xml:space="preserve"> 31 March 2026</v>
      </c>
      <c r="J10" s="1164" t="str">
        <f>Update!$B$24</f>
        <v xml:space="preserve"> 31 March 2025</v>
      </c>
      <c r="L10" s="305"/>
    </row>
    <row r="11" spans="1:12" s="170" customFormat="1" ht="12.75" x14ac:dyDescent="0.2">
      <c r="A11" s="309"/>
      <c r="B11" s="309"/>
      <c r="C11" s="468" t="s">
        <v>493</v>
      </c>
      <c r="D11" s="468" t="s">
        <v>493</v>
      </c>
      <c r="G11" s="57"/>
      <c r="H11" s="57"/>
      <c r="I11" s="57" t="s">
        <v>62</v>
      </c>
      <c r="J11" s="57" t="s">
        <v>62</v>
      </c>
      <c r="L11" s="142"/>
    </row>
    <row r="12" spans="1:12" s="170" customFormat="1" ht="12.75" x14ac:dyDescent="0.2">
      <c r="A12" s="309"/>
      <c r="B12" s="309"/>
      <c r="C12" s="468"/>
      <c r="D12" s="468"/>
      <c r="F12" s="170">
        <f>ROUND(SUMIF(MAP!$E$389:$E$406,$B12,MAP!$N$389:$N$406),0)</f>
        <v>0</v>
      </c>
      <c r="G12" s="57"/>
      <c r="H12" s="57"/>
      <c r="I12" s="57"/>
      <c r="J12" s="57"/>
      <c r="L12" s="142"/>
    </row>
    <row r="13" spans="1:12" s="170" customFormat="1" ht="12.75" x14ac:dyDescent="0.2">
      <c r="A13" s="309"/>
      <c r="B13" s="457" t="s">
        <v>1937</v>
      </c>
      <c r="C13" s="761">
        <f>MAP!T1159</f>
        <v>0</v>
      </c>
      <c r="D13" s="513">
        <v>0</v>
      </c>
      <c r="G13" s="57"/>
      <c r="H13" s="57"/>
      <c r="I13" s="761">
        <f>MAP!N1159</f>
        <v>0</v>
      </c>
      <c r="J13" s="513">
        <v>0</v>
      </c>
      <c r="L13" s="186"/>
    </row>
    <row r="14" spans="1:12" s="170" customFormat="1" ht="12.75" x14ac:dyDescent="0.2">
      <c r="A14" s="309"/>
      <c r="B14" s="34"/>
      <c r="C14" s="763"/>
      <c r="D14" s="763"/>
      <c r="E14" s="763"/>
      <c r="F14" s="763"/>
      <c r="G14" s="763"/>
      <c r="H14" s="763"/>
      <c r="I14" s="763"/>
      <c r="J14" s="763"/>
      <c r="K14" s="763"/>
      <c r="L14" s="311"/>
    </row>
    <row r="15" spans="1:12" s="170" customFormat="1" ht="12.75" x14ac:dyDescent="0.2">
      <c r="A15" s="309"/>
      <c r="B15" s="1179" t="s">
        <v>1952</v>
      </c>
      <c r="C15" s="309"/>
      <c r="D15" s="309"/>
      <c r="E15" s="309"/>
      <c r="F15" s="309"/>
      <c r="G15" s="309"/>
      <c r="H15" s="309"/>
      <c r="I15" s="309"/>
      <c r="J15" s="309"/>
      <c r="K15" s="309"/>
      <c r="L15" s="309"/>
    </row>
    <row r="16" spans="1:12" s="170" customFormat="1" ht="12.75" x14ac:dyDescent="0.2">
      <c r="A16" s="309"/>
      <c r="B16" s="309"/>
      <c r="C16" s="309"/>
      <c r="D16" s="309"/>
      <c r="E16" s="309"/>
      <c r="F16" s="309"/>
      <c r="G16" s="309"/>
      <c r="H16" s="309"/>
      <c r="I16" s="309"/>
      <c r="J16" s="309"/>
      <c r="K16" s="309"/>
      <c r="L16" s="309"/>
    </row>
    <row r="17" spans="1:12" s="170" customFormat="1" ht="55.5" hidden="1" customHeight="1" outlineLevel="1" x14ac:dyDescent="0.2">
      <c r="A17" s="309"/>
      <c r="B17" s="2113" t="s">
        <v>1938</v>
      </c>
      <c r="C17" s="2113"/>
      <c r="D17" s="2113"/>
      <c r="E17" s="2113"/>
      <c r="F17" s="2113"/>
      <c r="G17" s="2113"/>
      <c r="H17" s="2113"/>
      <c r="I17" s="2113"/>
      <c r="J17" s="2113"/>
      <c r="K17" s="309"/>
      <c r="L17" s="309"/>
    </row>
    <row r="18" spans="1:12" s="170" customFormat="1" ht="12.75" collapsed="1" x14ac:dyDescent="0.2">
      <c r="A18" s="309"/>
      <c r="B18" s="309"/>
      <c r="C18" s="309"/>
      <c r="D18" s="309"/>
      <c r="E18" s="309"/>
      <c r="F18" s="309"/>
      <c r="G18" s="309"/>
      <c r="H18" s="309"/>
      <c r="I18" s="309"/>
      <c r="J18" s="309"/>
      <c r="K18" s="309"/>
      <c r="L18" s="309"/>
    </row>
    <row r="19" spans="1:12" s="170" customFormat="1" ht="12.75" x14ac:dyDescent="0.2">
      <c r="A19" s="309"/>
      <c r="B19" s="309"/>
      <c r="C19" s="309"/>
      <c r="D19" s="309"/>
      <c r="E19" s="309"/>
      <c r="F19" s="309">
        <f>ROUND(SUMIF(MAP!$E$389:$E$406,$B19,MAP!$N$389:$N$406),0)</f>
        <v>0</v>
      </c>
      <c r="G19" s="309"/>
      <c r="H19" s="309"/>
      <c r="I19" s="309"/>
      <c r="J19" s="309"/>
      <c r="K19" s="309"/>
      <c r="L19" s="309"/>
    </row>
    <row r="20" spans="1:12" s="170" customFormat="1" ht="12.75" x14ac:dyDescent="0.2">
      <c r="A20" s="309"/>
      <c r="B20" s="309"/>
      <c r="C20" s="309"/>
      <c r="D20" s="309"/>
      <c r="E20" s="309"/>
      <c r="F20" s="309"/>
      <c r="G20" s="309"/>
      <c r="H20" s="309"/>
      <c r="I20" s="309"/>
      <c r="J20" s="309"/>
      <c r="K20" s="309"/>
      <c r="L20" s="309"/>
    </row>
    <row r="21" spans="1:12" x14ac:dyDescent="0.25">
      <c r="A21" s="229">
        <f>SUMIF(Update!$B$33:$B$106,B21,Update!$A$33:$A$106)</f>
        <v>9</v>
      </c>
      <c r="B21" s="37" t="s">
        <v>224</v>
      </c>
      <c r="C21" s="34"/>
      <c r="D21" s="34"/>
      <c r="E21" s="34"/>
      <c r="F21" s="34"/>
      <c r="G21" s="34"/>
      <c r="H21" s="34"/>
      <c r="I21" s="34"/>
      <c r="J21" s="34"/>
      <c r="K21" s="34"/>
      <c r="L21" s="34"/>
    </row>
    <row r="22" spans="1:12" x14ac:dyDescent="0.25">
      <c r="A22" s="171"/>
      <c r="B22" s="34"/>
      <c r="C22" s="34"/>
      <c r="D22" s="34" t="s">
        <v>483</v>
      </c>
      <c r="E22" s="34"/>
      <c r="F22" s="34"/>
      <c r="G22" s="34"/>
      <c r="H22" s="34"/>
      <c r="I22" s="34"/>
      <c r="J22" s="34" t="s">
        <v>1029</v>
      </c>
      <c r="K22" s="34"/>
      <c r="L22" s="34"/>
    </row>
    <row r="23" spans="1:12" s="56" customFormat="1" ht="12.75" x14ac:dyDescent="0.2">
      <c r="B23" s="37"/>
      <c r="C23" s="2114" t="str">
        <f>Update!$B$22</f>
        <v xml:space="preserve"> 31 March 2026</v>
      </c>
      <c r="D23" s="2114"/>
      <c r="E23" s="2114"/>
      <c r="F23" s="2114"/>
      <c r="G23" s="761"/>
      <c r="H23" s="761"/>
      <c r="I23" s="2114" t="str">
        <f>C23</f>
        <v xml:space="preserve"> 31 March 2026</v>
      </c>
      <c r="J23" s="2114"/>
      <c r="K23" s="2114"/>
      <c r="L23" s="2114"/>
    </row>
    <row r="24" spans="1:12" ht="38.25" x14ac:dyDescent="0.25">
      <c r="A24" s="34"/>
      <c r="B24" s="59"/>
      <c r="C24" s="203" t="s">
        <v>1939</v>
      </c>
      <c r="D24" s="203" t="s">
        <v>1940</v>
      </c>
      <c r="E24" s="203" t="s">
        <v>1941</v>
      </c>
      <c r="F24" s="113" t="s">
        <v>146</v>
      </c>
      <c r="G24" s="113"/>
      <c r="H24" s="113"/>
      <c r="I24" s="203" t="s">
        <v>1939</v>
      </c>
      <c r="J24" s="203" t="s">
        <v>1940</v>
      </c>
      <c r="K24" s="203" t="s">
        <v>1941</v>
      </c>
      <c r="L24" s="113" t="s">
        <v>146</v>
      </c>
    </row>
    <row r="25" spans="1:12" x14ac:dyDescent="0.25">
      <c r="A25" s="34"/>
      <c r="B25" s="59"/>
      <c r="C25" s="57" t="s">
        <v>62</v>
      </c>
      <c r="D25" s="57" t="s">
        <v>62</v>
      </c>
      <c r="E25" s="57" t="s">
        <v>62</v>
      </c>
      <c r="F25" s="57" t="s">
        <v>62</v>
      </c>
      <c r="G25" s="57"/>
      <c r="H25" s="57"/>
      <c r="I25" s="57" t="s">
        <v>62</v>
      </c>
      <c r="J25" s="57" t="s">
        <v>62</v>
      </c>
      <c r="K25" s="57" t="s">
        <v>62</v>
      </c>
      <c r="L25" s="57" t="s">
        <v>62</v>
      </c>
    </row>
    <row r="26" spans="1:12" x14ac:dyDescent="0.25">
      <c r="A26" s="34"/>
      <c r="B26" s="37" t="s">
        <v>219</v>
      </c>
      <c r="C26" s="761">
        <f>SUMIF(MAP!$E$1162:$E$1169,$B26,MAP!$T$1162:$T$1169)</f>
        <v>0</v>
      </c>
      <c r="D26" s="761">
        <f>SUMIF(MAP!$E$1170:$E$1177,$B26,MAP!$T$1170:$T$1177)</f>
        <v>0</v>
      </c>
      <c r="E26" s="761">
        <f>SUMIF(MAP!$E$1178:$E$1185,$B26,MAP!$T$1178:$T$1185)</f>
        <v>2009000</v>
      </c>
      <c r="F26" s="761">
        <f t="shared" ref="F26:F32" si="0">SUM(C26:E26)</f>
        <v>2009000</v>
      </c>
      <c r="G26" s="761"/>
      <c r="H26" s="761"/>
      <c r="I26" s="761">
        <f>SUMIF(MAP!$E$1162:$E$1169,$B26,MAP!$N$1162:$N$1169)</f>
        <v>0</v>
      </c>
      <c r="J26" s="761">
        <f>SUMIF(MAP!$E$1170:$E$1177,$B26,MAP!$N$1170:$N$1177)</f>
        <v>0</v>
      </c>
      <c r="K26" s="761">
        <f>SUMIF(MAP!$E$1178:$E$1185,$B26,MAP!$N$1178:$N$1185)</f>
        <v>0</v>
      </c>
      <c r="L26" s="761">
        <f t="shared" ref="L26:L32" si="1">SUM(I26:K26)</f>
        <v>0</v>
      </c>
    </row>
    <row r="27" spans="1:12" x14ac:dyDescent="0.25">
      <c r="A27" s="34"/>
      <c r="B27" s="34" t="s">
        <v>185</v>
      </c>
      <c r="C27" s="747">
        <f>SUMIF(MAP!$E$1162:$E$1169,$B27,MAP!$T$1162:$T$1169)</f>
        <v>0</v>
      </c>
      <c r="D27" s="747">
        <f>SUMIF(MAP!$E$1170:$E$1177,$B27,MAP!$T$1170:$T$1177)</f>
        <v>0</v>
      </c>
      <c r="E27" s="747">
        <f>SUMIF(MAP!$E$1178:$E$1185,$B27,MAP!$T$1178:$T$1185)</f>
        <v>0</v>
      </c>
      <c r="F27" s="761">
        <f t="shared" si="0"/>
        <v>0</v>
      </c>
      <c r="G27" s="747"/>
      <c r="H27" s="747"/>
      <c r="I27" s="747">
        <f>SUMIF(MAP!$E$1162:$E$1169,$B27,MAP!$N$1162:$N$1169)</f>
        <v>0</v>
      </c>
      <c r="J27" s="747">
        <f>SUMIF(MAP!$E$1170:$E$1177,$B27,MAP!$N$1170:$N$1177)</f>
        <v>0</v>
      </c>
      <c r="K27" s="747">
        <f>SUMIF(MAP!$E$1178:$E$1185,$B27,MAP!$N$1178:$N$1185)</f>
        <v>0</v>
      </c>
      <c r="L27" s="761">
        <f t="shared" si="1"/>
        <v>0</v>
      </c>
    </row>
    <row r="28" spans="1:12" x14ac:dyDescent="0.25">
      <c r="A28" s="34"/>
      <c r="B28" s="34" t="s">
        <v>191</v>
      </c>
      <c r="C28" s="747">
        <f>SUMIF(MAP!$E$1162:$E$1169,$B28,MAP!$T$1162:$T$1169)</f>
        <v>0</v>
      </c>
      <c r="D28" s="747">
        <f>SUMIF(MAP!$E$1170:$E$1177,$B28,MAP!$T$1170:$T$1177)</f>
        <v>0</v>
      </c>
      <c r="E28" s="747">
        <f>SUMIF(MAP!$E$1178:$E$1185,$B28,MAP!$T$1178:$T$1185)</f>
        <v>0</v>
      </c>
      <c r="F28" s="761">
        <f t="shared" si="0"/>
        <v>0</v>
      </c>
      <c r="G28" s="747"/>
      <c r="H28" s="747"/>
      <c r="I28" s="747">
        <f>SUMIF(MAP!$E$1162:$E$1169,$B28,MAP!$N$1162:$N$1169)</f>
        <v>0</v>
      </c>
      <c r="J28" s="747">
        <f>SUMIF(MAP!$E$1170:$E$1177,$B28,MAP!$N$1170:$N$1177)</f>
        <v>0</v>
      </c>
      <c r="K28" s="747">
        <f>SUMIF(MAP!$E$1178:$E$1185,$B28,MAP!$N$1178:$N$1185)</f>
        <v>0</v>
      </c>
      <c r="L28" s="761">
        <f t="shared" si="1"/>
        <v>0</v>
      </c>
    </row>
    <row r="29" spans="1:12" x14ac:dyDescent="0.25">
      <c r="A29" s="34"/>
      <c r="B29" s="34" t="s">
        <v>222</v>
      </c>
      <c r="C29" s="747">
        <f>SUMIF(MAP!$E$1162:$E$1169,$B29,MAP!$T$1162:$T$1169)</f>
        <v>0</v>
      </c>
      <c r="D29" s="747">
        <f>SUMIF(MAP!$E$1170:$E$1177,$B29,MAP!$T$1170:$T$1177)</f>
        <v>0</v>
      </c>
      <c r="E29" s="747">
        <f>SUMIF(MAP!$E$1178:$E$1185,$B29,MAP!$T$1178:$T$1185)</f>
        <v>0</v>
      </c>
      <c r="F29" s="761">
        <f t="shared" si="0"/>
        <v>0</v>
      </c>
      <c r="G29" s="747"/>
      <c r="H29" s="747"/>
      <c r="I29" s="747">
        <f>SUMIF(MAP!$E$1162:$E$1169,$B29,MAP!$N$1162:$N$1169)</f>
        <v>0</v>
      </c>
      <c r="J29" s="747">
        <f>SUMIF(MAP!$E$1170:$E$1177,$B29,MAP!$N$1170:$N$1177)</f>
        <v>0</v>
      </c>
      <c r="K29" s="747">
        <f>SUMIF(MAP!$E$1178:$E$1185,$B29,MAP!$N$1178:$N$1185)</f>
        <v>0</v>
      </c>
      <c r="L29" s="761">
        <f t="shared" si="1"/>
        <v>0</v>
      </c>
    </row>
    <row r="30" spans="1:12" x14ac:dyDescent="0.25">
      <c r="A30" s="34"/>
      <c r="B30" s="56" t="s">
        <v>223</v>
      </c>
      <c r="C30" s="747">
        <f>SUMIF(MAP!$E$1162:$E$1169,$B30,MAP!$T$1162:$T$1169)</f>
        <v>0</v>
      </c>
      <c r="D30" s="747">
        <f>SUMIF(MAP!$E$1170:$E$1177,$B30,MAP!$T$1170:$T$1177)</f>
        <v>0</v>
      </c>
      <c r="E30" s="747">
        <f>SUMIF(MAP!$E$1178:$E$1185,$B30,MAP!$T$1178:$T$1185)</f>
        <v>0</v>
      </c>
      <c r="F30" s="761">
        <f t="shared" si="0"/>
        <v>0</v>
      </c>
      <c r="G30" s="747"/>
      <c r="H30" s="747"/>
      <c r="I30" s="747">
        <f>SUMIF(MAP!$E$1162:$E$1169,$B30,MAP!$N$1162:$N$1169)</f>
        <v>0</v>
      </c>
      <c r="J30" s="747">
        <f>SUMIF(MAP!$E$1170:$E$1177,$B30,MAP!$N$1170:$N$1177)</f>
        <v>0</v>
      </c>
      <c r="K30" s="747">
        <f>SUMIF(MAP!$E$1178:$E$1185,$B30,MAP!$N$1178:$N$1185)</f>
        <v>0</v>
      </c>
      <c r="L30" s="761">
        <f t="shared" si="1"/>
        <v>0</v>
      </c>
    </row>
    <row r="31" spans="1:12" x14ac:dyDescent="0.25">
      <c r="A31" s="34"/>
      <c r="B31" s="56" t="s">
        <v>189</v>
      </c>
      <c r="C31" s="747">
        <f>SUMIF(MAP!$E$1162:$E$1169,$B31,MAP!$T$1162:$T$1169)</f>
        <v>0</v>
      </c>
      <c r="D31" s="747">
        <f>SUMIF(MAP!$E$1170:$E$1177,$B31,MAP!$T$1170:$T$1177)</f>
        <v>0</v>
      </c>
      <c r="E31" s="747">
        <f>SUMIF(MAP!$E$1178:$E$1185,$B31,MAP!$T$1178:$T$1185)</f>
        <v>0</v>
      </c>
      <c r="F31" s="761">
        <f t="shared" si="0"/>
        <v>0</v>
      </c>
      <c r="G31" s="747"/>
      <c r="H31" s="747"/>
      <c r="I31" s="747">
        <f>SUMIF(MAP!$E$1162:$E$1169,$B31,MAP!$N$1162:$N$1169)</f>
        <v>0</v>
      </c>
      <c r="J31" s="747">
        <f>SUMIF(MAP!$E$1170:$E$1177,$B31,MAP!$N$1170:$N$1177)</f>
        <v>0</v>
      </c>
      <c r="K31" s="747">
        <f>SUMIF(MAP!$E$1178:$E$1185,$B31,MAP!$N$1178:$N$1185)</f>
        <v>0</v>
      </c>
      <c r="L31" s="761">
        <f t="shared" si="1"/>
        <v>0</v>
      </c>
    </row>
    <row r="32" spans="1:12" x14ac:dyDescent="0.25">
      <c r="A32" s="34"/>
      <c r="B32" s="34" t="s">
        <v>208</v>
      </c>
      <c r="C32" s="747">
        <f>SUMIF(MAP!$E$1162:$E$1169,$B32,MAP!$T$1162:$T$1169)</f>
        <v>0</v>
      </c>
      <c r="D32" s="747">
        <f>SUMIF(MAP!$E$1170:$E$1177,$B32,MAP!$T$1170:$T$1177)</f>
        <v>0</v>
      </c>
      <c r="E32" s="747">
        <f>SUMIF(MAP!$E$1178:$E$1185,$B32,MAP!$T$1178:$T$1185)</f>
        <v>0</v>
      </c>
      <c r="F32" s="761">
        <f t="shared" si="0"/>
        <v>0</v>
      </c>
      <c r="G32" s="747"/>
      <c r="H32" s="747"/>
      <c r="I32" s="747">
        <f>SUMIF(MAP!$E$1162:$E$1169,$B32,MAP!$N$1162:$N$1169)</f>
        <v>0</v>
      </c>
      <c r="J32" s="747">
        <f>SUMIF(MAP!$E$1170:$E$1177,$B32,MAP!$N$1170:$N$1177)</f>
        <v>0</v>
      </c>
      <c r="K32" s="747">
        <f>SUMIF(MAP!$E$1178:$E$1185,$B32,MAP!$N$1178:$N$1185)</f>
        <v>0</v>
      </c>
      <c r="L32" s="761">
        <f t="shared" si="1"/>
        <v>0</v>
      </c>
    </row>
    <row r="33" spans="1:13" x14ac:dyDescent="0.25">
      <c r="A33" s="34"/>
      <c r="B33" s="37" t="s">
        <v>608</v>
      </c>
      <c r="C33" s="97">
        <f>SUM(C26:C32)</f>
        <v>0</v>
      </c>
      <c r="D33" s="97">
        <f>SUM(D26:D32)</f>
        <v>0</v>
      </c>
      <c r="E33" s="97">
        <f>SUM(E26:E32)</f>
        <v>2009000</v>
      </c>
      <c r="F33" s="97">
        <f>SUM(F26:F32)</f>
        <v>2009000</v>
      </c>
      <c r="G33" s="59"/>
      <c r="H33" s="37"/>
      <c r="I33" s="97">
        <f>SUM(I26:I32)</f>
        <v>0</v>
      </c>
      <c r="J33" s="97">
        <f>SUM(J26:J32)</f>
        <v>0</v>
      </c>
      <c r="K33" s="97">
        <f>SUM(K26:K32)</f>
        <v>0</v>
      </c>
      <c r="L33" s="97">
        <f>SUM(L26:L32)</f>
        <v>0</v>
      </c>
    </row>
    <row r="34" spans="1:13" x14ac:dyDescent="0.25">
      <c r="A34" s="34"/>
      <c r="B34" s="59"/>
      <c r="C34" s="59"/>
      <c r="D34" s="59"/>
      <c r="E34" s="59"/>
      <c r="F34" s="59"/>
      <c r="G34" s="59"/>
      <c r="H34" s="59"/>
      <c r="I34" s="59"/>
      <c r="J34" s="59"/>
      <c r="K34" s="59"/>
      <c r="L34" s="59"/>
    </row>
    <row r="35" spans="1:13" hidden="1" outlineLevel="1" x14ac:dyDescent="0.25">
      <c r="A35" s="34"/>
      <c r="B35" s="34"/>
      <c r="G35" s="34"/>
      <c r="H35" s="34"/>
      <c r="I35" s="34"/>
      <c r="J35" s="34"/>
      <c r="K35" s="34"/>
      <c r="L35" s="34"/>
    </row>
    <row r="36" spans="1:13" collapsed="1" x14ac:dyDescent="0.25">
      <c r="A36" s="34"/>
      <c r="B36" s="34"/>
      <c r="C36" s="34"/>
      <c r="D36" s="34"/>
      <c r="E36" s="34"/>
      <c r="G36" s="34"/>
      <c r="H36" s="34"/>
      <c r="I36" s="34"/>
      <c r="J36" s="34"/>
      <c r="K36" s="34"/>
      <c r="L36" s="34"/>
    </row>
    <row r="37" spans="1:13" x14ac:dyDescent="0.25">
      <c r="A37" s="34"/>
      <c r="B37" s="34"/>
      <c r="C37" s="34"/>
      <c r="D37" s="34"/>
      <c r="E37" s="34"/>
      <c r="F37" s="34"/>
      <c r="G37" s="34"/>
      <c r="H37" s="34"/>
      <c r="I37" s="34"/>
      <c r="J37" s="34"/>
      <c r="K37" s="34"/>
      <c r="L37" s="34"/>
    </row>
    <row r="38" spans="1:13" x14ac:dyDescent="0.25">
      <c r="A38" s="34"/>
      <c r="B38" s="1078" t="s">
        <v>1942</v>
      </c>
      <c r="C38" s="1079"/>
      <c r="D38" s="1079"/>
      <c r="E38" s="1073"/>
      <c r="F38" s="1073"/>
      <c r="G38" s="747"/>
      <c r="H38" s="747"/>
      <c r="I38" s="1097"/>
      <c r="J38" s="1079"/>
      <c r="K38" s="1079"/>
      <c r="L38" s="1079"/>
    </row>
    <row r="39" spans="1:13" x14ac:dyDescent="0.25">
      <c r="A39" s="760"/>
      <c r="B39" s="1079"/>
      <c r="C39" s="1096" t="s">
        <v>493</v>
      </c>
      <c r="D39" s="1096" t="s">
        <v>493</v>
      </c>
      <c r="E39" s="1096" t="s">
        <v>493</v>
      </c>
      <c r="F39" s="1096" t="s">
        <v>493</v>
      </c>
      <c r="G39" s="747"/>
      <c r="H39" s="747"/>
      <c r="I39" s="1096" t="s">
        <v>493</v>
      </c>
      <c r="J39" s="1096" t="s">
        <v>493</v>
      </c>
      <c r="K39" s="1096" t="s">
        <v>493</v>
      </c>
      <c r="L39" s="1096" t="s">
        <v>493</v>
      </c>
    </row>
    <row r="40" spans="1:13" x14ac:dyDescent="0.25">
      <c r="A40" s="760"/>
      <c r="B40" s="760" t="s">
        <v>1685</v>
      </c>
      <c r="C40" s="747">
        <f>MAP!$T$1186</f>
        <v>0</v>
      </c>
      <c r="D40" s="747">
        <f>MAP!$T$1187</f>
        <v>0</v>
      </c>
      <c r="E40" s="747">
        <f>MAP!$T$1188</f>
        <v>0</v>
      </c>
      <c r="F40" s="747">
        <f>SUM(C40:E40)</f>
        <v>0</v>
      </c>
      <c r="G40" s="246">
        <f>F40-SFP!$E$28</f>
        <v>0</v>
      </c>
      <c r="I40" s="747">
        <f>MAP!$N$1186</f>
        <v>0</v>
      </c>
      <c r="J40" s="747">
        <f>MAP!$N$1187</f>
        <v>0</v>
      </c>
      <c r="K40" s="747">
        <f>MAP!$N$1188</f>
        <v>0</v>
      </c>
      <c r="L40" s="747">
        <f>SUM(I40:K40)</f>
        <v>0</v>
      </c>
      <c r="M40" s="246">
        <f>L40-SFP!G28</f>
        <v>0</v>
      </c>
    </row>
    <row r="41" spans="1:13" x14ac:dyDescent="0.25">
      <c r="A41" s="760"/>
      <c r="B41" s="760" t="s">
        <v>1943</v>
      </c>
      <c r="C41" s="747">
        <f>MAP!$T$1189</f>
        <v>0</v>
      </c>
      <c r="D41" s="747">
        <f>MAP!$T$1190</f>
        <v>0</v>
      </c>
      <c r="E41" s="747">
        <f>MAP!$T$1191</f>
        <v>2009000</v>
      </c>
      <c r="F41" s="747">
        <f>SUM(C41:E41)</f>
        <v>2009000</v>
      </c>
      <c r="G41" s="246">
        <f>F41-SFP!$E$17</f>
        <v>0</v>
      </c>
      <c r="I41" s="747">
        <f>MAP!$N$1189</f>
        <v>0</v>
      </c>
      <c r="J41" s="747">
        <f>MAP!$N$1190</f>
        <v>0</v>
      </c>
      <c r="K41" s="747">
        <f>MAP!$N$1191</f>
        <v>0</v>
      </c>
      <c r="L41" s="747">
        <f>SUM(I41:K41)</f>
        <v>0</v>
      </c>
      <c r="M41" s="246">
        <f>L41-SFP!G17</f>
        <v>0</v>
      </c>
    </row>
    <row r="42" spans="1:13" ht="15.75" thickBot="1" x14ac:dyDescent="0.3">
      <c r="A42" s="760"/>
      <c r="B42" s="1170" t="s">
        <v>146</v>
      </c>
      <c r="C42" s="1171">
        <f>SUM(C40:C41)</f>
        <v>0</v>
      </c>
      <c r="D42" s="1171">
        <f>SUM(D40:D41)</f>
        <v>0</v>
      </c>
      <c r="E42" s="1171">
        <f>SUM(E40:E41)</f>
        <v>2009000</v>
      </c>
      <c r="F42" s="1171">
        <f>SUM(F40:F41)</f>
        <v>2009000</v>
      </c>
      <c r="G42" s="747"/>
      <c r="H42" s="747"/>
      <c r="I42" s="1171">
        <f>SUM(I40:I41)</f>
        <v>0</v>
      </c>
      <c r="J42" s="1171">
        <f>SUM(J40:J41)</f>
        <v>0</v>
      </c>
      <c r="K42" s="1171">
        <f>SUM(K40:K41)</f>
        <v>0</v>
      </c>
      <c r="L42" s="1171">
        <f>SUM(L40:L41)</f>
        <v>0</v>
      </c>
    </row>
    <row r="43" spans="1:13" ht="15.75" thickTop="1" x14ac:dyDescent="0.25">
      <c r="A43" s="760"/>
      <c r="B43" s="760"/>
      <c r="C43" s="760"/>
      <c r="D43" s="760"/>
      <c r="E43" s="760"/>
      <c r="F43" s="760"/>
      <c r="G43" s="747"/>
      <c r="H43" s="747"/>
      <c r="I43" s="760"/>
      <c r="J43" s="760"/>
      <c r="K43" s="760"/>
      <c r="L43" s="760"/>
    </row>
    <row r="44" spans="1:13" x14ac:dyDescent="0.25">
      <c r="A44" s="760"/>
      <c r="B44" s="760"/>
      <c r="C44" s="246">
        <f>C33-C42</f>
        <v>0</v>
      </c>
      <c r="D44" s="246">
        <f>D33-D42</f>
        <v>0</v>
      </c>
      <c r="E44" s="246">
        <f>E33-E42</f>
        <v>0</v>
      </c>
      <c r="F44" s="246">
        <f>F33-F42</f>
        <v>0</v>
      </c>
      <c r="G44" s="760"/>
      <c r="H44" s="760"/>
      <c r="I44" s="246">
        <f>I33-I42</f>
        <v>0</v>
      </c>
      <c r="J44" s="246">
        <f>J33-J42</f>
        <v>0</v>
      </c>
      <c r="K44" s="246">
        <f>K33-K42</f>
        <v>0</v>
      </c>
      <c r="L44" s="246">
        <f>L33-L42</f>
        <v>0</v>
      </c>
    </row>
    <row r="45" spans="1:13" x14ac:dyDescent="0.25">
      <c r="A45" s="760"/>
      <c r="B45" s="760"/>
      <c r="C45" s="760"/>
      <c r="D45" s="760"/>
      <c r="E45" s="760"/>
      <c r="F45" s="760"/>
      <c r="H45" s="760"/>
      <c r="I45" s="760"/>
      <c r="J45" s="760"/>
      <c r="K45" s="760"/>
      <c r="L45" s="760"/>
    </row>
    <row r="46" spans="1:13" x14ac:dyDescent="0.25">
      <c r="A46" s="760"/>
      <c r="B46" s="760"/>
      <c r="C46" s="760"/>
      <c r="D46" s="760"/>
      <c r="E46" s="760"/>
      <c r="F46" s="760"/>
      <c r="H46" s="760"/>
      <c r="I46" s="760"/>
      <c r="J46" s="760"/>
      <c r="K46" s="760"/>
      <c r="L46" s="760"/>
    </row>
    <row r="47" spans="1:13" x14ac:dyDescent="0.25">
      <c r="A47" s="171"/>
      <c r="B47" s="34"/>
      <c r="C47" s="34"/>
      <c r="D47" s="34" t="s">
        <v>483</v>
      </c>
      <c r="E47" s="34"/>
      <c r="F47" s="34"/>
      <c r="G47" s="34"/>
      <c r="H47" s="34"/>
      <c r="I47" s="34"/>
      <c r="J47" s="34" t="s">
        <v>1029</v>
      </c>
      <c r="K47" s="34"/>
      <c r="L47" s="34"/>
    </row>
    <row r="48" spans="1:13" s="56" customFormat="1" ht="12.75" x14ac:dyDescent="0.2">
      <c r="B48" s="37"/>
      <c r="C48" s="2114" t="str">
        <f>Update!$B$24</f>
        <v xml:space="preserve"> 31 March 2025</v>
      </c>
      <c r="D48" s="2114"/>
      <c r="E48" s="2114"/>
      <c r="F48" s="2114"/>
      <c r="G48" s="761"/>
      <c r="H48" s="761"/>
      <c r="I48" s="2114" t="str">
        <f>C48</f>
        <v xml:space="preserve"> 31 March 2025</v>
      </c>
      <c r="J48" s="2114"/>
      <c r="K48" s="2114"/>
      <c r="L48" s="2114"/>
    </row>
    <row r="49" spans="1:12" ht="38.25" x14ac:dyDescent="0.25">
      <c r="A49" s="34"/>
      <c r="B49" s="59"/>
      <c r="C49" s="203" t="s">
        <v>1939</v>
      </c>
      <c r="D49" s="203" t="s">
        <v>1940</v>
      </c>
      <c r="E49" s="203" t="s">
        <v>1941</v>
      </c>
      <c r="F49" s="113" t="s">
        <v>146</v>
      </c>
      <c r="G49" s="113"/>
      <c r="H49" s="113"/>
      <c r="I49" s="203" t="s">
        <v>1939</v>
      </c>
      <c r="J49" s="203" t="s">
        <v>1940</v>
      </c>
      <c r="K49" s="203" t="s">
        <v>1941</v>
      </c>
      <c r="L49" s="113" t="s">
        <v>146</v>
      </c>
    </row>
    <row r="50" spans="1:12" x14ac:dyDescent="0.25">
      <c r="A50" s="34"/>
      <c r="B50" s="59"/>
      <c r="C50" s="57" t="s">
        <v>62</v>
      </c>
      <c r="D50" s="57" t="s">
        <v>62</v>
      </c>
      <c r="E50" s="57" t="s">
        <v>62</v>
      </c>
      <c r="F50" s="57" t="s">
        <v>62</v>
      </c>
      <c r="G50" s="57"/>
      <c r="H50" s="57"/>
      <c r="I50" s="57" t="s">
        <v>62</v>
      </c>
      <c r="J50" s="57" t="s">
        <v>62</v>
      </c>
      <c r="K50" s="57" t="s">
        <v>62</v>
      </c>
      <c r="L50" s="57" t="s">
        <v>62</v>
      </c>
    </row>
    <row r="51" spans="1:12" x14ac:dyDescent="0.25">
      <c r="A51" s="34"/>
      <c r="B51" s="37" t="s">
        <v>219</v>
      </c>
      <c r="C51" s="1195">
        <v>0</v>
      </c>
      <c r="D51" s="1195">
        <v>146</v>
      </c>
      <c r="E51" s="1195">
        <v>2009000</v>
      </c>
      <c r="F51" s="761">
        <f t="shared" ref="F51:F57" si="2">SUM(C51:E51)</f>
        <v>2009146</v>
      </c>
      <c r="G51" s="761"/>
      <c r="H51" s="761"/>
      <c r="I51" s="1195">
        <v>93070</v>
      </c>
      <c r="J51" s="1195">
        <v>146</v>
      </c>
      <c r="K51" s="1195">
        <v>0</v>
      </c>
      <c r="L51" s="761">
        <f t="shared" ref="L51:L57" si="3">SUM(I51:K51)</f>
        <v>93216</v>
      </c>
    </row>
    <row r="52" spans="1:12" x14ac:dyDescent="0.25">
      <c r="A52" s="34"/>
      <c r="B52" s="34" t="s">
        <v>185</v>
      </c>
      <c r="C52" s="1196">
        <v>0</v>
      </c>
      <c r="D52" s="1196">
        <v>0</v>
      </c>
      <c r="E52" s="1196">
        <v>0</v>
      </c>
      <c r="F52" s="761">
        <f t="shared" si="2"/>
        <v>0</v>
      </c>
      <c r="G52" s="747"/>
      <c r="H52" s="747"/>
      <c r="I52" s="1196">
        <v>1194</v>
      </c>
      <c r="J52" s="1196">
        <v>0</v>
      </c>
      <c r="K52" s="1196">
        <v>0</v>
      </c>
      <c r="L52" s="761">
        <f t="shared" si="3"/>
        <v>1194</v>
      </c>
    </row>
    <row r="53" spans="1:12" x14ac:dyDescent="0.25">
      <c r="A53" s="34"/>
      <c r="B53" s="34" t="s">
        <v>191</v>
      </c>
      <c r="C53" s="1196">
        <v>0</v>
      </c>
      <c r="D53" s="1196">
        <v>0</v>
      </c>
      <c r="E53" s="1196">
        <v>0</v>
      </c>
      <c r="F53" s="761">
        <f t="shared" si="2"/>
        <v>0</v>
      </c>
      <c r="G53" s="747"/>
      <c r="H53" s="747"/>
      <c r="I53" s="1196">
        <v>-5120</v>
      </c>
      <c r="J53" s="1196">
        <v>0</v>
      </c>
      <c r="K53" s="1196">
        <v>0</v>
      </c>
      <c r="L53" s="761">
        <f t="shared" si="3"/>
        <v>-5120</v>
      </c>
    </row>
    <row r="54" spans="1:12" x14ac:dyDescent="0.25">
      <c r="A54" s="34"/>
      <c r="B54" s="34" t="s">
        <v>222</v>
      </c>
      <c r="C54" s="1196">
        <v>0</v>
      </c>
      <c r="D54" s="1196">
        <v>-51</v>
      </c>
      <c r="E54" s="1196">
        <v>0</v>
      </c>
      <c r="F54" s="761">
        <f t="shared" si="2"/>
        <v>-51</v>
      </c>
      <c r="G54" s="747"/>
      <c r="H54" s="747"/>
      <c r="I54" s="1196">
        <v>0</v>
      </c>
      <c r="J54" s="1196">
        <v>-51</v>
      </c>
      <c r="K54" s="1196">
        <v>0</v>
      </c>
      <c r="L54" s="761">
        <f t="shared" si="3"/>
        <v>-51</v>
      </c>
    </row>
    <row r="55" spans="1:12" x14ac:dyDescent="0.25">
      <c r="A55" s="34"/>
      <c r="B55" s="56" t="s">
        <v>223</v>
      </c>
      <c r="C55" s="1196">
        <v>0</v>
      </c>
      <c r="D55" s="1196">
        <v>0</v>
      </c>
      <c r="E55" s="1196">
        <v>0</v>
      </c>
      <c r="F55" s="761">
        <f t="shared" si="2"/>
        <v>0</v>
      </c>
      <c r="G55" s="747"/>
      <c r="H55" s="747"/>
      <c r="I55" s="1196">
        <v>144</v>
      </c>
      <c r="J55" s="1196">
        <v>0</v>
      </c>
      <c r="K55" s="1196">
        <v>0</v>
      </c>
      <c r="L55" s="761">
        <f t="shared" si="3"/>
        <v>144</v>
      </c>
    </row>
    <row r="56" spans="1:12" x14ac:dyDescent="0.25">
      <c r="A56" s="34"/>
      <c r="B56" s="56" t="s">
        <v>189</v>
      </c>
      <c r="C56" s="1196">
        <v>0</v>
      </c>
      <c r="D56" s="1196">
        <v>2</v>
      </c>
      <c r="E56" s="1196">
        <v>0</v>
      </c>
      <c r="F56" s="761">
        <f t="shared" si="2"/>
        <v>2</v>
      </c>
      <c r="G56" s="747"/>
      <c r="H56" s="747"/>
      <c r="I56" s="1196">
        <v>296</v>
      </c>
      <c r="J56" s="1196">
        <v>2</v>
      </c>
      <c r="K56" s="1196">
        <v>0</v>
      </c>
      <c r="L56" s="761">
        <f t="shared" si="3"/>
        <v>298</v>
      </c>
    </row>
    <row r="57" spans="1:12" x14ac:dyDescent="0.25">
      <c r="A57" s="34"/>
      <c r="B57" s="34" t="s">
        <v>208</v>
      </c>
      <c r="C57" s="1196">
        <v>0</v>
      </c>
      <c r="D57" s="1196">
        <v>0</v>
      </c>
      <c r="E57" s="1196">
        <v>0</v>
      </c>
      <c r="F57" s="761">
        <f t="shared" si="2"/>
        <v>0</v>
      </c>
      <c r="G57" s="747"/>
      <c r="H57" s="747"/>
      <c r="I57" s="1196">
        <v>0</v>
      </c>
      <c r="J57" s="1196">
        <v>0</v>
      </c>
      <c r="K57" s="1196">
        <v>0</v>
      </c>
      <c r="L57" s="761">
        <f t="shared" si="3"/>
        <v>0</v>
      </c>
    </row>
    <row r="58" spans="1:12" x14ac:dyDescent="0.25">
      <c r="A58" s="34"/>
      <c r="B58" s="37" t="s">
        <v>608</v>
      </c>
      <c r="C58" s="97">
        <f>SUM(C51:C57)</f>
        <v>0</v>
      </c>
      <c r="D58" s="97">
        <f>SUM(D51:D57)</f>
        <v>97</v>
      </c>
      <c r="E58" s="97">
        <f>SUM(E51:E57)</f>
        <v>2009000</v>
      </c>
      <c r="F58" s="97">
        <f>SUM(F51:F57)</f>
        <v>2009097</v>
      </c>
      <c r="G58" s="59"/>
      <c r="H58" s="37"/>
      <c r="I58" s="97">
        <f>SUM(I51:I57)</f>
        <v>89584</v>
      </c>
      <c r="J58" s="97">
        <f>SUM(J51:J57)</f>
        <v>97</v>
      </c>
      <c r="K58" s="97">
        <f>SUM(K51:K57)</f>
        <v>0</v>
      </c>
      <c r="L58" s="97">
        <f>SUM(L51:L57)</f>
        <v>89681</v>
      </c>
    </row>
    <row r="59" spans="1:12" x14ac:dyDescent="0.25">
      <c r="A59" s="34"/>
      <c r="B59" s="59"/>
      <c r="C59" s="59"/>
      <c r="D59" s="59"/>
      <c r="E59" s="59"/>
      <c r="F59" s="59"/>
      <c r="G59" s="59"/>
      <c r="H59" s="59"/>
      <c r="I59" s="59"/>
      <c r="J59" s="59"/>
      <c r="K59" s="59"/>
      <c r="L59" s="59"/>
    </row>
    <row r="60" spans="1:12" hidden="1" outlineLevel="1" x14ac:dyDescent="0.25">
      <c r="A60" s="34"/>
      <c r="B60" s="34"/>
      <c r="G60" s="34"/>
      <c r="H60" s="34"/>
      <c r="I60" s="34"/>
      <c r="J60" s="34"/>
      <c r="K60" s="34"/>
      <c r="L60" s="34"/>
    </row>
    <row r="61" spans="1:12" collapsed="1" x14ac:dyDescent="0.25">
      <c r="A61" s="34"/>
      <c r="B61" s="34"/>
      <c r="C61" s="34"/>
      <c r="D61" s="34"/>
      <c r="E61" s="34"/>
      <c r="G61" s="34"/>
      <c r="H61" s="34"/>
      <c r="I61" s="34"/>
      <c r="J61" s="34"/>
      <c r="K61" s="34"/>
      <c r="L61" s="34"/>
    </row>
    <row r="62" spans="1:12" x14ac:dyDescent="0.25">
      <c r="A62" s="34"/>
      <c r="B62" s="34"/>
      <c r="C62" s="34"/>
      <c r="D62" s="34"/>
      <c r="E62" s="34"/>
      <c r="F62" s="34"/>
      <c r="G62" s="34"/>
      <c r="H62" s="34"/>
      <c r="I62" s="34"/>
      <c r="J62" s="34"/>
      <c r="K62" s="34"/>
      <c r="L62" s="34"/>
    </row>
    <row r="63" spans="1:12" x14ac:dyDescent="0.25">
      <c r="A63" s="34"/>
      <c r="B63" s="1078" t="s">
        <v>1942</v>
      </c>
      <c r="C63" s="1079"/>
      <c r="D63" s="1079"/>
      <c r="E63" s="1073"/>
      <c r="F63" s="1073"/>
      <c r="G63" s="747"/>
      <c r="H63" s="747"/>
      <c r="I63" s="1097"/>
      <c r="J63" s="1079"/>
      <c r="K63" s="1079"/>
      <c r="L63" s="1079"/>
    </row>
    <row r="64" spans="1:12" x14ac:dyDescent="0.25">
      <c r="A64" s="760"/>
      <c r="B64" s="1079"/>
      <c r="C64" s="1096" t="s">
        <v>493</v>
      </c>
      <c r="D64" s="1096" t="s">
        <v>493</v>
      </c>
      <c r="E64" s="1096" t="s">
        <v>493</v>
      </c>
      <c r="F64" s="1096" t="s">
        <v>493</v>
      </c>
      <c r="G64" s="747"/>
      <c r="H64" s="747"/>
      <c r="I64" s="1096" t="s">
        <v>493</v>
      </c>
      <c r="J64" s="1096" t="s">
        <v>493</v>
      </c>
      <c r="K64" s="1096" t="s">
        <v>493</v>
      </c>
      <c r="L64" s="1096" t="s">
        <v>493</v>
      </c>
    </row>
    <row r="65" spans="1:13" x14ac:dyDescent="0.25">
      <c r="A65" s="760"/>
      <c r="B65" s="760" t="s">
        <v>1685</v>
      </c>
      <c r="C65" s="1196">
        <v>0</v>
      </c>
      <c r="D65" s="1196">
        <v>36</v>
      </c>
      <c r="E65" s="1196">
        <v>0</v>
      </c>
      <c r="F65" s="747">
        <f>SUM(C65:E65)</f>
        <v>36</v>
      </c>
      <c r="G65" s="246"/>
      <c r="I65" s="1196">
        <v>1500</v>
      </c>
      <c r="J65" s="1196">
        <v>36</v>
      </c>
      <c r="K65" s="1196">
        <v>0</v>
      </c>
      <c r="L65" s="747">
        <f>SUM(I65:K65)</f>
        <v>1536</v>
      </c>
      <c r="M65" s="246"/>
    </row>
    <row r="66" spans="1:13" x14ac:dyDescent="0.25">
      <c r="A66" s="760"/>
      <c r="B66" s="760" t="s">
        <v>1943</v>
      </c>
      <c r="C66" s="1196">
        <v>0</v>
      </c>
      <c r="D66" s="1196">
        <v>61</v>
      </c>
      <c r="E66" s="1196">
        <v>2009000</v>
      </c>
      <c r="F66" s="747">
        <f>SUM(C66:E66)</f>
        <v>2009061</v>
      </c>
      <c r="G66" s="246"/>
      <c r="I66" s="1196">
        <v>88084</v>
      </c>
      <c r="J66" s="1196">
        <v>61</v>
      </c>
      <c r="K66" s="1196">
        <v>0</v>
      </c>
      <c r="L66" s="747">
        <f>SUM(I66:K66)</f>
        <v>88145</v>
      </c>
      <c r="M66" s="246"/>
    </row>
    <row r="67" spans="1:13" ht="15.75" thickBot="1" x14ac:dyDescent="0.3">
      <c r="A67" s="760"/>
      <c r="B67" s="1170" t="s">
        <v>146</v>
      </c>
      <c r="C67" s="1171">
        <f>SUM(C65:C66)</f>
        <v>0</v>
      </c>
      <c r="D67" s="1171">
        <f>SUM(D65:D66)</f>
        <v>97</v>
      </c>
      <c r="E67" s="1171">
        <f>SUM(E65:E66)</f>
        <v>2009000</v>
      </c>
      <c r="F67" s="1171">
        <f>SUM(F65:F66)</f>
        <v>2009097</v>
      </c>
      <c r="G67" s="747"/>
      <c r="H67" s="747"/>
      <c r="I67" s="1171">
        <f>SUM(I65:I66)</f>
        <v>89584</v>
      </c>
      <c r="J67" s="1171">
        <f>SUM(J65:J66)</f>
        <v>97</v>
      </c>
      <c r="K67" s="1171">
        <f>SUM(K65:K66)</f>
        <v>0</v>
      </c>
      <c r="L67" s="1171">
        <f>SUM(L65:L66)</f>
        <v>89681</v>
      </c>
    </row>
    <row r="68" spans="1:13" ht="15.75" thickTop="1" x14ac:dyDescent="0.25">
      <c r="A68" s="760"/>
      <c r="B68" s="760"/>
      <c r="C68" s="760"/>
      <c r="D68" s="760"/>
      <c r="E68" s="760"/>
      <c r="F68" s="760"/>
      <c r="G68" s="747"/>
      <c r="H68" s="747"/>
      <c r="I68" s="760"/>
      <c r="J68" s="760"/>
      <c r="K68" s="760"/>
      <c r="L68" s="760"/>
    </row>
    <row r="69" spans="1:13" x14ac:dyDescent="0.25">
      <c r="A69" s="760"/>
      <c r="B69" s="760"/>
      <c r="C69" s="246">
        <f>C58-C67</f>
        <v>0</v>
      </c>
      <c r="D69" s="246">
        <f>D58-D67</f>
        <v>0</v>
      </c>
      <c r="E69" s="246">
        <f>E58-E67</f>
        <v>0</v>
      </c>
      <c r="F69" s="246">
        <f>F58-F67</f>
        <v>0</v>
      </c>
      <c r="G69" s="760"/>
      <c r="H69" s="760"/>
      <c r="I69" s="246">
        <f>I58-I67</f>
        <v>0</v>
      </c>
      <c r="J69" s="246">
        <f>J58-J67</f>
        <v>0</v>
      </c>
      <c r="K69" s="246">
        <f>K58-K67</f>
        <v>0</v>
      </c>
      <c r="L69" s="246">
        <f>L58-L67</f>
        <v>0</v>
      </c>
    </row>
    <row r="70" spans="1:13" x14ac:dyDescent="0.25">
      <c r="A70" s="760"/>
      <c r="B70" s="760"/>
      <c r="C70" s="760"/>
      <c r="D70" s="760"/>
      <c r="E70" s="760"/>
      <c r="F70" s="760"/>
      <c r="H70" s="760"/>
      <c r="I70" s="760"/>
      <c r="J70" s="760"/>
      <c r="K70" s="760"/>
      <c r="L70" s="760"/>
    </row>
  </sheetData>
  <mergeCells count="7">
    <mergeCell ref="B17:J17"/>
    <mergeCell ref="I23:L23"/>
    <mergeCell ref="B7:L7"/>
    <mergeCell ref="C23:F23"/>
    <mergeCell ref="C48:F48"/>
    <mergeCell ref="I48:L48"/>
    <mergeCell ref="C9:D9"/>
  </mergeCells>
  <conditionalFormatting sqref="D13">
    <cfRule type="expression" dxfId="342" priority="9">
      <formula>CELL("Protect",D13)=0</formula>
    </cfRule>
  </conditionalFormatting>
  <conditionalFormatting sqref="J13">
    <cfRule type="expression" dxfId="341" priority="8">
      <formula>CELL("Protect",J13)=0</formula>
    </cfRule>
  </conditionalFormatting>
  <pageMargins left="0.35433070866141736" right="0.47244094488188981" top="0.19685039370078741" bottom="0.19685039370078741" header="0.31496062992125984" footer="0.31496062992125984"/>
  <pageSetup paperSize="9" scale="50"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00B0F0"/>
    <pageSetUpPr fitToPage="1"/>
  </sheetPr>
  <dimension ref="A1:N62"/>
  <sheetViews>
    <sheetView zoomScale="90" zoomScaleNormal="90" workbookViewId="0">
      <pane xSplit="5" ySplit="4" topLeftCell="F5"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5.28515625" style="34" customWidth="1"/>
    <col min="2" max="2" width="44.140625" style="34" bestFit="1" customWidth="1"/>
    <col min="3" max="3" width="16.28515625" style="34" customWidth="1"/>
    <col min="4" max="4" width="11" style="34" bestFit="1" customWidth="1"/>
    <col min="5" max="5" width="15.5703125" style="34" bestFit="1" customWidth="1"/>
    <col min="6" max="6" width="10.85546875" style="34" bestFit="1" customWidth="1" outlineLevel="1"/>
    <col min="7" max="7" width="12" style="34" customWidth="1" outlineLevel="1"/>
    <col min="8" max="8" width="13.7109375" style="34" bestFit="1" customWidth="1" outlineLevel="1"/>
    <col min="9" max="9" width="16.140625" style="34" customWidth="1" outlineLevel="1"/>
    <col min="10" max="10" width="6.140625" style="34" customWidth="1" outlineLevel="1"/>
    <col min="11" max="11" width="7.140625" style="34" customWidth="1" outlineLevel="1"/>
    <col min="12" max="12" width="9.140625" style="34"/>
    <col min="13" max="13" width="10.140625" style="34" bestFit="1" customWidth="1"/>
    <col min="14" max="14" width="11.42578125" style="34" bestFit="1" customWidth="1"/>
    <col min="15" max="260" width="9.140625" style="34"/>
    <col min="261" max="261" width="5.28515625" style="34" customWidth="1"/>
    <col min="262" max="262" width="51.140625" style="34" customWidth="1"/>
    <col min="263" max="263" width="15.7109375" style="34" customWidth="1"/>
    <col min="264" max="264" width="7" style="34" customWidth="1"/>
    <col min="265" max="265" width="16.140625" style="34" customWidth="1"/>
    <col min="266" max="266" width="7.85546875" style="34" customWidth="1"/>
    <col min="267" max="269" width="9.140625" style="34"/>
    <col min="270" max="270" width="11.42578125" style="34" bestFit="1" customWidth="1"/>
    <col min="271" max="516" width="9.140625" style="34"/>
    <col min="517" max="517" width="5.28515625" style="34" customWidth="1"/>
    <col min="518" max="518" width="51.140625" style="34" customWidth="1"/>
    <col min="519" max="519" width="15.7109375" style="34" customWidth="1"/>
    <col min="520" max="520" width="7" style="34" customWidth="1"/>
    <col min="521" max="521" width="16.140625" style="34" customWidth="1"/>
    <col min="522" max="522" width="7.85546875" style="34" customWidth="1"/>
    <col min="523" max="525" width="9.140625" style="34"/>
    <col min="526" max="526" width="11.42578125" style="34" bestFit="1" customWidth="1"/>
    <col min="527" max="772" width="9.140625" style="34"/>
    <col min="773" max="773" width="5.28515625" style="34" customWidth="1"/>
    <col min="774" max="774" width="51.140625" style="34" customWidth="1"/>
    <col min="775" max="775" width="15.7109375" style="34" customWidth="1"/>
    <col min="776" max="776" width="7" style="34" customWidth="1"/>
    <col min="777" max="777" width="16.140625" style="34" customWidth="1"/>
    <col min="778" max="778" width="7.85546875" style="34" customWidth="1"/>
    <col min="779" max="781" width="9.140625" style="34"/>
    <col min="782" max="782" width="11.42578125" style="34" bestFit="1" customWidth="1"/>
    <col min="783" max="1028" width="9.140625" style="34"/>
    <col min="1029" max="1029" width="5.28515625" style="34" customWidth="1"/>
    <col min="1030" max="1030" width="51.140625" style="34" customWidth="1"/>
    <col min="1031" max="1031" width="15.7109375" style="34" customWidth="1"/>
    <col min="1032" max="1032" width="7" style="34" customWidth="1"/>
    <col min="1033" max="1033" width="16.140625" style="34" customWidth="1"/>
    <col min="1034" max="1034" width="7.85546875" style="34" customWidth="1"/>
    <col min="1035" max="1037" width="9.140625" style="34"/>
    <col min="1038" max="1038" width="11.42578125" style="34" bestFit="1" customWidth="1"/>
    <col min="1039" max="1284" width="9.140625" style="34"/>
    <col min="1285" max="1285" width="5.28515625" style="34" customWidth="1"/>
    <col min="1286" max="1286" width="51.140625" style="34" customWidth="1"/>
    <col min="1287" max="1287" width="15.7109375" style="34" customWidth="1"/>
    <col min="1288" max="1288" width="7" style="34" customWidth="1"/>
    <col min="1289" max="1289" width="16.140625" style="34" customWidth="1"/>
    <col min="1290" max="1290" width="7.85546875" style="34" customWidth="1"/>
    <col min="1291" max="1293" width="9.140625" style="34"/>
    <col min="1294" max="1294" width="11.42578125" style="34" bestFit="1" customWidth="1"/>
    <col min="1295" max="1540" width="9.140625" style="34"/>
    <col min="1541" max="1541" width="5.28515625" style="34" customWidth="1"/>
    <col min="1542" max="1542" width="51.140625" style="34" customWidth="1"/>
    <col min="1543" max="1543" width="15.7109375" style="34" customWidth="1"/>
    <col min="1544" max="1544" width="7" style="34" customWidth="1"/>
    <col min="1545" max="1545" width="16.140625" style="34" customWidth="1"/>
    <col min="1546" max="1546" width="7.85546875" style="34" customWidth="1"/>
    <col min="1547" max="1549" width="9.140625" style="34"/>
    <col min="1550" max="1550" width="11.42578125" style="34" bestFit="1" customWidth="1"/>
    <col min="1551" max="1796" width="9.140625" style="34"/>
    <col min="1797" max="1797" width="5.28515625" style="34" customWidth="1"/>
    <col min="1798" max="1798" width="51.140625" style="34" customWidth="1"/>
    <col min="1799" max="1799" width="15.7109375" style="34" customWidth="1"/>
    <col min="1800" max="1800" width="7" style="34" customWidth="1"/>
    <col min="1801" max="1801" width="16.140625" style="34" customWidth="1"/>
    <col min="1802" max="1802" width="7.85546875" style="34" customWidth="1"/>
    <col min="1803" max="1805" width="9.140625" style="34"/>
    <col min="1806" max="1806" width="11.42578125" style="34" bestFit="1" customWidth="1"/>
    <col min="1807" max="2052" width="9.140625" style="34"/>
    <col min="2053" max="2053" width="5.28515625" style="34" customWidth="1"/>
    <col min="2054" max="2054" width="51.140625" style="34" customWidth="1"/>
    <col min="2055" max="2055" width="15.7109375" style="34" customWidth="1"/>
    <col min="2056" max="2056" width="7" style="34" customWidth="1"/>
    <col min="2057" max="2057" width="16.140625" style="34" customWidth="1"/>
    <col min="2058" max="2058" width="7.85546875" style="34" customWidth="1"/>
    <col min="2059" max="2061" width="9.140625" style="34"/>
    <col min="2062" max="2062" width="11.42578125" style="34" bestFit="1" customWidth="1"/>
    <col min="2063" max="2308" width="9.140625" style="34"/>
    <col min="2309" max="2309" width="5.28515625" style="34" customWidth="1"/>
    <col min="2310" max="2310" width="51.140625" style="34" customWidth="1"/>
    <col min="2311" max="2311" width="15.7109375" style="34" customWidth="1"/>
    <col min="2312" max="2312" width="7" style="34" customWidth="1"/>
    <col min="2313" max="2313" width="16.140625" style="34" customWidth="1"/>
    <col min="2314" max="2314" width="7.85546875" style="34" customWidth="1"/>
    <col min="2315" max="2317" width="9.140625" style="34"/>
    <col min="2318" max="2318" width="11.42578125" style="34" bestFit="1" customWidth="1"/>
    <col min="2319" max="2564" width="9.140625" style="34"/>
    <col min="2565" max="2565" width="5.28515625" style="34" customWidth="1"/>
    <col min="2566" max="2566" width="51.140625" style="34" customWidth="1"/>
    <col min="2567" max="2567" width="15.7109375" style="34" customWidth="1"/>
    <col min="2568" max="2568" width="7" style="34" customWidth="1"/>
    <col min="2569" max="2569" width="16.140625" style="34" customWidth="1"/>
    <col min="2570" max="2570" width="7.85546875" style="34" customWidth="1"/>
    <col min="2571" max="2573" width="9.140625" style="34"/>
    <col min="2574" max="2574" width="11.42578125" style="34" bestFit="1" customWidth="1"/>
    <col min="2575" max="2820" width="9.140625" style="34"/>
    <col min="2821" max="2821" width="5.28515625" style="34" customWidth="1"/>
    <col min="2822" max="2822" width="51.140625" style="34" customWidth="1"/>
    <col min="2823" max="2823" width="15.7109375" style="34" customWidth="1"/>
    <col min="2824" max="2824" width="7" style="34" customWidth="1"/>
    <col min="2825" max="2825" width="16.140625" style="34" customWidth="1"/>
    <col min="2826" max="2826" width="7.85546875" style="34" customWidth="1"/>
    <col min="2827" max="2829" width="9.140625" style="34"/>
    <col min="2830" max="2830" width="11.42578125" style="34" bestFit="1" customWidth="1"/>
    <col min="2831" max="3076" width="9.140625" style="34"/>
    <col min="3077" max="3077" width="5.28515625" style="34" customWidth="1"/>
    <col min="3078" max="3078" width="51.140625" style="34" customWidth="1"/>
    <col min="3079" max="3079" width="15.7109375" style="34" customWidth="1"/>
    <col min="3080" max="3080" width="7" style="34" customWidth="1"/>
    <col min="3081" max="3081" width="16.140625" style="34" customWidth="1"/>
    <col min="3082" max="3082" width="7.85546875" style="34" customWidth="1"/>
    <col min="3083" max="3085" width="9.140625" style="34"/>
    <col min="3086" max="3086" width="11.42578125" style="34" bestFit="1" customWidth="1"/>
    <col min="3087" max="3332" width="9.140625" style="34"/>
    <col min="3333" max="3333" width="5.28515625" style="34" customWidth="1"/>
    <col min="3334" max="3334" width="51.140625" style="34" customWidth="1"/>
    <col min="3335" max="3335" width="15.7109375" style="34" customWidth="1"/>
    <col min="3336" max="3336" width="7" style="34" customWidth="1"/>
    <col min="3337" max="3337" width="16.140625" style="34" customWidth="1"/>
    <col min="3338" max="3338" width="7.85546875" style="34" customWidth="1"/>
    <col min="3339" max="3341" width="9.140625" style="34"/>
    <col min="3342" max="3342" width="11.42578125" style="34" bestFit="1" customWidth="1"/>
    <col min="3343" max="3588" width="9.140625" style="34"/>
    <col min="3589" max="3589" width="5.28515625" style="34" customWidth="1"/>
    <col min="3590" max="3590" width="51.140625" style="34" customWidth="1"/>
    <col min="3591" max="3591" width="15.7109375" style="34" customWidth="1"/>
    <col min="3592" max="3592" width="7" style="34" customWidth="1"/>
    <col min="3593" max="3593" width="16.140625" style="34" customWidth="1"/>
    <col min="3594" max="3594" width="7.85546875" style="34" customWidth="1"/>
    <col min="3595" max="3597" width="9.140625" style="34"/>
    <col min="3598" max="3598" width="11.42578125" style="34" bestFit="1" customWidth="1"/>
    <col min="3599" max="3844" width="9.140625" style="34"/>
    <col min="3845" max="3845" width="5.28515625" style="34" customWidth="1"/>
    <col min="3846" max="3846" width="51.140625" style="34" customWidth="1"/>
    <col min="3847" max="3847" width="15.7109375" style="34" customWidth="1"/>
    <col min="3848" max="3848" width="7" style="34" customWidth="1"/>
    <col min="3849" max="3849" width="16.140625" style="34" customWidth="1"/>
    <col min="3850" max="3850" width="7.85546875" style="34" customWidth="1"/>
    <col min="3851" max="3853" width="9.140625" style="34"/>
    <col min="3854" max="3854" width="11.42578125" style="34" bestFit="1" customWidth="1"/>
    <col min="3855" max="4100" width="9.140625" style="34"/>
    <col min="4101" max="4101" width="5.28515625" style="34" customWidth="1"/>
    <col min="4102" max="4102" width="51.140625" style="34" customWidth="1"/>
    <col min="4103" max="4103" width="15.7109375" style="34" customWidth="1"/>
    <col min="4104" max="4104" width="7" style="34" customWidth="1"/>
    <col min="4105" max="4105" width="16.140625" style="34" customWidth="1"/>
    <col min="4106" max="4106" width="7.85546875" style="34" customWidth="1"/>
    <col min="4107" max="4109" width="9.140625" style="34"/>
    <col min="4110" max="4110" width="11.42578125" style="34" bestFit="1" customWidth="1"/>
    <col min="4111" max="4356" width="9.140625" style="34"/>
    <col min="4357" max="4357" width="5.28515625" style="34" customWidth="1"/>
    <col min="4358" max="4358" width="51.140625" style="34" customWidth="1"/>
    <col min="4359" max="4359" width="15.7109375" style="34" customWidth="1"/>
    <col min="4360" max="4360" width="7" style="34" customWidth="1"/>
    <col min="4361" max="4361" width="16.140625" style="34" customWidth="1"/>
    <col min="4362" max="4362" width="7.85546875" style="34" customWidth="1"/>
    <col min="4363" max="4365" width="9.140625" style="34"/>
    <col min="4366" max="4366" width="11.42578125" style="34" bestFit="1" customWidth="1"/>
    <col min="4367" max="4612" width="9.140625" style="34"/>
    <col min="4613" max="4613" width="5.28515625" style="34" customWidth="1"/>
    <col min="4614" max="4614" width="51.140625" style="34" customWidth="1"/>
    <col min="4615" max="4615" width="15.7109375" style="34" customWidth="1"/>
    <col min="4616" max="4616" width="7" style="34" customWidth="1"/>
    <col min="4617" max="4617" width="16.140625" style="34" customWidth="1"/>
    <col min="4618" max="4618" width="7.85546875" style="34" customWidth="1"/>
    <col min="4619" max="4621" width="9.140625" style="34"/>
    <col min="4622" max="4622" width="11.42578125" style="34" bestFit="1" customWidth="1"/>
    <col min="4623" max="4868" width="9.140625" style="34"/>
    <col min="4869" max="4869" width="5.28515625" style="34" customWidth="1"/>
    <col min="4870" max="4870" width="51.140625" style="34" customWidth="1"/>
    <col min="4871" max="4871" width="15.7109375" style="34" customWidth="1"/>
    <col min="4872" max="4872" width="7" style="34" customWidth="1"/>
    <col min="4873" max="4873" width="16.140625" style="34" customWidth="1"/>
    <col min="4874" max="4874" width="7.85546875" style="34" customWidth="1"/>
    <col min="4875" max="4877" width="9.140625" style="34"/>
    <col min="4878" max="4878" width="11.42578125" style="34" bestFit="1" customWidth="1"/>
    <col min="4879" max="5124" width="9.140625" style="34"/>
    <col min="5125" max="5125" width="5.28515625" style="34" customWidth="1"/>
    <col min="5126" max="5126" width="51.140625" style="34" customWidth="1"/>
    <col min="5127" max="5127" width="15.7109375" style="34" customWidth="1"/>
    <col min="5128" max="5128" width="7" style="34" customWidth="1"/>
    <col min="5129" max="5129" width="16.140625" style="34" customWidth="1"/>
    <col min="5130" max="5130" width="7.85546875" style="34" customWidth="1"/>
    <col min="5131" max="5133" width="9.140625" style="34"/>
    <col min="5134" max="5134" width="11.42578125" style="34" bestFit="1" customWidth="1"/>
    <col min="5135" max="5380" width="9.140625" style="34"/>
    <col min="5381" max="5381" width="5.28515625" style="34" customWidth="1"/>
    <col min="5382" max="5382" width="51.140625" style="34" customWidth="1"/>
    <col min="5383" max="5383" width="15.7109375" style="34" customWidth="1"/>
    <col min="5384" max="5384" width="7" style="34" customWidth="1"/>
    <col min="5385" max="5385" width="16.140625" style="34" customWidth="1"/>
    <col min="5386" max="5386" width="7.85546875" style="34" customWidth="1"/>
    <col min="5387" max="5389" width="9.140625" style="34"/>
    <col min="5390" max="5390" width="11.42578125" style="34" bestFit="1" customWidth="1"/>
    <col min="5391" max="5636" width="9.140625" style="34"/>
    <col min="5637" max="5637" width="5.28515625" style="34" customWidth="1"/>
    <col min="5638" max="5638" width="51.140625" style="34" customWidth="1"/>
    <col min="5639" max="5639" width="15.7109375" style="34" customWidth="1"/>
    <col min="5640" max="5640" width="7" style="34" customWidth="1"/>
    <col min="5641" max="5641" width="16.140625" style="34" customWidth="1"/>
    <col min="5642" max="5642" width="7.85546875" style="34" customWidth="1"/>
    <col min="5643" max="5645" width="9.140625" style="34"/>
    <col min="5646" max="5646" width="11.42578125" style="34" bestFit="1" customWidth="1"/>
    <col min="5647" max="5892" width="9.140625" style="34"/>
    <col min="5893" max="5893" width="5.28515625" style="34" customWidth="1"/>
    <col min="5894" max="5894" width="51.140625" style="34" customWidth="1"/>
    <col min="5895" max="5895" width="15.7109375" style="34" customWidth="1"/>
    <col min="5896" max="5896" width="7" style="34" customWidth="1"/>
    <col min="5897" max="5897" width="16.140625" style="34" customWidth="1"/>
    <col min="5898" max="5898" width="7.85546875" style="34" customWidth="1"/>
    <col min="5899" max="5901" width="9.140625" style="34"/>
    <col min="5902" max="5902" width="11.42578125" style="34" bestFit="1" customWidth="1"/>
    <col min="5903" max="6148" width="9.140625" style="34"/>
    <col min="6149" max="6149" width="5.28515625" style="34" customWidth="1"/>
    <col min="6150" max="6150" width="51.140625" style="34" customWidth="1"/>
    <col min="6151" max="6151" width="15.7109375" style="34" customWidth="1"/>
    <col min="6152" max="6152" width="7" style="34" customWidth="1"/>
    <col min="6153" max="6153" width="16.140625" style="34" customWidth="1"/>
    <col min="6154" max="6154" width="7.85546875" style="34" customWidth="1"/>
    <col min="6155" max="6157" width="9.140625" style="34"/>
    <col min="6158" max="6158" width="11.42578125" style="34" bestFit="1" customWidth="1"/>
    <col min="6159" max="6404" width="9.140625" style="34"/>
    <col min="6405" max="6405" width="5.28515625" style="34" customWidth="1"/>
    <col min="6406" max="6406" width="51.140625" style="34" customWidth="1"/>
    <col min="6407" max="6407" width="15.7109375" style="34" customWidth="1"/>
    <col min="6408" max="6408" width="7" style="34" customWidth="1"/>
    <col min="6409" max="6409" width="16.140625" style="34" customWidth="1"/>
    <col min="6410" max="6410" width="7.85546875" style="34" customWidth="1"/>
    <col min="6411" max="6413" width="9.140625" style="34"/>
    <col min="6414" max="6414" width="11.42578125" style="34" bestFit="1" customWidth="1"/>
    <col min="6415" max="6660" width="9.140625" style="34"/>
    <col min="6661" max="6661" width="5.28515625" style="34" customWidth="1"/>
    <col min="6662" max="6662" width="51.140625" style="34" customWidth="1"/>
    <col min="6663" max="6663" width="15.7109375" style="34" customWidth="1"/>
    <col min="6664" max="6664" width="7" style="34" customWidth="1"/>
    <col min="6665" max="6665" width="16.140625" style="34" customWidth="1"/>
    <col min="6666" max="6666" width="7.85546875" style="34" customWidth="1"/>
    <col min="6667" max="6669" width="9.140625" style="34"/>
    <col min="6670" max="6670" width="11.42578125" style="34" bestFit="1" customWidth="1"/>
    <col min="6671" max="6916" width="9.140625" style="34"/>
    <col min="6917" max="6917" width="5.28515625" style="34" customWidth="1"/>
    <col min="6918" max="6918" width="51.140625" style="34" customWidth="1"/>
    <col min="6919" max="6919" width="15.7109375" style="34" customWidth="1"/>
    <col min="6920" max="6920" width="7" style="34" customWidth="1"/>
    <col min="6921" max="6921" width="16.140625" style="34" customWidth="1"/>
    <col min="6922" max="6922" width="7.85546875" style="34" customWidth="1"/>
    <col min="6923" max="6925" width="9.140625" style="34"/>
    <col min="6926" max="6926" width="11.42578125" style="34" bestFit="1" customWidth="1"/>
    <col min="6927" max="7172" width="9.140625" style="34"/>
    <col min="7173" max="7173" width="5.28515625" style="34" customWidth="1"/>
    <col min="7174" max="7174" width="51.140625" style="34" customWidth="1"/>
    <col min="7175" max="7175" width="15.7109375" style="34" customWidth="1"/>
    <col min="7176" max="7176" width="7" style="34" customWidth="1"/>
    <col min="7177" max="7177" width="16.140625" style="34" customWidth="1"/>
    <col min="7178" max="7178" width="7.85546875" style="34" customWidth="1"/>
    <col min="7179" max="7181" width="9.140625" style="34"/>
    <col min="7182" max="7182" width="11.42578125" style="34" bestFit="1" customWidth="1"/>
    <col min="7183" max="7428" width="9.140625" style="34"/>
    <col min="7429" max="7429" width="5.28515625" style="34" customWidth="1"/>
    <col min="7430" max="7430" width="51.140625" style="34" customWidth="1"/>
    <col min="7431" max="7431" width="15.7109375" style="34" customWidth="1"/>
    <col min="7432" max="7432" width="7" style="34" customWidth="1"/>
    <col min="7433" max="7433" width="16.140625" style="34" customWidth="1"/>
    <col min="7434" max="7434" width="7.85546875" style="34" customWidth="1"/>
    <col min="7435" max="7437" width="9.140625" style="34"/>
    <col min="7438" max="7438" width="11.42578125" style="34" bestFit="1" customWidth="1"/>
    <col min="7439" max="7684" width="9.140625" style="34"/>
    <col min="7685" max="7685" width="5.28515625" style="34" customWidth="1"/>
    <col min="7686" max="7686" width="51.140625" style="34" customWidth="1"/>
    <col min="7687" max="7687" width="15.7109375" style="34" customWidth="1"/>
    <col min="7688" max="7688" width="7" style="34" customWidth="1"/>
    <col min="7689" max="7689" width="16.140625" style="34" customWidth="1"/>
    <col min="7690" max="7690" width="7.85546875" style="34" customWidth="1"/>
    <col min="7691" max="7693" width="9.140625" style="34"/>
    <col min="7694" max="7694" width="11.42578125" style="34" bestFit="1" customWidth="1"/>
    <col min="7695" max="7940" width="9.140625" style="34"/>
    <col min="7941" max="7941" width="5.28515625" style="34" customWidth="1"/>
    <col min="7942" max="7942" width="51.140625" style="34" customWidth="1"/>
    <col min="7943" max="7943" width="15.7109375" style="34" customWidth="1"/>
    <col min="7944" max="7944" width="7" style="34" customWidth="1"/>
    <col min="7945" max="7945" width="16.140625" style="34" customWidth="1"/>
    <col min="7946" max="7946" width="7.85546875" style="34" customWidth="1"/>
    <col min="7947" max="7949" width="9.140625" style="34"/>
    <col min="7950" max="7950" width="11.42578125" style="34" bestFit="1" customWidth="1"/>
    <col min="7951" max="8196" width="9.140625" style="34"/>
    <col min="8197" max="8197" width="5.28515625" style="34" customWidth="1"/>
    <col min="8198" max="8198" width="51.140625" style="34" customWidth="1"/>
    <col min="8199" max="8199" width="15.7109375" style="34" customWidth="1"/>
    <col min="8200" max="8200" width="7" style="34" customWidth="1"/>
    <col min="8201" max="8201" width="16.140625" style="34" customWidth="1"/>
    <col min="8202" max="8202" width="7.85546875" style="34" customWidth="1"/>
    <col min="8203" max="8205" width="9.140625" style="34"/>
    <col min="8206" max="8206" width="11.42578125" style="34" bestFit="1" customWidth="1"/>
    <col min="8207" max="8452" width="9.140625" style="34"/>
    <col min="8453" max="8453" width="5.28515625" style="34" customWidth="1"/>
    <col min="8454" max="8454" width="51.140625" style="34" customWidth="1"/>
    <col min="8455" max="8455" width="15.7109375" style="34" customWidth="1"/>
    <col min="8456" max="8456" width="7" style="34" customWidth="1"/>
    <col min="8457" max="8457" width="16.140625" style="34" customWidth="1"/>
    <col min="8458" max="8458" width="7.85546875" style="34" customWidth="1"/>
    <col min="8459" max="8461" width="9.140625" style="34"/>
    <col min="8462" max="8462" width="11.42578125" style="34" bestFit="1" customWidth="1"/>
    <col min="8463" max="8708" width="9.140625" style="34"/>
    <col min="8709" max="8709" width="5.28515625" style="34" customWidth="1"/>
    <col min="8710" max="8710" width="51.140625" style="34" customWidth="1"/>
    <col min="8711" max="8711" width="15.7109375" style="34" customWidth="1"/>
    <col min="8712" max="8712" width="7" style="34" customWidth="1"/>
    <col min="8713" max="8713" width="16.140625" style="34" customWidth="1"/>
    <col min="8714" max="8714" width="7.85546875" style="34" customWidth="1"/>
    <col min="8715" max="8717" width="9.140625" style="34"/>
    <col min="8718" max="8718" width="11.42578125" style="34" bestFit="1" customWidth="1"/>
    <col min="8719" max="8964" width="9.140625" style="34"/>
    <col min="8965" max="8965" width="5.28515625" style="34" customWidth="1"/>
    <col min="8966" max="8966" width="51.140625" style="34" customWidth="1"/>
    <col min="8967" max="8967" width="15.7109375" style="34" customWidth="1"/>
    <col min="8968" max="8968" width="7" style="34" customWidth="1"/>
    <col min="8969" max="8969" width="16.140625" style="34" customWidth="1"/>
    <col min="8970" max="8970" width="7.85546875" style="34" customWidth="1"/>
    <col min="8971" max="8973" width="9.140625" style="34"/>
    <col min="8974" max="8974" width="11.42578125" style="34" bestFit="1" customWidth="1"/>
    <col min="8975" max="9220" width="9.140625" style="34"/>
    <col min="9221" max="9221" width="5.28515625" style="34" customWidth="1"/>
    <col min="9222" max="9222" width="51.140625" style="34" customWidth="1"/>
    <col min="9223" max="9223" width="15.7109375" style="34" customWidth="1"/>
    <col min="9224" max="9224" width="7" style="34" customWidth="1"/>
    <col min="9225" max="9225" width="16.140625" style="34" customWidth="1"/>
    <col min="9226" max="9226" width="7.85546875" style="34" customWidth="1"/>
    <col min="9227" max="9229" width="9.140625" style="34"/>
    <col min="9230" max="9230" width="11.42578125" style="34" bestFit="1" customWidth="1"/>
    <col min="9231" max="9476" width="9.140625" style="34"/>
    <col min="9477" max="9477" width="5.28515625" style="34" customWidth="1"/>
    <col min="9478" max="9478" width="51.140625" style="34" customWidth="1"/>
    <col min="9479" max="9479" width="15.7109375" style="34" customWidth="1"/>
    <col min="9480" max="9480" width="7" style="34" customWidth="1"/>
    <col min="9481" max="9481" width="16.140625" style="34" customWidth="1"/>
    <col min="9482" max="9482" width="7.85546875" style="34" customWidth="1"/>
    <col min="9483" max="9485" width="9.140625" style="34"/>
    <col min="9486" max="9486" width="11.42578125" style="34" bestFit="1" customWidth="1"/>
    <col min="9487" max="9732" width="9.140625" style="34"/>
    <col min="9733" max="9733" width="5.28515625" style="34" customWidth="1"/>
    <col min="9734" max="9734" width="51.140625" style="34" customWidth="1"/>
    <col min="9735" max="9735" width="15.7109375" style="34" customWidth="1"/>
    <col min="9736" max="9736" width="7" style="34" customWidth="1"/>
    <col min="9737" max="9737" width="16.140625" style="34" customWidth="1"/>
    <col min="9738" max="9738" width="7.85546875" style="34" customWidth="1"/>
    <col min="9739" max="9741" width="9.140625" style="34"/>
    <col min="9742" max="9742" width="11.42578125" style="34" bestFit="1" customWidth="1"/>
    <col min="9743" max="9988" width="9.140625" style="34"/>
    <col min="9989" max="9989" width="5.28515625" style="34" customWidth="1"/>
    <col min="9990" max="9990" width="51.140625" style="34" customWidth="1"/>
    <col min="9991" max="9991" width="15.7109375" style="34" customWidth="1"/>
    <col min="9992" max="9992" width="7" style="34" customWidth="1"/>
    <col min="9993" max="9993" width="16.140625" style="34" customWidth="1"/>
    <col min="9994" max="9994" width="7.85546875" style="34" customWidth="1"/>
    <col min="9995" max="9997" width="9.140625" style="34"/>
    <col min="9998" max="9998" width="11.42578125" style="34" bestFit="1" customWidth="1"/>
    <col min="9999" max="10244" width="9.140625" style="34"/>
    <col min="10245" max="10245" width="5.28515625" style="34" customWidth="1"/>
    <col min="10246" max="10246" width="51.140625" style="34" customWidth="1"/>
    <col min="10247" max="10247" width="15.7109375" style="34" customWidth="1"/>
    <col min="10248" max="10248" width="7" style="34" customWidth="1"/>
    <col min="10249" max="10249" width="16.140625" style="34" customWidth="1"/>
    <col min="10250" max="10250" width="7.85546875" style="34" customWidth="1"/>
    <col min="10251" max="10253" width="9.140625" style="34"/>
    <col min="10254" max="10254" width="11.42578125" style="34" bestFit="1" customWidth="1"/>
    <col min="10255" max="10500" width="9.140625" style="34"/>
    <col min="10501" max="10501" width="5.28515625" style="34" customWidth="1"/>
    <col min="10502" max="10502" width="51.140625" style="34" customWidth="1"/>
    <col min="10503" max="10503" width="15.7109375" style="34" customWidth="1"/>
    <col min="10504" max="10504" width="7" style="34" customWidth="1"/>
    <col min="10505" max="10505" width="16.140625" style="34" customWidth="1"/>
    <col min="10506" max="10506" width="7.85546875" style="34" customWidth="1"/>
    <col min="10507" max="10509" width="9.140625" style="34"/>
    <col min="10510" max="10510" width="11.42578125" style="34" bestFit="1" customWidth="1"/>
    <col min="10511" max="10756" width="9.140625" style="34"/>
    <col min="10757" max="10757" width="5.28515625" style="34" customWidth="1"/>
    <col min="10758" max="10758" width="51.140625" style="34" customWidth="1"/>
    <col min="10759" max="10759" width="15.7109375" style="34" customWidth="1"/>
    <col min="10760" max="10760" width="7" style="34" customWidth="1"/>
    <col min="10761" max="10761" width="16.140625" style="34" customWidth="1"/>
    <col min="10762" max="10762" width="7.85546875" style="34" customWidth="1"/>
    <col min="10763" max="10765" width="9.140625" style="34"/>
    <col min="10766" max="10766" width="11.42578125" style="34" bestFit="1" customWidth="1"/>
    <col min="10767" max="11012" width="9.140625" style="34"/>
    <col min="11013" max="11013" width="5.28515625" style="34" customWidth="1"/>
    <col min="11014" max="11014" width="51.140625" style="34" customWidth="1"/>
    <col min="11015" max="11015" width="15.7109375" style="34" customWidth="1"/>
    <col min="11016" max="11016" width="7" style="34" customWidth="1"/>
    <col min="11017" max="11017" width="16.140625" style="34" customWidth="1"/>
    <col min="11018" max="11018" width="7.85546875" style="34" customWidth="1"/>
    <col min="11019" max="11021" width="9.140625" style="34"/>
    <col min="11022" max="11022" width="11.42578125" style="34" bestFit="1" customWidth="1"/>
    <col min="11023" max="11268" width="9.140625" style="34"/>
    <col min="11269" max="11269" width="5.28515625" style="34" customWidth="1"/>
    <col min="11270" max="11270" width="51.140625" style="34" customWidth="1"/>
    <col min="11271" max="11271" width="15.7109375" style="34" customWidth="1"/>
    <col min="11272" max="11272" width="7" style="34" customWidth="1"/>
    <col min="11273" max="11273" width="16.140625" style="34" customWidth="1"/>
    <col min="11274" max="11274" width="7.85546875" style="34" customWidth="1"/>
    <col min="11275" max="11277" width="9.140625" style="34"/>
    <col min="11278" max="11278" width="11.42578125" style="34" bestFit="1" customWidth="1"/>
    <col min="11279" max="11524" width="9.140625" style="34"/>
    <col min="11525" max="11525" width="5.28515625" style="34" customWidth="1"/>
    <col min="11526" max="11526" width="51.140625" style="34" customWidth="1"/>
    <col min="11527" max="11527" width="15.7109375" style="34" customWidth="1"/>
    <col min="11528" max="11528" width="7" style="34" customWidth="1"/>
    <col min="11529" max="11529" width="16.140625" style="34" customWidth="1"/>
    <col min="11530" max="11530" width="7.85546875" style="34" customWidth="1"/>
    <col min="11531" max="11533" width="9.140625" style="34"/>
    <col min="11534" max="11534" width="11.42578125" style="34" bestFit="1" customWidth="1"/>
    <col min="11535" max="11780" width="9.140625" style="34"/>
    <col min="11781" max="11781" width="5.28515625" style="34" customWidth="1"/>
    <col min="11782" max="11782" width="51.140625" style="34" customWidth="1"/>
    <col min="11783" max="11783" width="15.7109375" style="34" customWidth="1"/>
    <col min="11784" max="11784" width="7" style="34" customWidth="1"/>
    <col min="11785" max="11785" width="16.140625" style="34" customWidth="1"/>
    <col min="11786" max="11786" width="7.85546875" style="34" customWidth="1"/>
    <col min="11787" max="11789" width="9.140625" style="34"/>
    <col min="11790" max="11790" width="11.42578125" style="34" bestFit="1" customWidth="1"/>
    <col min="11791" max="12036" width="9.140625" style="34"/>
    <col min="12037" max="12037" width="5.28515625" style="34" customWidth="1"/>
    <col min="12038" max="12038" width="51.140625" style="34" customWidth="1"/>
    <col min="12039" max="12039" width="15.7109375" style="34" customWidth="1"/>
    <col min="12040" max="12040" width="7" style="34" customWidth="1"/>
    <col min="12041" max="12041" width="16.140625" style="34" customWidth="1"/>
    <col min="12042" max="12042" width="7.85546875" style="34" customWidth="1"/>
    <col min="12043" max="12045" width="9.140625" style="34"/>
    <col min="12046" max="12046" width="11.42578125" style="34" bestFit="1" customWidth="1"/>
    <col min="12047" max="12292" width="9.140625" style="34"/>
    <col min="12293" max="12293" width="5.28515625" style="34" customWidth="1"/>
    <col min="12294" max="12294" width="51.140625" style="34" customWidth="1"/>
    <col min="12295" max="12295" width="15.7109375" style="34" customWidth="1"/>
    <col min="12296" max="12296" width="7" style="34" customWidth="1"/>
    <col min="12297" max="12297" width="16.140625" style="34" customWidth="1"/>
    <col min="12298" max="12298" width="7.85546875" style="34" customWidth="1"/>
    <col min="12299" max="12301" width="9.140625" style="34"/>
    <col min="12302" max="12302" width="11.42578125" style="34" bestFit="1" customWidth="1"/>
    <col min="12303" max="12548" width="9.140625" style="34"/>
    <col min="12549" max="12549" width="5.28515625" style="34" customWidth="1"/>
    <col min="12550" max="12550" width="51.140625" style="34" customWidth="1"/>
    <col min="12551" max="12551" width="15.7109375" style="34" customWidth="1"/>
    <col min="12552" max="12552" width="7" style="34" customWidth="1"/>
    <col min="12553" max="12553" width="16.140625" style="34" customWidth="1"/>
    <col min="12554" max="12554" width="7.85546875" style="34" customWidth="1"/>
    <col min="12555" max="12557" width="9.140625" style="34"/>
    <col min="12558" max="12558" width="11.42578125" style="34" bestFit="1" customWidth="1"/>
    <col min="12559" max="12804" width="9.140625" style="34"/>
    <col min="12805" max="12805" width="5.28515625" style="34" customWidth="1"/>
    <col min="12806" max="12806" width="51.140625" style="34" customWidth="1"/>
    <col min="12807" max="12807" width="15.7109375" style="34" customWidth="1"/>
    <col min="12808" max="12808" width="7" style="34" customWidth="1"/>
    <col min="12809" max="12809" width="16.140625" style="34" customWidth="1"/>
    <col min="12810" max="12810" width="7.85546875" style="34" customWidth="1"/>
    <col min="12811" max="12813" width="9.140625" style="34"/>
    <col min="12814" max="12814" width="11.42578125" style="34" bestFit="1" customWidth="1"/>
    <col min="12815" max="13060" width="9.140625" style="34"/>
    <col min="13061" max="13061" width="5.28515625" style="34" customWidth="1"/>
    <col min="13062" max="13062" width="51.140625" style="34" customWidth="1"/>
    <col min="13063" max="13063" width="15.7109375" style="34" customWidth="1"/>
    <col min="13064" max="13064" width="7" style="34" customWidth="1"/>
    <col min="13065" max="13065" width="16.140625" style="34" customWidth="1"/>
    <col min="13066" max="13066" width="7.85546875" style="34" customWidth="1"/>
    <col min="13067" max="13069" width="9.140625" style="34"/>
    <col min="13070" max="13070" width="11.42578125" style="34" bestFit="1" customWidth="1"/>
    <col min="13071" max="13316" width="9.140625" style="34"/>
    <col min="13317" max="13317" width="5.28515625" style="34" customWidth="1"/>
    <col min="13318" max="13318" width="51.140625" style="34" customWidth="1"/>
    <col min="13319" max="13319" width="15.7109375" style="34" customWidth="1"/>
    <col min="13320" max="13320" width="7" style="34" customWidth="1"/>
    <col min="13321" max="13321" width="16.140625" style="34" customWidth="1"/>
    <col min="13322" max="13322" width="7.85546875" style="34" customWidth="1"/>
    <col min="13323" max="13325" width="9.140625" style="34"/>
    <col min="13326" max="13326" width="11.42578125" style="34" bestFit="1" customWidth="1"/>
    <col min="13327" max="13572" width="9.140625" style="34"/>
    <col min="13573" max="13573" width="5.28515625" style="34" customWidth="1"/>
    <col min="13574" max="13574" width="51.140625" style="34" customWidth="1"/>
    <col min="13575" max="13575" width="15.7109375" style="34" customWidth="1"/>
    <col min="13576" max="13576" width="7" style="34" customWidth="1"/>
    <col min="13577" max="13577" width="16.140625" style="34" customWidth="1"/>
    <col min="13578" max="13578" width="7.85546875" style="34" customWidth="1"/>
    <col min="13579" max="13581" width="9.140625" style="34"/>
    <col min="13582" max="13582" width="11.42578125" style="34" bestFit="1" customWidth="1"/>
    <col min="13583" max="13828" width="9.140625" style="34"/>
    <col min="13829" max="13829" width="5.28515625" style="34" customWidth="1"/>
    <col min="13830" max="13830" width="51.140625" style="34" customWidth="1"/>
    <col min="13831" max="13831" width="15.7109375" style="34" customWidth="1"/>
    <col min="13832" max="13832" width="7" style="34" customWidth="1"/>
    <col min="13833" max="13833" width="16.140625" style="34" customWidth="1"/>
    <col min="13834" max="13834" width="7.85546875" style="34" customWidth="1"/>
    <col min="13835" max="13837" width="9.140625" style="34"/>
    <col min="13838" max="13838" width="11.42578125" style="34" bestFit="1" customWidth="1"/>
    <col min="13839" max="14084" width="9.140625" style="34"/>
    <col min="14085" max="14085" width="5.28515625" style="34" customWidth="1"/>
    <col min="14086" max="14086" width="51.140625" style="34" customWidth="1"/>
    <col min="14087" max="14087" width="15.7109375" style="34" customWidth="1"/>
    <col min="14088" max="14088" width="7" style="34" customWidth="1"/>
    <col min="14089" max="14089" width="16.140625" style="34" customWidth="1"/>
    <col min="14090" max="14090" width="7.85546875" style="34" customWidth="1"/>
    <col min="14091" max="14093" width="9.140625" style="34"/>
    <col min="14094" max="14094" width="11.42578125" style="34" bestFit="1" customWidth="1"/>
    <col min="14095" max="14340" width="9.140625" style="34"/>
    <col min="14341" max="14341" width="5.28515625" style="34" customWidth="1"/>
    <col min="14342" max="14342" width="51.140625" style="34" customWidth="1"/>
    <col min="14343" max="14343" width="15.7109375" style="34" customWidth="1"/>
    <col min="14344" max="14344" width="7" style="34" customWidth="1"/>
    <col min="14345" max="14345" width="16.140625" style="34" customWidth="1"/>
    <col min="14346" max="14346" width="7.85546875" style="34" customWidth="1"/>
    <col min="14347" max="14349" width="9.140625" style="34"/>
    <col min="14350" max="14350" width="11.42578125" style="34" bestFit="1" customWidth="1"/>
    <col min="14351" max="14596" width="9.140625" style="34"/>
    <col min="14597" max="14597" width="5.28515625" style="34" customWidth="1"/>
    <col min="14598" max="14598" width="51.140625" style="34" customWidth="1"/>
    <col min="14599" max="14599" width="15.7109375" style="34" customWidth="1"/>
    <col min="14600" max="14600" width="7" style="34" customWidth="1"/>
    <col min="14601" max="14601" width="16.140625" style="34" customWidth="1"/>
    <col min="14602" max="14602" width="7.85546875" style="34" customWidth="1"/>
    <col min="14603" max="14605" width="9.140625" style="34"/>
    <col min="14606" max="14606" width="11.42578125" style="34" bestFit="1" customWidth="1"/>
    <col min="14607" max="14852" width="9.140625" style="34"/>
    <col min="14853" max="14853" width="5.28515625" style="34" customWidth="1"/>
    <col min="14854" max="14854" width="51.140625" style="34" customWidth="1"/>
    <col min="14855" max="14855" width="15.7109375" style="34" customWidth="1"/>
    <col min="14856" max="14856" width="7" style="34" customWidth="1"/>
    <col min="14857" max="14857" width="16.140625" style="34" customWidth="1"/>
    <col min="14858" max="14858" width="7.85546875" style="34" customWidth="1"/>
    <col min="14859" max="14861" width="9.140625" style="34"/>
    <col min="14862" max="14862" width="11.42578125" style="34" bestFit="1" customWidth="1"/>
    <col min="14863" max="15108" width="9.140625" style="34"/>
    <col min="15109" max="15109" width="5.28515625" style="34" customWidth="1"/>
    <col min="15110" max="15110" width="51.140625" style="34" customWidth="1"/>
    <col min="15111" max="15111" width="15.7109375" style="34" customWidth="1"/>
    <col min="15112" max="15112" width="7" style="34" customWidth="1"/>
    <col min="15113" max="15113" width="16.140625" style="34" customWidth="1"/>
    <col min="15114" max="15114" width="7.85546875" style="34" customWidth="1"/>
    <col min="15115" max="15117" width="9.140625" style="34"/>
    <col min="15118" max="15118" width="11.42578125" style="34" bestFit="1" customWidth="1"/>
    <col min="15119" max="15364" width="9.140625" style="34"/>
    <col min="15365" max="15365" width="5.28515625" style="34" customWidth="1"/>
    <col min="15366" max="15366" width="51.140625" style="34" customWidth="1"/>
    <col min="15367" max="15367" width="15.7109375" style="34" customWidth="1"/>
    <col min="15368" max="15368" width="7" style="34" customWidth="1"/>
    <col min="15369" max="15369" width="16.140625" style="34" customWidth="1"/>
    <col min="15370" max="15370" width="7.85546875" style="34" customWidth="1"/>
    <col min="15371" max="15373" width="9.140625" style="34"/>
    <col min="15374" max="15374" width="11.42578125" style="34" bestFit="1" customWidth="1"/>
    <col min="15375" max="15620" width="9.140625" style="34"/>
    <col min="15621" max="15621" width="5.28515625" style="34" customWidth="1"/>
    <col min="15622" max="15622" width="51.140625" style="34" customWidth="1"/>
    <col min="15623" max="15623" width="15.7109375" style="34" customWidth="1"/>
    <col min="15624" max="15624" width="7" style="34" customWidth="1"/>
    <col min="15625" max="15625" width="16.140625" style="34" customWidth="1"/>
    <col min="15626" max="15626" width="7.85546875" style="34" customWidth="1"/>
    <col min="15627" max="15629" width="9.140625" style="34"/>
    <col min="15630" max="15630" width="11.42578125" style="34" bestFit="1" customWidth="1"/>
    <col min="15631" max="15876" width="9.140625" style="34"/>
    <col min="15877" max="15877" width="5.28515625" style="34" customWidth="1"/>
    <col min="15878" max="15878" width="51.140625" style="34" customWidth="1"/>
    <col min="15879" max="15879" width="15.7109375" style="34" customWidth="1"/>
    <col min="15880" max="15880" width="7" style="34" customWidth="1"/>
    <col min="15881" max="15881" width="16.140625" style="34" customWidth="1"/>
    <col min="15882" max="15882" width="7.85546875" style="34" customWidth="1"/>
    <col min="15883" max="15885" width="9.140625" style="34"/>
    <col min="15886" max="15886" width="11.42578125" style="34" bestFit="1" customWidth="1"/>
    <col min="15887" max="16132" width="9.140625" style="34"/>
    <col min="16133" max="16133" width="5.28515625" style="34" customWidth="1"/>
    <col min="16134" max="16134" width="51.140625" style="34" customWidth="1"/>
    <col min="16135" max="16135" width="15.7109375" style="34" customWidth="1"/>
    <col min="16136" max="16136" width="7" style="34" customWidth="1"/>
    <col min="16137" max="16137" width="16.140625" style="34" customWidth="1"/>
    <col min="16138" max="16138" width="7.85546875" style="34" customWidth="1"/>
    <col min="16139" max="16141" width="9.140625" style="34"/>
    <col min="16142" max="16142" width="11.42578125" style="34" bestFit="1" customWidth="1"/>
    <col min="16143" max="16384" width="9.140625" style="34"/>
  </cols>
  <sheetData>
    <row r="1" spans="1:9" x14ac:dyDescent="0.2">
      <c r="B1" s="35" t="str">
        <f>Update!$B$6</f>
        <v>Department of Health</v>
      </c>
      <c r="C1" s="35"/>
      <c r="D1" s="35"/>
    </row>
    <row r="2" spans="1:9" x14ac:dyDescent="0.2">
      <c r="B2" s="35" t="str">
        <f>Update!$B$10</f>
        <v>Notes to the financial statements</v>
      </c>
      <c r="C2" s="35"/>
      <c r="D2" s="35"/>
    </row>
    <row r="3" spans="1:9" x14ac:dyDescent="0.2">
      <c r="B3" s="35" t="str">
        <f>Update!$A$3</f>
        <v>2025-26</v>
      </c>
      <c r="C3" s="35"/>
      <c r="D3" s="35"/>
    </row>
    <row r="4" spans="1:9" x14ac:dyDescent="0.2">
      <c r="I4" s="37"/>
    </row>
    <row r="5" spans="1:9" ht="38.25" x14ac:dyDescent="0.2">
      <c r="A5" s="229">
        <f>SUMIF(Update!$B$33:$B$106,B5,Update!$A$33:$A$106)</f>
        <v>10</v>
      </c>
      <c r="B5" s="37" t="s">
        <v>293</v>
      </c>
      <c r="C5" s="201" t="str">
        <f>Update!$B$7</f>
        <v>Core Department &amp; Agencies</v>
      </c>
      <c r="D5" s="37"/>
      <c r="E5" s="201" t="str">
        <f>Update!$B$8</f>
        <v>Departmental Group</v>
      </c>
      <c r="G5" s="201" t="str">
        <f>Update!$B$7</f>
        <v>Core Department &amp; Agencies</v>
      </c>
      <c r="H5" s="37"/>
      <c r="I5" s="201" t="str">
        <f>Update!$B$8</f>
        <v>Departmental Group</v>
      </c>
    </row>
    <row r="6" spans="1:9" x14ac:dyDescent="0.2">
      <c r="A6" s="37"/>
      <c r="C6" s="172" t="str">
        <f>Update!$B$22</f>
        <v xml:space="preserve"> 31 March 2026</v>
      </c>
      <c r="E6" s="172" t="str">
        <f>C6</f>
        <v xml:space="preserve"> 31 March 2026</v>
      </c>
      <c r="F6" s="39"/>
      <c r="G6" s="172" t="str">
        <f>Update!$B$24</f>
        <v xml:space="preserve"> 31 March 2025</v>
      </c>
      <c r="H6" s="39"/>
      <c r="I6" s="172" t="str">
        <f>G6</f>
        <v xml:space="preserve"> 31 March 2025</v>
      </c>
    </row>
    <row r="7" spans="1:9" x14ac:dyDescent="0.2">
      <c r="A7" s="37"/>
      <c r="C7" s="39" t="s">
        <v>462</v>
      </c>
      <c r="E7" s="39" t="s">
        <v>462</v>
      </c>
      <c r="F7" s="39"/>
      <c r="G7" s="39" t="s">
        <v>462</v>
      </c>
      <c r="H7" s="39"/>
      <c r="I7" s="39" t="s">
        <v>462</v>
      </c>
    </row>
    <row r="8" spans="1:9" x14ac:dyDescent="0.2">
      <c r="A8" s="37"/>
      <c r="C8" s="39"/>
      <c r="E8" s="39"/>
      <c r="F8" s="39"/>
      <c r="G8" s="39"/>
      <c r="H8" s="39"/>
      <c r="I8" s="39"/>
    </row>
    <row r="9" spans="1:9" x14ac:dyDescent="0.2">
      <c r="A9" s="37"/>
      <c r="B9" s="34" t="s">
        <v>811</v>
      </c>
      <c r="C9" s="747">
        <f>SUMIF(MAP!$E$1192:$E$1199,$B9,MAP!$T$1192:$T$1199)</f>
        <v>0</v>
      </c>
      <c r="E9" s="747">
        <f>SUMIF(MAP!$E$1192:$E$1199,$B9,MAP!$N$1192:$N$1199)</f>
        <v>0</v>
      </c>
      <c r="F9" s="39"/>
      <c r="G9" s="768">
        <v>0</v>
      </c>
      <c r="H9" s="58"/>
      <c r="I9" s="768">
        <v>32281</v>
      </c>
    </row>
    <row r="10" spans="1:9" x14ac:dyDescent="0.2">
      <c r="A10" s="37"/>
      <c r="B10" s="34" t="s">
        <v>1730</v>
      </c>
      <c r="C10" s="747">
        <f>SUMIF(MAP!$E$1192:$E$1199,$B10,MAP!$T$1192:$T$1199)</f>
        <v>0</v>
      </c>
      <c r="E10" s="747">
        <f>SUMIF(MAP!$E$1192:$E$1199,$B10,MAP!$N$1192:$N$1199)</f>
        <v>0</v>
      </c>
      <c r="F10" s="39"/>
      <c r="G10" s="768">
        <v>0</v>
      </c>
      <c r="H10" s="58"/>
      <c r="I10" s="768">
        <v>10562</v>
      </c>
    </row>
    <row r="11" spans="1:9" x14ac:dyDescent="0.2">
      <c r="A11" s="37"/>
      <c r="B11" s="34" t="s">
        <v>813</v>
      </c>
      <c r="C11" s="747">
        <f>SUMIF(MAP!$E$1192:$E$1199,$B11,MAP!$T$1192:$T$1199)</f>
        <v>0</v>
      </c>
      <c r="E11" s="747">
        <f>SUMIF(MAP!$E$1192:$E$1199,$B11,MAP!$N$1192:$N$1199)</f>
        <v>0</v>
      </c>
      <c r="F11" s="39"/>
      <c r="G11" s="768">
        <v>0</v>
      </c>
      <c r="H11" s="58"/>
      <c r="I11" s="768">
        <v>9</v>
      </c>
    </row>
    <row r="12" spans="1:9" x14ac:dyDescent="0.2">
      <c r="A12" s="37"/>
      <c r="B12" s="34" t="s">
        <v>812</v>
      </c>
      <c r="C12" s="747">
        <f>SUMIF(MAP!$E$1192:$E$1199,$B12,MAP!$T$1192:$T$1199)</f>
        <v>0</v>
      </c>
      <c r="E12" s="747">
        <f>SUMIF(MAP!$E$1192:$E$1199,$B12,MAP!$N$1192:$N$1199)</f>
        <v>0</v>
      </c>
      <c r="F12" s="39">
        <f>ROUND(SUMIF(MAP!$E$389:$E$406,$B12,MAP!$N$389:$N$406),0)</f>
        <v>0</v>
      </c>
      <c r="G12" s="768">
        <v>0</v>
      </c>
      <c r="H12" s="58"/>
      <c r="I12" s="768">
        <v>1652</v>
      </c>
    </row>
    <row r="13" spans="1:9" x14ac:dyDescent="0.2">
      <c r="A13" s="37"/>
      <c r="B13" s="34" t="s">
        <v>181</v>
      </c>
      <c r="C13" s="747">
        <f>SUMIF(MAP!$E$1192:$E$1199,$B13,MAP!$T$1192:$T$1199)</f>
        <v>0</v>
      </c>
      <c r="E13" s="747">
        <f>SUMIF(MAP!$E$1192:$E$1199,$B13,MAP!$N$1192:$N$1199)</f>
        <v>0</v>
      </c>
      <c r="F13" s="39"/>
      <c r="G13" s="768">
        <v>1088</v>
      </c>
      <c r="H13" s="58"/>
      <c r="I13" s="768">
        <v>50807</v>
      </c>
    </row>
    <row r="14" spans="1:9" ht="20.45" customHeight="1" thickBot="1" x14ac:dyDescent="0.25">
      <c r="A14" s="37"/>
      <c r="C14" s="53">
        <f>SUM(C9:C13)</f>
        <v>0</v>
      </c>
      <c r="E14" s="53">
        <f>SUM(E9:E13)</f>
        <v>0</v>
      </c>
      <c r="G14" s="53">
        <f>SUM(G9:G13)</f>
        <v>1088</v>
      </c>
      <c r="I14" s="53">
        <f>SUM(I9:I13)</f>
        <v>95311</v>
      </c>
    </row>
    <row r="15" spans="1:9" x14ac:dyDescent="0.2">
      <c r="A15" s="37"/>
    </row>
    <row r="16" spans="1:9" x14ac:dyDescent="0.2">
      <c r="A16" s="37"/>
    </row>
    <row r="17" spans="1:11" ht="38.25" x14ac:dyDescent="0.2">
      <c r="A17" s="229">
        <f>SUMIF(Update!$B$33:$B$106,B17,Update!$A$33:$A$106)</f>
        <v>11</v>
      </c>
      <c r="B17" s="37" t="s">
        <v>295</v>
      </c>
      <c r="C17" s="201" t="str">
        <f>Update!$B$7</f>
        <v>Core Department &amp; Agencies</v>
      </c>
      <c r="D17" s="37"/>
      <c r="E17" s="201" t="str">
        <f>Update!$B$8</f>
        <v>Departmental Group</v>
      </c>
      <c r="G17" s="201" t="str">
        <f>Update!$B$8</f>
        <v>Departmental Group</v>
      </c>
      <c r="I17" s="201" t="str">
        <f>Update!$B$8</f>
        <v>Departmental Group</v>
      </c>
    </row>
    <row r="18" spans="1:11" x14ac:dyDescent="0.2">
      <c r="A18" s="36"/>
      <c r="B18" s="37"/>
      <c r="C18" s="173" t="str">
        <f>+C6</f>
        <v xml:space="preserve"> 31 March 2026</v>
      </c>
      <c r="D18" s="37"/>
      <c r="E18" s="173" t="str">
        <f>+E6</f>
        <v xml:space="preserve"> 31 March 2026</v>
      </c>
      <c r="F18" s="174"/>
      <c r="G18" s="173" t="str">
        <f>+G6</f>
        <v xml:space="preserve"> 31 March 2025</v>
      </c>
      <c r="H18" s="174"/>
      <c r="I18" s="173" t="str">
        <f>+I6</f>
        <v xml:space="preserve"> 31 March 2025</v>
      </c>
    </row>
    <row r="19" spans="1:11" x14ac:dyDescent="0.2">
      <c r="C19" s="39" t="s">
        <v>462</v>
      </c>
      <c r="E19" s="39" t="s">
        <v>462</v>
      </c>
      <c r="F19" s="90">
        <f>ROUND(SUMIF(MAP!$E$389:$E$406,$B19,MAP!$N$389:$N$406),0)</f>
        <v>0</v>
      </c>
      <c r="G19" s="90" t="s">
        <v>462</v>
      </c>
      <c r="H19" s="90"/>
      <c r="I19" s="90" t="s">
        <v>462</v>
      </c>
    </row>
    <row r="20" spans="1:11" ht="21" customHeight="1" x14ac:dyDescent="0.2">
      <c r="B20" s="34" t="s">
        <v>219</v>
      </c>
      <c r="C20" s="747">
        <f>SUMIF(MAP!$E$1201:$E$1201,$B20,MAP!$T$1201:$T$1201)</f>
        <v>-7487</v>
      </c>
      <c r="E20" s="747">
        <f>SUMIF(MAP!$E$1201:$E$1201,$B20,MAP!$N$1201:$N$1201)</f>
        <v>-7487</v>
      </c>
      <c r="F20" s="58"/>
      <c r="G20" s="768">
        <v>64293</v>
      </c>
      <c r="H20" s="58"/>
      <c r="I20" s="768">
        <v>135250</v>
      </c>
    </row>
    <row r="21" spans="1:11" ht="21" customHeight="1" x14ac:dyDescent="0.2">
      <c r="B21" s="34" t="s">
        <v>225</v>
      </c>
      <c r="C21" s="747">
        <f>SUMIF(MAP!$E$1202:$E$1202,$B21,MAP!$T$1202:$T$1202)</f>
        <v>7487</v>
      </c>
      <c r="E21" s="747">
        <f>SUMIF(MAP!$E$1202:$E$1202,$B21,MAP!$N$1202:$N$1202)</f>
        <v>7487</v>
      </c>
      <c r="F21" s="58"/>
      <c r="G21" s="768">
        <v>-35671</v>
      </c>
      <c r="H21" s="58"/>
      <c r="I21" s="768">
        <v>-46855</v>
      </c>
    </row>
    <row r="22" spans="1:11" ht="21" customHeight="1" thickBot="1" x14ac:dyDescent="0.25">
      <c r="B22" s="34" t="s">
        <v>608</v>
      </c>
      <c r="C22" s="175">
        <f>SUM(C20:C21)</f>
        <v>0</v>
      </c>
      <c r="E22" s="175">
        <f>SUM(E20:E21)</f>
        <v>0</v>
      </c>
      <c r="F22" s="58"/>
      <c r="G22" s="175">
        <f>SUM(G20:G21)</f>
        <v>28622</v>
      </c>
      <c r="H22" s="58"/>
      <c r="I22" s="175">
        <f>SUM(I20:I21)</f>
        <v>88395</v>
      </c>
      <c r="J22" s="340"/>
      <c r="K22" s="340"/>
    </row>
    <row r="23" spans="1:11" outlineLevel="1" x14ac:dyDescent="0.2">
      <c r="B23" s="347" t="s">
        <v>1051</v>
      </c>
      <c r="C23" s="340">
        <f>C22-SFP!E29+C24</f>
        <v>0</v>
      </c>
      <c r="E23" s="340">
        <f>E22-SFP!G29+E24</f>
        <v>0</v>
      </c>
      <c r="F23" s="46"/>
      <c r="G23" s="46"/>
      <c r="H23" s="46"/>
      <c r="I23" s="46"/>
    </row>
    <row r="24" spans="1:11" outlineLevel="1" x14ac:dyDescent="0.2">
      <c r="B24" s="347" t="s">
        <v>1877</v>
      </c>
      <c r="C24" s="802">
        <f>'Note 13'!C11</f>
        <v>0</v>
      </c>
      <c r="E24" s="802">
        <f>'Note 13'!E11</f>
        <v>0</v>
      </c>
      <c r="F24" s="46"/>
      <c r="G24" s="46"/>
      <c r="H24" s="46"/>
      <c r="I24" s="46"/>
    </row>
    <row r="25" spans="1:11" outlineLevel="1" x14ac:dyDescent="0.2">
      <c r="B25" s="347" t="s">
        <v>1052</v>
      </c>
      <c r="C25" s="340">
        <f>C22-SCF!D67</f>
        <v>0</v>
      </c>
      <c r="E25" s="340">
        <f>E22-SCF!F67</f>
        <v>0</v>
      </c>
      <c r="F25" s="38"/>
      <c r="G25" s="340">
        <f>G21-ROUND(SCF!M64,0)</f>
        <v>0</v>
      </c>
      <c r="H25" s="38"/>
      <c r="I25" s="340">
        <f>I21-ROUND(SCF!O64,0)</f>
        <v>0</v>
      </c>
    </row>
    <row r="26" spans="1:11" x14ac:dyDescent="0.2">
      <c r="C26" s="46"/>
      <c r="E26" s="46"/>
      <c r="F26" s="46"/>
      <c r="G26" s="46"/>
      <c r="H26" s="46"/>
      <c r="I26" s="46"/>
    </row>
    <row r="27" spans="1:11" x14ac:dyDescent="0.2">
      <c r="C27" s="46"/>
      <c r="E27" s="46"/>
      <c r="F27" s="46"/>
      <c r="G27" s="46"/>
      <c r="H27" s="46"/>
      <c r="I27" s="46"/>
    </row>
    <row r="28" spans="1:11" x14ac:dyDescent="0.2">
      <c r="C28" s="173" t="str">
        <f>+C18</f>
        <v xml:space="preserve"> 31 March 2026</v>
      </c>
      <c r="E28" s="173" t="str">
        <f>+E18</f>
        <v xml:space="preserve"> 31 March 2026</v>
      </c>
      <c r="F28" s="174"/>
      <c r="G28" s="173" t="str">
        <f>+G18</f>
        <v xml:space="preserve"> 31 March 2025</v>
      </c>
      <c r="H28" s="174"/>
      <c r="I28" s="173" t="str">
        <f>+I18</f>
        <v xml:space="preserve"> 31 March 2025</v>
      </c>
    </row>
    <row r="29" spans="1:11" x14ac:dyDescent="0.2">
      <c r="C29" s="39" t="s">
        <v>462</v>
      </c>
      <c r="E29" s="39" t="s">
        <v>462</v>
      </c>
      <c r="F29" s="176"/>
      <c r="G29" s="39" t="s">
        <v>462</v>
      </c>
      <c r="H29" s="38"/>
      <c r="I29" s="39" t="s">
        <v>462</v>
      </c>
    </row>
    <row r="30" spans="1:11" x14ac:dyDescent="0.2">
      <c r="B30" s="37" t="s">
        <v>609</v>
      </c>
      <c r="C30" s="58"/>
      <c r="E30" s="58"/>
      <c r="F30" s="58"/>
      <c r="G30" s="58"/>
      <c r="H30" s="58"/>
      <c r="I30" s="58"/>
    </row>
    <row r="31" spans="1:11" x14ac:dyDescent="0.2">
      <c r="B31" s="34" t="s">
        <v>2050</v>
      </c>
      <c r="C31" s="747">
        <f>SUMIF(MAP!$E$1207:$E$1207,$B31,MAP!$T$1207:$T$1207)</f>
        <v>0</v>
      </c>
      <c r="E31" s="747">
        <f>SUMIF(MAP!$E$1207:$E$1207,$B31,MAP!$N$1207:$N$1207)</f>
        <v>0</v>
      </c>
      <c r="F31" s="58"/>
      <c r="G31" s="746">
        <v>-7487</v>
      </c>
      <c r="H31" s="58"/>
      <c r="I31" s="746">
        <v>-7487</v>
      </c>
    </row>
    <row r="32" spans="1:11" x14ac:dyDescent="0.2">
      <c r="B32" s="34" t="s">
        <v>226</v>
      </c>
      <c r="C32" s="747">
        <f>SUMIF(MAP!$E$1208:$E$1208,$B32,MAP!$T$1208:$T$1208)</f>
        <v>0</v>
      </c>
      <c r="E32" s="747">
        <f>SUMIF(MAP!$E$1208:$E$1208,$B32,MAP!$N$1208:$N$1208)</f>
        <v>0</v>
      </c>
      <c r="F32" s="58"/>
      <c r="G32" s="746">
        <v>36109</v>
      </c>
      <c r="H32" s="58"/>
      <c r="I32" s="746">
        <v>96832</v>
      </c>
    </row>
    <row r="33" spans="1:13" x14ac:dyDescent="0.2">
      <c r="B33" s="34" t="s">
        <v>2535</v>
      </c>
      <c r="C33" s="747">
        <f>SUMIF(MAP!$E$1208:$E$1208,$B33,MAP!$T$1208:$T$1208)</f>
        <v>0</v>
      </c>
      <c r="E33" s="747">
        <f>SUMIF(MAP!$E$1209:$E$1209,$B33,MAP!$N$1209:$N$1209)</f>
        <v>0</v>
      </c>
      <c r="F33" s="58"/>
      <c r="G33" s="746">
        <v>0</v>
      </c>
      <c r="H33" s="58"/>
      <c r="I33" s="746">
        <v>-950</v>
      </c>
    </row>
    <row r="34" spans="1:13" x14ac:dyDescent="0.2">
      <c r="B34" s="34" t="s">
        <v>227</v>
      </c>
      <c r="C34" s="747">
        <f>SUMIF(MAP!$E$1210:$E$1210,$B34,MAP!$T$1210:$T$1210)</f>
        <v>0</v>
      </c>
      <c r="E34" s="747">
        <f>SUMIF(MAP!$E$1210:$E$1210,$B34,MAP!$N$1210:$N$1210)</f>
        <v>0</v>
      </c>
      <c r="F34" s="58"/>
      <c r="G34" s="746">
        <v>0</v>
      </c>
      <c r="H34" s="58"/>
      <c r="I34" s="746">
        <v>0</v>
      </c>
    </row>
    <row r="35" spans="1:13" ht="13.5" thickBot="1" x14ac:dyDescent="0.25">
      <c r="B35" s="34" t="s">
        <v>220</v>
      </c>
      <c r="C35" s="175">
        <f>SUM(C31:C34)</f>
        <v>0</v>
      </c>
      <c r="E35" s="175">
        <f>SUM(E31:E34)</f>
        <v>0</v>
      </c>
      <c r="F35" s="58"/>
      <c r="G35" s="175">
        <f>SUM(G31:G34)</f>
        <v>28622</v>
      </c>
      <c r="H35" s="58"/>
      <c r="I35" s="175">
        <f>SUM(I31:I34)</f>
        <v>88395</v>
      </c>
    </row>
    <row r="36" spans="1:13" x14ac:dyDescent="0.2">
      <c r="C36" s="46"/>
      <c r="E36" s="46"/>
      <c r="F36" s="46"/>
      <c r="G36" s="46"/>
      <c r="H36" s="46"/>
      <c r="I36" s="46"/>
    </row>
    <row r="37" spans="1:13" outlineLevel="1" x14ac:dyDescent="0.2">
      <c r="C37" s="340">
        <f>C22-C35</f>
        <v>0</v>
      </c>
      <c r="E37" s="340">
        <f>E22-E35</f>
        <v>0</v>
      </c>
      <c r="F37" s="38"/>
      <c r="G37" s="340">
        <f>G22-G35</f>
        <v>0</v>
      </c>
      <c r="H37" s="38"/>
      <c r="I37" s="340">
        <f>I22-I35</f>
        <v>0</v>
      </c>
    </row>
    <row r="38" spans="1:13" x14ac:dyDescent="0.2">
      <c r="C38" s="46"/>
      <c r="E38" s="46"/>
      <c r="F38" s="46"/>
      <c r="G38" s="46"/>
      <c r="H38" s="46"/>
      <c r="I38" s="46"/>
    </row>
    <row r="39" spans="1:13" x14ac:dyDescent="0.2">
      <c r="C39" s="46"/>
      <c r="E39" s="46"/>
      <c r="F39" s="46"/>
      <c r="G39" s="46"/>
      <c r="H39" s="46"/>
      <c r="I39" s="46"/>
    </row>
    <row r="41" spans="1:13" outlineLevel="1" x14ac:dyDescent="0.2">
      <c r="A41" s="229">
        <f>SUMIF(Update!$B$33:$B$106,B41,Update!$A$33:$A$106)</f>
        <v>11.1</v>
      </c>
      <c r="B41" s="536" t="s">
        <v>1381</v>
      </c>
      <c r="C41" s="457"/>
      <c r="D41" s="457"/>
      <c r="E41" s="457"/>
      <c r="F41" s="457"/>
      <c r="G41" s="457"/>
      <c r="H41" s="457"/>
    </row>
    <row r="42" spans="1:13" ht="75" customHeight="1" outlineLevel="1" x14ac:dyDescent="0.2">
      <c r="B42" s="2116" t="s">
        <v>2487</v>
      </c>
      <c r="C42" s="2117"/>
      <c r="D42" s="2117"/>
      <c r="E42" s="2117"/>
      <c r="F42" s="2117"/>
      <c r="G42" s="2117"/>
      <c r="H42" s="2117"/>
    </row>
    <row r="43" spans="1:13" outlineLevel="1" x14ac:dyDescent="0.2">
      <c r="B43" s="457"/>
      <c r="C43" s="457"/>
      <c r="D43" s="457"/>
      <c r="E43" s="457"/>
      <c r="F43" s="457"/>
      <c r="G43" s="457"/>
      <c r="H43" s="457"/>
    </row>
    <row r="44" spans="1:13" ht="36" outlineLevel="1" x14ac:dyDescent="0.2">
      <c r="B44" s="803" t="s">
        <v>483</v>
      </c>
      <c r="C44" s="783">
        <f>Update!$B$37</f>
        <v>2025</v>
      </c>
      <c r="D44" s="648" t="s">
        <v>1279</v>
      </c>
      <c r="E44" s="648" t="s">
        <v>1278</v>
      </c>
      <c r="F44" s="648"/>
      <c r="G44" s="648"/>
      <c r="H44" s="648"/>
      <c r="I44" s="783">
        <f>Update!$B$38</f>
        <v>2026</v>
      </c>
    </row>
    <row r="45" spans="1:13" ht="24" outlineLevel="1" x14ac:dyDescent="0.2">
      <c r="B45" s="803"/>
      <c r="C45" s="783"/>
      <c r="D45" s="648" t="s">
        <v>1279</v>
      </c>
      <c r="E45" s="648" t="s">
        <v>533</v>
      </c>
      <c r="F45" s="648" t="s">
        <v>2472</v>
      </c>
      <c r="G45" s="648" t="s">
        <v>2473</v>
      </c>
      <c r="H45" s="648" t="s">
        <v>1654</v>
      </c>
      <c r="I45" s="783"/>
    </row>
    <row r="46" spans="1:13" outlineLevel="1" x14ac:dyDescent="0.2">
      <c r="B46" s="647"/>
      <c r="C46" s="468" t="s">
        <v>493</v>
      </c>
      <c r="D46" s="468" t="s">
        <v>493</v>
      </c>
      <c r="E46" s="468" t="s">
        <v>493</v>
      </c>
      <c r="F46" s="468" t="s">
        <v>493</v>
      </c>
      <c r="G46" s="468" t="s">
        <v>493</v>
      </c>
      <c r="H46" s="468" t="s">
        <v>493</v>
      </c>
      <c r="I46" s="468" t="s">
        <v>493</v>
      </c>
    </row>
    <row r="47" spans="1:13" outlineLevel="1" x14ac:dyDescent="0.2">
      <c r="B47" s="931" t="s">
        <v>2474</v>
      </c>
      <c r="C47" s="1682">
        <f>+-'Note 13'!G27</f>
        <v>-27203</v>
      </c>
      <c r="D47" s="1682">
        <f>-SCF!D52</f>
        <v>0</v>
      </c>
      <c r="E47" s="1682" t="e">
        <f>+'SoAS 3-Core and agencies only'!D43</f>
        <v>#VALUE!</v>
      </c>
      <c r="F47" s="1682">
        <f>SUMIFS(MAP!$T$1217:$T$1222,MAP!$D$1217:$D$1222,'Notes 10 &amp; 11'!$F$45,MAP!$E$1217:$E$1222,'Notes 10 &amp; 11'!$B47)</f>
        <v>0</v>
      </c>
      <c r="G47" s="1682">
        <f>SUMIFS(MAP!$T$1217:$T$1222,MAP!$D$1217:$D$1222,'Notes 10 &amp; 11'!$G$45,MAP!$E$1217:$E$1222,'Notes 10 &amp; 11'!$B47)</f>
        <v>0</v>
      </c>
      <c r="H47" s="1682"/>
      <c r="I47" s="1682" t="e">
        <f>SUM(C47:H47)</f>
        <v>#VALUE!</v>
      </c>
      <c r="L47" s="939" t="e">
        <f>IF(ROUND(I47,0)=ROUND(-'Note 13'!C27,0),"OK","ERROR")</f>
        <v>#VALUE!</v>
      </c>
      <c r="M47" s="340" t="e">
        <f>ROUND(-I47+-'Note 13'!C27,0)</f>
        <v>#VALUE!</v>
      </c>
    </row>
    <row r="48" spans="1:13" outlineLevel="1" x14ac:dyDescent="0.2">
      <c r="B48" s="931" t="s">
        <v>2475</v>
      </c>
      <c r="C48" s="1682">
        <f>SUMIFS(MAP!$T$1223:$T$1228,MAP!$D$1223:$D$1228,'Notes 10 &amp; 11'!$C$44,MAP!$E$1223:$E$1228,'Notes 10 &amp; 11'!$B48)</f>
        <v>495</v>
      </c>
      <c r="D48" s="1682">
        <f>SUMIFS(MAP!$T$1223:$T$1228,MAP!$D$1223:$D$1228,'Notes 10 &amp; 11'!$D$45,MAP!$E$1223:$E$1228,'Notes 10 &amp; 11'!$B48)</f>
        <v>-189</v>
      </c>
      <c r="E48" s="1682">
        <f>SUMIFS(MAP!$T$1223:$T$1228,MAP!$D$1223:$D$1228,'Notes 10 &amp; 11'!$E$45,MAP!$E$1223:$E$1228,'Notes 10 &amp; 11'!$B48)</f>
        <v>0</v>
      </c>
      <c r="F48" s="1682">
        <f>SUMIFS(MAP!$T$1223:$T$1228,MAP!$D$1223:$D$1228,'Notes 10 &amp; 11'!$F$45,MAP!$E$1223:$E$1228,'Notes 10 &amp; 11'!$B48)</f>
        <v>0</v>
      </c>
      <c r="G48" s="1682">
        <f>SUMIFS(MAP!$T$1223:$T$1228,MAP!$D$1223:$D$1228,'Notes 10 &amp; 11'!$G$45,MAP!$E$1223:$E$1228,'Notes 10 &amp; 11'!$B48)</f>
        <v>0</v>
      </c>
      <c r="H48" s="1682">
        <f>SUMIFS(MAP!$T$1223:$T$1228,MAP!$D$1223:$D$1228,'Notes 10 &amp; 11'!$H$45,MAP!$E$1223:$E$1228,'Notes 10 &amp; 11'!$B48)</f>
        <v>0</v>
      </c>
      <c r="I48" s="1682">
        <f>SUM(C48:H48)</f>
        <v>306</v>
      </c>
      <c r="L48" s="939" t="str">
        <f>IF(I48=+'Note 17'!C61,"OK","ERROR")</f>
        <v>ERROR</v>
      </c>
      <c r="M48" s="340">
        <f>+I48-'Note 17'!C61</f>
        <v>306</v>
      </c>
    </row>
    <row r="49" spans="2:14" outlineLevel="1" x14ac:dyDescent="0.2">
      <c r="B49" s="1503" t="s">
        <v>2476</v>
      </c>
      <c r="C49" s="1682">
        <f>SUMIFS(MAP!$T$1229:$T$1234,MAP!$D$1229:$D$1234,'Notes 10 &amp; 11'!$C$44,MAP!$E$1229:$E$1234,'Notes 10 &amp; 11'!$B49)</f>
        <v>0</v>
      </c>
      <c r="D49" s="1682">
        <f>SUMIFS(MAP!$T$1229:$T$1234,MAP!$D$1229:$D$1234,'Notes 10 &amp; 11'!$D$45,MAP!$E$1229:$E$1234,'Notes 10 &amp; 11'!$B49)</f>
        <v>0</v>
      </c>
      <c r="E49" s="1682">
        <f>SUMIFS(MAP!$T$1229:$T$1234,MAP!$D$1229:$D$1234,'Notes 10 &amp; 11'!$E$45,MAP!$E$1229:$E$1234,'Notes 10 &amp; 11'!$B49)</f>
        <v>0</v>
      </c>
      <c r="F49" s="1682">
        <f>SUMIFS(MAP!$T$1229:$T$1234,MAP!$D$1229:$D$1234,'Notes 10 &amp; 11'!$F$45,MAP!$E$1229:$E$1234,'Notes 10 &amp; 11'!$B49)</f>
        <v>0</v>
      </c>
      <c r="G49" s="1682">
        <f>SUMIFS(MAP!$T$1229:$T$1234,MAP!$D$1229:$D$1234,'Notes 10 &amp; 11'!$G$45,MAP!$E$1229:$E$1234,'Notes 10 &amp; 11'!$B49)</f>
        <v>0</v>
      </c>
      <c r="H49" s="1682">
        <f>SUMIFS(MAP!$T$1229:$T$1234,MAP!$D$1229:$D$1234,'Notes 10 &amp; 11'!$H$45,MAP!$E$1229:$E$1234,'Notes 10 &amp; 11'!$B49)</f>
        <v>0</v>
      </c>
      <c r="I49" s="1682">
        <f>SUM(C49:H49)</f>
        <v>0</v>
      </c>
      <c r="L49" s="939" t="str">
        <f>IF(I49='Note 18'!C63,"OK","ERROR")</f>
        <v>OK</v>
      </c>
      <c r="M49" s="340">
        <f>I49-'Note 18'!C63</f>
        <v>0</v>
      </c>
    </row>
    <row r="50" spans="2:14" outlineLevel="1" x14ac:dyDescent="0.2">
      <c r="B50" s="647"/>
      <c r="C50" s="1683"/>
      <c r="D50" s="1684"/>
      <c r="E50" s="1684"/>
      <c r="F50" s="1684"/>
      <c r="G50" s="1684"/>
      <c r="H50" s="1684"/>
      <c r="I50" s="1683"/>
    </row>
    <row r="51" spans="2:14" ht="13.5" outlineLevel="1" thickBot="1" x14ac:dyDescent="0.25">
      <c r="B51" s="646" t="s">
        <v>1277</v>
      </c>
      <c r="C51" s="1685">
        <f t="shared" ref="C51:H51" si="0">SUM(C47:C49)</f>
        <v>-26708</v>
      </c>
      <c r="D51" s="1686">
        <f t="shared" si="0"/>
        <v>-189</v>
      </c>
      <c r="E51" s="1686" t="e">
        <f>SUM(E47:E49)</f>
        <v>#VALUE!</v>
      </c>
      <c r="F51" s="1686">
        <f t="shared" si="0"/>
        <v>0</v>
      </c>
      <c r="G51" s="1686">
        <f t="shared" si="0"/>
        <v>0</v>
      </c>
      <c r="H51" s="1686">
        <f t="shared" si="0"/>
        <v>0</v>
      </c>
      <c r="I51" s="1685" t="e">
        <f>SUM(I47:I49)</f>
        <v>#VALUE!</v>
      </c>
    </row>
    <row r="52" spans="2:14" ht="13.5" outlineLevel="1" thickTop="1" x14ac:dyDescent="0.2"/>
    <row r="53" spans="2:14" outlineLevel="1" x14ac:dyDescent="0.2"/>
    <row r="54" spans="2:14" ht="36" outlineLevel="1" x14ac:dyDescent="0.2">
      <c r="B54" s="803" t="s">
        <v>1029</v>
      </c>
      <c r="C54" s="783">
        <f>Update!$B$37</f>
        <v>2025</v>
      </c>
      <c r="D54" s="783" t="s">
        <v>1279</v>
      </c>
      <c r="E54" s="783" t="s">
        <v>2668</v>
      </c>
      <c r="F54" s="783"/>
      <c r="G54" s="783"/>
      <c r="H54" s="783"/>
      <c r="I54" s="783">
        <f>Update!$B$38</f>
        <v>2026</v>
      </c>
    </row>
    <row r="55" spans="2:14" ht="24" outlineLevel="1" x14ac:dyDescent="0.2">
      <c r="B55" s="803"/>
      <c r="C55" s="783"/>
      <c r="D55" s="783" t="s">
        <v>1279</v>
      </c>
      <c r="E55" s="783" t="s">
        <v>533</v>
      </c>
      <c r="F55" s="783" t="s">
        <v>2472</v>
      </c>
      <c r="G55" s="783" t="s">
        <v>2473</v>
      </c>
      <c r="H55" s="783" t="s">
        <v>1654</v>
      </c>
      <c r="I55" s="783"/>
    </row>
    <row r="56" spans="2:14" outlineLevel="1" x14ac:dyDescent="0.2">
      <c r="B56" s="647"/>
      <c r="C56" s="468" t="s">
        <v>493</v>
      </c>
      <c r="D56" s="468" t="s">
        <v>493</v>
      </c>
      <c r="E56" s="468" t="s">
        <v>493</v>
      </c>
      <c r="F56" s="468" t="s">
        <v>493</v>
      </c>
      <c r="G56" s="468" t="s">
        <v>493</v>
      </c>
      <c r="H56" s="468" t="s">
        <v>493</v>
      </c>
      <c r="I56" s="468" t="s">
        <v>493</v>
      </c>
    </row>
    <row r="57" spans="2:14" outlineLevel="1" x14ac:dyDescent="0.2">
      <c r="B57" s="931" t="s">
        <v>2474</v>
      </c>
      <c r="C57" s="1682">
        <f>+C47</f>
        <v>-27203</v>
      </c>
      <c r="D57" s="1682">
        <f t="shared" ref="D57:H57" si="1">+D47</f>
        <v>0</v>
      </c>
      <c r="E57" s="1682" t="e">
        <f t="shared" si="1"/>
        <v>#VALUE!</v>
      </c>
      <c r="F57" s="1682">
        <f t="shared" si="1"/>
        <v>0</v>
      </c>
      <c r="G57" s="1682">
        <f t="shared" si="1"/>
        <v>0</v>
      </c>
      <c r="H57" s="1682">
        <f t="shared" si="1"/>
        <v>0</v>
      </c>
      <c r="I57" s="1682" t="e">
        <f>SUM(C57:H57)</f>
        <v>#VALUE!</v>
      </c>
      <c r="L57" s="939" t="e">
        <f>IF(ROUND(I57,0)=ROUND(-'Note 13'!E27,0),"OK","ERROR")</f>
        <v>#VALUE!</v>
      </c>
      <c r="M57" s="340" t="e">
        <f>ROUND(-I57+-'Note 13'!E27,0)</f>
        <v>#VALUE!</v>
      </c>
    </row>
    <row r="58" spans="2:14" outlineLevel="1" x14ac:dyDescent="0.2">
      <c r="B58" s="931" t="s">
        <v>2475</v>
      </c>
      <c r="C58" s="1682">
        <f>SUMIFS(MAP!$N$1223:$N$1228,MAP!$D$1223:$D$1228,'Notes 10 &amp; 11'!$C$44,MAP!$E$1223:$E$1228,'Notes 10 &amp; 11'!$B58)</f>
        <v>495</v>
      </c>
      <c r="D58" s="1682">
        <f>SUMIFS(MAP!$N$1223:$N$1228,MAP!$D$1223:$D$1228,'Notes 10 &amp; 11'!$D$45,MAP!$E$1223:$E$1228,'Notes 10 &amp; 11'!$B58)</f>
        <v>-189</v>
      </c>
      <c r="E58" s="1682">
        <f>SUMIFS(MAP!$N$1223:$N$1228,MAP!$D$1223:$D$1228,'Notes 10 &amp; 11'!$E$45,MAP!$E$1223:$E$1228,'Notes 10 &amp; 11'!$B58)</f>
        <v>0</v>
      </c>
      <c r="F58" s="1682">
        <f>SUMIFS(MAP!$N$1223:$N$1228,MAP!$D$1223:$D$1228,'Notes 10 &amp; 11'!$F$45,MAP!$E$1223:$E$1228,'Notes 10 &amp; 11'!$B58)</f>
        <v>0</v>
      </c>
      <c r="G58" s="1682">
        <f>SUMIFS(MAP!$N$1223:$N$1228,MAP!$D$1223:$D$1228,'Notes 10 &amp; 11'!$G$45,MAP!$E$1223:$E$1228,'Notes 10 &amp; 11'!$B58)</f>
        <v>0</v>
      </c>
      <c r="H58" s="1682">
        <f>SUMIFS(MAP!$N$1223:$N$1228,MAP!$D$1223:$D$1228,'Notes 10 &amp; 11'!$H$45,MAP!$E$1223:$E$1228,'Notes 10 &amp; 11'!$B58)</f>
        <v>0</v>
      </c>
      <c r="I58" s="1682">
        <f>SUM(C58:H58)</f>
        <v>306</v>
      </c>
      <c r="L58" s="939" t="str">
        <f>IF(I58=+'Note 17'!D61,"OK","ERROR")</f>
        <v>ERROR</v>
      </c>
      <c r="M58" s="340">
        <f>+I58-'Note 17'!D61</f>
        <v>306</v>
      </c>
    </row>
    <row r="59" spans="2:14" outlineLevel="1" x14ac:dyDescent="0.2">
      <c r="B59" s="1503" t="s">
        <v>2476</v>
      </c>
      <c r="C59" s="1682">
        <f>SUMIFS(MAP!$N$1229:$N$1234,MAP!$D$1229:$D$1234,'Notes 10 &amp; 11'!$C$44,MAP!$E$1229:$E$1234,'Notes 10 &amp; 11'!$B59)</f>
        <v>0</v>
      </c>
      <c r="D59" s="1682">
        <f>SUMIFS(MAP!$N$1229:$N$1234,MAP!$D$1229:$D$1234,'Notes 10 &amp; 11'!$D$45,MAP!$E$1229:$E$1234,'Notes 10 &amp; 11'!$B59)</f>
        <v>0</v>
      </c>
      <c r="E59" s="1682">
        <f>SUMIFS(MAP!$N$1229:$N$1234,MAP!$D$1229:$D$1234,'Notes 10 &amp; 11'!$E$45,MAP!$E$1229:$E$1234,'Notes 10 &amp; 11'!$B59)</f>
        <v>0</v>
      </c>
      <c r="F59" s="1682">
        <f>SUMIFS(MAP!$N$1229:$N$1234,MAP!$D$1229:$D$1234,'Notes 10 &amp; 11'!$F$45,MAP!$E$1229:$E$1234,'Notes 10 &amp; 11'!$B59)</f>
        <v>0</v>
      </c>
      <c r="G59" s="1682">
        <f>SUMIFS(MAP!$N$1229:$N$1234,MAP!$D$1229:$D$1234,'Notes 10 &amp; 11'!$G$45,MAP!$E$1229:$E$1234,'Notes 10 &amp; 11'!$B59)</f>
        <v>0</v>
      </c>
      <c r="H59" s="1682">
        <f>SUMIFS(MAP!$N$1229:$N$1234,MAP!$D$1229:$D$1234,'Notes 10 &amp; 11'!$H$45,MAP!$E$1229:$E$1234,'Notes 10 &amp; 11'!$B59)</f>
        <v>0</v>
      </c>
      <c r="I59" s="1682">
        <f>SUM(C59:H59)</f>
        <v>0</v>
      </c>
      <c r="L59" s="939" t="str">
        <f>IF(I59='Note 18'!D63,"OK","ERROR")</f>
        <v>OK</v>
      </c>
      <c r="M59" s="340">
        <f>I59-'Note 18'!D63</f>
        <v>0</v>
      </c>
      <c r="N59" s="34" t="s">
        <v>2829</v>
      </c>
    </row>
    <row r="60" spans="2:14" outlineLevel="1" x14ac:dyDescent="0.2">
      <c r="B60" s="647"/>
      <c r="C60" s="1687"/>
      <c r="D60" s="1687"/>
      <c r="E60" s="1687"/>
      <c r="F60" s="1687"/>
      <c r="G60" s="1687"/>
      <c r="H60" s="1687"/>
      <c r="I60" s="1683"/>
    </row>
    <row r="61" spans="2:14" ht="13.5" outlineLevel="1" thickBot="1" x14ac:dyDescent="0.25">
      <c r="B61" s="646" t="s">
        <v>1277</v>
      </c>
      <c r="C61" s="1688">
        <f>SUM(C57:C59)</f>
        <v>-26708</v>
      </c>
      <c r="D61" s="1688">
        <f t="shared" ref="D61:I61" si="2">SUM(D57:D59)</f>
        <v>-189</v>
      </c>
      <c r="E61" s="1688" t="e">
        <f t="shared" si="2"/>
        <v>#VALUE!</v>
      </c>
      <c r="F61" s="1688">
        <f t="shared" si="2"/>
        <v>0</v>
      </c>
      <c r="G61" s="1688">
        <f t="shared" si="2"/>
        <v>0</v>
      </c>
      <c r="H61" s="1688">
        <f t="shared" si="2"/>
        <v>0</v>
      </c>
      <c r="I61" s="1685" t="e">
        <f t="shared" si="2"/>
        <v>#VALUE!</v>
      </c>
    </row>
    <row r="62" spans="2:14" ht="13.5" thickTop="1" x14ac:dyDescent="0.2"/>
  </sheetData>
  <mergeCells count="1">
    <mergeCell ref="B42:H42"/>
  </mergeCells>
  <pageMargins left="0.35433070866141736" right="0.47244094488188981" top="0.19685039370078741" bottom="0.19685039370078741" header="0.31496062992125984" footer="0.31496062992125984"/>
  <pageSetup paperSize="9" scale="58"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00B0F0"/>
    <pageSetUpPr fitToPage="1"/>
  </sheetPr>
  <dimension ref="A1:X90"/>
  <sheetViews>
    <sheetView zoomScale="80" zoomScaleNormal="80" workbookViewId="0">
      <pane xSplit="5" ySplit="9" topLeftCell="F10" activePane="bottomRight" state="frozen"/>
      <selection activeCell="G5" sqref="G4:G5"/>
      <selection pane="topRight" activeCell="G5" sqref="G4:G5"/>
      <selection pane="bottomLeft" activeCell="G5" sqref="G4:G5"/>
      <selection pane="bottomRight" activeCell="G5" sqref="G4:G5"/>
    </sheetView>
  </sheetViews>
  <sheetFormatPr defaultRowHeight="12.75" outlineLevelRow="1" outlineLevelCol="1" x14ac:dyDescent="0.2"/>
  <cols>
    <col min="1" max="1" width="6" style="37" customWidth="1"/>
    <col min="2" max="2" width="59.42578125" style="34" customWidth="1"/>
    <col min="3" max="3" width="16" style="34" customWidth="1"/>
    <col min="4" max="4" width="2.7109375" style="34" customWidth="1"/>
    <col min="5" max="5" width="16" style="34" customWidth="1"/>
    <col min="6" max="6" width="8.85546875" style="34" bestFit="1" customWidth="1" outlineLevel="1"/>
    <col min="7" max="7" width="16" style="34" customWidth="1" outlineLevel="1"/>
    <col min="8" max="8" width="3.28515625" style="34" customWidth="1" outlineLevel="1"/>
    <col min="9" max="9" width="16" style="34" customWidth="1" outlineLevel="1"/>
    <col min="10" max="10" width="5.85546875" style="34" customWidth="1" outlineLevel="1"/>
    <col min="11" max="11" width="2.42578125" style="34" customWidth="1"/>
    <col min="12" max="12" width="16.42578125" style="34" hidden="1" customWidth="1" outlineLevel="1"/>
    <col min="13" max="13" width="1.5703125" style="34" hidden="1" customWidth="1" outlineLevel="1"/>
    <col min="14" max="14" width="15.5703125" style="34" hidden="1" customWidth="1" outlineLevel="1"/>
    <col min="15" max="15" width="9.140625" style="34" collapsed="1"/>
    <col min="16" max="16" width="15.5703125" style="34" bestFit="1" customWidth="1"/>
    <col min="17" max="17" width="2.28515625" style="34" customWidth="1"/>
    <col min="18" max="18" width="16.28515625" style="34" bestFit="1" customWidth="1"/>
    <col min="19" max="20" width="9.140625" style="34"/>
    <col min="21" max="21" width="14" style="34" hidden="1" customWidth="1" outlineLevel="1"/>
    <col min="22" max="22" width="9.140625" style="34" hidden="1" customWidth="1" outlineLevel="1"/>
    <col min="23" max="23" width="9.140625" style="34" collapsed="1"/>
    <col min="24" max="24" width="10.140625" style="34" bestFit="1" customWidth="1"/>
    <col min="25" max="264" width="9.140625" style="34"/>
    <col min="265" max="265" width="6" style="34" customWidth="1"/>
    <col min="266" max="266" width="59.42578125" style="34" customWidth="1"/>
    <col min="267" max="270" width="16" style="34" customWidth="1"/>
    <col min="271" max="271" width="15.28515625" style="34" customWidth="1"/>
    <col min="272" max="272" width="16" style="34" customWidth="1"/>
    <col min="273" max="520" width="9.140625" style="34"/>
    <col min="521" max="521" width="6" style="34" customWidth="1"/>
    <col min="522" max="522" width="59.42578125" style="34" customWidth="1"/>
    <col min="523" max="526" width="16" style="34" customWidth="1"/>
    <col min="527" max="527" width="15.28515625" style="34" customWidth="1"/>
    <col min="528" max="528" width="16" style="34" customWidth="1"/>
    <col min="529" max="776" width="9.140625" style="34"/>
    <col min="777" max="777" width="6" style="34" customWidth="1"/>
    <col min="778" max="778" width="59.42578125" style="34" customWidth="1"/>
    <col min="779" max="782" width="16" style="34" customWidth="1"/>
    <col min="783" max="783" width="15.28515625" style="34" customWidth="1"/>
    <col min="784" max="784" width="16" style="34" customWidth="1"/>
    <col min="785" max="1032" width="9.140625" style="34"/>
    <col min="1033" max="1033" width="6" style="34" customWidth="1"/>
    <col min="1034" max="1034" width="59.42578125" style="34" customWidth="1"/>
    <col min="1035" max="1038" width="16" style="34" customWidth="1"/>
    <col min="1039" max="1039" width="15.28515625" style="34" customWidth="1"/>
    <col min="1040" max="1040" width="16" style="34" customWidth="1"/>
    <col min="1041" max="1288" width="9.140625" style="34"/>
    <col min="1289" max="1289" width="6" style="34" customWidth="1"/>
    <col min="1290" max="1290" width="59.42578125" style="34" customWidth="1"/>
    <col min="1291" max="1294" width="16" style="34" customWidth="1"/>
    <col min="1295" max="1295" width="15.28515625" style="34" customWidth="1"/>
    <col min="1296" max="1296" width="16" style="34" customWidth="1"/>
    <col min="1297" max="1544" width="9.140625" style="34"/>
    <col min="1545" max="1545" width="6" style="34" customWidth="1"/>
    <col min="1546" max="1546" width="59.42578125" style="34" customWidth="1"/>
    <col min="1547" max="1550" width="16" style="34" customWidth="1"/>
    <col min="1551" max="1551" width="15.28515625" style="34" customWidth="1"/>
    <col min="1552" max="1552" width="16" style="34" customWidth="1"/>
    <col min="1553" max="1800" width="9.140625" style="34"/>
    <col min="1801" max="1801" width="6" style="34" customWidth="1"/>
    <col min="1802" max="1802" width="59.42578125" style="34" customWidth="1"/>
    <col min="1803" max="1806" width="16" style="34" customWidth="1"/>
    <col min="1807" max="1807" width="15.28515625" style="34" customWidth="1"/>
    <col min="1808" max="1808" width="16" style="34" customWidth="1"/>
    <col min="1809" max="2056" width="9.140625" style="34"/>
    <col min="2057" max="2057" width="6" style="34" customWidth="1"/>
    <col min="2058" max="2058" width="59.42578125" style="34" customWidth="1"/>
    <col min="2059" max="2062" width="16" style="34" customWidth="1"/>
    <col min="2063" max="2063" width="15.28515625" style="34" customWidth="1"/>
    <col min="2064" max="2064" width="16" style="34" customWidth="1"/>
    <col min="2065" max="2312" width="9.140625" style="34"/>
    <col min="2313" max="2313" width="6" style="34" customWidth="1"/>
    <col min="2314" max="2314" width="59.42578125" style="34" customWidth="1"/>
    <col min="2315" max="2318" width="16" style="34" customWidth="1"/>
    <col min="2319" max="2319" width="15.28515625" style="34" customWidth="1"/>
    <col min="2320" max="2320" width="16" style="34" customWidth="1"/>
    <col min="2321" max="2568" width="9.140625" style="34"/>
    <col min="2569" max="2569" width="6" style="34" customWidth="1"/>
    <col min="2570" max="2570" width="59.42578125" style="34" customWidth="1"/>
    <col min="2571" max="2574" width="16" style="34" customWidth="1"/>
    <col min="2575" max="2575" width="15.28515625" style="34" customWidth="1"/>
    <col min="2576" max="2576" width="16" style="34" customWidth="1"/>
    <col min="2577" max="2824" width="9.140625" style="34"/>
    <col min="2825" max="2825" width="6" style="34" customWidth="1"/>
    <col min="2826" max="2826" width="59.42578125" style="34" customWidth="1"/>
    <col min="2827" max="2830" width="16" style="34" customWidth="1"/>
    <col min="2831" max="2831" width="15.28515625" style="34" customWidth="1"/>
    <col min="2832" max="2832" width="16" style="34" customWidth="1"/>
    <col min="2833" max="3080" width="9.140625" style="34"/>
    <col min="3081" max="3081" width="6" style="34" customWidth="1"/>
    <col min="3082" max="3082" width="59.42578125" style="34" customWidth="1"/>
    <col min="3083" max="3086" width="16" style="34" customWidth="1"/>
    <col min="3087" max="3087" width="15.28515625" style="34" customWidth="1"/>
    <col min="3088" max="3088" width="16" style="34" customWidth="1"/>
    <col min="3089" max="3336" width="9.140625" style="34"/>
    <col min="3337" max="3337" width="6" style="34" customWidth="1"/>
    <col min="3338" max="3338" width="59.42578125" style="34" customWidth="1"/>
    <col min="3339" max="3342" width="16" style="34" customWidth="1"/>
    <col min="3343" max="3343" width="15.28515625" style="34" customWidth="1"/>
    <col min="3344" max="3344" width="16" style="34" customWidth="1"/>
    <col min="3345" max="3592" width="9.140625" style="34"/>
    <col min="3593" max="3593" width="6" style="34" customWidth="1"/>
    <col min="3594" max="3594" width="59.42578125" style="34" customWidth="1"/>
    <col min="3595" max="3598" width="16" style="34" customWidth="1"/>
    <col min="3599" max="3599" width="15.28515625" style="34" customWidth="1"/>
    <col min="3600" max="3600" width="16" style="34" customWidth="1"/>
    <col min="3601" max="3848" width="9.140625" style="34"/>
    <col min="3849" max="3849" width="6" style="34" customWidth="1"/>
    <col min="3850" max="3850" width="59.42578125" style="34" customWidth="1"/>
    <col min="3851" max="3854" width="16" style="34" customWidth="1"/>
    <col min="3855" max="3855" width="15.28515625" style="34" customWidth="1"/>
    <col min="3856" max="3856" width="16" style="34" customWidth="1"/>
    <col min="3857" max="4104" width="9.140625" style="34"/>
    <col min="4105" max="4105" width="6" style="34" customWidth="1"/>
    <col min="4106" max="4106" width="59.42578125" style="34" customWidth="1"/>
    <col min="4107" max="4110" width="16" style="34" customWidth="1"/>
    <col min="4111" max="4111" width="15.28515625" style="34" customWidth="1"/>
    <col min="4112" max="4112" width="16" style="34" customWidth="1"/>
    <col min="4113" max="4360" width="9.140625" style="34"/>
    <col min="4361" max="4361" width="6" style="34" customWidth="1"/>
    <col min="4362" max="4362" width="59.42578125" style="34" customWidth="1"/>
    <col min="4363" max="4366" width="16" style="34" customWidth="1"/>
    <col min="4367" max="4367" width="15.28515625" style="34" customWidth="1"/>
    <col min="4368" max="4368" width="16" style="34" customWidth="1"/>
    <col min="4369" max="4616" width="9.140625" style="34"/>
    <col min="4617" max="4617" width="6" style="34" customWidth="1"/>
    <col min="4618" max="4618" width="59.42578125" style="34" customWidth="1"/>
    <col min="4619" max="4622" width="16" style="34" customWidth="1"/>
    <col min="4623" max="4623" width="15.28515625" style="34" customWidth="1"/>
    <col min="4624" max="4624" width="16" style="34" customWidth="1"/>
    <col min="4625" max="4872" width="9.140625" style="34"/>
    <col min="4873" max="4873" width="6" style="34" customWidth="1"/>
    <col min="4874" max="4874" width="59.42578125" style="34" customWidth="1"/>
    <col min="4875" max="4878" width="16" style="34" customWidth="1"/>
    <col min="4879" max="4879" width="15.28515625" style="34" customWidth="1"/>
    <col min="4880" max="4880" width="16" style="34" customWidth="1"/>
    <col min="4881" max="5128" width="9.140625" style="34"/>
    <col min="5129" max="5129" width="6" style="34" customWidth="1"/>
    <col min="5130" max="5130" width="59.42578125" style="34" customWidth="1"/>
    <col min="5131" max="5134" width="16" style="34" customWidth="1"/>
    <col min="5135" max="5135" width="15.28515625" style="34" customWidth="1"/>
    <col min="5136" max="5136" width="16" style="34" customWidth="1"/>
    <col min="5137" max="5384" width="9.140625" style="34"/>
    <col min="5385" max="5385" width="6" style="34" customWidth="1"/>
    <col min="5386" max="5386" width="59.42578125" style="34" customWidth="1"/>
    <col min="5387" max="5390" width="16" style="34" customWidth="1"/>
    <col min="5391" max="5391" width="15.28515625" style="34" customWidth="1"/>
    <col min="5392" max="5392" width="16" style="34" customWidth="1"/>
    <col min="5393" max="5640" width="9.140625" style="34"/>
    <col min="5641" max="5641" width="6" style="34" customWidth="1"/>
    <col min="5642" max="5642" width="59.42578125" style="34" customWidth="1"/>
    <col min="5643" max="5646" width="16" style="34" customWidth="1"/>
    <col min="5647" max="5647" width="15.28515625" style="34" customWidth="1"/>
    <col min="5648" max="5648" width="16" style="34" customWidth="1"/>
    <col min="5649" max="5896" width="9.140625" style="34"/>
    <col min="5897" max="5897" width="6" style="34" customWidth="1"/>
    <col min="5898" max="5898" width="59.42578125" style="34" customWidth="1"/>
    <col min="5899" max="5902" width="16" style="34" customWidth="1"/>
    <col min="5903" max="5903" width="15.28515625" style="34" customWidth="1"/>
    <col min="5904" max="5904" width="16" style="34" customWidth="1"/>
    <col min="5905" max="6152" width="9.140625" style="34"/>
    <col min="6153" max="6153" width="6" style="34" customWidth="1"/>
    <col min="6154" max="6154" width="59.42578125" style="34" customWidth="1"/>
    <col min="6155" max="6158" width="16" style="34" customWidth="1"/>
    <col min="6159" max="6159" width="15.28515625" style="34" customWidth="1"/>
    <col min="6160" max="6160" width="16" style="34" customWidth="1"/>
    <col min="6161" max="6408" width="9.140625" style="34"/>
    <col min="6409" max="6409" width="6" style="34" customWidth="1"/>
    <col min="6410" max="6410" width="59.42578125" style="34" customWidth="1"/>
    <col min="6411" max="6414" width="16" style="34" customWidth="1"/>
    <col min="6415" max="6415" width="15.28515625" style="34" customWidth="1"/>
    <col min="6416" max="6416" width="16" style="34" customWidth="1"/>
    <col min="6417" max="6664" width="9.140625" style="34"/>
    <col min="6665" max="6665" width="6" style="34" customWidth="1"/>
    <col min="6666" max="6666" width="59.42578125" style="34" customWidth="1"/>
    <col min="6667" max="6670" width="16" style="34" customWidth="1"/>
    <col min="6671" max="6671" width="15.28515625" style="34" customWidth="1"/>
    <col min="6672" max="6672" width="16" style="34" customWidth="1"/>
    <col min="6673" max="6920" width="9.140625" style="34"/>
    <col min="6921" max="6921" width="6" style="34" customWidth="1"/>
    <col min="6922" max="6922" width="59.42578125" style="34" customWidth="1"/>
    <col min="6923" max="6926" width="16" style="34" customWidth="1"/>
    <col min="6927" max="6927" width="15.28515625" style="34" customWidth="1"/>
    <col min="6928" max="6928" width="16" style="34" customWidth="1"/>
    <col min="6929" max="7176" width="9.140625" style="34"/>
    <col min="7177" max="7177" width="6" style="34" customWidth="1"/>
    <col min="7178" max="7178" width="59.42578125" style="34" customWidth="1"/>
    <col min="7179" max="7182" width="16" style="34" customWidth="1"/>
    <col min="7183" max="7183" width="15.28515625" style="34" customWidth="1"/>
    <col min="7184" max="7184" width="16" style="34" customWidth="1"/>
    <col min="7185" max="7432" width="9.140625" style="34"/>
    <col min="7433" max="7433" width="6" style="34" customWidth="1"/>
    <col min="7434" max="7434" width="59.42578125" style="34" customWidth="1"/>
    <col min="7435" max="7438" width="16" style="34" customWidth="1"/>
    <col min="7439" max="7439" width="15.28515625" style="34" customWidth="1"/>
    <col min="7440" max="7440" width="16" style="34" customWidth="1"/>
    <col min="7441" max="7688" width="9.140625" style="34"/>
    <col min="7689" max="7689" width="6" style="34" customWidth="1"/>
    <col min="7690" max="7690" width="59.42578125" style="34" customWidth="1"/>
    <col min="7691" max="7694" width="16" style="34" customWidth="1"/>
    <col min="7695" max="7695" width="15.28515625" style="34" customWidth="1"/>
    <col min="7696" max="7696" width="16" style="34" customWidth="1"/>
    <col min="7697" max="7944" width="9.140625" style="34"/>
    <col min="7945" max="7945" width="6" style="34" customWidth="1"/>
    <col min="7946" max="7946" width="59.42578125" style="34" customWidth="1"/>
    <col min="7947" max="7950" width="16" style="34" customWidth="1"/>
    <col min="7951" max="7951" width="15.28515625" style="34" customWidth="1"/>
    <col min="7952" max="7952" width="16" style="34" customWidth="1"/>
    <col min="7953" max="8200" width="9.140625" style="34"/>
    <col min="8201" max="8201" width="6" style="34" customWidth="1"/>
    <col min="8202" max="8202" width="59.42578125" style="34" customWidth="1"/>
    <col min="8203" max="8206" width="16" style="34" customWidth="1"/>
    <col min="8207" max="8207" width="15.28515625" style="34" customWidth="1"/>
    <col min="8208" max="8208" width="16" style="34" customWidth="1"/>
    <col min="8209" max="8456" width="9.140625" style="34"/>
    <col min="8457" max="8457" width="6" style="34" customWidth="1"/>
    <col min="8458" max="8458" width="59.42578125" style="34" customWidth="1"/>
    <col min="8459" max="8462" width="16" style="34" customWidth="1"/>
    <col min="8463" max="8463" width="15.28515625" style="34" customWidth="1"/>
    <col min="8464" max="8464" width="16" style="34" customWidth="1"/>
    <col min="8465" max="8712" width="9.140625" style="34"/>
    <col min="8713" max="8713" width="6" style="34" customWidth="1"/>
    <col min="8714" max="8714" width="59.42578125" style="34" customWidth="1"/>
    <col min="8715" max="8718" width="16" style="34" customWidth="1"/>
    <col min="8719" max="8719" width="15.28515625" style="34" customWidth="1"/>
    <col min="8720" max="8720" width="16" style="34" customWidth="1"/>
    <col min="8721" max="8968" width="9.140625" style="34"/>
    <col min="8969" max="8969" width="6" style="34" customWidth="1"/>
    <col min="8970" max="8970" width="59.42578125" style="34" customWidth="1"/>
    <col min="8971" max="8974" width="16" style="34" customWidth="1"/>
    <col min="8975" max="8975" width="15.28515625" style="34" customWidth="1"/>
    <col min="8976" max="8976" width="16" style="34" customWidth="1"/>
    <col min="8977" max="9224" width="9.140625" style="34"/>
    <col min="9225" max="9225" width="6" style="34" customWidth="1"/>
    <col min="9226" max="9226" width="59.42578125" style="34" customWidth="1"/>
    <col min="9227" max="9230" width="16" style="34" customWidth="1"/>
    <col min="9231" max="9231" width="15.28515625" style="34" customWidth="1"/>
    <col min="9232" max="9232" width="16" style="34" customWidth="1"/>
    <col min="9233" max="9480" width="9.140625" style="34"/>
    <col min="9481" max="9481" width="6" style="34" customWidth="1"/>
    <col min="9482" max="9482" width="59.42578125" style="34" customWidth="1"/>
    <col min="9483" max="9486" width="16" style="34" customWidth="1"/>
    <col min="9487" max="9487" width="15.28515625" style="34" customWidth="1"/>
    <col min="9488" max="9488" width="16" style="34" customWidth="1"/>
    <col min="9489" max="9736" width="9.140625" style="34"/>
    <col min="9737" max="9737" width="6" style="34" customWidth="1"/>
    <col min="9738" max="9738" width="59.42578125" style="34" customWidth="1"/>
    <col min="9739" max="9742" width="16" style="34" customWidth="1"/>
    <col min="9743" max="9743" width="15.28515625" style="34" customWidth="1"/>
    <col min="9744" max="9744" width="16" style="34" customWidth="1"/>
    <col min="9745" max="9992" width="9.140625" style="34"/>
    <col min="9993" max="9993" width="6" style="34" customWidth="1"/>
    <col min="9994" max="9994" width="59.42578125" style="34" customWidth="1"/>
    <col min="9995" max="9998" width="16" style="34" customWidth="1"/>
    <col min="9999" max="9999" width="15.28515625" style="34" customWidth="1"/>
    <col min="10000" max="10000" width="16" style="34" customWidth="1"/>
    <col min="10001" max="10248" width="9.140625" style="34"/>
    <col min="10249" max="10249" width="6" style="34" customWidth="1"/>
    <col min="10250" max="10250" width="59.42578125" style="34" customWidth="1"/>
    <col min="10251" max="10254" width="16" style="34" customWidth="1"/>
    <col min="10255" max="10255" width="15.28515625" style="34" customWidth="1"/>
    <col min="10256" max="10256" width="16" style="34" customWidth="1"/>
    <col min="10257" max="10504" width="9.140625" style="34"/>
    <col min="10505" max="10505" width="6" style="34" customWidth="1"/>
    <col min="10506" max="10506" width="59.42578125" style="34" customWidth="1"/>
    <col min="10507" max="10510" width="16" style="34" customWidth="1"/>
    <col min="10511" max="10511" width="15.28515625" style="34" customWidth="1"/>
    <col min="10512" max="10512" width="16" style="34" customWidth="1"/>
    <col min="10513" max="10760" width="9.140625" style="34"/>
    <col min="10761" max="10761" width="6" style="34" customWidth="1"/>
    <col min="10762" max="10762" width="59.42578125" style="34" customWidth="1"/>
    <col min="10763" max="10766" width="16" style="34" customWidth="1"/>
    <col min="10767" max="10767" width="15.28515625" style="34" customWidth="1"/>
    <col min="10768" max="10768" width="16" style="34" customWidth="1"/>
    <col min="10769" max="11016" width="9.140625" style="34"/>
    <col min="11017" max="11017" width="6" style="34" customWidth="1"/>
    <col min="11018" max="11018" width="59.42578125" style="34" customWidth="1"/>
    <col min="11019" max="11022" width="16" style="34" customWidth="1"/>
    <col min="11023" max="11023" width="15.28515625" style="34" customWidth="1"/>
    <col min="11024" max="11024" width="16" style="34" customWidth="1"/>
    <col min="11025" max="11272" width="9.140625" style="34"/>
    <col min="11273" max="11273" width="6" style="34" customWidth="1"/>
    <col min="11274" max="11274" width="59.42578125" style="34" customWidth="1"/>
    <col min="11275" max="11278" width="16" style="34" customWidth="1"/>
    <col min="11279" max="11279" width="15.28515625" style="34" customWidth="1"/>
    <col min="11280" max="11280" width="16" style="34" customWidth="1"/>
    <col min="11281" max="11528" width="9.140625" style="34"/>
    <col min="11529" max="11529" width="6" style="34" customWidth="1"/>
    <col min="11530" max="11530" width="59.42578125" style="34" customWidth="1"/>
    <col min="11531" max="11534" width="16" style="34" customWidth="1"/>
    <col min="11535" max="11535" width="15.28515625" style="34" customWidth="1"/>
    <col min="11536" max="11536" width="16" style="34" customWidth="1"/>
    <col min="11537" max="11784" width="9.140625" style="34"/>
    <col min="11785" max="11785" width="6" style="34" customWidth="1"/>
    <col min="11786" max="11786" width="59.42578125" style="34" customWidth="1"/>
    <col min="11787" max="11790" width="16" style="34" customWidth="1"/>
    <col min="11791" max="11791" width="15.28515625" style="34" customWidth="1"/>
    <col min="11792" max="11792" width="16" style="34" customWidth="1"/>
    <col min="11793" max="12040" width="9.140625" style="34"/>
    <col min="12041" max="12041" width="6" style="34" customWidth="1"/>
    <col min="12042" max="12042" width="59.42578125" style="34" customWidth="1"/>
    <col min="12043" max="12046" width="16" style="34" customWidth="1"/>
    <col min="12047" max="12047" width="15.28515625" style="34" customWidth="1"/>
    <col min="12048" max="12048" width="16" style="34" customWidth="1"/>
    <col min="12049" max="12296" width="9.140625" style="34"/>
    <col min="12297" max="12297" width="6" style="34" customWidth="1"/>
    <col min="12298" max="12298" width="59.42578125" style="34" customWidth="1"/>
    <col min="12299" max="12302" width="16" style="34" customWidth="1"/>
    <col min="12303" max="12303" width="15.28515625" style="34" customWidth="1"/>
    <col min="12304" max="12304" width="16" style="34" customWidth="1"/>
    <col min="12305" max="12552" width="9.140625" style="34"/>
    <col min="12553" max="12553" width="6" style="34" customWidth="1"/>
    <col min="12554" max="12554" width="59.42578125" style="34" customWidth="1"/>
    <col min="12555" max="12558" width="16" style="34" customWidth="1"/>
    <col min="12559" max="12559" width="15.28515625" style="34" customWidth="1"/>
    <col min="12560" max="12560" width="16" style="34" customWidth="1"/>
    <col min="12561" max="12808" width="9.140625" style="34"/>
    <col min="12809" max="12809" width="6" style="34" customWidth="1"/>
    <col min="12810" max="12810" width="59.42578125" style="34" customWidth="1"/>
    <col min="12811" max="12814" width="16" style="34" customWidth="1"/>
    <col min="12815" max="12815" width="15.28515625" style="34" customWidth="1"/>
    <col min="12816" max="12816" width="16" style="34" customWidth="1"/>
    <col min="12817" max="13064" width="9.140625" style="34"/>
    <col min="13065" max="13065" width="6" style="34" customWidth="1"/>
    <col min="13066" max="13066" width="59.42578125" style="34" customWidth="1"/>
    <col min="13067" max="13070" width="16" style="34" customWidth="1"/>
    <col min="13071" max="13071" width="15.28515625" style="34" customWidth="1"/>
    <col min="13072" max="13072" width="16" style="34" customWidth="1"/>
    <col min="13073" max="13320" width="9.140625" style="34"/>
    <col min="13321" max="13321" width="6" style="34" customWidth="1"/>
    <col min="13322" max="13322" width="59.42578125" style="34" customWidth="1"/>
    <col min="13323" max="13326" width="16" style="34" customWidth="1"/>
    <col min="13327" max="13327" width="15.28515625" style="34" customWidth="1"/>
    <col min="13328" max="13328" width="16" style="34" customWidth="1"/>
    <col min="13329" max="13576" width="9.140625" style="34"/>
    <col min="13577" max="13577" width="6" style="34" customWidth="1"/>
    <col min="13578" max="13578" width="59.42578125" style="34" customWidth="1"/>
    <col min="13579" max="13582" width="16" style="34" customWidth="1"/>
    <col min="13583" max="13583" width="15.28515625" style="34" customWidth="1"/>
    <col min="13584" max="13584" width="16" style="34" customWidth="1"/>
    <col min="13585" max="13832" width="9.140625" style="34"/>
    <col min="13833" max="13833" width="6" style="34" customWidth="1"/>
    <col min="13834" max="13834" width="59.42578125" style="34" customWidth="1"/>
    <col min="13835" max="13838" width="16" style="34" customWidth="1"/>
    <col min="13839" max="13839" width="15.28515625" style="34" customWidth="1"/>
    <col min="13840" max="13840" width="16" style="34" customWidth="1"/>
    <col min="13841" max="14088" width="9.140625" style="34"/>
    <col min="14089" max="14089" width="6" style="34" customWidth="1"/>
    <col min="14090" max="14090" width="59.42578125" style="34" customWidth="1"/>
    <col min="14091" max="14094" width="16" style="34" customWidth="1"/>
    <col min="14095" max="14095" width="15.28515625" style="34" customWidth="1"/>
    <col min="14096" max="14096" width="16" style="34" customWidth="1"/>
    <col min="14097" max="14344" width="9.140625" style="34"/>
    <col min="14345" max="14345" width="6" style="34" customWidth="1"/>
    <col min="14346" max="14346" width="59.42578125" style="34" customWidth="1"/>
    <col min="14347" max="14350" width="16" style="34" customWidth="1"/>
    <col min="14351" max="14351" width="15.28515625" style="34" customWidth="1"/>
    <col min="14352" max="14352" width="16" style="34" customWidth="1"/>
    <col min="14353" max="14600" width="9.140625" style="34"/>
    <col min="14601" max="14601" width="6" style="34" customWidth="1"/>
    <col min="14602" max="14602" width="59.42578125" style="34" customWidth="1"/>
    <col min="14603" max="14606" width="16" style="34" customWidth="1"/>
    <col min="14607" max="14607" width="15.28515625" style="34" customWidth="1"/>
    <col min="14608" max="14608" width="16" style="34" customWidth="1"/>
    <col min="14609" max="14856" width="9.140625" style="34"/>
    <col min="14857" max="14857" width="6" style="34" customWidth="1"/>
    <col min="14858" max="14858" width="59.42578125" style="34" customWidth="1"/>
    <col min="14859" max="14862" width="16" style="34" customWidth="1"/>
    <col min="14863" max="14863" width="15.28515625" style="34" customWidth="1"/>
    <col min="14864" max="14864" width="16" style="34" customWidth="1"/>
    <col min="14865" max="15112" width="9.140625" style="34"/>
    <col min="15113" max="15113" width="6" style="34" customWidth="1"/>
    <col min="15114" max="15114" width="59.42578125" style="34" customWidth="1"/>
    <col min="15115" max="15118" width="16" style="34" customWidth="1"/>
    <col min="15119" max="15119" width="15.28515625" style="34" customWidth="1"/>
    <col min="15120" max="15120" width="16" style="34" customWidth="1"/>
    <col min="15121" max="15368" width="9.140625" style="34"/>
    <col min="15369" max="15369" width="6" style="34" customWidth="1"/>
    <col min="15370" max="15370" width="59.42578125" style="34" customWidth="1"/>
    <col min="15371" max="15374" width="16" style="34" customWidth="1"/>
    <col min="15375" max="15375" width="15.28515625" style="34" customWidth="1"/>
    <col min="15376" max="15376" width="16" style="34" customWidth="1"/>
    <col min="15377" max="15624" width="9.140625" style="34"/>
    <col min="15625" max="15625" width="6" style="34" customWidth="1"/>
    <col min="15626" max="15626" width="59.42578125" style="34" customWidth="1"/>
    <col min="15627" max="15630" width="16" style="34" customWidth="1"/>
    <col min="15631" max="15631" width="15.28515625" style="34" customWidth="1"/>
    <col min="15632" max="15632" width="16" style="34" customWidth="1"/>
    <col min="15633" max="15880" width="9.140625" style="34"/>
    <col min="15881" max="15881" width="6" style="34" customWidth="1"/>
    <col min="15882" max="15882" width="59.42578125" style="34" customWidth="1"/>
    <col min="15883" max="15886" width="16" style="34" customWidth="1"/>
    <col min="15887" max="15887" width="15.28515625" style="34" customWidth="1"/>
    <col min="15888" max="15888" width="16" style="34" customWidth="1"/>
    <col min="15889" max="16136" width="9.140625" style="34"/>
    <col min="16137" max="16137" width="6" style="34" customWidth="1"/>
    <col min="16138" max="16138" width="59.42578125" style="34" customWidth="1"/>
    <col min="16139" max="16142" width="16" style="34" customWidth="1"/>
    <col min="16143" max="16143" width="15.28515625" style="34" customWidth="1"/>
    <col min="16144" max="16144" width="16" style="34" customWidth="1"/>
    <col min="16145" max="16384" width="9.140625" style="34"/>
  </cols>
  <sheetData>
    <row r="1" spans="1:22" x14ac:dyDescent="0.2">
      <c r="A1" s="47"/>
      <c r="B1" s="47" t="str">
        <f>Update!$B$6</f>
        <v>Department of Health</v>
      </c>
      <c r="C1" s="51"/>
      <c r="D1" s="51"/>
      <c r="E1" s="51"/>
      <c r="F1" s="51"/>
      <c r="G1" s="51"/>
      <c r="H1" s="51"/>
      <c r="I1" s="51"/>
      <c r="J1" s="51"/>
      <c r="K1" s="51"/>
      <c r="L1" s="51"/>
    </row>
    <row r="2" spans="1:22" x14ac:dyDescent="0.2">
      <c r="A2" s="47"/>
      <c r="B2" s="47" t="str">
        <f>Update!$B$10</f>
        <v>Notes to the financial statements</v>
      </c>
      <c r="C2" s="51"/>
      <c r="D2" s="51"/>
      <c r="E2" s="51"/>
      <c r="F2" s="51"/>
      <c r="G2" s="51"/>
      <c r="H2" s="51"/>
      <c r="I2" s="51"/>
      <c r="J2" s="51"/>
      <c r="K2" s="51"/>
      <c r="L2" s="51"/>
    </row>
    <row r="3" spans="1:22" x14ac:dyDescent="0.2">
      <c r="A3" s="47"/>
      <c r="B3" s="47" t="str">
        <f>Update!$A$3</f>
        <v>2025-26</v>
      </c>
      <c r="C3" s="51"/>
      <c r="D3" s="51"/>
      <c r="E3" s="51"/>
      <c r="F3" s="51"/>
      <c r="G3" s="51"/>
      <c r="H3" s="51"/>
      <c r="I3" s="51"/>
      <c r="J3" s="51"/>
      <c r="K3" s="51"/>
      <c r="L3" s="51"/>
    </row>
    <row r="4" spans="1:22" x14ac:dyDescent="0.2">
      <c r="A4" s="47"/>
      <c r="B4" s="47"/>
      <c r="C4" s="51"/>
      <c r="D4" s="51"/>
      <c r="E4" s="51"/>
      <c r="F4" s="51"/>
      <c r="G4" s="51"/>
      <c r="H4" s="51"/>
      <c r="I4" s="51"/>
      <c r="J4" s="51"/>
      <c r="K4" s="51"/>
      <c r="L4" s="51"/>
    </row>
    <row r="5" spans="1:22" x14ac:dyDescent="0.2">
      <c r="A5" s="739">
        <f>SUMIF(Update!$B$33:$B$106,B5,Update!$A$33:$A$106)</f>
        <v>12</v>
      </c>
      <c r="B5" s="47" t="s">
        <v>1700</v>
      </c>
      <c r="C5" s="47"/>
      <c r="D5" s="47"/>
      <c r="E5" s="51"/>
      <c r="F5" s="51"/>
      <c r="G5" s="51"/>
      <c r="H5" s="51"/>
      <c r="I5" s="51"/>
      <c r="J5" s="51"/>
      <c r="K5" s="51"/>
      <c r="L5" s="51"/>
    </row>
    <row r="6" spans="1:22" x14ac:dyDescent="0.2">
      <c r="A6" s="723"/>
      <c r="B6" s="47"/>
      <c r="C6" s="47"/>
      <c r="D6" s="47"/>
      <c r="E6" s="51"/>
      <c r="F6" s="51"/>
      <c r="G6" s="51"/>
      <c r="H6" s="51"/>
      <c r="I6" s="113"/>
      <c r="J6" s="51"/>
      <c r="K6" s="51"/>
      <c r="L6" s="722" t="s">
        <v>64</v>
      </c>
      <c r="N6" s="722" t="s">
        <v>64</v>
      </c>
      <c r="P6" s="722" t="s">
        <v>64</v>
      </c>
      <c r="R6" s="722" t="s">
        <v>64</v>
      </c>
      <c r="U6" s="34" t="s">
        <v>1901</v>
      </c>
    </row>
    <row r="7" spans="1:22" ht="38.25" x14ac:dyDescent="0.2">
      <c r="A7" s="723"/>
      <c r="B7" s="47"/>
      <c r="C7" s="201" t="str">
        <f>Update!$B$7</f>
        <v>Core Department &amp; Agencies</v>
      </c>
      <c r="D7" s="201"/>
      <c r="E7" s="201" t="str">
        <f>Update!$B$8</f>
        <v>Departmental Group</v>
      </c>
      <c r="F7" s="51"/>
      <c r="G7" s="201" t="str">
        <f>Update!$B$7</f>
        <v>Core Department &amp; Agencies</v>
      </c>
      <c r="H7" s="51"/>
      <c r="I7" s="201" t="str">
        <f>Update!$B$8</f>
        <v>Departmental Group</v>
      </c>
      <c r="J7" s="51"/>
      <c r="K7" s="51"/>
      <c r="L7" s="201" t="str">
        <f>Update!$B$7</f>
        <v>Core Department &amp; Agencies</v>
      </c>
      <c r="M7" s="201"/>
      <c r="N7" s="201" t="str">
        <f>Update!$B$8</f>
        <v>Departmental Group</v>
      </c>
      <c r="P7" s="201" t="str">
        <f>Update!$B$7</f>
        <v>Core Department &amp; Agencies</v>
      </c>
      <c r="Q7" s="201"/>
      <c r="R7" s="201" t="str">
        <f>Update!$B$8</f>
        <v>Departmental Group</v>
      </c>
      <c r="U7" s="341" t="s">
        <v>1975</v>
      </c>
      <c r="V7" s="206" t="s">
        <v>1010</v>
      </c>
    </row>
    <row r="8" spans="1:22" x14ac:dyDescent="0.2">
      <c r="A8" s="47"/>
      <c r="B8" s="51"/>
      <c r="C8" s="748" t="str">
        <f>Update!$B$22</f>
        <v xml:space="preserve"> 31 March 2026</v>
      </c>
      <c r="D8" s="201"/>
      <c r="E8" s="748" t="str">
        <f>Update!$B$22</f>
        <v xml:space="preserve"> 31 March 2026</v>
      </c>
      <c r="F8" s="225"/>
      <c r="G8" s="724" t="str">
        <f>Update!$B$24</f>
        <v xml:space="preserve"> 31 March 2025</v>
      </c>
      <c r="H8" s="51"/>
      <c r="I8" s="724" t="str">
        <f>Update!$B$24</f>
        <v xml:space="preserve"> 31 March 2025</v>
      </c>
      <c r="J8" s="51"/>
      <c r="K8" s="51"/>
      <c r="L8" s="748" t="str">
        <f>Update!$B$22</f>
        <v xml:space="preserve"> 31 March 2026</v>
      </c>
      <c r="M8" s="201"/>
      <c r="N8" s="748" t="str">
        <f>Update!$B$22</f>
        <v xml:space="preserve"> 31 March 2026</v>
      </c>
      <c r="P8" s="748" t="str">
        <f>Update!$B$22</f>
        <v xml:space="preserve"> 31 March 2026</v>
      </c>
      <c r="Q8" s="201"/>
      <c r="R8" s="748" t="str">
        <f>Update!$B$22</f>
        <v xml:space="preserve"> 31 March 2026</v>
      </c>
    </row>
    <row r="9" spans="1:22" x14ac:dyDescent="0.2">
      <c r="A9" s="47"/>
      <c r="B9" s="51"/>
      <c r="C9" s="225" t="s">
        <v>462</v>
      </c>
      <c r="D9" s="201"/>
      <c r="E9" s="225" t="s">
        <v>462</v>
      </c>
      <c r="F9" s="225"/>
      <c r="G9" s="225" t="s">
        <v>462</v>
      </c>
      <c r="H9" s="51"/>
      <c r="I9" s="225" t="s">
        <v>462</v>
      </c>
      <c r="J9" s="51"/>
      <c r="K9" s="51"/>
      <c r="L9" s="225" t="s">
        <v>462</v>
      </c>
      <c r="M9" s="201"/>
      <c r="N9" s="225" t="s">
        <v>462</v>
      </c>
      <c r="P9" s="225" t="s">
        <v>462</v>
      </c>
      <c r="Q9" s="201"/>
      <c r="R9" s="225" t="s">
        <v>462</v>
      </c>
    </row>
    <row r="10" spans="1:22" ht="21" customHeight="1" x14ac:dyDescent="0.2">
      <c r="A10" s="47"/>
      <c r="B10" s="47" t="s">
        <v>610</v>
      </c>
      <c r="C10" s="51"/>
      <c r="D10" s="201"/>
      <c r="E10" s="51"/>
      <c r="F10" s="51"/>
      <c r="G10" s="51"/>
      <c r="H10" s="51"/>
      <c r="I10" s="51"/>
      <c r="J10" s="51"/>
      <c r="K10" s="51"/>
      <c r="L10" s="51"/>
      <c r="M10" s="201"/>
      <c r="N10" s="51"/>
    </row>
    <row r="11" spans="1:22" ht="21" customHeight="1" x14ac:dyDescent="0.2">
      <c r="A11" s="47"/>
      <c r="B11" s="51" t="s">
        <v>230</v>
      </c>
      <c r="C11" s="747">
        <f>SUMIF(MAP!$E$1236:$E$1248,$B11,MAP!$T$1236:$T$1248)</f>
        <v>0</v>
      </c>
      <c r="D11" s="201"/>
      <c r="E11" s="747">
        <f>SUMIF(MAP!$E$1236:$E$1248,$B11,MAP!$N$1236:$N$1248)</f>
        <v>0</v>
      </c>
      <c r="F11" s="51"/>
      <c r="G11" s="749">
        <v>1875</v>
      </c>
      <c r="H11" s="51"/>
      <c r="I11" s="749">
        <v>65870</v>
      </c>
      <c r="J11" s="51"/>
      <c r="K11" s="51"/>
      <c r="L11" s="747">
        <f>SUMIF(MAP!$E$1236:$E$1248,$B11,MAP!$U$1236:$U$1248)</f>
        <v>0</v>
      </c>
      <c r="M11" s="201"/>
      <c r="N11" s="747">
        <f>SUMIF(MAP!$E$1236:$E$1248,$B11,MAP!$BD$1236:$BD$1248)</f>
        <v>0</v>
      </c>
      <c r="P11" s="747">
        <v>0</v>
      </c>
      <c r="Q11" s="201"/>
      <c r="R11" s="747">
        <v>0</v>
      </c>
      <c r="U11" s="342">
        <v>2682</v>
      </c>
      <c r="V11" s="204">
        <f>U11-C11</f>
        <v>2682</v>
      </c>
    </row>
    <row r="12" spans="1:22" ht="21" customHeight="1" x14ac:dyDescent="0.2">
      <c r="A12" s="47"/>
      <c r="B12" s="51" t="s">
        <v>231</v>
      </c>
      <c r="C12" s="747">
        <f>SUMIF(MAP!$E$1236:$E$1248,$B12,MAP!$T$1236:$T$1248)</f>
        <v>0</v>
      </c>
      <c r="D12" s="201"/>
      <c r="E12" s="747">
        <f>SUMIF(MAP!$E$1236:$E$1248,$B12,MAP!$N$1236:$N$1248)</f>
        <v>0</v>
      </c>
      <c r="F12" s="51">
        <f>ROUND(SUMIF(MAP!$E$389:$E$406,$B12,MAP!$N$389:$N$406),0)</f>
        <v>0</v>
      </c>
      <c r="G12" s="749">
        <v>13378</v>
      </c>
      <c r="H12" s="51"/>
      <c r="I12" s="749">
        <v>66291</v>
      </c>
      <c r="J12" s="51"/>
      <c r="K12" s="51"/>
      <c r="L12" s="747">
        <f>SUMIF(MAP!$E$1236:$E$1248,$B12,MAP!$U$1236:$U$1248)</f>
        <v>0</v>
      </c>
      <c r="M12" s="201"/>
      <c r="N12" s="747">
        <f>SUMIF(MAP!$E$1236:$E$1248,$B12,MAP!$BD$1236:$BD$1248)</f>
        <v>0</v>
      </c>
      <c r="P12" s="747">
        <v>-961</v>
      </c>
      <c r="Q12" s="201"/>
      <c r="R12" s="747">
        <v>34688</v>
      </c>
      <c r="U12" s="342">
        <v>14882</v>
      </c>
      <c r="V12" s="204">
        <f t="shared" ref="V12:V39" si="0">U12-C12</f>
        <v>14882</v>
      </c>
    </row>
    <row r="13" spans="1:22" ht="21" customHeight="1" x14ac:dyDescent="0.2">
      <c r="A13" s="47"/>
      <c r="B13" s="51" t="s">
        <v>239</v>
      </c>
      <c r="C13" s="747">
        <f>SUMIF(MAP!$E$1236:$E$1248,$B13,MAP!$T$1236:$T$1248)</f>
        <v>0</v>
      </c>
      <c r="D13" s="201"/>
      <c r="E13" s="747">
        <f>SUMIF(MAP!$E$1236:$E$1248,$B13,MAP!$N$1236:$N$1248)</f>
        <v>0</v>
      </c>
      <c r="F13" s="51"/>
      <c r="G13" s="749">
        <v>0</v>
      </c>
      <c r="H13" s="51"/>
      <c r="I13" s="749">
        <v>4</v>
      </c>
      <c r="J13" s="51"/>
      <c r="K13" s="51"/>
      <c r="L13" s="747">
        <f>SUMIF(MAP!$E$1249:$E$1253,$B13,MAP!$U$1249:$U$1253)</f>
        <v>0</v>
      </c>
      <c r="M13" s="201"/>
      <c r="N13" s="747">
        <f>SUMIF(MAP!$E$1249:$E$1253,$B13,MAP!$BD$1249:$BD$1253)</f>
        <v>0</v>
      </c>
      <c r="P13" s="747">
        <v>0</v>
      </c>
      <c r="Q13" s="201"/>
      <c r="R13" s="747">
        <v>0</v>
      </c>
      <c r="U13" s="342">
        <v>0</v>
      </c>
      <c r="V13" s="204">
        <f>U13-C13</f>
        <v>0</v>
      </c>
    </row>
    <row r="14" spans="1:22" ht="21" customHeight="1" x14ac:dyDescent="0.2">
      <c r="A14" s="47"/>
      <c r="B14" s="51" t="s">
        <v>1073</v>
      </c>
      <c r="C14" s="747">
        <f>SUMIF(MAP!$E$1236:$E$1248,$B14,MAP!$T$1236:$T$1248)</f>
        <v>0</v>
      </c>
      <c r="D14" s="201"/>
      <c r="E14" s="747">
        <f>SUMIF(MAP!$E$1236:$E$1248,$B14,MAP!$N$1236:$N$1248)</f>
        <v>0</v>
      </c>
      <c r="F14" s="51"/>
      <c r="G14" s="749">
        <v>0</v>
      </c>
      <c r="H14" s="51"/>
      <c r="I14" s="749">
        <v>0</v>
      </c>
      <c r="J14" s="51"/>
      <c r="K14" s="51"/>
      <c r="L14" s="747">
        <f>SUMIF(MAP!$E$1236:$E$1248,$B14,MAP!$U$1236:$U$1248)</f>
        <v>0</v>
      </c>
      <c r="M14" s="201"/>
      <c r="N14" s="747">
        <f>SUMIF(MAP!$E$1236:$E$1248,$B14,MAP!$BD$1236:$BD$1248)</f>
        <v>0</v>
      </c>
      <c r="P14" s="747">
        <v>0</v>
      </c>
      <c r="Q14" s="201"/>
      <c r="R14" s="747">
        <v>0</v>
      </c>
      <c r="U14" s="342"/>
      <c r="V14" s="204">
        <f t="shared" si="0"/>
        <v>0</v>
      </c>
    </row>
    <row r="15" spans="1:22" ht="21" customHeight="1" x14ac:dyDescent="0.2">
      <c r="A15" s="47"/>
      <c r="B15" s="51" t="s">
        <v>232</v>
      </c>
      <c r="C15" s="747">
        <f>SUMIF(MAP!$E$1236:$E$1248,$B15,MAP!$T$1236:$T$1248)</f>
        <v>0</v>
      </c>
      <c r="D15" s="201"/>
      <c r="E15" s="747">
        <f>SUMIF(MAP!$E$1236:$E$1248,$B15,MAP!$N$1236:$N$1248)</f>
        <v>0</v>
      </c>
      <c r="F15" s="51"/>
      <c r="G15" s="749">
        <v>7416</v>
      </c>
      <c r="H15" s="51"/>
      <c r="I15" s="749">
        <v>83591</v>
      </c>
      <c r="J15" s="732" t="s">
        <v>612</v>
      </c>
      <c r="K15" s="51"/>
      <c r="L15" s="747">
        <f>SUMIF(MAP!$E$1236:$E$1248,$B15,MAP!$U$1236:$U$1248)</f>
        <v>0</v>
      </c>
      <c r="M15" s="201"/>
      <c r="N15" s="747">
        <f>SUMIF(MAP!$E$1236:$E$1248,$B15,MAP!$BD$1236:$BD$1248)</f>
        <v>0</v>
      </c>
      <c r="P15" s="747">
        <v>0</v>
      </c>
      <c r="Q15" s="201"/>
      <c r="R15" s="747">
        <f>172228-171267</f>
        <v>961</v>
      </c>
      <c r="U15" s="342">
        <v>178853</v>
      </c>
      <c r="V15" s="204">
        <f t="shared" si="0"/>
        <v>178853</v>
      </c>
    </row>
    <row r="16" spans="1:22" ht="21" customHeight="1" x14ac:dyDescent="0.2">
      <c r="A16" s="47"/>
      <c r="B16" s="51" t="s">
        <v>233</v>
      </c>
      <c r="C16" s="747">
        <f>SUMIF(MAP!$E$1236:$E$1248,$B16,MAP!$T$1236:$T$1248)</f>
        <v>0</v>
      </c>
      <c r="D16" s="201"/>
      <c r="E16" s="747">
        <f>SUMIF(MAP!$E$1236:$E$1248,$B16,MAP!$N$1236:$N$1248)</f>
        <v>0</v>
      </c>
      <c r="F16" s="51"/>
      <c r="G16" s="749">
        <v>0</v>
      </c>
      <c r="H16" s="51"/>
      <c r="I16" s="749">
        <v>0</v>
      </c>
      <c r="J16" s="732" t="s">
        <v>613</v>
      </c>
      <c r="K16" s="51"/>
      <c r="L16" s="747">
        <f>SUMIF(MAP!$E$1236:$E$1248,$B16,MAP!$U$1236:$U$1248)</f>
        <v>0</v>
      </c>
      <c r="M16" s="201"/>
      <c r="N16" s="747">
        <f>SUMIF(MAP!$E$1236:$E$1248,$B16,MAP!$BD$1236:$BD$1248)</f>
        <v>0</v>
      </c>
      <c r="P16" s="747">
        <v>0</v>
      </c>
      <c r="Q16" s="201"/>
      <c r="R16" s="747">
        <v>0</v>
      </c>
      <c r="U16" s="342"/>
      <c r="V16" s="204">
        <f t="shared" si="0"/>
        <v>0</v>
      </c>
    </row>
    <row r="17" spans="1:22" ht="21" customHeight="1" x14ac:dyDescent="0.2">
      <c r="A17" s="47"/>
      <c r="B17" s="51" t="s">
        <v>234</v>
      </c>
      <c r="C17" s="747">
        <f>SUMIF(MAP!$E$1236:$E$1248,$B17,MAP!$T$1236:$T$1248)</f>
        <v>0</v>
      </c>
      <c r="D17" s="201"/>
      <c r="E17" s="747">
        <f>SUMIF(MAP!$E$1236:$E$1248,$B17,MAP!$N$1236:$N$1248)</f>
        <v>0</v>
      </c>
      <c r="F17" s="51"/>
      <c r="G17" s="749">
        <v>0</v>
      </c>
      <c r="H17" s="51"/>
      <c r="I17" s="749">
        <v>16</v>
      </c>
      <c r="J17" s="732" t="s">
        <v>614</v>
      </c>
      <c r="K17" s="51"/>
      <c r="L17" s="747">
        <f>SUMIF(MAP!$E$1236:$E$1248,$B17,MAP!$U$1236:$U$1248)</f>
        <v>0</v>
      </c>
      <c r="M17" s="201"/>
      <c r="N17" s="747">
        <f>SUMIF(MAP!$E$1236:$E$1248,$B17,MAP!$BD$1236:$BD$1248)</f>
        <v>0</v>
      </c>
      <c r="P17" s="747">
        <v>0</v>
      </c>
      <c r="Q17" s="201"/>
      <c r="R17" s="747">
        <v>0</v>
      </c>
      <c r="U17" s="342"/>
      <c r="V17" s="204">
        <f t="shared" si="0"/>
        <v>0</v>
      </c>
    </row>
    <row r="18" spans="1:22" ht="21" customHeight="1" x14ac:dyDescent="0.2">
      <c r="A18" s="47"/>
      <c r="B18" s="51" t="s">
        <v>232</v>
      </c>
      <c r="C18" s="747">
        <f>SUM(C15:C17)</f>
        <v>0</v>
      </c>
      <c r="D18" s="201"/>
      <c r="E18" s="747">
        <f>SUM(E15:E17)</f>
        <v>0</v>
      </c>
      <c r="F18" s="51"/>
      <c r="G18" s="747">
        <f>SUM(G15:G17)</f>
        <v>7416</v>
      </c>
      <c r="H18" s="51"/>
      <c r="I18" s="747">
        <f>SUM(I15:I17)</f>
        <v>83607</v>
      </c>
      <c r="J18" s="732"/>
      <c r="K18" s="51"/>
      <c r="L18" s="747"/>
      <c r="M18" s="201"/>
      <c r="N18" s="747"/>
      <c r="P18" s="747"/>
      <c r="Q18" s="201"/>
      <c r="R18" s="747"/>
      <c r="U18" s="342"/>
      <c r="V18" s="204"/>
    </row>
    <row r="19" spans="1:22" ht="21" customHeight="1" x14ac:dyDescent="0.2">
      <c r="A19" s="47"/>
      <c r="B19" s="249" t="s">
        <v>235</v>
      </c>
      <c r="C19" s="747">
        <f>SUMIF(MAP!$E$1236:$E$1248,$B19,MAP!$T$1236:$T$1248)</f>
        <v>0</v>
      </c>
      <c r="D19" s="201"/>
      <c r="E19" s="747">
        <f>SUMIF(MAP!$E$1236:$E$1248,$B19,MAP!$N$1236:$N$1248)</f>
        <v>0</v>
      </c>
      <c r="F19" s="51">
        <f>ROUND(SUMIF(MAP!$E$389:$E$406,$B19,MAP!$N$389:$N$406),0)</f>
        <v>0</v>
      </c>
      <c r="G19" s="749">
        <v>0</v>
      </c>
      <c r="H19" s="51"/>
      <c r="I19" s="749">
        <v>0</v>
      </c>
      <c r="J19" s="51"/>
      <c r="K19" s="51"/>
      <c r="L19" s="747">
        <f>SUMIF(MAP!$E$1236:$E$1248,$B19,MAP!$U$1236:$U$1248)</f>
        <v>0</v>
      </c>
      <c r="M19" s="201"/>
      <c r="N19" s="747">
        <f>SUMIF(MAP!$E$1236:$E$1248,$B19,MAP!$BD$1236:$BD$1248)</f>
        <v>0</v>
      </c>
      <c r="P19" s="747">
        <v>0</v>
      </c>
      <c r="Q19" s="201"/>
      <c r="R19" s="747">
        <v>0</v>
      </c>
      <c r="U19" s="342"/>
      <c r="V19" s="204">
        <f t="shared" si="0"/>
        <v>0</v>
      </c>
    </row>
    <row r="20" spans="1:22" ht="21" customHeight="1" x14ac:dyDescent="0.2">
      <c r="A20" s="47"/>
      <c r="B20" s="51" t="s">
        <v>236</v>
      </c>
      <c r="C20" s="747">
        <f>SUMIF(MAP!$E$1236:$E$1248,$B20,MAP!$T$1236:$T$1248)</f>
        <v>0</v>
      </c>
      <c r="D20" s="201"/>
      <c r="E20" s="747">
        <f>SUMIF(MAP!$E$1236:$E$1248,$B20,MAP!$N$1236:$N$1248)</f>
        <v>0</v>
      </c>
      <c r="F20" s="51"/>
      <c r="G20" s="749">
        <v>0</v>
      </c>
      <c r="H20" s="51"/>
      <c r="I20" s="749">
        <v>0</v>
      </c>
      <c r="J20" s="51"/>
      <c r="K20" s="51"/>
      <c r="L20" s="747">
        <f>SUMIF(MAP!$E$1236:$E$1248,$B20,MAP!$U$1236:$U$1248)</f>
        <v>0</v>
      </c>
      <c r="M20" s="201"/>
      <c r="N20" s="747">
        <f>SUMIF(MAP!$E$1236:$E$1248,$B20,MAP!$BD$1236:$BD$1248)</f>
        <v>0</v>
      </c>
      <c r="P20" s="747">
        <v>0</v>
      </c>
      <c r="Q20" s="201"/>
      <c r="R20" s="747">
        <v>0</v>
      </c>
      <c r="U20" s="342"/>
      <c r="V20" s="204">
        <f t="shared" si="0"/>
        <v>0</v>
      </c>
    </row>
    <row r="21" spans="1:22" ht="21" customHeight="1" x14ac:dyDescent="0.2">
      <c r="A21" s="47"/>
      <c r="B21" s="51" t="s">
        <v>237</v>
      </c>
      <c r="C21" s="747">
        <f>SUMIF(MAP!$E$1236:$E$1248,$B21,MAP!$T$1236:$T$1248)</f>
        <v>0</v>
      </c>
      <c r="D21" s="201"/>
      <c r="E21" s="747">
        <f>SUMIF(MAP!$E$1236:$E$1248,$B21,MAP!$N$1236:$N$1248)</f>
        <v>0</v>
      </c>
      <c r="F21" s="230">
        <f>E21-'Note 13'!E27-TE!I52</f>
        <v>0</v>
      </c>
      <c r="G21" s="749">
        <v>0</v>
      </c>
      <c r="H21" s="51"/>
      <c r="I21" s="749">
        <v>0</v>
      </c>
      <c r="J21" s="51"/>
      <c r="K21" s="51"/>
      <c r="L21" s="747">
        <f>SUMIF(MAP!$E$1236:$E$1248,$B21,MAP!$U$1236:$U$1248)</f>
        <v>0</v>
      </c>
      <c r="M21" s="201"/>
      <c r="N21" s="747">
        <f>SUMIF(MAP!$E$1236:$E$1248,$B21,MAP!$BD$1236:$BD$1248)</f>
        <v>0</v>
      </c>
      <c r="P21" s="747">
        <v>0</v>
      </c>
      <c r="Q21" s="201"/>
      <c r="R21" s="747">
        <v>0</v>
      </c>
      <c r="U21" s="342">
        <v>10028</v>
      </c>
      <c r="V21" s="204">
        <f>U21-C21</f>
        <v>10028</v>
      </c>
    </row>
    <row r="22" spans="1:22" ht="21" customHeight="1" thickBot="1" x14ac:dyDescent="0.25">
      <c r="A22" s="47"/>
      <c r="B22" s="47" t="s">
        <v>238</v>
      </c>
      <c r="C22" s="750">
        <f>SUM(C18:C21)+C14+C13+C12+C11</f>
        <v>0</v>
      </c>
      <c r="D22" s="201"/>
      <c r="E22" s="750">
        <f>SUM(E18:E21)+E14+E13+E12+E11</f>
        <v>0</v>
      </c>
      <c r="F22" s="230">
        <f>E22-MAP!$N$1248</f>
        <v>0</v>
      </c>
      <c r="G22" s="750">
        <f>SUM(G18:G21)+G14+G13+G12+G11</f>
        <v>22669</v>
      </c>
      <c r="H22" s="51"/>
      <c r="I22" s="750">
        <f>SUM(I18:I21)+I14+I13+I12+I11</f>
        <v>215772</v>
      </c>
      <c r="J22" s="122"/>
      <c r="K22" s="122"/>
      <c r="L22" s="750">
        <f>SUM(L11:L21)</f>
        <v>0</v>
      </c>
      <c r="M22" s="201"/>
      <c r="N22" s="750">
        <f>SUM(N11:N21)</f>
        <v>0</v>
      </c>
      <c r="P22" s="750">
        <v>-961</v>
      </c>
      <c r="Q22" s="201"/>
      <c r="R22" s="750">
        <f>SUM(R11:R21)</f>
        <v>35649</v>
      </c>
      <c r="U22" s="750">
        <f>SUM(U11:U21)</f>
        <v>206445</v>
      </c>
      <c r="V22" s="750">
        <f>SUM(V11:V21)</f>
        <v>206445</v>
      </c>
    </row>
    <row r="23" spans="1:22" ht="21" customHeight="1" x14ac:dyDescent="0.2">
      <c r="A23" s="47"/>
      <c r="B23" s="51"/>
      <c r="C23" s="333"/>
      <c r="D23" s="201"/>
      <c r="E23" s="333"/>
      <c r="F23" s="230">
        <f>C22-MAP!$T$1248</f>
        <v>0</v>
      </c>
      <c r="G23" s="333"/>
      <c r="H23" s="51"/>
      <c r="I23" s="333"/>
      <c r="J23" s="122"/>
      <c r="K23" s="122"/>
      <c r="L23" s="333"/>
      <c r="M23" s="201"/>
      <c r="N23" s="333"/>
      <c r="P23" s="333"/>
      <c r="Q23" s="201"/>
      <c r="R23" s="333"/>
      <c r="U23" s="333"/>
      <c r="V23" s="333"/>
    </row>
    <row r="24" spans="1:22" ht="21" customHeight="1" x14ac:dyDescent="0.2">
      <c r="A24" s="47"/>
      <c r="B24" s="51" t="s">
        <v>615</v>
      </c>
      <c r="C24" s="747">
        <f>SUMIF(MAP!$E$1249:$E$1253,$B24,MAP!$T$1249:$T$1253)</f>
        <v>0</v>
      </c>
      <c r="D24" s="201"/>
      <c r="E24" s="747">
        <f>SUMIF(MAP!$E$1249:$E$1253,$B24,MAP!$N$1249:$N$1253)</f>
        <v>0</v>
      </c>
      <c r="F24" s="51"/>
      <c r="G24" s="749">
        <v>2575</v>
      </c>
      <c r="H24" s="51"/>
      <c r="I24" s="749">
        <v>30011</v>
      </c>
      <c r="J24" s="51"/>
      <c r="K24" s="51"/>
      <c r="L24" s="747">
        <f>SUMIF(MAP!$E$1249:$E$1253,$B24,MAP!$U$1249:$U$1253)</f>
        <v>0</v>
      </c>
      <c r="M24" s="201"/>
      <c r="N24" s="747">
        <f>SUMIF(MAP!$E$1249:$E$1253,$B24,MAP!$BD$1249:$BD$1253)</f>
        <v>0</v>
      </c>
      <c r="P24" s="747">
        <v>0</v>
      </c>
      <c r="Q24" s="201"/>
      <c r="R24" s="747">
        <v>58</v>
      </c>
      <c r="U24" s="342">
        <v>129</v>
      </c>
      <c r="V24" s="204">
        <f t="shared" si="0"/>
        <v>129</v>
      </c>
    </row>
    <row r="25" spans="1:22" ht="21" customHeight="1" x14ac:dyDescent="0.2">
      <c r="A25" s="47"/>
      <c r="B25" s="51" t="s">
        <v>616</v>
      </c>
      <c r="C25" s="747">
        <f>SUMIF(MAP!$E$1249:$E$1253,$B25,MAP!$T$1249:$T$1253)</f>
        <v>0</v>
      </c>
      <c r="D25" s="201"/>
      <c r="E25" s="747">
        <f>SUMIF(MAP!$E$1249:$E$1253,$B25,MAP!$N$1249:$N$1253)</f>
        <v>0</v>
      </c>
      <c r="F25" s="51"/>
      <c r="G25" s="749">
        <v>0</v>
      </c>
      <c r="H25" s="51"/>
      <c r="I25" s="749">
        <v>2229</v>
      </c>
      <c r="J25" s="51"/>
      <c r="K25" s="51"/>
      <c r="L25" s="747">
        <f>SUMIF(MAP!$E$1249:$E$1253,$B25,MAP!$U$1249:$U$1253)</f>
        <v>0</v>
      </c>
      <c r="M25" s="201"/>
      <c r="N25" s="747">
        <f>SUMIF(MAP!$E$1249:$E$1253,$B25,MAP!$BD$1249:$BD$1253)</f>
        <v>0</v>
      </c>
      <c r="P25" s="747">
        <v>0</v>
      </c>
      <c r="Q25" s="201"/>
      <c r="R25" s="747">
        <v>0</v>
      </c>
      <c r="U25" s="342">
        <v>0</v>
      </c>
      <c r="V25" s="204">
        <f t="shared" si="0"/>
        <v>0</v>
      </c>
    </row>
    <row r="26" spans="1:22" ht="28.5" customHeight="1" x14ac:dyDescent="0.2">
      <c r="A26" s="47"/>
      <c r="B26" s="733" t="s">
        <v>617</v>
      </c>
      <c r="C26" s="747">
        <f>SUMIF(MAP!$E$1249:$E$1253,$B26,MAP!$T$1249:$T$1253)</f>
        <v>0</v>
      </c>
      <c r="D26" s="201"/>
      <c r="E26" s="747">
        <f>SUMIF(MAP!$E$1249:$E$1253,$B26,MAP!$N$1249:$N$1253)</f>
        <v>0</v>
      </c>
      <c r="F26" s="51"/>
      <c r="G26" s="749">
        <v>0</v>
      </c>
      <c r="H26" s="51"/>
      <c r="I26" s="749">
        <v>0</v>
      </c>
      <c r="J26" s="51"/>
      <c r="K26" s="51"/>
      <c r="L26" s="747">
        <f>SUMIF(MAP!$E$1249:$E$1253,$B26,MAP!$U$1249:$U$1253)</f>
        <v>0</v>
      </c>
      <c r="M26" s="201"/>
      <c r="N26" s="747">
        <f>SUMIF(MAP!$E$1249:$E$1253,$B26,MAP!$BD$1249:$BD$1253)</f>
        <v>0</v>
      </c>
      <c r="P26" s="747">
        <v>0</v>
      </c>
      <c r="Q26" s="201"/>
      <c r="R26" s="747">
        <v>0</v>
      </c>
      <c r="U26" s="342"/>
      <c r="V26" s="204">
        <f t="shared" si="0"/>
        <v>0</v>
      </c>
    </row>
    <row r="27" spans="1:22" ht="21" customHeight="1" thickBot="1" x14ac:dyDescent="0.25">
      <c r="A27" s="47"/>
      <c r="B27" s="47" t="s">
        <v>240</v>
      </c>
      <c r="C27" s="750">
        <f>SUM(C24:C26)</f>
        <v>0</v>
      </c>
      <c r="D27" s="201"/>
      <c r="E27" s="750">
        <f>SUM(E24:E26)</f>
        <v>0</v>
      </c>
      <c r="F27" s="230">
        <f>E27-MAP!N1253</f>
        <v>0</v>
      </c>
      <c r="G27" s="750">
        <f>SUM(G24:G26)</f>
        <v>2575</v>
      </c>
      <c r="H27" s="51"/>
      <c r="I27" s="750">
        <f>SUM(I24:I26)</f>
        <v>32240</v>
      </c>
      <c r="J27" s="51"/>
      <c r="K27" s="51"/>
      <c r="L27" s="750">
        <f>SUM(L24:L26)</f>
        <v>0</v>
      </c>
      <c r="M27" s="201"/>
      <c r="N27" s="750">
        <f>SUM(N24:N26)</f>
        <v>0</v>
      </c>
      <c r="P27" s="750">
        <v>0</v>
      </c>
      <c r="Q27" s="201"/>
      <c r="R27" s="750">
        <v>58</v>
      </c>
      <c r="U27" s="750">
        <f>SUM(U24:U26)</f>
        <v>129</v>
      </c>
      <c r="V27" s="750">
        <f>SUM(V24:V26)</f>
        <v>129</v>
      </c>
    </row>
    <row r="28" spans="1:22" x14ac:dyDescent="0.2">
      <c r="A28" s="47"/>
      <c r="B28" s="51"/>
      <c r="C28" s="51"/>
      <c r="D28" s="201"/>
      <c r="E28" s="51"/>
      <c r="F28" s="230">
        <f>C27-MAP!$T$1253</f>
        <v>0</v>
      </c>
      <c r="G28" s="51"/>
      <c r="H28" s="51"/>
      <c r="I28" s="51"/>
      <c r="J28" s="51"/>
      <c r="K28" s="51"/>
      <c r="L28" s="51"/>
      <c r="M28" s="201"/>
      <c r="N28" s="51"/>
      <c r="P28" s="51"/>
      <c r="Q28" s="201"/>
      <c r="R28" s="51"/>
      <c r="U28" s="51"/>
      <c r="V28" s="51"/>
    </row>
    <row r="29" spans="1:22" x14ac:dyDescent="0.2">
      <c r="A29" s="47"/>
      <c r="B29" s="51"/>
      <c r="C29" s="51"/>
      <c r="D29" s="201"/>
      <c r="E29" s="51"/>
      <c r="F29" s="51"/>
      <c r="G29" s="51"/>
      <c r="H29" s="51"/>
      <c r="I29" s="51"/>
      <c r="J29" s="51"/>
      <c r="K29" s="51"/>
      <c r="L29" s="51"/>
      <c r="M29" s="201"/>
      <c r="N29" s="51"/>
      <c r="P29" s="51"/>
      <c r="Q29" s="201"/>
      <c r="R29" s="51"/>
      <c r="U29" s="51"/>
      <c r="V29" s="51"/>
    </row>
    <row r="30" spans="1:22" x14ac:dyDescent="0.2">
      <c r="A30" s="47"/>
      <c r="B30" s="47" t="s">
        <v>241</v>
      </c>
      <c r="C30" s="51"/>
      <c r="D30" s="201"/>
      <c r="E30" s="51"/>
      <c r="F30" s="51"/>
      <c r="G30" s="51"/>
      <c r="H30" s="51"/>
      <c r="I30" s="51"/>
      <c r="J30" s="51"/>
      <c r="K30" s="51"/>
      <c r="L30" s="51"/>
      <c r="M30" s="201"/>
      <c r="N30" s="51"/>
      <c r="P30" s="51"/>
      <c r="Q30" s="201"/>
      <c r="R30" s="51"/>
      <c r="U30" s="51"/>
      <c r="V30" s="51"/>
    </row>
    <row r="31" spans="1:22" ht="21.95" customHeight="1" x14ac:dyDescent="0.2">
      <c r="A31" s="47"/>
      <c r="B31" s="51" t="s">
        <v>231</v>
      </c>
      <c r="C31" s="747">
        <f>SUMIF(MAP!$E$1254:$E$1263,$B31,MAP!$T$1254:$T$1263)</f>
        <v>0</v>
      </c>
      <c r="D31" s="201"/>
      <c r="E31" s="747">
        <f>SUMIF(MAP!$E$1254:$E$1263,$B31,MAP!$N$1254:$N$1263)</f>
        <v>0</v>
      </c>
      <c r="F31" s="51"/>
      <c r="G31" s="749">
        <v>0</v>
      </c>
      <c r="H31" s="51"/>
      <c r="I31" s="749">
        <v>24344</v>
      </c>
      <c r="J31" s="51"/>
      <c r="K31" s="51"/>
      <c r="L31" s="747">
        <f>SUMIF(MAP!$E$1254:$E$1263,$B31,MAP!$U$1254:$U$1263)</f>
        <v>0</v>
      </c>
      <c r="M31" s="201"/>
      <c r="N31" s="747">
        <f>SUMIF(MAP!$E$1254:$E$1263,$B31,MAP!$BD$1254:$BD$1263)</f>
        <v>0</v>
      </c>
      <c r="P31" s="747">
        <v>0</v>
      </c>
      <c r="Q31" s="201"/>
      <c r="R31" s="747">
        <v>0</v>
      </c>
      <c r="U31" s="342"/>
      <c r="V31" s="204">
        <f t="shared" si="0"/>
        <v>0</v>
      </c>
    </row>
    <row r="32" spans="1:22" ht="21.95" customHeight="1" x14ac:dyDescent="0.2">
      <c r="A32" s="47"/>
      <c r="B32" s="51" t="s">
        <v>239</v>
      </c>
      <c r="C32" s="747">
        <f>SUMIF(MAP!$E$1254:$E$1263,$B32,MAP!$T$1254:$T$1263)</f>
        <v>0</v>
      </c>
      <c r="D32" s="201"/>
      <c r="E32" s="747">
        <f>SUMIF(MAP!$E$1254:$E$1263,$B32,MAP!$N$1254:$N$1263)</f>
        <v>0</v>
      </c>
      <c r="F32" s="51"/>
      <c r="G32" s="749">
        <v>0</v>
      </c>
      <c r="H32" s="51"/>
      <c r="I32" s="749">
        <v>0</v>
      </c>
      <c r="J32" s="51"/>
      <c r="K32" s="51"/>
      <c r="L32" s="747">
        <f>SUMIF(MAP!$E$1254:$E$1263,$B32,MAP!$U$1254:$U$1263)</f>
        <v>0</v>
      </c>
      <c r="M32" s="201"/>
      <c r="N32" s="747">
        <f>SUMIF(MAP!$E$1254:$E$1263,$B32,MAP!$BD$1254:$BD$1263)</f>
        <v>0</v>
      </c>
      <c r="P32" s="747">
        <v>0</v>
      </c>
      <c r="Q32" s="201"/>
      <c r="R32" s="747">
        <v>0</v>
      </c>
      <c r="U32" s="342"/>
      <c r="V32" s="204">
        <f>U32-C32</f>
        <v>0</v>
      </c>
    </row>
    <row r="33" spans="1:24" ht="21.95" customHeight="1" x14ac:dyDescent="0.2">
      <c r="A33" s="47"/>
      <c r="B33" s="51" t="s">
        <v>232</v>
      </c>
      <c r="C33" s="747">
        <f>SUMIF(MAP!$E$1254:$E$1263,$B33,MAP!$T$1254:$T$1263)</f>
        <v>0</v>
      </c>
      <c r="D33" s="201"/>
      <c r="E33" s="747">
        <f>SUMIF(MAP!$E$1254:$E$1263,$B33,MAP!$N$1254:$N$1263)</f>
        <v>0</v>
      </c>
      <c r="F33" s="51"/>
      <c r="G33" s="749">
        <v>0</v>
      </c>
      <c r="H33" s="51"/>
      <c r="I33" s="749">
        <v>0</v>
      </c>
      <c r="J33" s="51"/>
      <c r="K33" s="51"/>
      <c r="L33" s="747">
        <f>SUMIF(MAP!$E$1254:$E$1263,$B33,MAP!$U$1254:$U$1263)</f>
        <v>0</v>
      </c>
      <c r="M33" s="201"/>
      <c r="N33" s="747">
        <f>SUMIF(MAP!$E$1254:$E$1263,$B33,MAP!$BD$1254:$BD$1263)</f>
        <v>0</v>
      </c>
      <c r="P33" s="747">
        <v>0</v>
      </c>
      <c r="Q33" s="201"/>
      <c r="R33" s="747">
        <v>0</v>
      </c>
      <c r="U33" s="342"/>
      <c r="V33" s="204">
        <f t="shared" si="0"/>
        <v>0</v>
      </c>
    </row>
    <row r="34" spans="1:24" ht="21.95" customHeight="1" x14ac:dyDescent="0.2">
      <c r="A34" s="47"/>
      <c r="B34" s="51" t="s">
        <v>235</v>
      </c>
      <c r="C34" s="747">
        <f>SUMIF(MAP!$E$1254:$E$1263,$B34,MAP!$T$1254:$T$1263)</f>
        <v>0</v>
      </c>
      <c r="D34" s="201"/>
      <c r="E34" s="747">
        <f>SUMIF(MAP!$E$1254:$E$1263,$B34,MAP!$N$1254:$N$1263)</f>
        <v>0</v>
      </c>
      <c r="F34" s="51"/>
      <c r="G34" s="749">
        <v>0</v>
      </c>
      <c r="H34" s="51"/>
      <c r="I34" s="749">
        <v>0</v>
      </c>
      <c r="J34" s="51"/>
      <c r="K34" s="51"/>
      <c r="L34" s="747">
        <f>SUMIF(MAP!$E$1254:$E$1263,$B34,MAP!$U$1254:$U$1263)</f>
        <v>0</v>
      </c>
      <c r="M34" s="201"/>
      <c r="N34" s="747">
        <f>SUMIF(MAP!$E$1254:$E$1263,$B34,MAP!$BD$1254:$BD$1263)</f>
        <v>0</v>
      </c>
      <c r="P34" s="747">
        <v>0</v>
      </c>
      <c r="Q34" s="201"/>
      <c r="R34" s="747">
        <v>0</v>
      </c>
      <c r="U34" s="342"/>
      <c r="V34" s="204">
        <f t="shared" si="0"/>
        <v>0</v>
      </c>
    </row>
    <row r="35" spans="1:24" ht="21.95" customHeight="1" thickBot="1" x14ac:dyDescent="0.25">
      <c r="A35" s="47"/>
      <c r="B35" s="47" t="s">
        <v>242</v>
      </c>
      <c r="C35" s="750">
        <f>SUM(C31:C34)</f>
        <v>0</v>
      </c>
      <c r="D35" s="201"/>
      <c r="E35" s="750">
        <f>SUM(E31:E34)</f>
        <v>0</v>
      </c>
      <c r="F35" s="230">
        <f>E35-MAP!N1259</f>
        <v>0</v>
      </c>
      <c r="G35" s="750">
        <f>SUM(G31:G34)</f>
        <v>0</v>
      </c>
      <c r="H35" s="51"/>
      <c r="I35" s="750">
        <f>SUM(I31:I34)</f>
        <v>24344</v>
      </c>
      <c r="J35" s="122"/>
      <c r="K35" s="122"/>
      <c r="L35" s="750">
        <f>SUM(L31:L34)</f>
        <v>0</v>
      </c>
      <c r="M35" s="201"/>
      <c r="N35" s="750">
        <f>SUM(N31:N34)</f>
        <v>0</v>
      </c>
      <c r="P35" s="750">
        <v>0</v>
      </c>
      <c r="Q35" s="201"/>
      <c r="R35" s="750">
        <v>0</v>
      </c>
      <c r="U35" s="750">
        <f>SUM(U31:U34)</f>
        <v>0</v>
      </c>
      <c r="V35" s="750">
        <f>SUM(V31:V34)</f>
        <v>0</v>
      </c>
    </row>
    <row r="36" spans="1:24" ht="21.95" customHeight="1" x14ac:dyDescent="0.2">
      <c r="A36" s="47"/>
      <c r="B36" s="51"/>
      <c r="C36" s="751"/>
      <c r="D36" s="201"/>
      <c r="E36" s="751"/>
      <c r="F36" s="230">
        <f>C35-MAP!$T$1259</f>
        <v>0</v>
      </c>
      <c r="G36" s="751"/>
      <c r="H36" s="51"/>
      <c r="I36" s="751"/>
      <c r="J36" s="51"/>
      <c r="K36" s="51"/>
      <c r="L36" s="751"/>
      <c r="M36" s="201"/>
      <c r="N36" s="751"/>
      <c r="P36" s="751"/>
      <c r="Q36" s="201"/>
      <c r="R36" s="751"/>
      <c r="U36" s="751"/>
      <c r="V36" s="751"/>
    </row>
    <row r="37" spans="1:24" ht="21.95" customHeight="1" x14ac:dyDescent="0.2">
      <c r="A37" s="47"/>
      <c r="B37" s="51" t="s">
        <v>897</v>
      </c>
      <c r="C37" s="747">
        <f>SUMIF(MAP!$E$1254:$E$1263,$B37,MAP!$T$1254:$T$1263)</f>
        <v>0</v>
      </c>
      <c r="D37" s="201"/>
      <c r="E37" s="747">
        <f>SUMIF(MAP!$E$1254:$E$1263,$B37,MAP!$N$1254:$N$1263)</f>
        <v>0</v>
      </c>
      <c r="F37" s="51"/>
      <c r="G37" s="749">
        <v>0</v>
      </c>
      <c r="H37" s="51"/>
      <c r="I37" s="749">
        <v>0</v>
      </c>
      <c r="J37" s="51"/>
      <c r="K37" s="51"/>
      <c r="L37" s="747">
        <f>SUMIF(MAP!$E$1254:$E$1263,$B37,MAP!$U$1254:$U$1263)</f>
        <v>0</v>
      </c>
      <c r="M37" s="201"/>
      <c r="N37" s="747">
        <f>SUMIF(MAP!$E$1254:$E$1263,$B37,MAP!$BD$1254:$BD$1263)</f>
        <v>0</v>
      </c>
      <c r="P37" s="747">
        <v>0</v>
      </c>
      <c r="Q37" s="201"/>
      <c r="R37" s="747">
        <v>0</v>
      </c>
      <c r="U37" s="342"/>
      <c r="V37" s="204">
        <f t="shared" si="0"/>
        <v>0</v>
      </c>
    </row>
    <row r="38" spans="1:24" ht="21.95" customHeight="1" x14ac:dyDescent="0.2">
      <c r="A38" s="47"/>
      <c r="B38" s="51" t="s">
        <v>898</v>
      </c>
      <c r="C38" s="747">
        <f>SUMIF(MAP!$E$1254:$E$1263,$B38,MAP!$T$1254:$T$1263)</f>
        <v>0</v>
      </c>
      <c r="D38" s="201"/>
      <c r="E38" s="747">
        <f>SUMIF(MAP!$E$1254:$E$1263,$B38,MAP!$N$1254:$N$1263)</f>
        <v>0</v>
      </c>
      <c r="F38" s="51"/>
      <c r="G38" s="749">
        <v>0</v>
      </c>
      <c r="H38" s="51"/>
      <c r="I38" s="749">
        <v>0</v>
      </c>
      <c r="J38" s="51"/>
      <c r="K38" s="51"/>
      <c r="L38" s="747">
        <f>SUMIF(MAP!$E$1254:$E$1263,$B38,MAP!$U$1254:$U$1263)</f>
        <v>0</v>
      </c>
      <c r="M38" s="201"/>
      <c r="N38" s="747">
        <f>SUMIF(MAP!$E$1254:$E$1263,$B38,MAP!$BD$1254:$BD$1263)</f>
        <v>0</v>
      </c>
      <c r="P38" s="747">
        <v>0</v>
      </c>
      <c r="Q38" s="201"/>
      <c r="R38" s="747">
        <v>0</v>
      </c>
      <c r="U38" s="342"/>
      <c r="V38" s="204">
        <f t="shared" si="0"/>
        <v>0</v>
      </c>
    </row>
    <row r="39" spans="1:24" ht="21.95" customHeight="1" x14ac:dyDescent="0.2">
      <c r="A39" s="47"/>
      <c r="B39" s="51" t="s">
        <v>618</v>
      </c>
      <c r="C39" s="747">
        <f>SUMIF(MAP!$E$1254:$E$1263,$B39,MAP!$T$1254:$T$1263)</f>
        <v>0</v>
      </c>
      <c r="D39" s="201"/>
      <c r="E39" s="747">
        <f>SUMIF(MAP!$E$1254:$E$1263,$B39,MAP!$N$1254:$N$1263)</f>
        <v>0</v>
      </c>
      <c r="F39" s="51"/>
      <c r="G39" s="749">
        <v>0</v>
      </c>
      <c r="H39" s="51"/>
      <c r="I39" s="749">
        <v>0</v>
      </c>
      <c r="J39" s="51"/>
      <c r="K39" s="51"/>
      <c r="L39" s="747">
        <f>SUMIF(MAP!$E$1254:$E$1263,$B39,MAP!$U$1254:$U$1263)</f>
        <v>0</v>
      </c>
      <c r="M39" s="201"/>
      <c r="N39" s="747">
        <f>SUMIF(MAP!$E$1254:$E$1263,$B39,MAP!$BD$1254:$BD$1263)</f>
        <v>0</v>
      </c>
      <c r="P39" s="747">
        <v>0</v>
      </c>
      <c r="Q39" s="201"/>
      <c r="R39" s="747">
        <v>0</v>
      </c>
      <c r="U39" s="342"/>
      <c r="V39" s="204">
        <f t="shared" si="0"/>
        <v>0</v>
      </c>
    </row>
    <row r="40" spans="1:24" ht="21.95" customHeight="1" thickBot="1" x14ac:dyDescent="0.25">
      <c r="A40" s="47"/>
      <c r="B40" s="47" t="s">
        <v>243</v>
      </c>
      <c r="C40" s="750">
        <f>SUM(C37:C39)</f>
        <v>0</v>
      </c>
      <c r="D40" s="201"/>
      <c r="E40" s="750">
        <f>SUM(E37:E39)</f>
        <v>0</v>
      </c>
      <c r="F40" s="230">
        <f>E40-MAP!N1263</f>
        <v>0</v>
      </c>
      <c r="G40" s="750">
        <f>SUM(G37:G39)</f>
        <v>0</v>
      </c>
      <c r="H40" s="51"/>
      <c r="I40" s="750">
        <f>SUM(I37:I39)</f>
        <v>0</v>
      </c>
      <c r="J40" s="51"/>
      <c r="K40" s="51"/>
      <c r="L40" s="750">
        <f>SUM(L37:L39)</f>
        <v>0</v>
      </c>
      <c r="M40" s="201"/>
      <c r="N40" s="750">
        <f>SUM(N37:N39)</f>
        <v>0</v>
      </c>
      <c r="P40" s="750">
        <v>0</v>
      </c>
      <c r="Q40" s="201"/>
      <c r="R40" s="750">
        <v>0</v>
      </c>
      <c r="U40" s="750">
        <f>SUM(U37:U39)</f>
        <v>0</v>
      </c>
      <c r="V40" s="750">
        <f>SUM(V37:V39)</f>
        <v>0</v>
      </c>
      <c r="X40" s="51"/>
    </row>
    <row r="41" spans="1:24" x14ac:dyDescent="0.2">
      <c r="A41" s="47"/>
      <c r="B41" s="51"/>
      <c r="C41" s="51"/>
      <c r="D41" s="201"/>
      <c r="E41" s="51"/>
      <c r="F41" s="230">
        <f>C40-MAP!$T$1263</f>
        <v>0</v>
      </c>
      <c r="G41" s="51"/>
      <c r="H41" s="51"/>
      <c r="I41" s="51"/>
      <c r="J41" s="51"/>
      <c r="K41" s="51"/>
      <c r="L41" s="51"/>
      <c r="M41" s="201"/>
      <c r="N41" s="51"/>
      <c r="P41" s="51"/>
      <c r="Q41" s="201"/>
      <c r="R41" s="51"/>
      <c r="U41" s="51"/>
      <c r="V41" s="51"/>
      <c r="X41" s="51"/>
    </row>
    <row r="42" spans="1:24" x14ac:dyDescent="0.2">
      <c r="A42" s="47"/>
      <c r="B42" s="51"/>
      <c r="C42" s="51"/>
      <c r="D42" s="201"/>
      <c r="E42" s="51"/>
      <c r="F42" s="51"/>
      <c r="G42" s="51"/>
      <c r="H42" s="51"/>
      <c r="I42" s="51"/>
      <c r="J42" s="51"/>
      <c r="K42" s="51"/>
      <c r="L42" s="51"/>
      <c r="M42" s="201"/>
      <c r="N42" s="51"/>
      <c r="P42" s="51"/>
      <c r="Q42" s="201"/>
      <c r="R42" s="51"/>
      <c r="U42" s="51"/>
      <c r="V42" s="51"/>
      <c r="X42" s="51"/>
    </row>
    <row r="43" spans="1:24" ht="13.5" thickBot="1" x14ac:dyDescent="0.25">
      <c r="A43" s="47"/>
      <c r="B43" s="47" t="s">
        <v>244</v>
      </c>
      <c r="C43" s="752">
        <f>+C22+C27</f>
        <v>0</v>
      </c>
      <c r="D43" s="201"/>
      <c r="E43" s="752">
        <f>+E22+E27</f>
        <v>0</v>
      </c>
      <c r="F43" s="51"/>
      <c r="G43" s="752">
        <f>+G22+G27</f>
        <v>25244</v>
      </c>
      <c r="H43" s="51"/>
      <c r="I43" s="752">
        <f>+I22+I27</f>
        <v>248012</v>
      </c>
      <c r="J43" s="51"/>
      <c r="K43" s="51"/>
      <c r="L43" s="752">
        <f>+L22+L27</f>
        <v>0</v>
      </c>
      <c r="M43" s="201"/>
      <c r="N43" s="752">
        <f>+N22+N27</f>
        <v>0</v>
      </c>
      <c r="P43" s="752">
        <f>+P22+P27</f>
        <v>-961</v>
      </c>
      <c r="Q43" s="201"/>
      <c r="R43" s="752">
        <f>+R22+R27</f>
        <v>35707</v>
      </c>
      <c r="U43" s="752">
        <f>+U22+U27</f>
        <v>206574</v>
      </c>
      <c r="V43" s="752">
        <f>+V22+V27</f>
        <v>206574</v>
      </c>
      <c r="X43" s="51"/>
    </row>
    <row r="44" spans="1:24" x14ac:dyDescent="0.2">
      <c r="A44" s="47"/>
      <c r="B44" s="51"/>
      <c r="C44" s="51"/>
      <c r="D44" s="201"/>
      <c r="E44" s="51"/>
      <c r="F44" s="51"/>
      <c r="G44" s="51"/>
      <c r="H44" s="51"/>
      <c r="I44" s="51"/>
      <c r="J44" s="51"/>
      <c r="K44" s="51"/>
      <c r="L44" s="51"/>
      <c r="M44" s="201"/>
      <c r="N44" s="51"/>
      <c r="P44" s="51"/>
      <c r="Q44" s="201"/>
      <c r="R44" s="51"/>
      <c r="U44" s="51"/>
      <c r="V44" s="51"/>
      <c r="X44" s="51"/>
    </row>
    <row r="45" spans="1:24" ht="13.5" thickBot="1" x14ac:dyDescent="0.25">
      <c r="A45" s="47"/>
      <c r="B45" s="47" t="s">
        <v>245</v>
      </c>
      <c r="C45" s="752">
        <f>+C35+C40</f>
        <v>0</v>
      </c>
      <c r="D45" s="201"/>
      <c r="E45" s="752">
        <f>+E35+E40</f>
        <v>0</v>
      </c>
      <c r="F45" s="51"/>
      <c r="G45" s="752">
        <f>+G35+G40</f>
        <v>0</v>
      </c>
      <c r="H45" s="51"/>
      <c r="I45" s="752">
        <f>+I35+I40</f>
        <v>24344</v>
      </c>
      <c r="J45" s="51"/>
      <c r="K45" s="51"/>
      <c r="L45" s="752">
        <f>+L35+L40</f>
        <v>0</v>
      </c>
      <c r="M45" s="201"/>
      <c r="N45" s="752">
        <f>+N35+N40</f>
        <v>0</v>
      </c>
      <c r="P45" s="752">
        <f>+P35+P40</f>
        <v>0</v>
      </c>
      <c r="Q45" s="201"/>
      <c r="R45" s="752">
        <f>+R35+R40</f>
        <v>0</v>
      </c>
      <c r="U45" s="752">
        <f>+U35+U40</f>
        <v>0</v>
      </c>
      <c r="V45" s="752">
        <f>+V35+V40</f>
        <v>0</v>
      </c>
      <c r="X45" s="51"/>
    </row>
    <row r="46" spans="1:24" x14ac:dyDescent="0.2">
      <c r="A46" s="47"/>
      <c r="B46" s="47"/>
      <c r="C46" s="51"/>
      <c r="D46" s="201"/>
      <c r="E46" s="51"/>
      <c r="F46" s="51"/>
      <c r="G46" s="51"/>
      <c r="H46" s="51"/>
      <c r="I46" s="51"/>
      <c r="J46" s="51"/>
      <c r="K46" s="51"/>
      <c r="L46" s="51"/>
      <c r="M46" s="201"/>
      <c r="N46" s="51"/>
      <c r="P46" s="51"/>
      <c r="Q46" s="201"/>
      <c r="R46" s="51"/>
      <c r="U46" s="51"/>
      <c r="V46" s="51"/>
      <c r="X46" s="51"/>
    </row>
    <row r="47" spans="1:24" ht="13.5" thickBot="1" x14ac:dyDescent="0.25">
      <c r="A47" s="47"/>
      <c r="B47" s="47" t="s">
        <v>246</v>
      </c>
      <c r="C47" s="752">
        <f>+C43+ROUNDDOWN(C45,0)</f>
        <v>0</v>
      </c>
      <c r="D47" s="201"/>
      <c r="E47" s="752">
        <f>+E43+ROUNDDOWN(E45,0)</f>
        <v>0</v>
      </c>
      <c r="F47" s="51"/>
      <c r="G47" s="752">
        <f>+G43+ROUNDDOWN(G45,0)</f>
        <v>25244</v>
      </c>
      <c r="H47" s="51"/>
      <c r="I47" s="752">
        <f>+I43+ROUNDDOWN(I45,0)</f>
        <v>272356</v>
      </c>
      <c r="J47" s="51"/>
      <c r="K47" s="51"/>
      <c r="L47" s="752">
        <f>+L43+ROUNDDOWN(L45,0)</f>
        <v>0</v>
      </c>
      <c r="M47" s="201"/>
      <c r="N47" s="752">
        <f>+N43+ROUNDDOWN(N45,0)</f>
        <v>0</v>
      </c>
      <c r="P47" s="752">
        <f>+P43+ROUNDDOWN(P45,0)</f>
        <v>-961</v>
      </c>
      <c r="Q47" s="201"/>
      <c r="R47" s="752">
        <f>+R43+ROUNDDOWN(R45,0)</f>
        <v>35707</v>
      </c>
      <c r="U47" s="752">
        <f>+U43+ROUNDDOWN(U45,0)</f>
        <v>206574</v>
      </c>
      <c r="V47" s="1155">
        <f>+V43+ROUNDDOWN(V45,0)</f>
        <v>206574</v>
      </c>
      <c r="X47" s="51"/>
    </row>
    <row r="48" spans="1:24" outlineLevel="1" x14ac:dyDescent="0.2">
      <c r="A48" s="47"/>
      <c r="B48" s="339" t="s">
        <v>1031</v>
      </c>
      <c r="C48" s="230">
        <f>C47-MAP!T1266</f>
        <v>0</v>
      </c>
      <c r="D48" s="201"/>
      <c r="E48" s="230">
        <f>E47-MAP!N1266</f>
        <v>0</v>
      </c>
      <c r="F48" s="51"/>
      <c r="G48" s="51"/>
      <c r="H48" s="51"/>
      <c r="I48" s="51"/>
      <c r="J48" s="51"/>
      <c r="K48" s="51"/>
      <c r="L48" s="230">
        <f>L47-MAP!U1266</f>
        <v>0</v>
      </c>
      <c r="M48" s="201"/>
      <c r="N48" s="230">
        <f>N47-MAP!BD1266</f>
        <v>0</v>
      </c>
      <c r="X48" s="34">
        <f>+E47-I47</f>
        <v>-272356</v>
      </c>
    </row>
    <row r="49" spans="1:14" x14ac:dyDescent="0.2">
      <c r="A49" s="47"/>
      <c r="B49" s="51"/>
      <c r="C49" s="51">
        <f>+C47-G47</f>
        <v>-25244</v>
      </c>
      <c r="D49" s="201"/>
      <c r="E49" s="51">
        <f>+E47-I47</f>
        <v>-272356</v>
      </c>
      <c r="F49" s="51"/>
      <c r="G49" s="51"/>
      <c r="H49" s="51"/>
      <c r="I49" s="51"/>
      <c r="J49" s="51"/>
      <c r="K49" s="51"/>
      <c r="L49" s="51"/>
      <c r="M49" s="201"/>
      <c r="N49" s="51"/>
    </row>
    <row r="50" spans="1:14" x14ac:dyDescent="0.2">
      <c r="A50" s="47"/>
      <c r="B50" s="51"/>
      <c r="C50" s="51"/>
      <c r="D50" s="201"/>
      <c r="E50" s="51"/>
      <c r="F50" s="51"/>
      <c r="G50" s="51"/>
      <c r="H50" s="51"/>
      <c r="I50" s="51"/>
      <c r="J50" s="51"/>
      <c r="K50" s="51"/>
      <c r="L50" s="51"/>
      <c r="M50" s="201"/>
      <c r="N50" s="51"/>
    </row>
    <row r="51" spans="1:14" x14ac:dyDescent="0.2">
      <c r="A51" s="47"/>
      <c r="B51" s="753"/>
      <c r="C51" s="754" t="str">
        <f>$E$8</f>
        <v xml:space="preserve"> 31 March 2026</v>
      </c>
      <c r="D51" s="201"/>
      <c r="E51" s="754" t="str">
        <f>$E$8</f>
        <v xml:space="preserve"> 31 March 2026</v>
      </c>
      <c r="F51" s="754"/>
      <c r="G51" s="754" t="str">
        <f>$I$8</f>
        <v xml:space="preserve"> 31 March 2025</v>
      </c>
      <c r="H51" s="51"/>
      <c r="I51" s="754" t="str">
        <f>$I$8</f>
        <v xml:space="preserve"> 31 March 2025</v>
      </c>
      <c r="J51" s="51"/>
      <c r="K51" s="51"/>
      <c r="L51" s="754" t="str">
        <f>$E$8</f>
        <v xml:space="preserve"> 31 March 2026</v>
      </c>
      <c r="M51" s="201"/>
      <c r="N51" s="754" t="str">
        <f>$E$8</f>
        <v xml:space="preserve"> 31 March 2026</v>
      </c>
    </row>
    <row r="52" spans="1:14" x14ac:dyDescent="0.2">
      <c r="A52" s="47"/>
      <c r="B52" s="755"/>
      <c r="C52" s="225" t="s">
        <v>462</v>
      </c>
      <c r="D52" s="201"/>
      <c r="E52" s="225" t="s">
        <v>462</v>
      </c>
      <c r="F52" s="225"/>
      <c r="G52" s="225" t="s">
        <v>462</v>
      </c>
      <c r="H52" s="51"/>
      <c r="I52" s="225" t="s">
        <v>462</v>
      </c>
      <c r="J52" s="51"/>
      <c r="K52" s="51"/>
      <c r="L52" s="225" t="s">
        <v>462</v>
      </c>
      <c r="M52" s="201"/>
      <c r="N52" s="225" t="s">
        <v>462</v>
      </c>
    </row>
    <row r="53" spans="1:14" x14ac:dyDescent="0.2">
      <c r="A53" s="47"/>
      <c r="B53" s="755"/>
      <c r="C53" s="51"/>
      <c r="D53" s="201"/>
      <c r="E53" s="51"/>
      <c r="F53" s="51"/>
      <c r="G53" s="51"/>
      <c r="H53" s="51"/>
      <c r="I53" s="51"/>
      <c r="J53" s="51"/>
      <c r="K53" s="51"/>
      <c r="L53" s="51"/>
      <c r="M53" s="201"/>
      <c r="N53" s="51"/>
    </row>
    <row r="54" spans="1:14" ht="25.5" x14ac:dyDescent="0.2">
      <c r="A54" s="47"/>
      <c r="B54" s="756" t="s">
        <v>247</v>
      </c>
      <c r="C54" s="747">
        <f>SUMIF(MAP!$E$1268:$E$1268,$B54,MAP!$T$1268:$T$1268)</f>
        <v>0</v>
      </c>
      <c r="D54" s="201"/>
      <c r="E54" s="747">
        <f>SUMIF(MAP!$E$1268:$E$1268,$B54,MAP!$N$1268:$N$1268)</f>
        <v>0</v>
      </c>
      <c r="F54" s="51"/>
      <c r="G54" s="749">
        <v>0</v>
      </c>
      <c r="H54" s="51"/>
      <c r="I54" s="749">
        <v>0</v>
      </c>
      <c r="J54" s="51"/>
      <c r="K54" s="51"/>
      <c r="L54" s="747">
        <f>SUMIF(MAP!$E$1268:$E$1268,$B54,MAP!$U$1268:$U$1268)</f>
        <v>0</v>
      </c>
      <c r="M54" s="201"/>
      <c r="N54" s="747">
        <f>SUMIF(MAP!$E$1268:$E$1268,$B54,MAP!$BD$1268:$BD$1268)</f>
        <v>0</v>
      </c>
    </row>
    <row r="55" spans="1:14" x14ac:dyDescent="0.2">
      <c r="A55" s="47"/>
      <c r="B55" s="755"/>
      <c r="C55" s="51"/>
      <c r="D55" s="201"/>
      <c r="E55" s="51"/>
      <c r="F55" s="51"/>
      <c r="G55" s="51"/>
      <c r="H55" s="51"/>
      <c r="I55" s="51"/>
      <c r="J55" s="51"/>
      <c r="K55" s="51"/>
      <c r="L55" s="51"/>
      <c r="M55" s="201"/>
      <c r="N55" s="51"/>
    </row>
    <row r="56" spans="1:14" outlineLevel="1" x14ac:dyDescent="0.2">
      <c r="A56" s="47"/>
      <c r="B56" s="757" t="s">
        <v>1030</v>
      </c>
      <c r="C56" s="807">
        <f>(ROUND(C54,0)-ROUND('Note 13'!C30,0))</f>
        <v>0</v>
      </c>
      <c r="D56" s="201"/>
      <c r="E56" s="807">
        <f>ROUND(E54,0)-ROUND('Note 13'!E30,0)</f>
        <v>0</v>
      </c>
      <c r="F56" s="806"/>
      <c r="G56" s="1213">
        <f>G54-'Note 13'!G30</f>
        <v>0</v>
      </c>
      <c r="H56" s="1214"/>
      <c r="I56" s="1213">
        <f>I54-'Note 13'!I30</f>
        <v>0</v>
      </c>
      <c r="J56" s="51"/>
      <c r="K56" s="51"/>
      <c r="L56" s="807">
        <f>ROUND(L54,0)-ROUND('Note 13'!L30,0)</f>
        <v>0</v>
      </c>
      <c r="M56" s="201"/>
      <c r="N56" s="807">
        <f>ROUND(N54,0)-ROUND('Note 13'!N30,0)</f>
        <v>0</v>
      </c>
    </row>
    <row r="57" spans="1:14" x14ac:dyDescent="0.2">
      <c r="A57" s="47"/>
      <c r="B57" s="51"/>
      <c r="C57" s="51"/>
      <c r="D57" s="201"/>
      <c r="E57" s="113"/>
      <c r="F57" s="113"/>
      <c r="G57" s="113"/>
      <c r="H57" s="51"/>
      <c r="I57" s="113"/>
      <c r="J57" s="51"/>
      <c r="K57" s="51"/>
      <c r="L57" s="51"/>
      <c r="M57" s="201"/>
      <c r="N57" s="113"/>
    </row>
    <row r="58" spans="1:14" x14ac:dyDescent="0.2">
      <c r="A58" s="47"/>
      <c r="B58" s="51"/>
      <c r="C58" s="51"/>
      <c r="D58" s="201"/>
      <c r="E58" s="51"/>
      <c r="F58" s="113"/>
      <c r="G58" s="122"/>
      <c r="H58" s="51"/>
      <c r="I58" s="122"/>
      <c r="J58" s="51"/>
      <c r="K58" s="51"/>
      <c r="L58" s="51"/>
      <c r="M58" s="201"/>
      <c r="N58" s="51"/>
    </row>
    <row r="59" spans="1:14" x14ac:dyDescent="0.2">
      <c r="A59" s="47"/>
      <c r="B59" s="51"/>
      <c r="C59" s="51"/>
      <c r="D59" s="201"/>
      <c r="E59" s="51"/>
      <c r="F59" s="51"/>
      <c r="G59" s="51"/>
      <c r="H59" s="51"/>
      <c r="I59" s="51"/>
      <c r="J59" s="51"/>
      <c r="K59" s="51"/>
      <c r="L59" s="51"/>
    </row>
    <row r="60" spans="1:14" x14ac:dyDescent="0.2">
      <c r="A60" s="47"/>
      <c r="B60" s="51"/>
      <c r="C60" s="51"/>
      <c r="D60" s="201"/>
      <c r="E60" s="122"/>
      <c r="F60" s="113"/>
      <c r="G60" s="122"/>
      <c r="H60" s="51"/>
      <c r="I60" s="122"/>
      <c r="J60" s="51"/>
      <c r="K60" s="51"/>
      <c r="L60" s="51"/>
    </row>
    <row r="61" spans="1:14" x14ac:dyDescent="0.2">
      <c r="A61" s="47"/>
      <c r="B61" s="51"/>
      <c r="C61" s="51"/>
      <c r="D61" s="201"/>
      <c r="E61" s="51"/>
      <c r="F61" s="51"/>
      <c r="G61" s="51"/>
      <c r="H61" s="51"/>
      <c r="I61" s="51"/>
      <c r="J61" s="51"/>
      <c r="K61" s="51"/>
      <c r="L61" s="51"/>
    </row>
    <row r="62" spans="1:14" x14ac:dyDescent="0.2">
      <c r="A62" s="47"/>
      <c r="B62" s="51"/>
      <c r="C62" s="51"/>
      <c r="D62" s="201"/>
      <c r="E62" s="51"/>
      <c r="F62" s="51"/>
      <c r="G62" s="51"/>
      <c r="H62" s="51"/>
      <c r="I62" s="51"/>
      <c r="J62" s="51"/>
      <c r="K62" s="51"/>
      <c r="L62" s="51"/>
    </row>
    <row r="63" spans="1:14" x14ac:dyDescent="0.2">
      <c r="A63" s="47"/>
      <c r="B63" s="51"/>
      <c r="C63" s="51"/>
      <c r="D63" s="201"/>
      <c r="E63" s="51"/>
      <c r="F63" s="51"/>
      <c r="G63" s="51"/>
      <c r="H63" s="51"/>
      <c r="I63" s="51"/>
      <c r="J63" s="51"/>
      <c r="K63" s="51"/>
      <c r="L63" s="51"/>
    </row>
    <row r="64" spans="1:14" x14ac:dyDescent="0.2">
      <c r="A64" s="47"/>
      <c r="B64" s="51"/>
      <c r="C64" s="51"/>
      <c r="D64" s="201"/>
      <c r="E64" s="51"/>
      <c r="F64" s="51"/>
      <c r="G64" s="51"/>
      <c r="H64" s="51"/>
      <c r="I64" s="51"/>
      <c r="J64" s="51"/>
      <c r="K64" s="51"/>
      <c r="L64" s="51"/>
    </row>
    <row r="65" spans="1:12" x14ac:dyDescent="0.2">
      <c r="A65" s="47"/>
      <c r="B65" s="51"/>
      <c r="C65" s="51"/>
      <c r="D65" s="201"/>
      <c r="E65" s="51"/>
      <c r="F65" s="51"/>
      <c r="H65" s="51"/>
      <c r="I65" s="51"/>
      <c r="J65" s="51"/>
      <c r="K65" s="51"/>
      <c r="L65" s="51"/>
    </row>
    <row r="66" spans="1:12" x14ac:dyDescent="0.2">
      <c r="A66" s="47"/>
      <c r="B66" s="51"/>
      <c r="C66" s="51"/>
      <c r="D66" s="201"/>
      <c r="E66" s="51"/>
      <c r="F66" s="51"/>
      <c r="G66" s="51"/>
      <c r="H66" s="51"/>
      <c r="I66" s="51"/>
      <c r="J66" s="51"/>
      <c r="K66" s="51"/>
      <c r="L66" s="51"/>
    </row>
    <row r="67" spans="1:12" x14ac:dyDescent="0.2">
      <c r="A67" s="47"/>
      <c r="B67" s="51"/>
      <c r="C67" s="51"/>
      <c r="D67" s="201"/>
      <c r="E67" s="51"/>
      <c r="F67" s="51"/>
      <c r="G67" s="51"/>
      <c r="H67" s="51"/>
      <c r="I67" s="51"/>
      <c r="J67" s="51"/>
      <c r="K67" s="51"/>
      <c r="L67" s="51"/>
    </row>
    <row r="68" spans="1:12" x14ac:dyDescent="0.2">
      <c r="A68" s="47"/>
      <c r="B68" s="51"/>
      <c r="C68" s="51"/>
      <c r="D68" s="201"/>
      <c r="E68" s="51"/>
      <c r="F68" s="51"/>
      <c r="G68" s="51"/>
      <c r="H68" s="51"/>
      <c r="I68" s="51"/>
      <c r="J68" s="51"/>
      <c r="K68" s="51"/>
      <c r="L68" s="51"/>
    </row>
    <row r="69" spans="1:12" x14ac:dyDescent="0.2">
      <c r="A69" s="47"/>
      <c r="B69" s="51"/>
      <c r="C69" s="51"/>
      <c r="D69" s="201"/>
      <c r="E69" s="51"/>
      <c r="F69" s="51"/>
      <c r="G69" s="51"/>
      <c r="H69" s="51"/>
      <c r="I69" s="51"/>
      <c r="J69" s="51"/>
      <c r="K69" s="51"/>
      <c r="L69" s="51"/>
    </row>
    <row r="70" spans="1:12" x14ac:dyDescent="0.2">
      <c r="A70" s="47"/>
      <c r="B70" s="51"/>
      <c r="C70" s="51"/>
      <c r="D70" s="201"/>
      <c r="E70" s="51"/>
      <c r="F70" s="51"/>
      <c r="G70" s="51"/>
      <c r="H70" s="51"/>
      <c r="I70" s="51"/>
      <c r="J70" s="51"/>
      <c r="K70" s="51"/>
      <c r="L70" s="51"/>
    </row>
    <row r="71" spans="1:12" x14ac:dyDescent="0.2">
      <c r="A71" s="47"/>
      <c r="B71" s="51"/>
      <c r="C71" s="51"/>
      <c r="D71" s="201"/>
      <c r="E71" s="51"/>
      <c r="F71" s="51"/>
      <c r="G71" s="51"/>
      <c r="H71" s="51"/>
      <c r="I71" s="51"/>
      <c r="J71" s="51"/>
      <c r="K71" s="51"/>
      <c r="L71" s="51"/>
    </row>
    <row r="72" spans="1:12" x14ac:dyDescent="0.2">
      <c r="A72" s="47"/>
      <c r="B72" s="51"/>
      <c r="C72" s="51"/>
      <c r="D72" s="201"/>
      <c r="E72" s="51"/>
      <c r="F72" s="51"/>
      <c r="G72" s="51"/>
      <c r="H72" s="51"/>
      <c r="I72" s="51"/>
      <c r="J72" s="51"/>
      <c r="K72" s="51"/>
      <c r="L72" s="51"/>
    </row>
    <row r="73" spans="1:12" x14ac:dyDescent="0.2">
      <c r="A73" s="47"/>
      <c r="B73" s="51"/>
      <c r="C73" s="51"/>
      <c r="D73" s="201"/>
      <c r="E73" s="51"/>
      <c r="F73" s="51"/>
      <c r="G73" s="51"/>
      <c r="H73" s="51"/>
      <c r="I73" s="51"/>
      <c r="J73" s="51"/>
      <c r="K73" s="51"/>
      <c r="L73" s="51"/>
    </row>
    <row r="74" spans="1:12" x14ac:dyDescent="0.2">
      <c r="A74" s="47"/>
      <c r="B74" s="51"/>
      <c r="C74" s="51"/>
      <c r="D74" s="201"/>
      <c r="E74" s="51"/>
      <c r="F74" s="51"/>
      <c r="G74" s="51"/>
      <c r="H74" s="51"/>
      <c r="I74" s="51"/>
      <c r="J74" s="51"/>
      <c r="K74" s="51"/>
      <c r="L74" s="51"/>
    </row>
    <row r="75" spans="1:12" x14ac:dyDescent="0.2">
      <c r="A75" s="47"/>
      <c r="B75" s="51"/>
      <c r="C75" s="51"/>
      <c r="D75" s="201"/>
      <c r="E75" s="51"/>
      <c r="F75" s="51"/>
      <c r="G75" s="51"/>
      <c r="H75" s="51"/>
      <c r="I75" s="51"/>
      <c r="J75" s="51"/>
      <c r="K75" s="51"/>
      <c r="L75" s="51"/>
    </row>
    <row r="76" spans="1:12" x14ac:dyDescent="0.2">
      <c r="A76" s="47"/>
      <c r="B76" s="51"/>
      <c r="C76" s="51"/>
      <c r="D76" s="201"/>
      <c r="E76" s="51"/>
      <c r="F76" s="51"/>
      <c r="G76" s="51"/>
      <c r="H76" s="51"/>
      <c r="I76" s="51"/>
      <c r="J76" s="51"/>
      <c r="K76" s="51"/>
      <c r="L76" s="51"/>
    </row>
    <row r="77" spans="1:12" x14ac:dyDescent="0.2">
      <c r="A77" s="47"/>
      <c r="B77" s="51"/>
      <c r="C77" s="51"/>
      <c r="D77" s="201"/>
      <c r="E77" s="51"/>
      <c r="F77" s="51"/>
      <c r="G77" s="51"/>
      <c r="H77" s="51"/>
      <c r="I77" s="51"/>
      <c r="J77" s="51"/>
      <c r="K77" s="51"/>
      <c r="L77" s="51"/>
    </row>
    <row r="78" spans="1:12" x14ac:dyDescent="0.2">
      <c r="A78" s="47"/>
      <c r="B78" s="51"/>
      <c r="C78" s="51"/>
      <c r="D78" s="201"/>
      <c r="E78" s="51"/>
      <c r="F78" s="51"/>
      <c r="G78" s="51"/>
      <c r="H78" s="51"/>
      <c r="I78" s="51"/>
      <c r="J78" s="51"/>
      <c r="K78" s="51"/>
      <c r="L78" s="51"/>
    </row>
    <row r="79" spans="1:12" x14ac:dyDescent="0.2">
      <c r="A79" s="47"/>
      <c r="B79" s="51"/>
      <c r="C79" s="51"/>
      <c r="D79" s="201"/>
      <c r="E79" s="51"/>
      <c r="F79" s="51"/>
      <c r="G79" s="51"/>
      <c r="H79" s="51"/>
      <c r="I79" s="51"/>
      <c r="J79" s="51"/>
      <c r="K79" s="51"/>
      <c r="L79" s="51"/>
    </row>
    <row r="80" spans="1:12" x14ac:dyDescent="0.2">
      <c r="A80" s="47"/>
      <c r="B80" s="51"/>
      <c r="C80" s="51"/>
      <c r="D80" s="201"/>
      <c r="E80" s="51"/>
      <c r="F80" s="51"/>
      <c r="G80" s="51"/>
      <c r="H80" s="51"/>
      <c r="I80" s="51"/>
      <c r="J80" s="51"/>
      <c r="K80" s="51"/>
      <c r="L80" s="51"/>
    </row>
    <row r="81" spans="1:12" x14ac:dyDescent="0.2">
      <c r="A81" s="47"/>
      <c r="B81" s="51"/>
      <c r="C81" s="51"/>
      <c r="D81" s="201"/>
      <c r="E81" s="51"/>
      <c r="F81" s="51"/>
      <c r="G81" s="51"/>
      <c r="H81" s="51"/>
      <c r="I81" s="51"/>
      <c r="J81" s="51"/>
      <c r="K81" s="51"/>
      <c r="L81" s="51"/>
    </row>
    <row r="82" spans="1:12" x14ac:dyDescent="0.2">
      <c r="A82" s="47"/>
      <c r="B82" s="51"/>
      <c r="C82" s="51"/>
      <c r="D82" s="201"/>
      <c r="E82" s="51"/>
      <c r="F82" s="51"/>
      <c r="G82" s="51"/>
      <c r="H82" s="51"/>
      <c r="I82" s="51"/>
      <c r="J82" s="51"/>
      <c r="K82" s="51"/>
      <c r="L82" s="51"/>
    </row>
    <row r="83" spans="1:12" x14ac:dyDescent="0.2">
      <c r="A83" s="47"/>
      <c r="B83" s="51"/>
      <c r="C83" s="51"/>
      <c r="D83" s="201"/>
      <c r="E83" s="51"/>
      <c r="F83" s="51"/>
      <c r="G83" s="51"/>
      <c r="H83" s="51"/>
      <c r="I83" s="51"/>
      <c r="J83" s="51"/>
      <c r="K83" s="51"/>
      <c r="L83" s="51"/>
    </row>
    <row r="84" spans="1:12" x14ac:dyDescent="0.2">
      <c r="A84" s="47"/>
      <c r="B84" s="51"/>
      <c r="C84" s="51"/>
      <c r="D84" s="201"/>
      <c r="E84" s="51"/>
      <c r="F84" s="51"/>
      <c r="G84" s="51"/>
      <c r="H84" s="51"/>
      <c r="I84" s="51"/>
      <c r="J84" s="51"/>
      <c r="K84" s="51"/>
      <c r="L84" s="51"/>
    </row>
    <row r="85" spans="1:12" x14ac:dyDescent="0.2">
      <c r="A85" s="47"/>
      <c r="B85" s="51"/>
      <c r="C85" s="51"/>
      <c r="D85" s="201"/>
      <c r="E85" s="51"/>
      <c r="F85" s="51"/>
      <c r="G85" s="51"/>
      <c r="H85" s="51"/>
      <c r="I85" s="51"/>
      <c r="J85" s="51"/>
      <c r="K85" s="51"/>
      <c r="L85" s="51"/>
    </row>
    <row r="86" spans="1:12" x14ac:dyDescent="0.2">
      <c r="A86" s="47"/>
      <c r="B86" s="51"/>
      <c r="C86" s="51"/>
      <c r="D86" s="201"/>
      <c r="E86" s="51"/>
      <c r="F86" s="51"/>
      <c r="G86" s="51"/>
      <c r="H86" s="51"/>
      <c r="I86" s="51"/>
      <c r="J86" s="51"/>
      <c r="K86" s="51"/>
      <c r="L86" s="51"/>
    </row>
    <row r="87" spans="1:12" x14ac:dyDescent="0.2">
      <c r="A87" s="47"/>
      <c r="B87" s="51"/>
      <c r="C87" s="51"/>
      <c r="D87" s="201"/>
      <c r="E87" s="51"/>
      <c r="F87" s="51"/>
      <c r="G87" s="51"/>
      <c r="H87" s="51"/>
      <c r="I87" s="51"/>
      <c r="J87" s="51"/>
      <c r="K87" s="51"/>
      <c r="L87" s="51"/>
    </row>
    <row r="88" spans="1:12" x14ac:dyDescent="0.2">
      <c r="A88" s="47"/>
      <c r="B88" s="51"/>
      <c r="C88" s="51"/>
      <c r="D88" s="201"/>
      <c r="E88" s="51"/>
      <c r="F88" s="51"/>
      <c r="G88" s="51"/>
      <c r="H88" s="51"/>
      <c r="I88" s="51"/>
      <c r="J88" s="51"/>
      <c r="K88" s="51"/>
      <c r="L88" s="51"/>
    </row>
    <row r="89" spans="1:12" x14ac:dyDescent="0.2">
      <c r="A89" s="47"/>
      <c r="B89" s="51"/>
      <c r="C89" s="51"/>
      <c r="D89" s="201"/>
      <c r="E89" s="51"/>
      <c r="F89" s="51"/>
      <c r="G89" s="51"/>
      <c r="H89" s="51"/>
      <c r="I89" s="51"/>
      <c r="J89" s="51"/>
      <c r="K89" s="51"/>
      <c r="L89" s="51"/>
    </row>
    <row r="90" spans="1:12" x14ac:dyDescent="0.2">
      <c r="A90" s="47"/>
      <c r="B90" s="51"/>
      <c r="C90" s="51"/>
      <c r="D90" s="201"/>
      <c r="E90" s="51"/>
      <c r="F90" s="51"/>
      <c r="G90" s="51"/>
      <c r="H90" s="51"/>
      <c r="I90" s="51"/>
      <c r="J90" s="51"/>
      <c r="K90" s="51"/>
      <c r="L90" s="51"/>
    </row>
  </sheetData>
  <pageMargins left="0.35433070866141736" right="0.47244094488188981" top="0.19685039370078741" bottom="0.19685039370078741" header="0.31496062992125984" footer="0.31496062992125984"/>
  <pageSetup paperSize="9" scale="57"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00B0F0"/>
    <pageSetUpPr fitToPage="1"/>
  </sheetPr>
  <dimension ref="A1:T70"/>
  <sheetViews>
    <sheetView zoomScale="90" zoomScaleNormal="90" workbookViewId="0">
      <pane xSplit="10" ySplit="8" topLeftCell="K9" activePane="bottomRight" state="frozen"/>
      <selection activeCell="G5" sqref="G4:G5"/>
      <selection pane="topRight" activeCell="G5" sqref="G4:G5"/>
      <selection pane="bottomLeft" activeCell="G5" sqref="G4:G5"/>
      <selection pane="bottomRight" activeCell="G5" sqref="G4:G5"/>
    </sheetView>
  </sheetViews>
  <sheetFormatPr defaultRowHeight="12.75" outlineLevelCol="1" x14ac:dyDescent="0.2"/>
  <cols>
    <col min="1" max="1" width="6.42578125" style="37" customWidth="1"/>
    <col min="2" max="2" width="54.140625" style="34" customWidth="1"/>
    <col min="3" max="3" width="15.28515625" style="34" customWidth="1"/>
    <col min="4" max="4" width="2.5703125" style="34" customWidth="1"/>
    <col min="5" max="5" width="16" style="34" customWidth="1"/>
    <col min="6" max="6" width="6.42578125" style="34" bestFit="1" customWidth="1"/>
    <col min="7" max="7" width="16" style="34" customWidth="1" outlineLevel="1"/>
    <col min="8" max="8" width="2.5703125" style="34" customWidth="1" outlineLevel="1"/>
    <col min="9" max="9" width="16" style="34" customWidth="1" outlineLevel="1"/>
    <col min="10" max="10" width="16.7109375" style="34" customWidth="1" outlineLevel="1"/>
    <col min="11" max="11" width="4" style="34" customWidth="1"/>
    <col min="12" max="12" width="15.5703125" style="34" hidden="1" customWidth="1" outlineLevel="1"/>
    <col min="13" max="13" width="1.5703125" style="34" hidden="1" customWidth="1" outlineLevel="1"/>
    <col min="14" max="14" width="15.5703125" style="34" hidden="1" customWidth="1" outlineLevel="1"/>
    <col min="15" max="15" width="11.42578125" style="34" bestFit="1" customWidth="1" collapsed="1"/>
    <col min="16" max="16" width="11.42578125" style="34" hidden="1" customWidth="1" outlineLevel="1"/>
    <col min="17" max="17" width="9.140625" style="34" hidden="1" customWidth="1" outlineLevel="1"/>
    <col min="18" max="18" width="10.42578125" style="34" bestFit="1" customWidth="1" collapsed="1"/>
    <col min="19" max="259" width="9.140625" style="34"/>
    <col min="260" max="260" width="6.42578125" style="34" customWidth="1"/>
    <col min="261" max="261" width="54.140625" style="34" customWidth="1"/>
    <col min="262" max="262" width="15.28515625" style="34" customWidth="1"/>
    <col min="263" max="266" width="16" style="34" customWidth="1"/>
    <col min="267" max="267" width="16.7109375" style="34" customWidth="1"/>
    <col min="268" max="268" width="9" style="34" customWidth="1"/>
    <col min="269" max="269" width="15.7109375" style="34" customWidth="1"/>
    <col min="270" max="270" width="9.140625" style="34"/>
    <col min="271" max="272" width="11.42578125" style="34" bestFit="1" customWidth="1"/>
    <col min="273" max="515" width="9.140625" style="34"/>
    <col min="516" max="516" width="6.42578125" style="34" customWidth="1"/>
    <col min="517" max="517" width="54.140625" style="34" customWidth="1"/>
    <col min="518" max="518" width="15.28515625" style="34" customWidth="1"/>
    <col min="519" max="522" width="16" style="34" customWidth="1"/>
    <col min="523" max="523" width="16.7109375" style="34" customWidth="1"/>
    <col min="524" max="524" width="9" style="34" customWidth="1"/>
    <col min="525" max="525" width="15.7109375" style="34" customWidth="1"/>
    <col min="526" max="526" width="9.140625" style="34"/>
    <col min="527" max="528" width="11.42578125" style="34" bestFit="1" customWidth="1"/>
    <col min="529" max="771" width="9.140625" style="34"/>
    <col min="772" max="772" width="6.42578125" style="34" customWidth="1"/>
    <col min="773" max="773" width="54.140625" style="34" customWidth="1"/>
    <col min="774" max="774" width="15.28515625" style="34" customWidth="1"/>
    <col min="775" max="778" width="16" style="34" customWidth="1"/>
    <col min="779" max="779" width="16.7109375" style="34" customWidth="1"/>
    <col min="780" max="780" width="9" style="34" customWidth="1"/>
    <col min="781" max="781" width="15.7109375" style="34" customWidth="1"/>
    <col min="782" max="782" width="9.140625" style="34"/>
    <col min="783" max="784" width="11.42578125" style="34" bestFit="1" customWidth="1"/>
    <col min="785" max="1027" width="9.140625" style="34"/>
    <col min="1028" max="1028" width="6.42578125" style="34" customWidth="1"/>
    <col min="1029" max="1029" width="54.140625" style="34" customWidth="1"/>
    <col min="1030" max="1030" width="15.28515625" style="34" customWidth="1"/>
    <col min="1031" max="1034" width="16" style="34" customWidth="1"/>
    <col min="1035" max="1035" width="16.7109375" style="34" customWidth="1"/>
    <col min="1036" max="1036" width="9" style="34" customWidth="1"/>
    <col min="1037" max="1037" width="15.7109375" style="34" customWidth="1"/>
    <col min="1038" max="1038" width="9.140625" style="34"/>
    <col min="1039" max="1040" width="11.42578125" style="34" bestFit="1" customWidth="1"/>
    <col min="1041" max="1283" width="9.140625" style="34"/>
    <col min="1284" max="1284" width="6.42578125" style="34" customWidth="1"/>
    <col min="1285" max="1285" width="54.140625" style="34" customWidth="1"/>
    <col min="1286" max="1286" width="15.28515625" style="34" customWidth="1"/>
    <col min="1287" max="1290" width="16" style="34" customWidth="1"/>
    <col min="1291" max="1291" width="16.7109375" style="34" customWidth="1"/>
    <col min="1292" max="1292" width="9" style="34" customWidth="1"/>
    <col min="1293" max="1293" width="15.7109375" style="34" customWidth="1"/>
    <col min="1294" max="1294" width="9.140625" style="34"/>
    <col min="1295" max="1296" width="11.42578125" style="34" bestFit="1" customWidth="1"/>
    <col min="1297" max="1539" width="9.140625" style="34"/>
    <col min="1540" max="1540" width="6.42578125" style="34" customWidth="1"/>
    <col min="1541" max="1541" width="54.140625" style="34" customWidth="1"/>
    <col min="1542" max="1542" width="15.28515625" style="34" customWidth="1"/>
    <col min="1543" max="1546" width="16" style="34" customWidth="1"/>
    <col min="1547" max="1547" width="16.7109375" style="34" customWidth="1"/>
    <col min="1548" max="1548" width="9" style="34" customWidth="1"/>
    <col min="1549" max="1549" width="15.7109375" style="34" customWidth="1"/>
    <col min="1550" max="1550" width="9.140625" style="34"/>
    <col min="1551" max="1552" width="11.42578125" style="34" bestFit="1" customWidth="1"/>
    <col min="1553" max="1795" width="9.140625" style="34"/>
    <col min="1796" max="1796" width="6.42578125" style="34" customWidth="1"/>
    <col min="1797" max="1797" width="54.140625" style="34" customWidth="1"/>
    <col min="1798" max="1798" width="15.28515625" style="34" customWidth="1"/>
    <col min="1799" max="1802" width="16" style="34" customWidth="1"/>
    <col min="1803" max="1803" width="16.7109375" style="34" customWidth="1"/>
    <col min="1804" max="1804" width="9" style="34" customWidth="1"/>
    <col min="1805" max="1805" width="15.7109375" style="34" customWidth="1"/>
    <col min="1806" max="1806" width="9.140625" style="34"/>
    <col min="1807" max="1808" width="11.42578125" style="34" bestFit="1" customWidth="1"/>
    <col min="1809" max="2051" width="9.140625" style="34"/>
    <col min="2052" max="2052" width="6.42578125" style="34" customWidth="1"/>
    <col min="2053" max="2053" width="54.140625" style="34" customWidth="1"/>
    <col min="2054" max="2054" width="15.28515625" style="34" customWidth="1"/>
    <col min="2055" max="2058" width="16" style="34" customWidth="1"/>
    <col min="2059" max="2059" width="16.7109375" style="34" customWidth="1"/>
    <col min="2060" max="2060" width="9" style="34" customWidth="1"/>
    <col min="2061" max="2061" width="15.7109375" style="34" customWidth="1"/>
    <col min="2062" max="2062" width="9.140625" style="34"/>
    <col min="2063" max="2064" width="11.42578125" style="34" bestFit="1" customWidth="1"/>
    <col min="2065" max="2307" width="9.140625" style="34"/>
    <col min="2308" max="2308" width="6.42578125" style="34" customWidth="1"/>
    <col min="2309" max="2309" width="54.140625" style="34" customWidth="1"/>
    <col min="2310" max="2310" width="15.28515625" style="34" customWidth="1"/>
    <col min="2311" max="2314" width="16" style="34" customWidth="1"/>
    <col min="2315" max="2315" width="16.7109375" style="34" customWidth="1"/>
    <col min="2316" max="2316" width="9" style="34" customWidth="1"/>
    <col min="2317" max="2317" width="15.7109375" style="34" customWidth="1"/>
    <col min="2318" max="2318" width="9.140625" style="34"/>
    <col min="2319" max="2320" width="11.42578125" style="34" bestFit="1" customWidth="1"/>
    <col min="2321" max="2563" width="9.140625" style="34"/>
    <col min="2564" max="2564" width="6.42578125" style="34" customWidth="1"/>
    <col min="2565" max="2565" width="54.140625" style="34" customWidth="1"/>
    <col min="2566" max="2566" width="15.28515625" style="34" customWidth="1"/>
    <col min="2567" max="2570" width="16" style="34" customWidth="1"/>
    <col min="2571" max="2571" width="16.7109375" style="34" customWidth="1"/>
    <col min="2572" max="2572" width="9" style="34" customWidth="1"/>
    <col min="2573" max="2573" width="15.7109375" style="34" customWidth="1"/>
    <col min="2574" max="2574" width="9.140625" style="34"/>
    <col min="2575" max="2576" width="11.42578125" style="34" bestFit="1" customWidth="1"/>
    <col min="2577" max="2819" width="9.140625" style="34"/>
    <col min="2820" max="2820" width="6.42578125" style="34" customWidth="1"/>
    <col min="2821" max="2821" width="54.140625" style="34" customWidth="1"/>
    <col min="2822" max="2822" width="15.28515625" style="34" customWidth="1"/>
    <col min="2823" max="2826" width="16" style="34" customWidth="1"/>
    <col min="2827" max="2827" width="16.7109375" style="34" customWidth="1"/>
    <col min="2828" max="2828" width="9" style="34" customWidth="1"/>
    <col min="2829" max="2829" width="15.7109375" style="34" customWidth="1"/>
    <col min="2830" max="2830" width="9.140625" style="34"/>
    <col min="2831" max="2832" width="11.42578125" style="34" bestFit="1" customWidth="1"/>
    <col min="2833" max="3075" width="9.140625" style="34"/>
    <col min="3076" max="3076" width="6.42578125" style="34" customWidth="1"/>
    <col min="3077" max="3077" width="54.140625" style="34" customWidth="1"/>
    <col min="3078" max="3078" width="15.28515625" style="34" customWidth="1"/>
    <col min="3079" max="3082" width="16" style="34" customWidth="1"/>
    <col min="3083" max="3083" width="16.7109375" style="34" customWidth="1"/>
    <col min="3084" max="3084" width="9" style="34" customWidth="1"/>
    <col min="3085" max="3085" width="15.7109375" style="34" customWidth="1"/>
    <col min="3086" max="3086" width="9.140625" style="34"/>
    <col min="3087" max="3088" width="11.42578125" style="34" bestFit="1" customWidth="1"/>
    <col min="3089" max="3331" width="9.140625" style="34"/>
    <col min="3332" max="3332" width="6.42578125" style="34" customWidth="1"/>
    <col min="3333" max="3333" width="54.140625" style="34" customWidth="1"/>
    <col min="3334" max="3334" width="15.28515625" style="34" customWidth="1"/>
    <col min="3335" max="3338" width="16" style="34" customWidth="1"/>
    <col min="3339" max="3339" width="16.7109375" style="34" customWidth="1"/>
    <col min="3340" max="3340" width="9" style="34" customWidth="1"/>
    <col min="3341" max="3341" width="15.7109375" style="34" customWidth="1"/>
    <col min="3342" max="3342" width="9.140625" style="34"/>
    <col min="3343" max="3344" width="11.42578125" style="34" bestFit="1" customWidth="1"/>
    <col min="3345" max="3587" width="9.140625" style="34"/>
    <col min="3588" max="3588" width="6.42578125" style="34" customWidth="1"/>
    <col min="3589" max="3589" width="54.140625" style="34" customWidth="1"/>
    <col min="3590" max="3590" width="15.28515625" style="34" customWidth="1"/>
    <col min="3591" max="3594" width="16" style="34" customWidth="1"/>
    <col min="3595" max="3595" width="16.7109375" style="34" customWidth="1"/>
    <col min="3596" max="3596" width="9" style="34" customWidth="1"/>
    <col min="3597" max="3597" width="15.7109375" style="34" customWidth="1"/>
    <col min="3598" max="3598" width="9.140625" style="34"/>
    <col min="3599" max="3600" width="11.42578125" style="34" bestFit="1" customWidth="1"/>
    <col min="3601" max="3843" width="9.140625" style="34"/>
    <col min="3844" max="3844" width="6.42578125" style="34" customWidth="1"/>
    <col min="3845" max="3845" width="54.140625" style="34" customWidth="1"/>
    <col min="3846" max="3846" width="15.28515625" style="34" customWidth="1"/>
    <col min="3847" max="3850" width="16" style="34" customWidth="1"/>
    <col min="3851" max="3851" width="16.7109375" style="34" customWidth="1"/>
    <col min="3852" max="3852" width="9" style="34" customWidth="1"/>
    <col min="3853" max="3853" width="15.7109375" style="34" customWidth="1"/>
    <col min="3854" max="3854" width="9.140625" style="34"/>
    <col min="3855" max="3856" width="11.42578125" style="34" bestFit="1" customWidth="1"/>
    <col min="3857" max="4099" width="9.140625" style="34"/>
    <col min="4100" max="4100" width="6.42578125" style="34" customWidth="1"/>
    <col min="4101" max="4101" width="54.140625" style="34" customWidth="1"/>
    <col min="4102" max="4102" width="15.28515625" style="34" customWidth="1"/>
    <col min="4103" max="4106" width="16" style="34" customWidth="1"/>
    <col min="4107" max="4107" width="16.7109375" style="34" customWidth="1"/>
    <col min="4108" max="4108" width="9" style="34" customWidth="1"/>
    <col min="4109" max="4109" width="15.7109375" style="34" customWidth="1"/>
    <col min="4110" max="4110" width="9.140625" style="34"/>
    <col min="4111" max="4112" width="11.42578125" style="34" bestFit="1" customWidth="1"/>
    <col min="4113" max="4355" width="9.140625" style="34"/>
    <col min="4356" max="4356" width="6.42578125" style="34" customWidth="1"/>
    <col min="4357" max="4357" width="54.140625" style="34" customWidth="1"/>
    <col min="4358" max="4358" width="15.28515625" style="34" customWidth="1"/>
    <col min="4359" max="4362" width="16" style="34" customWidth="1"/>
    <col min="4363" max="4363" width="16.7109375" style="34" customWidth="1"/>
    <col min="4364" max="4364" width="9" style="34" customWidth="1"/>
    <col min="4365" max="4365" width="15.7109375" style="34" customWidth="1"/>
    <col min="4366" max="4366" width="9.140625" style="34"/>
    <col min="4367" max="4368" width="11.42578125" style="34" bestFit="1" customWidth="1"/>
    <col min="4369" max="4611" width="9.140625" style="34"/>
    <col min="4612" max="4612" width="6.42578125" style="34" customWidth="1"/>
    <col min="4613" max="4613" width="54.140625" style="34" customWidth="1"/>
    <col min="4614" max="4614" width="15.28515625" style="34" customWidth="1"/>
    <col min="4615" max="4618" width="16" style="34" customWidth="1"/>
    <col min="4619" max="4619" width="16.7109375" style="34" customWidth="1"/>
    <col min="4620" max="4620" width="9" style="34" customWidth="1"/>
    <col min="4621" max="4621" width="15.7109375" style="34" customWidth="1"/>
    <col min="4622" max="4622" width="9.140625" style="34"/>
    <col min="4623" max="4624" width="11.42578125" style="34" bestFit="1" customWidth="1"/>
    <col min="4625" max="4867" width="9.140625" style="34"/>
    <col min="4868" max="4868" width="6.42578125" style="34" customWidth="1"/>
    <col min="4869" max="4869" width="54.140625" style="34" customWidth="1"/>
    <col min="4870" max="4870" width="15.28515625" style="34" customWidth="1"/>
    <col min="4871" max="4874" width="16" style="34" customWidth="1"/>
    <col min="4875" max="4875" width="16.7109375" style="34" customWidth="1"/>
    <col min="4876" max="4876" width="9" style="34" customWidth="1"/>
    <col min="4877" max="4877" width="15.7109375" style="34" customWidth="1"/>
    <col min="4878" max="4878" width="9.140625" style="34"/>
    <col min="4879" max="4880" width="11.42578125" style="34" bestFit="1" customWidth="1"/>
    <col min="4881" max="5123" width="9.140625" style="34"/>
    <col min="5124" max="5124" width="6.42578125" style="34" customWidth="1"/>
    <col min="5125" max="5125" width="54.140625" style="34" customWidth="1"/>
    <col min="5126" max="5126" width="15.28515625" style="34" customWidth="1"/>
    <col min="5127" max="5130" width="16" style="34" customWidth="1"/>
    <col min="5131" max="5131" width="16.7109375" style="34" customWidth="1"/>
    <col min="5132" max="5132" width="9" style="34" customWidth="1"/>
    <col min="5133" max="5133" width="15.7109375" style="34" customWidth="1"/>
    <col min="5134" max="5134" width="9.140625" style="34"/>
    <col min="5135" max="5136" width="11.42578125" style="34" bestFit="1" customWidth="1"/>
    <col min="5137" max="5379" width="9.140625" style="34"/>
    <col min="5380" max="5380" width="6.42578125" style="34" customWidth="1"/>
    <col min="5381" max="5381" width="54.140625" style="34" customWidth="1"/>
    <col min="5382" max="5382" width="15.28515625" style="34" customWidth="1"/>
    <col min="5383" max="5386" width="16" style="34" customWidth="1"/>
    <col min="5387" max="5387" width="16.7109375" style="34" customWidth="1"/>
    <col min="5388" max="5388" width="9" style="34" customWidth="1"/>
    <col min="5389" max="5389" width="15.7109375" style="34" customWidth="1"/>
    <col min="5390" max="5390" width="9.140625" style="34"/>
    <col min="5391" max="5392" width="11.42578125" style="34" bestFit="1" customWidth="1"/>
    <col min="5393" max="5635" width="9.140625" style="34"/>
    <col min="5636" max="5636" width="6.42578125" style="34" customWidth="1"/>
    <col min="5637" max="5637" width="54.140625" style="34" customWidth="1"/>
    <col min="5638" max="5638" width="15.28515625" style="34" customWidth="1"/>
    <col min="5639" max="5642" width="16" style="34" customWidth="1"/>
    <col min="5643" max="5643" width="16.7109375" style="34" customWidth="1"/>
    <col min="5644" max="5644" width="9" style="34" customWidth="1"/>
    <col min="5645" max="5645" width="15.7109375" style="34" customWidth="1"/>
    <col min="5646" max="5646" width="9.140625" style="34"/>
    <col min="5647" max="5648" width="11.42578125" style="34" bestFit="1" customWidth="1"/>
    <col min="5649" max="5891" width="9.140625" style="34"/>
    <col min="5892" max="5892" width="6.42578125" style="34" customWidth="1"/>
    <col min="5893" max="5893" width="54.140625" style="34" customWidth="1"/>
    <col min="5894" max="5894" width="15.28515625" style="34" customWidth="1"/>
    <col min="5895" max="5898" width="16" style="34" customWidth="1"/>
    <col min="5899" max="5899" width="16.7109375" style="34" customWidth="1"/>
    <col min="5900" max="5900" width="9" style="34" customWidth="1"/>
    <col min="5901" max="5901" width="15.7109375" style="34" customWidth="1"/>
    <col min="5902" max="5902" width="9.140625" style="34"/>
    <col min="5903" max="5904" width="11.42578125" style="34" bestFit="1" customWidth="1"/>
    <col min="5905" max="6147" width="9.140625" style="34"/>
    <col min="6148" max="6148" width="6.42578125" style="34" customWidth="1"/>
    <col min="6149" max="6149" width="54.140625" style="34" customWidth="1"/>
    <col min="6150" max="6150" width="15.28515625" style="34" customWidth="1"/>
    <col min="6151" max="6154" width="16" style="34" customWidth="1"/>
    <col min="6155" max="6155" width="16.7109375" style="34" customWidth="1"/>
    <col min="6156" max="6156" width="9" style="34" customWidth="1"/>
    <col min="6157" max="6157" width="15.7109375" style="34" customWidth="1"/>
    <col min="6158" max="6158" width="9.140625" style="34"/>
    <col min="6159" max="6160" width="11.42578125" style="34" bestFit="1" customWidth="1"/>
    <col min="6161" max="6403" width="9.140625" style="34"/>
    <col min="6404" max="6404" width="6.42578125" style="34" customWidth="1"/>
    <col min="6405" max="6405" width="54.140625" style="34" customWidth="1"/>
    <col min="6406" max="6406" width="15.28515625" style="34" customWidth="1"/>
    <col min="6407" max="6410" width="16" style="34" customWidth="1"/>
    <col min="6411" max="6411" width="16.7109375" style="34" customWidth="1"/>
    <col min="6412" max="6412" width="9" style="34" customWidth="1"/>
    <col min="6413" max="6413" width="15.7109375" style="34" customWidth="1"/>
    <col min="6414" max="6414" width="9.140625" style="34"/>
    <col min="6415" max="6416" width="11.42578125" style="34" bestFit="1" customWidth="1"/>
    <col min="6417" max="6659" width="9.140625" style="34"/>
    <col min="6660" max="6660" width="6.42578125" style="34" customWidth="1"/>
    <col min="6661" max="6661" width="54.140625" style="34" customWidth="1"/>
    <col min="6662" max="6662" width="15.28515625" style="34" customWidth="1"/>
    <col min="6663" max="6666" width="16" style="34" customWidth="1"/>
    <col min="6667" max="6667" width="16.7109375" style="34" customWidth="1"/>
    <col min="6668" max="6668" width="9" style="34" customWidth="1"/>
    <col min="6669" max="6669" width="15.7109375" style="34" customWidth="1"/>
    <col min="6670" max="6670" width="9.140625" style="34"/>
    <col min="6671" max="6672" width="11.42578125" style="34" bestFit="1" customWidth="1"/>
    <col min="6673" max="6915" width="9.140625" style="34"/>
    <col min="6916" max="6916" width="6.42578125" style="34" customWidth="1"/>
    <col min="6917" max="6917" width="54.140625" style="34" customWidth="1"/>
    <col min="6918" max="6918" width="15.28515625" style="34" customWidth="1"/>
    <col min="6919" max="6922" width="16" style="34" customWidth="1"/>
    <col min="6923" max="6923" width="16.7109375" style="34" customWidth="1"/>
    <col min="6924" max="6924" width="9" style="34" customWidth="1"/>
    <col min="6925" max="6925" width="15.7109375" style="34" customWidth="1"/>
    <col min="6926" max="6926" width="9.140625" style="34"/>
    <col min="6927" max="6928" width="11.42578125" style="34" bestFit="1" customWidth="1"/>
    <col min="6929" max="7171" width="9.140625" style="34"/>
    <col min="7172" max="7172" width="6.42578125" style="34" customWidth="1"/>
    <col min="7173" max="7173" width="54.140625" style="34" customWidth="1"/>
    <col min="7174" max="7174" width="15.28515625" style="34" customWidth="1"/>
    <col min="7175" max="7178" width="16" style="34" customWidth="1"/>
    <col min="7179" max="7179" width="16.7109375" style="34" customWidth="1"/>
    <col min="7180" max="7180" width="9" style="34" customWidth="1"/>
    <col min="7181" max="7181" width="15.7109375" style="34" customWidth="1"/>
    <col min="7182" max="7182" width="9.140625" style="34"/>
    <col min="7183" max="7184" width="11.42578125" style="34" bestFit="1" customWidth="1"/>
    <col min="7185" max="7427" width="9.140625" style="34"/>
    <col min="7428" max="7428" width="6.42578125" style="34" customWidth="1"/>
    <col min="7429" max="7429" width="54.140625" style="34" customWidth="1"/>
    <col min="7430" max="7430" width="15.28515625" style="34" customWidth="1"/>
    <col min="7431" max="7434" width="16" style="34" customWidth="1"/>
    <col min="7435" max="7435" width="16.7109375" style="34" customWidth="1"/>
    <col min="7436" max="7436" width="9" style="34" customWidth="1"/>
    <col min="7437" max="7437" width="15.7109375" style="34" customWidth="1"/>
    <col min="7438" max="7438" width="9.140625" style="34"/>
    <col min="7439" max="7440" width="11.42578125" style="34" bestFit="1" customWidth="1"/>
    <col min="7441" max="7683" width="9.140625" style="34"/>
    <col min="7684" max="7684" width="6.42578125" style="34" customWidth="1"/>
    <col min="7685" max="7685" width="54.140625" style="34" customWidth="1"/>
    <col min="7686" max="7686" width="15.28515625" style="34" customWidth="1"/>
    <col min="7687" max="7690" width="16" style="34" customWidth="1"/>
    <col min="7691" max="7691" width="16.7109375" style="34" customWidth="1"/>
    <col min="7692" max="7692" width="9" style="34" customWidth="1"/>
    <col min="7693" max="7693" width="15.7109375" style="34" customWidth="1"/>
    <col min="7694" max="7694" width="9.140625" style="34"/>
    <col min="7695" max="7696" width="11.42578125" style="34" bestFit="1" customWidth="1"/>
    <col min="7697" max="7939" width="9.140625" style="34"/>
    <col min="7940" max="7940" width="6.42578125" style="34" customWidth="1"/>
    <col min="7941" max="7941" width="54.140625" style="34" customWidth="1"/>
    <col min="7942" max="7942" width="15.28515625" style="34" customWidth="1"/>
    <col min="7943" max="7946" width="16" style="34" customWidth="1"/>
    <col min="7947" max="7947" width="16.7109375" style="34" customWidth="1"/>
    <col min="7948" max="7948" width="9" style="34" customWidth="1"/>
    <col min="7949" max="7949" width="15.7109375" style="34" customWidth="1"/>
    <col min="7950" max="7950" width="9.140625" style="34"/>
    <col min="7951" max="7952" width="11.42578125" style="34" bestFit="1" customWidth="1"/>
    <col min="7953" max="8195" width="9.140625" style="34"/>
    <col min="8196" max="8196" width="6.42578125" style="34" customWidth="1"/>
    <col min="8197" max="8197" width="54.140625" style="34" customWidth="1"/>
    <col min="8198" max="8198" width="15.28515625" style="34" customWidth="1"/>
    <col min="8199" max="8202" width="16" style="34" customWidth="1"/>
    <col min="8203" max="8203" width="16.7109375" style="34" customWidth="1"/>
    <col min="8204" max="8204" width="9" style="34" customWidth="1"/>
    <col min="8205" max="8205" width="15.7109375" style="34" customWidth="1"/>
    <col min="8206" max="8206" width="9.140625" style="34"/>
    <col min="8207" max="8208" width="11.42578125" style="34" bestFit="1" customWidth="1"/>
    <col min="8209" max="8451" width="9.140625" style="34"/>
    <col min="8452" max="8452" width="6.42578125" style="34" customWidth="1"/>
    <col min="8453" max="8453" width="54.140625" style="34" customWidth="1"/>
    <col min="8454" max="8454" width="15.28515625" style="34" customWidth="1"/>
    <col min="8455" max="8458" width="16" style="34" customWidth="1"/>
    <col min="8459" max="8459" width="16.7109375" style="34" customWidth="1"/>
    <col min="8460" max="8460" width="9" style="34" customWidth="1"/>
    <col min="8461" max="8461" width="15.7109375" style="34" customWidth="1"/>
    <col min="8462" max="8462" width="9.140625" style="34"/>
    <col min="8463" max="8464" width="11.42578125" style="34" bestFit="1" customWidth="1"/>
    <col min="8465" max="8707" width="9.140625" style="34"/>
    <col min="8708" max="8708" width="6.42578125" style="34" customWidth="1"/>
    <col min="8709" max="8709" width="54.140625" style="34" customWidth="1"/>
    <col min="8710" max="8710" width="15.28515625" style="34" customWidth="1"/>
    <col min="8711" max="8714" width="16" style="34" customWidth="1"/>
    <col min="8715" max="8715" width="16.7109375" style="34" customWidth="1"/>
    <col min="8716" max="8716" width="9" style="34" customWidth="1"/>
    <col min="8717" max="8717" width="15.7109375" style="34" customWidth="1"/>
    <col min="8718" max="8718" width="9.140625" style="34"/>
    <col min="8719" max="8720" width="11.42578125" style="34" bestFit="1" customWidth="1"/>
    <col min="8721" max="8963" width="9.140625" style="34"/>
    <col min="8964" max="8964" width="6.42578125" style="34" customWidth="1"/>
    <col min="8965" max="8965" width="54.140625" style="34" customWidth="1"/>
    <col min="8966" max="8966" width="15.28515625" style="34" customWidth="1"/>
    <col min="8967" max="8970" width="16" style="34" customWidth="1"/>
    <col min="8971" max="8971" width="16.7109375" style="34" customWidth="1"/>
    <col min="8972" max="8972" width="9" style="34" customWidth="1"/>
    <col min="8973" max="8973" width="15.7109375" style="34" customWidth="1"/>
    <col min="8974" max="8974" width="9.140625" style="34"/>
    <col min="8975" max="8976" width="11.42578125" style="34" bestFit="1" customWidth="1"/>
    <col min="8977" max="9219" width="9.140625" style="34"/>
    <col min="9220" max="9220" width="6.42578125" style="34" customWidth="1"/>
    <col min="9221" max="9221" width="54.140625" style="34" customWidth="1"/>
    <col min="9222" max="9222" width="15.28515625" style="34" customWidth="1"/>
    <col min="9223" max="9226" width="16" style="34" customWidth="1"/>
    <col min="9227" max="9227" width="16.7109375" style="34" customWidth="1"/>
    <col min="9228" max="9228" width="9" style="34" customWidth="1"/>
    <col min="9229" max="9229" width="15.7109375" style="34" customWidth="1"/>
    <col min="9230" max="9230" width="9.140625" style="34"/>
    <col min="9231" max="9232" width="11.42578125" style="34" bestFit="1" customWidth="1"/>
    <col min="9233" max="9475" width="9.140625" style="34"/>
    <col min="9476" max="9476" width="6.42578125" style="34" customWidth="1"/>
    <col min="9477" max="9477" width="54.140625" style="34" customWidth="1"/>
    <col min="9478" max="9478" width="15.28515625" style="34" customWidth="1"/>
    <col min="9479" max="9482" width="16" style="34" customWidth="1"/>
    <col min="9483" max="9483" width="16.7109375" style="34" customWidth="1"/>
    <col min="9484" max="9484" width="9" style="34" customWidth="1"/>
    <col min="9485" max="9485" width="15.7109375" style="34" customWidth="1"/>
    <col min="9486" max="9486" width="9.140625" style="34"/>
    <col min="9487" max="9488" width="11.42578125" style="34" bestFit="1" customWidth="1"/>
    <col min="9489" max="9731" width="9.140625" style="34"/>
    <col min="9732" max="9732" width="6.42578125" style="34" customWidth="1"/>
    <col min="9733" max="9733" width="54.140625" style="34" customWidth="1"/>
    <col min="9734" max="9734" width="15.28515625" style="34" customWidth="1"/>
    <col min="9735" max="9738" width="16" style="34" customWidth="1"/>
    <col min="9739" max="9739" width="16.7109375" style="34" customWidth="1"/>
    <col min="9740" max="9740" width="9" style="34" customWidth="1"/>
    <col min="9741" max="9741" width="15.7109375" style="34" customWidth="1"/>
    <col min="9742" max="9742" width="9.140625" style="34"/>
    <col min="9743" max="9744" width="11.42578125" style="34" bestFit="1" customWidth="1"/>
    <col min="9745" max="9987" width="9.140625" style="34"/>
    <col min="9988" max="9988" width="6.42578125" style="34" customWidth="1"/>
    <col min="9989" max="9989" width="54.140625" style="34" customWidth="1"/>
    <col min="9990" max="9990" width="15.28515625" style="34" customWidth="1"/>
    <col min="9991" max="9994" width="16" style="34" customWidth="1"/>
    <col min="9995" max="9995" width="16.7109375" style="34" customWidth="1"/>
    <col min="9996" max="9996" width="9" style="34" customWidth="1"/>
    <col min="9997" max="9997" width="15.7109375" style="34" customWidth="1"/>
    <col min="9998" max="9998" width="9.140625" style="34"/>
    <col min="9999" max="10000" width="11.42578125" style="34" bestFit="1" customWidth="1"/>
    <col min="10001" max="10243" width="9.140625" style="34"/>
    <col min="10244" max="10244" width="6.42578125" style="34" customWidth="1"/>
    <col min="10245" max="10245" width="54.140625" style="34" customWidth="1"/>
    <col min="10246" max="10246" width="15.28515625" style="34" customWidth="1"/>
    <col min="10247" max="10250" width="16" style="34" customWidth="1"/>
    <col min="10251" max="10251" width="16.7109375" style="34" customWidth="1"/>
    <col min="10252" max="10252" width="9" style="34" customWidth="1"/>
    <col min="10253" max="10253" width="15.7109375" style="34" customWidth="1"/>
    <col min="10254" max="10254" width="9.140625" style="34"/>
    <col min="10255" max="10256" width="11.42578125" style="34" bestFit="1" customWidth="1"/>
    <col min="10257" max="10499" width="9.140625" style="34"/>
    <col min="10500" max="10500" width="6.42578125" style="34" customWidth="1"/>
    <col min="10501" max="10501" width="54.140625" style="34" customWidth="1"/>
    <col min="10502" max="10502" width="15.28515625" style="34" customWidth="1"/>
    <col min="10503" max="10506" width="16" style="34" customWidth="1"/>
    <col min="10507" max="10507" width="16.7109375" style="34" customWidth="1"/>
    <col min="10508" max="10508" width="9" style="34" customWidth="1"/>
    <col min="10509" max="10509" width="15.7109375" style="34" customWidth="1"/>
    <col min="10510" max="10510" width="9.140625" style="34"/>
    <col min="10511" max="10512" width="11.42578125" style="34" bestFit="1" customWidth="1"/>
    <col min="10513" max="10755" width="9.140625" style="34"/>
    <col min="10756" max="10756" width="6.42578125" style="34" customWidth="1"/>
    <col min="10757" max="10757" width="54.140625" style="34" customWidth="1"/>
    <col min="10758" max="10758" width="15.28515625" style="34" customWidth="1"/>
    <col min="10759" max="10762" width="16" style="34" customWidth="1"/>
    <col min="10763" max="10763" width="16.7109375" style="34" customWidth="1"/>
    <col min="10764" max="10764" width="9" style="34" customWidth="1"/>
    <col min="10765" max="10765" width="15.7109375" style="34" customWidth="1"/>
    <col min="10766" max="10766" width="9.140625" style="34"/>
    <col min="10767" max="10768" width="11.42578125" style="34" bestFit="1" customWidth="1"/>
    <col min="10769" max="11011" width="9.140625" style="34"/>
    <col min="11012" max="11012" width="6.42578125" style="34" customWidth="1"/>
    <col min="11013" max="11013" width="54.140625" style="34" customWidth="1"/>
    <col min="11014" max="11014" width="15.28515625" style="34" customWidth="1"/>
    <col min="11015" max="11018" width="16" style="34" customWidth="1"/>
    <col min="11019" max="11019" width="16.7109375" style="34" customWidth="1"/>
    <col min="11020" max="11020" width="9" style="34" customWidth="1"/>
    <col min="11021" max="11021" width="15.7109375" style="34" customWidth="1"/>
    <col min="11022" max="11022" width="9.140625" style="34"/>
    <col min="11023" max="11024" width="11.42578125" style="34" bestFit="1" customWidth="1"/>
    <col min="11025" max="11267" width="9.140625" style="34"/>
    <col min="11268" max="11268" width="6.42578125" style="34" customWidth="1"/>
    <col min="11269" max="11269" width="54.140625" style="34" customWidth="1"/>
    <col min="11270" max="11270" width="15.28515625" style="34" customWidth="1"/>
    <col min="11271" max="11274" width="16" style="34" customWidth="1"/>
    <col min="11275" max="11275" width="16.7109375" style="34" customWidth="1"/>
    <col min="11276" max="11276" width="9" style="34" customWidth="1"/>
    <col min="11277" max="11277" width="15.7109375" style="34" customWidth="1"/>
    <col min="11278" max="11278" width="9.140625" style="34"/>
    <col min="11279" max="11280" width="11.42578125" style="34" bestFit="1" customWidth="1"/>
    <col min="11281" max="11523" width="9.140625" style="34"/>
    <col min="11524" max="11524" width="6.42578125" style="34" customWidth="1"/>
    <col min="11525" max="11525" width="54.140625" style="34" customWidth="1"/>
    <col min="11526" max="11526" width="15.28515625" style="34" customWidth="1"/>
    <col min="11527" max="11530" width="16" style="34" customWidth="1"/>
    <col min="11531" max="11531" width="16.7109375" style="34" customWidth="1"/>
    <col min="11532" max="11532" width="9" style="34" customWidth="1"/>
    <col min="11533" max="11533" width="15.7109375" style="34" customWidth="1"/>
    <col min="11534" max="11534" width="9.140625" style="34"/>
    <col min="11535" max="11536" width="11.42578125" style="34" bestFit="1" customWidth="1"/>
    <col min="11537" max="11779" width="9.140625" style="34"/>
    <col min="11780" max="11780" width="6.42578125" style="34" customWidth="1"/>
    <col min="11781" max="11781" width="54.140625" style="34" customWidth="1"/>
    <col min="11782" max="11782" width="15.28515625" style="34" customWidth="1"/>
    <col min="11783" max="11786" width="16" style="34" customWidth="1"/>
    <col min="11787" max="11787" width="16.7109375" style="34" customWidth="1"/>
    <col min="11788" max="11788" width="9" style="34" customWidth="1"/>
    <col min="11789" max="11789" width="15.7109375" style="34" customWidth="1"/>
    <col min="11790" max="11790" width="9.140625" style="34"/>
    <col min="11791" max="11792" width="11.42578125" style="34" bestFit="1" customWidth="1"/>
    <col min="11793" max="12035" width="9.140625" style="34"/>
    <col min="12036" max="12036" width="6.42578125" style="34" customWidth="1"/>
    <col min="12037" max="12037" width="54.140625" style="34" customWidth="1"/>
    <col min="12038" max="12038" width="15.28515625" style="34" customWidth="1"/>
    <col min="12039" max="12042" width="16" style="34" customWidth="1"/>
    <col min="12043" max="12043" width="16.7109375" style="34" customWidth="1"/>
    <col min="12044" max="12044" width="9" style="34" customWidth="1"/>
    <col min="12045" max="12045" width="15.7109375" style="34" customWidth="1"/>
    <col min="12046" max="12046" width="9.140625" style="34"/>
    <col min="12047" max="12048" width="11.42578125" style="34" bestFit="1" customWidth="1"/>
    <col min="12049" max="12291" width="9.140625" style="34"/>
    <col min="12292" max="12292" width="6.42578125" style="34" customWidth="1"/>
    <col min="12293" max="12293" width="54.140625" style="34" customWidth="1"/>
    <col min="12294" max="12294" width="15.28515625" style="34" customWidth="1"/>
    <col min="12295" max="12298" width="16" style="34" customWidth="1"/>
    <col min="12299" max="12299" width="16.7109375" style="34" customWidth="1"/>
    <col min="12300" max="12300" width="9" style="34" customWidth="1"/>
    <col min="12301" max="12301" width="15.7109375" style="34" customWidth="1"/>
    <col min="12302" max="12302" width="9.140625" style="34"/>
    <col min="12303" max="12304" width="11.42578125" style="34" bestFit="1" customWidth="1"/>
    <col min="12305" max="12547" width="9.140625" style="34"/>
    <col min="12548" max="12548" width="6.42578125" style="34" customWidth="1"/>
    <col min="12549" max="12549" width="54.140625" style="34" customWidth="1"/>
    <col min="12550" max="12550" width="15.28515625" style="34" customWidth="1"/>
    <col min="12551" max="12554" width="16" style="34" customWidth="1"/>
    <col min="12555" max="12555" width="16.7109375" style="34" customWidth="1"/>
    <col min="12556" max="12556" width="9" style="34" customWidth="1"/>
    <col min="12557" max="12557" width="15.7109375" style="34" customWidth="1"/>
    <col min="12558" max="12558" width="9.140625" style="34"/>
    <col min="12559" max="12560" width="11.42578125" style="34" bestFit="1" customWidth="1"/>
    <col min="12561" max="12803" width="9.140625" style="34"/>
    <col min="12804" max="12804" width="6.42578125" style="34" customWidth="1"/>
    <col min="12805" max="12805" width="54.140625" style="34" customWidth="1"/>
    <col min="12806" max="12806" width="15.28515625" style="34" customWidth="1"/>
    <col min="12807" max="12810" width="16" style="34" customWidth="1"/>
    <col min="12811" max="12811" width="16.7109375" style="34" customWidth="1"/>
    <col min="12812" max="12812" width="9" style="34" customWidth="1"/>
    <col min="12813" max="12813" width="15.7109375" style="34" customWidth="1"/>
    <col min="12814" max="12814" width="9.140625" style="34"/>
    <col min="12815" max="12816" width="11.42578125" style="34" bestFit="1" customWidth="1"/>
    <col min="12817" max="13059" width="9.140625" style="34"/>
    <col min="13060" max="13060" width="6.42578125" style="34" customWidth="1"/>
    <col min="13061" max="13061" width="54.140625" style="34" customWidth="1"/>
    <col min="13062" max="13062" width="15.28515625" style="34" customWidth="1"/>
    <col min="13063" max="13066" width="16" style="34" customWidth="1"/>
    <col min="13067" max="13067" width="16.7109375" style="34" customWidth="1"/>
    <col min="13068" max="13068" width="9" style="34" customWidth="1"/>
    <col min="13069" max="13069" width="15.7109375" style="34" customWidth="1"/>
    <col min="13070" max="13070" width="9.140625" style="34"/>
    <col min="13071" max="13072" width="11.42578125" style="34" bestFit="1" customWidth="1"/>
    <col min="13073" max="13315" width="9.140625" style="34"/>
    <col min="13316" max="13316" width="6.42578125" style="34" customWidth="1"/>
    <col min="13317" max="13317" width="54.140625" style="34" customWidth="1"/>
    <col min="13318" max="13318" width="15.28515625" style="34" customWidth="1"/>
    <col min="13319" max="13322" width="16" style="34" customWidth="1"/>
    <col min="13323" max="13323" width="16.7109375" style="34" customWidth="1"/>
    <col min="13324" max="13324" width="9" style="34" customWidth="1"/>
    <col min="13325" max="13325" width="15.7109375" style="34" customWidth="1"/>
    <col min="13326" max="13326" width="9.140625" style="34"/>
    <col min="13327" max="13328" width="11.42578125" style="34" bestFit="1" customWidth="1"/>
    <col min="13329" max="13571" width="9.140625" style="34"/>
    <col min="13572" max="13572" width="6.42578125" style="34" customWidth="1"/>
    <col min="13573" max="13573" width="54.140625" style="34" customWidth="1"/>
    <col min="13574" max="13574" width="15.28515625" style="34" customWidth="1"/>
    <col min="13575" max="13578" width="16" style="34" customWidth="1"/>
    <col min="13579" max="13579" width="16.7109375" style="34" customWidth="1"/>
    <col min="13580" max="13580" width="9" style="34" customWidth="1"/>
    <col min="13581" max="13581" width="15.7109375" style="34" customWidth="1"/>
    <col min="13582" max="13582" width="9.140625" style="34"/>
    <col min="13583" max="13584" width="11.42578125" style="34" bestFit="1" customWidth="1"/>
    <col min="13585" max="13827" width="9.140625" style="34"/>
    <col min="13828" max="13828" width="6.42578125" style="34" customWidth="1"/>
    <col min="13829" max="13829" width="54.140625" style="34" customWidth="1"/>
    <col min="13830" max="13830" width="15.28515625" style="34" customWidth="1"/>
    <col min="13831" max="13834" width="16" style="34" customWidth="1"/>
    <col min="13835" max="13835" width="16.7109375" style="34" customWidth="1"/>
    <col min="13836" max="13836" width="9" style="34" customWidth="1"/>
    <col min="13837" max="13837" width="15.7109375" style="34" customWidth="1"/>
    <col min="13838" max="13838" width="9.140625" style="34"/>
    <col min="13839" max="13840" width="11.42578125" style="34" bestFit="1" customWidth="1"/>
    <col min="13841" max="14083" width="9.140625" style="34"/>
    <col min="14084" max="14084" width="6.42578125" style="34" customWidth="1"/>
    <col min="14085" max="14085" width="54.140625" style="34" customWidth="1"/>
    <col min="14086" max="14086" width="15.28515625" style="34" customWidth="1"/>
    <col min="14087" max="14090" width="16" style="34" customWidth="1"/>
    <col min="14091" max="14091" width="16.7109375" style="34" customWidth="1"/>
    <col min="14092" max="14092" width="9" style="34" customWidth="1"/>
    <col min="14093" max="14093" width="15.7109375" style="34" customWidth="1"/>
    <col min="14094" max="14094" width="9.140625" style="34"/>
    <col min="14095" max="14096" width="11.42578125" style="34" bestFit="1" customWidth="1"/>
    <col min="14097" max="14339" width="9.140625" style="34"/>
    <col min="14340" max="14340" width="6.42578125" style="34" customWidth="1"/>
    <col min="14341" max="14341" width="54.140625" style="34" customWidth="1"/>
    <col min="14342" max="14342" width="15.28515625" style="34" customWidth="1"/>
    <col min="14343" max="14346" width="16" style="34" customWidth="1"/>
    <col min="14347" max="14347" width="16.7109375" style="34" customWidth="1"/>
    <col min="14348" max="14348" width="9" style="34" customWidth="1"/>
    <col min="14349" max="14349" width="15.7109375" style="34" customWidth="1"/>
    <col min="14350" max="14350" width="9.140625" style="34"/>
    <col min="14351" max="14352" width="11.42578125" style="34" bestFit="1" customWidth="1"/>
    <col min="14353" max="14595" width="9.140625" style="34"/>
    <col min="14596" max="14596" width="6.42578125" style="34" customWidth="1"/>
    <col min="14597" max="14597" width="54.140625" style="34" customWidth="1"/>
    <col min="14598" max="14598" width="15.28515625" style="34" customWidth="1"/>
    <col min="14599" max="14602" width="16" style="34" customWidth="1"/>
    <col min="14603" max="14603" width="16.7109375" style="34" customWidth="1"/>
    <col min="14604" max="14604" width="9" style="34" customWidth="1"/>
    <col min="14605" max="14605" width="15.7109375" style="34" customWidth="1"/>
    <col min="14606" max="14606" width="9.140625" style="34"/>
    <col min="14607" max="14608" width="11.42578125" style="34" bestFit="1" customWidth="1"/>
    <col min="14609" max="14851" width="9.140625" style="34"/>
    <col min="14852" max="14852" width="6.42578125" style="34" customWidth="1"/>
    <col min="14853" max="14853" width="54.140625" style="34" customWidth="1"/>
    <col min="14854" max="14854" width="15.28515625" style="34" customWidth="1"/>
    <col min="14855" max="14858" width="16" style="34" customWidth="1"/>
    <col min="14859" max="14859" width="16.7109375" style="34" customWidth="1"/>
    <col min="14860" max="14860" width="9" style="34" customWidth="1"/>
    <col min="14861" max="14861" width="15.7109375" style="34" customWidth="1"/>
    <col min="14862" max="14862" width="9.140625" style="34"/>
    <col min="14863" max="14864" width="11.42578125" style="34" bestFit="1" customWidth="1"/>
    <col min="14865" max="15107" width="9.140625" style="34"/>
    <col min="15108" max="15108" width="6.42578125" style="34" customWidth="1"/>
    <col min="15109" max="15109" width="54.140625" style="34" customWidth="1"/>
    <col min="15110" max="15110" width="15.28515625" style="34" customWidth="1"/>
    <col min="15111" max="15114" width="16" style="34" customWidth="1"/>
    <col min="15115" max="15115" width="16.7109375" style="34" customWidth="1"/>
    <col min="15116" max="15116" width="9" style="34" customWidth="1"/>
    <col min="15117" max="15117" width="15.7109375" style="34" customWidth="1"/>
    <col min="15118" max="15118" width="9.140625" style="34"/>
    <col min="15119" max="15120" width="11.42578125" style="34" bestFit="1" customWidth="1"/>
    <col min="15121" max="15363" width="9.140625" style="34"/>
    <col min="15364" max="15364" width="6.42578125" style="34" customWidth="1"/>
    <col min="15365" max="15365" width="54.140625" style="34" customWidth="1"/>
    <col min="15366" max="15366" width="15.28515625" style="34" customWidth="1"/>
    <col min="15367" max="15370" width="16" style="34" customWidth="1"/>
    <col min="15371" max="15371" width="16.7109375" style="34" customWidth="1"/>
    <col min="15372" max="15372" width="9" style="34" customWidth="1"/>
    <col min="15373" max="15373" width="15.7109375" style="34" customWidth="1"/>
    <col min="15374" max="15374" width="9.140625" style="34"/>
    <col min="15375" max="15376" width="11.42578125" style="34" bestFit="1" customWidth="1"/>
    <col min="15377" max="15619" width="9.140625" style="34"/>
    <col min="15620" max="15620" width="6.42578125" style="34" customWidth="1"/>
    <col min="15621" max="15621" width="54.140625" style="34" customWidth="1"/>
    <col min="15622" max="15622" width="15.28515625" style="34" customWidth="1"/>
    <col min="15623" max="15626" width="16" style="34" customWidth="1"/>
    <col min="15627" max="15627" width="16.7109375" style="34" customWidth="1"/>
    <col min="15628" max="15628" width="9" style="34" customWidth="1"/>
    <col min="15629" max="15629" width="15.7109375" style="34" customWidth="1"/>
    <col min="15630" max="15630" width="9.140625" style="34"/>
    <col min="15631" max="15632" width="11.42578125" style="34" bestFit="1" customWidth="1"/>
    <col min="15633" max="15875" width="9.140625" style="34"/>
    <col min="15876" max="15876" width="6.42578125" style="34" customWidth="1"/>
    <col min="15877" max="15877" width="54.140625" style="34" customWidth="1"/>
    <col min="15878" max="15878" width="15.28515625" style="34" customWidth="1"/>
    <col min="15879" max="15882" width="16" style="34" customWidth="1"/>
    <col min="15883" max="15883" width="16.7109375" style="34" customWidth="1"/>
    <col min="15884" max="15884" width="9" style="34" customWidth="1"/>
    <col min="15885" max="15885" width="15.7109375" style="34" customWidth="1"/>
    <col min="15886" max="15886" width="9.140625" style="34"/>
    <col min="15887" max="15888" width="11.42578125" style="34" bestFit="1" customWidth="1"/>
    <col min="15889" max="16131" width="9.140625" style="34"/>
    <col min="16132" max="16132" width="6.42578125" style="34" customWidth="1"/>
    <col min="16133" max="16133" width="54.140625" style="34" customWidth="1"/>
    <col min="16134" max="16134" width="15.28515625" style="34" customWidth="1"/>
    <col min="16135" max="16138" width="16" style="34" customWidth="1"/>
    <col min="16139" max="16139" width="16.7109375" style="34" customWidth="1"/>
    <col min="16140" max="16140" width="9" style="34" customWidth="1"/>
    <col min="16141" max="16141" width="15.7109375" style="34" customWidth="1"/>
    <col min="16142" max="16142" width="9.140625" style="34"/>
    <col min="16143" max="16144" width="11.42578125" style="34" bestFit="1" customWidth="1"/>
    <col min="16145" max="16384" width="9.140625" style="34"/>
  </cols>
  <sheetData>
    <row r="1" spans="1:17" x14ac:dyDescent="0.2">
      <c r="B1" s="35" t="str">
        <f>Update!$B$6</f>
        <v>Department of Health</v>
      </c>
    </row>
    <row r="2" spans="1:17" x14ac:dyDescent="0.2">
      <c r="B2" s="35" t="str">
        <f>Update!$B$10</f>
        <v>Notes to the financial statements</v>
      </c>
    </row>
    <row r="3" spans="1:17" x14ac:dyDescent="0.2">
      <c r="B3" s="35" t="str">
        <f>Update!$A$3</f>
        <v>2025-26</v>
      </c>
    </row>
    <row r="5" spans="1:17" x14ac:dyDescent="0.2">
      <c r="A5" s="229">
        <f>SUMIF(Update!$B$33:$B$106,B5,Update!$A$33:$A$106)</f>
        <v>13</v>
      </c>
      <c r="B5" s="37" t="s">
        <v>620</v>
      </c>
      <c r="L5" s="722" t="s">
        <v>64</v>
      </c>
      <c r="N5" s="722" t="s">
        <v>64</v>
      </c>
    </row>
    <row r="6" spans="1:17" ht="38.25" x14ac:dyDescent="0.2">
      <c r="C6" s="201" t="str">
        <f>Update!$B$7</f>
        <v>Core Department &amp; Agencies</v>
      </c>
      <c r="E6" s="201" t="str">
        <f>Update!$B$8</f>
        <v>Departmental Group</v>
      </c>
      <c r="G6" s="201" t="str">
        <f>Update!$B$7</f>
        <v>Core Department &amp; Agencies</v>
      </c>
      <c r="I6" s="201" t="str">
        <f>Update!$B$8</f>
        <v>Departmental Group</v>
      </c>
      <c r="L6" s="201" t="str">
        <f>Update!$B$7</f>
        <v>Core Department &amp; Agencies</v>
      </c>
      <c r="N6" s="201" t="str">
        <f>Update!$B$8</f>
        <v>Departmental Group</v>
      </c>
      <c r="P6" s="1152"/>
      <c r="Q6" s="113"/>
    </row>
    <row r="7" spans="1:17" x14ac:dyDescent="0.2">
      <c r="A7" s="36"/>
      <c r="B7" s="37"/>
      <c r="C7" s="172" t="str">
        <f>Update!$B$22</f>
        <v xml:space="preserve"> 31 March 2026</v>
      </c>
      <c r="E7" s="172" t="str">
        <f>C7</f>
        <v xml:space="preserve"> 31 March 2026</v>
      </c>
      <c r="F7" s="39"/>
      <c r="G7" s="40" t="str">
        <f>Update!$B$24</f>
        <v xml:space="preserve"> 31 March 2025</v>
      </c>
      <c r="H7" s="39"/>
      <c r="I7" s="40" t="str">
        <f>G7</f>
        <v xml:space="preserve"> 31 March 2025</v>
      </c>
      <c r="L7" s="172" t="str">
        <f>C7</f>
        <v xml:space="preserve"> 31 March 2026</v>
      </c>
      <c r="N7" s="172" t="str">
        <f>L7</f>
        <v xml:space="preserve"> 31 March 2026</v>
      </c>
      <c r="P7" s="37"/>
      <c r="Q7" s="37"/>
    </row>
    <row r="8" spans="1:17" x14ac:dyDescent="0.2">
      <c r="C8" s="39" t="s">
        <v>462</v>
      </c>
      <c r="E8" s="39" t="s">
        <v>462</v>
      </c>
      <c r="F8" s="38"/>
      <c r="G8" s="39" t="s">
        <v>462</v>
      </c>
      <c r="H8" s="38"/>
      <c r="I8" s="39" t="s">
        <v>462</v>
      </c>
      <c r="L8" s="39" t="s">
        <v>462</v>
      </c>
      <c r="N8" s="39" t="s">
        <v>462</v>
      </c>
      <c r="P8" s="37"/>
      <c r="Q8" s="37"/>
    </row>
    <row r="9" spans="1:17" x14ac:dyDescent="0.2">
      <c r="B9" s="37" t="s">
        <v>229</v>
      </c>
      <c r="D9" s="106"/>
      <c r="M9" s="106"/>
      <c r="P9" s="37"/>
      <c r="Q9" s="37"/>
    </row>
    <row r="10" spans="1:17" x14ac:dyDescent="0.2">
      <c r="B10" s="37"/>
      <c r="P10" s="1153"/>
      <c r="Q10" s="234"/>
    </row>
    <row r="11" spans="1:17" x14ac:dyDescent="0.2">
      <c r="B11" s="34" t="s">
        <v>621</v>
      </c>
      <c r="C11" s="747">
        <f>SUMIF(MAP!$E$1270:$E$1298,$B11,MAP!$T$1270:$T$1298)</f>
        <v>0</v>
      </c>
      <c r="E11" s="747">
        <f>SUMIF(MAP!$E$1270:$E$1298,$B11,MAP!$N$1270:$N$1298)</f>
        <v>0</v>
      </c>
      <c r="G11" s="342">
        <v>7487</v>
      </c>
      <c r="I11" s="342">
        <v>8437</v>
      </c>
      <c r="L11" s="747">
        <f>SUMIF(MAP!$E$1270:$E$1298,$B11,MAP!$U$1270:$U$1298)</f>
        <v>0</v>
      </c>
      <c r="N11" s="747">
        <f>SUMIF(MAP!$E$1270:$E$1298,$B11,MAP!$BD$1270:$BD$1298)</f>
        <v>0</v>
      </c>
      <c r="P11" s="1153"/>
      <c r="Q11" s="234"/>
    </row>
    <row r="12" spans="1:17" x14ac:dyDescent="0.2">
      <c r="B12" s="34" t="s">
        <v>230</v>
      </c>
      <c r="C12" s="747">
        <f>SUMIF(MAP!$E$1270:$E$1298,$B12,MAP!$T$1270:$T$1298)</f>
        <v>0</v>
      </c>
      <c r="E12" s="747">
        <f>SUMIF(MAP!$E$1270:$E$1298,$B12,MAP!$N$1270:$N$1298)</f>
        <v>0</v>
      </c>
      <c r="F12" s="34">
        <f>ROUND(SUMIF(MAP!$E$389:$E$406,$B12,MAP!$N$389:$N$406),0)</f>
        <v>0</v>
      </c>
      <c r="G12" s="342">
        <v>0</v>
      </c>
      <c r="I12" s="342">
        <v>0</v>
      </c>
      <c r="L12" s="747">
        <f>SUMIF(MAP!$E$1270:$E$1298,$B12,MAP!$U$1270:$U$1298)</f>
        <v>0</v>
      </c>
      <c r="N12" s="747">
        <f>SUMIF(MAP!$E$1270:$E$1298,$B12,MAP!$BD$1270:$BD$1298)</f>
        <v>0</v>
      </c>
      <c r="P12" s="1153"/>
      <c r="Q12" s="234"/>
    </row>
    <row r="13" spans="1:17" x14ac:dyDescent="0.2">
      <c r="B13" s="34" t="s">
        <v>622</v>
      </c>
      <c r="C13" s="747">
        <f>SUMIF(MAP!$E$1270:$E$1298,$B13,MAP!$T$1270:$T$1298)</f>
        <v>0</v>
      </c>
      <c r="E13" s="747">
        <f>SUMIF(MAP!$E$1270:$E$1298,$B13,MAP!$N$1270:$N$1298)</f>
        <v>0</v>
      </c>
      <c r="G13" s="342">
        <v>0</v>
      </c>
      <c r="I13" s="342">
        <v>250975</v>
      </c>
      <c r="L13" s="747">
        <f>SUMIF(MAP!$E$1270:$E$1298,$B13,MAP!$U$1270:$U$1298)</f>
        <v>0</v>
      </c>
      <c r="N13" s="747">
        <f>SUMIF(MAP!$E$1270:$E$1298,$B13,MAP!$BD$1270:$BD$1298)</f>
        <v>0</v>
      </c>
      <c r="P13" s="1153"/>
      <c r="Q13" s="234"/>
    </row>
    <row r="14" spans="1:17" x14ac:dyDescent="0.2">
      <c r="B14" s="34" t="s">
        <v>248</v>
      </c>
      <c r="C14" s="747">
        <f>SUMIF(MAP!$E$1270:$E$1298,$B14,MAP!$T$1270:$T$1298)</f>
        <v>0</v>
      </c>
      <c r="E14" s="747">
        <f>SUMIF(MAP!$E$1270:$E$1298,$B14,MAP!$N$1270:$N$1298)</f>
        <v>0</v>
      </c>
      <c r="G14" s="342">
        <v>44940</v>
      </c>
      <c r="I14" s="342">
        <v>327354</v>
      </c>
      <c r="L14" s="747">
        <f>SUMIF(MAP!$E$1270:$E$1298,$B14,MAP!$U$1270:$U$1298)</f>
        <v>0</v>
      </c>
      <c r="N14" s="747">
        <f>SUMIF(MAP!$E$1270:$E$1298,$B14,MAP!$BD$1270:$BD$1298)</f>
        <v>0</v>
      </c>
      <c r="P14" s="1153"/>
      <c r="Q14" s="234"/>
    </row>
    <row r="15" spans="1:17" x14ac:dyDescent="0.2">
      <c r="B15" s="353" t="s">
        <v>623</v>
      </c>
      <c r="C15" s="747">
        <f>SUMIF(MAP!$E$1270:$E$1298,$B15,MAP!$T$1270:$T$1298)</f>
        <v>0</v>
      </c>
      <c r="E15" s="747">
        <f>SUMIF(MAP!$E$1270:$E$1298,$B15,MAP!$N$1270:$N$1298)</f>
        <v>0</v>
      </c>
      <c r="G15" s="342">
        <v>172</v>
      </c>
      <c r="I15" s="342">
        <v>100062</v>
      </c>
      <c r="J15" s="1103" t="s">
        <v>612</v>
      </c>
      <c r="L15" s="747">
        <f>SUMIF(MAP!$E$1270:$E$1298,$B15,MAP!$U$1270:$U$1298)</f>
        <v>0</v>
      </c>
      <c r="N15" s="747">
        <f>SUMIF(MAP!$E$1270:$E$1298,$B15,MAP!$BD$1270:$BD$1298)</f>
        <v>0</v>
      </c>
      <c r="P15" s="1153"/>
      <c r="Q15" s="234"/>
    </row>
    <row r="16" spans="1:17" x14ac:dyDescent="0.2">
      <c r="B16" s="353" t="s">
        <v>624</v>
      </c>
      <c r="C16" s="747">
        <f>SUMIF(MAP!$E$1270:$E$1298,$B16,MAP!$T$1270:$T$1298)</f>
        <v>0</v>
      </c>
      <c r="E16" s="747">
        <f>SUMIF(MAP!$E$1270:$E$1298,$B16,MAP!$N$1270:$N$1298)</f>
        <v>0</v>
      </c>
      <c r="G16" s="342">
        <v>1138</v>
      </c>
      <c r="I16" s="342">
        <v>13282</v>
      </c>
      <c r="J16" s="1105" t="s">
        <v>1891</v>
      </c>
      <c r="L16" s="747">
        <f>SUMIF(MAP!$E$1270:$E$1298,$B16,MAP!$U$1270:$U$1298)</f>
        <v>0</v>
      </c>
      <c r="N16" s="747">
        <f>SUMIF(MAP!$E$1270:$E$1298,$B16,MAP!$BD$1270:$BD$1298)</f>
        <v>0</v>
      </c>
      <c r="P16" s="1153"/>
      <c r="Q16" s="234"/>
    </row>
    <row r="17" spans="1:20" x14ac:dyDescent="0.2">
      <c r="B17" s="34" t="s">
        <v>249</v>
      </c>
      <c r="C17" s="1756">
        <f>SUMIF(MAP!$E$1270:$E$1298,$B17,MAP!$T$1270:$T$1298)+C16+C15</f>
        <v>0</v>
      </c>
      <c r="E17" s="1756">
        <f>SUMIF(MAP!$E$1270:$E$1298,$B17,MAP!$N$1270:$N$1298)+E16+E15</f>
        <v>0</v>
      </c>
      <c r="G17" s="342">
        <v>1310</v>
      </c>
      <c r="I17" s="342">
        <v>113344</v>
      </c>
      <c r="L17" s="747">
        <f>SUMIF(MAP!$E$1270:$E$1298,$B17,MAP!$U$1270:$U$1298)</f>
        <v>0</v>
      </c>
      <c r="N17" s="747">
        <f>SUMIF(MAP!$E$1270:$E$1298,$B17,MAP!$BD$1270:$BD$1298)</f>
        <v>0</v>
      </c>
      <c r="P17" s="1153"/>
      <c r="Q17" s="234"/>
    </row>
    <row r="18" spans="1:20" x14ac:dyDescent="0.2">
      <c r="B18" s="34" t="s">
        <v>250</v>
      </c>
      <c r="C18" s="747">
        <f>SUMIF(MAP!$E$1270:$E$1298,$B18,MAP!$T$1270:$T$1298)</f>
        <v>0</v>
      </c>
      <c r="E18" s="747">
        <f>SUMIF(MAP!$E$1270:$E$1298,$B18,MAP!$N$1270:$N$1298)</f>
        <v>0</v>
      </c>
      <c r="G18" s="342">
        <v>34841</v>
      </c>
      <c r="I18" s="342">
        <v>368708</v>
      </c>
      <c r="L18" s="747">
        <f>SUMIF(MAP!$E$1270:$E$1298,$B18,MAP!$U$1270:$U$1298)</f>
        <v>0</v>
      </c>
      <c r="N18" s="747">
        <f>SUMIF(MAP!$E$1270:$E$1298,$B18,MAP!$BD$1270:$BD$1298)</f>
        <v>0</v>
      </c>
      <c r="P18" s="1153"/>
      <c r="Q18" s="234"/>
    </row>
    <row r="19" spans="1:20" x14ac:dyDescent="0.2">
      <c r="B19" s="34" t="s">
        <v>251</v>
      </c>
      <c r="C19" s="747">
        <f>SUMIF(MAP!$E$1270:$E$1298,$B19,MAP!$T$1270:$T$1298)</f>
        <v>0</v>
      </c>
      <c r="E19" s="747">
        <f>SUMIF(MAP!$E$1270:$E$1298,$B19,MAP!$N$1270:$N$1298)</f>
        <v>0</v>
      </c>
      <c r="F19" s="34">
        <f>ROUND(SUMIF(MAP!$E$389:$E$406,$B19,MAP!$N$389:$N$406),0)</f>
        <v>0</v>
      </c>
      <c r="G19" s="342">
        <v>0</v>
      </c>
      <c r="I19" s="342">
        <v>0</v>
      </c>
      <c r="L19" s="747">
        <f>SUMIF(MAP!$E$1270:$E$1298,$B19,MAP!$U$1270:$U$1298)</f>
        <v>0</v>
      </c>
      <c r="N19" s="747">
        <f>SUMIF(MAP!$E$1270:$E$1298,$B19,MAP!$BD$1270:$BD$1298)</f>
        <v>0</v>
      </c>
      <c r="P19" s="1153"/>
      <c r="Q19" s="234"/>
    </row>
    <row r="20" spans="1:20" x14ac:dyDescent="0.2">
      <c r="B20" s="353" t="s">
        <v>625</v>
      </c>
      <c r="C20" s="747">
        <f>SUMIF(MAP!$E$1270:$E$1298,$B20,MAP!$T$1270:$T$1298)</f>
        <v>0</v>
      </c>
      <c r="E20" s="747">
        <f>SUMIF(MAP!$E$1270:$E$1298,$B20,MAP!$N$1270:$N$1298)</f>
        <v>0</v>
      </c>
      <c r="G20" s="342">
        <v>0</v>
      </c>
      <c r="I20" s="342">
        <v>22771</v>
      </c>
      <c r="J20" s="1103" t="s">
        <v>612</v>
      </c>
      <c r="L20" s="747">
        <f>SUMIF(MAP!$E$1270:$E$1298,$B20,MAP!$U$1270:$U$1298)</f>
        <v>0</v>
      </c>
      <c r="N20" s="747">
        <f>SUMIF(MAP!$E$1270:$E$1298,$B20,MAP!$BD$1270:$BD$1298)</f>
        <v>0</v>
      </c>
      <c r="P20" s="1153"/>
      <c r="Q20" s="234"/>
    </row>
    <row r="21" spans="1:20" x14ac:dyDescent="0.2">
      <c r="B21" s="353" t="s">
        <v>626</v>
      </c>
      <c r="C21" s="747">
        <f>SUMIF(MAP!$E$1270:$E$1298,$B21,MAP!$T$1270:$T$1298)</f>
        <v>0</v>
      </c>
      <c r="E21" s="747">
        <f>SUMIF(MAP!$E$1270:$E$1298,$B21,MAP!$N$1270:$N$1298)</f>
        <v>0</v>
      </c>
      <c r="G21" s="342">
        <v>0</v>
      </c>
      <c r="I21" s="342">
        <v>13338</v>
      </c>
      <c r="J21" s="1104" t="s">
        <v>627</v>
      </c>
      <c r="L21" s="747">
        <f>SUMIF(MAP!$E$1270:$E$1298,$B21,MAP!$U$1270:$U$1298)</f>
        <v>0</v>
      </c>
      <c r="N21" s="747">
        <f>SUMIF(MAP!$E$1270:$E$1298,$B21,MAP!$BD$1270:$BD$1298)</f>
        <v>0</v>
      </c>
      <c r="P21" s="1153"/>
      <c r="Q21" s="234"/>
    </row>
    <row r="22" spans="1:20" x14ac:dyDescent="0.2">
      <c r="B22" s="353" t="s">
        <v>628</v>
      </c>
      <c r="C22" s="747">
        <f>SUMIF(MAP!$E$1270:$E$1298,$B22,MAP!$T$1270:$T$1298)</f>
        <v>0</v>
      </c>
      <c r="E22" s="747">
        <f>SUMIF(MAP!$E$1270:$E$1298,$B22,MAP!$N$1270:$N$1298)+E21+E20</f>
        <v>0</v>
      </c>
      <c r="G22" s="342">
        <v>101632</v>
      </c>
      <c r="I22" s="342">
        <v>219072</v>
      </c>
      <c r="J22" s="1105" t="s">
        <v>614</v>
      </c>
      <c r="L22" s="747">
        <f>SUMIF(MAP!$E$1270:$E$1298,$B22,MAP!$U$1270:$U$1298)</f>
        <v>0</v>
      </c>
      <c r="N22" s="747">
        <f>SUMIF(MAP!$E$1270:$E$1298,$B22,MAP!$BD$1270:$BD$1298)</f>
        <v>0</v>
      </c>
      <c r="P22" s="1153"/>
      <c r="Q22" s="234"/>
    </row>
    <row r="23" spans="1:20" x14ac:dyDescent="0.2">
      <c r="B23" s="34" t="s">
        <v>629</v>
      </c>
      <c r="C23" s="747">
        <f>SUMIF(MAP!$E$1270:$E$1298,$B23,MAP!$T$1270:$T$1298)</f>
        <v>0</v>
      </c>
      <c r="E23" s="747">
        <f>SUMIF(MAP!$E$1270:$E$1298,$B23,MAP!$N$1270:$N$1298)</f>
        <v>0</v>
      </c>
      <c r="G23" s="342">
        <v>748</v>
      </c>
      <c r="I23" s="342">
        <v>5148</v>
      </c>
      <c r="L23" s="747">
        <f>SUMIF(MAP!$E$1270:$E$1298,$B23,MAP!$U$1270:$U$1298)</f>
        <v>0</v>
      </c>
      <c r="N23" s="747">
        <f>SUMIF(MAP!$E$1270:$E$1298,$B23,MAP!$BD$1270:$BD$1298)</f>
        <v>0</v>
      </c>
      <c r="P23" s="1153"/>
      <c r="Q23" s="234"/>
    </row>
    <row r="24" spans="1:20" x14ac:dyDescent="0.2">
      <c r="B24" s="34" t="s">
        <v>1075</v>
      </c>
      <c r="C24" s="747">
        <f>SUMIF(MAP!$E$1270:$E$1298,$B24,MAP!$T$1270:$T$1298)</f>
        <v>0</v>
      </c>
      <c r="E24" s="747">
        <f>SUMIF(MAP!$E$1270:$E$1298,$B24,MAP!$N$1270:$N$1298)</f>
        <v>0</v>
      </c>
      <c r="G24" s="342">
        <v>0</v>
      </c>
      <c r="I24" s="342">
        <v>0</v>
      </c>
      <c r="L24" s="747">
        <f>SUMIF(MAP!$E$1270:$E$1298,$B24,MAP!$U$1270:$U$1298)</f>
        <v>0</v>
      </c>
      <c r="N24" s="747">
        <f>SUMIF(MAP!$E$1270:$E$1298,$B24,MAP!$BD$1270:$BD$1298)</f>
        <v>0</v>
      </c>
      <c r="P24" s="1153"/>
      <c r="Q24" s="234"/>
    </row>
    <row r="25" spans="1:20" x14ac:dyDescent="0.2">
      <c r="B25" s="34" t="s">
        <v>272</v>
      </c>
      <c r="C25" s="747">
        <f>SUMIF(MAP!$E$1270:$E$1298,$B25,MAP!$T$1270:$T$1298)</f>
        <v>0</v>
      </c>
      <c r="E25" s="747">
        <f>SUMIF(MAP!$E$1270:$E$1298,$B25,MAP!$N$1270:$N$1298)</f>
        <v>0</v>
      </c>
      <c r="G25" s="342">
        <v>0</v>
      </c>
      <c r="I25" s="342">
        <v>0</v>
      </c>
      <c r="L25" s="747">
        <f>SUMIF(MAP!$E$1270:$E$1298,$B25,MAP!$U$1270:$U$1298)</f>
        <v>0</v>
      </c>
      <c r="N25" s="747">
        <f>SUMIF(MAP!$E$1270:$E$1298,$B25,MAP!$BD$1270:$BD$1298)</f>
        <v>0</v>
      </c>
      <c r="P25" s="1153"/>
      <c r="Q25" s="234"/>
    </row>
    <row r="26" spans="1:20" x14ac:dyDescent="0.2">
      <c r="B26" s="34" t="s">
        <v>630</v>
      </c>
      <c r="C26" s="747">
        <f>SUMIF(MAP!$E$1270:$E$1298,$B26,MAP!$T$1270:$T$1298)</f>
        <v>0</v>
      </c>
      <c r="E26" s="747">
        <f>SUMIF(MAP!$E$1270:$E$1298,$B26,MAP!$N$1270:$N$1298)</f>
        <v>0</v>
      </c>
      <c r="G26" s="342">
        <v>0</v>
      </c>
      <c r="I26" s="342">
        <v>0</v>
      </c>
      <c r="L26" s="747">
        <f>SUMIF(MAP!$E$1270:$E$1298,$B26,MAP!$U$1270:$U$1298)</f>
        <v>0</v>
      </c>
      <c r="N26" s="747">
        <f>SUMIF(MAP!$E$1270:$E$1298,$B26,MAP!$BD$1270:$BD$1298)</f>
        <v>0</v>
      </c>
      <c r="P26" s="1153"/>
      <c r="Q26" s="234"/>
    </row>
    <row r="27" spans="1:20" s="56" customFormat="1" ht="25.5" x14ac:dyDescent="0.2">
      <c r="A27" s="55"/>
      <c r="B27" s="56" t="s">
        <v>258</v>
      </c>
      <c r="C27" s="747">
        <f>SUMIF(MAP!$E$1270:$E$1298,$B27,MAP!$T$1270:$T$1298)</f>
        <v>0</v>
      </c>
      <c r="D27" s="34"/>
      <c r="E27" s="747">
        <f>SUMIF(MAP!$E$1270:$E$1298,$B27,MAP!$N$1270:$N$1298)</f>
        <v>0</v>
      </c>
      <c r="F27" s="34"/>
      <c r="G27" s="342">
        <v>27203</v>
      </c>
      <c r="H27" s="34"/>
      <c r="I27" s="342">
        <v>27203</v>
      </c>
      <c r="L27" s="747">
        <f>SUMIF(MAP!$E$1270:$E$1298,$B27,MAP!$U$1270:$U$1298)</f>
        <v>0</v>
      </c>
      <c r="M27" s="34"/>
      <c r="N27" s="747">
        <f>SUMIF(MAP!$E$1270:$E$1298,$B27,MAP!$BD$1270:$BD$1298)</f>
        <v>0</v>
      </c>
      <c r="P27" s="1153"/>
      <c r="Q27" s="234"/>
      <c r="R27" s="34"/>
      <c r="T27" s="34"/>
    </row>
    <row r="28" spans="1:20" s="56" customFormat="1" ht="25.5" x14ac:dyDescent="0.2">
      <c r="A28" s="55"/>
      <c r="B28" s="56" t="s">
        <v>631</v>
      </c>
      <c r="C28" s="126"/>
      <c r="D28" s="34"/>
      <c r="E28" s="126"/>
      <c r="F28" s="34"/>
      <c r="G28" s="126"/>
      <c r="H28" s="34"/>
      <c r="I28" s="126"/>
      <c r="L28" s="126"/>
      <c r="M28" s="34"/>
      <c r="N28" s="126"/>
      <c r="P28" s="1153"/>
      <c r="Q28" s="234"/>
      <c r="T28" s="34"/>
    </row>
    <row r="29" spans="1:20" x14ac:dyDescent="0.2">
      <c r="B29" s="34" t="s">
        <v>252</v>
      </c>
      <c r="C29" s="747">
        <f>SUMIF(MAP!$E$1270:$E$1298,$B29,MAP!$T$1270:$T$1298)</f>
        <v>0</v>
      </c>
      <c r="E29" s="747">
        <f>SUMIF(MAP!$E$1270:$E$1298,$B29,MAP!$N$1270:$N$1298)</f>
        <v>0</v>
      </c>
      <c r="G29" s="342">
        <v>1419</v>
      </c>
      <c r="I29" s="342">
        <v>1419</v>
      </c>
      <c r="L29" s="747">
        <f>SUMIF(MAP!$E$1270:$E$1298,$B29,MAP!$U$1270:$U$1298)</f>
        <v>0</v>
      </c>
      <c r="N29" s="747">
        <f>SUMIF(MAP!$E$1270:$E$1298,$B29,MAP!$BD$1270:$BD$1298)</f>
        <v>0</v>
      </c>
      <c r="P29" s="1153"/>
      <c r="Q29" s="234"/>
      <c r="R29" s="56">
        <v>1046</v>
      </c>
      <c r="S29" s="34">
        <v>1046</v>
      </c>
    </row>
    <row r="30" spans="1:20" x14ac:dyDescent="0.2">
      <c r="B30" s="34" t="s">
        <v>253</v>
      </c>
      <c r="C30" s="747">
        <f>SUMIF(MAP!$E$1270:$E$1298,$B30,MAP!$T$1270:$T$1298)</f>
        <v>0</v>
      </c>
      <c r="E30" s="747">
        <f>SUMIF(MAP!$E$1270:$E$1298,$B30,MAP!$N$1270:$N$1298)</f>
        <v>0</v>
      </c>
      <c r="G30" s="342">
        <v>0</v>
      </c>
      <c r="I30" s="342">
        <v>0</v>
      </c>
      <c r="L30" s="747">
        <f>SUMIF(MAP!$E$1270:$E$1298,$B30,MAP!$U$1270:$U$1298)</f>
        <v>0</v>
      </c>
      <c r="N30" s="747">
        <f>SUMIF(MAP!$E$1270:$E$1298,$B30,MAP!$BD$1270:$BD$1298)</f>
        <v>0</v>
      </c>
      <c r="P30" s="1153"/>
      <c r="Q30" s="234"/>
      <c r="R30" s="34">
        <v>173</v>
      </c>
      <c r="S30" s="34">
        <v>373</v>
      </c>
    </row>
    <row r="31" spans="1:20" x14ac:dyDescent="0.2">
      <c r="C31" s="179"/>
      <c r="E31" s="179"/>
      <c r="G31" s="179"/>
      <c r="I31" s="179"/>
      <c r="L31" s="179"/>
      <c r="N31" s="179"/>
      <c r="P31" s="1153"/>
      <c r="Q31" s="234"/>
      <c r="R31" s="34">
        <f>SUM(R29:R30)</f>
        <v>1219</v>
      </c>
      <c r="S31" s="34">
        <f>SUM(S29:S30)</f>
        <v>1419</v>
      </c>
    </row>
    <row r="32" spans="1:20" ht="13.5" thickBot="1" x14ac:dyDescent="0.25">
      <c r="B32" s="37" t="s">
        <v>254</v>
      </c>
      <c r="C32" s="180">
        <f>+C11+C12+C13+C14+C17+C18+C19+C22+C23+C24+C25+C26+C27+C29+C30+C20+C21</f>
        <v>0</v>
      </c>
      <c r="E32" s="180">
        <f>+E11+E12+E13+E14+E17+E18+E19+E22+E23+E24+E25+E26+E27+E29+E30</f>
        <v>0</v>
      </c>
      <c r="F32" s="804">
        <f>E32-MAP!N1293</f>
        <v>0</v>
      </c>
      <c r="G32" s="180">
        <f>+G11+G12+G13+G14+G17+G18+G19++G21+G22+G23+G24+G25+G26+G27+G29+G30+G20</f>
        <v>219580</v>
      </c>
      <c r="I32" s="180">
        <f>+I11+I12+I13+I14+I17+I18+I19+I22+I23+I24+I25+I26+I27+I29+I30</f>
        <v>1321660</v>
      </c>
      <c r="L32" s="180">
        <f>SUM(L11:L30)</f>
        <v>0</v>
      </c>
      <c r="N32" s="180">
        <f>SUM(N11:N30)</f>
        <v>0</v>
      </c>
      <c r="P32" s="180"/>
      <c r="Q32" s="1154"/>
    </row>
    <row r="33" spans="1:20" x14ac:dyDescent="0.2">
      <c r="C33" s="181"/>
      <c r="E33" s="181"/>
      <c r="F33" s="804">
        <f>C32-MAP!$T$1293</f>
        <v>0</v>
      </c>
      <c r="G33" s="181"/>
      <c r="I33" s="181"/>
      <c r="L33" s="181"/>
      <c r="N33" s="181"/>
      <c r="P33" s="181"/>
      <c r="Q33" s="181"/>
    </row>
    <row r="34" spans="1:20" x14ac:dyDescent="0.2">
      <c r="C34" s="43"/>
      <c r="E34" s="43"/>
      <c r="G34" s="43"/>
      <c r="I34" s="43"/>
      <c r="L34" s="43"/>
      <c r="N34" s="43"/>
      <c r="O34" s="178"/>
      <c r="P34" s="43"/>
      <c r="Q34" s="43"/>
    </row>
    <row r="35" spans="1:20" x14ac:dyDescent="0.2">
      <c r="B35" s="34" t="s">
        <v>2368</v>
      </c>
      <c r="C35" s="747">
        <f>SUMIF(MAP!$E$1294:$E$1297,$B35,MAP!$T$1294:$T$1297)</f>
        <v>0</v>
      </c>
      <c r="E35" s="747">
        <f>SUMIF(MAP!$E$1294:$E$1297,$B35,MAP!$N$1294:$N$1297)</f>
        <v>0</v>
      </c>
      <c r="G35" s="342">
        <v>294</v>
      </c>
      <c r="I35" s="342">
        <v>9044</v>
      </c>
      <c r="L35" s="747">
        <f>SUMIF(MAP!$E$1294:$E$1297,$B35,MAP!$U$1294:$U$1297)</f>
        <v>0</v>
      </c>
      <c r="N35" s="747">
        <f>SUMIF(MAP!$E$1294:$E$1297,$B35,MAP!$BD$1294:$BD$1297)</f>
        <v>0</v>
      </c>
      <c r="O35" s="178"/>
      <c r="P35" s="1153"/>
      <c r="Q35" s="234"/>
    </row>
    <row r="36" spans="1:20" s="56" customFormat="1" ht="25.5" x14ac:dyDescent="0.2">
      <c r="A36" s="55"/>
      <c r="B36" s="56" t="s">
        <v>2369</v>
      </c>
      <c r="C36" s="747">
        <f>SUMIF(MAP!$E$1294:$E$1297,$B36,MAP!$T$1294:$T$1297)</f>
        <v>0</v>
      </c>
      <c r="D36" s="34"/>
      <c r="E36" s="747">
        <f>SUMIF(MAP!$E$1294:$E$1297,$B36,MAP!$N$1294:$N$1297)</f>
        <v>0</v>
      </c>
      <c r="F36" s="34"/>
      <c r="G36" s="342">
        <v>0</v>
      </c>
      <c r="H36" s="34"/>
      <c r="I36" s="342">
        <v>7163</v>
      </c>
      <c r="J36" s="34"/>
      <c r="K36" s="34"/>
      <c r="L36" s="747">
        <f>SUMIF(MAP!$E$1294:$E$1297,$B36,MAP!$U$1294:$U$1297)</f>
        <v>0</v>
      </c>
      <c r="M36" s="34"/>
      <c r="N36" s="747">
        <f>SUMIF(MAP!$E$1294:$E$1297,$B36,MAP!$BD$1294:$BD$1297)</f>
        <v>0</v>
      </c>
      <c r="P36" s="1153"/>
      <c r="Q36" s="234"/>
      <c r="R36" s="34"/>
      <c r="T36" s="34"/>
    </row>
    <row r="37" spans="1:20" s="56" customFormat="1" x14ac:dyDescent="0.2">
      <c r="A37" s="55"/>
      <c r="B37" s="56" t="s">
        <v>782</v>
      </c>
      <c r="C37" s="747">
        <f>SUMIF(MAP!$E$1294:$E$1297,$B37,MAP!$T$1294:$T$1297)</f>
        <v>0</v>
      </c>
      <c r="D37" s="34"/>
      <c r="E37" s="747">
        <f>SUMIF(MAP!$E$1294:$E$1297,$B37,MAP!$N$1294:$N$1297)</f>
        <v>0</v>
      </c>
      <c r="F37" s="34"/>
      <c r="G37" s="342">
        <v>0</v>
      </c>
      <c r="H37" s="34"/>
      <c r="I37" s="342">
        <v>0</v>
      </c>
      <c r="J37" s="34"/>
      <c r="K37" s="34"/>
      <c r="L37" s="747">
        <f>SUMIF(MAP!$E$1294:$E$1297,$B37,MAP!$U$1294:$U$1297)</f>
        <v>0</v>
      </c>
      <c r="M37" s="34"/>
      <c r="N37" s="747">
        <f>SUMIF(MAP!$E$1294:$E$1297,$B37,MAP!$BD$1294:$BD$1297)</f>
        <v>0</v>
      </c>
      <c r="P37" s="1153"/>
      <c r="Q37" s="234"/>
      <c r="T37" s="34"/>
    </row>
    <row r="38" spans="1:20" x14ac:dyDescent="0.2">
      <c r="B38" s="34" t="s">
        <v>1057</v>
      </c>
      <c r="C38" s="747">
        <f>SUMIF(MAP!$E$1294:$E$1297,$B38,MAP!$T$1294:$T$1297)</f>
        <v>0</v>
      </c>
      <c r="E38" s="747">
        <f>SUMIF(MAP!$E$1294:$E$1297,$B38,MAP!$N$1294:$N$1297)</f>
        <v>0</v>
      </c>
      <c r="G38" s="342">
        <v>0</v>
      </c>
      <c r="I38" s="342">
        <v>0</v>
      </c>
      <c r="L38" s="747">
        <f>SUMIF(MAP!$E$1294:$E$1297,$B38,MAP!$U$1294:$U$1297)</f>
        <v>0</v>
      </c>
      <c r="N38" s="747">
        <f>SUMIF(MAP!$E$1294:$E$1297,$B38,MAP!$BD$1294:$BD$1297)</f>
        <v>0</v>
      </c>
      <c r="P38" s="1153"/>
      <c r="Q38" s="234"/>
      <c r="R38" s="56"/>
    </row>
    <row r="39" spans="1:20" ht="17.45" customHeight="1" thickBot="1" x14ac:dyDescent="0.25">
      <c r="B39" s="37" t="s">
        <v>255</v>
      </c>
      <c r="C39" s="54">
        <f>SUM(C35:C38)</f>
        <v>0</v>
      </c>
      <c r="E39" s="54">
        <f>SUM(E35:E38)</f>
        <v>0</v>
      </c>
      <c r="G39" s="54">
        <f>SUM(G35:G38)</f>
        <v>294</v>
      </c>
      <c r="I39" s="54">
        <f>SUM(I35:I38)</f>
        <v>16207</v>
      </c>
      <c r="L39" s="54">
        <f>SUM(L35:L38)</f>
        <v>0</v>
      </c>
      <c r="N39" s="54">
        <f>SUM(N35:N38)</f>
        <v>0</v>
      </c>
      <c r="P39" s="54"/>
      <c r="Q39" s="54"/>
    </row>
    <row r="40" spans="1:20" x14ac:dyDescent="0.2">
      <c r="C40" s="804">
        <f>ROUND(C30,0)-ROUND('Note 12'!C54,0)</f>
        <v>0</v>
      </c>
      <c r="D40" s="758"/>
      <c r="E40" s="804">
        <f>ROUND(E30,0)-ROUND('Note 12'!E54,0)</f>
        <v>0</v>
      </c>
      <c r="F40" s="758"/>
      <c r="G40" s="804">
        <f>ROUND(G30,0)-ROUND('Note 12'!G54,0)</f>
        <v>0</v>
      </c>
      <c r="H40" s="758"/>
      <c r="I40" s="804">
        <f>ROUND(I30,0)-ROUND('Note 12'!I54,0)</f>
        <v>0</v>
      </c>
      <c r="L40" s="804">
        <f>ROUND(L30,0)-ROUND('Note 12'!K54,0)</f>
        <v>0</v>
      </c>
      <c r="M40" s="758"/>
      <c r="N40" s="804">
        <f>ROUND(N30,0)-ROUND('Note 12'!M54,0)</f>
        <v>0</v>
      </c>
    </row>
    <row r="41" spans="1:20" x14ac:dyDescent="0.2">
      <c r="B41" s="37"/>
      <c r="C41" s="46"/>
      <c r="E41" s="46"/>
      <c r="G41" s="46"/>
      <c r="I41" s="46"/>
      <c r="L41" s="46"/>
      <c r="N41" s="46"/>
      <c r="P41" s="46"/>
      <c r="Q41" s="46"/>
    </row>
    <row r="42" spans="1:20" x14ac:dyDescent="0.2">
      <c r="B42" s="37"/>
      <c r="C42" s="46"/>
      <c r="E42" s="46"/>
      <c r="G42" s="46"/>
      <c r="I42" s="46"/>
      <c r="L42" s="46"/>
      <c r="N42" s="46"/>
      <c r="P42" s="46"/>
      <c r="Q42" s="46"/>
    </row>
    <row r="43" spans="1:20" x14ac:dyDescent="0.2">
      <c r="B43" s="37" t="s">
        <v>241</v>
      </c>
      <c r="C43" s="46"/>
      <c r="E43" s="46"/>
      <c r="G43" s="46"/>
      <c r="I43" s="46"/>
      <c r="L43" s="46"/>
      <c r="N43" s="46"/>
      <c r="P43" s="46"/>
      <c r="Q43" s="46"/>
    </row>
    <row r="44" spans="1:20" x14ac:dyDescent="0.2">
      <c r="B44" s="37"/>
    </row>
    <row r="45" spans="1:20" x14ac:dyDescent="0.2">
      <c r="B45" s="34" t="s">
        <v>256</v>
      </c>
      <c r="C45" s="747">
        <f>SUMIF(MAP!$E$1299:$E$1303,$B45,MAP!$T$1299:$T$1303)</f>
        <v>0</v>
      </c>
      <c r="E45" s="747">
        <f>SUMIF(MAP!$E$1299:$E$1303,$B45,MAP!$N$1299:$N$1303)</f>
        <v>0</v>
      </c>
      <c r="G45" s="342">
        <v>0</v>
      </c>
      <c r="I45" s="342">
        <v>6960</v>
      </c>
      <c r="L45" s="747">
        <f>SUMIF(MAP!$E$1299:$E$1303,$B45,MAP!$U$1299:$U$1303)</f>
        <v>0</v>
      </c>
      <c r="N45" s="747">
        <f>SUMIF(MAP!$E$1299:$E$1303,$B45,MAP!$BD$1299:$BD$1303)</f>
        <v>0</v>
      </c>
      <c r="P45" s="1153"/>
      <c r="Q45" s="234"/>
    </row>
    <row r="46" spans="1:20" x14ac:dyDescent="0.2">
      <c r="P46" s="1153"/>
      <c r="Q46" s="234"/>
    </row>
    <row r="47" spans="1:20" ht="13.5" thickBot="1" x14ac:dyDescent="0.25">
      <c r="B47" s="37" t="s">
        <v>257</v>
      </c>
      <c r="C47" s="54">
        <f>SUM(C45:C46)</f>
        <v>0</v>
      </c>
      <c r="E47" s="54">
        <f>SUM(E45:E46)</f>
        <v>0</v>
      </c>
      <c r="G47" s="54">
        <f>SUM(G45)</f>
        <v>0</v>
      </c>
      <c r="I47" s="54">
        <f>SUM(I45)</f>
        <v>6960</v>
      </c>
      <c r="L47" s="54">
        <f>SUM(L45:L46)</f>
        <v>0</v>
      </c>
      <c r="N47" s="54">
        <f>SUM(N45:N46)</f>
        <v>0</v>
      </c>
      <c r="P47" s="54"/>
      <c r="Q47" s="54"/>
    </row>
    <row r="49" spans="2:17" x14ac:dyDescent="0.2">
      <c r="B49" s="34" t="s">
        <v>260</v>
      </c>
      <c r="C49" s="747">
        <f>SUMIF(MAP!$E$1304:$E$1307,$B49,MAP!$T$1304:$T$1307)</f>
        <v>0</v>
      </c>
      <c r="E49" s="747">
        <f>SUMIF(MAP!$E$1304:$E$1307,$B49,MAP!$N$1304:$N$1307)</f>
        <v>0</v>
      </c>
      <c r="G49" s="342">
        <v>178</v>
      </c>
      <c r="I49" s="342">
        <v>113021</v>
      </c>
      <c r="L49" s="747">
        <f>SUMIF(MAP!$E$1304:$E$1307,$B49,MAP!$U$1304:$U$1307)</f>
        <v>0</v>
      </c>
      <c r="N49" s="747">
        <f>SUMIF(MAP!$E$1304:$E$1307,$B49,MAP!$BD$1304:$BD$1307)</f>
        <v>0</v>
      </c>
      <c r="P49" s="1153"/>
      <c r="Q49" s="234"/>
    </row>
    <row r="50" spans="2:17" ht="25.5" x14ac:dyDescent="0.2">
      <c r="B50" s="56" t="s">
        <v>2370</v>
      </c>
      <c r="C50" s="747">
        <f>SUMIF(MAP!$E$1304:$E$1307,$B50,MAP!$T$1304:$T$1307)</f>
        <v>0</v>
      </c>
      <c r="E50" s="747">
        <f>SUMIF(MAP!$E$1304:$E$1307,$B50,MAP!$N$1304:$N$1307)</f>
        <v>0</v>
      </c>
      <c r="G50" s="342">
        <v>0</v>
      </c>
      <c r="I50" s="342">
        <v>130386</v>
      </c>
      <c r="L50" s="747">
        <f>SUMIF(MAP!$E$1304:$E$1307,$B50,MAP!$U$1304:$U$1307)</f>
        <v>0</v>
      </c>
      <c r="N50" s="747">
        <f>SUMIF(MAP!$E$1304:$E$1307,$B50,MAP!$BD$1304:$BD$1307)</f>
        <v>0</v>
      </c>
      <c r="P50" s="1153"/>
      <c r="Q50" s="234"/>
    </row>
    <row r="51" spans="2:17" x14ac:dyDescent="0.2">
      <c r="B51" s="34" t="s">
        <v>261</v>
      </c>
      <c r="C51" s="747">
        <f>SUMIF(MAP!$E$1304:$E$1307,$B51,MAP!$T$1304:$T$1307)</f>
        <v>0</v>
      </c>
      <c r="E51" s="747">
        <f>SUMIF(MAP!$E$1304:$E$1307,$B51,MAP!$N$1304:$N$1307)</f>
        <v>0</v>
      </c>
      <c r="G51" s="342">
        <v>0</v>
      </c>
      <c r="I51" s="342">
        <v>11472</v>
      </c>
      <c r="L51" s="747">
        <f>SUMIF(MAP!$E$1304:$E$1307,$B51,MAP!$U$1304:$U$1307)</f>
        <v>0</v>
      </c>
      <c r="N51" s="747">
        <f>SUMIF(MAP!$E$1304:$E$1307,$B51,MAP!$BD$1304:$BD$1307)</f>
        <v>0</v>
      </c>
      <c r="P51" s="1153"/>
      <c r="Q51" s="234"/>
    </row>
    <row r="52" spans="2:17" x14ac:dyDescent="0.2">
      <c r="B52" s="34" t="s">
        <v>901</v>
      </c>
      <c r="C52" s="747">
        <f>SUMIF(MAP!$E$1304:$E$1307,$B52,MAP!$T$1304:$T$1307)</f>
        <v>0</v>
      </c>
      <c r="E52" s="747">
        <f>SUMIF(MAP!$E$1304:$E$1307,$B52,MAP!$N$1304:$N$1307)</f>
        <v>0</v>
      </c>
      <c r="G52" s="342">
        <v>0</v>
      </c>
      <c r="I52" s="342">
        <v>0</v>
      </c>
      <c r="L52" s="747">
        <f>SUMIF(MAP!$E$1304:$E$1307,$B52,MAP!$U$1304:$U$1307)</f>
        <v>0</v>
      </c>
      <c r="N52" s="747">
        <f>SUMIF(MAP!$E$1304:$E$1307,$B52,MAP!$BD$1304:$BD$1307)</f>
        <v>0</v>
      </c>
      <c r="P52" s="1153"/>
      <c r="Q52" s="234"/>
    </row>
    <row r="53" spans="2:17" ht="18" customHeight="1" thickBot="1" x14ac:dyDescent="0.25">
      <c r="B53" s="37" t="s">
        <v>262</v>
      </c>
      <c r="C53" s="54">
        <f>SUM(C49:C51)</f>
        <v>0</v>
      </c>
      <c r="E53" s="54">
        <f>SUM(E49:E51)</f>
        <v>0</v>
      </c>
      <c r="G53" s="54">
        <f>SUM(G49:G52)</f>
        <v>178</v>
      </c>
      <c r="I53" s="54">
        <f>SUM(I49:I52)</f>
        <v>254879</v>
      </c>
      <c r="L53" s="54">
        <f>SUM(L49:L51)</f>
        <v>0</v>
      </c>
      <c r="N53" s="54">
        <f>SUM(N49:N51)</f>
        <v>0</v>
      </c>
      <c r="P53" s="54"/>
      <c r="Q53" s="54"/>
    </row>
    <row r="55" spans="2:17" ht="13.5" thickBot="1" x14ac:dyDescent="0.25">
      <c r="B55" s="37" t="s">
        <v>263</v>
      </c>
      <c r="C55" s="54">
        <f>+C39+C32</f>
        <v>0</v>
      </c>
      <c r="E55" s="54">
        <f>+E39+E32</f>
        <v>0</v>
      </c>
      <c r="G55" s="54">
        <f>+G39+G32</f>
        <v>219874</v>
      </c>
      <c r="I55" s="54">
        <f>+I39+I32</f>
        <v>1337867</v>
      </c>
      <c r="L55" s="54">
        <f>+L39+L32</f>
        <v>0</v>
      </c>
      <c r="N55" s="54">
        <f>+N39+N32</f>
        <v>0</v>
      </c>
      <c r="P55" s="54"/>
      <c r="Q55" s="54"/>
    </row>
    <row r="56" spans="2:17" x14ac:dyDescent="0.2">
      <c r="B56" s="37"/>
      <c r="C56" s="46"/>
      <c r="E56" s="46"/>
      <c r="G56" s="46"/>
      <c r="I56" s="46"/>
      <c r="L56" s="46"/>
      <c r="N56" s="46"/>
      <c r="P56" s="46"/>
      <c r="Q56" s="46"/>
    </row>
    <row r="57" spans="2:17" ht="13.5" thickBot="1" x14ac:dyDescent="0.25">
      <c r="B57" s="37" t="s">
        <v>264</v>
      </c>
      <c r="C57" s="54">
        <f>+C47+C53</f>
        <v>0</v>
      </c>
      <c r="E57" s="54">
        <f>+E47+E53</f>
        <v>0</v>
      </c>
      <c r="G57" s="54">
        <f>+G47+G53</f>
        <v>178</v>
      </c>
      <c r="I57" s="54">
        <f>+I47+I53</f>
        <v>261839</v>
      </c>
      <c r="L57" s="54">
        <f>+L47+L53</f>
        <v>0</v>
      </c>
      <c r="N57" s="54">
        <f>+N47+N53</f>
        <v>0</v>
      </c>
      <c r="P57" s="54"/>
      <c r="Q57" s="54"/>
    </row>
    <row r="59" spans="2:17" ht="18" customHeight="1" thickBot="1" x14ac:dyDescent="0.25">
      <c r="B59" s="37" t="s">
        <v>265</v>
      </c>
      <c r="C59" s="153">
        <f>+C55+C57</f>
        <v>0</v>
      </c>
      <c r="E59" s="153">
        <f>+E55+E57</f>
        <v>0</v>
      </c>
      <c r="G59" s="153">
        <f>+G55+G57</f>
        <v>220052</v>
      </c>
      <c r="I59" s="153">
        <f>+I55+I57</f>
        <v>1599706</v>
      </c>
      <c r="L59" s="153">
        <f>+L55+L57</f>
        <v>0</v>
      </c>
      <c r="N59" s="153">
        <f>+N55+N57</f>
        <v>0</v>
      </c>
      <c r="P59" s="153"/>
      <c r="Q59" s="153"/>
    </row>
    <row r="60" spans="2:17" x14ac:dyDescent="0.2">
      <c r="C60" s="804">
        <f>C59-MAP!T1311</f>
        <v>0</v>
      </c>
      <c r="D60" s="759"/>
      <c r="E60" s="804">
        <f>E59-MAP!N1311</f>
        <v>0</v>
      </c>
      <c r="F60" s="758"/>
      <c r="G60" s="758"/>
      <c r="H60" s="758"/>
      <c r="I60" s="758"/>
      <c r="L60" s="804">
        <f>L59-MAP!U1311</f>
        <v>0</v>
      </c>
      <c r="M60" s="759"/>
      <c r="N60" s="804">
        <f>N59-MAP!BD1311</f>
        <v>0</v>
      </c>
    </row>
    <row r="61" spans="2:17" x14ac:dyDescent="0.2">
      <c r="C61" s="34">
        <f>+C59-C11</f>
        <v>0</v>
      </c>
      <c r="G61" s="34">
        <f>+G59-G11</f>
        <v>212565</v>
      </c>
    </row>
    <row r="62" spans="2:17" x14ac:dyDescent="0.2">
      <c r="C62" s="46"/>
      <c r="E62" s="46"/>
      <c r="G62" s="46"/>
      <c r="I62" s="46"/>
      <c r="J62" s="46"/>
      <c r="K62" s="46"/>
      <c r="L62" s="46"/>
      <c r="N62" s="46"/>
    </row>
    <row r="63" spans="2:17" x14ac:dyDescent="0.2">
      <c r="C63" s="34">
        <f>+C55-C11</f>
        <v>0</v>
      </c>
      <c r="E63" s="34">
        <f>+E59-E11</f>
        <v>0</v>
      </c>
      <c r="G63" s="34">
        <f>+G55-G11</f>
        <v>212387</v>
      </c>
      <c r="I63" s="34">
        <f>+I59-I11</f>
        <v>1591269</v>
      </c>
    </row>
    <row r="65" spans="3:5" x14ac:dyDescent="0.2">
      <c r="C65" s="34">
        <f>+G63-C63</f>
        <v>212387</v>
      </c>
      <c r="E65" s="34">
        <f>+I63-E63</f>
        <v>1591269</v>
      </c>
    </row>
    <row r="70" spans="3:5" x14ac:dyDescent="0.2">
      <c r="C70" s="34">
        <f>+G57-C57</f>
        <v>178</v>
      </c>
    </row>
  </sheetData>
  <pageMargins left="0.35433070866141736" right="0.47244094488188981" top="0.19685039370078741" bottom="0.19685039370078741" header="0.31496062992125984" footer="0.31496062992125984"/>
  <pageSetup paperSize="9"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5">
    <tabColor rgb="FF00B0F0"/>
    <pageSetUpPr fitToPage="1"/>
  </sheetPr>
  <dimension ref="A1:J79"/>
  <sheetViews>
    <sheetView zoomScale="90" zoomScaleNormal="90" workbookViewId="0">
      <selection activeCell="G5" sqref="G4:G5"/>
    </sheetView>
  </sheetViews>
  <sheetFormatPr defaultColWidth="9.140625" defaultRowHeight="15" x14ac:dyDescent="0.25"/>
  <cols>
    <col min="1" max="1" width="9.140625" style="1282"/>
    <col min="2" max="2" width="96" style="1282" bestFit="1" customWidth="1"/>
    <col min="3" max="6" width="11" style="1282" customWidth="1"/>
    <col min="7" max="7" width="14.140625" style="1282" customWidth="1"/>
    <col min="8" max="8" width="12.7109375" style="1282" customWidth="1"/>
    <col min="9" max="9" width="15.140625" style="1282" customWidth="1"/>
    <col min="10" max="10" width="18.5703125" style="1282" customWidth="1"/>
    <col min="11" max="16384" width="9.140625" style="1282"/>
  </cols>
  <sheetData>
    <row r="1" spans="1:10" s="34" customFormat="1" ht="12.75" x14ac:dyDescent="0.2">
      <c r="B1" s="37" t="str">
        <f>+'SOAS 1.1'!B1</f>
        <v>2025-26</v>
      </c>
    </row>
    <row r="2" spans="1:10" s="34" customFormat="1" ht="12.75" x14ac:dyDescent="0.2">
      <c r="B2" s="37" t="s">
        <v>476</v>
      </c>
    </row>
    <row r="3" spans="1:10" s="34" customFormat="1" ht="12.75" x14ac:dyDescent="0.2">
      <c r="B3" s="37" t="s">
        <v>840</v>
      </c>
    </row>
    <row r="4" spans="1:10" s="34" customFormat="1" ht="12.75" x14ac:dyDescent="0.2"/>
    <row r="5" spans="1:10" s="34" customFormat="1" ht="12.75" x14ac:dyDescent="0.2">
      <c r="B5" s="177" t="s">
        <v>1965</v>
      </c>
    </row>
    <row r="6" spans="1:10" s="34" customFormat="1" x14ac:dyDescent="0.25">
      <c r="A6" s="37"/>
      <c r="B6" s="1337" t="s">
        <v>2117</v>
      </c>
    </row>
    <row r="7" spans="1:10" x14ac:dyDescent="0.25">
      <c r="B7" s="1337" t="s">
        <v>2148</v>
      </c>
    </row>
    <row r="8" spans="1:10" x14ac:dyDescent="0.25">
      <c r="J8" s="1340"/>
    </row>
    <row r="9" spans="1:10" ht="15" customHeight="1" x14ac:dyDescent="0.25">
      <c r="B9" s="1625" t="s">
        <v>2149</v>
      </c>
      <c r="C9" s="1902" t="s">
        <v>495</v>
      </c>
      <c r="D9" s="1902"/>
      <c r="E9" s="1902"/>
      <c r="F9" s="1902" t="s">
        <v>494</v>
      </c>
      <c r="G9" s="1902"/>
      <c r="H9" s="1902"/>
      <c r="I9" s="1900" t="s">
        <v>2121</v>
      </c>
      <c r="J9" s="1900" t="s">
        <v>2431</v>
      </c>
    </row>
    <row r="10" spans="1:10" ht="47.25" customHeight="1" x14ac:dyDescent="0.25">
      <c r="B10" s="1625"/>
      <c r="C10" s="1625" t="s">
        <v>2124</v>
      </c>
      <c r="D10" s="1625" t="s">
        <v>148</v>
      </c>
      <c r="E10" s="1625" t="s">
        <v>2524</v>
      </c>
      <c r="F10" s="1623" t="s">
        <v>146</v>
      </c>
      <c r="G10" s="1624" t="s">
        <v>2122</v>
      </c>
      <c r="H10" s="1622" t="s">
        <v>2123</v>
      </c>
      <c r="I10" s="1900"/>
      <c r="J10" s="1900"/>
    </row>
    <row r="11" spans="1:10" ht="30" customHeight="1" x14ac:dyDescent="0.25">
      <c r="B11" s="1628" t="s">
        <v>2126</v>
      </c>
      <c r="C11" s="1250"/>
      <c r="D11" s="1250"/>
      <c r="E11" s="1632"/>
      <c r="F11" s="1250"/>
      <c r="G11" s="1250"/>
      <c r="H11" s="1627"/>
      <c r="I11" s="1627"/>
      <c r="J11" s="1627"/>
    </row>
    <row r="12" spans="1:10" x14ac:dyDescent="0.25">
      <c r="B12" s="1617"/>
      <c r="C12" s="1250"/>
      <c r="D12" s="1250"/>
      <c r="E12" s="1627"/>
      <c r="F12" s="1250"/>
      <c r="G12" s="1250"/>
      <c r="H12" s="1627"/>
      <c r="I12" s="1627"/>
      <c r="J12" s="1627"/>
    </row>
    <row r="13" spans="1:10" x14ac:dyDescent="0.25">
      <c r="B13" s="1628" t="s">
        <v>2127</v>
      </c>
      <c r="C13" s="1250"/>
      <c r="D13" s="1250"/>
      <c r="E13" s="1627"/>
      <c r="F13" s="1250"/>
      <c r="G13" s="1250"/>
      <c r="H13" s="1627"/>
      <c r="I13" s="1627"/>
      <c r="J13" s="1627"/>
    </row>
    <row r="14" spans="1:10" x14ac:dyDescent="0.25">
      <c r="B14" s="1617" t="s">
        <v>2128</v>
      </c>
      <c r="C14" s="1644"/>
      <c r="D14" s="1644"/>
      <c r="E14" s="1654">
        <f>SUM(C14:D14)</f>
        <v>0</v>
      </c>
      <c r="F14" s="1644">
        <v>183133</v>
      </c>
      <c r="G14" s="1644"/>
      <c r="H14" s="1654">
        <f>SUM(F14:G14)</f>
        <v>183133</v>
      </c>
      <c r="I14" s="1654">
        <f>H14-E14</f>
        <v>183133</v>
      </c>
      <c r="J14" s="1654">
        <v>205949</v>
      </c>
    </row>
    <row r="15" spans="1:10" x14ac:dyDescent="0.25">
      <c r="B15" s="1617" t="s">
        <v>2129</v>
      </c>
      <c r="C15" s="1644"/>
      <c r="D15" s="1644"/>
      <c r="E15" s="1654">
        <f t="shared" ref="E15:E24" si="0">SUM(C15:D15)</f>
        <v>0</v>
      </c>
      <c r="F15" s="1644">
        <v>94</v>
      </c>
      <c r="G15" s="1644"/>
      <c r="H15" s="1654">
        <f t="shared" ref="H15:H24" si="1">SUM(F15:G15)</f>
        <v>94</v>
      </c>
      <c r="I15" s="1654">
        <f t="shared" ref="I15:I24" si="2">H15-E15</f>
        <v>94</v>
      </c>
      <c r="J15" s="1654">
        <v>57</v>
      </c>
    </row>
    <row r="16" spans="1:10" x14ac:dyDescent="0.25">
      <c r="B16" s="1617" t="s">
        <v>2506</v>
      </c>
      <c r="C16" s="1644"/>
      <c r="D16" s="1642"/>
      <c r="E16" s="1654">
        <f t="shared" si="0"/>
        <v>0</v>
      </c>
      <c r="F16" s="1644">
        <v>29395</v>
      </c>
      <c r="G16" s="1644"/>
      <c r="H16" s="1654">
        <f t="shared" si="1"/>
        <v>29395</v>
      </c>
      <c r="I16" s="1654">
        <f t="shared" si="2"/>
        <v>29395</v>
      </c>
      <c r="J16" s="1654">
        <v>40347</v>
      </c>
    </row>
    <row r="17" spans="2:10" x14ac:dyDescent="0.25">
      <c r="B17" s="1617" t="s">
        <v>2507</v>
      </c>
      <c r="C17" s="1644"/>
      <c r="D17" s="1644"/>
      <c r="E17" s="1654">
        <f t="shared" si="0"/>
        <v>0</v>
      </c>
      <c r="F17" s="1644">
        <v>0</v>
      </c>
      <c r="G17" s="1644"/>
      <c r="H17" s="1654">
        <f t="shared" si="1"/>
        <v>0</v>
      </c>
      <c r="I17" s="1654">
        <f t="shared" si="2"/>
        <v>0</v>
      </c>
      <c r="J17" s="1654">
        <v>0</v>
      </c>
    </row>
    <row r="18" spans="2:10" x14ac:dyDescent="0.25">
      <c r="B18" s="1617" t="s">
        <v>2508</v>
      </c>
      <c r="C18" s="1644"/>
      <c r="D18" s="1644"/>
      <c r="E18" s="1654">
        <f t="shared" si="0"/>
        <v>0</v>
      </c>
      <c r="F18" s="1644">
        <v>0</v>
      </c>
      <c r="G18" s="1644"/>
      <c r="H18" s="1654">
        <f t="shared" si="1"/>
        <v>0</v>
      </c>
      <c r="I18" s="1654">
        <f t="shared" si="2"/>
        <v>0</v>
      </c>
      <c r="J18" s="1654">
        <v>0</v>
      </c>
    </row>
    <row r="19" spans="2:10" x14ac:dyDescent="0.25">
      <c r="B19" s="1617" t="s">
        <v>2509</v>
      </c>
      <c r="C19" s="1644"/>
      <c r="D19" s="1644"/>
      <c r="E19" s="1654">
        <f t="shared" si="0"/>
        <v>0</v>
      </c>
      <c r="F19" s="1644">
        <v>0</v>
      </c>
      <c r="G19" s="1644"/>
      <c r="H19" s="1654">
        <f t="shared" si="1"/>
        <v>0</v>
      </c>
      <c r="I19" s="1654">
        <f t="shared" si="2"/>
        <v>0</v>
      </c>
      <c r="J19" s="1654">
        <v>0</v>
      </c>
    </row>
    <row r="20" spans="2:10" x14ac:dyDescent="0.25">
      <c r="B20" s="1617" t="s">
        <v>2130</v>
      </c>
      <c r="C20" s="1644"/>
      <c r="D20" s="1644"/>
      <c r="E20" s="1654">
        <f t="shared" si="0"/>
        <v>0</v>
      </c>
      <c r="F20" s="1644">
        <v>123053</v>
      </c>
      <c r="G20" s="1642"/>
      <c r="H20" s="1654">
        <f t="shared" si="1"/>
        <v>123053</v>
      </c>
      <c r="I20" s="1654">
        <f t="shared" si="2"/>
        <v>123053</v>
      </c>
      <c r="J20" s="1654">
        <v>104921</v>
      </c>
    </row>
    <row r="21" spans="2:10" x14ac:dyDescent="0.25">
      <c r="B21" s="1617" t="s">
        <v>2131</v>
      </c>
      <c r="C21" s="1644"/>
      <c r="D21" s="1642"/>
      <c r="E21" s="1654">
        <f t="shared" si="0"/>
        <v>0</v>
      </c>
      <c r="F21" s="1644">
        <v>18912</v>
      </c>
      <c r="G21" s="1644"/>
      <c r="H21" s="1654">
        <f t="shared" si="1"/>
        <v>18912</v>
      </c>
      <c r="I21" s="1654">
        <f t="shared" si="2"/>
        <v>18912</v>
      </c>
      <c r="J21" s="1654">
        <v>15771</v>
      </c>
    </row>
    <row r="22" spans="2:10" x14ac:dyDescent="0.25">
      <c r="B22" s="1617" t="s">
        <v>2132</v>
      </c>
      <c r="C22" s="1644"/>
      <c r="D22" s="1644"/>
      <c r="E22" s="1654">
        <f t="shared" si="0"/>
        <v>0</v>
      </c>
      <c r="F22" s="1644">
        <v>8134</v>
      </c>
      <c r="G22" s="1644"/>
      <c r="H22" s="1654">
        <f t="shared" si="1"/>
        <v>8134</v>
      </c>
      <c r="I22" s="1654">
        <f t="shared" si="2"/>
        <v>8134</v>
      </c>
      <c r="J22" s="1654">
        <v>8725</v>
      </c>
    </row>
    <row r="23" spans="2:10" x14ac:dyDescent="0.25">
      <c r="B23" s="1617" t="s">
        <v>2510</v>
      </c>
      <c r="C23" s="1644"/>
      <c r="D23" s="1644"/>
      <c r="E23" s="1654">
        <f t="shared" si="0"/>
        <v>0</v>
      </c>
      <c r="F23" s="1644">
        <v>0</v>
      </c>
      <c r="G23" s="1644"/>
      <c r="H23" s="1654">
        <f t="shared" si="1"/>
        <v>0</v>
      </c>
      <c r="I23" s="1654">
        <f t="shared" si="2"/>
        <v>0</v>
      </c>
      <c r="J23" s="1654">
        <v>0</v>
      </c>
    </row>
    <row r="24" spans="2:10" x14ac:dyDescent="0.25">
      <c r="B24" s="1617" t="s">
        <v>2133</v>
      </c>
      <c r="C24" s="1644"/>
      <c r="D24" s="1644"/>
      <c r="E24" s="1654">
        <f t="shared" si="0"/>
        <v>0</v>
      </c>
      <c r="F24" s="1644">
        <v>14930</v>
      </c>
      <c r="G24" s="1644"/>
      <c r="H24" s="1654">
        <f t="shared" si="1"/>
        <v>14930</v>
      </c>
      <c r="I24" s="1654">
        <f t="shared" si="2"/>
        <v>14930</v>
      </c>
      <c r="J24" s="1654">
        <v>22785</v>
      </c>
    </row>
    <row r="25" spans="2:10" x14ac:dyDescent="0.25">
      <c r="B25" s="1617"/>
      <c r="C25" s="1644"/>
      <c r="D25" s="1644"/>
      <c r="E25" s="1654"/>
      <c r="F25" s="1644"/>
      <c r="G25" s="1644"/>
      <c r="H25" s="1654"/>
      <c r="I25" s="1654"/>
      <c r="J25" s="1654"/>
    </row>
    <row r="26" spans="2:10" x14ac:dyDescent="0.25">
      <c r="B26" s="1626" t="s">
        <v>2134</v>
      </c>
      <c r="C26" s="1659">
        <f t="shared" ref="C26:J26" si="3">SUM(C14:C25)</f>
        <v>0</v>
      </c>
      <c r="D26" s="1659">
        <f t="shared" si="3"/>
        <v>0</v>
      </c>
      <c r="E26" s="1660">
        <f t="shared" si="3"/>
        <v>0</v>
      </c>
      <c r="F26" s="1659">
        <f t="shared" si="3"/>
        <v>377651</v>
      </c>
      <c r="G26" s="1659">
        <f t="shared" si="3"/>
        <v>0</v>
      </c>
      <c r="H26" s="1660">
        <f t="shared" si="3"/>
        <v>377651</v>
      </c>
      <c r="I26" s="1660">
        <f t="shared" si="3"/>
        <v>377651</v>
      </c>
      <c r="J26" s="1660">
        <f t="shared" si="3"/>
        <v>398555</v>
      </c>
    </row>
    <row r="27" spans="2:10" x14ac:dyDescent="0.25">
      <c r="B27" s="1617"/>
      <c r="C27" s="1644"/>
      <c r="D27" s="1644"/>
      <c r="E27" s="1654"/>
      <c r="F27" s="1644"/>
      <c r="G27" s="1644"/>
      <c r="H27" s="1654"/>
      <c r="I27" s="1654"/>
      <c r="J27" s="1654"/>
    </row>
    <row r="28" spans="2:10" x14ac:dyDescent="0.25">
      <c r="B28" s="1628" t="s">
        <v>2135</v>
      </c>
      <c r="C28" s="1644"/>
      <c r="D28" s="1644"/>
      <c r="E28" s="1654"/>
      <c r="F28" s="1644"/>
      <c r="G28" s="1644"/>
      <c r="H28" s="1654"/>
      <c r="I28" s="1654"/>
      <c r="J28" s="1654"/>
    </row>
    <row r="29" spans="2:10" x14ac:dyDescent="0.25">
      <c r="B29" s="1617" t="s">
        <v>2136</v>
      </c>
      <c r="C29" s="1644">
        <v>0</v>
      </c>
      <c r="D29" s="1644">
        <v>0</v>
      </c>
      <c r="E29" s="1654">
        <f>SUM(C29:D29)</f>
        <v>0</v>
      </c>
      <c r="F29" s="1644">
        <v>0</v>
      </c>
      <c r="G29" s="1644">
        <v>0</v>
      </c>
      <c r="H29" s="1654">
        <f>SUM(F29:G29)</f>
        <v>0</v>
      </c>
      <c r="I29" s="1654">
        <f>H29-E29</f>
        <v>0</v>
      </c>
      <c r="J29" s="1654">
        <v>0</v>
      </c>
    </row>
    <row r="30" spans="2:10" x14ac:dyDescent="0.25">
      <c r="B30" s="1617" t="s">
        <v>2660</v>
      </c>
      <c r="C30" s="1644">
        <v>0</v>
      </c>
      <c r="D30" s="1644">
        <v>0</v>
      </c>
      <c r="E30" s="1654">
        <f>SUM(C30:D30)</f>
        <v>0</v>
      </c>
      <c r="F30" s="1644">
        <v>0</v>
      </c>
      <c r="G30" s="1644">
        <v>0</v>
      </c>
      <c r="H30" s="1654">
        <f>SUM(F30:G30)</f>
        <v>0</v>
      </c>
      <c r="I30" s="1654">
        <f>+E30+H30</f>
        <v>0</v>
      </c>
      <c r="J30" s="1654">
        <v>0</v>
      </c>
    </row>
    <row r="31" spans="2:10" x14ac:dyDescent="0.25">
      <c r="B31" s="1617"/>
      <c r="C31" s="1644"/>
      <c r="D31" s="1644"/>
      <c r="E31" s="1654"/>
      <c r="F31" s="1644"/>
      <c r="G31" s="1644"/>
      <c r="H31" s="1654"/>
      <c r="I31" s="1654"/>
      <c r="J31" s="1654"/>
    </row>
    <row r="32" spans="2:10" x14ac:dyDescent="0.25">
      <c r="B32" s="1626" t="s">
        <v>2137</v>
      </c>
      <c r="C32" s="1659">
        <f>SUM(C29)</f>
        <v>0</v>
      </c>
      <c r="D32" s="1659">
        <f>SUM(D29)</f>
        <v>0</v>
      </c>
      <c r="E32" s="1660">
        <f>SUM(E29)</f>
        <v>0</v>
      </c>
      <c r="F32" s="1659">
        <f>SUM(F29:F31)</f>
        <v>0</v>
      </c>
      <c r="G32" s="1659">
        <f>SUM(G29:G31)</f>
        <v>0</v>
      </c>
      <c r="H32" s="1660">
        <f>SUM(H29:H31)</f>
        <v>0</v>
      </c>
      <c r="I32" s="1660">
        <f>SUM(I29:I31)</f>
        <v>0</v>
      </c>
      <c r="J32" s="1660">
        <f>SUM(J29:J31)</f>
        <v>0</v>
      </c>
    </row>
    <row r="33" spans="2:10" x14ac:dyDescent="0.25">
      <c r="B33" s="1617"/>
      <c r="C33" s="1644"/>
      <c r="D33" s="1644"/>
      <c r="E33" s="1654"/>
      <c r="F33" s="1644"/>
      <c r="G33" s="1644"/>
      <c r="H33" s="1654"/>
      <c r="I33" s="1654"/>
      <c r="J33" s="1654"/>
    </row>
    <row r="34" spans="2:10" x14ac:dyDescent="0.25">
      <c r="B34" s="1626" t="s">
        <v>2138</v>
      </c>
      <c r="C34" s="1659">
        <f>+C26+C32</f>
        <v>0</v>
      </c>
      <c r="D34" s="1659">
        <f>+D26+D32</f>
        <v>0</v>
      </c>
      <c r="E34" s="1660">
        <f>+E26+E32</f>
        <v>0</v>
      </c>
      <c r="F34" s="1659">
        <f>+F32+F26</f>
        <v>377651</v>
      </c>
      <c r="G34" s="1659">
        <f>+G32+G26</f>
        <v>0</v>
      </c>
      <c r="H34" s="1660">
        <f>+H32+H26</f>
        <v>377651</v>
      </c>
      <c r="I34" s="1660">
        <f>+I32+I26</f>
        <v>377651</v>
      </c>
      <c r="J34" s="1660">
        <f>+J32+J26</f>
        <v>398555</v>
      </c>
    </row>
    <row r="35" spans="2:10" x14ac:dyDescent="0.25">
      <c r="B35" s="1617"/>
      <c r="C35" s="1644"/>
      <c r="D35" s="1644"/>
      <c r="E35" s="1654"/>
      <c r="F35" s="1644"/>
      <c r="G35" s="1644"/>
      <c r="H35" s="1654"/>
      <c r="I35" s="1654"/>
      <c r="J35" s="1654"/>
    </row>
    <row r="36" spans="2:10" x14ac:dyDescent="0.25">
      <c r="B36" s="1618" t="s">
        <v>475</v>
      </c>
      <c r="C36" s="1652"/>
      <c r="D36" s="1652"/>
      <c r="E36" s="1653"/>
      <c r="F36" s="1652"/>
      <c r="G36" s="1652"/>
      <c r="H36" s="1653"/>
      <c r="I36" s="1653"/>
      <c r="J36" s="1654"/>
    </row>
    <row r="37" spans="2:10" ht="15.75" x14ac:dyDescent="0.25">
      <c r="B37" s="1615"/>
      <c r="C37" s="1652"/>
      <c r="D37" s="1652"/>
      <c r="E37" s="1653"/>
      <c r="F37" s="1652"/>
      <c r="G37" s="1652"/>
      <c r="H37" s="1653"/>
      <c r="I37" s="1653"/>
      <c r="J37" s="1654"/>
    </row>
    <row r="38" spans="2:10" x14ac:dyDescent="0.25">
      <c r="B38" s="1616" t="s">
        <v>2512</v>
      </c>
      <c r="C38" s="1642"/>
      <c r="D38" s="1642"/>
      <c r="E38" s="1654">
        <f t="shared" ref="E38:E51" si="4">SUM(C38:D38)</f>
        <v>0</v>
      </c>
      <c r="F38" s="1644">
        <v>24567</v>
      </c>
      <c r="G38" s="1652"/>
      <c r="H38" s="1654">
        <f>SUM(F38:G38)</f>
        <v>24567</v>
      </c>
      <c r="I38" s="1642">
        <f t="shared" ref="I38:I51" si="5">H38-E38</f>
        <v>24567</v>
      </c>
      <c r="J38" s="1654">
        <v>45293</v>
      </c>
    </row>
    <row r="39" spans="2:10" x14ac:dyDescent="0.25">
      <c r="B39" s="1616" t="s">
        <v>2513</v>
      </c>
      <c r="C39" s="1642"/>
      <c r="D39" s="1642"/>
      <c r="E39" s="1654">
        <f t="shared" si="4"/>
        <v>0</v>
      </c>
      <c r="F39" s="1644">
        <v>221845</v>
      </c>
      <c r="G39" s="1652"/>
      <c r="H39" s="1654">
        <f t="shared" ref="H39:H51" si="6">SUM(F39:G39)</f>
        <v>221845</v>
      </c>
      <c r="I39" s="1642">
        <f t="shared" si="5"/>
        <v>221845</v>
      </c>
      <c r="J39" s="1654">
        <v>228126</v>
      </c>
    </row>
    <row r="40" spans="2:10" x14ac:dyDescent="0.25">
      <c r="B40" s="1616" t="s">
        <v>2514</v>
      </c>
      <c r="C40" s="1642"/>
      <c r="D40" s="1642"/>
      <c r="E40" s="1654">
        <f t="shared" si="4"/>
        <v>0</v>
      </c>
      <c r="F40" s="1644">
        <v>115138</v>
      </c>
      <c r="G40" s="1652"/>
      <c r="H40" s="1654">
        <f t="shared" si="6"/>
        <v>115138</v>
      </c>
      <c r="I40" s="1642">
        <f t="shared" si="5"/>
        <v>115138</v>
      </c>
      <c r="J40" s="1654">
        <v>100375</v>
      </c>
    </row>
    <row r="41" spans="2:10" x14ac:dyDescent="0.25">
      <c r="B41" s="1616" t="s">
        <v>2515</v>
      </c>
      <c r="C41" s="1642"/>
      <c r="D41" s="1642"/>
      <c r="E41" s="1654">
        <f t="shared" si="4"/>
        <v>0</v>
      </c>
      <c r="F41" s="1644">
        <v>436</v>
      </c>
      <c r="G41" s="1652"/>
      <c r="H41" s="1654">
        <f t="shared" si="6"/>
        <v>436</v>
      </c>
      <c r="I41" s="1642">
        <f t="shared" si="5"/>
        <v>436</v>
      </c>
      <c r="J41" s="1654">
        <v>380</v>
      </c>
    </row>
    <row r="42" spans="2:10" x14ac:dyDescent="0.25">
      <c r="B42" s="1616" t="s">
        <v>2649</v>
      </c>
      <c r="C42" s="1642"/>
      <c r="D42" s="1642"/>
      <c r="E42" s="1654">
        <f t="shared" si="4"/>
        <v>0</v>
      </c>
      <c r="F42" s="1644">
        <v>94</v>
      </c>
      <c r="G42" s="1652"/>
      <c r="H42" s="1654">
        <f t="shared" si="6"/>
        <v>94</v>
      </c>
      <c r="I42" s="1642">
        <f t="shared" si="5"/>
        <v>94</v>
      </c>
      <c r="J42" s="1654">
        <v>19</v>
      </c>
    </row>
    <row r="43" spans="2:10" x14ac:dyDescent="0.25">
      <c r="B43" s="1616" t="s">
        <v>2516</v>
      </c>
      <c r="C43" s="1642"/>
      <c r="D43" s="1642"/>
      <c r="E43" s="1654">
        <f t="shared" si="4"/>
        <v>0</v>
      </c>
      <c r="F43" s="1644">
        <v>452</v>
      </c>
      <c r="G43" s="1652"/>
      <c r="H43" s="1654">
        <f t="shared" si="6"/>
        <v>452</v>
      </c>
      <c r="I43" s="1642">
        <f t="shared" si="5"/>
        <v>452</v>
      </c>
      <c r="J43" s="1654">
        <v>1539</v>
      </c>
    </row>
    <row r="44" spans="2:10" x14ac:dyDescent="0.25">
      <c r="B44" s="1616" t="s">
        <v>2517</v>
      </c>
      <c r="C44" s="1642"/>
      <c r="D44" s="1642"/>
      <c r="E44" s="1654">
        <f t="shared" si="4"/>
        <v>0</v>
      </c>
      <c r="F44" s="1644">
        <v>0</v>
      </c>
      <c r="G44" s="1652"/>
      <c r="H44" s="1654">
        <f t="shared" si="6"/>
        <v>0</v>
      </c>
      <c r="I44" s="1642">
        <f t="shared" si="5"/>
        <v>0</v>
      </c>
      <c r="J44" s="1654">
        <v>0</v>
      </c>
    </row>
    <row r="45" spans="2:10" x14ac:dyDescent="0.25">
      <c r="B45" s="1616" t="s">
        <v>2518</v>
      </c>
      <c r="C45" s="1642"/>
      <c r="D45" s="1642"/>
      <c r="E45" s="1654">
        <f t="shared" si="4"/>
        <v>0</v>
      </c>
      <c r="F45" s="1644">
        <v>0</v>
      </c>
      <c r="G45" s="1652"/>
      <c r="H45" s="1654">
        <f t="shared" si="6"/>
        <v>0</v>
      </c>
      <c r="I45" s="1642">
        <f t="shared" si="5"/>
        <v>0</v>
      </c>
      <c r="J45" s="1654">
        <v>38</v>
      </c>
    </row>
    <row r="46" spans="2:10" x14ac:dyDescent="0.25">
      <c r="B46" s="1616" t="s">
        <v>2519</v>
      </c>
      <c r="C46" s="1642"/>
      <c r="D46" s="1642"/>
      <c r="E46" s="1654">
        <f t="shared" si="4"/>
        <v>0</v>
      </c>
      <c r="F46" s="1644">
        <v>34</v>
      </c>
      <c r="G46" s="1652"/>
      <c r="H46" s="1654">
        <f t="shared" si="6"/>
        <v>34</v>
      </c>
      <c r="I46" s="1642">
        <f t="shared" si="5"/>
        <v>34</v>
      </c>
      <c r="J46" s="1654">
        <v>0</v>
      </c>
    </row>
    <row r="47" spans="2:10" x14ac:dyDescent="0.25">
      <c r="B47" s="1616" t="s">
        <v>2520</v>
      </c>
      <c r="C47" s="1642"/>
      <c r="D47" s="1642"/>
      <c r="E47" s="1654">
        <f t="shared" si="4"/>
        <v>0</v>
      </c>
      <c r="F47" s="1644">
        <v>155</v>
      </c>
      <c r="G47" s="1652"/>
      <c r="H47" s="1654">
        <f t="shared" si="6"/>
        <v>155</v>
      </c>
      <c r="I47" s="1642">
        <f t="shared" si="5"/>
        <v>155</v>
      </c>
      <c r="J47" s="1654">
        <v>0</v>
      </c>
    </row>
    <row r="48" spans="2:10" x14ac:dyDescent="0.25">
      <c r="B48" s="1616" t="s">
        <v>2523</v>
      </c>
      <c r="C48" s="1642"/>
      <c r="D48" s="1642"/>
      <c r="E48" s="1654">
        <f t="shared" si="4"/>
        <v>0</v>
      </c>
      <c r="F48" s="1644">
        <v>14930</v>
      </c>
      <c r="G48" s="1652"/>
      <c r="H48" s="1654">
        <f t="shared" si="6"/>
        <v>14930</v>
      </c>
      <c r="I48" s="1642">
        <f t="shared" si="5"/>
        <v>14930</v>
      </c>
      <c r="J48" s="1654">
        <v>22785</v>
      </c>
    </row>
    <row r="49" spans="2:10" x14ac:dyDescent="0.25">
      <c r="B49" s="1616" t="s">
        <v>2665</v>
      </c>
      <c r="C49" s="1642"/>
      <c r="D49" s="1642"/>
      <c r="E49" s="1654">
        <f t="shared" si="4"/>
        <v>0</v>
      </c>
      <c r="F49" s="1644">
        <v>0</v>
      </c>
      <c r="G49" s="1652"/>
      <c r="H49" s="1654">
        <f t="shared" si="6"/>
        <v>0</v>
      </c>
      <c r="I49" s="1642">
        <f t="shared" si="5"/>
        <v>0</v>
      </c>
      <c r="J49" s="1654">
        <v>0</v>
      </c>
    </row>
    <row r="50" spans="2:10" x14ac:dyDescent="0.25">
      <c r="B50" s="1616" t="s">
        <v>2666</v>
      </c>
      <c r="C50" s="1642"/>
      <c r="D50" s="1642"/>
      <c r="E50" s="1654">
        <f t="shared" si="4"/>
        <v>0</v>
      </c>
      <c r="F50" s="1644"/>
      <c r="G50" s="1652"/>
      <c r="H50" s="1654">
        <f t="shared" si="6"/>
        <v>0</v>
      </c>
      <c r="I50" s="1642">
        <f t="shared" si="5"/>
        <v>0</v>
      </c>
      <c r="J50" s="1654">
        <v>0</v>
      </c>
    </row>
    <row r="51" spans="2:10" x14ac:dyDescent="0.25">
      <c r="B51" s="1616" t="s">
        <v>2667</v>
      </c>
      <c r="C51" s="1642"/>
      <c r="D51" s="1642"/>
      <c r="E51" s="1654">
        <f t="shared" si="4"/>
        <v>0</v>
      </c>
      <c r="F51" s="1644">
        <v>0</v>
      </c>
      <c r="G51" s="1652"/>
      <c r="H51" s="1654">
        <f t="shared" si="6"/>
        <v>0</v>
      </c>
      <c r="I51" s="1642">
        <f t="shared" si="5"/>
        <v>0</v>
      </c>
      <c r="J51" s="1654">
        <v>0</v>
      </c>
    </row>
    <row r="52" spans="2:10" x14ac:dyDescent="0.25">
      <c r="B52" s="1629"/>
      <c r="C52" s="1661"/>
      <c r="D52" s="1661"/>
      <c r="E52" s="1662"/>
      <c r="F52" s="1661"/>
      <c r="G52" s="1661"/>
      <c r="H52" s="1662"/>
      <c r="I52" s="1662"/>
      <c r="J52" s="1663"/>
    </row>
    <row r="53" spans="2:10" x14ac:dyDescent="0.25">
      <c r="B53" s="1628" t="s">
        <v>2139</v>
      </c>
      <c r="C53" s="1652"/>
      <c r="D53" s="1652"/>
      <c r="E53" s="1653"/>
      <c r="F53" s="1652"/>
      <c r="G53" s="1652"/>
      <c r="H53" s="1653"/>
      <c r="I53" s="1653"/>
      <c r="J53" s="1654"/>
    </row>
    <row r="54" spans="2:10" x14ac:dyDescent="0.25">
      <c r="B54" s="1617"/>
      <c r="C54" s="1644"/>
      <c r="D54" s="1644"/>
      <c r="E54" s="1654"/>
      <c r="F54" s="1644"/>
      <c r="G54" s="1644"/>
      <c r="H54" s="1654"/>
      <c r="I54" s="1654"/>
      <c r="J54" s="1654"/>
    </row>
    <row r="55" spans="2:10" x14ac:dyDescent="0.25">
      <c r="B55" s="1628" t="s">
        <v>2127</v>
      </c>
      <c r="C55" s="1644"/>
      <c r="D55" s="1644"/>
      <c r="E55" s="1654"/>
      <c r="F55" s="1644"/>
      <c r="G55" s="1644"/>
      <c r="H55" s="1654"/>
      <c r="I55" s="1654"/>
      <c r="J55" s="1654"/>
    </row>
    <row r="56" spans="2:10" x14ac:dyDescent="0.25">
      <c r="B56" s="1617" t="s">
        <v>2825</v>
      </c>
      <c r="C56" s="1644">
        <v>0</v>
      </c>
      <c r="D56" s="1644">
        <v>0</v>
      </c>
      <c r="E56" s="1654">
        <f>SUM(C56:D56)</f>
        <v>0</v>
      </c>
      <c r="F56" s="1644">
        <v>20</v>
      </c>
      <c r="G56" s="1644"/>
      <c r="H56" s="1654">
        <f>SUM(F56:G56)</f>
        <v>20</v>
      </c>
      <c r="I56" s="1654">
        <f>H56-E56</f>
        <v>20</v>
      </c>
      <c r="J56" s="1654">
        <v>0</v>
      </c>
    </row>
    <row r="57" spans="2:10" x14ac:dyDescent="0.25">
      <c r="B57" s="1617" t="s">
        <v>2662</v>
      </c>
      <c r="C57" s="1644">
        <v>0</v>
      </c>
      <c r="D57" s="1644">
        <v>0</v>
      </c>
      <c r="E57" s="1654">
        <f>SUM(C57:D57)</f>
        <v>0</v>
      </c>
      <c r="F57" s="1644">
        <v>150</v>
      </c>
      <c r="G57" s="1644"/>
      <c r="H57" s="1654">
        <f>SUM(F57:G57)</f>
        <v>150</v>
      </c>
      <c r="I57" s="1654">
        <f>H57-E57</f>
        <v>150</v>
      </c>
      <c r="J57" s="1654">
        <v>0</v>
      </c>
    </row>
    <row r="58" spans="2:10" x14ac:dyDescent="0.25">
      <c r="B58" s="1617" t="s">
        <v>2826</v>
      </c>
      <c r="C58" s="1644">
        <v>0</v>
      </c>
      <c r="D58" s="1644">
        <v>0</v>
      </c>
      <c r="E58" s="1654">
        <f>SUM(C58:D58)</f>
        <v>0</v>
      </c>
      <c r="F58" s="1644">
        <v>0</v>
      </c>
      <c r="G58" s="1644"/>
      <c r="H58" s="1654"/>
      <c r="I58" s="1654"/>
      <c r="J58" s="1654">
        <v>0</v>
      </c>
    </row>
    <row r="59" spans="2:10" ht="34.5" customHeight="1" x14ac:dyDescent="0.25">
      <c r="B59" s="1617" t="s">
        <v>2664</v>
      </c>
      <c r="C59" s="1644"/>
      <c r="D59" s="1644">
        <v>0</v>
      </c>
      <c r="E59" s="1654">
        <f>SUM(C59:D59)</f>
        <v>0</v>
      </c>
      <c r="F59" s="1644">
        <v>17000</v>
      </c>
      <c r="G59" s="1644"/>
      <c r="H59" s="1654">
        <f>SUM(F59:G59)</f>
        <v>17000</v>
      </c>
      <c r="I59" s="1654">
        <f>H59-E59</f>
        <v>17000</v>
      </c>
      <c r="J59" s="1654">
        <v>18300</v>
      </c>
    </row>
    <row r="60" spans="2:10" ht="29.25" customHeight="1" x14ac:dyDescent="0.25">
      <c r="B60" s="1617"/>
      <c r="C60" s="1644"/>
      <c r="D60" s="1644"/>
      <c r="E60" s="1654"/>
      <c r="F60" s="1644"/>
      <c r="G60" s="1644"/>
      <c r="H60" s="1654"/>
      <c r="I60" s="1654"/>
      <c r="J60" s="1654"/>
    </row>
    <row r="61" spans="2:10" x14ac:dyDescent="0.25">
      <c r="B61" s="1626" t="s">
        <v>2140</v>
      </c>
      <c r="C61" s="1659">
        <f>SUM(C56:C59)</f>
        <v>0</v>
      </c>
      <c r="D61" s="1659">
        <f>SUM(D56:D59)</f>
        <v>0</v>
      </c>
      <c r="E61" s="1660">
        <f>SUM(E56:E59)</f>
        <v>0</v>
      </c>
      <c r="F61" s="1659">
        <f>SUM(F56:F60)</f>
        <v>17170</v>
      </c>
      <c r="G61" s="1659">
        <f>SUM(G56:G60)</f>
        <v>0</v>
      </c>
      <c r="H61" s="1660">
        <f>SUM(H56:H60)</f>
        <v>17170</v>
      </c>
      <c r="I61" s="1660">
        <f>SUM(I56:I60)</f>
        <v>17170</v>
      </c>
      <c r="J61" s="1660">
        <f>SUM(J56:J60)</f>
        <v>18300</v>
      </c>
    </row>
    <row r="62" spans="2:10" x14ac:dyDescent="0.25">
      <c r="B62" s="1617"/>
      <c r="C62" s="1644"/>
      <c r="D62" s="1644"/>
      <c r="E62" s="1654"/>
      <c r="F62" s="1644"/>
      <c r="G62" s="1644"/>
      <c r="H62" s="1654"/>
      <c r="I62" s="1654"/>
      <c r="J62" s="1654"/>
    </row>
    <row r="63" spans="2:10" x14ac:dyDescent="0.25">
      <c r="B63" s="1630" t="s">
        <v>2135</v>
      </c>
      <c r="C63" s="1644"/>
      <c r="D63" s="1644"/>
      <c r="E63" s="1654"/>
      <c r="F63" s="1644"/>
      <c r="G63" s="1644"/>
      <c r="H63" s="1654"/>
      <c r="I63" s="1654"/>
      <c r="J63" s="1654"/>
    </row>
    <row r="64" spans="2:10" x14ac:dyDescent="0.25">
      <c r="B64" s="1631" t="s">
        <v>2141</v>
      </c>
      <c r="C64" s="1644"/>
      <c r="D64" s="1644"/>
      <c r="E64" s="1654">
        <f>SUM(C64:D64)</f>
        <v>0</v>
      </c>
      <c r="F64" s="1644"/>
      <c r="G64" s="1644"/>
      <c r="H64" s="1654">
        <f>SUM(F64:G64)</f>
        <v>0</v>
      </c>
      <c r="I64" s="1654">
        <f>H64-E64</f>
        <v>0</v>
      </c>
      <c r="J64" s="1654">
        <v>0</v>
      </c>
    </row>
    <row r="65" spans="2:10" x14ac:dyDescent="0.25">
      <c r="B65" s="1617"/>
      <c r="C65" s="1644"/>
      <c r="D65" s="1644"/>
      <c r="E65" s="1654"/>
      <c r="F65" s="1644"/>
      <c r="G65" s="1644"/>
      <c r="H65" s="1654"/>
      <c r="I65" s="1654"/>
      <c r="J65" s="1654"/>
    </row>
    <row r="66" spans="2:10" x14ac:dyDescent="0.25">
      <c r="B66" s="1626" t="s">
        <v>2142</v>
      </c>
      <c r="C66" s="1659">
        <f>SUM(C64:C65)</f>
        <v>0</v>
      </c>
      <c r="D66" s="1659">
        <f t="shared" ref="D66:J66" si="7">SUM(D64:D65)</f>
        <v>0</v>
      </c>
      <c r="E66" s="1660">
        <f t="shared" si="7"/>
        <v>0</v>
      </c>
      <c r="F66" s="1659">
        <f t="shared" si="7"/>
        <v>0</v>
      </c>
      <c r="G66" s="1659">
        <f t="shared" si="7"/>
        <v>0</v>
      </c>
      <c r="H66" s="1660">
        <f t="shared" si="7"/>
        <v>0</v>
      </c>
      <c r="I66" s="1660">
        <f t="shared" si="7"/>
        <v>0</v>
      </c>
      <c r="J66" s="1660">
        <f t="shared" si="7"/>
        <v>0</v>
      </c>
    </row>
    <row r="67" spans="2:10" x14ac:dyDescent="0.25">
      <c r="B67" s="1617"/>
      <c r="C67" s="1644"/>
      <c r="D67" s="1644"/>
      <c r="E67" s="1654"/>
      <c r="F67" s="1644"/>
      <c r="G67" s="1644"/>
      <c r="H67" s="1654"/>
      <c r="I67" s="1654"/>
      <c r="J67" s="1654"/>
    </row>
    <row r="68" spans="2:10" x14ac:dyDescent="0.25">
      <c r="B68" s="1626" t="s">
        <v>2143</v>
      </c>
      <c r="C68" s="1659">
        <f>+C61+C66</f>
        <v>0</v>
      </c>
      <c r="D68" s="1659">
        <f t="shared" ref="D68:J68" si="8">+D61+D66</f>
        <v>0</v>
      </c>
      <c r="E68" s="1660">
        <f t="shared" si="8"/>
        <v>0</v>
      </c>
      <c r="F68" s="1659">
        <f t="shared" si="8"/>
        <v>17170</v>
      </c>
      <c r="G68" s="1659">
        <f t="shared" si="8"/>
        <v>0</v>
      </c>
      <c r="H68" s="1660">
        <f t="shared" si="8"/>
        <v>17170</v>
      </c>
      <c r="I68" s="1660">
        <f t="shared" si="8"/>
        <v>17170</v>
      </c>
      <c r="J68" s="1660">
        <f t="shared" si="8"/>
        <v>18300</v>
      </c>
    </row>
    <row r="69" spans="2:10" x14ac:dyDescent="0.25">
      <c r="B69" s="1617"/>
      <c r="C69" s="1644"/>
      <c r="D69" s="1644"/>
      <c r="E69" s="1654"/>
      <c r="F69" s="1644"/>
      <c r="G69" s="1644"/>
      <c r="H69" s="1654"/>
      <c r="I69" s="1654"/>
      <c r="J69" s="1654"/>
    </row>
    <row r="70" spans="2:10" x14ac:dyDescent="0.25">
      <c r="B70" s="1626" t="s">
        <v>2145</v>
      </c>
      <c r="C70" s="1659"/>
      <c r="D70" s="1659"/>
      <c r="E70" s="1660"/>
      <c r="F70" s="1659"/>
      <c r="G70" s="1659"/>
      <c r="H70" s="1660"/>
      <c r="I70" s="1660"/>
      <c r="J70" s="1660"/>
    </row>
    <row r="71" spans="2:10" x14ac:dyDescent="0.25">
      <c r="B71" s="1617"/>
      <c r="C71" s="1644"/>
      <c r="D71" s="1644"/>
      <c r="E71" s="1654"/>
      <c r="F71" s="1644"/>
      <c r="G71" s="1644"/>
      <c r="H71" s="1654"/>
      <c r="I71" s="1654"/>
      <c r="J71" s="1654"/>
    </row>
    <row r="72" spans="2:10" x14ac:dyDescent="0.25">
      <c r="B72" s="1626" t="s">
        <v>2150</v>
      </c>
      <c r="C72" s="1659">
        <f t="shared" ref="C72:J72" si="9">C34+C68+C70</f>
        <v>0</v>
      </c>
      <c r="D72" s="1659">
        <f t="shared" si="9"/>
        <v>0</v>
      </c>
      <c r="E72" s="1660">
        <f t="shared" si="9"/>
        <v>0</v>
      </c>
      <c r="F72" s="1659">
        <f t="shared" si="9"/>
        <v>394821</v>
      </c>
      <c r="G72" s="1659">
        <f t="shared" si="9"/>
        <v>0</v>
      </c>
      <c r="H72" s="1660">
        <f t="shared" si="9"/>
        <v>394821</v>
      </c>
      <c r="I72" s="1660">
        <f t="shared" si="9"/>
        <v>394821</v>
      </c>
      <c r="J72" s="1660">
        <f t="shared" si="9"/>
        <v>416855</v>
      </c>
    </row>
    <row r="73" spans="2:10" x14ac:dyDescent="0.25">
      <c r="B73" s="1621" t="s">
        <v>2147</v>
      </c>
      <c r="C73" s="1250"/>
      <c r="D73" s="1250"/>
      <c r="E73" s="1250"/>
      <c r="F73" s="1250"/>
      <c r="G73" s="1250"/>
      <c r="H73" s="1250"/>
      <c r="I73" s="1250"/>
      <c r="J73" s="1250"/>
    </row>
    <row r="74" spans="2:10" x14ac:dyDescent="0.25">
      <c r="B74" s="1250"/>
      <c r="C74" s="1250"/>
      <c r="D74" s="1250"/>
      <c r="E74" s="1250"/>
      <c r="F74" s="1250"/>
      <c r="G74" s="1250"/>
      <c r="H74" s="1250"/>
      <c r="I74" s="1250"/>
      <c r="J74" s="1250"/>
    </row>
    <row r="75" spans="2:10" x14ac:dyDescent="0.25">
      <c r="B75" s="1901" t="s">
        <v>2525</v>
      </c>
      <c r="C75" s="1901"/>
      <c r="D75" s="1901"/>
      <c r="E75" s="1901"/>
      <c r="F75" s="1901"/>
      <c r="G75" s="1901"/>
      <c r="H75" s="1901"/>
      <c r="I75" s="1901"/>
      <c r="J75" s="1901"/>
    </row>
    <row r="76" spans="2:10" x14ac:dyDescent="0.25">
      <c r="B76" s="1901" t="s">
        <v>2151</v>
      </c>
      <c r="C76" s="1901"/>
      <c r="D76" s="1901"/>
      <c r="E76" s="1901"/>
      <c r="F76" s="1901"/>
      <c r="G76" s="1901"/>
      <c r="H76" s="1901"/>
      <c r="I76" s="1901"/>
      <c r="J76" s="1901"/>
    </row>
    <row r="78" spans="2:10" x14ac:dyDescent="0.25">
      <c r="C78" s="1331" t="str">
        <f>IF(E26=SOAS!D14,"OK","ERROR")</f>
        <v>OK</v>
      </c>
      <c r="D78" s="1331" t="str">
        <f>IF(E32=SOAS!E14,"OK","ERROR")</f>
        <v>OK</v>
      </c>
      <c r="E78" s="1331" t="str">
        <f>IF(E34=SOAS!F14,"OK","ERROR")</f>
        <v>OK</v>
      </c>
    </row>
    <row r="79" spans="2:10" x14ac:dyDescent="0.25">
      <c r="C79" s="1331" t="str">
        <f>IF(E61=SOAS!D20,"OK","ERROR")</f>
        <v>OK</v>
      </c>
      <c r="D79" s="1331" t="str">
        <f>IF(E66=SOAS!E20,"OK","ERROR")</f>
        <v>OK</v>
      </c>
      <c r="E79" s="1331" t="str">
        <f>IF(E68=SOAS!F20,"OK","ERROR")</f>
        <v>OK</v>
      </c>
    </row>
  </sheetData>
  <mergeCells count="6">
    <mergeCell ref="J9:J10"/>
    <mergeCell ref="B75:J75"/>
    <mergeCell ref="B76:J76"/>
    <mergeCell ref="C9:E9"/>
    <mergeCell ref="F9:H9"/>
    <mergeCell ref="I9:I10"/>
  </mergeCells>
  <pageMargins left="0.35433070866141736" right="0.47244094488188981" top="0.19685039370078741" bottom="0.19685039370078741" header="0.31496062992125984" footer="0.31496062992125984"/>
  <pageSetup paperSize="9" scale="49" orientation="landscape" r:id="rId1"/>
  <rowBreaks count="1" manualBreakCount="1">
    <brk id="35" min="1"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00B0F0"/>
    <pageSetUpPr fitToPage="1"/>
  </sheetPr>
  <dimension ref="A1:AF110"/>
  <sheetViews>
    <sheetView topLeftCell="P1" zoomScale="90" zoomScaleNormal="90" workbookViewId="0">
      <selection activeCell="G5" sqref="G4:G5"/>
    </sheetView>
  </sheetViews>
  <sheetFormatPr defaultRowHeight="12.75" x14ac:dyDescent="0.2"/>
  <cols>
    <col min="1" max="1" width="3" style="34" hidden="1" customWidth="1"/>
    <col min="2" max="2" width="54" style="34" hidden="1" customWidth="1"/>
    <col min="3" max="3" width="12.140625" style="34" hidden="1" customWidth="1"/>
    <col min="4" max="4" width="15" style="34" hidden="1" customWidth="1"/>
    <col min="5" max="5" width="13.85546875" style="34" hidden="1" customWidth="1"/>
    <col min="6" max="6" width="16.7109375" style="34" hidden="1" customWidth="1"/>
    <col min="7" max="7" width="14.85546875" style="34" hidden="1" customWidth="1"/>
    <col min="8" max="8" width="13.140625" style="34" hidden="1" customWidth="1"/>
    <col min="9" max="9" width="12.5703125" style="34" hidden="1" customWidth="1"/>
    <col min="10" max="10" width="9.7109375" style="34" hidden="1" customWidth="1"/>
    <col min="11" max="11" width="13" style="34" hidden="1" customWidth="1"/>
    <col min="12" max="12" width="9.7109375" style="34" hidden="1" customWidth="1"/>
    <col min="13" max="13" width="8.28515625" style="34" hidden="1" customWidth="1"/>
    <col min="14" max="14" width="10.28515625" style="34" hidden="1" customWidth="1"/>
    <col min="15" max="15" width="6.28515625" style="34" hidden="1" customWidth="1"/>
    <col min="16" max="16" width="3" style="34" bestFit="1" customWidth="1"/>
    <col min="17" max="17" width="36.7109375" style="34" bestFit="1" customWidth="1"/>
    <col min="18" max="19" width="15.85546875" style="34" customWidth="1"/>
    <col min="20" max="20" width="15.5703125" style="34" customWidth="1"/>
    <col min="21" max="21" width="10.42578125" style="34" bestFit="1" customWidth="1"/>
    <col min="22" max="23" width="15.5703125" style="34" customWidth="1"/>
    <col min="24" max="24" width="17" style="34" customWidth="1"/>
    <col min="25" max="25" width="10.28515625" style="34" bestFit="1" customWidth="1"/>
    <col min="26" max="26" width="13.7109375" style="34" bestFit="1" customWidth="1"/>
    <col min="27" max="27" width="9.42578125" style="34" bestFit="1" customWidth="1"/>
    <col min="28" max="28" width="11.85546875" style="34" bestFit="1" customWidth="1"/>
    <col min="29" max="29" width="12.5703125" style="34" bestFit="1" customWidth="1"/>
    <col min="30" max="31" width="9.140625" style="34"/>
    <col min="32" max="32" width="10.140625" style="34" bestFit="1" customWidth="1"/>
    <col min="33" max="224" width="9.140625" style="34"/>
    <col min="225" max="225" width="3.85546875" style="34" customWidth="1"/>
    <col min="226" max="226" width="37.42578125" style="34" customWidth="1"/>
    <col min="227" max="228" width="13.5703125" style="34" customWidth="1"/>
    <col min="229" max="230" width="16" style="34" customWidth="1"/>
    <col min="231" max="232" width="13.5703125" style="34" customWidth="1"/>
    <col min="233" max="480" width="9.140625" style="34"/>
    <col min="481" max="481" width="3.85546875" style="34" customWidth="1"/>
    <col min="482" max="482" width="37.42578125" style="34" customWidth="1"/>
    <col min="483" max="484" width="13.5703125" style="34" customWidth="1"/>
    <col min="485" max="486" width="16" style="34" customWidth="1"/>
    <col min="487" max="488" width="13.5703125" style="34" customWidth="1"/>
    <col min="489" max="736" width="9.140625" style="34"/>
    <col min="737" max="737" width="3.85546875" style="34" customWidth="1"/>
    <col min="738" max="738" width="37.42578125" style="34" customWidth="1"/>
    <col min="739" max="740" width="13.5703125" style="34" customWidth="1"/>
    <col min="741" max="742" width="16" style="34" customWidth="1"/>
    <col min="743" max="744" width="13.5703125" style="34" customWidth="1"/>
    <col min="745" max="992" width="9.140625" style="34"/>
    <col min="993" max="993" width="3.85546875" style="34" customWidth="1"/>
    <col min="994" max="994" width="37.42578125" style="34" customWidth="1"/>
    <col min="995" max="996" width="13.5703125" style="34" customWidth="1"/>
    <col min="997" max="998" width="16" style="34" customWidth="1"/>
    <col min="999" max="1000" width="13.5703125" style="34" customWidth="1"/>
    <col min="1001" max="1248" width="9.140625" style="34"/>
    <col min="1249" max="1249" width="3.85546875" style="34" customWidth="1"/>
    <col min="1250" max="1250" width="37.42578125" style="34" customWidth="1"/>
    <col min="1251" max="1252" width="13.5703125" style="34" customWidth="1"/>
    <col min="1253" max="1254" width="16" style="34" customWidth="1"/>
    <col min="1255" max="1256" width="13.5703125" style="34" customWidth="1"/>
    <col min="1257" max="1504" width="9.140625" style="34"/>
    <col min="1505" max="1505" width="3.85546875" style="34" customWidth="1"/>
    <col min="1506" max="1506" width="37.42578125" style="34" customWidth="1"/>
    <col min="1507" max="1508" width="13.5703125" style="34" customWidth="1"/>
    <col min="1509" max="1510" width="16" style="34" customWidth="1"/>
    <col min="1511" max="1512" width="13.5703125" style="34" customWidth="1"/>
    <col min="1513" max="1760" width="9.140625" style="34"/>
    <col min="1761" max="1761" width="3.85546875" style="34" customWidth="1"/>
    <col min="1762" max="1762" width="37.42578125" style="34" customWidth="1"/>
    <col min="1763" max="1764" width="13.5703125" style="34" customWidth="1"/>
    <col min="1765" max="1766" width="16" style="34" customWidth="1"/>
    <col min="1767" max="1768" width="13.5703125" style="34" customWidth="1"/>
    <col min="1769" max="2016" width="9.140625" style="34"/>
    <col min="2017" max="2017" width="3.85546875" style="34" customWidth="1"/>
    <col min="2018" max="2018" width="37.42578125" style="34" customWidth="1"/>
    <col min="2019" max="2020" width="13.5703125" style="34" customWidth="1"/>
    <col min="2021" max="2022" width="16" style="34" customWidth="1"/>
    <col min="2023" max="2024" width="13.5703125" style="34" customWidth="1"/>
    <col min="2025" max="2272" width="9.140625" style="34"/>
    <col min="2273" max="2273" width="3.85546875" style="34" customWidth="1"/>
    <col min="2274" max="2274" width="37.42578125" style="34" customWidth="1"/>
    <col min="2275" max="2276" width="13.5703125" style="34" customWidth="1"/>
    <col min="2277" max="2278" width="16" style="34" customWidth="1"/>
    <col min="2279" max="2280" width="13.5703125" style="34" customWidth="1"/>
    <col min="2281" max="2528" width="9.140625" style="34"/>
    <col min="2529" max="2529" width="3.85546875" style="34" customWidth="1"/>
    <col min="2530" max="2530" width="37.42578125" style="34" customWidth="1"/>
    <col min="2531" max="2532" width="13.5703125" style="34" customWidth="1"/>
    <col min="2533" max="2534" width="16" style="34" customWidth="1"/>
    <col min="2535" max="2536" width="13.5703125" style="34" customWidth="1"/>
    <col min="2537" max="2784" width="9.140625" style="34"/>
    <col min="2785" max="2785" width="3.85546875" style="34" customWidth="1"/>
    <col min="2786" max="2786" width="37.42578125" style="34" customWidth="1"/>
    <col min="2787" max="2788" width="13.5703125" style="34" customWidth="1"/>
    <col min="2789" max="2790" width="16" style="34" customWidth="1"/>
    <col min="2791" max="2792" width="13.5703125" style="34" customWidth="1"/>
    <col min="2793" max="3040" width="9.140625" style="34"/>
    <col min="3041" max="3041" width="3.85546875" style="34" customWidth="1"/>
    <col min="3042" max="3042" width="37.42578125" style="34" customWidth="1"/>
    <col min="3043" max="3044" width="13.5703125" style="34" customWidth="1"/>
    <col min="3045" max="3046" width="16" style="34" customWidth="1"/>
    <col min="3047" max="3048" width="13.5703125" style="34" customWidth="1"/>
    <col min="3049" max="3296" width="9.140625" style="34"/>
    <col min="3297" max="3297" width="3.85546875" style="34" customWidth="1"/>
    <col min="3298" max="3298" width="37.42578125" style="34" customWidth="1"/>
    <col min="3299" max="3300" width="13.5703125" style="34" customWidth="1"/>
    <col min="3301" max="3302" width="16" style="34" customWidth="1"/>
    <col min="3303" max="3304" width="13.5703125" style="34" customWidth="1"/>
    <col min="3305" max="3552" width="9.140625" style="34"/>
    <col min="3553" max="3553" width="3.85546875" style="34" customWidth="1"/>
    <col min="3554" max="3554" width="37.42578125" style="34" customWidth="1"/>
    <col min="3555" max="3556" width="13.5703125" style="34" customWidth="1"/>
    <col min="3557" max="3558" width="16" style="34" customWidth="1"/>
    <col min="3559" max="3560" width="13.5703125" style="34" customWidth="1"/>
    <col min="3561" max="3808" width="9.140625" style="34"/>
    <col min="3809" max="3809" width="3.85546875" style="34" customWidth="1"/>
    <col min="3810" max="3810" width="37.42578125" style="34" customWidth="1"/>
    <col min="3811" max="3812" width="13.5703125" style="34" customWidth="1"/>
    <col min="3813" max="3814" width="16" style="34" customWidth="1"/>
    <col min="3815" max="3816" width="13.5703125" style="34" customWidth="1"/>
    <col min="3817" max="4064" width="9.140625" style="34"/>
    <col min="4065" max="4065" width="3.85546875" style="34" customWidth="1"/>
    <col min="4066" max="4066" width="37.42578125" style="34" customWidth="1"/>
    <col min="4067" max="4068" width="13.5703125" style="34" customWidth="1"/>
    <col min="4069" max="4070" width="16" style="34" customWidth="1"/>
    <col min="4071" max="4072" width="13.5703125" style="34" customWidth="1"/>
    <col min="4073" max="4320" width="9.140625" style="34"/>
    <col min="4321" max="4321" width="3.85546875" style="34" customWidth="1"/>
    <col min="4322" max="4322" width="37.42578125" style="34" customWidth="1"/>
    <col min="4323" max="4324" width="13.5703125" style="34" customWidth="1"/>
    <col min="4325" max="4326" width="16" style="34" customWidth="1"/>
    <col min="4327" max="4328" width="13.5703125" style="34" customWidth="1"/>
    <col min="4329" max="4576" width="9.140625" style="34"/>
    <col min="4577" max="4577" width="3.85546875" style="34" customWidth="1"/>
    <col min="4578" max="4578" width="37.42578125" style="34" customWidth="1"/>
    <col min="4579" max="4580" width="13.5703125" style="34" customWidth="1"/>
    <col min="4581" max="4582" width="16" style="34" customWidth="1"/>
    <col min="4583" max="4584" width="13.5703125" style="34" customWidth="1"/>
    <col min="4585" max="4832" width="9.140625" style="34"/>
    <col min="4833" max="4833" width="3.85546875" style="34" customWidth="1"/>
    <col min="4834" max="4834" width="37.42578125" style="34" customWidth="1"/>
    <col min="4835" max="4836" width="13.5703125" style="34" customWidth="1"/>
    <col min="4837" max="4838" width="16" style="34" customWidth="1"/>
    <col min="4839" max="4840" width="13.5703125" style="34" customWidth="1"/>
    <col min="4841" max="5088" width="9.140625" style="34"/>
    <col min="5089" max="5089" width="3.85546875" style="34" customWidth="1"/>
    <col min="5090" max="5090" width="37.42578125" style="34" customWidth="1"/>
    <col min="5091" max="5092" width="13.5703125" style="34" customWidth="1"/>
    <col min="5093" max="5094" width="16" style="34" customWidth="1"/>
    <col min="5095" max="5096" width="13.5703125" style="34" customWidth="1"/>
    <col min="5097" max="5344" width="9.140625" style="34"/>
    <col min="5345" max="5345" width="3.85546875" style="34" customWidth="1"/>
    <col min="5346" max="5346" width="37.42578125" style="34" customWidth="1"/>
    <col min="5347" max="5348" width="13.5703125" style="34" customWidth="1"/>
    <col min="5349" max="5350" width="16" style="34" customWidth="1"/>
    <col min="5351" max="5352" width="13.5703125" style="34" customWidth="1"/>
    <col min="5353" max="5600" width="9.140625" style="34"/>
    <col min="5601" max="5601" width="3.85546875" style="34" customWidth="1"/>
    <col min="5602" max="5602" width="37.42578125" style="34" customWidth="1"/>
    <col min="5603" max="5604" width="13.5703125" style="34" customWidth="1"/>
    <col min="5605" max="5606" width="16" style="34" customWidth="1"/>
    <col min="5607" max="5608" width="13.5703125" style="34" customWidth="1"/>
    <col min="5609" max="5856" width="9.140625" style="34"/>
    <col min="5857" max="5857" width="3.85546875" style="34" customWidth="1"/>
    <col min="5858" max="5858" width="37.42578125" style="34" customWidth="1"/>
    <col min="5859" max="5860" width="13.5703125" style="34" customWidth="1"/>
    <col min="5861" max="5862" width="16" style="34" customWidth="1"/>
    <col min="5863" max="5864" width="13.5703125" style="34" customWidth="1"/>
    <col min="5865" max="6112" width="9.140625" style="34"/>
    <col min="6113" max="6113" width="3.85546875" style="34" customWidth="1"/>
    <col min="6114" max="6114" width="37.42578125" style="34" customWidth="1"/>
    <col min="6115" max="6116" width="13.5703125" style="34" customWidth="1"/>
    <col min="6117" max="6118" width="16" style="34" customWidth="1"/>
    <col min="6119" max="6120" width="13.5703125" style="34" customWidth="1"/>
    <col min="6121" max="6368" width="9.140625" style="34"/>
    <col min="6369" max="6369" width="3.85546875" style="34" customWidth="1"/>
    <col min="6370" max="6370" width="37.42578125" style="34" customWidth="1"/>
    <col min="6371" max="6372" width="13.5703125" style="34" customWidth="1"/>
    <col min="6373" max="6374" width="16" style="34" customWidth="1"/>
    <col min="6375" max="6376" width="13.5703125" style="34" customWidth="1"/>
    <col min="6377" max="6624" width="9.140625" style="34"/>
    <col min="6625" max="6625" width="3.85546875" style="34" customWidth="1"/>
    <col min="6626" max="6626" width="37.42578125" style="34" customWidth="1"/>
    <col min="6627" max="6628" width="13.5703125" style="34" customWidth="1"/>
    <col min="6629" max="6630" width="16" style="34" customWidth="1"/>
    <col min="6631" max="6632" width="13.5703125" style="34" customWidth="1"/>
    <col min="6633" max="6880" width="9.140625" style="34"/>
    <col min="6881" max="6881" width="3.85546875" style="34" customWidth="1"/>
    <col min="6882" max="6882" width="37.42578125" style="34" customWidth="1"/>
    <col min="6883" max="6884" width="13.5703125" style="34" customWidth="1"/>
    <col min="6885" max="6886" width="16" style="34" customWidth="1"/>
    <col min="6887" max="6888" width="13.5703125" style="34" customWidth="1"/>
    <col min="6889" max="7136" width="9.140625" style="34"/>
    <col min="7137" max="7137" width="3.85546875" style="34" customWidth="1"/>
    <col min="7138" max="7138" width="37.42578125" style="34" customWidth="1"/>
    <col min="7139" max="7140" width="13.5703125" style="34" customWidth="1"/>
    <col min="7141" max="7142" width="16" style="34" customWidth="1"/>
    <col min="7143" max="7144" width="13.5703125" style="34" customWidth="1"/>
    <col min="7145" max="7392" width="9.140625" style="34"/>
    <col min="7393" max="7393" width="3.85546875" style="34" customWidth="1"/>
    <col min="7394" max="7394" width="37.42578125" style="34" customWidth="1"/>
    <col min="7395" max="7396" width="13.5703125" style="34" customWidth="1"/>
    <col min="7397" max="7398" width="16" style="34" customWidth="1"/>
    <col min="7399" max="7400" width="13.5703125" style="34" customWidth="1"/>
    <col min="7401" max="7648" width="9.140625" style="34"/>
    <col min="7649" max="7649" width="3.85546875" style="34" customWidth="1"/>
    <col min="7650" max="7650" width="37.42578125" style="34" customWidth="1"/>
    <col min="7651" max="7652" width="13.5703125" style="34" customWidth="1"/>
    <col min="7653" max="7654" width="16" style="34" customWidth="1"/>
    <col min="7655" max="7656" width="13.5703125" style="34" customWidth="1"/>
    <col min="7657" max="7904" width="9.140625" style="34"/>
    <col min="7905" max="7905" width="3.85546875" style="34" customWidth="1"/>
    <col min="7906" max="7906" width="37.42578125" style="34" customWidth="1"/>
    <col min="7907" max="7908" width="13.5703125" style="34" customWidth="1"/>
    <col min="7909" max="7910" width="16" style="34" customWidth="1"/>
    <col min="7911" max="7912" width="13.5703125" style="34" customWidth="1"/>
    <col min="7913" max="8160" width="9.140625" style="34"/>
    <col min="8161" max="8161" width="3.85546875" style="34" customWidth="1"/>
    <col min="8162" max="8162" width="37.42578125" style="34" customWidth="1"/>
    <col min="8163" max="8164" width="13.5703125" style="34" customWidth="1"/>
    <col min="8165" max="8166" width="16" style="34" customWidth="1"/>
    <col min="8167" max="8168" width="13.5703125" style="34" customWidth="1"/>
    <col min="8169" max="8416" width="9.140625" style="34"/>
    <col min="8417" max="8417" width="3.85546875" style="34" customWidth="1"/>
    <col min="8418" max="8418" width="37.42578125" style="34" customWidth="1"/>
    <col min="8419" max="8420" width="13.5703125" style="34" customWidth="1"/>
    <col min="8421" max="8422" width="16" style="34" customWidth="1"/>
    <col min="8423" max="8424" width="13.5703125" style="34" customWidth="1"/>
    <col min="8425" max="8672" width="9.140625" style="34"/>
    <col min="8673" max="8673" width="3.85546875" style="34" customWidth="1"/>
    <col min="8674" max="8674" width="37.42578125" style="34" customWidth="1"/>
    <col min="8675" max="8676" width="13.5703125" style="34" customWidth="1"/>
    <col min="8677" max="8678" width="16" style="34" customWidth="1"/>
    <col min="8679" max="8680" width="13.5703125" style="34" customWidth="1"/>
    <col min="8681" max="8928" width="9.140625" style="34"/>
    <col min="8929" max="8929" width="3.85546875" style="34" customWidth="1"/>
    <col min="8930" max="8930" width="37.42578125" style="34" customWidth="1"/>
    <col min="8931" max="8932" width="13.5703125" style="34" customWidth="1"/>
    <col min="8933" max="8934" width="16" style="34" customWidth="1"/>
    <col min="8935" max="8936" width="13.5703125" style="34" customWidth="1"/>
    <col min="8937" max="9184" width="9.140625" style="34"/>
    <col min="9185" max="9185" width="3.85546875" style="34" customWidth="1"/>
    <col min="9186" max="9186" width="37.42578125" style="34" customWidth="1"/>
    <col min="9187" max="9188" width="13.5703125" style="34" customWidth="1"/>
    <col min="9189" max="9190" width="16" style="34" customWidth="1"/>
    <col min="9191" max="9192" width="13.5703125" style="34" customWidth="1"/>
    <col min="9193" max="9440" width="9.140625" style="34"/>
    <col min="9441" max="9441" width="3.85546875" style="34" customWidth="1"/>
    <col min="9442" max="9442" width="37.42578125" style="34" customWidth="1"/>
    <col min="9443" max="9444" width="13.5703125" style="34" customWidth="1"/>
    <col min="9445" max="9446" width="16" style="34" customWidth="1"/>
    <col min="9447" max="9448" width="13.5703125" style="34" customWidth="1"/>
    <col min="9449" max="9696" width="9.140625" style="34"/>
    <col min="9697" max="9697" width="3.85546875" style="34" customWidth="1"/>
    <col min="9698" max="9698" width="37.42578125" style="34" customWidth="1"/>
    <col min="9699" max="9700" width="13.5703125" style="34" customWidth="1"/>
    <col min="9701" max="9702" width="16" style="34" customWidth="1"/>
    <col min="9703" max="9704" width="13.5703125" style="34" customWidth="1"/>
    <col min="9705" max="9952" width="9.140625" style="34"/>
    <col min="9953" max="9953" width="3.85546875" style="34" customWidth="1"/>
    <col min="9954" max="9954" width="37.42578125" style="34" customWidth="1"/>
    <col min="9955" max="9956" width="13.5703125" style="34" customWidth="1"/>
    <col min="9957" max="9958" width="16" style="34" customWidth="1"/>
    <col min="9959" max="9960" width="13.5703125" style="34" customWidth="1"/>
    <col min="9961" max="10208" width="9.140625" style="34"/>
    <col min="10209" max="10209" width="3.85546875" style="34" customWidth="1"/>
    <col min="10210" max="10210" width="37.42578125" style="34" customWidth="1"/>
    <col min="10211" max="10212" width="13.5703125" style="34" customWidth="1"/>
    <col min="10213" max="10214" width="16" style="34" customWidth="1"/>
    <col min="10215" max="10216" width="13.5703125" style="34" customWidth="1"/>
    <col min="10217" max="10464" width="9.140625" style="34"/>
    <col min="10465" max="10465" width="3.85546875" style="34" customWidth="1"/>
    <col min="10466" max="10466" width="37.42578125" style="34" customWidth="1"/>
    <col min="10467" max="10468" width="13.5703125" style="34" customWidth="1"/>
    <col min="10469" max="10470" width="16" style="34" customWidth="1"/>
    <col min="10471" max="10472" width="13.5703125" style="34" customWidth="1"/>
    <col min="10473" max="10720" width="9.140625" style="34"/>
    <col min="10721" max="10721" width="3.85546875" style="34" customWidth="1"/>
    <col min="10722" max="10722" width="37.42578125" style="34" customWidth="1"/>
    <col min="10723" max="10724" width="13.5703125" style="34" customWidth="1"/>
    <col min="10725" max="10726" width="16" style="34" customWidth="1"/>
    <col min="10727" max="10728" width="13.5703125" style="34" customWidth="1"/>
    <col min="10729" max="10976" width="9.140625" style="34"/>
    <col min="10977" max="10977" width="3.85546875" style="34" customWidth="1"/>
    <col min="10978" max="10978" width="37.42578125" style="34" customWidth="1"/>
    <col min="10979" max="10980" width="13.5703125" style="34" customWidth="1"/>
    <col min="10981" max="10982" width="16" style="34" customWidth="1"/>
    <col min="10983" max="10984" width="13.5703125" style="34" customWidth="1"/>
    <col min="10985" max="11232" width="9.140625" style="34"/>
    <col min="11233" max="11233" width="3.85546875" style="34" customWidth="1"/>
    <col min="11234" max="11234" width="37.42578125" style="34" customWidth="1"/>
    <col min="11235" max="11236" width="13.5703125" style="34" customWidth="1"/>
    <col min="11237" max="11238" width="16" style="34" customWidth="1"/>
    <col min="11239" max="11240" width="13.5703125" style="34" customWidth="1"/>
    <col min="11241" max="11488" width="9.140625" style="34"/>
    <col min="11489" max="11489" width="3.85546875" style="34" customWidth="1"/>
    <col min="11490" max="11490" width="37.42578125" style="34" customWidth="1"/>
    <col min="11491" max="11492" width="13.5703125" style="34" customWidth="1"/>
    <col min="11493" max="11494" width="16" style="34" customWidth="1"/>
    <col min="11495" max="11496" width="13.5703125" style="34" customWidth="1"/>
    <col min="11497" max="11744" width="9.140625" style="34"/>
    <col min="11745" max="11745" width="3.85546875" style="34" customWidth="1"/>
    <col min="11746" max="11746" width="37.42578125" style="34" customWidth="1"/>
    <col min="11747" max="11748" width="13.5703125" style="34" customWidth="1"/>
    <col min="11749" max="11750" width="16" style="34" customWidth="1"/>
    <col min="11751" max="11752" width="13.5703125" style="34" customWidth="1"/>
    <col min="11753" max="12000" width="9.140625" style="34"/>
    <col min="12001" max="12001" width="3.85546875" style="34" customWidth="1"/>
    <col min="12002" max="12002" width="37.42578125" style="34" customWidth="1"/>
    <col min="12003" max="12004" width="13.5703125" style="34" customWidth="1"/>
    <col min="12005" max="12006" width="16" style="34" customWidth="1"/>
    <col min="12007" max="12008" width="13.5703125" style="34" customWidth="1"/>
    <col min="12009" max="12256" width="9.140625" style="34"/>
    <col min="12257" max="12257" width="3.85546875" style="34" customWidth="1"/>
    <col min="12258" max="12258" width="37.42578125" style="34" customWidth="1"/>
    <col min="12259" max="12260" width="13.5703125" style="34" customWidth="1"/>
    <col min="12261" max="12262" width="16" style="34" customWidth="1"/>
    <col min="12263" max="12264" width="13.5703125" style="34" customWidth="1"/>
    <col min="12265" max="12512" width="9.140625" style="34"/>
    <col min="12513" max="12513" width="3.85546875" style="34" customWidth="1"/>
    <col min="12514" max="12514" width="37.42578125" style="34" customWidth="1"/>
    <col min="12515" max="12516" width="13.5703125" style="34" customWidth="1"/>
    <col min="12517" max="12518" width="16" style="34" customWidth="1"/>
    <col min="12519" max="12520" width="13.5703125" style="34" customWidth="1"/>
    <col min="12521" max="12768" width="9.140625" style="34"/>
    <col min="12769" max="12769" width="3.85546875" style="34" customWidth="1"/>
    <col min="12770" max="12770" width="37.42578125" style="34" customWidth="1"/>
    <col min="12771" max="12772" width="13.5703125" style="34" customWidth="1"/>
    <col min="12773" max="12774" width="16" style="34" customWidth="1"/>
    <col min="12775" max="12776" width="13.5703125" style="34" customWidth="1"/>
    <col min="12777" max="13024" width="9.140625" style="34"/>
    <col min="13025" max="13025" width="3.85546875" style="34" customWidth="1"/>
    <col min="13026" max="13026" width="37.42578125" style="34" customWidth="1"/>
    <col min="13027" max="13028" width="13.5703125" style="34" customWidth="1"/>
    <col min="13029" max="13030" width="16" style="34" customWidth="1"/>
    <col min="13031" max="13032" width="13.5703125" style="34" customWidth="1"/>
    <col min="13033" max="13280" width="9.140625" style="34"/>
    <col min="13281" max="13281" width="3.85546875" style="34" customWidth="1"/>
    <col min="13282" max="13282" width="37.42578125" style="34" customWidth="1"/>
    <col min="13283" max="13284" width="13.5703125" style="34" customWidth="1"/>
    <col min="13285" max="13286" width="16" style="34" customWidth="1"/>
    <col min="13287" max="13288" width="13.5703125" style="34" customWidth="1"/>
    <col min="13289" max="13536" width="9.140625" style="34"/>
    <col min="13537" max="13537" width="3.85546875" style="34" customWidth="1"/>
    <col min="13538" max="13538" width="37.42578125" style="34" customWidth="1"/>
    <col min="13539" max="13540" width="13.5703125" style="34" customWidth="1"/>
    <col min="13541" max="13542" width="16" style="34" customWidth="1"/>
    <col min="13543" max="13544" width="13.5703125" style="34" customWidth="1"/>
    <col min="13545" max="13792" width="9.140625" style="34"/>
    <col min="13793" max="13793" width="3.85546875" style="34" customWidth="1"/>
    <col min="13794" max="13794" width="37.42578125" style="34" customWidth="1"/>
    <col min="13795" max="13796" width="13.5703125" style="34" customWidth="1"/>
    <col min="13797" max="13798" width="16" style="34" customWidth="1"/>
    <col min="13799" max="13800" width="13.5703125" style="34" customWidth="1"/>
    <col min="13801" max="14048" width="9.140625" style="34"/>
    <col min="14049" max="14049" width="3.85546875" style="34" customWidth="1"/>
    <col min="14050" max="14050" width="37.42578125" style="34" customWidth="1"/>
    <col min="14051" max="14052" width="13.5703125" style="34" customWidth="1"/>
    <col min="14053" max="14054" width="16" style="34" customWidth="1"/>
    <col min="14055" max="14056" width="13.5703125" style="34" customWidth="1"/>
    <col min="14057" max="14304" width="9.140625" style="34"/>
    <col min="14305" max="14305" width="3.85546875" style="34" customWidth="1"/>
    <col min="14306" max="14306" width="37.42578125" style="34" customWidth="1"/>
    <col min="14307" max="14308" width="13.5703125" style="34" customWidth="1"/>
    <col min="14309" max="14310" width="16" style="34" customWidth="1"/>
    <col min="14311" max="14312" width="13.5703125" style="34" customWidth="1"/>
    <col min="14313" max="14560" width="9.140625" style="34"/>
    <col min="14561" max="14561" width="3.85546875" style="34" customWidth="1"/>
    <col min="14562" max="14562" width="37.42578125" style="34" customWidth="1"/>
    <col min="14563" max="14564" width="13.5703125" style="34" customWidth="1"/>
    <col min="14565" max="14566" width="16" style="34" customWidth="1"/>
    <col min="14567" max="14568" width="13.5703125" style="34" customWidth="1"/>
    <col min="14569" max="14816" width="9.140625" style="34"/>
    <col min="14817" max="14817" width="3.85546875" style="34" customWidth="1"/>
    <col min="14818" max="14818" width="37.42578125" style="34" customWidth="1"/>
    <col min="14819" max="14820" width="13.5703125" style="34" customWidth="1"/>
    <col min="14821" max="14822" width="16" style="34" customWidth="1"/>
    <col min="14823" max="14824" width="13.5703125" style="34" customWidth="1"/>
    <col min="14825" max="15072" width="9.140625" style="34"/>
    <col min="15073" max="15073" width="3.85546875" style="34" customWidth="1"/>
    <col min="15074" max="15074" width="37.42578125" style="34" customWidth="1"/>
    <col min="15075" max="15076" width="13.5703125" style="34" customWidth="1"/>
    <col min="15077" max="15078" width="16" style="34" customWidth="1"/>
    <col min="15079" max="15080" width="13.5703125" style="34" customWidth="1"/>
    <col min="15081" max="15328" width="9.140625" style="34"/>
    <col min="15329" max="15329" width="3.85546875" style="34" customWidth="1"/>
    <col min="15330" max="15330" width="37.42578125" style="34" customWidth="1"/>
    <col min="15331" max="15332" width="13.5703125" style="34" customWidth="1"/>
    <col min="15333" max="15334" width="16" style="34" customWidth="1"/>
    <col min="15335" max="15336" width="13.5703125" style="34" customWidth="1"/>
    <col min="15337" max="15584" width="9.140625" style="34"/>
    <col min="15585" max="15585" width="3.85546875" style="34" customWidth="1"/>
    <col min="15586" max="15586" width="37.42578125" style="34" customWidth="1"/>
    <col min="15587" max="15588" width="13.5703125" style="34" customWidth="1"/>
    <col min="15589" max="15590" width="16" style="34" customWidth="1"/>
    <col min="15591" max="15592" width="13.5703125" style="34" customWidth="1"/>
    <col min="15593" max="15840" width="9.140625" style="34"/>
    <col min="15841" max="15841" width="3.85546875" style="34" customWidth="1"/>
    <col min="15842" max="15842" width="37.42578125" style="34" customWidth="1"/>
    <col min="15843" max="15844" width="13.5703125" style="34" customWidth="1"/>
    <col min="15845" max="15846" width="16" style="34" customWidth="1"/>
    <col min="15847" max="15848" width="13.5703125" style="34" customWidth="1"/>
    <col min="15849" max="16096" width="9.140625" style="34"/>
    <col min="16097" max="16097" width="3.85546875" style="34" customWidth="1"/>
    <col min="16098" max="16098" width="37.42578125" style="34" customWidth="1"/>
    <col min="16099" max="16100" width="13.5703125" style="34" customWidth="1"/>
    <col min="16101" max="16102" width="16" style="34" customWidth="1"/>
    <col min="16103" max="16104" width="13.5703125" style="34" customWidth="1"/>
    <col min="16105" max="16384" width="9.140625" style="34"/>
  </cols>
  <sheetData>
    <row r="1" spans="1:29" x14ac:dyDescent="0.2">
      <c r="B1" s="35" t="str">
        <f>Update!$B$6</f>
        <v>Department of Health</v>
      </c>
      <c r="Q1" s="35" t="str">
        <f>Update!$B$6</f>
        <v>Department of Health</v>
      </c>
    </row>
    <row r="2" spans="1:29" x14ac:dyDescent="0.2">
      <c r="B2" s="35" t="str">
        <f>Update!$B$10</f>
        <v>Notes to the financial statements</v>
      </c>
      <c r="Q2" s="35" t="str">
        <f>Update!$B$10</f>
        <v>Notes to the financial statements</v>
      </c>
    </row>
    <row r="3" spans="1:29" x14ac:dyDescent="0.2">
      <c r="B3" s="35" t="str">
        <f>Update!$A$3</f>
        <v>2025-26</v>
      </c>
      <c r="Q3" s="35" t="str">
        <f>Update!$A$3</f>
        <v>2025-26</v>
      </c>
    </row>
    <row r="5" spans="1:29" x14ac:dyDescent="0.2">
      <c r="A5" s="229">
        <f>SUMIF(Update!$B$33:$B$106,B5,Update!$A$33:$A$106)</f>
        <v>14</v>
      </c>
      <c r="B5" s="37" t="s">
        <v>845</v>
      </c>
      <c r="P5" s="229">
        <f>SUMIF(Update!$B$33:$B$106,R5,Update!$A$33:$A$106)</f>
        <v>14</v>
      </c>
      <c r="R5" s="37" t="s">
        <v>845</v>
      </c>
      <c r="S5" s="37"/>
    </row>
    <row r="6" spans="1:29" x14ac:dyDescent="0.2">
      <c r="A6" s="36"/>
      <c r="B6" s="37"/>
    </row>
    <row r="7" spans="1:29" x14ac:dyDescent="0.2">
      <c r="A7" s="229">
        <f>SUMIF(Update!$B$33:$B$106,B7,Update!$A$33:$A$106)</f>
        <v>0</v>
      </c>
      <c r="B7" s="1106" t="s">
        <v>1902</v>
      </c>
      <c r="D7" s="38" t="str">
        <f>Update!$C$38</f>
        <v>2025-26</v>
      </c>
    </row>
    <row r="8" spans="1:29" x14ac:dyDescent="0.2">
      <c r="A8" s="36"/>
      <c r="B8" s="37"/>
      <c r="R8" s="2118" t="s">
        <v>2390</v>
      </c>
      <c r="S8" s="2119"/>
      <c r="T8" s="2119"/>
      <c r="U8" s="2120"/>
      <c r="V8" s="2118" t="s">
        <v>1029</v>
      </c>
      <c r="W8" s="2119"/>
      <c r="X8" s="2119"/>
      <c r="Y8" s="2119"/>
      <c r="Z8" s="2119"/>
      <c r="AA8" s="2119"/>
      <c r="AB8" s="2119"/>
      <c r="AC8" s="2120"/>
    </row>
    <row r="9" spans="1:29" ht="51" x14ac:dyDescent="0.2">
      <c r="A9" s="36"/>
      <c r="B9" s="41"/>
      <c r="C9" s="203" t="s">
        <v>632</v>
      </c>
      <c r="D9" s="203" t="s">
        <v>272</v>
      </c>
      <c r="E9" s="203" t="s">
        <v>633</v>
      </c>
      <c r="F9" s="203" t="s">
        <v>273</v>
      </c>
      <c r="G9" s="203" t="s">
        <v>938</v>
      </c>
      <c r="H9" s="203" t="s">
        <v>831</v>
      </c>
      <c r="I9" s="203" t="s">
        <v>832</v>
      </c>
      <c r="J9" s="203" t="s">
        <v>2051</v>
      </c>
      <c r="K9" s="203" t="s">
        <v>1065</v>
      </c>
      <c r="L9" s="203" t="s">
        <v>146</v>
      </c>
      <c r="M9" s="41"/>
      <c r="R9" s="1475" t="s">
        <v>272</v>
      </c>
      <c r="S9" s="203" t="s">
        <v>2830</v>
      </c>
      <c r="T9" s="203" t="s">
        <v>1065</v>
      </c>
      <c r="U9" s="1476" t="s">
        <v>146</v>
      </c>
      <c r="V9" s="1475" t="s">
        <v>272</v>
      </c>
      <c r="W9" s="203" t="s">
        <v>2830</v>
      </c>
      <c r="X9" s="203" t="s">
        <v>938</v>
      </c>
      <c r="Y9" s="203" t="s">
        <v>831</v>
      </c>
      <c r="Z9" s="203" t="s">
        <v>832</v>
      </c>
      <c r="AA9" s="203" t="s">
        <v>2051</v>
      </c>
      <c r="AB9" s="203" t="s">
        <v>1065</v>
      </c>
      <c r="AC9" s="1476" t="s">
        <v>146</v>
      </c>
    </row>
    <row r="10" spans="1:29" x14ac:dyDescent="0.2">
      <c r="A10" s="36"/>
      <c r="C10" s="39" t="s">
        <v>462</v>
      </c>
      <c r="D10" s="39" t="s">
        <v>462</v>
      </c>
      <c r="E10" s="39" t="s">
        <v>462</v>
      </c>
      <c r="F10" s="39" t="s">
        <v>462</v>
      </c>
      <c r="G10" s="39" t="s">
        <v>462</v>
      </c>
      <c r="H10" s="39" t="s">
        <v>462</v>
      </c>
      <c r="I10" s="39" t="s">
        <v>462</v>
      </c>
      <c r="J10" s="39" t="s">
        <v>462</v>
      </c>
      <c r="K10" s="39" t="s">
        <v>462</v>
      </c>
      <c r="L10" s="39" t="s">
        <v>462</v>
      </c>
      <c r="R10" s="75" t="s">
        <v>462</v>
      </c>
      <c r="S10" s="39"/>
      <c r="T10" s="39" t="s">
        <v>462</v>
      </c>
      <c r="U10" s="1477" t="s">
        <v>462</v>
      </c>
      <c r="V10" s="75" t="s">
        <v>462</v>
      </c>
      <c r="W10" s="39"/>
      <c r="X10" s="39" t="s">
        <v>462</v>
      </c>
      <c r="Y10" s="39" t="s">
        <v>462</v>
      </c>
      <c r="Z10" s="39" t="s">
        <v>462</v>
      </c>
      <c r="AA10" s="39" t="s">
        <v>462</v>
      </c>
      <c r="AB10" s="39" t="s">
        <v>462</v>
      </c>
      <c r="AC10" s="1477" t="s">
        <v>462</v>
      </c>
    </row>
    <row r="11" spans="1:29" x14ac:dyDescent="0.2">
      <c r="A11" s="36"/>
      <c r="B11" s="37" t="str">
        <f>"Balance at"&amp;Update!$B$20</f>
        <v>Balance at 1 April 2025</v>
      </c>
      <c r="C11" s="747"/>
      <c r="D11" s="747"/>
      <c r="E11" s="747"/>
      <c r="F11" s="747"/>
      <c r="G11" s="747"/>
      <c r="H11" s="747"/>
      <c r="I11" s="747"/>
      <c r="J11" s="747"/>
      <c r="K11" s="747"/>
      <c r="L11" s="182"/>
      <c r="Q11" s="37" t="str">
        <f>"Balance at"&amp;Update!$C$20</f>
        <v>Balance at 1 April 2024</v>
      </c>
      <c r="R11" s="1478">
        <v>23391</v>
      </c>
      <c r="S11" s="1479">
        <v>0</v>
      </c>
      <c r="T11" s="1479">
        <v>1000</v>
      </c>
      <c r="U11" s="77">
        <f>SUM(R11:T11)</f>
        <v>24391</v>
      </c>
      <c r="V11" s="1478">
        <v>610648</v>
      </c>
      <c r="W11" s="1479">
        <v>0</v>
      </c>
      <c r="X11" s="1479">
        <v>18360</v>
      </c>
      <c r="Y11" s="1479">
        <v>0</v>
      </c>
      <c r="Z11" s="1479">
        <v>3021</v>
      </c>
      <c r="AA11" s="34">
        <f t="shared" ref="AA11:AA16" si="0">SUM(Y11:Z11)</f>
        <v>3021</v>
      </c>
      <c r="AB11" s="1479">
        <v>471183</v>
      </c>
      <c r="AC11" s="77">
        <f>+V11+W11+X11+AA11+AB11</f>
        <v>1103212</v>
      </c>
    </row>
    <row r="12" spans="1:29" x14ac:dyDescent="0.2">
      <c r="A12" s="36"/>
      <c r="B12" s="34" t="s">
        <v>266</v>
      </c>
      <c r="C12" s="747"/>
      <c r="D12" s="747"/>
      <c r="E12" s="747"/>
      <c r="F12" s="747"/>
      <c r="G12" s="747"/>
      <c r="H12" s="747"/>
      <c r="I12" s="747"/>
      <c r="J12" s="747"/>
      <c r="K12" s="747"/>
      <c r="L12" s="58"/>
      <c r="Q12" s="34" t="s">
        <v>2495</v>
      </c>
      <c r="R12" s="1478">
        <v>0</v>
      </c>
      <c r="S12" s="1479">
        <v>0</v>
      </c>
      <c r="T12" s="1479">
        <v>-1</v>
      </c>
      <c r="U12" s="77">
        <f t="shared" ref="U12:U16" si="1">SUM(R12:T12)</f>
        <v>-1</v>
      </c>
      <c r="V12" s="1478">
        <v>0</v>
      </c>
      <c r="W12" s="1479">
        <v>0</v>
      </c>
      <c r="X12" s="1479">
        <v>0</v>
      </c>
      <c r="Y12" s="1479">
        <v>0</v>
      </c>
      <c r="Z12" s="1479">
        <v>2</v>
      </c>
      <c r="AA12" s="34">
        <f t="shared" si="0"/>
        <v>2</v>
      </c>
      <c r="AB12" s="1479">
        <v>-1</v>
      </c>
      <c r="AC12" s="77">
        <f t="shared" ref="AC12:AC16" si="2">+V12+W12+X12+AA12+AB12</f>
        <v>1</v>
      </c>
    </row>
    <row r="13" spans="1:29" x14ac:dyDescent="0.2">
      <c r="A13" s="36"/>
      <c r="B13" s="34" t="s">
        <v>267</v>
      </c>
      <c r="C13" s="747"/>
      <c r="D13" s="747"/>
      <c r="E13" s="747"/>
      <c r="F13" s="747"/>
      <c r="G13" s="747"/>
      <c r="H13" s="747"/>
      <c r="I13" s="747"/>
      <c r="J13" s="747"/>
      <c r="K13" s="747"/>
      <c r="L13" s="58"/>
      <c r="M13" s="89"/>
      <c r="Q13" s="34" t="s">
        <v>267</v>
      </c>
      <c r="R13" s="1478">
        <v>3982</v>
      </c>
      <c r="S13" s="1479">
        <v>0</v>
      </c>
      <c r="T13" s="1479">
        <v>1551</v>
      </c>
      <c r="U13" s="77">
        <f t="shared" si="1"/>
        <v>5533</v>
      </c>
      <c r="V13" s="1478">
        <v>196674</v>
      </c>
      <c r="W13" s="1479">
        <v>0</v>
      </c>
      <c r="X13" s="1479">
        <v>210</v>
      </c>
      <c r="Y13" s="1479">
        <v>0</v>
      </c>
      <c r="Z13" s="1479">
        <v>4813</v>
      </c>
      <c r="AA13" s="34">
        <f t="shared" si="0"/>
        <v>4813</v>
      </c>
      <c r="AB13" s="1479">
        <v>521774</v>
      </c>
      <c r="AC13" s="77">
        <f t="shared" si="2"/>
        <v>723471</v>
      </c>
    </row>
    <row r="14" spans="1:29" x14ac:dyDescent="0.2">
      <c r="A14" s="36"/>
      <c r="B14" s="34" t="s">
        <v>268</v>
      </c>
      <c r="C14" s="747"/>
      <c r="D14" s="747"/>
      <c r="E14" s="747"/>
      <c r="F14" s="747"/>
      <c r="G14" s="747"/>
      <c r="H14" s="747"/>
      <c r="I14" s="747"/>
      <c r="J14" s="747"/>
      <c r="K14" s="747"/>
      <c r="L14" s="58"/>
      <c r="M14" s="340"/>
      <c r="N14" s="89" t="s">
        <v>1036</v>
      </c>
      <c r="Q14" s="34" t="s">
        <v>268</v>
      </c>
      <c r="R14" s="1478">
        <v>-317</v>
      </c>
      <c r="S14" s="1479">
        <v>0</v>
      </c>
      <c r="T14" s="1479">
        <v>-50</v>
      </c>
      <c r="U14" s="77">
        <f t="shared" si="1"/>
        <v>-367</v>
      </c>
      <c r="V14" s="1478">
        <v>-103906</v>
      </c>
      <c r="W14" s="1479">
        <v>0</v>
      </c>
      <c r="X14" s="1479">
        <v>-1064</v>
      </c>
      <c r="Y14" s="1479">
        <v>0</v>
      </c>
      <c r="Z14" s="1479">
        <v>-50</v>
      </c>
      <c r="AA14" s="34">
        <f t="shared" si="0"/>
        <v>-50</v>
      </c>
      <c r="AB14" s="1479">
        <v>-16771</v>
      </c>
      <c r="AC14" s="77">
        <f t="shared" si="2"/>
        <v>-121791</v>
      </c>
    </row>
    <row r="15" spans="1:29" x14ac:dyDescent="0.2">
      <c r="A15" s="36"/>
      <c r="B15" s="34" t="s">
        <v>269</v>
      </c>
      <c r="C15" s="747"/>
      <c r="D15" s="747"/>
      <c r="E15" s="747"/>
      <c r="F15" s="747"/>
      <c r="G15" s="747"/>
      <c r="H15" s="747"/>
      <c r="I15" s="747"/>
      <c r="J15" s="747"/>
      <c r="K15" s="747"/>
      <c r="L15" s="58"/>
      <c r="M15" s="246"/>
      <c r="Q15" s="34" t="s">
        <v>269</v>
      </c>
      <c r="R15" s="1478">
        <v>-2265</v>
      </c>
      <c r="S15" s="1479">
        <v>0</v>
      </c>
      <c r="T15" s="1479">
        <v>-40</v>
      </c>
      <c r="U15" s="77">
        <f t="shared" si="1"/>
        <v>-2305</v>
      </c>
      <c r="V15" s="1478">
        <v>-71917</v>
      </c>
      <c r="W15" s="1479">
        <v>0</v>
      </c>
      <c r="X15" s="1479">
        <v>-4696</v>
      </c>
      <c r="Y15" s="1479">
        <v>0</v>
      </c>
      <c r="Z15" s="1479">
        <v>-194</v>
      </c>
      <c r="AA15" s="34">
        <f t="shared" si="0"/>
        <v>-194</v>
      </c>
      <c r="AB15" s="1479">
        <v>-14292</v>
      </c>
      <c r="AC15" s="77">
        <f t="shared" si="2"/>
        <v>-91099</v>
      </c>
    </row>
    <row r="16" spans="1:29" x14ac:dyDescent="0.2">
      <c r="A16" s="36"/>
      <c r="B16" s="34" t="s">
        <v>270</v>
      </c>
      <c r="C16" s="747"/>
      <c r="D16" s="747"/>
      <c r="E16" s="747"/>
      <c r="F16" s="747"/>
      <c r="G16" s="747"/>
      <c r="H16" s="747"/>
      <c r="I16" s="747"/>
      <c r="J16" s="747"/>
      <c r="K16" s="747"/>
      <c r="L16" s="58"/>
      <c r="M16" s="340"/>
      <c r="N16" s="89" t="s">
        <v>1036</v>
      </c>
      <c r="Q16" s="34" t="s">
        <v>270</v>
      </c>
      <c r="R16" s="1478">
        <v>220</v>
      </c>
      <c r="S16" s="1479">
        <v>0</v>
      </c>
      <c r="T16" s="1479">
        <v>5</v>
      </c>
      <c r="U16" s="77">
        <f t="shared" si="1"/>
        <v>225</v>
      </c>
      <c r="V16" s="1478">
        <v>2493</v>
      </c>
      <c r="W16" s="1479">
        <v>0</v>
      </c>
      <c r="X16" s="1479">
        <v>820</v>
      </c>
      <c r="Y16" s="1479">
        <v>0</v>
      </c>
      <c r="Z16" s="1479">
        <v>-44</v>
      </c>
      <c r="AA16" s="34">
        <f t="shared" si="0"/>
        <v>-44</v>
      </c>
      <c r="AB16" s="1479">
        <v>8029</v>
      </c>
      <c r="AC16" s="77">
        <f t="shared" si="2"/>
        <v>11298</v>
      </c>
    </row>
    <row r="17" spans="1:32" ht="13.5" thickBot="1" x14ac:dyDescent="0.25">
      <c r="A17" s="36"/>
      <c r="B17" s="37" t="str">
        <f>"Balance at"&amp;Update!$B$22</f>
        <v>Balance at 31 March 2026</v>
      </c>
      <c r="C17" s="175"/>
      <c r="D17" s="175"/>
      <c r="E17" s="175"/>
      <c r="F17" s="175"/>
      <c r="G17" s="175"/>
      <c r="H17" s="175"/>
      <c r="I17" s="175"/>
      <c r="J17" s="175"/>
      <c r="K17" s="175"/>
      <c r="L17" s="175"/>
      <c r="Q17" s="37" t="str">
        <f>"Balance at"&amp;Update!$B$20</f>
        <v>Balance at 1 April 2025</v>
      </c>
      <c r="R17" s="86">
        <f t="shared" ref="R17:W17" si="3">SUM(R11:R16)</f>
        <v>25011</v>
      </c>
      <c r="S17" s="98">
        <f t="shared" si="3"/>
        <v>0</v>
      </c>
      <c r="T17" s="98">
        <f t="shared" si="3"/>
        <v>2465</v>
      </c>
      <c r="U17" s="1480">
        <f t="shared" si="3"/>
        <v>27476</v>
      </c>
      <c r="V17" s="86">
        <f t="shared" si="3"/>
        <v>633992</v>
      </c>
      <c r="W17" s="98">
        <f t="shared" si="3"/>
        <v>0</v>
      </c>
      <c r="X17" s="98">
        <f t="shared" ref="X17:AA17" si="4">SUM(X11:X16)</f>
        <v>13630</v>
      </c>
      <c r="Y17" s="98">
        <f t="shared" si="4"/>
        <v>0</v>
      </c>
      <c r="Z17" s="98">
        <f>SUM(Z11:Z16)</f>
        <v>7548</v>
      </c>
      <c r="AA17" s="98">
        <f t="shared" si="4"/>
        <v>7548</v>
      </c>
      <c r="AB17" s="98">
        <f>SUM(AB11:AB16)</f>
        <v>969922</v>
      </c>
      <c r="AC17" s="1480">
        <f>SUM(AC11:AC16)</f>
        <v>1625092</v>
      </c>
    </row>
    <row r="18" spans="1:32" ht="15" x14ac:dyDescent="0.2">
      <c r="A18" s="36"/>
      <c r="B18" s="19" t="s">
        <v>274</v>
      </c>
      <c r="C18" s="204">
        <f>SUMIFS(MAP!$N1314:$N1370,MAP!$D1314:$D1370,C$9,MAP!$E1314:$E1370,$B18)</f>
        <v>0</v>
      </c>
      <c r="E18" s="204">
        <f>SUMIFS(MAP!$N1314:$N1370,MAP!$D1314:$D1370,E$9,MAP!$E1314:$E1370,$B18)</f>
        <v>0</v>
      </c>
      <c r="F18" s="204">
        <f>SUMIFS(MAP!$N1314:$N1370,MAP!$D1314:$D1370,F$9,MAP!$E1314:$E1370,$B18)</f>
        <v>0</v>
      </c>
      <c r="H18" s="204">
        <f>SUMIFS(MAP!$N1314:$N1370,MAP!$D1314:$D1370,H$9,MAP!$E1314:$E1370,$B18)</f>
        <v>0</v>
      </c>
      <c r="J18" s="204">
        <f>SUMIFS(MAP!$N1314:$N1370,MAP!$D1314:$D1370,J$9,MAP!$E1314:$E1370,$B18)</f>
        <v>0</v>
      </c>
      <c r="Q18" s="34" t="s">
        <v>2495</v>
      </c>
      <c r="R18" s="1481">
        <f>SUMIFS(MAP!$T:$T,MAP!$D:$D,R$9,MAP!$E:$E,$Q18)</f>
        <v>0</v>
      </c>
      <c r="S18" s="1482">
        <f>SUMIFS(MAP!$T:$T,MAP!$D:$D,S$9,MAP!$E:$E,$Q18)</f>
        <v>0</v>
      </c>
      <c r="T18" s="1482">
        <f>SUMIFS(MAP!$T:$T,MAP!$D:$D,T$9,MAP!$E:$E,$Q18)</f>
        <v>0</v>
      </c>
      <c r="U18" s="77">
        <f>SUM(R18:T18)</f>
        <v>0</v>
      </c>
      <c r="V18" s="1481">
        <f>SUMIFS(MAP!$N:$N,MAP!$D:$D,V$9,MAP!$E:$E,$Q18)</f>
        <v>0</v>
      </c>
      <c r="W18" s="1482">
        <f>SUMIFS(MAP!$N:$N,MAP!$D:$D,W$9,MAP!$E:$E,$Q18)</f>
        <v>0</v>
      </c>
      <c r="X18" s="1482">
        <f>SUMIFS(MAP!$N:$N,MAP!$D:$D,X$9,MAP!$E:$E,$Q18)</f>
        <v>0</v>
      </c>
      <c r="Y18" s="1482">
        <f>SUMIFS(MAP!$N:$N,MAP!$D:$D,Y$9,MAP!$E:$E,$Q18)</f>
        <v>0</v>
      </c>
      <c r="Z18" s="1482">
        <f>SUMIFS(MAP!$N:$N,MAP!$D:$D,Z$9,MAP!$E:$E,$Q18)</f>
        <v>0</v>
      </c>
      <c r="AA18" s="34">
        <f>SUM(Y18:Z18)</f>
        <v>0</v>
      </c>
      <c r="AB18" s="1482">
        <f>SUMIFS(MAP!$N:$N,MAP!$D:$D,AB$9,MAP!$E:$E,$Q18)</f>
        <v>0</v>
      </c>
      <c r="AC18" s="77">
        <f>+V18+W18+X18+AA18+AB18</f>
        <v>0</v>
      </c>
    </row>
    <row r="19" spans="1:32" x14ac:dyDescent="0.2">
      <c r="A19" s="36"/>
      <c r="F19" s="34">
        <f>ROUND(SUMIF(MAP!$E$389:$E$406,$B19,MAP!$N$389:$N$406),0)</f>
        <v>0</v>
      </c>
      <c r="Q19" s="34" t="s">
        <v>267</v>
      </c>
      <c r="R19" s="1481">
        <f>SUMIFS(MAP!$T:$T,MAP!$D:$D,R$9,MAP!$E:$E,$Q19)</f>
        <v>0</v>
      </c>
      <c r="S19" s="1482">
        <f>SUMIFS(MAP!$T:$T,MAP!$D:$D,S$9,MAP!$E:$E,$Q19)</f>
        <v>0</v>
      </c>
      <c r="T19" s="1482">
        <f>SUMIFS(MAP!$T:$T,MAP!$D:$D,T$9,MAP!$E:$E,$Q19)</f>
        <v>0</v>
      </c>
      <c r="U19" s="77">
        <f>SUM(R19:T19)</f>
        <v>0</v>
      </c>
      <c r="V19" s="1481">
        <f>SUMIFS(MAP!$N:$N,MAP!$D:$D,V$9,MAP!$E:$E,$Q19)</f>
        <v>0</v>
      </c>
      <c r="W19" s="1482">
        <f>SUMIFS(MAP!$N:$N,MAP!$D:$D,W$9,MAP!$E:$E,$Q19)</f>
        <v>0</v>
      </c>
      <c r="X19" s="1482">
        <f>SUMIFS(MAP!$N:$N,MAP!$D:$D,X$9,MAP!$E:$E,$Q19)</f>
        <v>0</v>
      </c>
      <c r="Y19" s="1482">
        <f>SUMIFS(MAP!$N:$N,MAP!$D:$D,Y$9,MAP!$E:$E,$Q19)</f>
        <v>0</v>
      </c>
      <c r="Z19" s="1482">
        <f>SUMIFS(MAP!$N:$N,MAP!$D:$D,Z$9,MAP!$E:$E,$Q19)</f>
        <v>0</v>
      </c>
      <c r="AA19" s="34">
        <f>SUM(Y19:Z19)</f>
        <v>0</v>
      </c>
      <c r="AB19" s="1482">
        <f>SUMIFS(MAP!$N:$N,MAP!$D:$D,AB$9,MAP!$E:$E,$Q19)</f>
        <v>0</v>
      </c>
      <c r="AC19" s="77">
        <f t="shared" ref="AC19:AC22" si="5">+V19+W19+X19+AA19+AB19</f>
        <v>0</v>
      </c>
    </row>
    <row r="20" spans="1:32" x14ac:dyDescent="0.2">
      <c r="A20" s="36"/>
      <c r="Q20" s="34" t="s">
        <v>268</v>
      </c>
      <c r="R20" s="1481">
        <f>SUMIFS(MAP!$T:$T,MAP!$D:$D,R$9,MAP!$E:$E,$Q20)</f>
        <v>0</v>
      </c>
      <c r="S20" s="1482">
        <f>SUMIFS(MAP!$T:$T,MAP!$D:$D,S$9,MAP!$E:$E,$Q20)</f>
        <v>0</v>
      </c>
      <c r="T20" s="1482">
        <f>SUMIFS(MAP!$T:$T,MAP!$D:$D,T$9,MAP!$E:$E,$Q20)</f>
        <v>0</v>
      </c>
      <c r="U20" s="77">
        <f>SUM(R20:T20)</f>
        <v>0</v>
      </c>
      <c r="V20" s="1481">
        <f>SUMIFS(MAP!$N:$N,MAP!$D:$D,V$9,MAP!$E:$E,$Q20)</f>
        <v>0</v>
      </c>
      <c r="W20" s="1482">
        <f>SUMIFS(MAP!$N:$N,MAP!$D:$D,W$9,MAP!$E:$E,$Q20)</f>
        <v>0</v>
      </c>
      <c r="X20" s="1482">
        <f>SUMIFS(MAP!$N:$N,MAP!$D:$D,X$9,MAP!$E:$E,$Q20)</f>
        <v>0</v>
      </c>
      <c r="Y20" s="1482">
        <f>SUMIFS(MAP!$N:$N,MAP!$D:$D,Y$9,MAP!$E:$E,$Q20)</f>
        <v>0</v>
      </c>
      <c r="Z20" s="1482">
        <f>SUMIFS(MAP!$N:$N,MAP!$D:$D,Z$9,MAP!$E:$E,$Q20)</f>
        <v>0</v>
      </c>
      <c r="AA20" s="34">
        <f>SUM(Y20:Z20)</f>
        <v>0</v>
      </c>
      <c r="AB20" s="1482">
        <f>SUMIFS(MAP!$N:$N,MAP!$D:$D,AB$9,MAP!$E:$E,$Q20)</f>
        <v>0</v>
      </c>
      <c r="AC20" s="77">
        <f t="shared" si="5"/>
        <v>0</v>
      </c>
      <c r="AD20" s="340">
        <f>(+U19+U20)-('Note 3a'!$D$26+'Note 3b &amp; 3c'!$D$31)</f>
        <v>0</v>
      </c>
      <c r="AE20" s="340">
        <f>(+AC19+AC20)-('Note 3a'!$F$26+'Note 3b &amp; 3c'!$F$31)</f>
        <v>0</v>
      </c>
      <c r="AF20" s="89" t="s">
        <v>1036</v>
      </c>
    </row>
    <row r="21" spans="1:32" x14ac:dyDescent="0.2">
      <c r="A21" s="36"/>
      <c r="B21" s="37" t="s">
        <v>221</v>
      </c>
      <c r="Q21" s="34" t="s">
        <v>269</v>
      </c>
      <c r="R21" s="1481">
        <f>SUMIFS(MAP!$T:$T,MAP!$D:$D,R$9,MAP!$E:$E,$Q21)</f>
        <v>0</v>
      </c>
      <c r="S21" s="1482">
        <f>SUMIFS(MAP!$T:$T,MAP!$D:$D,S$9,MAP!$E:$E,$Q21)</f>
        <v>0</v>
      </c>
      <c r="T21" s="1482">
        <f>SUMIFS(MAP!$T:$T,MAP!$D:$D,T$9,MAP!$E:$E,$Q21)</f>
        <v>0</v>
      </c>
      <c r="U21" s="77">
        <f>SUM(R21:T21)</f>
        <v>0</v>
      </c>
      <c r="V21" s="1481">
        <f>SUMIFS(MAP!$N:$N,MAP!$D:$D,V$9,MAP!$E:$E,$Q21)</f>
        <v>0</v>
      </c>
      <c r="W21" s="1482">
        <f>SUMIFS(MAP!$N:$N,MAP!$D:$D,W$9,MAP!$E:$E,$Q21)</f>
        <v>0</v>
      </c>
      <c r="X21" s="1482">
        <f>SUMIFS(MAP!$N:$N,MAP!$D:$D,X$9,MAP!$E:$E,$Q21)</f>
        <v>0</v>
      </c>
      <c r="Y21" s="1482">
        <f>SUMIFS(MAP!$N:$N,MAP!$D:$D,Y$9,MAP!$E:$E,$Q21)</f>
        <v>0</v>
      </c>
      <c r="Z21" s="1482">
        <f>SUMIFS(MAP!$N:$N,MAP!$D:$D,Z$9,MAP!$E:$E,$Q21)</f>
        <v>0</v>
      </c>
      <c r="AA21" s="34">
        <f>SUM(Y21:Z21)</f>
        <v>0</v>
      </c>
      <c r="AB21" s="1482">
        <f>SUMIFS(MAP!$N:$N,MAP!$D:$D,AB$9,MAP!$E:$E,$Q21)</f>
        <v>0</v>
      </c>
      <c r="AC21" s="77">
        <f t="shared" si="5"/>
        <v>0</v>
      </c>
      <c r="AD21" s="340">
        <f>(U22)-('Note 3a'!$D$27+'Note 3b &amp; 3c'!$D$32)</f>
        <v>0</v>
      </c>
      <c r="AE21" s="340">
        <f>(AC22)-('Note 3a'!$F$27+'Note 3b &amp; 3c'!$F$32)</f>
        <v>0</v>
      </c>
      <c r="AF21" s="89" t="s">
        <v>1036</v>
      </c>
    </row>
    <row r="22" spans="1:32" x14ac:dyDescent="0.2">
      <c r="A22" s="36"/>
      <c r="Q22" s="34" t="s">
        <v>270</v>
      </c>
      <c r="R22" s="1481">
        <f>SUMIFS(MAP!$T:$T,MAP!$D:$D,R$9,MAP!$E:$E,$Q22)</f>
        <v>0</v>
      </c>
      <c r="S22" s="1828">
        <f>SUMIFS(MAP!$T:$T,MAP!$D:$D,S$9,MAP!$E:$E,$Q22)</f>
        <v>0</v>
      </c>
      <c r="T22" s="1482">
        <f>SUMIFS(MAP!$T:$T,MAP!$D:$D,T$9,MAP!$E:$E,$Q22)</f>
        <v>0</v>
      </c>
      <c r="U22" s="77">
        <f>SUM(R22:T22)</f>
        <v>0</v>
      </c>
      <c r="V22" s="1481">
        <f>SUMIFS(MAP!$N:$N,MAP!$D:$D,V$9,MAP!$E:$E,$Q22)</f>
        <v>0</v>
      </c>
      <c r="W22" s="1828">
        <f>SUMIFS(MAP!$N:$N,MAP!$D:$D,W$9,MAP!$E:$E,$Q22)</f>
        <v>0</v>
      </c>
      <c r="X22" s="1482">
        <f>SUMIFS(MAP!$N:$N,MAP!$D:$D,X$9,MAP!$E:$E,$Q22)</f>
        <v>0</v>
      </c>
      <c r="Y22" s="1482">
        <f>SUMIFS(MAP!$N:$N,MAP!$D:$D,Y$9,MAP!$E:$E,$Q22)</f>
        <v>0</v>
      </c>
      <c r="Z22" s="1482">
        <f>SUMIFS(MAP!$N:$N,MAP!$D:$D,Z$9,MAP!$E:$E,$Q22)</f>
        <v>0</v>
      </c>
      <c r="AA22" s="34">
        <f>SUM(Y22:Z22)</f>
        <v>0</v>
      </c>
      <c r="AB22" s="1482">
        <f>SUMIFS(MAP!$N:$N,MAP!$D:$D,AB$9,MAP!$E:$E,$Q22)</f>
        <v>0</v>
      </c>
      <c r="AC22" s="77">
        <f t="shared" si="5"/>
        <v>0</v>
      </c>
    </row>
    <row r="23" spans="1:32" ht="20.25" customHeight="1" thickBot="1" x14ac:dyDescent="0.25">
      <c r="A23" s="36"/>
      <c r="C23" s="203" t="s">
        <v>632</v>
      </c>
      <c r="D23" s="203" t="s">
        <v>272</v>
      </c>
      <c r="E23" s="203" t="s">
        <v>633</v>
      </c>
      <c r="F23" s="203" t="s">
        <v>273</v>
      </c>
      <c r="G23" s="203" t="s">
        <v>938</v>
      </c>
      <c r="H23" s="203" t="s">
        <v>831</v>
      </c>
      <c r="I23" s="203" t="s">
        <v>832</v>
      </c>
      <c r="J23" s="203" t="s">
        <v>2051</v>
      </c>
      <c r="K23" s="203" t="s">
        <v>1065</v>
      </c>
      <c r="L23" s="203" t="s">
        <v>146</v>
      </c>
      <c r="Q23" s="37" t="str">
        <f>"Balance at"&amp;Update!$B$22</f>
        <v>Balance at 31 March 2026</v>
      </c>
      <c r="R23" s="1484">
        <f t="shared" ref="R23:AA23" si="6">SUM(R17:R22)</f>
        <v>25011</v>
      </c>
      <c r="S23" s="1485">
        <f t="shared" si="6"/>
        <v>0</v>
      </c>
      <c r="T23" s="1485">
        <f t="shared" si="6"/>
        <v>2465</v>
      </c>
      <c r="U23" s="1486">
        <f t="shared" si="6"/>
        <v>27476</v>
      </c>
      <c r="V23" s="1484">
        <f t="shared" si="6"/>
        <v>633992</v>
      </c>
      <c r="W23" s="1485">
        <f>SUM(W17:W22)</f>
        <v>0</v>
      </c>
      <c r="X23" s="1485">
        <f t="shared" si="6"/>
        <v>13630</v>
      </c>
      <c r="Y23" s="1485">
        <f t="shared" si="6"/>
        <v>0</v>
      </c>
      <c r="Z23" s="1485">
        <f t="shared" si="6"/>
        <v>7548</v>
      </c>
      <c r="AA23" s="1485">
        <f t="shared" si="6"/>
        <v>7548</v>
      </c>
      <c r="AB23" s="1485">
        <f>SUM(AB17:AB22)</f>
        <v>969922</v>
      </c>
      <c r="AC23" s="1486">
        <f>SUM(AC17:AC22)</f>
        <v>1625092</v>
      </c>
    </row>
    <row r="24" spans="1:32" x14ac:dyDescent="0.2">
      <c r="A24" s="36"/>
      <c r="C24" s="39" t="s">
        <v>462</v>
      </c>
      <c r="D24" s="39" t="s">
        <v>462</v>
      </c>
      <c r="E24" s="39" t="s">
        <v>462</v>
      </c>
      <c r="F24" s="39" t="s">
        <v>462</v>
      </c>
      <c r="G24" s="39" t="s">
        <v>462</v>
      </c>
      <c r="H24" s="39" t="s">
        <v>462</v>
      </c>
      <c r="I24" s="39" t="s">
        <v>462</v>
      </c>
      <c r="J24" s="39" t="s">
        <v>462</v>
      </c>
      <c r="K24" s="39" t="s">
        <v>462</v>
      </c>
      <c r="L24" s="39" t="s">
        <v>462</v>
      </c>
      <c r="Q24" s="123" t="s">
        <v>216</v>
      </c>
      <c r="R24" s="1481">
        <f>SUMIFS(MAP!$T:$T,MAP!$D:$D,R$9,MAP!$E:$E,$Q24)</f>
        <v>0</v>
      </c>
      <c r="S24" s="1482">
        <f>SUMIFS(MAP!$T:$T,MAP!$D:$D,S$9,MAP!$E:$E,$Q24)</f>
        <v>0</v>
      </c>
      <c r="T24" s="1482">
        <f>SUMIFS(MAP!$T:$T,MAP!$D:$D,T$9,MAP!$E:$E,$Q24)</f>
        <v>0</v>
      </c>
      <c r="U24" s="1483">
        <f>SUM(R24:T24)</f>
        <v>0</v>
      </c>
      <c r="V24" s="1481">
        <f>SUMIFS(MAP!$N:$N,MAP!$D:$D,V$9,MAP!$E:$E,$Q24)</f>
        <v>0</v>
      </c>
      <c r="W24" s="1482">
        <f>SUMIFS(MAP!$N:$N,MAP!$D:$D,W$9,MAP!$E:$E,$Q24)</f>
        <v>0</v>
      </c>
      <c r="X24" s="1482">
        <f>SUMIFS(MAP!$N:$N,MAP!$D:$D,X$9,MAP!$E:$E,$Q24)</f>
        <v>0</v>
      </c>
      <c r="Y24" s="1482">
        <f>SUMIFS(MAP!$N:$N,MAP!$D:$D,Y$9,MAP!$E:$E,$Q24)</f>
        <v>0</v>
      </c>
      <c r="Z24" s="1482">
        <f>SUMIFS(MAP!$N:$N,MAP!$D:$D,Z$9,MAP!$E:$E,$Q24)</f>
        <v>0</v>
      </c>
      <c r="AA24" s="1482">
        <f>SUM(Y24:Z24)</f>
        <v>0</v>
      </c>
      <c r="AB24" s="1482">
        <f>SUMIFS(MAP!$N:$N,MAP!$D:$D,AB$9,MAP!$E:$E,$Q24)</f>
        <v>0</v>
      </c>
      <c r="AC24" s="77">
        <f>+V24+W24+X24+AA24+AB24</f>
        <v>0</v>
      </c>
    </row>
    <row r="25" spans="1:32" ht="25.5" x14ac:dyDescent="0.2">
      <c r="A25" s="36"/>
      <c r="B25" s="123" t="s">
        <v>216</v>
      </c>
      <c r="C25" s="747"/>
      <c r="D25" s="747"/>
      <c r="E25" s="747"/>
      <c r="F25" s="747"/>
      <c r="G25" s="747"/>
      <c r="H25" s="747"/>
      <c r="I25" s="747"/>
      <c r="J25" s="747"/>
      <c r="K25" s="747"/>
      <c r="L25" s="58"/>
      <c r="Q25" s="125" t="s">
        <v>218</v>
      </c>
      <c r="R25" s="1481">
        <f>SUMIFS(MAP!$T:$T,MAP!$D:$D,R$9,MAP!$E:$E,$Q25)</f>
        <v>0</v>
      </c>
      <c r="S25" s="1482">
        <f>SUMIFS(MAP!$T:$T,MAP!$D:$D,S$9,MAP!$E:$E,$Q25)</f>
        <v>0</v>
      </c>
      <c r="T25" s="1482">
        <f>SUMIFS(MAP!$T:$T,MAP!$D:$D,T$9,MAP!$E:$E,$Q25)</f>
        <v>0</v>
      </c>
      <c r="U25" s="1483">
        <f>SUM(R25:T25)</f>
        <v>0</v>
      </c>
      <c r="V25" s="1481">
        <f>SUMIFS(MAP!$N:$N,MAP!$D:$D,V$9,MAP!$E:$E,$Q25)</f>
        <v>0</v>
      </c>
      <c r="W25" s="1482">
        <f>SUMIFS(MAP!$N:$N,MAP!$D:$D,W$9,MAP!$E:$E,$Q25)</f>
        <v>0</v>
      </c>
      <c r="X25" s="1482">
        <f>SUMIFS(MAP!$N:$N,MAP!$D:$D,X$9,MAP!$E:$E,$Q25)</f>
        <v>0</v>
      </c>
      <c r="Y25" s="1482">
        <f>SUMIFS(MAP!$N:$N,MAP!$D:$D,Y$9,MAP!$E:$E,$Q25)</f>
        <v>0</v>
      </c>
      <c r="Z25" s="1482">
        <f>SUMIFS(MAP!$N:$N,MAP!$D:$D,Z$9,MAP!$E:$E,$Q25)</f>
        <v>0</v>
      </c>
      <c r="AA25" s="1482">
        <f>SUM(Y25:Z25)</f>
        <v>0</v>
      </c>
      <c r="AB25" s="1482">
        <f>SUMIFS(MAP!$N:$N,MAP!$D:$D,AB$9,MAP!$E:$E,$Q25)</f>
        <v>0</v>
      </c>
      <c r="AC25" s="77">
        <f t="shared" ref="AC25:AC26" si="7">+V25+W25+X25+AA25+AB25</f>
        <v>0</v>
      </c>
    </row>
    <row r="26" spans="1:32" x14ac:dyDescent="0.2">
      <c r="A26" s="36"/>
      <c r="B26" s="125" t="s">
        <v>218</v>
      </c>
      <c r="C26" s="747"/>
      <c r="D26" s="747"/>
      <c r="E26" s="747"/>
      <c r="F26" s="747"/>
      <c r="G26" s="747"/>
      <c r="H26" s="747"/>
      <c r="I26" s="747"/>
      <c r="J26" s="747"/>
      <c r="K26" s="747"/>
      <c r="L26" s="58"/>
      <c r="Q26" s="123" t="s">
        <v>217</v>
      </c>
      <c r="R26" s="1481">
        <f>SUMIFS(MAP!$T:$T,MAP!$D:$D,R$9,MAP!$E:$E,$Q26)</f>
        <v>0</v>
      </c>
      <c r="S26" s="1828">
        <f>SUMIFS(MAP!$T:$T,MAP!$D:$D,S$9,MAP!$E:$E,$Q26)</f>
        <v>0</v>
      </c>
      <c r="T26" s="1482">
        <f>SUMIFS(MAP!$T:$T,MAP!$D:$D,T$9,MAP!$E:$E,$Q26)</f>
        <v>0</v>
      </c>
      <c r="U26" s="1483">
        <f>SUM(R26:T26)</f>
        <v>0</v>
      </c>
      <c r="V26" s="1481">
        <f>SUMIFS(MAP!$N:$N,MAP!$D:$D,V$9,MAP!$E:$E,$Q26)</f>
        <v>0</v>
      </c>
      <c r="W26" s="1828">
        <f>SUMIFS(MAP!$N:$N,MAP!$D:$D,W$9,MAP!$E:$E,$Q26)</f>
        <v>0</v>
      </c>
      <c r="X26" s="1482">
        <f>SUMIFS(MAP!$N:$N,MAP!$D:$D,X$9,MAP!$E:$E,$Q26)</f>
        <v>0</v>
      </c>
      <c r="Y26" s="1482">
        <f>SUMIFS(MAP!$N:$N,MAP!$D:$D,Y$9,MAP!$E:$E,$Q26)</f>
        <v>0</v>
      </c>
      <c r="Z26" s="1482">
        <f>SUMIFS(MAP!$N:$N,MAP!$D:$D,Z$9,MAP!$E:$E,$Q26)</f>
        <v>0</v>
      </c>
      <c r="AA26" s="1482">
        <f>SUM(Y26:Z26)</f>
        <v>0</v>
      </c>
      <c r="AB26" s="1482">
        <f>SUMIFS(MAP!$N:$N,MAP!$D:$D,AB$9,MAP!$E:$E,$Q26)</f>
        <v>0</v>
      </c>
      <c r="AC26" s="77">
        <f t="shared" si="7"/>
        <v>0</v>
      </c>
    </row>
    <row r="27" spans="1:32" ht="13.5" thickBot="1" x14ac:dyDescent="0.25">
      <c r="A27" s="36"/>
      <c r="B27" s="123" t="s">
        <v>217</v>
      </c>
      <c r="C27" s="747"/>
      <c r="D27" s="747"/>
      <c r="E27" s="747"/>
      <c r="F27" s="747"/>
      <c r="G27" s="747"/>
      <c r="H27" s="747"/>
      <c r="I27" s="747"/>
      <c r="J27" s="747"/>
      <c r="K27" s="747"/>
      <c r="L27" s="58"/>
      <c r="Q27" s="37" t="str">
        <f>Q23</f>
        <v>Balance at 31 March 2026</v>
      </c>
      <c r="R27" s="1487">
        <f>SUM(R24:R26)</f>
        <v>0</v>
      </c>
      <c r="S27" s="53">
        <f t="shared" ref="S27:AC27" si="8">SUM(S24:S26)</f>
        <v>0</v>
      </c>
      <c r="T27" s="53">
        <f t="shared" si="8"/>
        <v>0</v>
      </c>
      <c r="U27" s="1488">
        <f t="shared" si="8"/>
        <v>0</v>
      </c>
      <c r="V27" s="1487">
        <f t="shared" si="8"/>
        <v>0</v>
      </c>
      <c r="W27" s="53">
        <f t="shared" si="8"/>
        <v>0</v>
      </c>
      <c r="X27" s="53">
        <f t="shared" si="8"/>
        <v>0</v>
      </c>
      <c r="Y27" s="53">
        <f t="shared" si="8"/>
        <v>0</v>
      </c>
      <c r="Z27" s="53">
        <f t="shared" si="8"/>
        <v>0</v>
      </c>
      <c r="AA27" s="53">
        <f t="shared" si="8"/>
        <v>0</v>
      </c>
      <c r="AB27" s="53">
        <f t="shared" si="8"/>
        <v>0</v>
      </c>
      <c r="AC27" s="1488">
        <f t="shared" si="8"/>
        <v>0</v>
      </c>
    </row>
    <row r="28" spans="1:32" ht="13.5" thickBot="1" x14ac:dyDescent="0.25">
      <c r="A28" s="36"/>
      <c r="B28" s="37" t="str">
        <f>B17</f>
        <v>Balance at 31 March 2026</v>
      </c>
      <c r="C28" s="175"/>
      <c r="D28" s="175"/>
      <c r="E28" s="175"/>
      <c r="F28" s="175"/>
      <c r="G28" s="175"/>
      <c r="H28" s="175"/>
      <c r="I28" s="175"/>
      <c r="J28" s="175"/>
      <c r="K28" s="175"/>
      <c r="L28" s="175"/>
      <c r="R28" s="1467" t="str">
        <f t="shared" ref="R28:AC28" si="9">IF(R23=R27,"OK","ERROR")</f>
        <v>ERROR</v>
      </c>
      <c r="S28" s="1467" t="str">
        <f t="shared" si="9"/>
        <v>OK</v>
      </c>
      <c r="T28" s="1467" t="str">
        <f t="shared" si="9"/>
        <v>ERROR</v>
      </c>
      <c r="U28" s="1467" t="str">
        <f t="shared" si="9"/>
        <v>ERROR</v>
      </c>
      <c r="V28" s="1467" t="str">
        <f t="shared" si="9"/>
        <v>ERROR</v>
      </c>
      <c r="W28" s="1467" t="str">
        <f t="shared" si="9"/>
        <v>OK</v>
      </c>
      <c r="X28" s="1467" t="str">
        <f t="shared" si="9"/>
        <v>ERROR</v>
      </c>
      <c r="Y28" s="1467" t="str">
        <f t="shared" si="9"/>
        <v>OK</v>
      </c>
      <c r="Z28" s="1467" t="str">
        <f t="shared" si="9"/>
        <v>ERROR</v>
      </c>
      <c r="AA28" s="1467" t="str">
        <f t="shared" si="9"/>
        <v>ERROR</v>
      </c>
      <c r="AB28" s="1467" t="str">
        <f t="shared" si="9"/>
        <v>ERROR</v>
      </c>
      <c r="AC28" s="1467" t="str">
        <f t="shared" si="9"/>
        <v>ERROR</v>
      </c>
    </row>
    <row r="29" spans="1:32" x14ac:dyDescent="0.2">
      <c r="A29" s="36"/>
      <c r="C29" s="204">
        <f>SUMIFS(MAP!$N:$N,MAP!$D:$D,C$23,MAP!$E:$E,$B29)</f>
        <v>0</v>
      </c>
      <c r="D29" s="204">
        <f>SUMIFS(MAP!$N:$N,MAP!$D:$D,D$23,MAP!$E:$E,$B29)</f>
        <v>0</v>
      </c>
      <c r="E29" s="204">
        <f>SUMIFS(MAP!$N:$N,MAP!$D:$D,E$23,MAP!$E:$E,$B29)</f>
        <v>0</v>
      </c>
      <c r="F29" s="204">
        <f>SUMIFS(MAP!$N:$N,MAP!$D:$D,F$23,MAP!$E:$E,$B29)</f>
        <v>0</v>
      </c>
      <c r="G29" s="204">
        <f>SUMIFS(MAP!$N:$N,MAP!$D:$D,G$23,MAP!$E:$E,$B29)</f>
        <v>0</v>
      </c>
      <c r="H29" s="204">
        <f>SUMIFS(MAP!$N:$N,MAP!$D:$D,H$23,MAP!$E:$E,$B29)</f>
        <v>0</v>
      </c>
      <c r="I29" s="204">
        <f>SUMIFS(MAP!$N:$N,MAP!$D:$D,I$23,MAP!$E:$E,$B29)</f>
        <v>0</v>
      </c>
      <c r="J29" s="204"/>
      <c r="K29" s="204">
        <f>SUMIFS(MAP!$N:$N,MAP!$D:$D,K$23,MAP!$E:$E,$B29)</f>
        <v>0</v>
      </c>
      <c r="L29" s="1467" t="str">
        <f>IF(L17=L28,"OK","ERROR")</f>
        <v>OK</v>
      </c>
      <c r="U29" s="56"/>
    </row>
    <row r="30" spans="1:32" x14ac:dyDescent="0.2">
      <c r="A30" s="36"/>
      <c r="B30" s="56"/>
      <c r="C30" s="204">
        <f>C28-C17</f>
        <v>0</v>
      </c>
      <c r="D30" s="204">
        <f t="shared" ref="D30:I30" si="10">D28-D17</f>
        <v>0</v>
      </c>
      <c r="E30" s="204">
        <f t="shared" si="10"/>
        <v>0</v>
      </c>
      <c r="F30" s="204">
        <f t="shared" si="10"/>
        <v>0</v>
      </c>
      <c r="G30" s="204">
        <f t="shared" si="10"/>
        <v>0</v>
      </c>
      <c r="H30" s="204">
        <f t="shared" si="10"/>
        <v>0</v>
      </c>
      <c r="I30" s="204">
        <f t="shared" si="10"/>
        <v>0</v>
      </c>
      <c r="J30" s="204"/>
      <c r="K30" s="204">
        <f>K28-K17</f>
        <v>0</v>
      </c>
      <c r="L30" s="56"/>
      <c r="Q30" s="34" t="s">
        <v>274</v>
      </c>
      <c r="R30" s="204">
        <f>SUMIFS(MAP!$T1314:$T1370,MAP!$D1314:$D1370,R$9,MAP!$E1314:$E1370,$Q30)</f>
        <v>0</v>
      </c>
      <c r="S30" s="204">
        <f>SUMIFS(MAP!$T1314:$T1370,MAP!$D1314:$D1370,S$9,MAP!$E1314:$E1370,$Q30)</f>
        <v>0</v>
      </c>
      <c r="T30" s="204">
        <f>SUMIFS(MAP!$T1314:$T1370,MAP!$D1314:$D1370,T$9,MAP!$E1314:$E1370,$B18)</f>
        <v>0</v>
      </c>
      <c r="U30" s="204">
        <f>SUM(R30:T30)</f>
        <v>0</v>
      </c>
      <c r="V30" s="204">
        <f>SUMIFS(MAP!$N1314:$N1370,MAP!$D1314:$D1370,V$9,MAP!$E1314:$E1370,$Q30)</f>
        <v>0</v>
      </c>
      <c r="W30" s="204">
        <f>SUMIFS(MAP!$N1314:$N1370,MAP!$D1314:$D1370,W$9,MAP!$E1314:$E1370,$Q30)</f>
        <v>0</v>
      </c>
      <c r="X30" s="204">
        <f>SUMIFS(MAP!$N1314:$N1370,MAP!$D1314:$D1370,X$9,MAP!$E1314:$E1370,$Q30)</f>
        <v>0</v>
      </c>
      <c r="Z30" s="204">
        <f>SUMIFS(MAP!$N1314:$N1370,MAP!$D1314:$D1370,Z$9,MAP!$E1314:$E1370,$Q30)</f>
        <v>0</v>
      </c>
      <c r="AA30" s="204">
        <f>SUMIFS(MAP!$N1314:$N1370,MAP!$D1314:$D1370,Z$9,MAP!$E1314:$E1370,$Q30)</f>
        <v>0</v>
      </c>
      <c r="AB30" s="204">
        <f>SUMIFS(MAP!$N1314:$N1370,MAP!$D1314:$D1370,AB$9,MAP!$E1314:$E1370,$Q30)</f>
        <v>0</v>
      </c>
      <c r="AC30" s="204">
        <f>SUM(V30:Z30)+AB30</f>
        <v>0</v>
      </c>
    </row>
    <row r="31" spans="1:32" x14ac:dyDescent="0.2">
      <c r="A31" s="36"/>
      <c r="B31" s="56"/>
      <c r="C31" s="56"/>
      <c r="D31" s="56"/>
      <c r="E31" s="56"/>
      <c r="F31" s="56"/>
      <c r="G31" s="56"/>
      <c r="H31" s="56"/>
      <c r="I31" s="56"/>
      <c r="J31" s="56"/>
      <c r="K31" s="56"/>
      <c r="L31" s="56"/>
    </row>
    <row r="32" spans="1:32" x14ac:dyDescent="0.2">
      <c r="A32" s="36"/>
      <c r="B32" s="56"/>
      <c r="C32" s="56"/>
      <c r="D32" s="56"/>
      <c r="E32" s="56"/>
      <c r="F32" s="56"/>
      <c r="G32" s="56"/>
      <c r="H32" s="56"/>
      <c r="I32" s="56"/>
      <c r="J32" s="56"/>
      <c r="K32" s="56"/>
      <c r="L32" s="56"/>
      <c r="R32" s="204">
        <f t="shared" ref="R32:AC32" si="11">+R23-R30</f>
        <v>25011</v>
      </c>
      <c r="S32" s="204">
        <f t="shared" ref="S32" si="12">+S23-S30</f>
        <v>0</v>
      </c>
      <c r="T32" s="204">
        <f t="shared" si="11"/>
        <v>2465</v>
      </c>
      <c r="U32" s="204">
        <f t="shared" si="11"/>
        <v>27476</v>
      </c>
      <c r="V32" s="204">
        <f t="shared" si="11"/>
        <v>633992</v>
      </c>
      <c r="W32" s="204">
        <f t="shared" ref="W32" si="13">+W23-W30</f>
        <v>0</v>
      </c>
      <c r="X32" s="204">
        <f t="shared" si="11"/>
        <v>13630</v>
      </c>
      <c r="Y32" s="204">
        <f t="shared" si="11"/>
        <v>0</v>
      </c>
      <c r="Z32" s="204">
        <f t="shared" si="11"/>
        <v>7548</v>
      </c>
      <c r="AA32" s="204">
        <f t="shared" si="11"/>
        <v>7548</v>
      </c>
      <c r="AB32" s="204">
        <f t="shared" si="11"/>
        <v>969922</v>
      </c>
      <c r="AC32" s="204">
        <f t="shared" si="11"/>
        <v>1625092</v>
      </c>
    </row>
    <row r="33" spans="1:29" x14ac:dyDescent="0.2">
      <c r="A33" s="229">
        <f>SUMIF(Update!$B$33:$B$106,B33,Update!$A$33:$A$106)</f>
        <v>0</v>
      </c>
      <c r="B33" s="47" t="s">
        <v>1903</v>
      </c>
      <c r="D33" s="38" t="str">
        <f>Update!$C$37</f>
        <v>2024-25</v>
      </c>
      <c r="E33" s="56"/>
      <c r="F33" s="56"/>
      <c r="G33" s="56"/>
      <c r="H33" s="56"/>
      <c r="I33" s="56"/>
      <c r="J33" s="56"/>
      <c r="K33" s="56"/>
      <c r="L33" s="56"/>
    </row>
    <row r="34" spans="1:29" x14ac:dyDescent="0.2">
      <c r="A34" s="36"/>
      <c r="B34" s="56"/>
      <c r="C34" s="56"/>
      <c r="D34" s="56"/>
      <c r="E34" s="56"/>
      <c r="F34" s="56"/>
      <c r="G34" s="56"/>
      <c r="H34" s="56"/>
      <c r="I34" s="56"/>
      <c r="J34" s="56"/>
      <c r="K34" s="56"/>
      <c r="L34" s="56"/>
      <c r="Q34" s="34" t="s">
        <v>274</v>
      </c>
      <c r="R34" s="204">
        <f>SUMIFS(MAP!$T1371:$T1410,MAP!$D1371:$D1410,R$9,MAP!$E1371:$E1410,$Q34)</f>
        <v>0</v>
      </c>
      <c r="S34" s="204">
        <f>SUMIFS(MAP!$T1371:$T1410,MAP!$D1371:$D1410,S$9,MAP!$E1371:$E1410,$Q34)</f>
        <v>0</v>
      </c>
      <c r="T34" s="204">
        <f>SUMIFS(MAP!$T1371:$T1410,MAP!$D1371:$D1410,T$9,MAP!$E1371:$E1410,$Q34)</f>
        <v>0</v>
      </c>
      <c r="U34" s="204">
        <f>SUM(R34:T34)</f>
        <v>0</v>
      </c>
      <c r="V34" s="204">
        <f>SUMIFS(MAP!$N1371:$N1410,MAP!$D1371:$D1410,V$9,MAP!$E1371:$E1410,$Q34)</f>
        <v>0</v>
      </c>
      <c r="W34" s="204">
        <f>SUMIFS(MAP!$N1371:$N1410,MAP!$D1371:$D1410,W$9,MAP!$E1371:$E1410,$Q34)</f>
        <v>0</v>
      </c>
      <c r="X34" s="204">
        <f>SUMIFS(MAP!$N1371:$N1410,MAP!$D1371:$D1410,X$9,MAP!$E1371:$E1410,$Q34)</f>
        <v>0</v>
      </c>
      <c r="Z34" s="204">
        <f>SUMIFS(MAP!$N1371:$N1410,MAP!$D1371:$D1410,Z$9,MAP!$E1371:$E1410,$Q34)</f>
        <v>0</v>
      </c>
      <c r="AA34" s="204">
        <f>SUMIFS(MAP!$N1371:$N1410,MAP!$D1371:$D1410,Z$9,MAP!$E1371:$E1410,$Q34)</f>
        <v>0</v>
      </c>
      <c r="AB34" s="204">
        <f>SUMIFS(MAP!$N1371:$N1410,MAP!$D1371:$D1410,AB$9,MAP!$E1371:$E1410,$Q34)</f>
        <v>0</v>
      </c>
      <c r="AC34" s="204">
        <f>SUM(V34:Z34)+AB34</f>
        <v>0</v>
      </c>
    </row>
    <row r="35" spans="1:29" x14ac:dyDescent="0.2">
      <c r="A35" s="36"/>
      <c r="B35" s="37" t="s">
        <v>845</v>
      </c>
      <c r="C35" s="56"/>
      <c r="D35" s="56"/>
      <c r="E35" s="56"/>
      <c r="F35" s="56"/>
      <c r="G35" s="56"/>
      <c r="H35" s="56"/>
      <c r="I35" s="56"/>
      <c r="J35" s="56"/>
      <c r="K35" s="56"/>
      <c r="L35" s="56"/>
    </row>
    <row r="36" spans="1:29" ht="12" customHeight="1" x14ac:dyDescent="0.2">
      <c r="A36" s="36"/>
      <c r="B36" s="41"/>
      <c r="C36" s="203"/>
      <c r="D36" s="203"/>
      <c r="E36" s="203"/>
      <c r="F36" s="203"/>
      <c r="G36" s="203"/>
      <c r="H36" s="203"/>
      <c r="I36" s="203"/>
      <c r="J36" s="203"/>
      <c r="K36" s="203"/>
      <c r="L36" s="203"/>
      <c r="M36" s="41"/>
      <c r="R36" s="204">
        <f t="shared" ref="R36:AC36" si="14">+R27-R34</f>
        <v>0</v>
      </c>
      <c r="S36" s="204">
        <f t="shared" ref="S36" si="15">+S27-S34</f>
        <v>0</v>
      </c>
      <c r="T36" s="204">
        <f t="shared" si="14"/>
        <v>0</v>
      </c>
      <c r="U36" s="204">
        <f t="shared" si="14"/>
        <v>0</v>
      </c>
      <c r="V36" s="204">
        <f t="shared" si="14"/>
        <v>0</v>
      </c>
      <c r="W36" s="204">
        <f t="shared" ref="W36" si="16">+W27-W34</f>
        <v>0</v>
      </c>
      <c r="X36" s="204">
        <f t="shared" si="14"/>
        <v>0</v>
      </c>
      <c r="Y36" s="204">
        <f t="shared" si="14"/>
        <v>0</v>
      </c>
      <c r="Z36" s="204">
        <f t="shared" si="14"/>
        <v>0</v>
      </c>
      <c r="AA36" s="204">
        <f t="shared" si="14"/>
        <v>0</v>
      </c>
      <c r="AB36" s="204">
        <f t="shared" si="14"/>
        <v>0</v>
      </c>
      <c r="AC36" s="204">
        <f t="shared" si="14"/>
        <v>0</v>
      </c>
    </row>
    <row r="37" spans="1:29" x14ac:dyDescent="0.2">
      <c r="A37" s="36"/>
      <c r="C37" s="39" t="s">
        <v>462</v>
      </c>
      <c r="D37" s="39" t="s">
        <v>462</v>
      </c>
      <c r="E37" s="39" t="s">
        <v>462</v>
      </c>
      <c r="F37" s="39" t="s">
        <v>462</v>
      </c>
      <c r="G37" s="39" t="s">
        <v>462</v>
      </c>
      <c r="H37" s="39" t="s">
        <v>462</v>
      </c>
      <c r="I37" s="39" t="s">
        <v>462</v>
      </c>
      <c r="J37" s="39" t="s">
        <v>462</v>
      </c>
      <c r="K37" s="39" t="s">
        <v>462</v>
      </c>
      <c r="L37" s="39" t="s">
        <v>462</v>
      </c>
    </row>
    <row r="38" spans="1:29" x14ac:dyDescent="0.2">
      <c r="A38" s="36"/>
      <c r="B38" s="37" t="str">
        <f>"Balance at"&amp;Update!$C$20</f>
        <v>Balance at 1 April 2024</v>
      </c>
      <c r="C38" s="1196"/>
      <c r="D38" s="1196"/>
      <c r="E38" s="1196"/>
      <c r="F38" s="1196"/>
      <c r="G38" s="1196"/>
      <c r="H38" s="1196"/>
      <c r="I38" s="1196"/>
      <c r="J38" s="1196"/>
      <c r="K38" s="1196"/>
      <c r="L38" s="58"/>
    </row>
    <row r="39" spans="1:29" x14ac:dyDescent="0.2">
      <c r="A39" s="36"/>
      <c r="B39" s="34" t="s">
        <v>266</v>
      </c>
      <c r="C39" s="1196"/>
      <c r="D39" s="1196"/>
      <c r="E39" s="1196"/>
      <c r="F39" s="1196"/>
      <c r="G39" s="1196"/>
      <c r="H39" s="1196"/>
      <c r="I39" s="1196"/>
      <c r="J39" s="1196"/>
      <c r="K39" s="1196"/>
      <c r="L39" s="58"/>
    </row>
    <row r="40" spans="1:29" x14ac:dyDescent="0.2">
      <c r="A40" s="36"/>
      <c r="B40" s="34" t="s">
        <v>267</v>
      </c>
      <c r="C40" s="1196"/>
      <c r="D40" s="1196"/>
      <c r="E40" s="1196"/>
      <c r="F40" s="1196"/>
      <c r="G40" s="1196"/>
      <c r="H40" s="1196"/>
      <c r="I40" s="1196"/>
      <c r="J40" s="1196"/>
      <c r="K40" s="1196"/>
      <c r="L40" s="58"/>
      <c r="N40" s="34">
        <f>-('Note 3a'!$J$26+'Note 3b &amp; 3c'!$K$31)</f>
        <v>-5166</v>
      </c>
    </row>
    <row r="41" spans="1:29" x14ac:dyDescent="0.2">
      <c r="A41" s="36"/>
      <c r="B41" s="34" t="s">
        <v>268</v>
      </c>
      <c r="C41" s="1196"/>
      <c r="D41" s="1196"/>
      <c r="E41" s="1196"/>
      <c r="F41" s="1196"/>
      <c r="G41" s="1196"/>
      <c r="H41" s="1196"/>
      <c r="I41" s="1196"/>
      <c r="J41" s="1196"/>
      <c r="K41" s="1196"/>
      <c r="L41" s="58"/>
      <c r="M41" s="340"/>
      <c r="N41" s="89" t="s">
        <v>1036</v>
      </c>
    </row>
    <row r="42" spans="1:29" x14ac:dyDescent="0.2">
      <c r="A42" s="36"/>
      <c r="B42" s="34" t="s">
        <v>269</v>
      </c>
      <c r="C42" s="1196"/>
      <c r="D42" s="1196"/>
      <c r="E42" s="1196"/>
      <c r="F42" s="1196"/>
      <c r="G42" s="1196"/>
      <c r="H42" s="1196"/>
      <c r="I42" s="1196"/>
      <c r="J42" s="1196"/>
      <c r="K42" s="1196"/>
      <c r="L42" s="58"/>
    </row>
    <row r="43" spans="1:29" x14ac:dyDescent="0.2">
      <c r="A43" s="36"/>
      <c r="B43" s="34" t="s">
        <v>270</v>
      </c>
      <c r="C43" s="1196"/>
      <c r="D43" s="1196"/>
      <c r="E43" s="1196"/>
      <c r="F43" s="1196"/>
      <c r="G43" s="1196"/>
      <c r="H43" s="1196"/>
      <c r="I43" s="1196"/>
      <c r="J43" s="1196"/>
      <c r="K43" s="1196"/>
      <c r="L43" s="58"/>
      <c r="M43" s="340"/>
      <c r="N43" s="89" t="s">
        <v>1036</v>
      </c>
    </row>
    <row r="44" spans="1:29" x14ac:dyDescent="0.2">
      <c r="A44" s="36"/>
      <c r="B44" s="37" t="str">
        <f>B11</f>
        <v>Balance at 1 April 2025</v>
      </c>
      <c r="C44" s="84">
        <f t="shared" ref="C44:K44" si="17">SUM(C38:C43)</f>
        <v>0</v>
      </c>
      <c r="D44" s="84">
        <f t="shared" si="17"/>
        <v>0</v>
      </c>
      <c r="E44" s="84">
        <f t="shared" si="17"/>
        <v>0</v>
      </c>
      <c r="F44" s="84">
        <f t="shared" si="17"/>
        <v>0</v>
      </c>
      <c r="G44" s="84">
        <f t="shared" si="17"/>
        <v>0</v>
      </c>
      <c r="H44" s="84">
        <f t="shared" si="17"/>
        <v>0</v>
      </c>
      <c r="I44" s="84">
        <f t="shared" si="17"/>
        <v>0</v>
      </c>
      <c r="J44" s="84">
        <f t="shared" si="17"/>
        <v>0</v>
      </c>
      <c r="K44" s="84">
        <f t="shared" si="17"/>
        <v>0</v>
      </c>
      <c r="L44" s="84">
        <f t="shared" ref="L44" si="18">SUM(D44:G44)+SUM(J44:K44)</f>
        <v>0</v>
      </c>
    </row>
    <row r="45" spans="1:29" x14ac:dyDescent="0.2">
      <c r="A45" s="36"/>
    </row>
    <row r="46" spans="1:29" x14ac:dyDescent="0.2">
      <c r="A46" s="36"/>
    </row>
    <row r="47" spans="1:29" x14ac:dyDescent="0.2">
      <c r="A47" s="36"/>
      <c r="B47" s="37" t="s">
        <v>221</v>
      </c>
    </row>
    <row r="48" spans="1:29" x14ac:dyDescent="0.2">
      <c r="A48" s="36"/>
    </row>
    <row r="49" spans="1:14" ht="51" x14ac:dyDescent="0.2">
      <c r="A49" s="36"/>
      <c r="C49" s="203" t="s">
        <v>632</v>
      </c>
      <c r="D49" s="203" t="s">
        <v>272</v>
      </c>
      <c r="E49" s="203" t="s">
        <v>633</v>
      </c>
      <c r="F49" s="203" t="s">
        <v>273</v>
      </c>
      <c r="G49" s="203" t="s">
        <v>938</v>
      </c>
      <c r="H49" s="203" t="s">
        <v>831</v>
      </c>
      <c r="I49" s="203" t="s">
        <v>832</v>
      </c>
      <c r="J49" s="203" t="s">
        <v>2051</v>
      </c>
      <c r="K49" s="203" t="s">
        <v>1065</v>
      </c>
      <c r="L49" s="203" t="s">
        <v>146</v>
      </c>
    </row>
    <row r="50" spans="1:14" x14ac:dyDescent="0.2">
      <c r="A50" s="36"/>
      <c r="C50" s="39" t="s">
        <v>462</v>
      </c>
      <c r="D50" s="39" t="s">
        <v>462</v>
      </c>
      <c r="E50" s="39" t="s">
        <v>462</v>
      </c>
      <c r="F50" s="39" t="s">
        <v>462</v>
      </c>
      <c r="G50" s="39" t="s">
        <v>462</v>
      </c>
      <c r="H50" s="39" t="s">
        <v>462</v>
      </c>
      <c r="I50" s="39" t="s">
        <v>462</v>
      </c>
      <c r="J50" s="39" t="s">
        <v>462</v>
      </c>
      <c r="K50" s="39" t="s">
        <v>462</v>
      </c>
      <c r="L50" s="39" t="s">
        <v>462</v>
      </c>
    </row>
    <row r="51" spans="1:14" x14ac:dyDescent="0.2">
      <c r="A51" s="36"/>
      <c r="B51" s="123" t="s">
        <v>216</v>
      </c>
      <c r="C51" s="769"/>
      <c r="D51" s="1196"/>
      <c r="E51" s="1196"/>
      <c r="F51" s="1196"/>
      <c r="G51" s="1196"/>
      <c r="H51" s="1196"/>
      <c r="I51" s="1196"/>
      <c r="J51" s="1196"/>
      <c r="K51" s="1196"/>
      <c r="L51" s="58"/>
    </row>
    <row r="52" spans="1:14" x14ac:dyDescent="0.2">
      <c r="A52" s="36"/>
      <c r="B52" s="125" t="s">
        <v>218</v>
      </c>
      <c r="C52" s="769"/>
      <c r="D52" s="1196"/>
      <c r="E52" s="1196"/>
      <c r="F52" s="1196"/>
      <c r="G52" s="1196"/>
      <c r="H52" s="1196"/>
      <c r="I52" s="1196"/>
      <c r="J52" s="1196"/>
      <c r="K52" s="1196"/>
      <c r="L52" s="58"/>
    </row>
    <row r="53" spans="1:14" x14ac:dyDescent="0.2">
      <c r="A53" s="36"/>
      <c r="B53" s="123" t="s">
        <v>217</v>
      </c>
      <c r="C53" s="769"/>
      <c r="D53" s="1196"/>
      <c r="E53" s="1196"/>
      <c r="F53" s="1196"/>
      <c r="G53" s="1196"/>
      <c r="H53" s="1196"/>
      <c r="I53" s="1196"/>
      <c r="J53" s="1196"/>
      <c r="K53" s="1196"/>
      <c r="L53" s="58"/>
    </row>
    <row r="54" spans="1:14" ht="13.5" thickBot="1" x14ac:dyDescent="0.25">
      <c r="A54" s="36"/>
      <c r="B54" s="37" t="str">
        <f>+B44</f>
        <v>Balance at 1 April 2025</v>
      </c>
      <c r="C54" s="175"/>
      <c r="D54" s="175"/>
      <c r="E54" s="175"/>
      <c r="F54" s="175"/>
      <c r="G54" s="175"/>
      <c r="H54" s="175"/>
      <c r="I54" s="175"/>
      <c r="J54" s="175"/>
      <c r="K54" s="175"/>
      <c r="L54" s="175"/>
    </row>
    <row r="55" spans="1:14" x14ac:dyDescent="0.2">
      <c r="A55" s="36"/>
      <c r="L55" s="1467" t="str">
        <f>IF(L44=L54,"OK","ERROR")</f>
        <v>OK</v>
      </c>
    </row>
    <row r="56" spans="1:14" x14ac:dyDescent="0.2">
      <c r="A56" s="36"/>
      <c r="B56" s="37"/>
    </row>
    <row r="57" spans="1:14" x14ac:dyDescent="0.2">
      <c r="A57" s="229">
        <f>SUMIF(Update!$B$33:$B$106,B57,Update!$A$33:$A$106)</f>
        <v>0</v>
      </c>
      <c r="B57" s="1106" t="s">
        <v>1032</v>
      </c>
      <c r="D57" s="38" t="str">
        <f>D7</f>
        <v>2025-26</v>
      </c>
    </row>
    <row r="58" spans="1:14" x14ac:dyDescent="0.2">
      <c r="A58" s="36"/>
      <c r="B58" s="37"/>
    </row>
    <row r="59" spans="1:14" s="41" customFormat="1" ht="51" x14ac:dyDescent="0.2">
      <c r="C59" s="203" t="s">
        <v>632</v>
      </c>
      <c r="D59" s="203" t="s">
        <v>272</v>
      </c>
      <c r="E59" s="203" t="s">
        <v>633</v>
      </c>
      <c r="F59" s="203" t="s">
        <v>273</v>
      </c>
      <c r="G59" s="203" t="s">
        <v>938</v>
      </c>
      <c r="H59" s="203" t="s">
        <v>831</v>
      </c>
      <c r="I59" s="203" t="s">
        <v>832</v>
      </c>
      <c r="J59" s="203" t="s">
        <v>2051</v>
      </c>
      <c r="K59" s="203" t="s">
        <v>1065</v>
      </c>
      <c r="L59" s="203" t="s">
        <v>146</v>
      </c>
    </row>
    <row r="60" spans="1:14" x14ac:dyDescent="0.2">
      <c r="C60" s="39" t="s">
        <v>462</v>
      </c>
      <c r="D60" s="39" t="s">
        <v>462</v>
      </c>
      <c r="E60" s="39" t="s">
        <v>462</v>
      </c>
      <c r="F60" s="39" t="s">
        <v>462</v>
      </c>
      <c r="G60" s="39" t="s">
        <v>462</v>
      </c>
      <c r="H60" s="39" t="s">
        <v>462</v>
      </c>
      <c r="I60" s="39" t="s">
        <v>462</v>
      </c>
      <c r="J60" s="39" t="s">
        <v>462</v>
      </c>
      <c r="K60" s="39" t="s">
        <v>462</v>
      </c>
      <c r="L60" s="39" t="s">
        <v>462</v>
      </c>
    </row>
    <row r="61" spans="1:14" x14ac:dyDescent="0.2">
      <c r="B61" s="37" t="str">
        <f>"Balance at"&amp;Update!$B$20</f>
        <v>Balance at 1 April 2025</v>
      </c>
      <c r="C61" s="747"/>
      <c r="D61" s="747"/>
      <c r="E61" s="747"/>
      <c r="F61" s="747"/>
      <c r="G61" s="747"/>
      <c r="H61" s="747"/>
      <c r="I61" s="747"/>
      <c r="J61" s="747"/>
      <c r="K61" s="747"/>
      <c r="L61" s="182"/>
    </row>
    <row r="62" spans="1:14" x14ac:dyDescent="0.2">
      <c r="B62" s="34" t="s">
        <v>266</v>
      </c>
      <c r="C62" s="747"/>
      <c r="D62" s="747"/>
      <c r="E62" s="747"/>
      <c r="F62" s="747"/>
      <c r="G62" s="747"/>
      <c r="H62" s="747"/>
      <c r="I62" s="747"/>
      <c r="J62" s="747"/>
      <c r="K62" s="747"/>
      <c r="L62" s="58"/>
    </row>
    <row r="63" spans="1:14" x14ac:dyDescent="0.2">
      <c r="B63" s="34" t="s">
        <v>267</v>
      </c>
      <c r="C63" s="747"/>
      <c r="D63" s="747"/>
      <c r="E63" s="747"/>
      <c r="F63" s="747"/>
      <c r="G63" s="747"/>
      <c r="H63" s="747"/>
      <c r="I63" s="747"/>
      <c r="J63" s="747"/>
      <c r="K63" s="747"/>
      <c r="L63" s="58"/>
    </row>
    <row r="64" spans="1:14" x14ac:dyDescent="0.2">
      <c r="B64" s="34" t="s">
        <v>268</v>
      </c>
      <c r="C64" s="747"/>
      <c r="D64" s="747"/>
      <c r="E64" s="747"/>
      <c r="F64" s="747"/>
      <c r="G64" s="747"/>
      <c r="H64" s="747"/>
      <c r="I64" s="747"/>
      <c r="J64" s="747"/>
      <c r="K64" s="747"/>
      <c r="L64" s="58"/>
      <c r="M64" s="246">
        <f>(L63+L64)-('Note 3a'!$F$26+'Note 3b &amp; 3c'!$F$31)</f>
        <v>0</v>
      </c>
      <c r="N64" s="89" t="s">
        <v>1036</v>
      </c>
    </row>
    <row r="65" spans="2:14" x14ac:dyDescent="0.2">
      <c r="B65" s="34" t="s">
        <v>269</v>
      </c>
      <c r="C65" s="747"/>
      <c r="D65" s="747"/>
      <c r="E65" s="747"/>
      <c r="F65" s="747"/>
      <c r="G65" s="747"/>
      <c r="H65" s="747"/>
      <c r="I65" s="747"/>
      <c r="J65" s="747"/>
      <c r="K65" s="747"/>
      <c r="L65" s="58"/>
      <c r="N65" s="89" t="s">
        <v>1034</v>
      </c>
    </row>
    <row r="66" spans="2:14" x14ac:dyDescent="0.2">
      <c r="B66" s="34" t="s">
        <v>270</v>
      </c>
      <c r="C66" s="747"/>
      <c r="D66" s="747"/>
      <c r="E66" s="747"/>
      <c r="F66" s="747"/>
      <c r="G66" s="747"/>
      <c r="H66" s="747"/>
      <c r="I66" s="747"/>
      <c r="J66" s="747"/>
      <c r="K66" s="747"/>
      <c r="L66" s="58"/>
      <c r="M66" s="246">
        <f>(L66+L62)-('Note 3a'!$F$27+'Note 3b &amp; 3c'!$F$32)</f>
        <v>0</v>
      </c>
      <c r="N66" s="89" t="s">
        <v>1036</v>
      </c>
    </row>
    <row r="67" spans="2:14" ht="13.5" thickBot="1" x14ac:dyDescent="0.25">
      <c r="B67" s="37" t="str">
        <f>"Balance at"&amp;Update!$B$22</f>
        <v>Balance at 31 March 2026</v>
      </c>
      <c r="C67" s="175"/>
      <c r="D67" s="175"/>
      <c r="E67" s="175"/>
      <c r="F67" s="175"/>
      <c r="G67" s="175"/>
      <c r="H67" s="175"/>
      <c r="I67" s="175"/>
      <c r="J67" s="175"/>
      <c r="K67" s="175"/>
      <c r="L67" s="175"/>
    </row>
    <row r="68" spans="2:14" x14ac:dyDescent="0.2">
      <c r="B68" s="89" t="s">
        <v>274</v>
      </c>
      <c r="C68" s="204"/>
      <c r="D68" s="204"/>
      <c r="E68" s="204"/>
      <c r="F68" s="204"/>
      <c r="G68" s="204"/>
      <c r="H68" s="204"/>
      <c r="I68" s="204"/>
      <c r="J68" s="204"/>
      <c r="K68" s="204"/>
    </row>
    <row r="71" spans="2:14" x14ac:dyDescent="0.2">
      <c r="B71" s="37" t="s">
        <v>221</v>
      </c>
    </row>
    <row r="73" spans="2:14" ht="51" x14ac:dyDescent="0.2">
      <c r="C73" s="203" t="s">
        <v>632</v>
      </c>
      <c r="D73" s="203" t="s">
        <v>272</v>
      </c>
      <c r="E73" s="203" t="s">
        <v>633</v>
      </c>
      <c r="F73" s="203" t="s">
        <v>273</v>
      </c>
      <c r="G73" s="203" t="s">
        <v>938</v>
      </c>
      <c r="H73" s="203" t="s">
        <v>831</v>
      </c>
      <c r="I73" s="203" t="s">
        <v>832</v>
      </c>
      <c r="J73" s="203" t="s">
        <v>2051</v>
      </c>
      <c r="K73" s="203" t="s">
        <v>1065</v>
      </c>
      <c r="L73" s="203" t="s">
        <v>146</v>
      </c>
    </row>
    <row r="74" spans="2:14" x14ac:dyDescent="0.2">
      <c r="C74" s="39" t="s">
        <v>462</v>
      </c>
      <c r="D74" s="39" t="s">
        <v>462</v>
      </c>
      <c r="E74" s="39" t="s">
        <v>462</v>
      </c>
      <c r="F74" s="39" t="s">
        <v>462</v>
      </c>
      <c r="G74" s="39" t="s">
        <v>462</v>
      </c>
      <c r="H74" s="39" t="s">
        <v>462</v>
      </c>
      <c r="I74" s="39" t="s">
        <v>462</v>
      </c>
      <c r="J74" s="39" t="s">
        <v>462</v>
      </c>
      <c r="K74" s="39" t="s">
        <v>462</v>
      </c>
      <c r="L74" s="39" t="s">
        <v>462</v>
      </c>
    </row>
    <row r="75" spans="2:14" x14ac:dyDescent="0.2">
      <c r="B75" s="123" t="s">
        <v>216</v>
      </c>
      <c r="C75" s="747"/>
      <c r="D75" s="747"/>
      <c r="E75" s="747"/>
      <c r="F75" s="747"/>
      <c r="G75" s="747"/>
      <c r="H75" s="747"/>
      <c r="I75" s="747"/>
      <c r="J75" s="747"/>
      <c r="K75" s="747"/>
      <c r="L75" s="58"/>
    </row>
    <row r="76" spans="2:14" x14ac:dyDescent="0.2">
      <c r="B76" s="125" t="s">
        <v>218</v>
      </c>
      <c r="C76" s="747"/>
      <c r="D76" s="747"/>
      <c r="E76" s="747"/>
      <c r="F76" s="747"/>
      <c r="G76" s="747"/>
      <c r="H76" s="747"/>
      <c r="I76" s="747"/>
      <c r="J76" s="747"/>
      <c r="K76" s="747"/>
      <c r="L76" s="352"/>
    </row>
    <row r="77" spans="2:14" x14ac:dyDescent="0.2">
      <c r="B77" s="123" t="s">
        <v>217</v>
      </c>
      <c r="C77" s="747"/>
      <c r="D77" s="747"/>
      <c r="E77" s="747"/>
      <c r="F77" s="747"/>
      <c r="G77" s="747"/>
      <c r="H77" s="747"/>
      <c r="I77" s="747"/>
      <c r="J77" s="747"/>
      <c r="K77" s="747"/>
      <c r="L77" s="58"/>
    </row>
    <row r="78" spans="2:14" ht="13.5" thickBot="1" x14ac:dyDescent="0.25">
      <c r="B78" s="37" t="str">
        <f>B28</f>
        <v>Balance at 31 March 2026</v>
      </c>
      <c r="C78" s="175"/>
      <c r="D78" s="175"/>
      <c r="E78" s="175"/>
      <c r="F78" s="175"/>
      <c r="G78" s="175"/>
      <c r="H78" s="175"/>
      <c r="I78" s="175"/>
      <c r="J78" s="175"/>
      <c r="K78" s="175"/>
      <c r="L78" s="175"/>
    </row>
    <row r="79" spans="2:14" x14ac:dyDescent="0.2">
      <c r="B79" s="89" t="s">
        <v>274</v>
      </c>
      <c r="C79" s="204"/>
      <c r="D79" s="204"/>
      <c r="E79" s="204"/>
      <c r="F79" s="204"/>
      <c r="G79" s="204"/>
      <c r="H79" s="204"/>
      <c r="I79" s="204"/>
      <c r="J79" s="204"/>
      <c r="K79" s="204"/>
      <c r="L79" s="1467" t="str">
        <f>IF(L67=L78,"OK","ERROR")</f>
        <v>OK</v>
      </c>
    </row>
    <row r="80" spans="2:14" x14ac:dyDescent="0.2">
      <c r="B80" s="56"/>
      <c r="C80" s="204"/>
      <c r="D80" s="204"/>
      <c r="E80" s="204"/>
      <c r="F80" s="204"/>
      <c r="G80" s="204"/>
      <c r="H80" s="204"/>
      <c r="I80" s="204"/>
      <c r="J80" s="204"/>
      <c r="K80" s="204"/>
      <c r="L80" s="56"/>
    </row>
    <row r="81" spans="1:15" x14ac:dyDescent="0.2">
      <c r="B81" s="56"/>
      <c r="C81" s="56"/>
      <c r="D81" s="56"/>
      <c r="E81" s="56"/>
      <c r="F81" s="56"/>
      <c r="G81" s="56"/>
      <c r="H81" s="56"/>
      <c r="I81" s="56"/>
      <c r="J81" s="56"/>
      <c r="K81" s="56"/>
      <c r="L81" s="56"/>
    </row>
    <row r="82" spans="1:15" x14ac:dyDescent="0.2">
      <c r="B82" s="56"/>
      <c r="C82" s="56"/>
      <c r="D82" s="56"/>
      <c r="E82" s="56"/>
      <c r="F82" s="56"/>
      <c r="G82" s="56"/>
      <c r="H82" s="56"/>
      <c r="I82" s="56"/>
      <c r="J82" s="56"/>
      <c r="K82" s="56"/>
      <c r="L82" s="56"/>
    </row>
    <row r="83" spans="1:15" x14ac:dyDescent="0.2">
      <c r="B83" s="56"/>
      <c r="C83" s="56"/>
      <c r="D83" s="56"/>
      <c r="E83" s="56"/>
      <c r="F83" s="56"/>
      <c r="G83" s="56"/>
      <c r="H83" s="56"/>
      <c r="I83" s="56"/>
      <c r="J83" s="56"/>
      <c r="K83" s="56"/>
      <c r="L83" s="56"/>
    </row>
    <row r="84" spans="1:15" x14ac:dyDescent="0.2">
      <c r="A84" s="229">
        <f>SUMIF(Update!$B$33:$B$106,B84,Update!$A$33:$A$106)</f>
        <v>0</v>
      </c>
      <c r="B84" s="47" t="s">
        <v>1033</v>
      </c>
      <c r="D84" s="38" t="str">
        <f>D33</f>
        <v>2024-25</v>
      </c>
      <c r="E84" s="56"/>
      <c r="F84" s="56"/>
      <c r="G84" s="56"/>
      <c r="H84" s="56"/>
      <c r="I84" s="56"/>
      <c r="J84" s="56"/>
      <c r="K84" s="56"/>
      <c r="L84" s="56"/>
    </row>
    <row r="85" spans="1:15" s="41" customFormat="1" ht="51" x14ac:dyDescent="0.2">
      <c r="C85" s="42" t="s">
        <v>632</v>
      </c>
      <c r="D85" s="42" t="s">
        <v>272</v>
      </c>
      <c r="E85" s="42" t="s">
        <v>633</v>
      </c>
      <c r="F85" s="42" t="s">
        <v>273</v>
      </c>
      <c r="G85" s="203" t="s">
        <v>938</v>
      </c>
      <c r="H85" s="203" t="s">
        <v>831</v>
      </c>
      <c r="I85" s="203" t="s">
        <v>832</v>
      </c>
      <c r="J85" s="203" t="s">
        <v>2051</v>
      </c>
      <c r="K85" s="42" t="s">
        <v>181</v>
      </c>
      <c r="L85" s="42" t="s">
        <v>146</v>
      </c>
    </row>
    <row r="86" spans="1:15" x14ac:dyDescent="0.2">
      <c r="C86" s="39" t="s">
        <v>462</v>
      </c>
      <c r="D86" s="39" t="s">
        <v>462</v>
      </c>
      <c r="E86" s="39" t="s">
        <v>462</v>
      </c>
      <c r="F86" s="39" t="s">
        <v>462</v>
      </c>
      <c r="G86" s="39" t="s">
        <v>462</v>
      </c>
      <c r="H86" s="39"/>
      <c r="I86" s="39"/>
      <c r="J86" s="39" t="s">
        <v>462</v>
      </c>
      <c r="K86" s="39" t="s">
        <v>462</v>
      </c>
      <c r="L86" s="39" t="s">
        <v>462</v>
      </c>
    </row>
    <row r="87" spans="1:15" x14ac:dyDescent="0.2">
      <c r="B87" s="37" t="str">
        <f>"Balance at"&amp;Update!$C$24</f>
        <v>Balance at 1 April 2024</v>
      </c>
      <c r="C87" s="769"/>
      <c r="D87" s="1196"/>
      <c r="E87" s="1196"/>
      <c r="F87" s="1196"/>
      <c r="G87" s="1196"/>
      <c r="H87" s="1196"/>
      <c r="I87" s="1196"/>
      <c r="J87" s="1196"/>
      <c r="K87" s="1196"/>
      <c r="L87" s="58"/>
    </row>
    <row r="88" spans="1:15" x14ac:dyDescent="0.2">
      <c r="B88" s="34" t="s">
        <v>266</v>
      </c>
      <c r="C88" s="769"/>
      <c r="D88" s="1196"/>
      <c r="E88" s="1196"/>
      <c r="F88" s="1196"/>
      <c r="G88" s="1196"/>
      <c r="H88" s="1196"/>
      <c r="I88" s="1196"/>
      <c r="J88" s="1196"/>
      <c r="K88" s="1196"/>
      <c r="L88" s="58"/>
    </row>
    <row r="89" spans="1:15" x14ac:dyDescent="0.2">
      <c r="B89" s="34" t="s">
        <v>267</v>
      </c>
      <c r="C89" s="769"/>
      <c r="D89" s="1196"/>
      <c r="E89" s="1196"/>
      <c r="F89" s="1196"/>
      <c r="G89" s="1196"/>
      <c r="H89" s="1196"/>
      <c r="I89" s="1196"/>
      <c r="J89" s="1196"/>
      <c r="K89" s="1196"/>
      <c r="L89" s="58"/>
    </row>
    <row r="90" spans="1:15" x14ac:dyDescent="0.2">
      <c r="B90" s="34" t="s">
        <v>268</v>
      </c>
      <c r="C90" s="769"/>
      <c r="D90" s="1196"/>
      <c r="E90" s="1196"/>
      <c r="F90" s="1196"/>
      <c r="G90" s="1196"/>
      <c r="H90" s="1196"/>
      <c r="I90" s="1196"/>
      <c r="J90" s="1196"/>
      <c r="K90" s="1196"/>
      <c r="L90" s="58"/>
      <c r="M90" s="246"/>
      <c r="N90" s="89" t="s">
        <v>1036</v>
      </c>
      <c r="O90" s="34">
        <f>+'Note 3b &amp; 3c'!K31</f>
        <v>5166</v>
      </c>
    </row>
    <row r="91" spans="1:15" x14ac:dyDescent="0.2">
      <c r="B91" s="34" t="s">
        <v>269</v>
      </c>
      <c r="C91" s="769"/>
      <c r="D91" s="1196"/>
      <c r="E91" s="1196"/>
      <c r="F91" s="1196"/>
      <c r="G91" s="1196"/>
      <c r="H91" s="1196"/>
      <c r="I91" s="1196"/>
      <c r="J91" s="1196"/>
      <c r="K91" s="1196"/>
      <c r="L91" s="58"/>
      <c r="M91" s="74"/>
      <c r="N91" s="89"/>
    </row>
    <row r="92" spans="1:15" x14ac:dyDescent="0.2">
      <c r="B92" s="34" t="s">
        <v>270</v>
      </c>
      <c r="C92" s="769"/>
      <c r="D92" s="1196"/>
      <c r="E92" s="1196"/>
      <c r="F92" s="1196"/>
      <c r="G92" s="1196"/>
      <c r="H92" s="1196"/>
      <c r="I92" s="1196"/>
      <c r="J92" s="1196"/>
      <c r="K92" s="1196"/>
      <c r="L92" s="58"/>
      <c r="M92" s="246"/>
      <c r="N92" s="89" t="s">
        <v>1036</v>
      </c>
    </row>
    <row r="93" spans="1:15" x14ac:dyDescent="0.2">
      <c r="B93" s="37" t="str">
        <f>"Balance at"&amp;Update!B24</f>
        <v>Balance at 31 March 2025</v>
      </c>
      <c r="C93" s="84"/>
      <c r="D93" s="84"/>
      <c r="E93" s="84"/>
      <c r="F93" s="84"/>
      <c r="G93" s="84"/>
      <c r="H93" s="84"/>
      <c r="I93" s="84"/>
      <c r="J93" s="84"/>
      <c r="K93" s="84"/>
      <c r="L93" s="84"/>
    </row>
    <row r="96" spans="1:15" x14ac:dyDescent="0.2">
      <c r="B96" s="37" t="s">
        <v>221</v>
      </c>
    </row>
    <row r="98" spans="2:12" ht="51" x14ac:dyDescent="0.2">
      <c r="C98" s="42" t="s">
        <v>632</v>
      </c>
      <c r="D98" s="42" t="s">
        <v>272</v>
      </c>
      <c r="E98" s="42" t="s">
        <v>633</v>
      </c>
      <c r="F98" s="42" t="s">
        <v>273</v>
      </c>
      <c r="G98" s="203" t="s">
        <v>938</v>
      </c>
      <c r="H98" s="203" t="s">
        <v>831</v>
      </c>
      <c r="I98" s="203" t="s">
        <v>832</v>
      </c>
      <c r="J98" s="203" t="s">
        <v>2051</v>
      </c>
      <c r="K98" s="42" t="s">
        <v>181</v>
      </c>
      <c r="L98" s="42" t="s">
        <v>146</v>
      </c>
    </row>
    <row r="99" spans="2:12" x14ac:dyDescent="0.2">
      <c r="C99" s="39" t="s">
        <v>462</v>
      </c>
      <c r="D99" s="39" t="s">
        <v>462</v>
      </c>
      <c r="E99" s="39" t="s">
        <v>462</v>
      </c>
      <c r="F99" s="39" t="s">
        <v>462</v>
      </c>
      <c r="G99" s="39" t="s">
        <v>462</v>
      </c>
      <c r="H99" s="39" t="s">
        <v>462</v>
      </c>
      <c r="I99" s="39" t="s">
        <v>462</v>
      </c>
      <c r="J99" s="39" t="s">
        <v>462</v>
      </c>
      <c r="K99" s="39" t="s">
        <v>462</v>
      </c>
      <c r="L99" s="39" t="s">
        <v>462</v>
      </c>
    </row>
    <row r="101" spans="2:12" x14ac:dyDescent="0.2">
      <c r="B101" s="123" t="s">
        <v>216</v>
      </c>
      <c r="C101" s="769"/>
      <c r="D101" s="1196"/>
      <c r="E101" s="1196"/>
      <c r="F101" s="1196"/>
      <c r="G101" s="1196"/>
      <c r="H101" s="1196"/>
      <c r="I101" s="1196"/>
      <c r="J101" s="1196"/>
      <c r="K101" s="1196"/>
      <c r="L101" s="58"/>
    </row>
    <row r="102" spans="2:12" x14ac:dyDescent="0.2">
      <c r="B102" s="125" t="s">
        <v>218</v>
      </c>
      <c r="C102" s="769"/>
      <c r="D102" s="1196"/>
      <c r="E102" s="1196"/>
      <c r="F102" s="1196"/>
      <c r="G102" s="1196"/>
      <c r="H102" s="1196"/>
      <c r="I102" s="1196"/>
      <c r="J102" s="1196"/>
      <c r="K102" s="1196"/>
      <c r="L102" s="58"/>
    </row>
    <row r="103" spans="2:12" x14ac:dyDescent="0.2">
      <c r="B103" s="123" t="s">
        <v>217</v>
      </c>
      <c r="C103" s="769"/>
      <c r="D103" s="1196"/>
      <c r="E103" s="1196"/>
      <c r="F103" s="1196"/>
      <c r="G103" s="1196"/>
      <c r="H103" s="1196"/>
      <c r="I103" s="1196"/>
      <c r="J103" s="1196"/>
      <c r="K103" s="1196"/>
      <c r="L103" s="58"/>
    </row>
    <row r="104" spans="2:12" ht="13.5" thickBot="1" x14ac:dyDescent="0.25">
      <c r="B104" s="37" t="str">
        <f>+B93</f>
        <v>Balance at 31 March 2025</v>
      </c>
      <c r="C104" s="175">
        <f t="shared" ref="C104:K104" si="19">SUM(C101:C103)</f>
        <v>0</v>
      </c>
      <c r="D104" s="175">
        <f t="shared" si="19"/>
        <v>0</v>
      </c>
      <c r="E104" s="175">
        <f t="shared" si="19"/>
        <v>0</v>
      </c>
      <c r="F104" s="175">
        <f t="shared" si="19"/>
        <v>0</v>
      </c>
      <c r="G104" s="175">
        <f t="shared" si="19"/>
        <v>0</v>
      </c>
      <c r="H104" s="175">
        <f t="shared" si="19"/>
        <v>0</v>
      </c>
      <c r="I104" s="175">
        <f t="shared" si="19"/>
        <v>0</v>
      </c>
      <c r="J104" s="175">
        <f>SUM(H104:I104)</f>
        <v>0</v>
      </c>
      <c r="K104" s="175">
        <f t="shared" si="19"/>
        <v>0</v>
      </c>
      <c r="L104" s="175">
        <f>SUM(D104:G104)+SUM(J104:K104)</f>
        <v>0</v>
      </c>
    </row>
    <row r="105" spans="2:12" x14ac:dyDescent="0.2">
      <c r="L105" s="1467" t="str">
        <f>IF(L93=L104,"OK","ERROR")</f>
        <v>OK</v>
      </c>
    </row>
    <row r="110" spans="2:12" x14ac:dyDescent="0.2">
      <c r="F110" s="34" t="s">
        <v>634</v>
      </c>
    </row>
  </sheetData>
  <mergeCells count="2">
    <mergeCell ref="R8:U8"/>
    <mergeCell ref="V8:AC8"/>
  </mergeCells>
  <pageMargins left="0.35433070866141736" right="0.47244094488188981" top="0.19685039370078741" bottom="0.19685039370078741" header="0.31496062992125984" footer="0.31496062992125984"/>
  <pageSetup paperSize="9" scale="8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rgb="FF00B0F0"/>
    <pageSetUpPr fitToPage="1"/>
  </sheetPr>
  <dimension ref="A1:F31"/>
  <sheetViews>
    <sheetView zoomScale="90" zoomScaleNormal="90" workbookViewId="0">
      <selection activeCell="G5" sqref="G4:G5"/>
    </sheetView>
  </sheetViews>
  <sheetFormatPr defaultColWidth="9.140625" defaultRowHeight="12.75" x14ac:dyDescent="0.2"/>
  <cols>
    <col min="1" max="1" width="3.7109375" style="238" customWidth="1"/>
    <col min="2" max="2" width="54" style="238" customWidth="1"/>
    <col min="3" max="4" width="13.140625" style="238" customWidth="1"/>
    <col min="5" max="6" width="11.5703125" style="238" customWidth="1"/>
    <col min="7" max="16384" width="9.140625" style="238"/>
  </cols>
  <sheetData>
    <row r="1" spans="1:6" ht="14.65" customHeight="1" x14ac:dyDescent="0.2">
      <c r="B1" s="35" t="str">
        <f>Update!$B$6</f>
        <v>Department of Health</v>
      </c>
      <c r="C1" s="35"/>
      <c r="D1" s="35"/>
      <c r="E1" s="35"/>
      <c r="F1" s="35"/>
    </row>
    <row r="2" spans="1:6" ht="14.65" customHeight="1" x14ac:dyDescent="0.2">
      <c r="B2" s="35" t="str">
        <f>Update!$B$10</f>
        <v>Notes to the financial statements</v>
      </c>
      <c r="C2" s="35"/>
      <c r="D2" s="35"/>
      <c r="E2" s="35"/>
      <c r="F2" s="35"/>
    </row>
    <row r="3" spans="1:6" ht="12.75" customHeight="1" x14ac:dyDescent="0.2">
      <c r="B3" s="35" t="str">
        <f>Update!$A$3</f>
        <v>2025-26</v>
      </c>
      <c r="C3" s="35"/>
      <c r="D3" s="35"/>
      <c r="E3" s="35"/>
      <c r="F3" s="35"/>
    </row>
    <row r="4" spans="1:6" ht="12.75" customHeight="1" x14ac:dyDescent="0.2">
      <c r="B4" s="241"/>
      <c r="C4" s="241"/>
      <c r="F4" s="240"/>
    </row>
    <row r="5" spans="1:6" ht="12.75" customHeight="1" x14ac:dyDescent="0.2">
      <c r="B5" s="239"/>
      <c r="C5" s="239"/>
    </row>
    <row r="6" spans="1:6" ht="12.75" customHeight="1" x14ac:dyDescent="0.2">
      <c r="A6" s="229">
        <f>SUMIF(Update!$B$33:$B$106,B6,Update!$A$33:$A$106)</f>
        <v>15</v>
      </c>
      <c r="B6" s="239" t="s">
        <v>742</v>
      </c>
      <c r="C6" s="239"/>
    </row>
    <row r="7" spans="1:6" ht="12.75" customHeight="1" x14ac:dyDescent="0.2"/>
    <row r="8" spans="1:6" ht="39.75" customHeight="1" x14ac:dyDescent="0.2">
      <c r="B8" s="2121" t="s">
        <v>846</v>
      </c>
      <c r="C8" s="2121"/>
      <c r="D8" s="2121"/>
      <c r="E8" s="2121"/>
      <c r="F8" s="2121"/>
    </row>
    <row r="9" spans="1:6" ht="12.75" customHeight="1" x14ac:dyDescent="0.2">
      <c r="B9" s="239"/>
      <c r="C9" s="239"/>
    </row>
    <row r="10" spans="1:6" ht="25.5" x14ac:dyDescent="0.2">
      <c r="B10" s="239"/>
      <c r="C10" s="1823" t="s">
        <v>2390</v>
      </c>
      <c r="D10" s="1823" t="s">
        <v>1029</v>
      </c>
      <c r="E10" s="1823" t="s">
        <v>2390</v>
      </c>
      <c r="F10" s="1823" t="s">
        <v>1029</v>
      </c>
    </row>
    <row r="11" spans="1:6" ht="12.75" customHeight="1" x14ac:dyDescent="0.2">
      <c r="C11" s="2122" t="str">
        <f>'alb Note 18.2 - Other fin comm'!B10</f>
        <v>2025-26</v>
      </c>
      <c r="D11" s="2122"/>
      <c r="E11" s="2122" t="str">
        <f>'alb Note 18.2 - Other fin comm'!C10</f>
        <v>2024-25</v>
      </c>
      <c r="F11" s="2122"/>
    </row>
    <row r="12" spans="1:6" ht="12.75" customHeight="1" x14ac:dyDescent="0.2">
      <c r="C12" s="242" t="s">
        <v>493</v>
      </c>
      <c r="D12" s="242" t="s">
        <v>493</v>
      </c>
      <c r="E12" s="242" t="s">
        <v>493</v>
      </c>
      <c r="F12" s="242" t="s">
        <v>493</v>
      </c>
    </row>
    <row r="13" spans="1:6" ht="12.75" customHeight="1" x14ac:dyDescent="0.2">
      <c r="B13" s="238" t="s">
        <v>815</v>
      </c>
      <c r="C13" s="747">
        <f>SUMIF(MAP!$E$1544:$E$1551,$B13,MAP!$T$1544:$T$1551)</f>
        <v>0</v>
      </c>
      <c r="D13" s="747">
        <f>SUMIF(MAP!$E$1544:$E$1551,$B13,MAP!$N$1544:$N$1551)</f>
        <v>0</v>
      </c>
      <c r="E13" s="1196">
        <v>155</v>
      </c>
      <c r="F13" s="1197">
        <v>7035</v>
      </c>
    </row>
    <row r="14" spans="1:6" ht="12.75" customHeight="1" x14ac:dyDescent="0.2">
      <c r="B14" s="238" t="s">
        <v>816</v>
      </c>
      <c r="C14" s="747">
        <f>SUMIF(MAP!$E$1544:$E$1551,$B14,MAP!$T$1544:$T$1551)</f>
        <v>0</v>
      </c>
      <c r="D14" s="747">
        <f>SUMIF(MAP!$E$1544:$E$1551,$B14,MAP!$N$1544:$N$1551)</f>
        <v>0</v>
      </c>
      <c r="E14" s="1196">
        <v>0</v>
      </c>
      <c r="F14" s="1197">
        <v>268</v>
      </c>
    </row>
    <row r="15" spans="1:6" ht="12.75" customHeight="1" x14ac:dyDescent="0.2">
      <c r="B15" s="238" t="s">
        <v>817</v>
      </c>
      <c r="C15" s="747">
        <f>SUMIF(MAP!$E$1544:$E$1551,$B15,MAP!$T$1544:$T$1551)</f>
        <v>0</v>
      </c>
      <c r="D15" s="747">
        <f>SUMIF(MAP!$E$1544:$E$1551,$B15,MAP!$N$1544:$N$1551)</f>
        <v>0</v>
      </c>
      <c r="E15" s="1196">
        <v>0</v>
      </c>
      <c r="F15" s="1197">
        <v>1315</v>
      </c>
    </row>
    <row r="16" spans="1:6" ht="12.75" customHeight="1" x14ac:dyDescent="0.2">
      <c r="B16" s="238" t="s">
        <v>818</v>
      </c>
      <c r="C16" s="747">
        <f>SUMIF(MAP!$E$1544:$E$1551,$B16,MAP!$T$1544:$T$1551)</f>
        <v>0</v>
      </c>
      <c r="D16" s="747">
        <f>SUMIF(MAP!$E$1544:$E$1551,$B16,MAP!$N$1544:$N$1551)</f>
        <v>0</v>
      </c>
      <c r="E16" s="1196">
        <v>0</v>
      </c>
      <c r="F16" s="1197">
        <v>0</v>
      </c>
    </row>
    <row r="17" spans="2:6" ht="12.75" customHeight="1" x14ac:dyDescent="0.2">
      <c r="B17" s="238" t="s">
        <v>819</v>
      </c>
      <c r="C17" s="747">
        <f>SUMIF(MAP!$E$1544:$E$1551,$B17,MAP!$T$1544:$T$1551)</f>
        <v>0</v>
      </c>
      <c r="D17" s="747">
        <f>SUMIF(MAP!$E$1544:$E$1551,$B17,MAP!$N$1544:$N$1551)</f>
        <v>0</v>
      </c>
      <c r="E17" s="1196">
        <v>0</v>
      </c>
      <c r="F17" s="1197">
        <v>0</v>
      </c>
    </row>
    <row r="18" spans="2:6" ht="12.75" customHeight="1" x14ac:dyDescent="0.2">
      <c r="B18" s="238" t="s">
        <v>820</v>
      </c>
      <c r="C18" s="747">
        <f>SUMIF(MAP!$E$1544:$E$1551,$B18,MAP!$T$1544:$T$1551)</f>
        <v>0</v>
      </c>
      <c r="D18" s="747">
        <f>SUMIF(MAP!$E$1544:$E$1551,$B18,MAP!$N$1544:$N$1551)</f>
        <v>0</v>
      </c>
      <c r="E18" s="1196">
        <v>0</v>
      </c>
      <c r="F18" s="1197">
        <v>435</v>
      </c>
    </row>
    <row r="19" spans="2:6" ht="12.75" customHeight="1" x14ac:dyDescent="0.2">
      <c r="D19" s="243"/>
      <c r="E19" s="243"/>
      <c r="F19" s="243"/>
    </row>
    <row r="20" spans="2:6" ht="12.75" customHeight="1" thickBot="1" x14ac:dyDescent="0.25">
      <c r="B20" s="238" t="s">
        <v>146</v>
      </c>
      <c r="C20" s="244">
        <f>SUM(C13:C18)</f>
        <v>0</v>
      </c>
      <c r="D20" s="244">
        <f>SUM(D13:D18)</f>
        <v>0</v>
      </c>
      <c r="E20" s="244">
        <f>SUM(E13:E18)</f>
        <v>155</v>
      </c>
      <c r="F20" s="244">
        <f>SUM(F13:F18)</f>
        <v>9053</v>
      </c>
    </row>
    <row r="21" spans="2:6" ht="12.75" customHeight="1" thickTop="1" x14ac:dyDescent="0.2"/>
    <row r="22" spans="2:6" x14ac:dyDescent="0.2">
      <c r="B22" s="245"/>
      <c r="C22" s="245"/>
      <c r="D22" s="245"/>
      <c r="E22" s="245"/>
      <c r="F22" s="245"/>
    </row>
    <row r="23" spans="2:6" x14ac:dyDescent="0.2">
      <c r="B23" s="245"/>
      <c r="C23" s="245"/>
      <c r="D23" s="245"/>
      <c r="E23" s="245"/>
      <c r="F23" s="245"/>
    </row>
    <row r="24" spans="2:6" x14ac:dyDescent="0.2">
      <c r="B24" s="245"/>
      <c r="C24" s="245"/>
      <c r="D24" s="245"/>
      <c r="E24" s="245"/>
      <c r="F24" s="245"/>
    </row>
    <row r="25" spans="2:6" x14ac:dyDescent="0.2">
      <c r="B25" s="245"/>
      <c r="C25" s="245"/>
      <c r="D25" s="245"/>
      <c r="E25" s="245"/>
      <c r="F25" s="245"/>
    </row>
    <row r="26" spans="2:6" x14ac:dyDescent="0.2">
      <c r="B26" s="245" t="s">
        <v>847</v>
      </c>
      <c r="C26" s="245"/>
      <c r="D26" s="245"/>
      <c r="E26" s="245"/>
      <c r="F26" s="245"/>
    </row>
    <row r="27" spans="2:6" x14ac:dyDescent="0.2">
      <c r="B27" s="245"/>
      <c r="C27" s="245"/>
      <c r="D27" s="245"/>
      <c r="E27" s="245"/>
      <c r="F27" s="245"/>
    </row>
    <row r="28" spans="2:6" x14ac:dyDescent="0.2">
      <c r="B28" s="245"/>
      <c r="C28" s="245"/>
      <c r="D28" s="245"/>
      <c r="E28" s="245"/>
      <c r="F28" s="245"/>
    </row>
    <row r="29" spans="2:6" x14ac:dyDescent="0.2">
      <c r="B29" s="245"/>
      <c r="C29" s="245"/>
      <c r="D29" s="245"/>
      <c r="E29" s="245"/>
      <c r="F29" s="245"/>
    </row>
    <row r="30" spans="2:6" x14ac:dyDescent="0.2">
      <c r="B30" s="245"/>
      <c r="C30" s="245"/>
      <c r="D30" s="245"/>
      <c r="E30" s="245"/>
      <c r="F30" s="245"/>
    </row>
    <row r="31" spans="2:6" x14ac:dyDescent="0.2">
      <c r="B31" s="245"/>
      <c r="C31" s="245"/>
      <c r="D31" s="245"/>
      <c r="E31" s="245"/>
      <c r="F31" s="245"/>
    </row>
  </sheetData>
  <mergeCells count="3">
    <mergeCell ref="B8:F8"/>
    <mergeCell ref="C11:D11"/>
    <mergeCell ref="E11:F11"/>
  </mergeCells>
  <pageMargins left="0.35433070866141736" right="0.47244094488188981" top="0.19685039370078741" bottom="0.19685039370078741"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16">
    <tabColor rgb="FF00B0F0"/>
    <pageSetUpPr fitToPage="1"/>
  </sheetPr>
  <dimension ref="A1:K33"/>
  <sheetViews>
    <sheetView zoomScale="90" zoomScaleNormal="90" workbookViewId="0">
      <selection activeCell="G5" sqref="G4:G5"/>
    </sheetView>
  </sheetViews>
  <sheetFormatPr defaultRowHeight="15" x14ac:dyDescent="0.25"/>
  <cols>
    <col min="1" max="1" width="3" bestFit="1" customWidth="1"/>
    <col min="2" max="2" width="49.85546875" customWidth="1"/>
    <col min="3" max="3" width="12" bestFit="1" customWidth="1"/>
    <col min="4" max="4" width="14.42578125" bestFit="1" customWidth="1"/>
    <col min="5" max="5" width="12" bestFit="1" customWidth="1"/>
    <col min="6" max="6" width="14.42578125" bestFit="1" customWidth="1"/>
    <col min="7" max="7" width="9.42578125" bestFit="1" customWidth="1"/>
    <col min="8" max="8" width="11.7109375" bestFit="1" customWidth="1"/>
  </cols>
  <sheetData>
    <row r="1" spans="1:11" x14ac:dyDescent="0.25">
      <c r="A1" s="238"/>
      <c r="B1" s="35" t="str">
        <f>Update!$B$6</f>
        <v>Department of Health</v>
      </c>
    </row>
    <row r="2" spans="1:11" x14ac:dyDescent="0.25">
      <c r="A2" s="238"/>
      <c r="B2" s="35" t="str">
        <f>Update!$B$10</f>
        <v>Notes to the financial statements</v>
      </c>
    </row>
    <row r="3" spans="1:11" x14ac:dyDescent="0.25">
      <c r="A3" s="238"/>
      <c r="B3" s="35" t="str">
        <f>Update!$A$3</f>
        <v>2025-26</v>
      </c>
    </row>
    <row r="4" spans="1:11" x14ac:dyDescent="0.25">
      <c r="A4" s="238"/>
      <c r="B4" s="241"/>
    </row>
    <row r="5" spans="1:11" x14ac:dyDescent="0.25">
      <c r="A5" s="238"/>
      <c r="B5" s="239"/>
    </row>
    <row r="6" spans="1:11" x14ac:dyDescent="0.25">
      <c r="A6" s="229">
        <v>16</v>
      </c>
      <c r="B6" s="239" t="s">
        <v>1076</v>
      </c>
    </row>
    <row r="8" spans="1:11" ht="44.25" customHeight="1" x14ac:dyDescent="0.25">
      <c r="B8" s="2123" t="s">
        <v>2479</v>
      </c>
      <c r="C8" s="2123"/>
      <c r="D8" s="2123"/>
      <c r="E8" s="2123"/>
      <c r="F8" s="2123"/>
      <c r="G8" s="245"/>
      <c r="H8" s="245"/>
      <c r="I8" s="245"/>
      <c r="J8" s="245"/>
      <c r="K8" s="245"/>
    </row>
    <row r="10" spans="1:11" x14ac:dyDescent="0.25">
      <c r="B10" s="760" t="s">
        <v>2480</v>
      </c>
    </row>
    <row r="12" spans="1:11" x14ac:dyDescent="0.25">
      <c r="B12" s="760"/>
      <c r="C12" s="2122" t="str">
        <f>'alb Note 18.2 - Other fin comm'!B10</f>
        <v>2025-26</v>
      </c>
      <c r="D12" s="2122"/>
      <c r="E12" s="2122" t="str">
        <f>'alb Note 18.2 - Other fin comm'!C10</f>
        <v>2024-25</v>
      </c>
      <c r="F12" s="2122"/>
    </row>
    <row r="13" spans="1:11" x14ac:dyDescent="0.25">
      <c r="B13" s="760"/>
      <c r="C13" s="1583" t="s">
        <v>2398</v>
      </c>
      <c r="D13" s="1583" t="s">
        <v>2481</v>
      </c>
      <c r="E13" s="1583" t="s">
        <v>2398</v>
      </c>
      <c r="F13" s="1583" t="s">
        <v>2481</v>
      </c>
    </row>
    <row r="14" spans="1:11" x14ac:dyDescent="0.25">
      <c r="B14" s="760"/>
      <c r="C14" s="242" t="s">
        <v>493</v>
      </c>
      <c r="D14" s="242" t="s">
        <v>493</v>
      </c>
      <c r="E14" s="242" t="s">
        <v>493</v>
      </c>
      <c r="F14" s="242" t="s">
        <v>493</v>
      </c>
    </row>
    <row r="15" spans="1:11" x14ac:dyDescent="0.25">
      <c r="B15" s="760" t="str">
        <f>"At"&amp;Update!$B$20</f>
        <v>At 1 April 2025</v>
      </c>
      <c r="C15" s="747">
        <f>SUMIF(MAP!$E$1534:$E$1542,$B15,MAP!$N$1534:$N$1542)</f>
        <v>0</v>
      </c>
      <c r="D15" s="747">
        <f>SUMIF(MAP!$E$1500:$E$1532,$B15,MAP!$N$1500:$N$1532)</f>
        <v>0</v>
      </c>
      <c r="E15" s="1673">
        <v>0</v>
      </c>
      <c r="F15" s="1673">
        <v>-702960</v>
      </c>
    </row>
    <row r="16" spans="1:11" x14ac:dyDescent="0.25">
      <c r="B16" s="760"/>
      <c r="C16" s="747"/>
      <c r="D16" s="747"/>
      <c r="E16" s="1689"/>
      <c r="F16" s="1689"/>
    </row>
    <row r="17" spans="2:6" x14ac:dyDescent="0.25">
      <c r="B17" s="760" t="s">
        <v>2391</v>
      </c>
      <c r="C17" s="747">
        <f>SUMIF(MAP!$E$1534:$E$1542,$B17,MAP!$N$1534:$N$1542)</f>
        <v>0</v>
      </c>
      <c r="D17" s="747">
        <f>SUMIF(MAP!$E$1500:$E$1532,$B17,MAP!$N$1500:$N$1532)</f>
        <v>0</v>
      </c>
      <c r="E17" s="1673">
        <v>-2008</v>
      </c>
      <c r="F17" s="1673">
        <v>-10720</v>
      </c>
    </row>
    <row r="18" spans="2:6" x14ac:dyDescent="0.25">
      <c r="B18" s="760"/>
      <c r="C18" s="747"/>
      <c r="D18" s="747"/>
      <c r="E18" s="1689"/>
      <c r="F18" s="1689"/>
    </row>
    <row r="19" spans="2:6" x14ac:dyDescent="0.25">
      <c r="B19" s="760" t="s">
        <v>2392</v>
      </c>
      <c r="C19" s="747">
        <f>SUMIF(MAP!$E$1534:$E$1542,$B19,MAP!$N$1534:$N$1542)</f>
        <v>0</v>
      </c>
      <c r="D19" s="747">
        <f>SUMIF(MAP!$E$1500:$E$1532,$B19,MAP!$N$1500:$N$1532)</f>
        <v>0</v>
      </c>
      <c r="E19" s="1673">
        <v>0</v>
      </c>
      <c r="F19" s="1673">
        <v>0</v>
      </c>
    </row>
    <row r="20" spans="2:6" x14ac:dyDescent="0.25">
      <c r="B20" s="760"/>
      <c r="C20" s="747"/>
      <c r="D20" s="747"/>
      <c r="E20" s="1689"/>
      <c r="F20" s="1689"/>
    </row>
    <row r="21" spans="2:6" x14ac:dyDescent="0.25">
      <c r="B21" s="760" t="s">
        <v>2393</v>
      </c>
      <c r="C21" s="747">
        <f>SUMIF(MAP!$E$1534:$E$1542,$B21,MAP!$N$1534:$N$1542)</f>
        <v>0</v>
      </c>
      <c r="D21" s="747">
        <f>SUMIF(MAP!$E$1500:$E$1532,$B21,MAP!$N$1500:$N$1532)</f>
        <v>0</v>
      </c>
      <c r="E21" s="1673">
        <v>46</v>
      </c>
      <c r="F21" s="1673">
        <v>-35270</v>
      </c>
    </row>
    <row r="22" spans="2:6" x14ac:dyDescent="0.25">
      <c r="B22" s="760"/>
      <c r="C22" s="747"/>
      <c r="D22" s="747"/>
      <c r="E22" s="1689"/>
      <c r="F22" s="1689"/>
    </row>
    <row r="23" spans="2:6" x14ac:dyDescent="0.25">
      <c r="B23" s="760" t="s">
        <v>2394</v>
      </c>
      <c r="C23" s="747">
        <f>SUMIF(MAP!$E$1534:$E$1542,$B23,MAP!$N$1534:$N$1542)</f>
        <v>0</v>
      </c>
      <c r="D23" s="747">
        <f>SUMIF(MAP!$E$1500:$E$1532,$B23,MAP!$N$1500:$N$1532)</f>
        <v>0</v>
      </c>
      <c r="E23" s="1673">
        <v>1908</v>
      </c>
      <c r="F23" s="1673">
        <v>35438</v>
      </c>
    </row>
    <row r="24" spans="2:6" x14ac:dyDescent="0.25">
      <c r="B24" s="760"/>
      <c r="C24" s="747"/>
      <c r="D24" s="747"/>
      <c r="E24" s="1689"/>
      <c r="F24" s="1689"/>
    </row>
    <row r="25" spans="2:6" x14ac:dyDescent="0.25">
      <c r="B25" s="760" t="s">
        <v>2395</v>
      </c>
      <c r="C25" s="747">
        <f>SUMIF(MAP!$E$1534:$E$1542,$B25,MAP!$N$1534:$N$1542)</f>
        <v>0</v>
      </c>
      <c r="D25" s="747">
        <f>SUMIF(MAP!$E$1500:$E$1532,$B25,MAP!$N$1500:$N$1532)</f>
        <v>0</v>
      </c>
      <c r="E25" s="1673">
        <v>0</v>
      </c>
      <c r="F25" s="1673">
        <v>-736</v>
      </c>
    </row>
    <row r="26" spans="2:6" x14ac:dyDescent="0.25">
      <c r="B26" s="760"/>
      <c r="C26" s="747"/>
      <c r="D26" s="747"/>
      <c r="E26" s="1689"/>
      <c r="F26" s="1689"/>
    </row>
    <row r="27" spans="2:6" x14ac:dyDescent="0.25">
      <c r="B27" s="760" t="s">
        <v>2396</v>
      </c>
      <c r="C27" s="747">
        <f>SUMIF(MAP!$E$1534:$E$1542,$B27,MAP!$N$1534:$N$1542)</f>
        <v>0</v>
      </c>
      <c r="D27" s="747">
        <f>SUMIF(MAP!$E$1500:$E$1532,$B27,MAP!$N$1500:$N$1532)</f>
        <v>0</v>
      </c>
      <c r="E27" s="1673">
        <v>0</v>
      </c>
      <c r="F27" s="1673">
        <v>53</v>
      </c>
    </row>
    <row r="28" spans="2:6" x14ac:dyDescent="0.25">
      <c r="B28" s="760"/>
      <c r="C28" s="747"/>
      <c r="D28" s="747"/>
      <c r="E28" s="1689"/>
      <c r="F28" s="1689"/>
    </row>
    <row r="29" spans="2:6" x14ac:dyDescent="0.25">
      <c r="B29" s="760" t="s">
        <v>2397</v>
      </c>
      <c r="C29" s="747">
        <f>SUMIF(MAP!$E$1534:$E$1542,$B29,MAP!$N$1534:$N$1542)</f>
        <v>0</v>
      </c>
      <c r="D29" s="747">
        <f>SUMIF(MAP!$E$1500:$E$1532,$B29,MAP!$N$1500:$N$1532)</f>
        <v>0</v>
      </c>
      <c r="E29" s="1196">
        <v>54</v>
      </c>
      <c r="F29" s="1196">
        <v>15685</v>
      </c>
    </row>
    <row r="30" spans="2:6" x14ac:dyDescent="0.25">
      <c r="B30" s="760"/>
      <c r="C30" s="747"/>
      <c r="D30" s="747"/>
      <c r="E30" s="1690"/>
      <c r="F30" s="1690"/>
    </row>
    <row r="31" spans="2:6" ht="15.75" thickBot="1" x14ac:dyDescent="0.3">
      <c r="B31" s="1095" t="str">
        <f>"At"&amp;Update!$B$22</f>
        <v>At 31 March 2026</v>
      </c>
      <c r="C31" s="1691">
        <f>SUM(C15:C29)</f>
        <v>0</v>
      </c>
      <c r="D31" s="1691">
        <f>SUM(D15:D29)</f>
        <v>0</v>
      </c>
      <c r="E31" s="175">
        <f>SUM(E15:E29)</f>
        <v>0</v>
      </c>
      <c r="F31" s="175">
        <f>SUM(F15:F29)</f>
        <v>-698510</v>
      </c>
    </row>
    <row r="32" spans="2:6" x14ac:dyDescent="0.25">
      <c r="C32" s="1449">
        <f>C31-ROUND(SUMIF(MAP!$E$1533:$E$1543,B31,MAP!$N$1533:$N$1543),0)</f>
        <v>0</v>
      </c>
      <c r="D32" s="1449">
        <f>D31-ROUND(SUMIF(MAP!$E$1499:$E$1532,B31,MAP!$N$1499:$N$1532),0)</f>
        <v>0</v>
      </c>
      <c r="F32" s="1537" t="str">
        <f>IF(F31+E31=SFP!M48,"OK","ERROR")</f>
        <v>OK</v>
      </c>
    </row>
    <row r="33" spans="4:8" x14ac:dyDescent="0.25">
      <c r="D33" s="1537" t="str">
        <f>IF(D31+C31=SFP!G48,"OK","ERROR")</f>
        <v>OK</v>
      </c>
      <c r="E33" s="1582"/>
      <c r="F33" s="1582"/>
      <c r="G33" s="1582"/>
      <c r="H33" s="1582"/>
    </row>
  </sheetData>
  <mergeCells count="3">
    <mergeCell ref="C12:D12"/>
    <mergeCell ref="E12:F12"/>
    <mergeCell ref="B8:F8"/>
  </mergeCells>
  <pageMargins left="0.35433070866141736" right="0.47244094488188981" top="0.19685039370078741" bottom="0.19685039370078741"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9">
    <tabColor rgb="FF00B0F0"/>
    <pageSetUpPr fitToPage="1"/>
  </sheetPr>
  <dimension ref="A1:T92"/>
  <sheetViews>
    <sheetView zoomScale="90" zoomScaleNormal="90" workbookViewId="0">
      <selection activeCell="G5" sqref="G4:G5"/>
    </sheetView>
  </sheetViews>
  <sheetFormatPr defaultRowHeight="12.75" x14ac:dyDescent="0.2"/>
  <cols>
    <col min="1" max="1" width="6.42578125" style="37" bestFit="1" customWidth="1"/>
    <col min="2" max="2" width="47.85546875" style="34" customWidth="1"/>
    <col min="3" max="3" width="15.5703125" style="34" bestFit="1" customWidth="1"/>
    <col min="4" max="4" width="15.140625" style="34" customWidth="1"/>
    <col min="5" max="5" width="10.5703125" style="34" customWidth="1"/>
    <col min="6" max="6" width="15.28515625" style="34" customWidth="1"/>
    <col min="7" max="7" width="15.5703125" style="34" customWidth="1"/>
    <col min="8" max="8" width="11.28515625" style="34" customWidth="1"/>
    <col min="9" max="10" width="9.42578125" style="34" customWidth="1"/>
    <col min="11" max="13" width="9.140625" style="34"/>
    <col min="14" max="14" width="11.28515625" style="34" customWidth="1"/>
    <col min="15" max="15" width="12.85546875" style="34" customWidth="1"/>
    <col min="16" max="16" width="12.28515625" style="34" customWidth="1"/>
    <col min="17" max="17" width="10.5703125" style="34" customWidth="1"/>
    <col min="18" max="256" width="9.140625" style="34"/>
    <col min="257" max="257" width="6.42578125" style="34" bestFit="1" customWidth="1"/>
    <col min="258" max="258" width="45.28515625" style="34" customWidth="1"/>
    <col min="259" max="259" width="12.42578125" style="34" customWidth="1"/>
    <col min="260" max="260" width="15.140625" style="34" customWidth="1"/>
    <col min="261" max="261" width="10.5703125" style="34" customWidth="1"/>
    <col min="262" max="262" width="15" style="34" customWidth="1"/>
    <col min="263" max="264" width="0" style="34" hidden="1" customWidth="1"/>
    <col min="265" max="512" width="9.140625" style="34"/>
    <col min="513" max="513" width="6.42578125" style="34" bestFit="1" customWidth="1"/>
    <col min="514" max="514" width="45.28515625" style="34" customWidth="1"/>
    <col min="515" max="515" width="12.42578125" style="34" customWidth="1"/>
    <col min="516" max="516" width="15.140625" style="34" customWidth="1"/>
    <col min="517" max="517" width="10.5703125" style="34" customWidth="1"/>
    <col min="518" max="518" width="15" style="34" customWidth="1"/>
    <col min="519" max="520" width="0" style="34" hidden="1" customWidth="1"/>
    <col min="521" max="768" width="9.140625" style="34"/>
    <col min="769" max="769" width="6.42578125" style="34" bestFit="1" customWidth="1"/>
    <col min="770" max="770" width="45.28515625" style="34" customWidth="1"/>
    <col min="771" max="771" width="12.42578125" style="34" customWidth="1"/>
    <col min="772" max="772" width="15.140625" style="34" customWidth="1"/>
    <col min="773" max="773" width="10.5703125" style="34" customWidth="1"/>
    <col min="774" max="774" width="15" style="34" customWidth="1"/>
    <col min="775" max="776" width="0" style="34" hidden="1" customWidth="1"/>
    <col min="777" max="1024" width="9.140625" style="34"/>
    <col min="1025" max="1025" width="6.42578125" style="34" bestFit="1" customWidth="1"/>
    <col min="1026" max="1026" width="45.28515625" style="34" customWidth="1"/>
    <col min="1027" max="1027" width="12.42578125" style="34" customWidth="1"/>
    <col min="1028" max="1028" width="15.140625" style="34" customWidth="1"/>
    <col min="1029" max="1029" width="10.5703125" style="34" customWidth="1"/>
    <col min="1030" max="1030" width="15" style="34" customWidth="1"/>
    <col min="1031" max="1032" width="0" style="34" hidden="1" customWidth="1"/>
    <col min="1033" max="1280" width="9.140625" style="34"/>
    <col min="1281" max="1281" width="6.42578125" style="34" bestFit="1" customWidth="1"/>
    <col min="1282" max="1282" width="45.28515625" style="34" customWidth="1"/>
    <col min="1283" max="1283" width="12.42578125" style="34" customWidth="1"/>
    <col min="1284" max="1284" width="15.140625" style="34" customWidth="1"/>
    <col min="1285" max="1285" width="10.5703125" style="34" customWidth="1"/>
    <col min="1286" max="1286" width="15" style="34" customWidth="1"/>
    <col min="1287" max="1288" width="0" style="34" hidden="1" customWidth="1"/>
    <col min="1289" max="1536" width="9.140625" style="34"/>
    <col min="1537" max="1537" width="6.42578125" style="34" bestFit="1" customWidth="1"/>
    <col min="1538" max="1538" width="45.28515625" style="34" customWidth="1"/>
    <col min="1539" max="1539" width="12.42578125" style="34" customWidth="1"/>
    <col min="1540" max="1540" width="15.140625" style="34" customWidth="1"/>
    <col min="1541" max="1541" width="10.5703125" style="34" customWidth="1"/>
    <col min="1542" max="1542" width="15" style="34" customWidth="1"/>
    <col min="1543" max="1544" width="0" style="34" hidden="1" customWidth="1"/>
    <col min="1545" max="1792" width="9.140625" style="34"/>
    <col min="1793" max="1793" width="6.42578125" style="34" bestFit="1" customWidth="1"/>
    <col min="1794" max="1794" width="45.28515625" style="34" customWidth="1"/>
    <col min="1795" max="1795" width="12.42578125" style="34" customWidth="1"/>
    <col min="1796" max="1796" width="15.140625" style="34" customWidth="1"/>
    <col min="1797" max="1797" width="10.5703125" style="34" customWidth="1"/>
    <col min="1798" max="1798" width="15" style="34" customWidth="1"/>
    <col min="1799" max="1800" width="0" style="34" hidden="1" customWidth="1"/>
    <col min="1801" max="2048" width="9.140625" style="34"/>
    <col min="2049" max="2049" width="6.42578125" style="34" bestFit="1" customWidth="1"/>
    <col min="2050" max="2050" width="45.28515625" style="34" customWidth="1"/>
    <col min="2051" max="2051" width="12.42578125" style="34" customWidth="1"/>
    <col min="2052" max="2052" width="15.140625" style="34" customWidth="1"/>
    <col min="2053" max="2053" width="10.5703125" style="34" customWidth="1"/>
    <col min="2054" max="2054" width="15" style="34" customWidth="1"/>
    <col min="2055" max="2056" width="0" style="34" hidden="1" customWidth="1"/>
    <col min="2057" max="2304" width="9.140625" style="34"/>
    <col min="2305" max="2305" width="6.42578125" style="34" bestFit="1" customWidth="1"/>
    <col min="2306" max="2306" width="45.28515625" style="34" customWidth="1"/>
    <col min="2307" max="2307" width="12.42578125" style="34" customWidth="1"/>
    <col min="2308" max="2308" width="15.140625" style="34" customWidth="1"/>
    <col min="2309" max="2309" width="10.5703125" style="34" customWidth="1"/>
    <col min="2310" max="2310" width="15" style="34" customWidth="1"/>
    <col min="2311" max="2312" width="0" style="34" hidden="1" customWidth="1"/>
    <col min="2313" max="2560" width="9.140625" style="34"/>
    <col min="2561" max="2561" width="6.42578125" style="34" bestFit="1" customWidth="1"/>
    <col min="2562" max="2562" width="45.28515625" style="34" customWidth="1"/>
    <col min="2563" max="2563" width="12.42578125" style="34" customWidth="1"/>
    <col min="2564" max="2564" width="15.140625" style="34" customWidth="1"/>
    <col min="2565" max="2565" width="10.5703125" style="34" customWidth="1"/>
    <col min="2566" max="2566" width="15" style="34" customWidth="1"/>
    <col min="2567" max="2568" width="0" style="34" hidden="1" customWidth="1"/>
    <col min="2569" max="2816" width="9.140625" style="34"/>
    <col min="2817" max="2817" width="6.42578125" style="34" bestFit="1" customWidth="1"/>
    <col min="2818" max="2818" width="45.28515625" style="34" customWidth="1"/>
    <col min="2819" max="2819" width="12.42578125" style="34" customWidth="1"/>
    <col min="2820" max="2820" width="15.140625" style="34" customWidth="1"/>
    <col min="2821" max="2821" width="10.5703125" style="34" customWidth="1"/>
    <col min="2822" max="2822" width="15" style="34" customWidth="1"/>
    <col min="2823" max="2824" width="0" style="34" hidden="1" customWidth="1"/>
    <col min="2825" max="3072" width="9.140625" style="34"/>
    <col min="3073" max="3073" width="6.42578125" style="34" bestFit="1" customWidth="1"/>
    <col min="3074" max="3074" width="45.28515625" style="34" customWidth="1"/>
    <col min="3075" max="3075" width="12.42578125" style="34" customWidth="1"/>
    <col min="3076" max="3076" width="15.140625" style="34" customWidth="1"/>
    <col min="3077" max="3077" width="10.5703125" style="34" customWidth="1"/>
    <col min="3078" max="3078" width="15" style="34" customWidth="1"/>
    <col min="3079" max="3080" width="0" style="34" hidden="1" customWidth="1"/>
    <col min="3081" max="3328" width="9.140625" style="34"/>
    <col min="3329" max="3329" width="6.42578125" style="34" bestFit="1" customWidth="1"/>
    <col min="3330" max="3330" width="45.28515625" style="34" customWidth="1"/>
    <col min="3331" max="3331" width="12.42578125" style="34" customWidth="1"/>
    <col min="3332" max="3332" width="15.140625" style="34" customWidth="1"/>
    <col min="3333" max="3333" width="10.5703125" style="34" customWidth="1"/>
    <col min="3334" max="3334" width="15" style="34" customWidth="1"/>
    <col min="3335" max="3336" width="0" style="34" hidden="1" customWidth="1"/>
    <col min="3337" max="3584" width="9.140625" style="34"/>
    <col min="3585" max="3585" width="6.42578125" style="34" bestFit="1" customWidth="1"/>
    <col min="3586" max="3586" width="45.28515625" style="34" customWidth="1"/>
    <col min="3587" max="3587" width="12.42578125" style="34" customWidth="1"/>
    <col min="3588" max="3588" width="15.140625" style="34" customWidth="1"/>
    <col min="3589" max="3589" width="10.5703125" style="34" customWidth="1"/>
    <col min="3590" max="3590" width="15" style="34" customWidth="1"/>
    <col min="3591" max="3592" width="0" style="34" hidden="1" customWidth="1"/>
    <col min="3593" max="3840" width="9.140625" style="34"/>
    <col min="3841" max="3841" width="6.42578125" style="34" bestFit="1" customWidth="1"/>
    <col min="3842" max="3842" width="45.28515625" style="34" customWidth="1"/>
    <col min="3843" max="3843" width="12.42578125" style="34" customWidth="1"/>
    <col min="3844" max="3844" width="15.140625" style="34" customWidth="1"/>
    <col min="3845" max="3845" width="10.5703125" style="34" customWidth="1"/>
    <col min="3846" max="3846" width="15" style="34" customWidth="1"/>
    <col min="3847" max="3848" width="0" style="34" hidden="1" customWidth="1"/>
    <col min="3849" max="4096" width="9.140625" style="34"/>
    <col min="4097" max="4097" width="6.42578125" style="34" bestFit="1" customWidth="1"/>
    <col min="4098" max="4098" width="45.28515625" style="34" customWidth="1"/>
    <col min="4099" max="4099" width="12.42578125" style="34" customWidth="1"/>
    <col min="4100" max="4100" width="15.140625" style="34" customWidth="1"/>
    <col min="4101" max="4101" width="10.5703125" style="34" customWidth="1"/>
    <col min="4102" max="4102" width="15" style="34" customWidth="1"/>
    <col min="4103" max="4104" width="0" style="34" hidden="1" customWidth="1"/>
    <col min="4105" max="4352" width="9.140625" style="34"/>
    <col min="4353" max="4353" width="6.42578125" style="34" bestFit="1" customWidth="1"/>
    <col min="4354" max="4354" width="45.28515625" style="34" customWidth="1"/>
    <col min="4355" max="4355" width="12.42578125" style="34" customWidth="1"/>
    <col min="4356" max="4356" width="15.140625" style="34" customWidth="1"/>
    <col min="4357" max="4357" width="10.5703125" style="34" customWidth="1"/>
    <col min="4358" max="4358" width="15" style="34" customWidth="1"/>
    <col min="4359" max="4360" width="0" style="34" hidden="1" customWidth="1"/>
    <col min="4361" max="4608" width="9.140625" style="34"/>
    <col min="4609" max="4609" width="6.42578125" style="34" bestFit="1" customWidth="1"/>
    <col min="4610" max="4610" width="45.28515625" style="34" customWidth="1"/>
    <col min="4611" max="4611" width="12.42578125" style="34" customWidth="1"/>
    <col min="4612" max="4612" width="15.140625" style="34" customWidth="1"/>
    <col min="4613" max="4613" width="10.5703125" style="34" customWidth="1"/>
    <col min="4614" max="4614" width="15" style="34" customWidth="1"/>
    <col min="4615" max="4616" width="0" style="34" hidden="1" customWidth="1"/>
    <col min="4617" max="4864" width="9.140625" style="34"/>
    <col min="4865" max="4865" width="6.42578125" style="34" bestFit="1" customWidth="1"/>
    <col min="4866" max="4866" width="45.28515625" style="34" customWidth="1"/>
    <col min="4867" max="4867" width="12.42578125" style="34" customWidth="1"/>
    <col min="4868" max="4868" width="15.140625" style="34" customWidth="1"/>
    <col min="4869" max="4869" width="10.5703125" style="34" customWidth="1"/>
    <col min="4870" max="4870" width="15" style="34" customWidth="1"/>
    <col min="4871" max="4872" width="0" style="34" hidden="1" customWidth="1"/>
    <col min="4873" max="5120" width="9.140625" style="34"/>
    <col min="5121" max="5121" width="6.42578125" style="34" bestFit="1" customWidth="1"/>
    <col min="5122" max="5122" width="45.28515625" style="34" customWidth="1"/>
    <col min="5123" max="5123" width="12.42578125" style="34" customWidth="1"/>
    <col min="5124" max="5124" width="15.140625" style="34" customWidth="1"/>
    <col min="5125" max="5125" width="10.5703125" style="34" customWidth="1"/>
    <col min="5126" max="5126" width="15" style="34" customWidth="1"/>
    <col min="5127" max="5128" width="0" style="34" hidden="1" customWidth="1"/>
    <col min="5129" max="5376" width="9.140625" style="34"/>
    <col min="5377" max="5377" width="6.42578125" style="34" bestFit="1" customWidth="1"/>
    <col min="5378" max="5378" width="45.28515625" style="34" customWidth="1"/>
    <col min="5379" max="5379" width="12.42578125" style="34" customWidth="1"/>
    <col min="5380" max="5380" width="15.140625" style="34" customWidth="1"/>
    <col min="5381" max="5381" width="10.5703125" style="34" customWidth="1"/>
    <col min="5382" max="5382" width="15" style="34" customWidth="1"/>
    <col min="5383" max="5384" width="0" style="34" hidden="1" customWidth="1"/>
    <col min="5385" max="5632" width="9.140625" style="34"/>
    <col min="5633" max="5633" width="6.42578125" style="34" bestFit="1" customWidth="1"/>
    <col min="5634" max="5634" width="45.28515625" style="34" customWidth="1"/>
    <col min="5635" max="5635" width="12.42578125" style="34" customWidth="1"/>
    <col min="5636" max="5636" width="15.140625" style="34" customWidth="1"/>
    <col min="5637" max="5637" width="10.5703125" style="34" customWidth="1"/>
    <col min="5638" max="5638" width="15" style="34" customWidth="1"/>
    <col min="5639" max="5640" width="0" style="34" hidden="1" customWidth="1"/>
    <col min="5641" max="5888" width="9.140625" style="34"/>
    <col min="5889" max="5889" width="6.42578125" style="34" bestFit="1" customWidth="1"/>
    <col min="5890" max="5890" width="45.28515625" style="34" customWidth="1"/>
    <col min="5891" max="5891" width="12.42578125" style="34" customWidth="1"/>
    <col min="5892" max="5892" width="15.140625" style="34" customWidth="1"/>
    <col min="5893" max="5893" width="10.5703125" style="34" customWidth="1"/>
    <col min="5894" max="5894" width="15" style="34" customWidth="1"/>
    <col min="5895" max="5896" width="0" style="34" hidden="1" customWidth="1"/>
    <col min="5897" max="6144" width="9.140625" style="34"/>
    <col min="6145" max="6145" width="6.42578125" style="34" bestFit="1" customWidth="1"/>
    <col min="6146" max="6146" width="45.28515625" style="34" customWidth="1"/>
    <col min="6147" max="6147" width="12.42578125" style="34" customWidth="1"/>
    <col min="6148" max="6148" width="15.140625" style="34" customWidth="1"/>
    <col min="6149" max="6149" width="10.5703125" style="34" customWidth="1"/>
    <col min="6150" max="6150" width="15" style="34" customWidth="1"/>
    <col min="6151" max="6152" width="0" style="34" hidden="1" customWidth="1"/>
    <col min="6153" max="6400" width="9.140625" style="34"/>
    <col min="6401" max="6401" width="6.42578125" style="34" bestFit="1" customWidth="1"/>
    <col min="6402" max="6402" width="45.28515625" style="34" customWidth="1"/>
    <col min="6403" max="6403" width="12.42578125" style="34" customWidth="1"/>
    <col min="6404" max="6404" width="15.140625" style="34" customWidth="1"/>
    <col min="6405" max="6405" width="10.5703125" style="34" customWidth="1"/>
    <col min="6406" max="6406" width="15" style="34" customWidth="1"/>
    <col min="6407" max="6408" width="0" style="34" hidden="1" customWidth="1"/>
    <col min="6409" max="6656" width="9.140625" style="34"/>
    <col min="6657" max="6657" width="6.42578125" style="34" bestFit="1" customWidth="1"/>
    <col min="6658" max="6658" width="45.28515625" style="34" customWidth="1"/>
    <col min="6659" max="6659" width="12.42578125" style="34" customWidth="1"/>
    <col min="6660" max="6660" width="15.140625" style="34" customWidth="1"/>
    <col min="6661" max="6661" width="10.5703125" style="34" customWidth="1"/>
    <col min="6662" max="6662" width="15" style="34" customWidth="1"/>
    <col min="6663" max="6664" width="0" style="34" hidden="1" customWidth="1"/>
    <col min="6665" max="6912" width="9.140625" style="34"/>
    <col min="6913" max="6913" width="6.42578125" style="34" bestFit="1" customWidth="1"/>
    <col min="6914" max="6914" width="45.28515625" style="34" customWidth="1"/>
    <col min="6915" max="6915" width="12.42578125" style="34" customWidth="1"/>
    <col min="6916" max="6916" width="15.140625" style="34" customWidth="1"/>
    <col min="6917" max="6917" width="10.5703125" style="34" customWidth="1"/>
    <col min="6918" max="6918" width="15" style="34" customWidth="1"/>
    <col min="6919" max="6920" width="0" style="34" hidden="1" customWidth="1"/>
    <col min="6921" max="7168" width="9.140625" style="34"/>
    <col min="7169" max="7169" width="6.42578125" style="34" bestFit="1" customWidth="1"/>
    <col min="7170" max="7170" width="45.28515625" style="34" customWidth="1"/>
    <col min="7171" max="7171" width="12.42578125" style="34" customWidth="1"/>
    <col min="7172" max="7172" width="15.140625" style="34" customWidth="1"/>
    <col min="7173" max="7173" width="10.5703125" style="34" customWidth="1"/>
    <col min="7174" max="7174" width="15" style="34" customWidth="1"/>
    <col min="7175" max="7176" width="0" style="34" hidden="1" customWidth="1"/>
    <col min="7177" max="7424" width="9.140625" style="34"/>
    <col min="7425" max="7425" width="6.42578125" style="34" bestFit="1" customWidth="1"/>
    <col min="7426" max="7426" width="45.28515625" style="34" customWidth="1"/>
    <col min="7427" max="7427" width="12.42578125" style="34" customWidth="1"/>
    <col min="7428" max="7428" width="15.140625" style="34" customWidth="1"/>
    <col min="7429" max="7429" width="10.5703125" style="34" customWidth="1"/>
    <col min="7430" max="7430" width="15" style="34" customWidth="1"/>
    <col min="7431" max="7432" width="0" style="34" hidden="1" customWidth="1"/>
    <col min="7433" max="7680" width="9.140625" style="34"/>
    <col min="7681" max="7681" width="6.42578125" style="34" bestFit="1" customWidth="1"/>
    <col min="7682" max="7682" width="45.28515625" style="34" customWidth="1"/>
    <col min="7683" max="7683" width="12.42578125" style="34" customWidth="1"/>
    <col min="7684" max="7684" width="15.140625" style="34" customWidth="1"/>
    <col min="7685" max="7685" width="10.5703125" style="34" customWidth="1"/>
    <col min="7686" max="7686" width="15" style="34" customWidth="1"/>
    <col min="7687" max="7688" width="0" style="34" hidden="1" customWidth="1"/>
    <col min="7689" max="7936" width="9.140625" style="34"/>
    <col min="7937" max="7937" width="6.42578125" style="34" bestFit="1" customWidth="1"/>
    <col min="7938" max="7938" width="45.28515625" style="34" customWidth="1"/>
    <col min="7939" max="7939" width="12.42578125" style="34" customWidth="1"/>
    <col min="7940" max="7940" width="15.140625" style="34" customWidth="1"/>
    <col min="7941" max="7941" width="10.5703125" style="34" customWidth="1"/>
    <col min="7942" max="7942" width="15" style="34" customWidth="1"/>
    <col min="7943" max="7944" width="0" style="34" hidden="1" customWidth="1"/>
    <col min="7945" max="8192" width="9.140625" style="34"/>
    <col min="8193" max="8193" width="6.42578125" style="34" bestFit="1" customWidth="1"/>
    <col min="8194" max="8194" width="45.28515625" style="34" customWidth="1"/>
    <col min="8195" max="8195" width="12.42578125" style="34" customWidth="1"/>
    <col min="8196" max="8196" width="15.140625" style="34" customWidth="1"/>
    <col min="8197" max="8197" width="10.5703125" style="34" customWidth="1"/>
    <col min="8198" max="8198" width="15" style="34" customWidth="1"/>
    <col min="8199" max="8200" width="0" style="34" hidden="1" customWidth="1"/>
    <col min="8201" max="8448" width="9.140625" style="34"/>
    <col min="8449" max="8449" width="6.42578125" style="34" bestFit="1" customWidth="1"/>
    <col min="8450" max="8450" width="45.28515625" style="34" customWidth="1"/>
    <col min="8451" max="8451" width="12.42578125" style="34" customWidth="1"/>
    <col min="8452" max="8452" width="15.140625" style="34" customWidth="1"/>
    <col min="8453" max="8453" width="10.5703125" style="34" customWidth="1"/>
    <col min="8454" max="8454" width="15" style="34" customWidth="1"/>
    <col min="8455" max="8456" width="0" style="34" hidden="1" customWidth="1"/>
    <col min="8457" max="8704" width="9.140625" style="34"/>
    <col min="8705" max="8705" width="6.42578125" style="34" bestFit="1" customWidth="1"/>
    <col min="8706" max="8706" width="45.28515625" style="34" customWidth="1"/>
    <col min="8707" max="8707" width="12.42578125" style="34" customWidth="1"/>
    <col min="8708" max="8708" width="15.140625" style="34" customWidth="1"/>
    <col min="8709" max="8709" width="10.5703125" style="34" customWidth="1"/>
    <col min="8710" max="8710" width="15" style="34" customWidth="1"/>
    <col min="8711" max="8712" width="0" style="34" hidden="1" customWidth="1"/>
    <col min="8713" max="8960" width="9.140625" style="34"/>
    <col min="8961" max="8961" width="6.42578125" style="34" bestFit="1" customWidth="1"/>
    <col min="8962" max="8962" width="45.28515625" style="34" customWidth="1"/>
    <col min="8963" max="8963" width="12.42578125" style="34" customWidth="1"/>
    <col min="8964" max="8964" width="15.140625" style="34" customWidth="1"/>
    <col min="8965" max="8965" width="10.5703125" style="34" customWidth="1"/>
    <col min="8966" max="8966" width="15" style="34" customWidth="1"/>
    <col min="8967" max="8968" width="0" style="34" hidden="1" customWidth="1"/>
    <col min="8969" max="9216" width="9.140625" style="34"/>
    <col min="9217" max="9217" width="6.42578125" style="34" bestFit="1" customWidth="1"/>
    <col min="9218" max="9218" width="45.28515625" style="34" customWidth="1"/>
    <col min="9219" max="9219" width="12.42578125" style="34" customWidth="1"/>
    <col min="9220" max="9220" width="15.140625" style="34" customWidth="1"/>
    <col min="9221" max="9221" width="10.5703125" style="34" customWidth="1"/>
    <col min="9222" max="9222" width="15" style="34" customWidth="1"/>
    <col min="9223" max="9224" width="0" style="34" hidden="1" customWidth="1"/>
    <col min="9225" max="9472" width="9.140625" style="34"/>
    <col min="9473" max="9473" width="6.42578125" style="34" bestFit="1" customWidth="1"/>
    <col min="9474" max="9474" width="45.28515625" style="34" customWidth="1"/>
    <col min="9475" max="9475" width="12.42578125" style="34" customWidth="1"/>
    <col min="9476" max="9476" width="15.140625" style="34" customWidth="1"/>
    <col min="9477" max="9477" width="10.5703125" style="34" customWidth="1"/>
    <col min="9478" max="9478" width="15" style="34" customWidth="1"/>
    <col min="9479" max="9480" width="0" style="34" hidden="1" customWidth="1"/>
    <col min="9481" max="9728" width="9.140625" style="34"/>
    <col min="9729" max="9729" width="6.42578125" style="34" bestFit="1" customWidth="1"/>
    <col min="9730" max="9730" width="45.28515625" style="34" customWidth="1"/>
    <col min="9731" max="9731" width="12.42578125" style="34" customWidth="1"/>
    <col min="9732" max="9732" width="15.140625" style="34" customWidth="1"/>
    <col min="9733" max="9733" width="10.5703125" style="34" customWidth="1"/>
    <col min="9734" max="9734" width="15" style="34" customWidth="1"/>
    <col min="9735" max="9736" width="0" style="34" hidden="1" customWidth="1"/>
    <col min="9737" max="9984" width="9.140625" style="34"/>
    <col min="9985" max="9985" width="6.42578125" style="34" bestFit="1" customWidth="1"/>
    <col min="9986" max="9986" width="45.28515625" style="34" customWidth="1"/>
    <col min="9987" max="9987" width="12.42578125" style="34" customWidth="1"/>
    <col min="9988" max="9988" width="15.140625" style="34" customWidth="1"/>
    <col min="9989" max="9989" width="10.5703125" style="34" customWidth="1"/>
    <col min="9990" max="9990" width="15" style="34" customWidth="1"/>
    <col min="9991" max="9992" width="0" style="34" hidden="1" customWidth="1"/>
    <col min="9993" max="10240" width="9.140625" style="34"/>
    <col min="10241" max="10241" width="6.42578125" style="34" bestFit="1" customWidth="1"/>
    <col min="10242" max="10242" width="45.28515625" style="34" customWidth="1"/>
    <col min="10243" max="10243" width="12.42578125" style="34" customWidth="1"/>
    <col min="10244" max="10244" width="15.140625" style="34" customWidth="1"/>
    <col min="10245" max="10245" width="10.5703125" style="34" customWidth="1"/>
    <col min="10246" max="10246" width="15" style="34" customWidth="1"/>
    <col min="10247" max="10248" width="0" style="34" hidden="1" customWidth="1"/>
    <col min="10249" max="10496" width="9.140625" style="34"/>
    <col min="10497" max="10497" width="6.42578125" style="34" bestFit="1" customWidth="1"/>
    <col min="10498" max="10498" width="45.28515625" style="34" customWidth="1"/>
    <col min="10499" max="10499" width="12.42578125" style="34" customWidth="1"/>
    <col min="10500" max="10500" width="15.140625" style="34" customWidth="1"/>
    <col min="10501" max="10501" width="10.5703125" style="34" customWidth="1"/>
    <col min="10502" max="10502" width="15" style="34" customWidth="1"/>
    <col min="10503" max="10504" width="0" style="34" hidden="1" customWidth="1"/>
    <col min="10505" max="10752" width="9.140625" style="34"/>
    <col min="10753" max="10753" width="6.42578125" style="34" bestFit="1" customWidth="1"/>
    <col min="10754" max="10754" width="45.28515625" style="34" customWidth="1"/>
    <col min="10755" max="10755" width="12.42578125" style="34" customWidth="1"/>
    <col min="10756" max="10756" width="15.140625" style="34" customWidth="1"/>
    <col min="10757" max="10757" width="10.5703125" style="34" customWidth="1"/>
    <col min="10758" max="10758" width="15" style="34" customWidth="1"/>
    <col min="10759" max="10760" width="0" style="34" hidden="1" customWidth="1"/>
    <col min="10761" max="11008" width="9.140625" style="34"/>
    <col min="11009" max="11009" width="6.42578125" style="34" bestFit="1" customWidth="1"/>
    <col min="11010" max="11010" width="45.28515625" style="34" customWidth="1"/>
    <col min="11011" max="11011" width="12.42578125" style="34" customWidth="1"/>
    <col min="11012" max="11012" width="15.140625" style="34" customWidth="1"/>
    <col min="11013" max="11013" width="10.5703125" style="34" customWidth="1"/>
    <col min="11014" max="11014" width="15" style="34" customWidth="1"/>
    <col min="11015" max="11016" width="0" style="34" hidden="1" customWidth="1"/>
    <col min="11017" max="11264" width="9.140625" style="34"/>
    <col min="11265" max="11265" width="6.42578125" style="34" bestFit="1" customWidth="1"/>
    <col min="11266" max="11266" width="45.28515625" style="34" customWidth="1"/>
    <col min="11267" max="11267" width="12.42578125" style="34" customWidth="1"/>
    <col min="11268" max="11268" width="15.140625" style="34" customWidth="1"/>
    <col min="11269" max="11269" width="10.5703125" style="34" customWidth="1"/>
    <col min="11270" max="11270" width="15" style="34" customWidth="1"/>
    <col min="11271" max="11272" width="0" style="34" hidden="1" customWidth="1"/>
    <col min="11273" max="11520" width="9.140625" style="34"/>
    <col min="11521" max="11521" width="6.42578125" style="34" bestFit="1" customWidth="1"/>
    <col min="11522" max="11522" width="45.28515625" style="34" customWidth="1"/>
    <col min="11523" max="11523" width="12.42578125" style="34" customWidth="1"/>
    <col min="11524" max="11524" width="15.140625" style="34" customWidth="1"/>
    <col min="11525" max="11525" width="10.5703125" style="34" customWidth="1"/>
    <col min="11526" max="11526" width="15" style="34" customWidth="1"/>
    <col min="11527" max="11528" width="0" style="34" hidden="1" customWidth="1"/>
    <col min="11529" max="11776" width="9.140625" style="34"/>
    <col min="11777" max="11777" width="6.42578125" style="34" bestFit="1" customWidth="1"/>
    <col min="11778" max="11778" width="45.28515625" style="34" customWidth="1"/>
    <col min="11779" max="11779" width="12.42578125" style="34" customWidth="1"/>
    <col min="11780" max="11780" width="15.140625" style="34" customWidth="1"/>
    <col min="11781" max="11781" width="10.5703125" style="34" customWidth="1"/>
    <col min="11782" max="11782" width="15" style="34" customWidth="1"/>
    <col min="11783" max="11784" width="0" style="34" hidden="1" customWidth="1"/>
    <col min="11785" max="12032" width="9.140625" style="34"/>
    <col min="12033" max="12033" width="6.42578125" style="34" bestFit="1" customWidth="1"/>
    <col min="12034" max="12034" width="45.28515625" style="34" customWidth="1"/>
    <col min="12035" max="12035" width="12.42578125" style="34" customWidth="1"/>
    <col min="12036" max="12036" width="15.140625" style="34" customWidth="1"/>
    <col min="12037" max="12037" width="10.5703125" style="34" customWidth="1"/>
    <col min="12038" max="12038" width="15" style="34" customWidth="1"/>
    <col min="12039" max="12040" width="0" style="34" hidden="1" customWidth="1"/>
    <col min="12041" max="12288" width="9.140625" style="34"/>
    <col min="12289" max="12289" width="6.42578125" style="34" bestFit="1" customWidth="1"/>
    <col min="12290" max="12290" width="45.28515625" style="34" customWidth="1"/>
    <col min="12291" max="12291" width="12.42578125" style="34" customWidth="1"/>
    <col min="12292" max="12292" width="15.140625" style="34" customWidth="1"/>
    <col min="12293" max="12293" width="10.5703125" style="34" customWidth="1"/>
    <col min="12294" max="12294" width="15" style="34" customWidth="1"/>
    <col min="12295" max="12296" width="0" style="34" hidden="1" customWidth="1"/>
    <col min="12297" max="12544" width="9.140625" style="34"/>
    <col min="12545" max="12545" width="6.42578125" style="34" bestFit="1" customWidth="1"/>
    <col min="12546" max="12546" width="45.28515625" style="34" customWidth="1"/>
    <col min="12547" max="12547" width="12.42578125" style="34" customWidth="1"/>
    <col min="12548" max="12548" width="15.140625" style="34" customWidth="1"/>
    <col min="12549" max="12549" width="10.5703125" style="34" customWidth="1"/>
    <col min="12550" max="12550" width="15" style="34" customWidth="1"/>
    <col min="12551" max="12552" width="0" style="34" hidden="1" customWidth="1"/>
    <col min="12553" max="12800" width="9.140625" style="34"/>
    <col min="12801" max="12801" width="6.42578125" style="34" bestFit="1" customWidth="1"/>
    <col min="12802" max="12802" width="45.28515625" style="34" customWidth="1"/>
    <col min="12803" max="12803" width="12.42578125" style="34" customWidth="1"/>
    <col min="12804" max="12804" width="15.140625" style="34" customWidth="1"/>
    <col min="12805" max="12805" width="10.5703125" style="34" customWidth="1"/>
    <col min="12806" max="12806" width="15" style="34" customWidth="1"/>
    <col min="12807" max="12808" width="0" style="34" hidden="1" customWidth="1"/>
    <col min="12809" max="13056" width="9.140625" style="34"/>
    <col min="13057" max="13057" width="6.42578125" style="34" bestFit="1" customWidth="1"/>
    <col min="13058" max="13058" width="45.28515625" style="34" customWidth="1"/>
    <col min="13059" max="13059" width="12.42578125" style="34" customWidth="1"/>
    <col min="13060" max="13060" width="15.140625" style="34" customWidth="1"/>
    <col min="13061" max="13061" width="10.5703125" style="34" customWidth="1"/>
    <col min="13062" max="13062" width="15" style="34" customWidth="1"/>
    <col min="13063" max="13064" width="0" style="34" hidden="1" customWidth="1"/>
    <col min="13065" max="13312" width="9.140625" style="34"/>
    <col min="13313" max="13313" width="6.42578125" style="34" bestFit="1" customWidth="1"/>
    <col min="13314" max="13314" width="45.28515625" style="34" customWidth="1"/>
    <col min="13315" max="13315" width="12.42578125" style="34" customWidth="1"/>
    <col min="13316" max="13316" width="15.140625" style="34" customWidth="1"/>
    <col min="13317" max="13317" width="10.5703125" style="34" customWidth="1"/>
    <col min="13318" max="13318" width="15" style="34" customWidth="1"/>
    <col min="13319" max="13320" width="0" style="34" hidden="1" customWidth="1"/>
    <col min="13321" max="13568" width="9.140625" style="34"/>
    <col min="13569" max="13569" width="6.42578125" style="34" bestFit="1" customWidth="1"/>
    <col min="13570" max="13570" width="45.28515625" style="34" customWidth="1"/>
    <col min="13571" max="13571" width="12.42578125" style="34" customWidth="1"/>
    <col min="13572" max="13572" width="15.140625" style="34" customWidth="1"/>
    <col min="13573" max="13573" width="10.5703125" style="34" customWidth="1"/>
    <col min="13574" max="13574" width="15" style="34" customWidth="1"/>
    <col min="13575" max="13576" width="0" style="34" hidden="1" customWidth="1"/>
    <col min="13577" max="13824" width="9.140625" style="34"/>
    <col min="13825" max="13825" width="6.42578125" style="34" bestFit="1" customWidth="1"/>
    <col min="13826" max="13826" width="45.28515625" style="34" customWidth="1"/>
    <col min="13827" max="13827" width="12.42578125" style="34" customWidth="1"/>
    <col min="13828" max="13828" width="15.140625" style="34" customWidth="1"/>
    <col min="13829" max="13829" width="10.5703125" style="34" customWidth="1"/>
    <col min="13830" max="13830" width="15" style="34" customWidth="1"/>
    <col min="13831" max="13832" width="0" style="34" hidden="1" customWidth="1"/>
    <col min="13833" max="14080" width="9.140625" style="34"/>
    <col min="14081" max="14081" width="6.42578125" style="34" bestFit="1" customWidth="1"/>
    <col min="14082" max="14082" width="45.28515625" style="34" customWidth="1"/>
    <col min="14083" max="14083" width="12.42578125" style="34" customWidth="1"/>
    <col min="14084" max="14084" width="15.140625" style="34" customWidth="1"/>
    <col min="14085" max="14085" width="10.5703125" style="34" customWidth="1"/>
    <col min="14086" max="14086" width="15" style="34" customWidth="1"/>
    <col min="14087" max="14088" width="0" style="34" hidden="1" customWidth="1"/>
    <col min="14089" max="14336" width="9.140625" style="34"/>
    <col min="14337" max="14337" width="6.42578125" style="34" bestFit="1" customWidth="1"/>
    <col min="14338" max="14338" width="45.28515625" style="34" customWidth="1"/>
    <col min="14339" max="14339" width="12.42578125" style="34" customWidth="1"/>
    <col min="14340" max="14340" width="15.140625" style="34" customWidth="1"/>
    <col min="14341" max="14341" width="10.5703125" style="34" customWidth="1"/>
    <col min="14342" max="14342" width="15" style="34" customWidth="1"/>
    <col min="14343" max="14344" width="0" style="34" hidden="1" customWidth="1"/>
    <col min="14345" max="14592" width="9.140625" style="34"/>
    <col min="14593" max="14593" width="6.42578125" style="34" bestFit="1" customWidth="1"/>
    <col min="14594" max="14594" width="45.28515625" style="34" customWidth="1"/>
    <col min="14595" max="14595" width="12.42578125" style="34" customWidth="1"/>
    <col min="14596" max="14596" width="15.140625" style="34" customWidth="1"/>
    <col min="14597" max="14597" width="10.5703125" style="34" customWidth="1"/>
    <col min="14598" max="14598" width="15" style="34" customWidth="1"/>
    <col min="14599" max="14600" width="0" style="34" hidden="1" customWidth="1"/>
    <col min="14601" max="14848" width="9.140625" style="34"/>
    <col min="14849" max="14849" width="6.42578125" style="34" bestFit="1" customWidth="1"/>
    <col min="14850" max="14850" width="45.28515625" style="34" customWidth="1"/>
    <col min="14851" max="14851" width="12.42578125" style="34" customWidth="1"/>
    <col min="14852" max="14852" width="15.140625" style="34" customWidth="1"/>
    <col min="14853" max="14853" width="10.5703125" style="34" customWidth="1"/>
    <col min="14854" max="14854" width="15" style="34" customWidth="1"/>
    <col min="14855" max="14856" width="0" style="34" hidden="1" customWidth="1"/>
    <col min="14857" max="15104" width="9.140625" style="34"/>
    <col min="15105" max="15105" width="6.42578125" style="34" bestFit="1" customWidth="1"/>
    <col min="15106" max="15106" width="45.28515625" style="34" customWidth="1"/>
    <col min="15107" max="15107" width="12.42578125" style="34" customWidth="1"/>
    <col min="15108" max="15108" width="15.140625" style="34" customWidth="1"/>
    <col min="15109" max="15109" width="10.5703125" style="34" customWidth="1"/>
    <col min="15110" max="15110" width="15" style="34" customWidth="1"/>
    <col min="15111" max="15112" width="0" style="34" hidden="1" customWidth="1"/>
    <col min="15113" max="15360" width="9.140625" style="34"/>
    <col min="15361" max="15361" width="6.42578125" style="34" bestFit="1" customWidth="1"/>
    <col min="15362" max="15362" width="45.28515625" style="34" customWidth="1"/>
    <col min="15363" max="15363" width="12.42578125" style="34" customWidth="1"/>
    <col min="15364" max="15364" width="15.140625" style="34" customWidth="1"/>
    <col min="15365" max="15365" width="10.5703125" style="34" customWidth="1"/>
    <col min="15366" max="15366" width="15" style="34" customWidth="1"/>
    <col min="15367" max="15368" width="0" style="34" hidden="1" customWidth="1"/>
    <col min="15369" max="15616" width="9.140625" style="34"/>
    <col min="15617" max="15617" width="6.42578125" style="34" bestFit="1" customWidth="1"/>
    <col min="15618" max="15618" width="45.28515625" style="34" customWidth="1"/>
    <col min="15619" max="15619" width="12.42578125" style="34" customWidth="1"/>
    <col min="15620" max="15620" width="15.140625" style="34" customWidth="1"/>
    <col min="15621" max="15621" width="10.5703125" style="34" customWidth="1"/>
    <col min="15622" max="15622" width="15" style="34" customWidth="1"/>
    <col min="15623" max="15624" width="0" style="34" hidden="1" customWidth="1"/>
    <col min="15625" max="15872" width="9.140625" style="34"/>
    <col min="15873" max="15873" width="6.42578125" style="34" bestFit="1" customWidth="1"/>
    <col min="15874" max="15874" width="45.28515625" style="34" customWidth="1"/>
    <col min="15875" max="15875" width="12.42578125" style="34" customWidth="1"/>
    <col min="15876" max="15876" width="15.140625" style="34" customWidth="1"/>
    <col min="15877" max="15877" width="10.5703125" style="34" customWidth="1"/>
    <col min="15878" max="15878" width="15" style="34" customWidth="1"/>
    <col min="15879" max="15880" width="0" style="34" hidden="1" customWidth="1"/>
    <col min="15881" max="16128" width="9.140625" style="34"/>
    <col min="16129" max="16129" width="6.42578125" style="34" bestFit="1" customWidth="1"/>
    <col min="16130" max="16130" width="45.28515625" style="34" customWidth="1"/>
    <col min="16131" max="16131" width="12.42578125" style="34" customWidth="1"/>
    <col min="16132" max="16132" width="15.140625" style="34" customWidth="1"/>
    <col min="16133" max="16133" width="10.5703125" style="34" customWidth="1"/>
    <col min="16134" max="16134" width="15" style="34" customWidth="1"/>
    <col min="16135" max="16136" width="0" style="34" hidden="1" customWidth="1"/>
    <col min="16137" max="16384" width="9.140625" style="34"/>
  </cols>
  <sheetData>
    <row r="1" spans="1:20" x14ac:dyDescent="0.2">
      <c r="B1" s="35" t="str">
        <f>Update!$B$6</f>
        <v>Department of Health</v>
      </c>
    </row>
    <row r="2" spans="1:20" x14ac:dyDescent="0.2">
      <c r="B2" s="35" t="str">
        <f>Update!$B$10</f>
        <v>Notes to the financial statements</v>
      </c>
    </row>
    <row r="3" spans="1:20" x14ac:dyDescent="0.2">
      <c r="B3" s="35" t="str">
        <f>Update!$A$3</f>
        <v>2025-26</v>
      </c>
    </row>
    <row r="5" spans="1:20" ht="17.45" customHeight="1" x14ac:dyDescent="0.2">
      <c r="A5" s="229">
        <f>SUMIF(Update!$B$33:$B$106,B5,Update!$A$33:$A$106)</f>
        <v>17</v>
      </c>
      <c r="B5" s="37" t="s">
        <v>2407</v>
      </c>
    </row>
    <row r="6" spans="1:20" ht="17.45" customHeight="1" x14ac:dyDescent="0.2"/>
    <row r="7" spans="1:20" x14ac:dyDescent="0.2">
      <c r="A7" s="229">
        <f>SUMIF(Update!$B$33:$B$106,B7,Update!$A$33:$A$106)</f>
        <v>17.100000000000001</v>
      </c>
      <c r="B7" s="37" t="s">
        <v>2408</v>
      </c>
    </row>
    <row r="8" spans="1:20" x14ac:dyDescent="0.2">
      <c r="A8" s="229"/>
      <c r="B8" s="37"/>
    </row>
    <row r="9" spans="1:20" x14ac:dyDescent="0.2">
      <c r="A9" s="229"/>
      <c r="B9" s="37"/>
      <c r="C9" s="2109" t="str">
        <f>Update!$B$7</f>
        <v>Core Department &amp; Agencies</v>
      </c>
      <c r="D9" s="2109"/>
      <c r="E9" s="2109"/>
      <c r="F9" s="2109"/>
      <c r="G9" s="2109"/>
      <c r="H9" s="2109"/>
      <c r="I9" s="2109"/>
      <c r="J9" s="2109"/>
      <c r="L9" s="2109" t="str">
        <f>Update!$B$8</f>
        <v>Departmental Group</v>
      </c>
      <c r="M9" s="2109"/>
      <c r="N9" s="2109"/>
      <c r="O9" s="2109"/>
      <c r="P9" s="2109"/>
      <c r="Q9" s="2109"/>
      <c r="R9" s="2109"/>
      <c r="S9" s="2109"/>
    </row>
    <row r="10" spans="1:20" ht="39" x14ac:dyDescent="0.25">
      <c r="A10" s="229"/>
      <c r="B10" s="1112"/>
      <c r="C10" s="1444" t="s">
        <v>195</v>
      </c>
      <c r="D10" s="1444" t="s">
        <v>196</v>
      </c>
      <c r="E10" s="1444" t="s">
        <v>200</v>
      </c>
      <c r="F10" s="1444" t="s">
        <v>2536</v>
      </c>
      <c r="G10" s="1444" t="s">
        <v>2537</v>
      </c>
      <c r="H10" s="1444" t="s">
        <v>2538</v>
      </c>
      <c r="I10" s="1444" t="s">
        <v>181</v>
      </c>
      <c r="J10" s="1443" t="s">
        <v>146</v>
      </c>
      <c r="K10" s="1443"/>
      <c r="L10" s="1444" t="s">
        <v>195</v>
      </c>
      <c r="M10" s="1444" t="s">
        <v>196</v>
      </c>
      <c r="N10" s="1444" t="s">
        <v>200</v>
      </c>
      <c r="O10" s="1444" t="s">
        <v>2536</v>
      </c>
      <c r="P10" s="1444" t="s">
        <v>2537</v>
      </c>
      <c r="Q10" s="1444" t="s">
        <v>2538</v>
      </c>
      <c r="R10" s="1444" t="s">
        <v>181</v>
      </c>
      <c r="S10" s="1443" t="s">
        <v>146</v>
      </c>
      <c r="T10" s="1443"/>
    </row>
    <row r="11" spans="1:20" ht="15" x14ac:dyDescent="0.25">
      <c r="A11" s="229"/>
      <c r="B11" s="1112"/>
      <c r="C11" s="1553" t="s">
        <v>462</v>
      </c>
      <c r="D11" s="1553" t="s">
        <v>462</v>
      </c>
      <c r="E11" s="1553" t="s">
        <v>462</v>
      </c>
      <c r="F11" s="1553" t="s">
        <v>462</v>
      </c>
      <c r="G11" s="1553" t="s">
        <v>462</v>
      </c>
      <c r="H11" s="1553" t="s">
        <v>462</v>
      </c>
      <c r="I11" s="1553" t="s">
        <v>462</v>
      </c>
      <c r="J11" s="1554" t="s">
        <v>462</v>
      </c>
      <c r="K11" s="38"/>
      <c r="L11" s="1553" t="s">
        <v>462</v>
      </c>
      <c r="M11" s="1553" t="s">
        <v>462</v>
      </c>
      <c r="N11" s="1553" t="s">
        <v>462</v>
      </c>
      <c r="O11" s="1553" t="s">
        <v>462</v>
      </c>
      <c r="P11" s="1553" t="s">
        <v>462</v>
      </c>
      <c r="Q11" s="1553" t="s">
        <v>462</v>
      </c>
      <c r="R11" s="1553" t="s">
        <v>462</v>
      </c>
      <c r="S11" s="1554" t="s">
        <v>462</v>
      </c>
      <c r="T11" s="38"/>
    </row>
    <row r="12" spans="1:20" ht="15" x14ac:dyDescent="0.25">
      <c r="A12" s="229"/>
      <c r="B12" s="937" t="s">
        <v>2489</v>
      </c>
      <c r="C12" s="1112"/>
      <c r="D12" s="1112"/>
      <c r="E12" s="1112"/>
      <c r="F12" s="1112">
        <f>ROUND(SUMIF(MAP!$E$389:$E$406,$B12,MAP!$N$389:$N$406),0)</f>
        <v>0</v>
      </c>
      <c r="G12" s="1112"/>
      <c r="H12" s="1112"/>
      <c r="I12" s="1112"/>
      <c r="J12" s="1112"/>
      <c r="K12" s="1112"/>
      <c r="L12" s="1112"/>
      <c r="M12" s="1112">
        <f>M13</f>
        <v>916</v>
      </c>
      <c r="N12" s="1112"/>
      <c r="O12" s="1112"/>
      <c r="P12" s="1112"/>
      <c r="Q12" s="1112"/>
      <c r="R12" s="1112"/>
      <c r="S12" s="1112">
        <f t="shared" ref="S12:S21" si="0">SUM(L12:R12)</f>
        <v>916</v>
      </c>
      <c r="T12" s="1112" t="s">
        <v>2827</v>
      </c>
    </row>
    <row r="13" spans="1:20" ht="15" x14ac:dyDescent="0.25">
      <c r="A13" s="229"/>
      <c r="B13" s="1112" t="str">
        <f>"At"&amp;Update!$B$20</f>
        <v>At 1 April 2025</v>
      </c>
      <c r="C13" s="747">
        <f>SUMIF(MAP!$E$1569:$E$1577,$B13,MAP!$T$1569:$T$1577)</f>
        <v>0</v>
      </c>
      <c r="D13" s="747">
        <f>SUMIF(MAP!$E$1587:$E$1595,$B13,MAP!$T$1587:$T$1595)</f>
        <v>916</v>
      </c>
      <c r="E13" s="747">
        <f>SUMIF(MAP!$E$1605:$E$1613,$B13,MAP!$T$1605:$T$1613)</f>
        <v>0</v>
      </c>
      <c r="F13" s="747">
        <f>SUMIF(MAP!$E$1623:$E$1631,$B13,MAP!$T$1623:$T$1631)</f>
        <v>0</v>
      </c>
      <c r="G13" s="747">
        <f>SUMIF(MAP!$E$1641:$E$1649,$B13,MAP!$T$1641:$T$1649)</f>
        <v>0</v>
      </c>
      <c r="H13" s="747">
        <f>SUMIF(MAP!$E$1659:$E$1667,$B13,MAP!$T$1659:$T$1667)</f>
        <v>0</v>
      </c>
      <c r="I13" s="747">
        <f>SUMIF(MAP!$E$1677:$E$1685,$B13,MAP!$T$1677:$T$1685)</f>
        <v>0</v>
      </c>
      <c r="J13" s="1112">
        <f t="shared" ref="J13:J21" si="1">SUM(C13:I13)</f>
        <v>916</v>
      </c>
      <c r="K13" s="1112"/>
      <c r="L13" s="747">
        <f>SUMIF(MAP!$E$1569:$E$1577,$B13,MAP!$N$1569:$N$1577)</f>
        <v>0</v>
      </c>
      <c r="M13" s="747">
        <f>SUMIF(MAP!$E$1587:$E$1595,$B13,MAP!$N$1587:$N$1595)</f>
        <v>916</v>
      </c>
      <c r="N13" s="747">
        <f>SUMIF(MAP!$E$1605:$E$1613,$B13,MAP!$N$1605:$N$1613)</f>
        <v>0</v>
      </c>
      <c r="O13" s="747">
        <f>SUMIF(MAP!$E$1623:$E$1631,$B13,MAP!$N$1623:$N$1631)</f>
        <v>0</v>
      </c>
      <c r="P13" s="747">
        <f>SUMIF(MAP!$E$1641:$E$1649,$B13,MAP!$N$1641:$N$1649)</f>
        <v>0</v>
      </c>
      <c r="Q13" s="747">
        <f>SUMIF(MAP!$E$1659:$E$1667,$B13,MAP!$N$1659:$N$1667)</f>
        <v>0</v>
      </c>
      <c r="R13" s="747">
        <f>SUMIF(MAP!$E$1677:$E$1685,$B13,MAP!$N$1677:$N$1685)</f>
        <v>0</v>
      </c>
      <c r="S13" s="1112">
        <f t="shared" si="0"/>
        <v>916</v>
      </c>
      <c r="T13" s="1112"/>
    </row>
    <row r="14" spans="1:20" ht="15" x14ac:dyDescent="0.25">
      <c r="A14" s="229"/>
      <c r="B14" s="1112" t="s">
        <v>185</v>
      </c>
      <c r="C14" s="747">
        <f>SUMIF(MAP!$E$1569:$E$1577,$B14,MAP!$T$1569:$T$1577)</f>
        <v>0</v>
      </c>
      <c r="D14" s="747">
        <f>SUMIF(MAP!$E$1587:$E$1595,$B14,MAP!$T$1587:$T$1595)</f>
        <v>0</v>
      </c>
      <c r="E14" s="747">
        <f>SUMIF(MAP!$E$1605:$E$1613,$B14,MAP!$T$1605:$T$1613)</f>
        <v>0</v>
      </c>
      <c r="F14" s="747">
        <f>SUMIF(MAP!$E$1623:$E$1631,$B14,MAP!$T$1623:$T$1631)</f>
        <v>0</v>
      </c>
      <c r="G14" s="747">
        <f>SUMIF(MAP!$E$1641:$E$1649,$B14,MAP!$T$1641:$T$1649)</f>
        <v>0</v>
      </c>
      <c r="H14" s="747">
        <f>SUMIF(MAP!$E$1659:$E$1667,$B14,MAP!$T$1659:$T$1667)</f>
        <v>0</v>
      </c>
      <c r="I14" s="747">
        <f>SUMIF(MAP!$E$1677:$E$1685,$B14,MAP!$T$1677:$T$1685)</f>
        <v>0</v>
      </c>
      <c r="J14" s="1112">
        <f t="shared" si="1"/>
        <v>0</v>
      </c>
      <c r="K14" s="1112"/>
      <c r="L14" s="747">
        <f>SUMIF(MAP!$E$1569:$E$1577,$B14,MAP!$N$1569:$N$1577)</f>
        <v>0</v>
      </c>
      <c r="M14" s="747">
        <f>SUMIF(MAP!$E$1587:$E$1595,$B14,MAP!$N$1587:$N$1595)</f>
        <v>0</v>
      </c>
      <c r="N14" s="747">
        <f>SUMIF(MAP!$E$1605:$E$1613,$B14,MAP!$N$1605:$N$1613)</f>
        <v>0</v>
      </c>
      <c r="O14" s="747">
        <f>SUMIF(MAP!$E$1623:$E$1631,$B14,MAP!$N$1623:$N$1631)</f>
        <v>0</v>
      </c>
      <c r="P14" s="747">
        <f>SUMIF(MAP!$E$1641:$E$1649,$B14,MAP!$N$1641:$N$1649)</f>
        <v>0</v>
      </c>
      <c r="Q14" s="747">
        <f>SUMIF(MAP!$E$1659:$E$1667,$B14,MAP!$N$1659:$N$1667)</f>
        <v>0</v>
      </c>
      <c r="R14" s="747">
        <f>SUMIF(MAP!$E$1677:$E$1685,$B14,MAP!$N$1677:$N$1685)</f>
        <v>0</v>
      </c>
      <c r="S14" s="1112">
        <f t="shared" si="0"/>
        <v>0</v>
      </c>
      <c r="T14" s="1112"/>
    </row>
    <row r="15" spans="1:20" ht="15" x14ac:dyDescent="0.25">
      <c r="A15" s="229"/>
      <c r="B15" s="1112" t="s">
        <v>208</v>
      </c>
      <c r="C15" s="747">
        <f>SUMIF(MAP!$E$1569:$E$1577,$B15,MAP!$T$1569:$T$1577)</f>
        <v>0</v>
      </c>
      <c r="D15" s="747">
        <f>SUMIF(MAP!$E$1587:$E$1595,$B15,MAP!$T$1587:$T$1595)</f>
        <v>0</v>
      </c>
      <c r="E15" s="747">
        <f>SUMIF(MAP!$E$1605:$E$1613,$B15,MAP!$T$1605:$T$1613)</f>
        <v>0</v>
      </c>
      <c r="F15" s="747">
        <f>SUMIF(MAP!$E$1623:$E$1631,$B15,MAP!$T$1623:$T$1631)</f>
        <v>0</v>
      </c>
      <c r="G15" s="747">
        <f>SUMIF(MAP!$E$1641:$E$1649,$B15,MAP!$T$1641:$T$1649)</f>
        <v>0</v>
      </c>
      <c r="H15" s="747">
        <f>SUMIF(MAP!$E$1659:$E$1667,$B15,MAP!$T$1659:$T$1667)</f>
        <v>0</v>
      </c>
      <c r="I15" s="747">
        <f>SUMIF(MAP!$E$1677:$E$1685,$B15,MAP!$T$1677:$T$1685)</f>
        <v>0</v>
      </c>
      <c r="J15" s="1112">
        <f t="shared" si="1"/>
        <v>0</v>
      </c>
      <c r="K15" s="1112"/>
      <c r="L15" s="747">
        <f>SUMIF(MAP!$E$1569:$E$1577,$B15,MAP!$N$1569:$N$1577)</f>
        <v>0</v>
      </c>
      <c r="M15" s="747">
        <f>SUMIF(MAP!$E$1587:$E$1595,$B15,MAP!$N$1587:$N$1595)</f>
        <v>0</v>
      </c>
      <c r="N15" s="747">
        <f>SUMIF(MAP!$E$1605:$E$1613,$B15,MAP!$N$1605:$N$1613)</f>
        <v>0</v>
      </c>
      <c r="O15" s="747">
        <f>SUMIF(MAP!$E$1623:$E$1631,$B15,MAP!$N$1623:$N$1631)</f>
        <v>0</v>
      </c>
      <c r="P15" s="747">
        <f>SUMIF(MAP!$E$1641:$E$1649,$B15,MAP!$N$1641:$N$1649)</f>
        <v>0</v>
      </c>
      <c r="Q15" s="747">
        <f>SUMIF(MAP!$E$1659:$E$1667,$B15,MAP!$N$1659:$N$1667)</f>
        <v>0</v>
      </c>
      <c r="R15" s="747">
        <f>SUMIF(MAP!$E$1677:$E$1685,$B15,MAP!$N$1677:$N$1685)</f>
        <v>0</v>
      </c>
      <c r="S15" s="1112">
        <f t="shared" si="0"/>
        <v>0</v>
      </c>
      <c r="T15" s="1112"/>
    </row>
    <row r="16" spans="1:20" ht="15" x14ac:dyDescent="0.25">
      <c r="A16" s="229"/>
      <c r="B16" s="1112" t="s">
        <v>186</v>
      </c>
      <c r="C16" s="747">
        <f>SUMIF(MAP!$E$1569:$E$1577,$B16,MAP!$T$1569:$T$1577)</f>
        <v>0</v>
      </c>
      <c r="D16" s="747">
        <f>SUMIF(MAP!$E$1587:$E$1595,$B16,MAP!$T$1587:$T$1595)</f>
        <v>0</v>
      </c>
      <c r="E16" s="747">
        <f>SUMIF(MAP!$E$1605:$E$1613,$B16,MAP!$T$1605:$T$1613)</f>
        <v>0</v>
      </c>
      <c r="F16" s="747">
        <f>SUMIF(MAP!$E$1623:$E$1631,$B16,MAP!$T$1623:$T$1631)</f>
        <v>0</v>
      </c>
      <c r="G16" s="747">
        <f>SUMIF(MAP!$E$1641:$E$1649,$B16,MAP!$T$1641:$T$1649)</f>
        <v>0</v>
      </c>
      <c r="H16" s="747">
        <f>SUMIF(MAP!$E$1659:$E$1667,$B16,MAP!$T$1659:$T$1667)</f>
        <v>0</v>
      </c>
      <c r="I16" s="747">
        <f>SUMIF(MAP!$E$1677:$E$1685,$B16,MAP!$T$1677:$T$1685)</f>
        <v>0</v>
      </c>
      <c r="J16" s="1112">
        <f t="shared" si="1"/>
        <v>0</v>
      </c>
      <c r="K16" s="1112"/>
      <c r="L16" s="747">
        <f>SUMIF(MAP!$E$1569:$E$1577,$B16,MAP!$N$1569:$N$1577)</f>
        <v>0</v>
      </c>
      <c r="M16" s="747">
        <f>SUMIF(MAP!$E$1587:$E$1595,$B16,MAP!$N$1587:$N$1595)</f>
        <v>0</v>
      </c>
      <c r="N16" s="747">
        <f>SUMIF(MAP!$E$1605:$E$1613,$B16,MAP!$N$1605:$N$1613)</f>
        <v>0</v>
      </c>
      <c r="O16" s="747">
        <f>SUMIF(MAP!$E$1623:$E$1631,$B16,MAP!$N$1623:$N$1631)</f>
        <v>0</v>
      </c>
      <c r="P16" s="747">
        <f>SUMIF(MAP!$E$1641:$E$1649,$B16,MAP!$N$1641:$N$1649)</f>
        <v>0</v>
      </c>
      <c r="Q16" s="747">
        <f>SUMIF(MAP!$E$1659:$E$1667,$B16,MAP!$N$1659:$N$1667)</f>
        <v>0</v>
      </c>
      <c r="R16" s="747">
        <f>SUMIF(MAP!$E$1677:$E$1685,$B16,MAP!$N$1677:$N$1685)</f>
        <v>0</v>
      </c>
      <c r="S16" s="1112">
        <f t="shared" si="0"/>
        <v>0</v>
      </c>
      <c r="T16" s="1112"/>
    </row>
    <row r="17" spans="1:20" ht="15" x14ac:dyDescent="0.25">
      <c r="A17" s="229"/>
      <c r="B17" s="1112" t="s">
        <v>187</v>
      </c>
      <c r="C17" s="747">
        <f>SUMIF(MAP!$E$1569:$E$1577,$B17,MAP!$T$1569:$T$1577)</f>
        <v>0</v>
      </c>
      <c r="D17" s="747">
        <f>SUMIF(MAP!$E$1587:$E$1595,$B17,MAP!$T$1587:$T$1595)</f>
        <v>0</v>
      </c>
      <c r="E17" s="747">
        <f>SUMIF(MAP!$E$1605:$E$1613,$B17,MAP!$T$1605:$T$1613)</f>
        <v>0</v>
      </c>
      <c r="F17" s="747">
        <f>SUMIF(MAP!$E$1623:$E$1631,$B17,MAP!$T$1623:$T$1631)</f>
        <v>0</v>
      </c>
      <c r="G17" s="747">
        <f>SUMIF(MAP!$E$1641:$E$1649,$B17,MAP!$T$1641:$T$1649)</f>
        <v>0</v>
      </c>
      <c r="H17" s="747">
        <f>SUMIF(MAP!$E$1659:$E$1667,$B17,MAP!$T$1659:$T$1667)</f>
        <v>0</v>
      </c>
      <c r="I17" s="747">
        <f>SUMIF(MAP!$E$1677:$E$1685,$B17,MAP!$T$1677:$T$1685)</f>
        <v>0</v>
      </c>
      <c r="J17" s="1112">
        <f t="shared" si="1"/>
        <v>0</v>
      </c>
      <c r="K17" s="1112"/>
      <c r="L17" s="747">
        <f>SUMIF(MAP!$E$1569:$E$1577,$B17,MAP!$N$1569:$N$1577)</f>
        <v>0</v>
      </c>
      <c r="M17" s="747">
        <f>SUMIF(MAP!$E$1587:$E$1595,$B17,MAP!$N$1587:$N$1595)</f>
        <v>0</v>
      </c>
      <c r="N17" s="747">
        <f>SUMIF(MAP!$E$1605:$E$1613,$B17,MAP!$N$1605:$N$1613)</f>
        <v>0</v>
      </c>
      <c r="O17" s="747">
        <f>SUMIF(MAP!$E$1623:$E$1631,$B17,MAP!$N$1623:$N$1631)</f>
        <v>0</v>
      </c>
      <c r="P17" s="747">
        <f>SUMIF(MAP!$E$1641:$E$1649,$B17,MAP!$N$1641:$N$1649)</f>
        <v>0</v>
      </c>
      <c r="Q17" s="747">
        <f>SUMIF(MAP!$E$1659:$E$1667,$B17,MAP!$N$1659:$N$1667)</f>
        <v>0</v>
      </c>
      <c r="R17" s="747">
        <f>SUMIF(MAP!$E$1677:$E$1685,$B17,MAP!$N$1677:$N$1685)</f>
        <v>0</v>
      </c>
      <c r="S17" s="1112">
        <f t="shared" si="0"/>
        <v>0</v>
      </c>
      <c r="T17" s="1112"/>
    </row>
    <row r="18" spans="1:20" ht="15" x14ac:dyDescent="0.25">
      <c r="A18" s="229"/>
      <c r="B18" s="1112" t="s">
        <v>189</v>
      </c>
      <c r="C18" s="747">
        <f>SUMIF(MAP!$E$1569:$E$1577,$B18,MAP!$T$1569:$T$1577)</f>
        <v>0</v>
      </c>
      <c r="D18" s="747">
        <f>SUMIF(MAP!$E$1587:$E$1595,$B18,MAP!$T$1587:$T$1595)</f>
        <v>0</v>
      </c>
      <c r="E18" s="747">
        <f>SUMIF(MAP!$E$1605:$E$1613,$B18,MAP!$T$1605:$T$1613)</f>
        <v>0</v>
      </c>
      <c r="F18" s="747">
        <f>SUMIF(MAP!$E$1623:$E$1631,$B18,MAP!$T$1623:$T$1631)</f>
        <v>0</v>
      </c>
      <c r="G18" s="747">
        <f>SUMIF(MAP!$E$1641:$E$1649,$B18,MAP!$T$1641:$T$1649)</f>
        <v>0</v>
      </c>
      <c r="H18" s="747">
        <f>SUMIF(MAP!$E$1659:$E$1667,$B18,MAP!$T$1659:$T$1667)</f>
        <v>0</v>
      </c>
      <c r="I18" s="747">
        <f>SUMIF(MAP!$E$1677:$E$1685,$B18,MAP!$T$1677:$T$1685)</f>
        <v>0</v>
      </c>
      <c r="J18" s="1112">
        <f t="shared" si="1"/>
        <v>0</v>
      </c>
      <c r="K18" s="1112"/>
      <c r="L18" s="747">
        <f>SUMIF(MAP!$E$1569:$E$1577,$B18,MAP!$N$1569:$N$1577)</f>
        <v>0</v>
      </c>
      <c r="M18" s="747">
        <f>SUMIF(MAP!$E$1587:$E$1595,$B18,MAP!$N$1587:$N$1595)</f>
        <v>0</v>
      </c>
      <c r="N18" s="747">
        <f>SUMIF(MAP!$E$1605:$E$1613,$B18,MAP!$N$1605:$N$1613)</f>
        <v>0</v>
      </c>
      <c r="O18" s="747">
        <f>SUMIF(MAP!$E$1623:$E$1631,$B18,MAP!$N$1623:$N$1631)</f>
        <v>0</v>
      </c>
      <c r="P18" s="747">
        <f>SUMIF(MAP!$E$1641:$E$1649,$B18,MAP!$N$1641:$N$1649)</f>
        <v>0</v>
      </c>
      <c r="Q18" s="747">
        <f>SUMIF(MAP!$E$1659:$E$1667,$B18,MAP!$N$1659:$N$1667)</f>
        <v>0</v>
      </c>
      <c r="R18" s="747">
        <f>SUMIF(MAP!$E$1677:$E$1685,$B18,MAP!$N$1677:$N$1685)</f>
        <v>0</v>
      </c>
      <c r="S18" s="1112">
        <f t="shared" si="0"/>
        <v>0</v>
      </c>
      <c r="T18" s="939"/>
    </row>
    <row r="19" spans="1:20" ht="15" x14ac:dyDescent="0.25">
      <c r="A19" s="229"/>
      <c r="B19" s="1112" t="s">
        <v>191</v>
      </c>
      <c r="C19" s="747">
        <f>SUMIF(MAP!$E$1569:$E$1577,$B19,MAP!$T$1569:$T$1577)</f>
        <v>0</v>
      </c>
      <c r="D19" s="747">
        <f>SUMIF(MAP!$E$1587:$E$1595,$B19,MAP!$T$1587:$T$1595)</f>
        <v>0</v>
      </c>
      <c r="E19" s="747">
        <f>SUMIF(MAP!$E$1605:$E$1613,$B19,MAP!$T$1605:$T$1613)</f>
        <v>0</v>
      </c>
      <c r="F19" s="747">
        <f>SUMIF(MAP!$E$1623:$E$1631,$B19,MAP!$T$1623:$T$1631)</f>
        <v>0</v>
      </c>
      <c r="G19" s="747">
        <f>SUMIF(MAP!$E$1641:$E$1649,$B19,MAP!$T$1641:$T$1649)</f>
        <v>0</v>
      </c>
      <c r="H19" s="747">
        <f>SUMIF(MAP!$E$1659:$E$1667,$B19,MAP!$T$1659:$T$1667)</f>
        <v>0</v>
      </c>
      <c r="I19" s="747">
        <f>SUMIF(MAP!$E$1677:$E$1685,$B19,MAP!$T$1677:$T$1685)</f>
        <v>0</v>
      </c>
      <c r="J19" s="1112">
        <f t="shared" si="1"/>
        <v>0</v>
      </c>
      <c r="K19" s="1112"/>
      <c r="L19" s="747">
        <f>SUMIF(MAP!$E$1569:$E$1577,$B19,MAP!$N$1569:$N$1577)</f>
        <v>0</v>
      </c>
      <c r="M19" s="747">
        <f>SUMIF(MAP!$E$1587:$E$1595,$B19,MAP!$N$1587:$N$1595)</f>
        <v>0</v>
      </c>
      <c r="N19" s="747">
        <f>SUMIF(MAP!$E$1605:$E$1613,$B19,MAP!$N$1605:$N$1613)</f>
        <v>0</v>
      </c>
      <c r="O19" s="747">
        <f>SUMIF(MAP!$E$1623:$E$1631,$B19,MAP!$N$1623:$N$1631)</f>
        <v>0</v>
      </c>
      <c r="P19" s="747">
        <f>SUMIF(MAP!$E$1641:$E$1649,$B19,MAP!$N$1641:$N$1649)</f>
        <v>0</v>
      </c>
      <c r="Q19" s="747">
        <f>SUMIF(MAP!$E$1659:$E$1667,$B19,MAP!$N$1659:$N$1667)</f>
        <v>0</v>
      </c>
      <c r="R19" s="747">
        <f>SUMIF(MAP!$E$1677:$E$1685,$B19,MAP!$N$1677:$N$1685)</f>
        <v>0</v>
      </c>
      <c r="S19" s="1112">
        <f t="shared" si="0"/>
        <v>0</v>
      </c>
      <c r="T19" s="939"/>
    </row>
    <row r="20" spans="1:20" ht="15" x14ac:dyDescent="0.25">
      <c r="A20" s="229"/>
      <c r="B20" s="1112" t="s">
        <v>2488</v>
      </c>
      <c r="C20" s="747">
        <f>SUMIF(MAP!$E$1569:$E$1577,$B20,MAP!$T$1569:$T$1577)</f>
        <v>0</v>
      </c>
      <c r="D20" s="747">
        <f>SUMIF(MAP!$E$1587:$E$1595,$B20,MAP!$T$1587:$T$1595)</f>
        <v>0</v>
      </c>
      <c r="E20" s="747">
        <f>SUMIF(MAP!$E$1605:$E$1613,$B20,MAP!$T$1605:$T$1613)</f>
        <v>0</v>
      </c>
      <c r="F20" s="747">
        <f>SUMIF(MAP!$E$1623:$E$1631,$B20,MAP!$T$1623:$T$1631)</f>
        <v>0</v>
      </c>
      <c r="G20" s="747">
        <f>SUMIF(MAP!$E$1641:$E$1649,$B20,MAP!$T$1641:$T$1649)</f>
        <v>0</v>
      </c>
      <c r="H20" s="747">
        <f>SUMIF(MAP!$E$1659:$E$1667,$B20,MAP!$T$1659:$T$1667)</f>
        <v>0</v>
      </c>
      <c r="I20" s="747">
        <f>SUMIF(MAP!$E$1677:$E$1685,$B20,MAP!$T$1677:$T$1685)</f>
        <v>0</v>
      </c>
      <c r="J20" s="1112">
        <f t="shared" si="1"/>
        <v>0</v>
      </c>
      <c r="K20" s="1112"/>
      <c r="L20" s="747">
        <f>SUMIF(MAP!$E$1569:$E$1577,$B20,MAP!$N$1569:$N$1577)</f>
        <v>0</v>
      </c>
      <c r="M20" s="747">
        <f>SUMIF(MAP!$E$1587:$E$1595,$B20,MAP!$N$1587:$N$1595)</f>
        <v>0</v>
      </c>
      <c r="N20" s="747">
        <f>SUMIF(MAP!$E$1605:$E$1613,$B20,MAP!$N$1605:$N$1613)</f>
        <v>0</v>
      </c>
      <c r="O20" s="747">
        <f>SUMIF(MAP!$E$1623:$E$1631,$B20,MAP!$N$1623:$N$1631)</f>
        <v>0</v>
      </c>
      <c r="P20" s="747">
        <f>SUMIF(MAP!$E$1641:$E$1649,$B20,MAP!$N$1641:$N$1649)</f>
        <v>0</v>
      </c>
      <c r="Q20" s="747">
        <f>SUMIF(MAP!$E$1659:$E$1667,$B20,MAP!$N$1659:$N$1667)</f>
        <v>0</v>
      </c>
      <c r="R20" s="747">
        <f>SUMIF(MAP!$E$1677:$E$1685,$B20,MAP!$N$1677:$N$1685)</f>
        <v>0</v>
      </c>
      <c r="S20" s="1112">
        <f t="shared" si="0"/>
        <v>0</v>
      </c>
      <c r="T20" s="939"/>
    </row>
    <row r="21" spans="1:20" ht="15.75" thickBot="1" x14ac:dyDescent="0.3">
      <c r="A21" s="229"/>
      <c r="B21" s="1590" t="str">
        <f>"At"&amp;Update!$B$22</f>
        <v>At 31 March 2026</v>
      </c>
      <c r="C21" s="1587">
        <f t="shared" ref="C21:I21" si="2">SUM(C13:C20)</f>
        <v>0</v>
      </c>
      <c r="D21" s="1587">
        <f t="shared" si="2"/>
        <v>916</v>
      </c>
      <c r="E21" s="1587">
        <f t="shared" si="2"/>
        <v>0</v>
      </c>
      <c r="F21" s="1587">
        <f t="shared" si="2"/>
        <v>0</v>
      </c>
      <c r="G21" s="1587">
        <f t="shared" si="2"/>
        <v>0</v>
      </c>
      <c r="H21" s="1587">
        <f t="shared" si="2"/>
        <v>0</v>
      </c>
      <c r="I21" s="1587">
        <f t="shared" si="2"/>
        <v>0</v>
      </c>
      <c r="J21" s="1588">
        <f t="shared" si="1"/>
        <v>916</v>
      </c>
      <c r="K21" s="1112"/>
      <c r="L21" s="1587">
        <f t="shared" ref="L21:R21" si="3">SUM(L13:L20)</f>
        <v>0</v>
      </c>
      <c r="M21" s="1587">
        <f t="shared" si="3"/>
        <v>916</v>
      </c>
      <c r="N21" s="1587">
        <f t="shared" si="3"/>
        <v>0</v>
      </c>
      <c r="O21" s="1587">
        <f t="shared" si="3"/>
        <v>0</v>
      </c>
      <c r="P21" s="1587">
        <f t="shared" si="3"/>
        <v>0</v>
      </c>
      <c r="Q21" s="1587">
        <f t="shared" si="3"/>
        <v>0</v>
      </c>
      <c r="R21" s="1587">
        <f t="shared" si="3"/>
        <v>0</v>
      </c>
      <c r="S21" s="1588">
        <f t="shared" si="0"/>
        <v>916</v>
      </c>
      <c r="T21" s="939"/>
    </row>
    <row r="22" spans="1:20" ht="15" x14ac:dyDescent="0.25">
      <c r="A22" s="229"/>
      <c r="B22" s="1112"/>
      <c r="C22" s="1586"/>
      <c r="D22" s="1586"/>
      <c r="E22" s="1586"/>
      <c r="F22" s="1586"/>
      <c r="G22" s="1586"/>
      <c r="H22" s="1586"/>
      <c r="I22" s="1586"/>
      <c r="J22" s="1112"/>
      <c r="K22" s="1112"/>
      <c r="L22" s="1586"/>
      <c r="M22" s="1586"/>
      <c r="N22" s="1586"/>
      <c r="O22" s="1586"/>
      <c r="P22" s="1586"/>
      <c r="Q22" s="1586"/>
      <c r="R22" s="1586"/>
      <c r="S22" s="1112"/>
      <c r="T22" s="939"/>
    </row>
    <row r="23" spans="1:20" ht="15" x14ac:dyDescent="0.25">
      <c r="A23" s="229"/>
      <c r="B23" s="937" t="s">
        <v>2412</v>
      </c>
      <c r="C23" s="1586"/>
      <c r="D23" s="1586"/>
      <c r="E23" s="1586"/>
      <c r="F23" s="1586"/>
      <c r="G23" s="1586"/>
      <c r="H23" s="1586"/>
      <c r="I23" s="1586"/>
      <c r="J23" s="1112">
        <f t="shared" ref="J23:J31" si="4">SUM(C23:I23)</f>
        <v>0</v>
      </c>
      <c r="K23" s="1112"/>
      <c r="L23" s="1586"/>
      <c r="M23" s="1586">
        <f>M24</f>
        <v>550</v>
      </c>
      <c r="N23" s="1586"/>
      <c r="O23" s="1586"/>
      <c r="P23" s="1586"/>
      <c r="Q23" s="1586"/>
      <c r="R23" s="1586"/>
      <c r="S23" s="1112">
        <f t="shared" ref="S23:S31" si="5">SUM(L23:R23)</f>
        <v>550</v>
      </c>
      <c r="T23" s="939"/>
    </row>
    <row r="24" spans="1:20" ht="15" x14ac:dyDescent="0.25">
      <c r="A24" s="229"/>
      <c r="B24" s="931" t="str">
        <f>+B13</f>
        <v>At 1 April 2025</v>
      </c>
      <c r="C24" s="747">
        <f>SUMIF(MAP!$E$1578:$E$1585,$B24,MAP!$T$1578:$T$1585)</f>
        <v>0</v>
      </c>
      <c r="D24" s="747">
        <f>SUMIF(MAP!$E$1596:$E$1603,$B24,MAP!$T$1596:$T$1603)</f>
        <v>550</v>
      </c>
      <c r="E24" s="747">
        <f>SUMIF(MAP!$E$1614:$E$1621,$B24,MAP!$T$1614:$T$1621)</f>
        <v>0</v>
      </c>
      <c r="F24" s="747">
        <f>SUMIF(MAP!$E$1623:$E$1631,$B24,MAP!$T$1623:$T$1631)</f>
        <v>0</v>
      </c>
      <c r="G24" s="747">
        <f>SUMIF(MAP!$E$1650:$E$1657,$B24,MAP!$T$1650:$T$1657)</f>
        <v>0</v>
      </c>
      <c r="H24" s="747">
        <f>SUMIF(MAP!$E$1668:$E$1675,$B24,MAP!$T$1668:$T$1675)</f>
        <v>0</v>
      </c>
      <c r="I24" s="747">
        <f>SUMIF(MAP!$E$1686:$E$1693,$B24,MAP!$T$1686:$T$1693)</f>
        <v>0</v>
      </c>
      <c r="J24" s="1112">
        <f t="shared" si="4"/>
        <v>550</v>
      </c>
      <c r="K24" s="1112"/>
      <c r="L24" s="747">
        <f>SUMIF(MAP!$E$1578:$E$1585,$B24,MAP!$N$1578:$N$1585)</f>
        <v>0</v>
      </c>
      <c r="M24" s="747">
        <f>SUMIF(MAP!$E$1596:$E$1603,$B24,MAP!$N$1596:$N$1603)</f>
        <v>550</v>
      </c>
      <c r="N24" s="747">
        <f>SUMIF(MAP!$E$1614:$E$1621,$B24,MAP!$N$1614:$N$1621)</f>
        <v>0</v>
      </c>
      <c r="O24" s="747">
        <f>SUMIF(MAP!$E$1632:$E$1639,$B24,MAP!$N$1632:$N$1639)</f>
        <v>0</v>
      </c>
      <c r="P24" s="747">
        <f>SUMIF(MAP!$E$1650:$E$1657,$B24,MAP!$N$1650:$N$1657)</f>
        <v>0</v>
      </c>
      <c r="Q24" s="747">
        <f>SUMIF(MAP!$E$1668:$E$1675,$B24,MAP!$N$1668:$N$1675)</f>
        <v>0</v>
      </c>
      <c r="R24" s="747">
        <f>SUMIF(MAP!$E$1686:$E$1693,$B24,MAP!$N$1686:$N$1693)</f>
        <v>0</v>
      </c>
      <c r="S24" s="1112">
        <f t="shared" si="5"/>
        <v>550</v>
      </c>
      <c r="T24" s="939"/>
    </row>
    <row r="25" spans="1:20" ht="15" x14ac:dyDescent="0.25">
      <c r="A25" s="229"/>
      <c r="B25" s="1112" t="s">
        <v>2490</v>
      </c>
      <c r="C25" s="747">
        <f>SUMIF(MAP!$E$1578:$E$1585,$B25,MAP!$T$1578:$T$1585)</f>
        <v>0</v>
      </c>
      <c r="D25" s="747">
        <f>SUMIF(MAP!$E$1596:$E$1603,$B25,MAP!$T$1596:$T$1603)</f>
        <v>0</v>
      </c>
      <c r="E25" s="747">
        <f>SUMIF(MAP!$E$1614:$E$1621,$B25,MAP!$T$1614:$T$1621)</f>
        <v>0</v>
      </c>
      <c r="F25" s="747">
        <f>SUMIF(MAP!$E$1623:$E$1631,$B25,MAP!$T$1623:$T$1631)</f>
        <v>0</v>
      </c>
      <c r="G25" s="747">
        <f>SUMIF(MAP!$E$1650:$E$1657,$B25,MAP!$T$1650:$T$1657)</f>
        <v>0</v>
      </c>
      <c r="H25" s="747">
        <f>SUMIF(MAP!$E$1668:$E$1675,$B25,MAP!$T$1668:$T$1675)</f>
        <v>0</v>
      </c>
      <c r="I25" s="747">
        <f>SUMIF(MAP!$E$1686:$E$1693,$B25,MAP!$T$1686:$T$1693)</f>
        <v>0</v>
      </c>
      <c r="J25" s="1112">
        <f t="shared" si="4"/>
        <v>0</v>
      </c>
      <c r="K25" s="1112"/>
      <c r="L25" s="747">
        <f>SUMIF(MAP!$E$1578:$E$1585,$B25,MAP!$N$1578:$N$1585)</f>
        <v>0</v>
      </c>
      <c r="M25" s="747">
        <f>SUMIF(MAP!$E$1596:$E$1603,$B25,MAP!$N$1596:$N$1603)</f>
        <v>0</v>
      </c>
      <c r="N25" s="747">
        <f>SUMIF(MAP!$E$1614:$E$1621,$B25,MAP!$N$1614:$N$1621)</f>
        <v>0</v>
      </c>
      <c r="O25" s="747">
        <f>SUMIF(MAP!$E$1632:$E$1639,$B25,MAP!$N$1632:$N$1639)</f>
        <v>0</v>
      </c>
      <c r="P25" s="747">
        <f>SUMIF(MAP!$E$1650:$E$1657,$B25,MAP!$N$1650:$N$1657)</f>
        <v>0</v>
      </c>
      <c r="Q25" s="747">
        <f>SUMIF(MAP!$E$1668:$E$1675,$B25,MAP!$N$1668:$N$1675)</f>
        <v>0</v>
      </c>
      <c r="R25" s="747">
        <f>SUMIF(MAP!$E$1686:$E$1693,$B25,MAP!$N$1686:$N$1693)</f>
        <v>0</v>
      </c>
      <c r="S25" s="1112">
        <f t="shared" si="5"/>
        <v>0</v>
      </c>
      <c r="T25" s="939"/>
    </row>
    <row r="26" spans="1:20" ht="15" x14ac:dyDescent="0.25">
      <c r="A26" s="229"/>
      <c r="B26" s="1112" t="s">
        <v>190</v>
      </c>
      <c r="C26" s="747">
        <f>SUMIF(MAP!$E$1578:$E$1585,$B26,MAP!$T$1578:$T$1585)</f>
        <v>0</v>
      </c>
      <c r="D26" s="747">
        <f>SUMIF(MAP!$E$1596:$E$1603,$B26,MAP!$T$1596:$T$1603)</f>
        <v>0</v>
      </c>
      <c r="E26" s="747">
        <f>SUMIF(MAP!$E$1614:$E$1621,$B26,MAP!$T$1614:$T$1621)</f>
        <v>0</v>
      </c>
      <c r="F26" s="747">
        <f>SUMIF(MAP!$E$1623:$E$1631,$B26,MAP!$T$1623:$T$1631)</f>
        <v>0</v>
      </c>
      <c r="G26" s="747">
        <f>SUMIF(MAP!$E$1650:$E$1657,$B26,MAP!$T$1650:$T$1657)</f>
        <v>0</v>
      </c>
      <c r="H26" s="747">
        <f>SUMIF(MAP!$E$1668:$E$1675,$B26,MAP!$T$1668:$T$1675)</f>
        <v>0</v>
      </c>
      <c r="I26" s="747">
        <f>SUMIF(MAP!$E$1686:$E$1693,$B26,MAP!$T$1686:$T$1693)</f>
        <v>0</v>
      </c>
      <c r="J26" s="1112">
        <f t="shared" si="4"/>
        <v>0</v>
      </c>
      <c r="K26" s="1112"/>
      <c r="L26" s="747">
        <f>SUMIF(MAP!$E$1578:$E$1585,$B26,MAP!$N$1578:$N$1585)</f>
        <v>0</v>
      </c>
      <c r="M26" s="747">
        <f>SUMIF(MAP!$E$1596:$E$1603,$B26,MAP!$N$1596:$N$1603)</f>
        <v>0</v>
      </c>
      <c r="N26" s="747">
        <f>SUMIF(MAP!$E$1614:$E$1621,$B26,MAP!$N$1614:$N$1621)</f>
        <v>0</v>
      </c>
      <c r="O26" s="747">
        <f>SUMIF(MAP!$E$1632:$E$1639,$B26,MAP!$N$1632:$N$1639)</f>
        <v>0</v>
      </c>
      <c r="P26" s="747">
        <f>SUMIF(MAP!$E$1650:$E$1657,$B26,MAP!$N$1650:$N$1657)</f>
        <v>0</v>
      </c>
      <c r="Q26" s="747">
        <f>SUMIF(MAP!$E$1668:$E$1675,$B26,MAP!$N$1668:$N$1675)</f>
        <v>0</v>
      </c>
      <c r="R26" s="747">
        <f>SUMIF(MAP!$E$1686:$E$1693,$B26,MAP!$N$1686:$N$1693)</f>
        <v>0</v>
      </c>
      <c r="S26" s="1112">
        <f t="shared" si="5"/>
        <v>0</v>
      </c>
      <c r="T26" s="939"/>
    </row>
    <row r="27" spans="1:20" ht="15" x14ac:dyDescent="0.25">
      <c r="A27" s="229"/>
      <c r="B27" s="1112" t="s">
        <v>186</v>
      </c>
      <c r="C27" s="747">
        <f>SUMIF(MAP!$E$1578:$E$1585,$B27,MAP!$T$1578:$T$1585)</f>
        <v>0</v>
      </c>
      <c r="D27" s="747">
        <f>SUMIF(MAP!$E$1596:$E$1603,$B27,MAP!$T$1596:$T$1603)</f>
        <v>0</v>
      </c>
      <c r="E27" s="747">
        <f>SUMIF(MAP!$E$1614:$E$1621,$B27,MAP!$T$1614:$T$1621)</f>
        <v>0</v>
      </c>
      <c r="F27" s="747">
        <f>SUMIF(MAP!$E$1623:$E$1631,$B27,MAP!$T$1623:$T$1631)</f>
        <v>0</v>
      </c>
      <c r="G27" s="747">
        <f>SUMIF(MAP!$E$1650:$E$1657,$B27,MAP!$T$1650:$T$1657)</f>
        <v>0</v>
      </c>
      <c r="H27" s="747">
        <f>SUMIF(MAP!$E$1668:$E$1675,$B27,MAP!$T$1668:$T$1675)</f>
        <v>0</v>
      </c>
      <c r="I27" s="747">
        <f>SUMIF(MAP!$E$1686:$E$1693,$B27,MAP!$T$1686:$T$1693)</f>
        <v>0</v>
      </c>
      <c r="J27" s="1112">
        <f t="shared" si="4"/>
        <v>0</v>
      </c>
      <c r="K27" s="1112"/>
      <c r="L27" s="747">
        <f>SUMIF(MAP!$E$1578:$E$1585,$B27,MAP!$N$1578:$N$1585)</f>
        <v>0</v>
      </c>
      <c r="M27" s="747">
        <f>SUMIF(MAP!$E$1596:$E$1603,$B27,MAP!$N$1596:$N$1603)</f>
        <v>0</v>
      </c>
      <c r="N27" s="747">
        <f>SUMIF(MAP!$E$1614:$E$1621,$B27,MAP!$N$1614:$N$1621)</f>
        <v>0</v>
      </c>
      <c r="O27" s="747">
        <f>SUMIF(MAP!$E$1632:$E$1639,$B27,MAP!$N$1632:$N$1639)</f>
        <v>0</v>
      </c>
      <c r="P27" s="747">
        <f>SUMIF(MAP!$E$1650:$E$1657,$B27,MAP!$N$1650:$N$1657)</f>
        <v>0</v>
      </c>
      <c r="Q27" s="747">
        <f>SUMIF(MAP!$E$1668:$E$1675,$B27,MAP!$N$1668:$N$1675)</f>
        <v>0</v>
      </c>
      <c r="R27" s="747">
        <f>SUMIF(MAP!$E$1686:$E$1693,$B27,MAP!$N$1686:$N$1693)</f>
        <v>0</v>
      </c>
      <c r="S27" s="1112">
        <f t="shared" si="5"/>
        <v>0</v>
      </c>
      <c r="T27" s="939"/>
    </row>
    <row r="28" spans="1:20" ht="15" x14ac:dyDescent="0.25">
      <c r="A28" s="229"/>
      <c r="B28" s="1112" t="s">
        <v>187</v>
      </c>
      <c r="C28" s="747">
        <f>SUMIF(MAP!$E$1578:$E$1585,$B28,MAP!$T$1578:$T$1585)</f>
        <v>0</v>
      </c>
      <c r="D28" s="747">
        <f>SUMIF(MAP!$E$1596:$E$1603,$B28,MAP!$T$1596:$T$1603)</f>
        <v>0</v>
      </c>
      <c r="E28" s="747">
        <f>SUMIF(MAP!$E$1614:$E$1621,$B28,MAP!$T$1614:$T$1621)</f>
        <v>0</v>
      </c>
      <c r="F28" s="747">
        <f>SUMIF(MAP!$E$1623:$E$1631,$B28,MAP!$T$1623:$T$1631)</f>
        <v>0</v>
      </c>
      <c r="G28" s="747">
        <f>SUMIF(MAP!$E$1650:$E$1657,$B28,MAP!$T$1650:$T$1657)</f>
        <v>0</v>
      </c>
      <c r="H28" s="747">
        <f>SUMIF(MAP!$E$1668:$E$1675,$B28,MAP!$T$1668:$T$1675)</f>
        <v>0</v>
      </c>
      <c r="I28" s="747">
        <f>SUMIF(MAP!$E$1686:$E$1693,$B28,MAP!$T$1686:$T$1693)</f>
        <v>0</v>
      </c>
      <c r="J28" s="1112">
        <f t="shared" si="4"/>
        <v>0</v>
      </c>
      <c r="K28" s="1112"/>
      <c r="L28" s="747">
        <f>SUMIF(MAP!$E$1578:$E$1585,$B28,MAP!$N$1578:$N$1585)</f>
        <v>0</v>
      </c>
      <c r="M28" s="747">
        <f>SUMIF(MAP!$E$1596:$E$1603,$B28,MAP!$N$1596:$N$1603)</f>
        <v>0</v>
      </c>
      <c r="N28" s="747">
        <f>SUMIF(MAP!$E$1614:$E$1621,$B28,MAP!$N$1614:$N$1621)</f>
        <v>0</v>
      </c>
      <c r="O28" s="747">
        <f>SUMIF(MAP!$E$1632:$E$1639,$B28,MAP!$N$1632:$N$1639)</f>
        <v>0</v>
      </c>
      <c r="P28" s="747">
        <f>SUMIF(MAP!$E$1650:$E$1657,$B28,MAP!$N$1650:$N$1657)</f>
        <v>0</v>
      </c>
      <c r="Q28" s="747">
        <f>SUMIF(MAP!$E$1668:$E$1675,$B28,MAP!$N$1668:$N$1675)</f>
        <v>0</v>
      </c>
      <c r="R28" s="747">
        <f>SUMIF(MAP!$E$1686:$E$1693,$B28,MAP!$N$1686:$N$1693)</f>
        <v>0</v>
      </c>
      <c r="S28" s="1112">
        <f t="shared" si="5"/>
        <v>0</v>
      </c>
      <c r="T28" s="939"/>
    </row>
    <row r="29" spans="1:20" ht="15" x14ac:dyDescent="0.25">
      <c r="A29" s="229"/>
      <c r="B29" s="1112" t="s">
        <v>189</v>
      </c>
      <c r="C29" s="747">
        <f>SUMIF(MAP!$E$1578:$E$1585,$B29,MAP!$T$1578:$T$1585)</f>
        <v>0</v>
      </c>
      <c r="D29" s="747">
        <f>SUMIF(MAP!$E$1596:$E$1603,$B29,MAP!$T$1596:$T$1603)</f>
        <v>0</v>
      </c>
      <c r="E29" s="747">
        <f>SUMIF(MAP!$E$1614:$E$1621,$B29,MAP!$T$1614:$T$1621)</f>
        <v>0</v>
      </c>
      <c r="F29" s="747">
        <f>SUMIF(MAP!$E$1623:$E$1631,$B29,MAP!$T$1623:$T$1631)</f>
        <v>0</v>
      </c>
      <c r="G29" s="747">
        <f>SUMIF(MAP!$E$1650:$E$1657,$B29,MAP!$T$1650:$T$1657)</f>
        <v>0</v>
      </c>
      <c r="H29" s="747">
        <f>SUMIF(MAP!$E$1668:$E$1675,$B29,MAP!$T$1668:$T$1675)</f>
        <v>0</v>
      </c>
      <c r="I29" s="747">
        <f>SUMIF(MAP!$E$1686:$E$1693,$B29,MAP!$T$1686:$T$1693)</f>
        <v>0</v>
      </c>
      <c r="J29" s="1112">
        <f t="shared" si="4"/>
        <v>0</v>
      </c>
      <c r="K29" s="1112"/>
      <c r="L29" s="747">
        <f>SUMIF(MAP!$E$1578:$E$1585,$B29,MAP!$N$1578:$N$1585)</f>
        <v>0</v>
      </c>
      <c r="M29" s="747">
        <f>SUMIF(MAP!$E$1596:$E$1603,$B29,MAP!$N$1596:$N$1603)</f>
        <v>0</v>
      </c>
      <c r="N29" s="747">
        <f>SUMIF(MAP!$E$1614:$E$1621,$B29,MAP!$N$1614:$N$1621)</f>
        <v>0</v>
      </c>
      <c r="O29" s="747">
        <f>SUMIF(MAP!$E$1632:$E$1639,$B29,MAP!$N$1632:$N$1639)</f>
        <v>0</v>
      </c>
      <c r="P29" s="747">
        <f>SUMIF(MAP!$E$1650:$E$1657,$B29,MAP!$N$1650:$N$1657)</f>
        <v>0</v>
      </c>
      <c r="Q29" s="747">
        <f>SUMIF(MAP!$E$1668:$E$1675,$B29,MAP!$N$1668:$N$1675)</f>
        <v>0</v>
      </c>
      <c r="R29" s="747">
        <f>SUMIF(MAP!$E$1686:$E$1693,$B29,MAP!$N$1686:$N$1693)</f>
        <v>0</v>
      </c>
      <c r="S29" s="1112">
        <f t="shared" si="5"/>
        <v>0</v>
      </c>
      <c r="T29" s="939"/>
    </row>
    <row r="30" spans="1:20" ht="15" x14ac:dyDescent="0.25">
      <c r="A30" s="229"/>
      <c r="B30" s="1112" t="s">
        <v>191</v>
      </c>
      <c r="C30" s="747">
        <f>SUMIF(MAP!$E$1578:$E$1585,$B30,MAP!$T$1578:$T$1585)</f>
        <v>0</v>
      </c>
      <c r="D30" s="747">
        <f>SUMIF(MAP!$E$1596:$E$1603,$B30,MAP!$T$1596:$T$1603)</f>
        <v>0</v>
      </c>
      <c r="E30" s="747">
        <f>SUMIF(MAP!$E$1614:$E$1621,$B30,MAP!$T$1614:$T$1621)</f>
        <v>0</v>
      </c>
      <c r="F30" s="747">
        <f>SUMIF(MAP!$E$1623:$E$1631,$B30,MAP!$T$1623:$T$1631)</f>
        <v>0</v>
      </c>
      <c r="G30" s="747">
        <f>SUMIF(MAP!$E$1650:$E$1657,$B30,MAP!$T$1650:$T$1657)</f>
        <v>0</v>
      </c>
      <c r="H30" s="747">
        <f>SUMIF(MAP!$E$1668:$E$1675,$B30,MAP!$T$1668:$T$1675)</f>
        <v>0</v>
      </c>
      <c r="I30" s="747">
        <f>SUMIF(MAP!$E$1686:$E$1693,$B30,MAP!$T$1686:$T$1693)</f>
        <v>0</v>
      </c>
      <c r="J30" s="1112">
        <f t="shared" si="4"/>
        <v>0</v>
      </c>
      <c r="K30" s="1112"/>
      <c r="L30" s="747">
        <f>SUMIF(MAP!$E$1578:$E$1585,$B30,MAP!$N$1578:$N$1585)</f>
        <v>0</v>
      </c>
      <c r="M30" s="747">
        <f>SUMIF(MAP!$E$1596:$E$1603,$B30,MAP!$N$1596:$N$1603)</f>
        <v>0</v>
      </c>
      <c r="N30" s="747">
        <f>SUMIF(MAP!$E$1614:$E$1621,$B30,MAP!$N$1614:$N$1621)</f>
        <v>0</v>
      </c>
      <c r="O30" s="747">
        <f>SUMIF(MAP!$E$1632:$E$1639,$B30,MAP!$N$1632:$N$1639)</f>
        <v>0</v>
      </c>
      <c r="P30" s="747">
        <f>SUMIF(MAP!$E$1650:$E$1657,$B30,MAP!$N$1650:$N$1657)</f>
        <v>0</v>
      </c>
      <c r="Q30" s="747">
        <f>SUMIF(MAP!$E$1668:$E$1675,$B30,MAP!$N$1668:$N$1675)</f>
        <v>0</v>
      </c>
      <c r="R30" s="747">
        <f>SUMIF(MAP!$E$1686:$E$1693,$B30,MAP!$N$1686:$N$1693)</f>
        <v>0</v>
      </c>
      <c r="S30" s="1112">
        <f t="shared" si="5"/>
        <v>0</v>
      </c>
      <c r="T30" s="939"/>
    </row>
    <row r="31" spans="1:20" ht="15.75" thickBot="1" x14ac:dyDescent="0.3">
      <c r="A31" s="229"/>
      <c r="B31" s="1664" t="str">
        <f>+B21</f>
        <v>At 31 March 2026</v>
      </c>
      <c r="C31" s="1587">
        <f t="shared" ref="C31:I31" si="6">SUM(C24:C30)</f>
        <v>0</v>
      </c>
      <c r="D31" s="1587">
        <f t="shared" si="6"/>
        <v>550</v>
      </c>
      <c r="E31" s="1587">
        <f t="shared" si="6"/>
        <v>0</v>
      </c>
      <c r="F31" s="1587">
        <f t="shared" si="6"/>
        <v>0</v>
      </c>
      <c r="G31" s="1587">
        <f t="shared" si="6"/>
        <v>0</v>
      </c>
      <c r="H31" s="1587">
        <f t="shared" si="6"/>
        <v>0</v>
      </c>
      <c r="I31" s="1587">
        <f t="shared" si="6"/>
        <v>0</v>
      </c>
      <c r="J31" s="1588">
        <f t="shared" si="4"/>
        <v>550</v>
      </c>
      <c r="K31" s="1112"/>
      <c r="L31" s="1587">
        <f t="shared" ref="L31:R31" si="7">SUM(L24:L30)</f>
        <v>0</v>
      </c>
      <c r="M31" s="1587">
        <f t="shared" si="7"/>
        <v>550</v>
      </c>
      <c r="N31" s="1587">
        <f t="shared" si="7"/>
        <v>0</v>
      </c>
      <c r="O31" s="1587">
        <f t="shared" si="7"/>
        <v>0</v>
      </c>
      <c r="P31" s="1587">
        <f t="shared" si="7"/>
        <v>0</v>
      </c>
      <c r="Q31" s="1587">
        <f t="shared" si="7"/>
        <v>0</v>
      </c>
      <c r="R31" s="1587">
        <f t="shared" si="7"/>
        <v>0</v>
      </c>
      <c r="S31" s="1588">
        <f t="shared" si="5"/>
        <v>550</v>
      </c>
      <c r="T31" s="939"/>
    </row>
    <row r="32" spans="1:20" ht="15.75" thickBot="1" x14ac:dyDescent="0.3">
      <c r="A32" s="229"/>
      <c r="B32" s="13" t="str">
        <f>"Carrying amount at"&amp;Update!$B$22</f>
        <v>Carrying amount at 31 March 2026</v>
      </c>
      <c r="C32" s="1563">
        <f t="shared" ref="C32:J32" si="8">+C21-C31</f>
        <v>0</v>
      </c>
      <c r="D32" s="1563">
        <f t="shared" si="8"/>
        <v>366</v>
      </c>
      <c r="E32" s="1563">
        <f t="shared" si="8"/>
        <v>0</v>
      </c>
      <c r="F32" s="1563">
        <f t="shared" si="8"/>
        <v>0</v>
      </c>
      <c r="G32" s="1563">
        <f t="shared" si="8"/>
        <v>0</v>
      </c>
      <c r="H32" s="1563">
        <f t="shared" si="8"/>
        <v>0</v>
      </c>
      <c r="I32" s="1563">
        <f t="shared" si="8"/>
        <v>0</v>
      </c>
      <c r="J32" s="1563">
        <f t="shared" si="8"/>
        <v>366</v>
      </c>
      <c r="K32" s="1112"/>
      <c r="L32" s="1563">
        <f t="shared" ref="L32:S32" si="9">+L21-L31</f>
        <v>0</v>
      </c>
      <c r="M32" s="1563">
        <f t="shared" si="9"/>
        <v>366</v>
      </c>
      <c r="N32" s="1563">
        <f t="shared" si="9"/>
        <v>0</v>
      </c>
      <c r="O32" s="1563">
        <f t="shared" si="9"/>
        <v>0</v>
      </c>
      <c r="P32" s="1563">
        <f t="shared" si="9"/>
        <v>0</v>
      </c>
      <c r="Q32" s="1563">
        <f t="shared" si="9"/>
        <v>0</v>
      </c>
      <c r="R32" s="1563">
        <f t="shared" si="9"/>
        <v>0</v>
      </c>
      <c r="S32" s="1563">
        <f t="shared" si="9"/>
        <v>366</v>
      </c>
      <c r="T32" s="939"/>
    </row>
    <row r="33" spans="1:20" ht="15" x14ac:dyDescent="0.25">
      <c r="A33" s="229"/>
      <c r="B33" s="1112"/>
      <c r="C33" s="1112"/>
      <c r="D33" s="1112"/>
      <c r="E33" s="1112"/>
      <c r="F33" s="1112"/>
      <c r="G33" s="1112"/>
      <c r="H33" s="1112"/>
      <c r="I33" s="1112"/>
      <c r="J33" s="939" t="str">
        <f>IF(J32=SUM(C32:I32),"OK","ERROR")</f>
        <v>OK</v>
      </c>
      <c r="K33" s="1112"/>
      <c r="L33" s="1112"/>
      <c r="M33" s="1112"/>
      <c r="N33" s="1112"/>
      <c r="O33" s="1112"/>
      <c r="P33" s="1112"/>
      <c r="Q33" s="1112"/>
      <c r="R33" s="1112"/>
      <c r="S33" s="939" t="str">
        <f>IF(S32=SUM(L32:R32),"OK","ERROR")</f>
        <v>OK</v>
      </c>
      <c r="T33" s="939"/>
    </row>
    <row r="34" spans="1:20" ht="15" x14ac:dyDescent="0.25">
      <c r="A34" s="229"/>
      <c r="B34"/>
      <c r="C34"/>
      <c r="D34"/>
      <c r="E34"/>
      <c r="F34"/>
      <c r="G34"/>
      <c r="H34"/>
      <c r="I34"/>
      <c r="J34"/>
      <c r="K34" s="1112"/>
      <c r="L34"/>
      <c r="M34"/>
      <c r="N34"/>
      <c r="O34"/>
      <c r="P34"/>
      <c r="Q34"/>
      <c r="R34"/>
      <c r="S34"/>
      <c r="T34" s="939"/>
    </row>
    <row r="35" spans="1:20" ht="15.75" thickBot="1" x14ac:dyDescent="0.3">
      <c r="A35" s="229"/>
      <c r="B35" t="s">
        <v>2491</v>
      </c>
      <c r="C35" s="1563">
        <f>SUMIF(MAP!$E$1696,$B35,MAP!$T1696)</f>
        <v>0</v>
      </c>
      <c r="D35" s="1563">
        <f>SUMIF(MAP!$E$1697,$B35,MAP!$T$1697)</f>
        <v>0</v>
      </c>
      <c r="E35" s="1563">
        <f>SUMIF(MAP!$E$1698,$B35,MAP!$T$1698)</f>
        <v>0</v>
      </c>
      <c r="F35" s="1563">
        <f>SUMIF(MAP!$E$1699,$B35,MAP!$T$1699)</f>
        <v>0</v>
      </c>
      <c r="G35" s="1563">
        <f>SUMIF(MAP!$E$1700,$B35,MAP!$T$1700)</f>
        <v>0</v>
      </c>
      <c r="H35" s="1563">
        <f>SUMIF(MAP!$E$1701,$B35,MAP!$T$1701)</f>
        <v>0</v>
      </c>
      <c r="I35" s="1563">
        <f>SUMIF(MAP!$E$1702,$B35,MAP!$T$1702)</f>
        <v>0</v>
      </c>
      <c r="J35" s="1563">
        <f>SUM(C35:I35)</f>
        <v>0</v>
      </c>
      <c r="K35" s="1112"/>
      <c r="L35" s="1563">
        <f>SUMIF(MAP!$E$1696,$B35,MAP!$N$1696)</f>
        <v>0</v>
      </c>
      <c r="M35" s="1563">
        <f>SUMIF(MAP!$E$1697,$B35,MAP!$N$1697)</f>
        <v>0</v>
      </c>
      <c r="N35" s="1563">
        <f>SUMIF(MAP!$E$1698,$B35,MAP!$N$1698)</f>
        <v>0</v>
      </c>
      <c r="O35" s="1563">
        <f>SUMIF(MAP!$E$1699,$B35,MAP!$N$1699)</f>
        <v>0</v>
      </c>
      <c r="P35" s="1563">
        <f>SUMIF(MAP!$E$1700,$B35,MAP!$N$1700)</f>
        <v>0</v>
      </c>
      <c r="Q35" s="1563">
        <f>SUMIF(MAP!$E$1701,$B35,MAP!$N$1701)</f>
        <v>0</v>
      </c>
      <c r="R35" s="1563">
        <f>SUMIF(MAP!$E$1702,$B35,MAP!$N$1702)</f>
        <v>0</v>
      </c>
      <c r="S35" s="1563">
        <f>SUM(L35:R35)</f>
        <v>0</v>
      </c>
      <c r="T35" s="939"/>
    </row>
    <row r="36" spans="1:20" ht="15" x14ac:dyDescent="0.25">
      <c r="A36" s="229"/>
      <c r="B36" s="1112"/>
      <c r="C36" s="1112"/>
      <c r="D36" s="1112"/>
      <c r="E36" s="1112"/>
      <c r="F36" s="1112"/>
      <c r="G36" s="1112"/>
      <c r="H36" s="1112"/>
      <c r="I36" s="1112"/>
      <c r="J36" s="1112"/>
      <c r="K36" s="1112"/>
      <c r="L36" s="1112"/>
      <c r="M36" s="1112"/>
      <c r="N36" s="1112"/>
      <c r="O36" s="1112"/>
      <c r="P36" s="1112"/>
      <c r="Q36" s="1112"/>
      <c r="R36" s="1112"/>
      <c r="S36" s="1112"/>
      <c r="T36" s="939"/>
    </row>
    <row r="37" spans="1:20" ht="15" x14ac:dyDescent="0.25">
      <c r="A37" s="229"/>
      <c r="B37" s="1112"/>
      <c r="C37" s="1112"/>
      <c r="D37" s="1112"/>
      <c r="E37" s="1112"/>
      <c r="F37" s="1112"/>
      <c r="G37" s="1112"/>
      <c r="H37" s="1112"/>
      <c r="I37" s="1112"/>
      <c r="J37" s="1112"/>
      <c r="K37" s="1112"/>
      <c r="L37" s="1112"/>
      <c r="M37" s="1112"/>
      <c r="N37" s="1112"/>
      <c r="O37" s="939"/>
    </row>
    <row r="38" spans="1:20" x14ac:dyDescent="0.2">
      <c r="A38" s="229"/>
      <c r="B38" s="37"/>
    </row>
    <row r="39" spans="1:20" x14ac:dyDescent="0.2">
      <c r="A39" s="229">
        <f>SUMIF(Update!$B$33:$B$106,B39,Update!$A$33:$A$106)</f>
        <v>17.200000000000003</v>
      </c>
      <c r="B39" s="37" t="s">
        <v>2409</v>
      </c>
    </row>
    <row r="40" spans="1:20" x14ac:dyDescent="0.2">
      <c r="A40" s="229"/>
      <c r="B40" s="37"/>
    </row>
    <row r="41" spans="1:20" x14ac:dyDescent="0.2">
      <c r="A41" s="229"/>
      <c r="B41" s="37" t="s">
        <v>2420</v>
      </c>
    </row>
    <row r="42" spans="1:20" x14ac:dyDescent="0.2">
      <c r="A42" s="36"/>
    </row>
    <row r="43" spans="1:20" ht="38.25" x14ac:dyDescent="0.2">
      <c r="A43" s="36"/>
      <c r="B43" s="37"/>
      <c r="C43" s="201" t="str">
        <f>Update!$B$7</f>
        <v>Core Department &amp; Agencies</v>
      </c>
      <c r="D43" s="201" t="str">
        <f>Update!$B$8</f>
        <v>Departmental Group</v>
      </c>
      <c r="F43" s="201" t="str">
        <f>Update!$B$7</f>
        <v>Core Department &amp; Agencies</v>
      </c>
      <c r="G43" s="201" t="str">
        <f>Update!$B$8</f>
        <v>Departmental Group</v>
      </c>
    </row>
    <row r="44" spans="1:20" x14ac:dyDescent="0.2">
      <c r="C44" s="172" t="str">
        <f>Update!$B$22</f>
        <v xml:space="preserve"> 31 March 2026</v>
      </c>
      <c r="D44" s="172" t="str">
        <f>Update!$B$22</f>
        <v xml:space="preserve"> 31 March 2026</v>
      </c>
      <c r="E44" s="39"/>
      <c r="F44" s="40" t="str">
        <f>Update!$B$24</f>
        <v xml:space="preserve"> 31 March 2025</v>
      </c>
      <c r="G44" s="40" t="str">
        <f>Update!$B$24</f>
        <v xml:space="preserve"> 31 March 2025</v>
      </c>
    </row>
    <row r="45" spans="1:20" x14ac:dyDescent="0.2">
      <c r="B45" s="37"/>
      <c r="C45" s="39" t="s">
        <v>462</v>
      </c>
      <c r="D45" s="39" t="s">
        <v>462</v>
      </c>
      <c r="E45" s="39"/>
      <c r="F45" s="39" t="s">
        <v>462</v>
      </c>
      <c r="G45" s="39" t="s">
        <v>462</v>
      </c>
    </row>
    <row r="46" spans="1:20" x14ac:dyDescent="0.2">
      <c r="B46" s="37" t="s">
        <v>196</v>
      </c>
      <c r="C46" s="58"/>
      <c r="D46" s="58"/>
      <c r="E46" s="58"/>
      <c r="F46" s="58"/>
      <c r="G46" s="58"/>
    </row>
    <row r="47" spans="1:20" x14ac:dyDescent="0.2">
      <c r="B47" s="34" t="s">
        <v>216</v>
      </c>
      <c r="C47" s="747">
        <f>SUMIFS(MAP!$T$1704:$T$1713,MAP!$D$1704:$D$1713,'Note 17'!$B$46,MAP!$E$1704:$E$1713,$B47)</f>
        <v>0</v>
      </c>
      <c r="D47" s="747">
        <f>SUMIFS(MAP!$N$1704:$N$1713,MAP!$D$1704:$D$1713,'Note 17'!$B$46,MAP!$E$1704:$E$1713,$B47)</f>
        <v>0</v>
      </c>
      <c r="E47" s="58"/>
      <c r="F47" s="768">
        <v>294</v>
      </c>
      <c r="G47" s="768">
        <v>3729</v>
      </c>
    </row>
    <row r="48" spans="1:20" x14ac:dyDescent="0.2">
      <c r="B48" s="34" t="s">
        <v>218</v>
      </c>
      <c r="C48" s="747">
        <f>SUMIFS(MAP!$T$1704:$T$1713,MAP!$D$1704:$D$1713,'Note 17'!$B$46,MAP!$E$1704:$E$1713,$B48)</f>
        <v>0</v>
      </c>
      <c r="D48" s="747">
        <f>SUMIFS(MAP!$N$1704:$N$1713,MAP!$D$1704:$D$1713,'Note 17'!$B$46,MAP!$E$1704:$E$1713,$B48)</f>
        <v>0</v>
      </c>
      <c r="E48" s="58"/>
      <c r="F48" s="768">
        <v>178</v>
      </c>
      <c r="G48" s="768">
        <v>7218</v>
      </c>
    </row>
    <row r="49" spans="2:7" x14ac:dyDescent="0.2">
      <c r="B49" s="34" t="s">
        <v>217</v>
      </c>
      <c r="C49" s="747">
        <f>SUMIFS(MAP!$T$1704:$T$1713,MAP!$D$1704:$D$1713,'Note 17'!$B$46,MAP!$E$1704:$E$1713,$B49)</f>
        <v>0</v>
      </c>
      <c r="D49" s="747">
        <f>SUMIFS(MAP!$N$1704:$N$1713,MAP!$D$1704:$D$1713,'Note 17'!$B$46,MAP!$E$1704:$E$1713,$B49)</f>
        <v>0</v>
      </c>
      <c r="E49" s="58"/>
      <c r="F49" s="768">
        <v>0</v>
      </c>
      <c r="G49" s="768">
        <v>853</v>
      </c>
    </row>
    <row r="50" spans="2:7" ht="13.5" thickBot="1" x14ac:dyDescent="0.25">
      <c r="C50" s="175">
        <f>SUM(C46:C49)</f>
        <v>0</v>
      </c>
      <c r="D50" s="175">
        <f>SUM(D46:D49)</f>
        <v>0</v>
      </c>
      <c r="E50" s="58"/>
      <c r="F50" s="175">
        <f>SUM(F46:F49)</f>
        <v>472</v>
      </c>
      <c r="G50" s="175">
        <f>SUM(G46:G49)</f>
        <v>11800</v>
      </c>
    </row>
    <row r="51" spans="2:7" x14ac:dyDescent="0.2">
      <c r="B51" s="34" t="s">
        <v>659</v>
      </c>
      <c r="C51" s="747">
        <f>SUMIFS(MAP!$T$1704:$T$1713,MAP!$D$1704:$D$1713,'Note 17'!$B$46,MAP!$E$1704:$E$1713,$B51)</f>
        <v>0</v>
      </c>
      <c r="D51" s="747">
        <f>SUMIFS(MAP!$N$1704:$N$1713,MAP!$D$1704:$D$1713,'Note 17'!$B$46,MAP!$E$1704:$E$1713,$B51)</f>
        <v>0</v>
      </c>
      <c r="E51" s="58"/>
      <c r="F51" s="768">
        <v>-1</v>
      </c>
      <c r="G51" s="768">
        <v>-552</v>
      </c>
    </row>
    <row r="52" spans="2:7" ht="13.5" thickBot="1" x14ac:dyDescent="0.25">
      <c r="B52" s="34" t="s">
        <v>643</v>
      </c>
      <c r="C52" s="183">
        <f>SUM(C50:C51)</f>
        <v>0</v>
      </c>
      <c r="D52" s="183">
        <f>SUM(D50:D51)</f>
        <v>0</v>
      </c>
      <c r="E52" s="58"/>
      <c r="F52" s="183">
        <f>SUM(F50:F51)</f>
        <v>471</v>
      </c>
      <c r="G52" s="183">
        <f>SUM(G50:G51)</f>
        <v>11248</v>
      </c>
    </row>
    <row r="54" spans="2:7" x14ac:dyDescent="0.2">
      <c r="B54" s="37" t="s">
        <v>181</v>
      </c>
      <c r="C54" s="58"/>
      <c r="D54" s="58"/>
      <c r="E54" s="58"/>
      <c r="F54" s="58"/>
      <c r="G54" s="58"/>
    </row>
    <row r="55" spans="2:7" x14ac:dyDescent="0.2">
      <c r="B55" s="34" t="s">
        <v>216</v>
      </c>
      <c r="C55" s="747">
        <f>SUMIFS(MAP!$T$1704:$T$1713,MAP!$D$1704:$D$1713,'Note 17'!$B$54,MAP!$E$1704:$E$1713,$B55)</f>
        <v>0</v>
      </c>
      <c r="D55" s="747">
        <f>SUMIFS(MAP!$N$1704:$N$1713,MAP!$D$1704:$D$1713,'Note 17'!$B$54,MAP!$E$1704:$E$1713,$B55)</f>
        <v>0</v>
      </c>
      <c r="E55" s="58"/>
      <c r="F55" s="768">
        <v>0</v>
      </c>
      <c r="G55" s="768">
        <v>8107</v>
      </c>
    </row>
    <row r="56" spans="2:7" x14ac:dyDescent="0.2">
      <c r="B56" s="34" t="s">
        <v>218</v>
      </c>
      <c r="C56" s="747">
        <f>SUMIFS(MAP!$T$1704:$T$1713,MAP!$D$1704:$D$1713,'Note 17'!$B$54,MAP!$E$1704:$E$1713,$B56)</f>
        <v>0</v>
      </c>
      <c r="D56" s="747">
        <f>SUMIFS(MAP!$N$1704:$N$1713,MAP!$D$1704:$D$1713,'Note 17'!$B$54,MAP!$E$1704:$E$1713,$B56)</f>
        <v>0</v>
      </c>
      <c r="E56" s="58"/>
      <c r="F56" s="768">
        <v>0</v>
      </c>
      <c r="G56" s="768">
        <v>34417</v>
      </c>
    </row>
    <row r="57" spans="2:7" x14ac:dyDescent="0.2">
      <c r="B57" s="34" t="s">
        <v>217</v>
      </c>
      <c r="C57" s="747">
        <f>SUMIFS(MAP!$T$1704:$T$1713,MAP!$D$1704:$D$1713,'Note 17'!$B$54,MAP!$E$1704:$E$1713,$B57)</f>
        <v>0</v>
      </c>
      <c r="D57" s="747">
        <f>SUMIFS(MAP!$N$1704:$N$1713,MAP!$D$1704:$D$1713,'Note 17'!$B$54,MAP!$E$1704:$E$1713,$B57)</f>
        <v>0</v>
      </c>
      <c r="E57" s="58"/>
      <c r="F57" s="768">
        <v>0</v>
      </c>
      <c r="G57" s="768">
        <v>94922</v>
      </c>
    </row>
    <row r="58" spans="2:7" ht="13.5" thickBot="1" x14ac:dyDescent="0.25">
      <c r="C58" s="175">
        <f>SUM(C54:C57)</f>
        <v>0</v>
      </c>
      <c r="D58" s="175">
        <f>SUM(D54:D57)</f>
        <v>0</v>
      </c>
      <c r="E58" s="58"/>
      <c r="F58" s="175">
        <f>SUM(F54:F57)</f>
        <v>0</v>
      </c>
      <c r="G58" s="175">
        <f>SUM(G54:G57)</f>
        <v>137446</v>
      </c>
    </row>
    <row r="59" spans="2:7" x14ac:dyDescent="0.2">
      <c r="B59" s="34" t="s">
        <v>659</v>
      </c>
      <c r="C59" s="747">
        <f>SUMIFS(MAP!$T$1704:$T$1713,MAP!$D$1704:$D$1713,'Note 17'!$B$54,MAP!$E$1704:$E$1713,$B59)</f>
        <v>0</v>
      </c>
      <c r="D59" s="747">
        <f>SUMIFS(MAP!$N$1704:$N$1713,MAP!$D$1704:$D$1713,'Note 17'!$B$54,MAP!$E$1704:$E$1713,$B59)</f>
        <v>0</v>
      </c>
      <c r="E59" s="58"/>
      <c r="F59" s="768">
        <v>0</v>
      </c>
      <c r="G59" s="768">
        <v>-26629</v>
      </c>
    </row>
    <row r="60" spans="2:7" ht="13.5" thickBot="1" x14ac:dyDescent="0.25">
      <c r="B60" s="34" t="s">
        <v>643</v>
      </c>
      <c r="C60" s="183">
        <f>SUM(C58:C59)</f>
        <v>0</v>
      </c>
      <c r="D60" s="183">
        <f>SUM(D58:D59)</f>
        <v>0</v>
      </c>
      <c r="E60" s="58"/>
      <c r="F60" s="183">
        <f>SUM(F58:F59)</f>
        <v>0</v>
      </c>
      <c r="G60" s="183">
        <f>SUM(G58:G59)</f>
        <v>110817</v>
      </c>
    </row>
    <row r="61" spans="2:7" x14ac:dyDescent="0.2">
      <c r="B61" s="32" t="s">
        <v>1077</v>
      </c>
      <c r="C61" s="1612">
        <f>C52+C60</f>
        <v>0</v>
      </c>
      <c r="D61" s="1612">
        <f>D52+D60</f>
        <v>0</v>
      </c>
      <c r="F61" s="355">
        <f>F52+F60</f>
        <v>471</v>
      </c>
      <c r="G61" s="355">
        <f>G52+G60</f>
        <v>122065</v>
      </c>
    </row>
    <row r="62" spans="2:7" x14ac:dyDescent="0.2">
      <c r="C62" s="204">
        <f>SUM(MAP!T1704:T1711)-'Note 17'!C60-'Note 17'!C52</f>
        <v>0</v>
      </c>
      <c r="D62" s="204">
        <f>SUM(MAP!N1704:N1711)-'Note 17'!D60-'Note 17'!D52</f>
        <v>0</v>
      </c>
    </row>
    <row r="64" spans="2:7" ht="13.5" thickBot="1" x14ac:dyDescent="0.25">
      <c r="B64" s="37" t="s">
        <v>2413</v>
      </c>
      <c r="C64" s="153">
        <f>SUMIFS(MAP!$T$1704:$T$1713,MAP!$D$1704:$D$1713,'Note 17'!$B$64,MAP!$E$1704:$E$1713,$B64)</f>
        <v>0</v>
      </c>
      <c r="D64" s="153">
        <f>SUMIFS(MAP!$N$1704:$N$1713,MAP!$D$1704:$D$1713,'Note 17'!$B$64,MAP!$E$1704:$E$1713,$B64)</f>
        <v>0</v>
      </c>
      <c r="F64" s="1502">
        <v>293</v>
      </c>
      <c r="G64" s="1502">
        <v>9470</v>
      </c>
    </row>
    <row r="66" spans="1:7" ht="13.5" thickBot="1" x14ac:dyDescent="0.25">
      <c r="B66" s="37" t="s">
        <v>2414</v>
      </c>
      <c r="C66" s="153">
        <f>SUMIFS(MAP!$T$1704:$T$1713,MAP!$D$1704:$D$1713,'Note 17'!$B$66,MAP!$E$1704:$E$1713,$B66)</f>
        <v>0</v>
      </c>
      <c r="D66" s="153">
        <f>SUMIFS(MAP!$N$1704:$N$1713,MAP!$D$1704:$D$1713,'Note 17'!$B$66,MAP!$E$1704:$E$1713,$B66)</f>
        <v>0</v>
      </c>
      <c r="F66" s="1502">
        <v>178</v>
      </c>
      <c r="G66" s="1502">
        <v>112595</v>
      </c>
    </row>
    <row r="70" spans="1:7" x14ac:dyDescent="0.2">
      <c r="A70" s="229">
        <f>SUMIF(Update!$B$33:$B$106,B70,Update!$A$33:$A$106)</f>
        <v>17.300000000000004</v>
      </c>
      <c r="B70" s="937" t="s">
        <v>2410</v>
      </c>
    </row>
    <row r="72" spans="1:7" ht="38.25" x14ac:dyDescent="0.2">
      <c r="C72" s="201" t="str">
        <f>Update!$B$7</f>
        <v>Core Department &amp; Agencies</v>
      </c>
      <c r="D72" s="201" t="str">
        <f>Update!$B$8</f>
        <v>Departmental Group</v>
      </c>
      <c r="F72" s="201" t="str">
        <f>Update!$B$7</f>
        <v>Core Department &amp; Agencies</v>
      </c>
      <c r="G72" s="201" t="str">
        <f>Update!$B$8</f>
        <v>Departmental Group</v>
      </c>
    </row>
    <row r="73" spans="1:7" x14ac:dyDescent="0.2">
      <c r="C73" s="172" t="str">
        <f>Update!$B$22</f>
        <v xml:space="preserve"> 31 March 2026</v>
      </c>
      <c r="D73" s="172" t="str">
        <f>Update!$B$22</f>
        <v xml:space="preserve"> 31 March 2026</v>
      </c>
      <c r="E73" s="39"/>
      <c r="F73" s="40" t="str">
        <f>Update!$B$24</f>
        <v xml:space="preserve"> 31 March 2025</v>
      </c>
      <c r="G73" s="40" t="str">
        <f>Update!$B$24</f>
        <v xml:space="preserve"> 31 March 2025</v>
      </c>
    </row>
    <row r="74" spans="1:7" x14ac:dyDescent="0.2">
      <c r="B74" s="931"/>
      <c r="C74" s="39" t="s">
        <v>462</v>
      </c>
      <c r="D74" s="39" t="s">
        <v>462</v>
      </c>
      <c r="E74" s="39"/>
      <c r="F74" s="39" t="s">
        <v>462</v>
      </c>
      <c r="G74" s="39" t="s">
        <v>462</v>
      </c>
    </row>
    <row r="75" spans="1:7" x14ac:dyDescent="0.2">
      <c r="B75" s="931"/>
      <c r="C75" s="39"/>
      <c r="D75" s="39"/>
      <c r="E75" s="39"/>
      <c r="F75" s="39"/>
      <c r="G75" s="39"/>
    </row>
    <row r="76" spans="1:7" x14ac:dyDescent="0.2">
      <c r="B76" s="931" t="s">
        <v>2415</v>
      </c>
      <c r="C76" s="747">
        <f>SUMIF(MAP!$E$1715:$E$1718,$B76,MAP!$T$1715:$T$1718)</f>
        <v>0</v>
      </c>
      <c r="D76" s="747">
        <f>SUMIF(MAP!$E$1715:$E$1718,$B76,MAP!$N$1715:$N$1718)</f>
        <v>0</v>
      </c>
      <c r="F76" s="342">
        <v>61</v>
      </c>
      <c r="G76" s="342">
        <v>2285</v>
      </c>
    </row>
    <row r="77" spans="1:7" x14ac:dyDescent="0.2">
      <c r="B77" s="931"/>
    </row>
    <row r="78" spans="1:7" x14ac:dyDescent="0.2">
      <c r="B78" s="931" t="s">
        <v>2416</v>
      </c>
      <c r="C78" s="747">
        <f>SUMIF(MAP!$E$1715:$E$1718,$B78,MAP!$T$1715:$T$1718)</f>
        <v>0</v>
      </c>
      <c r="D78" s="747">
        <f>SUMIF(MAP!$E$1715:$E$1718,$B78,MAP!$N$1715:$N$1718)</f>
        <v>0</v>
      </c>
      <c r="F78" s="342">
        <v>0</v>
      </c>
      <c r="G78" s="342">
        <v>18</v>
      </c>
    </row>
    <row r="79" spans="1:7" x14ac:dyDescent="0.2">
      <c r="B79" s="931"/>
    </row>
    <row r="80" spans="1:7" x14ac:dyDescent="0.2">
      <c r="B80" s="931" t="s">
        <v>2417</v>
      </c>
      <c r="C80" s="747">
        <f>SUMIF(MAP!$E$1715:$E$1718,$B80,MAP!$T$1715:$T$1718)</f>
        <v>0</v>
      </c>
      <c r="D80" s="747">
        <f>SUMIF(MAP!$E$1715:$E$1718,$B80,MAP!$N$1715:$N$1718)</f>
        <v>0</v>
      </c>
      <c r="F80" s="342">
        <v>0</v>
      </c>
      <c r="G80" s="342">
        <v>298</v>
      </c>
    </row>
    <row r="81" spans="1:7" x14ac:dyDescent="0.2">
      <c r="B81" s="931"/>
    </row>
    <row r="82" spans="1:7" ht="25.5" x14ac:dyDescent="0.2">
      <c r="B82" s="1503" t="s">
        <v>2418</v>
      </c>
      <c r="C82" s="747">
        <f>SUMIF(MAP!$E$1715:$E$1718,$B82,MAP!$T$1715:$T$1718)</f>
        <v>0</v>
      </c>
      <c r="D82" s="747">
        <f>SUMIF(MAP!$E$1715:$E$1718,$B82,MAP!$N$1715:$N$1718)</f>
        <v>0</v>
      </c>
      <c r="F82" s="342">
        <v>0</v>
      </c>
      <c r="G82" s="342">
        <v>3537</v>
      </c>
    </row>
    <row r="86" spans="1:7" x14ac:dyDescent="0.2">
      <c r="A86" s="229">
        <f>SUMIF(Update!$B$33:$B$106,B86,Update!$A$33:$A$106)</f>
        <v>17.400000000000006</v>
      </c>
      <c r="B86" s="937" t="s">
        <v>2411</v>
      </c>
    </row>
    <row r="88" spans="1:7" ht="38.25" x14ac:dyDescent="0.2">
      <c r="C88" s="201" t="str">
        <f>Update!$B$7</f>
        <v>Core Department &amp; Agencies</v>
      </c>
      <c r="D88" s="201" t="str">
        <f>Update!$B$8</f>
        <v>Departmental Group</v>
      </c>
      <c r="F88" s="201" t="str">
        <f>Update!$B$7</f>
        <v>Core Department &amp; Agencies</v>
      </c>
      <c r="G88" s="201" t="str">
        <f>Update!$B$8</f>
        <v>Departmental Group</v>
      </c>
    </row>
    <row r="89" spans="1:7" x14ac:dyDescent="0.2">
      <c r="C89" s="172" t="str">
        <f>Update!$B$22</f>
        <v xml:space="preserve"> 31 March 2026</v>
      </c>
      <c r="D89" s="172" t="str">
        <f>Update!$B$22</f>
        <v xml:space="preserve"> 31 March 2026</v>
      </c>
      <c r="E89" s="39"/>
      <c r="F89" s="40" t="str">
        <f>Update!$B$24</f>
        <v xml:space="preserve"> 31 March 2025</v>
      </c>
      <c r="G89" s="40" t="str">
        <f>Update!$B$24</f>
        <v xml:space="preserve"> 31 March 2025</v>
      </c>
    </row>
    <row r="90" spans="1:7" x14ac:dyDescent="0.2">
      <c r="C90" s="39" t="s">
        <v>462</v>
      </c>
      <c r="D90" s="39" t="s">
        <v>462</v>
      </c>
      <c r="E90" s="39"/>
      <c r="F90" s="39" t="s">
        <v>462</v>
      </c>
      <c r="G90" s="39" t="s">
        <v>462</v>
      </c>
    </row>
    <row r="92" spans="1:7" x14ac:dyDescent="0.2">
      <c r="B92" s="931" t="s">
        <v>2419</v>
      </c>
      <c r="C92" s="747">
        <f>SUMIF(MAP!$E$1719:$E$1720,$B92,MAP!$T$1719:$T$1720)</f>
        <v>0</v>
      </c>
      <c r="D92" s="747">
        <f>SUMIF(MAP!$E$1719:$E$1720,$B92,MAP!$N$1719:$N$1720)</f>
        <v>0</v>
      </c>
      <c r="F92" s="342">
        <v>373</v>
      </c>
      <c r="G92" s="342">
        <v>14821</v>
      </c>
    </row>
  </sheetData>
  <mergeCells count="2">
    <mergeCell ref="C9:J9"/>
    <mergeCell ref="L9:S9"/>
  </mergeCells>
  <pageMargins left="0.35433070866141736" right="0.47244094488188981" top="0.19685039370078741" bottom="0.19685039370078741" header="0.31496062992125984" footer="0.31496062992125984"/>
  <pageSetup paperSize="9" scale="55" orientation="landscape" r:id="rId1"/>
  <ignoredErrors>
    <ignoredError sqref="C58 C50"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B0F0"/>
    <pageSetUpPr fitToPage="1"/>
  </sheetPr>
  <dimension ref="A1:K74"/>
  <sheetViews>
    <sheetView zoomScale="90" zoomScaleNormal="90" workbookViewId="0">
      <selection activeCell="G5" sqref="G4:G5"/>
    </sheetView>
  </sheetViews>
  <sheetFormatPr defaultRowHeight="15" outlineLevelCol="1" x14ac:dyDescent="0.25"/>
  <cols>
    <col min="1" max="1" width="7.5703125" bestFit="1" customWidth="1"/>
    <col min="2" max="2" width="73.42578125" customWidth="1"/>
    <col min="3" max="3" width="16.85546875" customWidth="1"/>
    <col min="4" max="4" width="16.42578125" bestFit="1" customWidth="1"/>
    <col min="5" max="5" width="10.5703125" customWidth="1"/>
    <col min="6" max="6" width="15.5703125" customWidth="1" outlineLevel="1"/>
    <col min="7" max="7" width="16.42578125" customWidth="1" outlineLevel="1"/>
    <col min="8" max="8" width="15.28515625" customWidth="1"/>
    <col min="257" max="257" width="7.5703125" bestFit="1" customWidth="1"/>
    <col min="258" max="258" width="45.28515625" customWidth="1"/>
    <col min="259" max="259" width="12.42578125" customWidth="1"/>
    <col min="260" max="260" width="16.42578125" bestFit="1" customWidth="1"/>
    <col min="261" max="261" width="10.5703125" customWidth="1"/>
    <col min="262" max="262" width="16.42578125" bestFit="1" customWidth="1"/>
    <col min="264" max="264" width="0" hidden="1" customWidth="1"/>
    <col min="513" max="513" width="7.5703125" bestFit="1" customWidth="1"/>
    <col min="514" max="514" width="45.28515625" customWidth="1"/>
    <col min="515" max="515" width="12.42578125" customWidth="1"/>
    <col min="516" max="516" width="16.42578125" bestFit="1" customWidth="1"/>
    <col min="517" max="517" width="10.5703125" customWidth="1"/>
    <col min="518" max="518" width="16.42578125" bestFit="1" customWidth="1"/>
    <col min="520" max="520" width="0" hidden="1" customWidth="1"/>
    <col min="769" max="769" width="7.5703125" bestFit="1" customWidth="1"/>
    <col min="770" max="770" width="45.28515625" customWidth="1"/>
    <col min="771" max="771" width="12.42578125" customWidth="1"/>
    <col min="772" max="772" width="16.42578125" bestFit="1" customWidth="1"/>
    <col min="773" max="773" width="10.5703125" customWidth="1"/>
    <col min="774" max="774" width="16.42578125" bestFit="1" customWidth="1"/>
    <col min="776" max="776" width="0" hidden="1" customWidth="1"/>
    <col min="1025" max="1025" width="7.5703125" bestFit="1" customWidth="1"/>
    <col min="1026" max="1026" width="45.28515625" customWidth="1"/>
    <col min="1027" max="1027" width="12.42578125" customWidth="1"/>
    <col min="1028" max="1028" width="16.42578125" bestFit="1" customWidth="1"/>
    <col min="1029" max="1029" width="10.5703125" customWidth="1"/>
    <col min="1030" max="1030" width="16.42578125" bestFit="1" customWidth="1"/>
    <col min="1032" max="1032" width="0" hidden="1" customWidth="1"/>
    <col min="1281" max="1281" width="7.5703125" bestFit="1" customWidth="1"/>
    <col min="1282" max="1282" width="45.28515625" customWidth="1"/>
    <col min="1283" max="1283" width="12.42578125" customWidth="1"/>
    <col min="1284" max="1284" width="16.42578125" bestFit="1" customWidth="1"/>
    <col min="1285" max="1285" width="10.5703125" customWidth="1"/>
    <col min="1286" max="1286" width="16.42578125" bestFit="1" customWidth="1"/>
    <col min="1288" max="1288" width="0" hidden="1" customWidth="1"/>
    <col min="1537" max="1537" width="7.5703125" bestFit="1" customWidth="1"/>
    <col min="1538" max="1538" width="45.28515625" customWidth="1"/>
    <col min="1539" max="1539" width="12.42578125" customWidth="1"/>
    <col min="1540" max="1540" width="16.42578125" bestFit="1" customWidth="1"/>
    <col min="1541" max="1541" width="10.5703125" customWidth="1"/>
    <col min="1542" max="1542" width="16.42578125" bestFit="1" customWidth="1"/>
    <col min="1544" max="1544" width="0" hidden="1" customWidth="1"/>
    <col min="1793" max="1793" width="7.5703125" bestFit="1" customWidth="1"/>
    <col min="1794" max="1794" width="45.28515625" customWidth="1"/>
    <col min="1795" max="1795" width="12.42578125" customWidth="1"/>
    <col min="1796" max="1796" width="16.42578125" bestFit="1" customWidth="1"/>
    <col min="1797" max="1797" width="10.5703125" customWidth="1"/>
    <col min="1798" max="1798" width="16.42578125" bestFit="1" customWidth="1"/>
    <col min="1800" max="1800" width="0" hidden="1" customWidth="1"/>
    <col min="2049" max="2049" width="7.5703125" bestFit="1" customWidth="1"/>
    <col min="2050" max="2050" width="45.28515625" customWidth="1"/>
    <col min="2051" max="2051" width="12.42578125" customWidth="1"/>
    <col min="2052" max="2052" width="16.42578125" bestFit="1" customWidth="1"/>
    <col min="2053" max="2053" width="10.5703125" customWidth="1"/>
    <col min="2054" max="2054" width="16.42578125" bestFit="1" customWidth="1"/>
    <col min="2056" max="2056" width="0" hidden="1" customWidth="1"/>
    <col min="2305" max="2305" width="7.5703125" bestFit="1" customWidth="1"/>
    <col min="2306" max="2306" width="45.28515625" customWidth="1"/>
    <col min="2307" max="2307" width="12.42578125" customWidth="1"/>
    <col min="2308" max="2308" width="16.42578125" bestFit="1" customWidth="1"/>
    <col min="2309" max="2309" width="10.5703125" customWidth="1"/>
    <col min="2310" max="2310" width="16.42578125" bestFit="1" customWidth="1"/>
    <col min="2312" max="2312" width="0" hidden="1" customWidth="1"/>
    <col min="2561" max="2561" width="7.5703125" bestFit="1" customWidth="1"/>
    <col min="2562" max="2562" width="45.28515625" customWidth="1"/>
    <col min="2563" max="2563" width="12.42578125" customWidth="1"/>
    <col min="2564" max="2564" width="16.42578125" bestFit="1" customWidth="1"/>
    <col min="2565" max="2565" width="10.5703125" customWidth="1"/>
    <col min="2566" max="2566" width="16.42578125" bestFit="1" customWidth="1"/>
    <col min="2568" max="2568" width="0" hidden="1" customWidth="1"/>
    <col min="2817" max="2817" width="7.5703125" bestFit="1" customWidth="1"/>
    <col min="2818" max="2818" width="45.28515625" customWidth="1"/>
    <col min="2819" max="2819" width="12.42578125" customWidth="1"/>
    <col min="2820" max="2820" width="16.42578125" bestFit="1" customWidth="1"/>
    <col min="2821" max="2821" width="10.5703125" customWidth="1"/>
    <col min="2822" max="2822" width="16.42578125" bestFit="1" customWidth="1"/>
    <col min="2824" max="2824" width="0" hidden="1" customWidth="1"/>
    <col min="3073" max="3073" width="7.5703125" bestFit="1" customWidth="1"/>
    <col min="3074" max="3074" width="45.28515625" customWidth="1"/>
    <col min="3075" max="3075" width="12.42578125" customWidth="1"/>
    <col min="3076" max="3076" width="16.42578125" bestFit="1" customWidth="1"/>
    <col min="3077" max="3077" width="10.5703125" customWidth="1"/>
    <col min="3078" max="3078" width="16.42578125" bestFit="1" customWidth="1"/>
    <col min="3080" max="3080" width="0" hidden="1" customWidth="1"/>
    <col min="3329" max="3329" width="7.5703125" bestFit="1" customWidth="1"/>
    <col min="3330" max="3330" width="45.28515625" customWidth="1"/>
    <col min="3331" max="3331" width="12.42578125" customWidth="1"/>
    <col min="3332" max="3332" width="16.42578125" bestFit="1" customWidth="1"/>
    <col min="3333" max="3333" width="10.5703125" customWidth="1"/>
    <col min="3334" max="3334" width="16.42578125" bestFit="1" customWidth="1"/>
    <col min="3336" max="3336" width="0" hidden="1" customWidth="1"/>
    <col min="3585" max="3585" width="7.5703125" bestFit="1" customWidth="1"/>
    <col min="3586" max="3586" width="45.28515625" customWidth="1"/>
    <col min="3587" max="3587" width="12.42578125" customWidth="1"/>
    <col min="3588" max="3588" width="16.42578125" bestFit="1" customWidth="1"/>
    <col min="3589" max="3589" width="10.5703125" customWidth="1"/>
    <col min="3590" max="3590" width="16.42578125" bestFit="1" customWidth="1"/>
    <col min="3592" max="3592" width="0" hidden="1" customWidth="1"/>
    <col min="3841" max="3841" width="7.5703125" bestFit="1" customWidth="1"/>
    <col min="3842" max="3842" width="45.28515625" customWidth="1"/>
    <col min="3843" max="3843" width="12.42578125" customWidth="1"/>
    <col min="3844" max="3844" width="16.42578125" bestFit="1" customWidth="1"/>
    <col min="3845" max="3845" width="10.5703125" customWidth="1"/>
    <col min="3846" max="3846" width="16.42578125" bestFit="1" customWidth="1"/>
    <col min="3848" max="3848" width="0" hidden="1" customWidth="1"/>
    <col min="4097" max="4097" width="7.5703125" bestFit="1" customWidth="1"/>
    <col min="4098" max="4098" width="45.28515625" customWidth="1"/>
    <col min="4099" max="4099" width="12.42578125" customWidth="1"/>
    <col min="4100" max="4100" width="16.42578125" bestFit="1" customWidth="1"/>
    <col min="4101" max="4101" width="10.5703125" customWidth="1"/>
    <col min="4102" max="4102" width="16.42578125" bestFit="1" customWidth="1"/>
    <col min="4104" max="4104" width="0" hidden="1" customWidth="1"/>
    <col min="4353" max="4353" width="7.5703125" bestFit="1" customWidth="1"/>
    <col min="4354" max="4354" width="45.28515625" customWidth="1"/>
    <col min="4355" max="4355" width="12.42578125" customWidth="1"/>
    <col min="4356" max="4356" width="16.42578125" bestFit="1" customWidth="1"/>
    <col min="4357" max="4357" width="10.5703125" customWidth="1"/>
    <col min="4358" max="4358" width="16.42578125" bestFit="1" customWidth="1"/>
    <col min="4360" max="4360" width="0" hidden="1" customWidth="1"/>
    <col min="4609" max="4609" width="7.5703125" bestFit="1" customWidth="1"/>
    <col min="4610" max="4610" width="45.28515625" customWidth="1"/>
    <col min="4611" max="4611" width="12.42578125" customWidth="1"/>
    <col min="4612" max="4612" width="16.42578125" bestFit="1" customWidth="1"/>
    <col min="4613" max="4613" width="10.5703125" customWidth="1"/>
    <col min="4614" max="4614" width="16.42578125" bestFit="1" customWidth="1"/>
    <col min="4616" max="4616" width="0" hidden="1" customWidth="1"/>
    <col min="4865" max="4865" width="7.5703125" bestFit="1" customWidth="1"/>
    <col min="4866" max="4866" width="45.28515625" customWidth="1"/>
    <col min="4867" max="4867" width="12.42578125" customWidth="1"/>
    <col min="4868" max="4868" width="16.42578125" bestFit="1" customWidth="1"/>
    <col min="4869" max="4869" width="10.5703125" customWidth="1"/>
    <col min="4870" max="4870" width="16.42578125" bestFit="1" customWidth="1"/>
    <col min="4872" max="4872" width="0" hidden="1" customWidth="1"/>
    <col min="5121" max="5121" width="7.5703125" bestFit="1" customWidth="1"/>
    <col min="5122" max="5122" width="45.28515625" customWidth="1"/>
    <col min="5123" max="5123" width="12.42578125" customWidth="1"/>
    <col min="5124" max="5124" width="16.42578125" bestFit="1" customWidth="1"/>
    <col min="5125" max="5125" width="10.5703125" customWidth="1"/>
    <col min="5126" max="5126" width="16.42578125" bestFit="1" customWidth="1"/>
    <col min="5128" max="5128" width="0" hidden="1" customWidth="1"/>
    <col min="5377" max="5377" width="7.5703125" bestFit="1" customWidth="1"/>
    <col min="5378" max="5378" width="45.28515625" customWidth="1"/>
    <col min="5379" max="5379" width="12.42578125" customWidth="1"/>
    <col min="5380" max="5380" width="16.42578125" bestFit="1" customWidth="1"/>
    <col min="5381" max="5381" width="10.5703125" customWidth="1"/>
    <col min="5382" max="5382" width="16.42578125" bestFit="1" customWidth="1"/>
    <col min="5384" max="5384" width="0" hidden="1" customWidth="1"/>
    <col min="5633" max="5633" width="7.5703125" bestFit="1" customWidth="1"/>
    <col min="5634" max="5634" width="45.28515625" customWidth="1"/>
    <col min="5635" max="5635" width="12.42578125" customWidth="1"/>
    <col min="5636" max="5636" width="16.42578125" bestFit="1" customWidth="1"/>
    <col min="5637" max="5637" width="10.5703125" customWidth="1"/>
    <col min="5638" max="5638" width="16.42578125" bestFit="1" customWidth="1"/>
    <col min="5640" max="5640" width="0" hidden="1" customWidth="1"/>
    <col min="5889" max="5889" width="7.5703125" bestFit="1" customWidth="1"/>
    <col min="5890" max="5890" width="45.28515625" customWidth="1"/>
    <col min="5891" max="5891" width="12.42578125" customWidth="1"/>
    <col min="5892" max="5892" width="16.42578125" bestFit="1" customWidth="1"/>
    <col min="5893" max="5893" width="10.5703125" customWidth="1"/>
    <col min="5894" max="5894" width="16.42578125" bestFit="1" customWidth="1"/>
    <col min="5896" max="5896" width="0" hidden="1" customWidth="1"/>
    <col min="6145" max="6145" width="7.5703125" bestFit="1" customWidth="1"/>
    <col min="6146" max="6146" width="45.28515625" customWidth="1"/>
    <col min="6147" max="6147" width="12.42578125" customWidth="1"/>
    <col min="6148" max="6148" width="16.42578125" bestFit="1" customWidth="1"/>
    <col min="6149" max="6149" width="10.5703125" customWidth="1"/>
    <col min="6150" max="6150" width="16.42578125" bestFit="1" customWidth="1"/>
    <col min="6152" max="6152" width="0" hidden="1" customWidth="1"/>
    <col min="6401" max="6401" width="7.5703125" bestFit="1" customWidth="1"/>
    <col min="6402" max="6402" width="45.28515625" customWidth="1"/>
    <col min="6403" max="6403" width="12.42578125" customWidth="1"/>
    <col min="6404" max="6404" width="16.42578125" bestFit="1" customWidth="1"/>
    <col min="6405" max="6405" width="10.5703125" customWidth="1"/>
    <col min="6406" max="6406" width="16.42578125" bestFit="1" customWidth="1"/>
    <col min="6408" max="6408" width="0" hidden="1" customWidth="1"/>
    <col min="6657" max="6657" width="7.5703125" bestFit="1" customWidth="1"/>
    <col min="6658" max="6658" width="45.28515625" customWidth="1"/>
    <col min="6659" max="6659" width="12.42578125" customWidth="1"/>
    <col min="6660" max="6660" width="16.42578125" bestFit="1" customWidth="1"/>
    <col min="6661" max="6661" width="10.5703125" customWidth="1"/>
    <col min="6662" max="6662" width="16.42578125" bestFit="1" customWidth="1"/>
    <col min="6664" max="6664" width="0" hidden="1" customWidth="1"/>
    <col min="6913" max="6913" width="7.5703125" bestFit="1" customWidth="1"/>
    <col min="6914" max="6914" width="45.28515625" customWidth="1"/>
    <col min="6915" max="6915" width="12.42578125" customWidth="1"/>
    <col min="6916" max="6916" width="16.42578125" bestFit="1" customWidth="1"/>
    <col min="6917" max="6917" width="10.5703125" customWidth="1"/>
    <col min="6918" max="6918" width="16.42578125" bestFit="1" customWidth="1"/>
    <col min="6920" max="6920" width="0" hidden="1" customWidth="1"/>
    <col min="7169" max="7169" width="7.5703125" bestFit="1" customWidth="1"/>
    <col min="7170" max="7170" width="45.28515625" customWidth="1"/>
    <col min="7171" max="7171" width="12.42578125" customWidth="1"/>
    <col min="7172" max="7172" width="16.42578125" bestFit="1" customWidth="1"/>
    <col min="7173" max="7173" width="10.5703125" customWidth="1"/>
    <col min="7174" max="7174" width="16.42578125" bestFit="1" customWidth="1"/>
    <col min="7176" max="7176" width="0" hidden="1" customWidth="1"/>
    <col min="7425" max="7425" width="7.5703125" bestFit="1" customWidth="1"/>
    <col min="7426" max="7426" width="45.28515625" customWidth="1"/>
    <col min="7427" max="7427" width="12.42578125" customWidth="1"/>
    <col min="7428" max="7428" width="16.42578125" bestFit="1" customWidth="1"/>
    <col min="7429" max="7429" width="10.5703125" customWidth="1"/>
    <col min="7430" max="7430" width="16.42578125" bestFit="1" customWidth="1"/>
    <col min="7432" max="7432" width="0" hidden="1" customWidth="1"/>
    <col min="7681" max="7681" width="7.5703125" bestFit="1" customWidth="1"/>
    <col min="7682" max="7682" width="45.28515625" customWidth="1"/>
    <col min="7683" max="7683" width="12.42578125" customWidth="1"/>
    <col min="7684" max="7684" width="16.42578125" bestFit="1" customWidth="1"/>
    <col min="7685" max="7685" width="10.5703125" customWidth="1"/>
    <col min="7686" max="7686" width="16.42578125" bestFit="1" customWidth="1"/>
    <col min="7688" max="7688" width="0" hidden="1" customWidth="1"/>
    <col min="7937" max="7937" width="7.5703125" bestFit="1" customWidth="1"/>
    <col min="7938" max="7938" width="45.28515625" customWidth="1"/>
    <col min="7939" max="7939" width="12.42578125" customWidth="1"/>
    <col min="7940" max="7940" width="16.42578125" bestFit="1" customWidth="1"/>
    <col min="7941" max="7941" width="10.5703125" customWidth="1"/>
    <col min="7942" max="7942" width="16.42578125" bestFit="1" customWidth="1"/>
    <col min="7944" max="7944" width="0" hidden="1" customWidth="1"/>
    <col min="8193" max="8193" width="7.5703125" bestFit="1" customWidth="1"/>
    <col min="8194" max="8194" width="45.28515625" customWidth="1"/>
    <col min="8195" max="8195" width="12.42578125" customWidth="1"/>
    <col min="8196" max="8196" width="16.42578125" bestFit="1" customWidth="1"/>
    <col min="8197" max="8197" width="10.5703125" customWidth="1"/>
    <col min="8198" max="8198" width="16.42578125" bestFit="1" customWidth="1"/>
    <col min="8200" max="8200" width="0" hidden="1" customWidth="1"/>
    <col min="8449" max="8449" width="7.5703125" bestFit="1" customWidth="1"/>
    <col min="8450" max="8450" width="45.28515625" customWidth="1"/>
    <col min="8451" max="8451" width="12.42578125" customWidth="1"/>
    <col min="8452" max="8452" width="16.42578125" bestFit="1" customWidth="1"/>
    <col min="8453" max="8453" width="10.5703125" customWidth="1"/>
    <col min="8454" max="8454" width="16.42578125" bestFit="1" customWidth="1"/>
    <col min="8456" max="8456" width="0" hidden="1" customWidth="1"/>
    <col min="8705" max="8705" width="7.5703125" bestFit="1" customWidth="1"/>
    <col min="8706" max="8706" width="45.28515625" customWidth="1"/>
    <col min="8707" max="8707" width="12.42578125" customWidth="1"/>
    <col min="8708" max="8708" width="16.42578125" bestFit="1" customWidth="1"/>
    <col min="8709" max="8709" width="10.5703125" customWidth="1"/>
    <col min="8710" max="8710" width="16.42578125" bestFit="1" customWidth="1"/>
    <col min="8712" max="8712" width="0" hidden="1" customWidth="1"/>
    <col min="8961" max="8961" width="7.5703125" bestFit="1" customWidth="1"/>
    <col min="8962" max="8962" width="45.28515625" customWidth="1"/>
    <col min="8963" max="8963" width="12.42578125" customWidth="1"/>
    <col min="8964" max="8964" width="16.42578125" bestFit="1" customWidth="1"/>
    <col min="8965" max="8965" width="10.5703125" customWidth="1"/>
    <col min="8966" max="8966" width="16.42578125" bestFit="1" customWidth="1"/>
    <col min="8968" max="8968" width="0" hidden="1" customWidth="1"/>
    <col min="9217" max="9217" width="7.5703125" bestFit="1" customWidth="1"/>
    <col min="9218" max="9218" width="45.28515625" customWidth="1"/>
    <col min="9219" max="9219" width="12.42578125" customWidth="1"/>
    <col min="9220" max="9220" width="16.42578125" bestFit="1" customWidth="1"/>
    <col min="9221" max="9221" width="10.5703125" customWidth="1"/>
    <col min="9222" max="9222" width="16.42578125" bestFit="1" customWidth="1"/>
    <col min="9224" max="9224" width="0" hidden="1" customWidth="1"/>
    <col min="9473" max="9473" width="7.5703125" bestFit="1" customWidth="1"/>
    <col min="9474" max="9474" width="45.28515625" customWidth="1"/>
    <col min="9475" max="9475" width="12.42578125" customWidth="1"/>
    <col min="9476" max="9476" width="16.42578125" bestFit="1" customWidth="1"/>
    <col min="9477" max="9477" width="10.5703125" customWidth="1"/>
    <col min="9478" max="9478" width="16.42578125" bestFit="1" customWidth="1"/>
    <col min="9480" max="9480" width="0" hidden="1" customWidth="1"/>
    <col min="9729" max="9729" width="7.5703125" bestFit="1" customWidth="1"/>
    <col min="9730" max="9730" width="45.28515625" customWidth="1"/>
    <col min="9731" max="9731" width="12.42578125" customWidth="1"/>
    <col min="9732" max="9732" width="16.42578125" bestFit="1" customWidth="1"/>
    <col min="9733" max="9733" width="10.5703125" customWidth="1"/>
    <col min="9734" max="9734" width="16.42578125" bestFit="1" customWidth="1"/>
    <col min="9736" max="9736" width="0" hidden="1" customWidth="1"/>
    <col min="9985" max="9985" width="7.5703125" bestFit="1" customWidth="1"/>
    <col min="9986" max="9986" width="45.28515625" customWidth="1"/>
    <col min="9987" max="9987" width="12.42578125" customWidth="1"/>
    <col min="9988" max="9988" width="16.42578125" bestFit="1" customWidth="1"/>
    <col min="9989" max="9989" width="10.5703125" customWidth="1"/>
    <col min="9990" max="9990" width="16.42578125" bestFit="1" customWidth="1"/>
    <col min="9992" max="9992" width="0" hidden="1" customWidth="1"/>
    <col min="10241" max="10241" width="7.5703125" bestFit="1" customWidth="1"/>
    <col min="10242" max="10242" width="45.28515625" customWidth="1"/>
    <col min="10243" max="10243" width="12.42578125" customWidth="1"/>
    <col min="10244" max="10244" width="16.42578125" bestFit="1" customWidth="1"/>
    <col min="10245" max="10245" width="10.5703125" customWidth="1"/>
    <col min="10246" max="10246" width="16.42578125" bestFit="1" customWidth="1"/>
    <col min="10248" max="10248" width="0" hidden="1" customWidth="1"/>
    <col min="10497" max="10497" width="7.5703125" bestFit="1" customWidth="1"/>
    <col min="10498" max="10498" width="45.28515625" customWidth="1"/>
    <col min="10499" max="10499" width="12.42578125" customWidth="1"/>
    <col min="10500" max="10500" width="16.42578125" bestFit="1" customWidth="1"/>
    <col min="10501" max="10501" width="10.5703125" customWidth="1"/>
    <col min="10502" max="10502" width="16.42578125" bestFit="1" customWidth="1"/>
    <col min="10504" max="10504" width="0" hidden="1" customWidth="1"/>
    <col min="10753" max="10753" width="7.5703125" bestFit="1" customWidth="1"/>
    <col min="10754" max="10754" width="45.28515625" customWidth="1"/>
    <col min="10755" max="10755" width="12.42578125" customWidth="1"/>
    <col min="10756" max="10756" width="16.42578125" bestFit="1" customWidth="1"/>
    <col min="10757" max="10757" width="10.5703125" customWidth="1"/>
    <col min="10758" max="10758" width="16.42578125" bestFit="1" customWidth="1"/>
    <col min="10760" max="10760" width="0" hidden="1" customWidth="1"/>
    <col min="11009" max="11009" width="7.5703125" bestFit="1" customWidth="1"/>
    <col min="11010" max="11010" width="45.28515625" customWidth="1"/>
    <col min="11011" max="11011" width="12.42578125" customWidth="1"/>
    <col min="11012" max="11012" width="16.42578125" bestFit="1" customWidth="1"/>
    <col min="11013" max="11013" width="10.5703125" customWidth="1"/>
    <col min="11014" max="11014" width="16.42578125" bestFit="1" customWidth="1"/>
    <col min="11016" max="11016" width="0" hidden="1" customWidth="1"/>
    <col min="11265" max="11265" width="7.5703125" bestFit="1" customWidth="1"/>
    <col min="11266" max="11266" width="45.28515625" customWidth="1"/>
    <col min="11267" max="11267" width="12.42578125" customWidth="1"/>
    <col min="11268" max="11268" width="16.42578125" bestFit="1" customWidth="1"/>
    <col min="11269" max="11269" width="10.5703125" customWidth="1"/>
    <col min="11270" max="11270" width="16.42578125" bestFit="1" customWidth="1"/>
    <col min="11272" max="11272" width="0" hidden="1" customWidth="1"/>
    <col min="11521" max="11521" width="7.5703125" bestFit="1" customWidth="1"/>
    <col min="11522" max="11522" width="45.28515625" customWidth="1"/>
    <col min="11523" max="11523" width="12.42578125" customWidth="1"/>
    <col min="11524" max="11524" width="16.42578125" bestFit="1" customWidth="1"/>
    <col min="11525" max="11525" width="10.5703125" customWidth="1"/>
    <col min="11526" max="11526" width="16.42578125" bestFit="1" customWidth="1"/>
    <col min="11528" max="11528" width="0" hidden="1" customWidth="1"/>
    <col min="11777" max="11777" width="7.5703125" bestFit="1" customWidth="1"/>
    <col min="11778" max="11778" width="45.28515625" customWidth="1"/>
    <col min="11779" max="11779" width="12.42578125" customWidth="1"/>
    <col min="11780" max="11780" width="16.42578125" bestFit="1" customWidth="1"/>
    <col min="11781" max="11781" width="10.5703125" customWidth="1"/>
    <col min="11782" max="11782" width="16.42578125" bestFit="1" customWidth="1"/>
    <col min="11784" max="11784" width="0" hidden="1" customWidth="1"/>
    <col min="12033" max="12033" width="7.5703125" bestFit="1" customWidth="1"/>
    <col min="12034" max="12034" width="45.28515625" customWidth="1"/>
    <col min="12035" max="12035" width="12.42578125" customWidth="1"/>
    <col min="12036" max="12036" width="16.42578125" bestFit="1" customWidth="1"/>
    <col min="12037" max="12037" width="10.5703125" customWidth="1"/>
    <col min="12038" max="12038" width="16.42578125" bestFit="1" customWidth="1"/>
    <col min="12040" max="12040" width="0" hidden="1" customWidth="1"/>
    <col min="12289" max="12289" width="7.5703125" bestFit="1" customWidth="1"/>
    <col min="12290" max="12290" width="45.28515625" customWidth="1"/>
    <col min="12291" max="12291" width="12.42578125" customWidth="1"/>
    <col min="12292" max="12292" width="16.42578125" bestFit="1" customWidth="1"/>
    <col min="12293" max="12293" width="10.5703125" customWidth="1"/>
    <col min="12294" max="12294" width="16.42578125" bestFit="1" customWidth="1"/>
    <col min="12296" max="12296" width="0" hidden="1" customWidth="1"/>
    <col min="12545" max="12545" width="7.5703125" bestFit="1" customWidth="1"/>
    <col min="12546" max="12546" width="45.28515625" customWidth="1"/>
    <col min="12547" max="12547" width="12.42578125" customWidth="1"/>
    <col min="12548" max="12548" width="16.42578125" bestFit="1" customWidth="1"/>
    <col min="12549" max="12549" width="10.5703125" customWidth="1"/>
    <col min="12550" max="12550" width="16.42578125" bestFit="1" customWidth="1"/>
    <col min="12552" max="12552" width="0" hidden="1" customWidth="1"/>
    <col min="12801" max="12801" width="7.5703125" bestFit="1" customWidth="1"/>
    <col min="12802" max="12802" width="45.28515625" customWidth="1"/>
    <col min="12803" max="12803" width="12.42578125" customWidth="1"/>
    <col min="12804" max="12804" width="16.42578125" bestFit="1" customWidth="1"/>
    <col min="12805" max="12805" width="10.5703125" customWidth="1"/>
    <col min="12806" max="12806" width="16.42578125" bestFit="1" customWidth="1"/>
    <col min="12808" max="12808" width="0" hidden="1" customWidth="1"/>
    <col min="13057" max="13057" width="7.5703125" bestFit="1" customWidth="1"/>
    <col min="13058" max="13058" width="45.28515625" customWidth="1"/>
    <col min="13059" max="13059" width="12.42578125" customWidth="1"/>
    <col min="13060" max="13060" width="16.42578125" bestFit="1" customWidth="1"/>
    <col min="13061" max="13061" width="10.5703125" customWidth="1"/>
    <col min="13062" max="13062" width="16.42578125" bestFit="1" customWidth="1"/>
    <col min="13064" max="13064" width="0" hidden="1" customWidth="1"/>
    <col min="13313" max="13313" width="7.5703125" bestFit="1" customWidth="1"/>
    <col min="13314" max="13314" width="45.28515625" customWidth="1"/>
    <col min="13315" max="13315" width="12.42578125" customWidth="1"/>
    <col min="13316" max="13316" width="16.42578125" bestFit="1" customWidth="1"/>
    <col min="13317" max="13317" width="10.5703125" customWidth="1"/>
    <col min="13318" max="13318" width="16.42578125" bestFit="1" customWidth="1"/>
    <col min="13320" max="13320" width="0" hidden="1" customWidth="1"/>
    <col min="13569" max="13569" width="7.5703125" bestFit="1" customWidth="1"/>
    <col min="13570" max="13570" width="45.28515625" customWidth="1"/>
    <col min="13571" max="13571" width="12.42578125" customWidth="1"/>
    <col min="13572" max="13572" width="16.42578125" bestFit="1" customWidth="1"/>
    <col min="13573" max="13573" width="10.5703125" customWidth="1"/>
    <col min="13574" max="13574" width="16.42578125" bestFit="1" customWidth="1"/>
    <col min="13576" max="13576" width="0" hidden="1" customWidth="1"/>
    <col min="13825" max="13825" width="7.5703125" bestFit="1" customWidth="1"/>
    <col min="13826" max="13826" width="45.28515625" customWidth="1"/>
    <col min="13827" max="13827" width="12.42578125" customWidth="1"/>
    <col min="13828" max="13828" width="16.42578125" bestFit="1" customWidth="1"/>
    <col min="13829" max="13829" width="10.5703125" customWidth="1"/>
    <col min="13830" max="13830" width="16.42578125" bestFit="1" customWidth="1"/>
    <col min="13832" max="13832" width="0" hidden="1" customWidth="1"/>
    <col min="14081" max="14081" width="7.5703125" bestFit="1" customWidth="1"/>
    <col min="14082" max="14082" width="45.28515625" customWidth="1"/>
    <col min="14083" max="14083" width="12.42578125" customWidth="1"/>
    <col min="14084" max="14084" width="16.42578125" bestFit="1" customWidth="1"/>
    <col min="14085" max="14085" width="10.5703125" customWidth="1"/>
    <col min="14086" max="14086" width="16.42578125" bestFit="1" customWidth="1"/>
    <col min="14088" max="14088" width="0" hidden="1" customWidth="1"/>
    <col min="14337" max="14337" width="7.5703125" bestFit="1" customWidth="1"/>
    <col min="14338" max="14338" width="45.28515625" customWidth="1"/>
    <col min="14339" max="14339" width="12.42578125" customWidth="1"/>
    <col min="14340" max="14340" width="16.42578125" bestFit="1" customWidth="1"/>
    <col min="14341" max="14341" width="10.5703125" customWidth="1"/>
    <col min="14342" max="14342" width="16.42578125" bestFit="1" customWidth="1"/>
    <col min="14344" max="14344" width="0" hidden="1" customWidth="1"/>
    <col min="14593" max="14593" width="7.5703125" bestFit="1" customWidth="1"/>
    <col min="14594" max="14594" width="45.28515625" customWidth="1"/>
    <col min="14595" max="14595" width="12.42578125" customWidth="1"/>
    <col min="14596" max="14596" width="16.42578125" bestFit="1" customWidth="1"/>
    <col min="14597" max="14597" width="10.5703125" customWidth="1"/>
    <col min="14598" max="14598" width="16.42578125" bestFit="1" customWidth="1"/>
    <col min="14600" max="14600" width="0" hidden="1" customWidth="1"/>
    <col min="14849" max="14849" width="7.5703125" bestFit="1" customWidth="1"/>
    <col min="14850" max="14850" width="45.28515625" customWidth="1"/>
    <col min="14851" max="14851" width="12.42578125" customWidth="1"/>
    <col min="14852" max="14852" width="16.42578125" bestFit="1" customWidth="1"/>
    <col min="14853" max="14853" width="10.5703125" customWidth="1"/>
    <col min="14854" max="14854" width="16.42578125" bestFit="1" customWidth="1"/>
    <col min="14856" max="14856" width="0" hidden="1" customWidth="1"/>
    <col min="15105" max="15105" width="7.5703125" bestFit="1" customWidth="1"/>
    <col min="15106" max="15106" width="45.28515625" customWidth="1"/>
    <col min="15107" max="15107" width="12.42578125" customWidth="1"/>
    <col min="15108" max="15108" width="16.42578125" bestFit="1" customWidth="1"/>
    <col min="15109" max="15109" width="10.5703125" customWidth="1"/>
    <col min="15110" max="15110" width="16.42578125" bestFit="1" customWidth="1"/>
    <col min="15112" max="15112" width="0" hidden="1" customWidth="1"/>
    <col min="15361" max="15361" width="7.5703125" bestFit="1" customWidth="1"/>
    <col min="15362" max="15362" width="45.28515625" customWidth="1"/>
    <col min="15363" max="15363" width="12.42578125" customWidth="1"/>
    <col min="15364" max="15364" width="16.42578125" bestFit="1" customWidth="1"/>
    <col min="15365" max="15365" width="10.5703125" customWidth="1"/>
    <col min="15366" max="15366" width="16.42578125" bestFit="1" customWidth="1"/>
    <col min="15368" max="15368" width="0" hidden="1" customWidth="1"/>
    <col min="15617" max="15617" width="7.5703125" bestFit="1" customWidth="1"/>
    <col min="15618" max="15618" width="45.28515625" customWidth="1"/>
    <col min="15619" max="15619" width="12.42578125" customWidth="1"/>
    <col min="15620" max="15620" width="16.42578125" bestFit="1" customWidth="1"/>
    <col min="15621" max="15621" width="10.5703125" customWidth="1"/>
    <col min="15622" max="15622" width="16.42578125" bestFit="1" customWidth="1"/>
    <col min="15624" max="15624" width="0" hidden="1" customWidth="1"/>
    <col min="15873" max="15873" width="7.5703125" bestFit="1" customWidth="1"/>
    <col min="15874" max="15874" width="45.28515625" customWidth="1"/>
    <col min="15875" max="15875" width="12.42578125" customWidth="1"/>
    <col min="15876" max="15876" width="16.42578125" bestFit="1" customWidth="1"/>
    <col min="15877" max="15877" width="10.5703125" customWidth="1"/>
    <col min="15878" max="15878" width="16.42578125" bestFit="1" customWidth="1"/>
    <col min="15880" max="15880" width="0" hidden="1" customWidth="1"/>
    <col min="16129" max="16129" width="7.5703125" bestFit="1" customWidth="1"/>
    <col min="16130" max="16130" width="45.28515625" customWidth="1"/>
    <col min="16131" max="16131" width="12.42578125" customWidth="1"/>
    <col min="16132" max="16132" width="16.42578125" bestFit="1" customWidth="1"/>
    <col min="16133" max="16133" width="10.5703125" customWidth="1"/>
    <col min="16134" max="16134" width="16.42578125" bestFit="1" customWidth="1"/>
    <col min="16136" max="16136" width="0" hidden="1" customWidth="1"/>
  </cols>
  <sheetData>
    <row r="1" spans="1:8" x14ac:dyDescent="0.25">
      <c r="A1" s="37"/>
      <c r="B1" s="35" t="str">
        <f>Update!$B$6</f>
        <v>Department of Health</v>
      </c>
      <c r="C1" s="34"/>
      <c r="D1" s="34"/>
      <c r="E1" s="34"/>
      <c r="F1" s="34"/>
      <c r="G1" s="34"/>
      <c r="H1" s="34"/>
    </row>
    <row r="2" spans="1:8" x14ac:dyDescent="0.25">
      <c r="A2" s="37"/>
      <c r="B2" s="35" t="str">
        <f>Update!$B$10</f>
        <v>Notes to the financial statements</v>
      </c>
      <c r="C2" s="34"/>
      <c r="D2" s="34"/>
      <c r="E2" s="34"/>
      <c r="F2" s="34"/>
      <c r="G2" s="34"/>
      <c r="H2" s="34"/>
    </row>
    <row r="3" spans="1:8" x14ac:dyDescent="0.25">
      <c r="A3" s="37"/>
      <c r="B3" s="35" t="str">
        <f>Update!$A$3</f>
        <v>2025-26</v>
      </c>
      <c r="C3" s="34"/>
      <c r="D3" s="34"/>
      <c r="E3" s="34"/>
      <c r="F3" s="34"/>
      <c r="G3" s="34"/>
      <c r="H3" s="34"/>
    </row>
    <row r="5" spans="1:8" x14ac:dyDescent="0.25">
      <c r="A5" s="229">
        <f>SUMIF(Update!$B$33:$B$106,B5,Update!$A$33:$A$106)</f>
        <v>18</v>
      </c>
      <c r="B5" s="37" t="s">
        <v>644</v>
      </c>
      <c r="C5" s="34"/>
      <c r="D5" s="34"/>
      <c r="E5" s="34"/>
      <c r="F5" s="34"/>
      <c r="G5" s="34"/>
      <c r="H5" s="34"/>
    </row>
    <row r="6" spans="1:8" x14ac:dyDescent="0.25">
      <c r="A6" s="37"/>
      <c r="B6" s="37"/>
      <c r="C6" s="34"/>
      <c r="D6" s="34"/>
      <c r="E6" s="34"/>
      <c r="F6" s="34"/>
      <c r="G6" s="34"/>
      <c r="H6" s="34"/>
    </row>
    <row r="7" spans="1:8" x14ac:dyDescent="0.25">
      <c r="A7" s="229">
        <f>SUMIF(Update!$B$33:$B$106,B7,Update!$A$33:$A$106)</f>
        <v>18.100000000000001</v>
      </c>
      <c r="B7" s="115" t="s">
        <v>645</v>
      </c>
      <c r="C7" s="34"/>
      <c r="D7" s="34"/>
      <c r="E7" s="34"/>
      <c r="F7" s="34"/>
      <c r="G7" s="34"/>
      <c r="H7" s="34"/>
    </row>
    <row r="8" spans="1:8" x14ac:dyDescent="0.25">
      <c r="A8" s="37"/>
      <c r="B8" s="177"/>
      <c r="C8" s="34"/>
      <c r="D8" s="34"/>
      <c r="E8" s="34"/>
      <c r="F8" s="34"/>
      <c r="G8" s="34"/>
      <c r="H8" s="34"/>
    </row>
    <row r="9" spans="1:8" x14ac:dyDescent="0.25">
      <c r="A9" s="37"/>
      <c r="B9" s="1108" t="s">
        <v>646</v>
      </c>
      <c r="C9" s="342"/>
      <c r="D9" s="342"/>
      <c r="E9" s="342"/>
      <c r="F9" s="342"/>
      <c r="G9" s="342"/>
      <c r="H9" s="34"/>
    </row>
    <row r="10" spans="1:8" x14ac:dyDescent="0.25">
      <c r="A10" s="37"/>
      <c r="B10" s="1109" t="s">
        <v>647</v>
      </c>
      <c r="C10" s="342"/>
      <c r="D10" s="342"/>
      <c r="E10" s="342"/>
      <c r="F10" s="342"/>
      <c r="G10" s="342"/>
      <c r="H10" s="34"/>
    </row>
    <row r="11" spans="1:8" x14ac:dyDescent="0.25">
      <c r="A11" s="37"/>
      <c r="B11" s="1109" t="s">
        <v>648</v>
      </c>
      <c r="C11" s="342"/>
      <c r="D11" s="342"/>
      <c r="E11" s="342"/>
      <c r="F11" s="342"/>
      <c r="G11" s="342"/>
      <c r="H11" s="34"/>
    </row>
    <row r="12" spans="1:8" x14ac:dyDescent="0.25">
      <c r="A12" s="37"/>
      <c r="B12" s="1109" t="s">
        <v>649</v>
      </c>
      <c r="C12" s="342"/>
      <c r="D12" s="342"/>
      <c r="E12" s="342"/>
      <c r="F12" s="342">
        <f>ROUND(SUMIF(MAP!$E$389:$E$406,$B12,MAP!$N$389:$N$406),0)</f>
        <v>0</v>
      </c>
      <c r="G12" s="342"/>
      <c r="H12" s="34"/>
    </row>
    <row r="13" spans="1:8" x14ac:dyDescent="0.25">
      <c r="A13" s="37"/>
      <c r="B13" s="1109" t="s">
        <v>650</v>
      </c>
      <c r="C13" s="342"/>
      <c r="D13" s="342"/>
      <c r="E13" s="342"/>
      <c r="F13" s="342"/>
      <c r="G13" s="342"/>
      <c r="H13" s="34"/>
    </row>
    <row r="14" spans="1:8" x14ac:dyDescent="0.25">
      <c r="A14" s="37"/>
      <c r="B14" s="184"/>
      <c r="C14" s="34"/>
      <c r="D14" s="34"/>
      <c r="E14" s="34"/>
      <c r="F14" s="34"/>
      <c r="G14" s="34"/>
      <c r="H14" s="34"/>
    </row>
    <row r="15" spans="1:8" x14ac:dyDescent="0.25">
      <c r="A15" s="37"/>
      <c r="B15" s="177"/>
      <c r="C15" s="34"/>
      <c r="D15" s="201"/>
      <c r="E15" s="34"/>
      <c r="F15" s="34"/>
      <c r="G15" s="201"/>
      <c r="H15" s="34"/>
    </row>
    <row r="16" spans="1:8" x14ac:dyDescent="0.25">
      <c r="A16" s="37"/>
      <c r="B16" s="177"/>
      <c r="C16" s="34"/>
      <c r="D16" s="201"/>
      <c r="E16" s="34"/>
      <c r="F16" s="34"/>
      <c r="G16" s="201"/>
      <c r="H16" s="34"/>
    </row>
    <row r="17" spans="1:8" ht="25.5" x14ac:dyDescent="0.25">
      <c r="A17" s="37"/>
      <c r="B17" s="177"/>
      <c r="C17" s="201" t="str">
        <f>Update!$B$7</f>
        <v>Core Department &amp; Agencies</v>
      </c>
      <c r="D17" s="201" t="str">
        <f>Update!$B$8</f>
        <v>Departmental Group</v>
      </c>
      <c r="E17" s="34"/>
      <c r="F17" s="201" t="str">
        <f>Update!$B$7</f>
        <v>Core Department &amp; Agencies</v>
      </c>
      <c r="G17" s="201" t="str">
        <f>Update!$B$8</f>
        <v>Departmental Group</v>
      </c>
      <c r="H17" s="34"/>
    </row>
    <row r="18" spans="1:8" x14ac:dyDescent="0.25">
      <c r="A18" s="37"/>
      <c r="B18" s="177"/>
      <c r="C18" s="40" t="str">
        <f>Update!$B$22</f>
        <v xml:space="preserve"> 31 March 2026</v>
      </c>
      <c r="D18" s="40" t="str">
        <f>Update!$B$22</f>
        <v xml:space="preserve"> 31 March 2026</v>
      </c>
      <c r="E18" s="34"/>
      <c r="F18" s="40" t="str">
        <f>Update!$B$24</f>
        <v xml:space="preserve"> 31 March 2025</v>
      </c>
      <c r="G18" s="40" t="str">
        <f>Update!$B$24</f>
        <v xml:space="preserve"> 31 March 2025</v>
      </c>
      <c r="H18" s="34"/>
    </row>
    <row r="19" spans="1:8" x14ac:dyDescent="0.25">
      <c r="A19" s="37"/>
      <c r="B19" s="177"/>
      <c r="C19" s="39" t="s">
        <v>462</v>
      </c>
      <c r="D19" s="39" t="s">
        <v>462</v>
      </c>
      <c r="E19" s="34"/>
      <c r="F19" s="39">
        <f>ROUND(SUMIF(MAP!$E$389:$E$406,$B19,MAP!$N$389:$N$406),0)</f>
        <v>0</v>
      </c>
      <c r="G19" s="39" t="s">
        <v>462</v>
      </c>
      <c r="H19" s="34"/>
    </row>
    <row r="20" spans="1:8" ht="15.75" thickBot="1" x14ac:dyDescent="0.3">
      <c r="A20" s="37"/>
      <c r="B20" s="1079" t="s">
        <v>882</v>
      </c>
      <c r="C20" s="175">
        <f>SUMIF(MAP!$E$1722:$E$1728,$B20,MAP!$T$1722:$T$1728)</f>
        <v>0</v>
      </c>
      <c r="D20" s="175">
        <f>SUMIF(MAP!$E$1722:$E$1728,$B20,MAP!$N$1722:$N$1728)</f>
        <v>0</v>
      </c>
      <c r="E20" s="34"/>
      <c r="F20" s="1107">
        <v>0</v>
      </c>
      <c r="G20" s="1107">
        <v>0</v>
      </c>
      <c r="H20" s="34"/>
    </row>
    <row r="21" spans="1:8" x14ac:dyDescent="0.25">
      <c r="A21" s="37"/>
      <c r="B21" s="177"/>
      <c r="C21" s="34"/>
      <c r="D21" s="201"/>
      <c r="E21" s="34"/>
      <c r="F21" s="34"/>
      <c r="G21" s="201"/>
      <c r="H21" s="34"/>
    </row>
    <row r="22" spans="1:8" x14ac:dyDescent="0.25">
      <c r="A22" s="37"/>
      <c r="B22" s="177"/>
      <c r="C22" s="34"/>
      <c r="D22" s="201"/>
      <c r="E22" s="34"/>
      <c r="F22" s="34"/>
      <c r="G22" s="201"/>
      <c r="H22" s="34"/>
    </row>
    <row r="23" spans="1:8" x14ac:dyDescent="0.25">
      <c r="A23" s="37"/>
      <c r="B23" s="177" t="s">
        <v>1311</v>
      </c>
      <c r="C23" s="1111"/>
      <c r="D23" s="1111"/>
      <c r="E23" s="34"/>
      <c r="F23" s="768">
        <v>0</v>
      </c>
      <c r="G23" s="768">
        <v>0</v>
      </c>
      <c r="H23" s="34"/>
    </row>
    <row r="24" spans="1:8" x14ac:dyDescent="0.25">
      <c r="A24" s="37"/>
      <c r="B24" s="177" t="s">
        <v>1310</v>
      </c>
      <c r="C24" s="1111"/>
      <c r="D24" s="1111"/>
      <c r="E24" s="34"/>
      <c r="F24" s="768">
        <v>0</v>
      </c>
      <c r="G24" s="768">
        <v>0</v>
      </c>
      <c r="H24" s="34"/>
    </row>
    <row r="25" spans="1:8" x14ac:dyDescent="0.25">
      <c r="A25" s="37"/>
      <c r="B25" s="177" t="s">
        <v>1893</v>
      </c>
      <c r="C25" s="34"/>
      <c r="D25" s="201"/>
      <c r="E25" s="34"/>
      <c r="F25" s="34"/>
      <c r="G25" s="201"/>
      <c r="H25" s="34"/>
    </row>
    <row r="26" spans="1:8" x14ac:dyDescent="0.25">
      <c r="A26" s="37"/>
      <c r="B26" s="1110"/>
      <c r="C26" s="1102"/>
      <c r="D26" s="1102"/>
      <c r="E26" s="34"/>
      <c r="F26" s="1102"/>
      <c r="G26" s="1102"/>
      <c r="H26" s="34"/>
    </row>
    <row r="27" spans="1:8" x14ac:dyDescent="0.25">
      <c r="A27" s="37"/>
      <c r="B27" s="177"/>
      <c r="C27" s="34"/>
      <c r="D27" s="201"/>
      <c r="E27" s="34"/>
      <c r="F27" s="34"/>
      <c r="G27" s="201"/>
      <c r="H27" s="34"/>
    </row>
    <row r="28" spans="1:8" ht="27" thickBot="1" x14ac:dyDescent="0.3">
      <c r="A28" s="37"/>
      <c r="B28" s="125" t="s">
        <v>1655</v>
      </c>
      <c r="C28" s="175">
        <f>SUMIF(MAP!$E$1722:$E$1728,$B28,MAP!$T$1722:$T$1728)</f>
        <v>0</v>
      </c>
      <c r="D28" s="175">
        <f>SUMIF(MAP!$E$1722:$E$1728,$B28,MAP!$N$1722:$N$1728)</f>
        <v>0</v>
      </c>
      <c r="E28" s="34"/>
      <c r="F28" s="1107">
        <v>0</v>
      </c>
      <c r="G28" s="1107">
        <v>0</v>
      </c>
      <c r="H28" s="34"/>
    </row>
    <row r="29" spans="1:8" x14ac:dyDescent="0.25">
      <c r="A29" s="37"/>
      <c r="B29" s="177"/>
      <c r="C29" s="34"/>
      <c r="D29" s="201"/>
      <c r="E29" s="34"/>
      <c r="F29" s="34"/>
      <c r="G29" s="201"/>
      <c r="H29" s="34"/>
    </row>
    <row r="30" spans="1:8" x14ac:dyDescent="0.25">
      <c r="A30" s="37"/>
      <c r="B30" s="177" t="s">
        <v>1817</v>
      </c>
      <c r="C30" s="34"/>
      <c r="D30" s="201"/>
      <c r="E30" s="34"/>
      <c r="F30" s="34"/>
      <c r="G30" s="201"/>
      <c r="H30" s="34"/>
    </row>
    <row r="31" spans="1:8" ht="25.5" x14ac:dyDescent="0.25">
      <c r="A31" s="37"/>
      <c r="B31" s="177"/>
      <c r="C31" s="201" t="str">
        <f>Update!$B$7</f>
        <v>Core Department &amp; Agencies</v>
      </c>
      <c r="D31" s="201" t="str">
        <f>Update!$B$8</f>
        <v>Departmental Group</v>
      </c>
      <c r="E31" s="34"/>
      <c r="F31" s="201" t="str">
        <f>Update!$B$7</f>
        <v>Core Department &amp; Agencies</v>
      </c>
      <c r="G31" s="201" t="str">
        <f>Update!$B$8</f>
        <v>Departmental Group</v>
      </c>
      <c r="H31" s="34"/>
    </row>
    <row r="32" spans="1:8" x14ac:dyDescent="0.25">
      <c r="A32" s="37"/>
      <c r="B32" s="34"/>
      <c r="C32" s="40" t="str">
        <f>Update!$B$22</f>
        <v xml:space="preserve"> 31 March 2026</v>
      </c>
      <c r="D32" s="40" t="str">
        <f>Update!$B$22</f>
        <v xml:space="preserve"> 31 March 2026</v>
      </c>
      <c r="E32" s="34"/>
      <c r="F32" s="40" t="str">
        <f>Update!$B$24</f>
        <v xml:space="preserve"> 31 March 2025</v>
      </c>
      <c r="G32" s="40" t="str">
        <f>Update!$B$24</f>
        <v xml:space="preserve"> 31 March 2025</v>
      </c>
      <c r="H32" s="34"/>
    </row>
    <row r="33" spans="1:8" x14ac:dyDescent="0.25">
      <c r="A33" s="37"/>
      <c r="B33" s="34"/>
      <c r="C33" s="39" t="s">
        <v>462</v>
      </c>
      <c r="D33" s="39" t="s">
        <v>462</v>
      </c>
      <c r="E33" s="34"/>
      <c r="F33" s="39" t="s">
        <v>462</v>
      </c>
      <c r="G33" s="39" t="s">
        <v>462</v>
      </c>
      <c r="H33" s="34"/>
    </row>
    <row r="34" spans="1:8" x14ac:dyDescent="0.25">
      <c r="A34" s="37"/>
      <c r="B34" s="34" t="s">
        <v>216</v>
      </c>
      <c r="C34" s="747">
        <f>SUMIF(MAP!$E$1722:$E$1728,$B34,MAP!$T$1722:$T$1728)</f>
        <v>0</v>
      </c>
      <c r="D34" s="747">
        <f>SUMIF(MAP!$E$1722:$E$1728,$B34,MAP!$N$1722:$N$1728)</f>
        <v>0</v>
      </c>
      <c r="E34" s="34"/>
      <c r="F34" s="768">
        <v>0</v>
      </c>
      <c r="G34" s="768">
        <v>0</v>
      </c>
      <c r="H34" s="34"/>
    </row>
    <row r="35" spans="1:8" x14ac:dyDescent="0.25">
      <c r="A35" s="37"/>
      <c r="B35" s="34" t="s">
        <v>218</v>
      </c>
      <c r="C35" s="747">
        <f>SUMIF(MAP!$E$1722:$E$1728,$B35,MAP!$T$1722:$T$1728)</f>
        <v>0</v>
      </c>
      <c r="D35" s="747">
        <f>SUMIF(MAP!$E$1722:$E$1728,$B35,MAP!$N$1722:$N$1728)</f>
        <v>0</v>
      </c>
      <c r="E35" s="34"/>
      <c r="F35" s="768">
        <v>0</v>
      </c>
      <c r="G35" s="768">
        <v>0</v>
      </c>
      <c r="H35" s="34"/>
    </row>
    <row r="36" spans="1:8" x14ac:dyDescent="0.25">
      <c r="A36" s="37"/>
      <c r="B36" s="34" t="s">
        <v>217</v>
      </c>
      <c r="C36" s="747">
        <f>SUMIF(MAP!$E$1722:$E$1728,$B36,MAP!$T$1722:$T$1728)</f>
        <v>0</v>
      </c>
      <c r="D36" s="747">
        <f>SUMIF(MAP!$E$1722:$E$1728,$B36,MAP!$N$1722:$N$1728)</f>
        <v>0</v>
      </c>
      <c r="E36" s="34"/>
      <c r="F36" s="768">
        <v>0</v>
      </c>
      <c r="G36" s="768">
        <v>0</v>
      </c>
      <c r="H36" s="34"/>
    </row>
    <row r="37" spans="1:8" ht="15.75" thickBot="1" x14ac:dyDescent="0.3">
      <c r="A37" s="37"/>
      <c r="B37" s="34"/>
      <c r="C37" s="175">
        <f>SUM(C34:C36)</f>
        <v>0</v>
      </c>
      <c r="D37" s="175">
        <f>SUM(D34:D36)</f>
        <v>0</v>
      </c>
      <c r="E37" s="34"/>
      <c r="F37" s="175">
        <f>SUM(F34:F36)</f>
        <v>0</v>
      </c>
      <c r="G37" s="175">
        <f>SUM(G34:G36)</f>
        <v>0</v>
      </c>
      <c r="H37" s="34"/>
    </row>
    <row r="38" spans="1:8" x14ac:dyDescent="0.25">
      <c r="C38" s="1112"/>
      <c r="E38" s="34"/>
    </row>
    <row r="39" spans="1:8" x14ac:dyDescent="0.25">
      <c r="A39" s="37"/>
      <c r="B39" s="37"/>
      <c r="C39" s="34"/>
      <c r="D39" s="34"/>
      <c r="E39" s="34"/>
      <c r="F39" s="34"/>
      <c r="G39" s="34"/>
      <c r="H39" s="34"/>
    </row>
    <row r="40" spans="1:8" x14ac:dyDescent="0.25">
      <c r="A40" s="229">
        <f>SUMIF(Update!$B$33:$B$106,B40,Update!$A$33:$A$106)</f>
        <v>18.200000000000003</v>
      </c>
      <c r="B40" s="37" t="s">
        <v>651</v>
      </c>
      <c r="C40" s="34"/>
      <c r="D40" s="34"/>
      <c r="E40" s="34"/>
      <c r="F40" s="34"/>
      <c r="G40" s="34"/>
      <c r="H40" s="34"/>
    </row>
    <row r="41" spans="1:8" x14ac:dyDescent="0.25">
      <c r="E41" s="34"/>
    </row>
    <row r="42" spans="1:8" x14ac:dyDescent="0.25">
      <c r="A42" s="37"/>
      <c r="B42" s="1108" t="s">
        <v>646</v>
      </c>
      <c r="C42" s="342"/>
      <c r="D42" s="342"/>
      <c r="E42" s="34"/>
      <c r="F42" s="342"/>
      <c r="G42" s="342"/>
      <c r="H42" s="342"/>
    </row>
    <row r="43" spans="1:8" x14ac:dyDescent="0.25">
      <c r="A43" s="37"/>
      <c r="B43" s="1109" t="s">
        <v>652</v>
      </c>
      <c r="C43" s="342"/>
      <c r="D43" s="342"/>
      <c r="E43" s="34"/>
      <c r="F43" s="342"/>
      <c r="G43" s="342"/>
      <c r="H43" s="342"/>
    </row>
    <row r="44" spans="1:8" x14ac:dyDescent="0.25">
      <c r="A44" s="37"/>
      <c r="B44" s="1109" t="s">
        <v>653</v>
      </c>
      <c r="C44" s="342"/>
      <c r="D44" s="342"/>
      <c r="E44" s="34"/>
      <c r="F44" s="342"/>
      <c r="G44" s="342"/>
      <c r="H44" s="342"/>
    </row>
    <row r="45" spans="1:8" x14ac:dyDescent="0.25">
      <c r="A45" s="37"/>
      <c r="B45" s="1108" t="s">
        <v>654</v>
      </c>
      <c r="C45" s="342"/>
      <c r="D45" s="342"/>
      <c r="E45" s="34"/>
      <c r="F45" s="342"/>
      <c r="G45" s="342"/>
      <c r="H45" s="342"/>
    </row>
    <row r="46" spans="1:8" x14ac:dyDescent="0.25">
      <c r="A46" s="37"/>
      <c r="B46" s="1108" t="s">
        <v>655</v>
      </c>
      <c r="C46" s="342"/>
      <c r="D46" s="342"/>
      <c r="E46" s="34"/>
      <c r="F46" s="342"/>
      <c r="G46" s="342"/>
      <c r="H46" s="342"/>
    </row>
    <row r="47" spans="1:8" x14ac:dyDescent="0.25">
      <c r="B47" s="177"/>
      <c r="C47" s="34"/>
      <c r="D47" s="34"/>
      <c r="E47" s="34"/>
      <c r="F47" s="34"/>
      <c r="G47" s="34"/>
      <c r="H47" s="34"/>
    </row>
    <row r="48" spans="1:8" ht="38.25" x14ac:dyDescent="0.25">
      <c r="C48" s="201" t="str">
        <f>Update!$B$7</f>
        <v>Core Department &amp; Agencies</v>
      </c>
      <c r="D48" s="201" t="str">
        <f>Update!$B$8</f>
        <v>Departmental Group</v>
      </c>
      <c r="E48" s="34"/>
      <c r="F48" s="201" t="str">
        <f>Update!$B$7</f>
        <v>Core Department &amp; Agencies</v>
      </c>
      <c r="G48" s="201" t="str">
        <f>Update!$B$8</f>
        <v>Departmental Group</v>
      </c>
    </row>
    <row r="49" spans="2:8" x14ac:dyDescent="0.25">
      <c r="C49" s="40" t="str">
        <f>Update!$B$22</f>
        <v xml:space="preserve"> 31 March 2026</v>
      </c>
      <c r="D49" s="40" t="str">
        <f>Update!$B$22</f>
        <v xml:space="preserve"> 31 March 2026</v>
      </c>
      <c r="E49" s="34"/>
      <c r="F49" s="40" t="str">
        <f>Update!$B$24</f>
        <v xml:space="preserve"> 31 March 2025</v>
      </c>
      <c r="G49" s="40" t="str">
        <f>Update!$B$24</f>
        <v xml:space="preserve"> 31 March 2025</v>
      </c>
    </row>
    <row r="50" spans="2:8" x14ac:dyDescent="0.25">
      <c r="B50" s="4"/>
      <c r="C50" s="39" t="s">
        <v>462</v>
      </c>
      <c r="D50" s="39" t="s">
        <v>462</v>
      </c>
      <c r="E50" s="34"/>
      <c r="F50" s="39" t="s">
        <v>462</v>
      </c>
      <c r="G50" s="39" t="s">
        <v>462</v>
      </c>
    </row>
    <row r="51" spans="2:8" ht="15.75" thickBot="1" x14ac:dyDescent="0.3">
      <c r="B51" t="s">
        <v>1009</v>
      </c>
      <c r="C51" s="175">
        <f>SUMIF(MAP!$E$1730:$E$1743,$B51,MAP!$T$1730:$T$1743)</f>
        <v>0</v>
      </c>
      <c r="D51" s="175">
        <f>SUMIF(MAP!$E$1730:$E$1743,$B51,MAP!$N$1730:$N$1743)</f>
        <v>0</v>
      </c>
      <c r="E51" s="34"/>
      <c r="F51" s="1107">
        <v>0</v>
      </c>
      <c r="G51" s="1107">
        <v>0</v>
      </c>
    </row>
    <row r="52" spans="2:8" ht="15.75" thickBot="1" x14ac:dyDescent="0.3">
      <c r="C52" s="175"/>
      <c r="D52" s="175"/>
      <c r="E52" s="34"/>
    </row>
    <row r="53" spans="2:8" ht="45.75" thickBot="1" x14ac:dyDescent="0.3">
      <c r="B53" s="4" t="s">
        <v>1723</v>
      </c>
      <c r="C53" s="175">
        <f>SUMIF(MAP!$E$1730:$E$1743,$B53,MAP!$T$1730:$T$1743)</f>
        <v>0</v>
      </c>
      <c r="D53" s="175">
        <f>SUMIF(MAP!$E$1730:$E$1743,$B53,MAP!$N$1730:$N$1743)</f>
        <v>0</v>
      </c>
      <c r="E53" s="34"/>
      <c r="F53" s="1107">
        <v>0</v>
      </c>
      <c r="G53" s="1107">
        <v>18952</v>
      </c>
    </row>
    <row r="54" spans="2:8" x14ac:dyDescent="0.25">
      <c r="E54" s="34"/>
    </row>
    <row r="55" spans="2:8" ht="38.25" x14ac:dyDescent="0.25">
      <c r="B55" s="177"/>
      <c r="C55" s="201" t="str">
        <f>Update!$B$7</f>
        <v>Core Department &amp; Agencies</v>
      </c>
      <c r="D55" s="201" t="str">
        <f>Update!$B$8</f>
        <v>Departmental Group</v>
      </c>
      <c r="E55" s="34"/>
      <c r="F55" s="201" t="str">
        <f>Update!$B$7</f>
        <v>Core Department &amp; Agencies</v>
      </c>
      <c r="G55" s="201" t="str">
        <f>Update!$B$8</f>
        <v>Departmental Group</v>
      </c>
      <c r="H55" s="34"/>
    </row>
    <row r="56" spans="2:8" x14ac:dyDescent="0.25">
      <c r="B56" s="34"/>
      <c r="C56" s="40" t="str">
        <f>Update!$B$22</f>
        <v xml:space="preserve"> 31 March 2026</v>
      </c>
      <c r="D56" s="40" t="str">
        <f>Update!$B$22</f>
        <v xml:space="preserve"> 31 March 2026</v>
      </c>
      <c r="E56" s="34"/>
      <c r="F56" s="40" t="str">
        <f>Update!$B$24</f>
        <v xml:space="preserve"> 31 March 2025</v>
      </c>
      <c r="G56" s="40" t="str">
        <f>Update!$B$24</f>
        <v xml:space="preserve"> 31 March 2025</v>
      </c>
      <c r="H56" s="34"/>
    </row>
    <row r="57" spans="2:8" x14ac:dyDescent="0.25">
      <c r="B57" s="37" t="s">
        <v>2371</v>
      </c>
      <c r="C57" s="39" t="s">
        <v>462</v>
      </c>
      <c r="D57" s="39" t="s">
        <v>462</v>
      </c>
      <c r="E57" s="34"/>
      <c r="F57" s="39" t="s">
        <v>462</v>
      </c>
      <c r="G57" s="39" t="s">
        <v>462</v>
      </c>
      <c r="H57" s="34"/>
    </row>
    <row r="58" spans="2:8" x14ac:dyDescent="0.25">
      <c r="B58" s="34" t="s">
        <v>656</v>
      </c>
      <c r="C58" s="747">
        <f>SUMIF(MAP!$E$1730:$E$1737,$B58,MAP!$T$1730:$T$1737)</f>
        <v>0</v>
      </c>
      <c r="D58" s="747">
        <f>SUMIF(MAP!$E$1730:$E$1737,$B58,MAP!$N$1730:$N$1737)</f>
        <v>0</v>
      </c>
      <c r="E58" s="34"/>
      <c r="F58" s="768">
        <v>0</v>
      </c>
      <c r="G58" s="768">
        <v>17116</v>
      </c>
      <c r="H58" s="34"/>
    </row>
    <row r="59" spans="2:8" x14ac:dyDescent="0.25">
      <c r="B59" s="34" t="s">
        <v>657</v>
      </c>
      <c r="C59" s="747">
        <f>SUMIF(MAP!$E$1730:$E$1737,$B59,MAP!$T$1730:$T$1737)</f>
        <v>0</v>
      </c>
      <c r="D59" s="747">
        <f>SUMIF(MAP!$E$1730:$E$1737,$B59,MAP!$N$1730:$N$1737)</f>
        <v>0</v>
      </c>
      <c r="E59" s="34"/>
      <c r="F59" s="768">
        <v>0</v>
      </c>
      <c r="G59" s="768">
        <v>67461</v>
      </c>
      <c r="H59" s="34"/>
    </row>
    <row r="60" spans="2:8" x14ac:dyDescent="0.25">
      <c r="B60" s="34" t="s">
        <v>658</v>
      </c>
      <c r="C60" s="747">
        <f>SUMIF(MAP!$E$1730:$E$1737,$B60,MAP!$T$1730:$T$1737)</f>
        <v>0</v>
      </c>
      <c r="D60" s="747">
        <f>SUMIF(MAP!$E$1730:$E$1737,$B60,MAP!$N$1730:$N$1737)</f>
        <v>0</v>
      </c>
      <c r="E60" s="34"/>
      <c r="F60" s="768">
        <v>0</v>
      </c>
      <c r="G60" s="768">
        <v>166246</v>
      </c>
      <c r="H60" s="34"/>
    </row>
    <row r="61" spans="2:8" x14ac:dyDescent="0.25">
      <c r="B61" s="37" t="s">
        <v>146</v>
      </c>
      <c r="C61" s="770">
        <f>SUM(C58:C60)</f>
        <v>0</v>
      </c>
      <c r="D61" s="770">
        <f>SUM(D58:D60)</f>
        <v>0</v>
      </c>
      <c r="E61" s="34"/>
      <c r="F61" s="770">
        <f>SUM(F58:F60)</f>
        <v>0</v>
      </c>
      <c r="G61" s="770">
        <f>SUM(G58:G60)</f>
        <v>250823</v>
      </c>
      <c r="H61" s="34"/>
    </row>
    <row r="62" spans="2:8" x14ac:dyDescent="0.25">
      <c r="B62" s="34" t="s">
        <v>659</v>
      </c>
      <c r="C62" s="747">
        <f>SUMIF(MAP!$E$1730:$E$1737,$B62,MAP!$T$1730:$T$1737)</f>
        <v>0</v>
      </c>
      <c r="D62" s="747">
        <f>SUMIF(MAP!$E$1730:$E$1737,$B62,MAP!$N$1730:$N$1737)</f>
        <v>0</v>
      </c>
      <c r="E62" s="34"/>
      <c r="F62" s="768">
        <v>0</v>
      </c>
      <c r="G62" s="768">
        <v>113025</v>
      </c>
      <c r="H62" s="34"/>
    </row>
    <row r="63" spans="2:8" ht="15.75" thickBot="1" x14ac:dyDescent="0.3">
      <c r="B63" s="37" t="s">
        <v>660</v>
      </c>
      <c r="C63" s="53">
        <f>C61-C62</f>
        <v>0</v>
      </c>
      <c r="D63" s="53">
        <f>D61-D62</f>
        <v>0</v>
      </c>
      <c r="E63" s="34"/>
      <c r="F63" s="53">
        <f>F61-F62</f>
        <v>0</v>
      </c>
      <c r="G63" s="53">
        <f>G61-G62</f>
        <v>137798</v>
      </c>
      <c r="H63" s="34"/>
    </row>
    <row r="64" spans="2:8" x14ac:dyDescent="0.25">
      <c r="E64" s="34"/>
    </row>
    <row r="65" spans="1:11" x14ac:dyDescent="0.25">
      <c r="B65" s="59"/>
      <c r="C65" s="185"/>
      <c r="D65" s="185"/>
      <c r="E65" s="34"/>
      <c r="F65" s="34"/>
      <c r="G65" s="34"/>
      <c r="H65" s="34"/>
    </row>
    <row r="66" spans="1:11" x14ac:dyDescent="0.25">
      <c r="B66" s="37" t="s">
        <v>661</v>
      </c>
      <c r="C66" s="59"/>
      <c r="D66" s="59"/>
      <c r="E66" s="34"/>
      <c r="F66" s="34"/>
      <c r="G66" s="34"/>
      <c r="H66" s="34"/>
    </row>
    <row r="67" spans="1:11" x14ac:dyDescent="0.25">
      <c r="B67" s="34" t="s">
        <v>656</v>
      </c>
      <c r="C67" s="747">
        <f>SUMIF(MAP!$E$1739:$E$1741,$B67,MAP!$T$1739:$T$1741)</f>
        <v>0</v>
      </c>
      <c r="D67" s="747">
        <f>SUMIF(MAP!$E$1739:$E$1741,$B67,MAP!$N$1739:$N$1741)</f>
        <v>0</v>
      </c>
      <c r="E67" s="34"/>
      <c r="F67" s="768">
        <v>0</v>
      </c>
      <c r="G67" s="768">
        <v>8794</v>
      </c>
      <c r="H67" s="34"/>
    </row>
    <row r="68" spans="1:11" x14ac:dyDescent="0.25">
      <c r="B68" s="34" t="s">
        <v>657</v>
      </c>
      <c r="C68" s="747">
        <f>SUMIF(MAP!$E$1739:$E$1741,$B68,MAP!$T$1739:$T$1741)</f>
        <v>0</v>
      </c>
      <c r="D68" s="747">
        <f>SUMIF(MAP!$E$1739:$E$1741,$B68,MAP!$N$1739:$N$1741)</f>
        <v>0</v>
      </c>
      <c r="E68" s="34"/>
      <c r="F68" s="768">
        <v>0</v>
      </c>
      <c r="G68" s="768">
        <v>38878</v>
      </c>
      <c r="H68" s="34"/>
    </row>
    <row r="69" spans="1:11" x14ac:dyDescent="0.25">
      <c r="A69" s="37"/>
      <c r="B69" s="34" t="s">
        <v>658</v>
      </c>
      <c r="C69" s="747">
        <f>SUMIF(MAP!$E$1739:$E$1741,$B69,MAP!$T$1739:$T$1741)</f>
        <v>0</v>
      </c>
      <c r="D69" s="747">
        <f>SUMIF(MAP!$E$1739:$E$1741,$B69,MAP!$N$1739:$N$1741)</f>
        <v>0</v>
      </c>
      <c r="E69" s="34"/>
      <c r="F69" s="768">
        <v>0</v>
      </c>
      <c r="G69" s="768">
        <v>105128</v>
      </c>
      <c r="H69" s="34"/>
      <c r="I69" s="34"/>
      <c r="J69" s="34"/>
      <c r="K69" s="34"/>
    </row>
    <row r="70" spans="1:11" x14ac:dyDescent="0.25">
      <c r="A70" s="37"/>
      <c r="B70" s="37" t="s">
        <v>662</v>
      </c>
      <c r="C70" s="97">
        <f>SUM(C67:C69)</f>
        <v>0</v>
      </c>
      <c r="D70" s="97">
        <f>SUM(D67:D69)</f>
        <v>0</v>
      </c>
      <c r="E70" s="34"/>
      <c r="F70" s="97">
        <f>SUM(F67:F69)</f>
        <v>0</v>
      </c>
      <c r="G70" s="97">
        <f>SUM(G67:G69)</f>
        <v>152800</v>
      </c>
      <c r="H70" s="34"/>
      <c r="I70" s="34"/>
      <c r="J70" s="34"/>
      <c r="K70" s="34"/>
    </row>
    <row r="71" spans="1:11" ht="15.75" thickBot="1" x14ac:dyDescent="0.3">
      <c r="A71" s="37"/>
      <c r="B71" s="62" t="s">
        <v>663</v>
      </c>
      <c r="C71" s="53">
        <f>+C70+C63</f>
        <v>0</v>
      </c>
      <c r="D71" s="53">
        <f>+D70+D63</f>
        <v>0</v>
      </c>
      <c r="E71" s="34"/>
      <c r="F71" s="53">
        <f>+F70+F63</f>
        <v>0</v>
      </c>
      <c r="G71" s="53">
        <f>+G70+G63</f>
        <v>290598</v>
      </c>
      <c r="H71" s="34"/>
      <c r="I71" s="34"/>
      <c r="J71" s="34"/>
      <c r="K71" s="34"/>
    </row>
    <row r="72" spans="1:11" x14ac:dyDescent="0.25">
      <c r="A72" s="37"/>
      <c r="B72" s="59"/>
      <c r="C72" s="186"/>
      <c r="D72" s="186"/>
      <c r="E72" s="34"/>
      <c r="F72" s="186"/>
      <c r="G72" s="186"/>
      <c r="H72" s="34"/>
      <c r="I72" s="34"/>
      <c r="J72" s="34"/>
      <c r="K72" s="34"/>
    </row>
    <row r="73" spans="1:11" x14ac:dyDescent="0.25">
      <c r="A73" s="37"/>
      <c r="B73" s="59"/>
      <c r="C73" s="186"/>
      <c r="D73" s="186"/>
      <c r="E73" s="34"/>
      <c r="F73" s="34"/>
      <c r="G73" s="186"/>
      <c r="H73" s="34"/>
      <c r="I73" s="34"/>
      <c r="J73" s="34"/>
      <c r="K73" s="34"/>
    </row>
    <row r="74" spans="1:11" x14ac:dyDescent="0.25">
      <c r="B74" s="34"/>
      <c r="C74" s="34"/>
      <c r="D74" s="34"/>
      <c r="E74" s="34"/>
      <c r="F74" s="34"/>
      <c r="G74" s="34"/>
      <c r="H74" s="34"/>
    </row>
  </sheetData>
  <pageMargins left="0.35433070866141736" right="0.47244094488188981" top="0.19685039370078741" bottom="0.19685039370078741" header="0.31496062992125984" footer="0.31496062992125984"/>
  <pageSetup paperSize="9"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00B0F0"/>
    <pageSetUpPr fitToPage="1"/>
  </sheetPr>
  <dimension ref="A1:J39"/>
  <sheetViews>
    <sheetView zoomScale="90" zoomScaleNormal="90" workbookViewId="0">
      <selection activeCell="G5" sqref="G4:G5"/>
    </sheetView>
  </sheetViews>
  <sheetFormatPr defaultRowHeight="12.75" outlineLevelRow="1" outlineLevelCol="1" x14ac:dyDescent="0.2"/>
  <cols>
    <col min="1" max="1" width="6.42578125" style="59" bestFit="1" customWidth="1"/>
    <col min="2" max="2" width="44.140625" style="59" customWidth="1"/>
    <col min="3" max="3" width="9.140625" style="59"/>
    <col min="4" max="4" width="15.5703125" style="59" bestFit="1" customWidth="1"/>
    <col min="5" max="5" width="13.85546875" style="59" customWidth="1"/>
    <col min="6" max="6" width="8.5703125" style="59" customWidth="1" outlineLevel="1"/>
    <col min="7" max="8" width="15.5703125" style="59" customWidth="1" outlineLevel="1"/>
    <col min="9" max="9" width="10.5703125" style="59" customWidth="1" outlineLevel="1"/>
    <col min="10" max="10" width="9.140625" style="59" customWidth="1" outlineLevel="1"/>
    <col min="11" max="257" width="9.140625" style="59"/>
    <col min="258" max="258" width="6.42578125" style="59" bestFit="1" customWidth="1"/>
    <col min="259" max="259" width="44.140625" style="59" customWidth="1"/>
    <col min="260" max="260" width="9.140625" style="59"/>
    <col min="261" max="261" width="11.7109375" style="59" bestFit="1" customWidth="1"/>
    <col min="262" max="262" width="8.5703125" style="59" bestFit="1" customWidth="1"/>
    <col min="263" max="263" width="10" style="59" bestFit="1" customWidth="1"/>
    <col min="264" max="264" width="10.5703125" style="59" bestFit="1" customWidth="1"/>
    <col min="265" max="265" width="0" style="59" hidden="1" customWidth="1"/>
    <col min="266" max="513" width="9.140625" style="59"/>
    <col min="514" max="514" width="6.42578125" style="59" bestFit="1" customWidth="1"/>
    <col min="515" max="515" width="44.140625" style="59" customWidth="1"/>
    <col min="516" max="516" width="9.140625" style="59"/>
    <col min="517" max="517" width="11.7109375" style="59" bestFit="1" customWidth="1"/>
    <col min="518" max="518" width="8.5703125" style="59" bestFit="1" customWidth="1"/>
    <col min="519" max="519" width="10" style="59" bestFit="1" customWidth="1"/>
    <col min="520" max="520" width="10.5703125" style="59" bestFit="1" customWidth="1"/>
    <col min="521" max="521" width="0" style="59" hidden="1" customWidth="1"/>
    <col min="522" max="769" width="9.140625" style="59"/>
    <col min="770" max="770" width="6.42578125" style="59" bestFit="1" customWidth="1"/>
    <col min="771" max="771" width="44.140625" style="59" customWidth="1"/>
    <col min="772" max="772" width="9.140625" style="59"/>
    <col min="773" max="773" width="11.7109375" style="59" bestFit="1" customWidth="1"/>
    <col min="774" max="774" width="8.5703125" style="59" bestFit="1" customWidth="1"/>
    <col min="775" max="775" width="10" style="59" bestFit="1" customWidth="1"/>
    <col min="776" max="776" width="10.5703125" style="59" bestFit="1" customWidth="1"/>
    <col min="777" max="777" width="0" style="59" hidden="1" customWidth="1"/>
    <col min="778" max="1025" width="9.140625" style="59"/>
    <col min="1026" max="1026" width="6.42578125" style="59" bestFit="1" customWidth="1"/>
    <col min="1027" max="1027" width="44.140625" style="59" customWidth="1"/>
    <col min="1028" max="1028" width="9.140625" style="59"/>
    <col min="1029" max="1029" width="11.7109375" style="59" bestFit="1" customWidth="1"/>
    <col min="1030" max="1030" width="8.5703125" style="59" bestFit="1" customWidth="1"/>
    <col min="1031" max="1031" width="10" style="59" bestFit="1" customWidth="1"/>
    <col min="1032" max="1032" width="10.5703125" style="59" bestFit="1" customWidth="1"/>
    <col min="1033" max="1033" width="0" style="59" hidden="1" customWidth="1"/>
    <col min="1034" max="1281" width="9.140625" style="59"/>
    <col min="1282" max="1282" width="6.42578125" style="59" bestFit="1" customWidth="1"/>
    <col min="1283" max="1283" width="44.140625" style="59" customWidth="1"/>
    <col min="1284" max="1284" width="9.140625" style="59"/>
    <col min="1285" max="1285" width="11.7109375" style="59" bestFit="1" customWidth="1"/>
    <col min="1286" max="1286" width="8.5703125" style="59" bestFit="1" customWidth="1"/>
    <col min="1287" max="1287" width="10" style="59" bestFit="1" customWidth="1"/>
    <col min="1288" max="1288" width="10.5703125" style="59" bestFit="1" customWidth="1"/>
    <col min="1289" max="1289" width="0" style="59" hidden="1" customWidth="1"/>
    <col min="1290" max="1537" width="9.140625" style="59"/>
    <col min="1538" max="1538" width="6.42578125" style="59" bestFit="1" customWidth="1"/>
    <col min="1539" max="1539" width="44.140625" style="59" customWidth="1"/>
    <col min="1540" max="1540" width="9.140625" style="59"/>
    <col min="1541" max="1541" width="11.7109375" style="59" bestFit="1" customWidth="1"/>
    <col min="1542" max="1542" width="8.5703125" style="59" bestFit="1" customWidth="1"/>
    <col min="1543" max="1543" width="10" style="59" bestFit="1" customWidth="1"/>
    <col min="1544" max="1544" width="10.5703125" style="59" bestFit="1" customWidth="1"/>
    <col min="1545" max="1545" width="0" style="59" hidden="1" customWidth="1"/>
    <col min="1546" max="1793" width="9.140625" style="59"/>
    <col min="1794" max="1794" width="6.42578125" style="59" bestFit="1" customWidth="1"/>
    <col min="1795" max="1795" width="44.140625" style="59" customWidth="1"/>
    <col min="1796" max="1796" width="9.140625" style="59"/>
    <col min="1797" max="1797" width="11.7109375" style="59" bestFit="1" customWidth="1"/>
    <col min="1798" max="1798" width="8.5703125" style="59" bestFit="1" customWidth="1"/>
    <col min="1799" max="1799" width="10" style="59" bestFit="1" customWidth="1"/>
    <col min="1800" max="1800" width="10.5703125" style="59" bestFit="1" customWidth="1"/>
    <col min="1801" max="1801" width="0" style="59" hidden="1" customWidth="1"/>
    <col min="1802" max="2049" width="9.140625" style="59"/>
    <col min="2050" max="2050" width="6.42578125" style="59" bestFit="1" customWidth="1"/>
    <col min="2051" max="2051" width="44.140625" style="59" customWidth="1"/>
    <col min="2052" max="2052" width="9.140625" style="59"/>
    <col min="2053" max="2053" width="11.7109375" style="59" bestFit="1" customWidth="1"/>
    <col min="2054" max="2054" width="8.5703125" style="59" bestFit="1" customWidth="1"/>
    <col min="2055" max="2055" width="10" style="59" bestFit="1" customWidth="1"/>
    <col min="2056" max="2056" width="10.5703125" style="59" bestFit="1" customWidth="1"/>
    <col min="2057" max="2057" width="0" style="59" hidden="1" customWidth="1"/>
    <col min="2058" max="2305" width="9.140625" style="59"/>
    <col min="2306" max="2306" width="6.42578125" style="59" bestFit="1" customWidth="1"/>
    <col min="2307" max="2307" width="44.140625" style="59" customWidth="1"/>
    <col min="2308" max="2308" width="9.140625" style="59"/>
    <col min="2309" max="2309" width="11.7109375" style="59" bestFit="1" customWidth="1"/>
    <col min="2310" max="2310" width="8.5703125" style="59" bestFit="1" customWidth="1"/>
    <col min="2311" max="2311" width="10" style="59" bestFit="1" customWidth="1"/>
    <col min="2312" max="2312" width="10.5703125" style="59" bestFit="1" customWidth="1"/>
    <col min="2313" max="2313" width="0" style="59" hidden="1" customWidth="1"/>
    <col min="2314" max="2561" width="9.140625" style="59"/>
    <col min="2562" max="2562" width="6.42578125" style="59" bestFit="1" customWidth="1"/>
    <col min="2563" max="2563" width="44.140625" style="59" customWidth="1"/>
    <col min="2564" max="2564" width="9.140625" style="59"/>
    <col min="2565" max="2565" width="11.7109375" style="59" bestFit="1" customWidth="1"/>
    <col min="2566" max="2566" width="8.5703125" style="59" bestFit="1" customWidth="1"/>
    <col min="2567" max="2567" width="10" style="59" bestFit="1" customWidth="1"/>
    <col min="2568" max="2568" width="10.5703125" style="59" bestFit="1" customWidth="1"/>
    <col min="2569" max="2569" width="0" style="59" hidden="1" customWidth="1"/>
    <col min="2570" max="2817" width="9.140625" style="59"/>
    <col min="2818" max="2818" width="6.42578125" style="59" bestFit="1" customWidth="1"/>
    <col min="2819" max="2819" width="44.140625" style="59" customWidth="1"/>
    <col min="2820" max="2820" width="9.140625" style="59"/>
    <col min="2821" max="2821" width="11.7109375" style="59" bestFit="1" customWidth="1"/>
    <col min="2822" max="2822" width="8.5703125" style="59" bestFit="1" customWidth="1"/>
    <col min="2823" max="2823" width="10" style="59" bestFit="1" customWidth="1"/>
    <col min="2824" max="2824" width="10.5703125" style="59" bestFit="1" customWidth="1"/>
    <col min="2825" max="2825" width="0" style="59" hidden="1" customWidth="1"/>
    <col min="2826" max="3073" width="9.140625" style="59"/>
    <col min="3074" max="3074" width="6.42578125" style="59" bestFit="1" customWidth="1"/>
    <col min="3075" max="3075" width="44.140625" style="59" customWidth="1"/>
    <col min="3076" max="3076" width="9.140625" style="59"/>
    <col min="3077" max="3077" width="11.7109375" style="59" bestFit="1" customWidth="1"/>
    <col min="3078" max="3078" width="8.5703125" style="59" bestFit="1" customWidth="1"/>
    <col min="3079" max="3079" width="10" style="59" bestFit="1" customWidth="1"/>
    <col min="3080" max="3080" width="10.5703125" style="59" bestFit="1" customWidth="1"/>
    <col min="3081" max="3081" width="0" style="59" hidden="1" customWidth="1"/>
    <col min="3082" max="3329" width="9.140625" style="59"/>
    <col min="3330" max="3330" width="6.42578125" style="59" bestFit="1" customWidth="1"/>
    <col min="3331" max="3331" width="44.140625" style="59" customWidth="1"/>
    <col min="3332" max="3332" width="9.140625" style="59"/>
    <col min="3333" max="3333" width="11.7109375" style="59" bestFit="1" customWidth="1"/>
    <col min="3334" max="3334" width="8.5703125" style="59" bestFit="1" customWidth="1"/>
    <col min="3335" max="3335" width="10" style="59" bestFit="1" customWidth="1"/>
    <col min="3336" max="3336" width="10.5703125" style="59" bestFit="1" customWidth="1"/>
    <col min="3337" max="3337" width="0" style="59" hidden="1" customWidth="1"/>
    <col min="3338" max="3585" width="9.140625" style="59"/>
    <col min="3586" max="3586" width="6.42578125" style="59" bestFit="1" customWidth="1"/>
    <col min="3587" max="3587" width="44.140625" style="59" customWidth="1"/>
    <col min="3588" max="3588" width="9.140625" style="59"/>
    <col min="3589" max="3589" width="11.7109375" style="59" bestFit="1" customWidth="1"/>
    <col min="3590" max="3590" width="8.5703125" style="59" bestFit="1" customWidth="1"/>
    <col min="3591" max="3591" width="10" style="59" bestFit="1" customWidth="1"/>
    <col min="3592" max="3592" width="10.5703125" style="59" bestFit="1" customWidth="1"/>
    <col min="3593" max="3593" width="0" style="59" hidden="1" customWidth="1"/>
    <col min="3594" max="3841" width="9.140625" style="59"/>
    <col min="3842" max="3842" width="6.42578125" style="59" bestFit="1" customWidth="1"/>
    <col min="3843" max="3843" width="44.140625" style="59" customWidth="1"/>
    <col min="3844" max="3844" width="9.140625" style="59"/>
    <col min="3845" max="3845" width="11.7109375" style="59" bestFit="1" customWidth="1"/>
    <col min="3846" max="3846" width="8.5703125" style="59" bestFit="1" customWidth="1"/>
    <col min="3847" max="3847" width="10" style="59" bestFit="1" customWidth="1"/>
    <col min="3848" max="3848" width="10.5703125" style="59" bestFit="1" customWidth="1"/>
    <col min="3849" max="3849" width="0" style="59" hidden="1" customWidth="1"/>
    <col min="3850" max="4097" width="9.140625" style="59"/>
    <col min="4098" max="4098" width="6.42578125" style="59" bestFit="1" customWidth="1"/>
    <col min="4099" max="4099" width="44.140625" style="59" customWidth="1"/>
    <col min="4100" max="4100" width="9.140625" style="59"/>
    <col min="4101" max="4101" width="11.7109375" style="59" bestFit="1" customWidth="1"/>
    <col min="4102" max="4102" width="8.5703125" style="59" bestFit="1" customWidth="1"/>
    <col min="4103" max="4103" width="10" style="59" bestFit="1" customWidth="1"/>
    <col min="4104" max="4104" width="10.5703125" style="59" bestFit="1" customWidth="1"/>
    <col min="4105" max="4105" width="0" style="59" hidden="1" customWidth="1"/>
    <col min="4106" max="4353" width="9.140625" style="59"/>
    <col min="4354" max="4354" width="6.42578125" style="59" bestFit="1" customWidth="1"/>
    <col min="4355" max="4355" width="44.140625" style="59" customWidth="1"/>
    <col min="4356" max="4356" width="9.140625" style="59"/>
    <col min="4357" max="4357" width="11.7109375" style="59" bestFit="1" customWidth="1"/>
    <col min="4358" max="4358" width="8.5703125" style="59" bestFit="1" customWidth="1"/>
    <col min="4359" max="4359" width="10" style="59" bestFit="1" customWidth="1"/>
    <col min="4360" max="4360" width="10.5703125" style="59" bestFit="1" customWidth="1"/>
    <col min="4361" max="4361" width="0" style="59" hidden="1" customWidth="1"/>
    <col min="4362" max="4609" width="9.140625" style="59"/>
    <col min="4610" max="4610" width="6.42578125" style="59" bestFit="1" customWidth="1"/>
    <col min="4611" max="4611" width="44.140625" style="59" customWidth="1"/>
    <col min="4612" max="4612" width="9.140625" style="59"/>
    <col min="4613" max="4613" width="11.7109375" style="59" bestFit="1" customWidth="1"/>
    <col min="4614" max="4614" width="8.5703125" style="59" bestFit="1" customWidth="1"/>
    <col min="4615" max="4615" width="10" style="59" bestFit="1" customWidth="1"/>
    <col min="4616" max="4616" width="10.5703125" style="59" bestFit="1" customWidth="1"/>
    <col min="4617" max="4617" width="0" style="59" hidden="1" customWidth="1"/>
    <col min="4618" max="4865" width="9.140625" style="59"/>
    <col min="4866" max="4866" width="6.42578125" style="59" bestFit="1" customWidth="1"/>
    <col min="4867" max="4867" width="44.140625" style="59" customWidth="1"/>
    <col min="4868" max="4868" width="9.140625" style="59"/>
    <col min="4869" max="4869" width="11.7109375" style="59" bestFit="1" customWidth="1"/>
    <col min="4870" max="4870" width="8.5703125" style="59" bestFit="1" customWidth="1"/>
    <col min="4871" max="4871" width="10" style="59" bestFit="1" customWidth="1"/>
    <col min="4872" max="4872" width="10.5703125" style="59" bestFit="1" customWidth="1"/>
    <col min="4873" max="4873" width="0" style="59" hidden="1" customWidth="1"/>
    <col min="4874" max="5121" width="9.140625" style="59"/>
    <col min="5122" max="5122" width="6.42578125" style="59" bestFit="1" customWidth="1"/>
    <col min="5123" max="5123" width="44.140625" style="59" customWidth="1"/>
    <col min="5124" max="5124" width="9.140625" style="59"/>
    <col min="5125" max="5125" width="11.7109375" style="59" bestFit="1" customWidth="1"/>
    <col min="5126" max="5126" width="8.5703125" style="59" bestFit="1" customWidth="1"/>
    <col min="5127" max="5127" width="10" style="59" bestFit="1" customWidth="1"/>
    <col min="5128" max="5128" width="10.5703125" style="59" bestFit="1" customWidth="1"/>
    <col min="5129" max="5129" width="0" style="59" hidden="1" customWidth="1"/>
    <col min="5130" max="5377" width="9.140625" style="59"/>
    <col min="5378" max="5378" width="6.42578125" style="59" bestFit="1" customWidth="1"/>
    <col min="5379" max="5379" width="44.140625" style="59" customWidth="1"/>
    <col min="5380" max="5380" width="9.140625" style="59"/>
    <col min="5381" max="5381" width="11.7109375" style="59" bestFit="1" customWidth="1"/>
    <col min="5382" max="5382" width="8.5703125" style="59" bestFit="1" customWidth="1"/>
    <col min="5383" max="5383" width="10" style="59" bestFit="1" customWidth="1"/>
    <col min="5384" max="5384" width="10.5703125" style="59" bestFit="1" customWidth="1"/>
    <col min="5385" max="5385" width="0" style="59" hidden="1" customWidth="1"/>
    <col min="5386" max="5633" width="9.140625" style="59"/>
    <col min="5634" max="5634" width="6.42578125" style="59" bestFit="1" customWidth="1"/>
    <col min="5635" max="5635" width="44.140625" style="59" customWidth="1"/>
    <col min="5636" max="5636" width="9.140625" style="59"/>
    <col min="5637" max="5637" width="11.7109375" style="59" bestFit="1" customWidth="1"/>
    <col min="5638" max="5638" width="8.5703125" style="59" bestFit="1" customWidth="1"/>
    <col min="5639" max="5639" width="10" style="59" bestFit="1" customWidth="1"/>
    <col min="5640" max="5640" width="10.5703125" style="59" bestFit="1" customWidth="1"/>
    <col min="5641" max="5641" width="0" style="59" hidden="1" customWidth="1"/>
    <col min="5642" max="5889" width="9.140625" style="59"/>
    <col min="5890" max="5890" width="6.42578125" style="59" bestFit="1" customWidth="1"/>
    <col min="5891" max="5891" width="44.140625" style="59" customWidth="1"/>
    <col min="5892" max="5892" width="9.140625" style="59"/>
    <col min="5893" max="5893" width="11.7109375" style="59" bestFit="1" customWidth="1"/>
    <col min="5894" max="5894" width="8.5703125" style="59" bestFit="1" customWidth="1"/>
    <col min="5895" max="5895" width="10" style="59" bestFit="1" customWidth="1"/>
    <col min="5896" max="5896" width="10.5703125" style="59" bestFit="1" customWidth="1"/>
    <col min="5897" max="5897" width="0" style="59" hidden="1" customWidth="1"/>
    <col min="5898" max="6145" width="9.140625" style="59"/>
    <col min="6146" max="6146" width="6.42578125" style="59" bestFit="1" customWidth="1"/>
    <col min="6147" max="6147" width="44.140625" style="59" customWidth="1"/>
    <col min="6148" max="6148" width="9.140625" style="59"/>
    <col min="6149" max="6149" width="11.7109375" style="59" bestFit="1" customWidth="1"/>
    <col min="6150" max="6150" width="8.5703125" style="59" bestFit="1" customWidth="1"/>
    <col min="6151" max="6151" width="10" style="59" bestFit="1" customWidth="1"/>
    <col min="6152" max="6152" width="10.5703125" style="59" bestFit="1" customWidth="1"/>
    <col min="6153" max="6153" width="0" style="59" hidden="1" customWidth="1"/>
    <col min="6154" max="6401" width="9.140625" style="59"/>
    <col min="6402" max="6402" width="6.42578125" style="59" bestFit="1" customWidth="1"/>
    <col min="6403" max="6403" width="44.140625" style="59" customWidth="1"/>
    <col min="6404" max="6404" width="9.140625" style="59"/>
    <col min="6405" max="6405" width="11.7109375" style="59" bestFit="1" customWidth="1"/>
    <col min="6406" max="6406" width="8.5703125" style="59" bestFit="1" customWidth="1"/>
    <col min="6407" max="6407" width="10" style="59" bestFit="1" customWidth="1"/>
    <col min="6408" max="6408" width="10.5703125" style="59" bestFit="1" customWidth="1"/>
    <col min="6409" max="6409" width="0" style="59" hidden="1" customWidth="1"/>
    <col min="6410" max="6657" width="9.140625" style="59"/>
    <col min="6658" max="6658" width="6.42578125" style="59" bestFit="1" customWidth="1"/>
    <col min="6659" max="6659" width="44.140625" style="59" customWidth="1"/>
    <col min="6660" max="6660" width="9.140625" style="59"/>
    <col min="6661" max="6661" width="11.7109375" style="59" bestFit="1" customWidth="1"/>
    <col min="6662" max="6662" width="8.5703125" style="59" bestFit="1" customWidth="1"/>
    <col min="6663" max="6663" width="10" style="59" bestFit="1" customWidth="1"/>
    <col min="6664" max="6664" width="10.5703125" style="59" bestFit="1" customWidth="1"/>
    <col min="6665" max="6665" width="0" style="59" hidden="1" customWidth="1"/>
    <col min="6666" max="6913" width="9.140625" style="59"/>
    <col min="6914" max="6914" width="6.42578125" style="59" bestFit="1" customWidth="1"/>
    <col min="6915" max="6915" width="44.140625" style="59" customWidth="1"/>
    <col min="6916" max="6916" width="9.140625" style="59"/>
    <col min="6917" max="6917" width="11.7109375" style="59" bestFit="1" customWidth="1"/>
    <col min="6918" max="6918" width="8.5703125" style="59" bestFit="1" customWidth="1"/>
    <col min="6919" max="6919" width="10" style="59" bestFit="1" customWidth="1"/>
    <col min="6920" max="6920" width="10.5703125" style="59" bestFit="1" customWidth="1"/>
    <col min="6921" max="6921" width="0" style="59" hidden="1" customWidth="1"/>
    <col min="6922" max="7169" width="9.140625" style="59"/>
    <col min="7170" max="7170" width="6.42578125" style="59" bestFit="1" customWidth="1"/>
    <col min="7171" max="7171" width="44.140625" style="59" customWidth="1"/>
    <col min="7172" max="7172" width="9.140625" style="59"/>
    <col min="7173" max="7173" width="11.7109375" style="59" bestFit="1" customWidth="1"/>
    <col min="7174" max="7174" width="8.5703125" style="59" bestFit="1" customWidth="1"/>
    <col min="7175" max="7175" width="10" style="59" bestFit="1" customWidth="1"/>
    <col min="7176" max="7176" width="10.5703125" style="59" bestFit="1" customWidth="1"/>
    <col min="7177" max="7177" width="0" style="59" hidden="1" customWidth="1"/>
    <col min="7178" max="7425" width="9.140625" style="59"/>
    <col min="7426" max="7426" width="6.42578125" style="59" bestFit="1" customWidth="1"/>
    <col min="7427" max="7427" width="44.140625" style="59" customWidth="1"/>
    <col min="7428" max="7428" width="9.140625" style="59"/>
    <col min="7429" max="7429" width="11.7109375" style="59" bestFit="1" customWidth="1"/>
    <col min="7430" max="7430" width="8.5703125" style="59" bestFit="1" customWidth="1"/>
    <col min="7431" max="7431" width="10" style="59" bestFit="1" customWidth="1"/>
    <col min="7432" max="7432" width="10.5703125" style="59" bestFit="1" customWidth="1"/>
    <col min="7433" max="7433" width="0" style="59" hidden="1" customWidth="1"/>
    <col min="7434" max="7681" width="9.140625" style="59"/>
    <col min="7682" max="7682" width="6.42578125" style="59" bestFit="1" customWidth="1"/>
    <col min="7683" max="7683" width="44.140625" style="59" customWidth="1"/>
    <col min="7684" max="7684" width="9.140625" style="59"/>
    <col min="7685" max="7685" width="11.7109375" style="59" bestFit="1" customWidth="1"/>
    <col min="7686" max="7686" width="8.5703125" style="59" bestFit="1" customWidth="1"/>
    <col min="7687" max="7687" width="10" style="59" bestFit="1" customWidth="1"/>
    <col min="7688" max="7688" width="10.5703125" style="59" bestFit="1" customWidth="1"/>
    <col min="7689" max="7689" width="0" style="59" hidden="1" customWidth="1"/>
    <col min="7690" max="7937" width="9.140625" style="59"/>
    <col min="7938" max="7938" width="6.42578125" style="59" bestFit="1" customWidth="1"/>
    <col min="7939" max="7939" width="44.140625" style="59" customWidth="1"/>
    <col min="7940" max="7940" width="9.140625" style="59"/>
    <col min="7941" max="7941" width="11.7109375" style="59" bestFit="1" customWidth="1"/>
    <col min="7942" max="7942" width="8.5703125" style="59" bestFit="1" customWidth="1"/>
    <col min="7943" max="7943" width="10" style="59" bestFit="1" customWidth="1"/>
    <col min="7944" max="7944" width="10.5703125" style="59" bestFit="1" customWidth="1"/>
    <col min="7945" max="7945" width="0" style="59" hidden="1" customWidth="1"/>
    <col min="7946" max="8193" width="9.140625" style="59"/>
    <col min="8194" max="8194" width="6.42578125" style="59" bestFit="1" customWidth="1"/>
    <col min="8195" max="8195" width="44.140625" style="59" customWidth="1"/>
    <col min="8196" max="8196" width="9.140625" style="59"/>
    <col min="8197" max="8197" width="11.7109375" style="59" bestFit="1" customWidth="1"/>
    <col min="8198" max="8198" width="8.5703125" style="59" bestFit="1" customWidth="1"/>
    <col min="8199" max="8199" width="10" style="59" bestFit="1" customWidth="1"/>
    <col min="8200" max="8200" width="10.5703125" style="59" bestFit="1" customWidth="1"/>
    <col min="8201" max="8201" width="0" style="59" hidden="1" customWidth="1"/>
    <col min="8202" max="8449" width="9.140625" style="59"/>
    <col min="8450" max="8450" width="6.42578125" style="59" bestFit="1" customWidth="1"/>
    <col min="8451" max="8451" width="44.140625" style="59" customWidth="1"/>
    <col min="8452" max="8452" width="9.140625" style="59"/>
    <col min="8453" max="8453" width="11.7109375" style="59" bestFit="1" customWidth="1"/>
    <col min="8454" max="8454" width="8.5703125" style="59" bestFit="1" customWidth="1"/>
    <col min="8455" max="8455" width="10" style="59" bestFit="1" customWidth="1"/>
    <col min="8456" max="8456" width="10.5703125" style="59" bestFit="1" customWidth="1"/>
    <col min="8457" max="8457" width="0" style="59" hidden="1" customWidth="1"/>
    <col min="8458" max="8705" width="9.140625" style="59"/>
    <col min="8706" max="8706" width="6.42578125" style="59" bestFit="1" customWidth="1"/>
    <col min="8707" max="8707" width="44.140625" style="59" customWidth="1"/>
    <col min="8708" max="8708" width="9.140625" style="59"/>
    <col min="8709" max="8709" width="11.7109375" style="59" bestFit="1" customWidth="1"/>
    <col min="8710" max="8710" width="8.5703125" style="59" bestFit="1" customWidth="1"/>
    <col min="8711" max="8711" width="10" style="59" bestFit="1" customWidth="1"/>
    <col min="8712" max="8712" width="10.5703125" style="59" bestFit="1" customWidth="1"/>
    <col min="8713" max="8713" width="0" style="59" hidden="1" customWidth="1"/>
    <col min="8714" max="8961" width="9.140625" style="59"/>
    <col min="8962" max="8962" width="6.42578125" style="59" bestFit="1" customWidth="1"/>
    <col min="8963" max="8963" width="44.140625" style="59" customWidth="1"/>
    <col min="8964" max="8964" width="9.140625" style="59"/>
    <col min="8965" max="8965" width="11.7109375" style="59" bestFit="1" customWidth="1"/>
    <col min="8966" max="8966" width="8.5703125" style="59" bestFit="1" customWidth="1"/>
    <col min="8967" max="8967" width="10" style="59" bestFit="1" customWidth="1"/>
    <col min="8968" max="8968" width="10.5703125" style="59" bestFit="1" customWidth="1"/>
    <col min="8969" max="8969" width="0" style="59" hidden="1" customWidth="1"/>
    <col min="8970" max="9217" width="9.140625" style="59"/>
    <col min="9218" max="9218" width="6.42578125" style="59" bestFit="1" customWidth="1"/>
    <col min="9219" max="9219" width="44.140625" style="59" customWidth="1"/>
    <col min="9220" max="9220" width="9.140625" style="59"/>
    <col min="9221" max="9221" width="11.7109375" style="59" bestFit="1" customWidth="1"/>
    <col min="9222" max="9222" width="8.5703125" style="59" bestFit="1" customWidth="1"/>
    <col min="9223" max="9223" width="10" style="59" bestFit="1" customWidth="1"/>
    <col min="9224" max="9224" width="10.5703125" style="59" bestFit="1" customWidth="1"/>
    <col min="9225" max="9225" width="0" style="59" hidden="1" customWidth="1"/>
    <col min="9226" max="9473" width="9.140625" style="59"/>
    <col min="9474" max="9474" width="6.42578125" style="59" bestFit="1" customWidth="1"/>
    <col min="9475" max="9475" width="44.140625" style="59" customWidth="1"/>
    <col min="9476" max="9476" width="9.140625" style="59"/>
    <col min="9477" max="9477" width="11.7109375" style="59" bestFit="1" customWidth="1"/>
    <col min="9478" max="9478" width="8.5703125" style="59" bestFit="1" customWidth="1"/>
    <col min="9479" max="9479" width="10" style="59" bestFit="1" customWidth="1"/>
    <col min="9480" max="9480" width="10.5703125" style="59" bestFit="1" customWidth="1"/>
    <col min="9481" max="9481" width="0" style="59" hidden="1" customWidth="1"/>
    <col min="9482" max="9729" width="9.140625" style="59"/>
    <col min="9730" max="9730" width="6.42578125" style="59" bestFit="1" customWidth="1"/>
    <col min="9731" max="9731" width="44.140625" style="59" customWidth="1"/>
    <col min="9732" max="9732" width="9.140625" style="59"/>
    <col min="9733" max="9733" width="11.7109375" style="59" bestFit="1" customWidth="1"/>
    <col min="9734" max="9734" width="8.5703125" style="59" bestFit="1" customWidth="1"/>
    <col min="9735" max="9735" width="10" style="59" bestFit="1" customWidth="1"/>
    <col min="9736" max="9736" width="10.5703125" style="59" bestFit="1" customWidth="1"/>
    <col min="9737" max="9737" width="0" style="59" hidden="1" customWidth="1"/>
    <col min="9738" max="9985" width="9.140625" style="59"/>
    <col min="9986" max="9986" width="6.42578125" style="59" bestFit="1" customWidth="1"/>
    <col min="9987" max="9987" width="44.140625" style="59" customWidth="1"/>
    <col min="9988" max="9988" width="9.140625" style="59"/>
    <col min="9989" max="9989" width="11.7109375" style="59" bestFit="1" customWidth="1"/>
    <col min="9990" max="9990" width="8.5703125" style="59" bestFit="1" customWidth="1"/>
    <col min="9991" max="9991" width="10" style="59" bestFit="1" customWidth="1"/>
    <col min="9992" max="9992" width="10.5703125" style="59" bestFit="1" customWidth="1"/>
    <col min="9993" max="9993" width="0" style="59" hidden="1" customWidth="1"/>
    <col min="9994" max="10241" width="9.140625" style="59"/>
    <col min="10242" max="10242" width="6.42578125" style="59" bestFit="1" customWidth="1"/>
    <col min="10243" max="10243" width="44.140625" style="59" customWidth="1"/>
    <col min="10244" max="10244" width="9.140625" style="59"/>
    <col min="10245" max="10245" width="11.7109375" style="59" bestFit="1" customWidth="1"/>
    <col min="10246" max="10246" width="8.5703125" style="59" bestFit="1" customWidth="1"/>
    <col min="10247" max="10247" width="10" style="59" bestFit="1" customWidth="1"/>
    <col min="10248" max="10248" width="10.5703125" style="59" bestFit="1" customWidth="1"/>
    <col min="10249" max="10249" width="0" style="59" hidden="1" customWidth="1"/>
    <col min="10250" max="10497" width="9.140625" style="59"/>
    <col min="10498" max="10498" width="6.42578125" style="59" bestFit="1" customWidth="1"/>
    <col min="10499" max="10499" width="44.140625" style="59" customWidth="1"/>
    <col min="10500" max="10500" width="9.140625" style="59"/>
    <col min="10501" max="10501" width="11.7109375" style="59" bestFit="1" customWidth="1"/>
    <col min="10502" max="10502" width="8.5703125" style="59" bestFit="1" customWidth="1"/>
    <col min="10503" max="10503" width="10" style="59" bestFit="1" customWidth="1"/>
    <col min="10504" max="10504" width="10.5703125" style="59" bestFit="1" customWidth="1"/>
    <col min="10505" max="10505" width="0" style="59" hidden="1" customWidth="1"/>
    <col min="10506" max="10753" width="9.140625" style="59"/>
    <col min="10754" max="10754" width="6.42578125" style="59" bestFit="1" customWidth="1"/>
    <col min="10755" max="10755" width="44.140625" style="59" customWidth="1"/>
    <col min="10756" max="10756" width="9.140625" style="59"/>
    <col min="10757" max="10757" width="11.7109375" style="59" bestFit="1" customWidth="1"/>
    <col min="10758" max="10758" width="8.5703125" style="59" bestFit="1" customWidth="1"/>
    <col min="10759" max="10759" width="10" style="59" bestFit="1" customWidth="1"/>
    <col min="10760" max="10760" width="10.5703125" style="59" bestFit="1" customWidth="1"/>
    <col min="10761" max="10761" width="0" style="59" hidden="1" customWidth="1"/>
    <col min="10762" max="11009" width="9.140625" style="59"/>
    <col min="11010" max="11010" width="6.42578125" style="59" bestFit="1" customWidth="1"/>
    <col min="11011" max="11011" width="44.140625" style="59" customWidth="1"/>
    <col min="11012" max="11012" width="9.140625" style="59"/>
    <col min="11013" max="11013" width="11.7109375" style="59" bestFit="1" customWidth="1"/>
    <col min="11014" max="11014" width="8.5703125" style="59" bestFit="1" customWidth="1"/>
    <col min="11015" max="11015" width="10" style="59" bestFit="1" customWidth="1"/>
    <col min="11016" max="11016" width="10.5703125" style="59" bestFit="1" customWidth="1"/>
    <col min="11017" max="11017" width="0" style="59" hidden="1" customWidth="1"/>
    <col min="11018" max="11265" width="9.140625" style="59"/>
    <col min="11266" max="11266" width="6.42578125" style="59" bestFit="1" customWidth="1"/>
    <col min="11267" max="11267" width="44.140625" style="59" customWidth="1"/>
    <col min="11268" max="11268" width="9.140625" style="59"/>
    <col min="11269" max="11269" width="11.7109375" style="59" bestFit="1" customWidth="1"/>
    <col min="11270" max="11270" width="8.5703125" style="59" bestFit="1" customWidth="1"/>
    <col min="11271" max="11271" width="10" style="59" bestFit="1" customWidth="1"/>
    <col min="11272" max="11272" width="10.5703125" style="59" bestFit="1" customWidth="1"/>
    <col min="11273" max="11273" width="0" style="59" hidden="1" customWidth="1"/>
    <col min="11274" max="11521" width="9.140625" style="59"/>
    <col min="11522" max="11522" width="6.42578125" style="59" bestFit="1" customWidth="1"/>
    <col min="11523" max="11523" width="44.140625" style="59" customWidth="1"/>
    <col min="11524" max="11524" width="9.140625" style="59"/>
    <col min="11525" max="11525" width="11.7109375" style="59" bestFit="1" customWidth="1"/>
    <col min="11526" max="11526" width="8.5703125" style="59" bestFit="1" customWidth="1"/>
    <col min="11527" max="11527" width="10" style="59" bestFit="1" customWidth="1"/>
    <col min="11528" max="11528" width="10.5703125" style="59" bestFit="1" customWidth="1"/>
    <col min="11529" max="11529" width="0" style="59" hidden="1" customWidth="1"/>
    <col min="11530" max="11777" width="9.140625" style="59"/>
    <col min="11778" max="11778" width="6.42578125" style="59" bestFit="1" customWidth="1"/>
    <col min="11779" max="11779" width="44.140625" style="59" customWidth="1"/>
    <col min="11780" max="11780" width="9.140625" style="59"/>
    <col min="11781" max="11781" width="11.7109375" style="59" bestFit="1" customWidth="1"/>
    <col min="11782" max="11782" width="8.5703125" style="59" bestFit="1" customWidth="1"/>
    <col min="11783" max="11783" width="10" style="59" bestFit="1" customWidth="1"/>
    <col min="11784" max="11784" width="10.5703125" style="59" bestFit="1" customWidth="1"/>
    <col min="11785" max="11785" width="0" style="59" hidden="1" customWidth="1"/>
    <col min="11786" max="12033" width="9.140625" style="59"/>
    <col min="12034" max="12034" width="6.42578125" style="59" bestFit="1" customWidth="1"/>
    <col min="12035" max="12035" width="44.140625" style="59" customWidth="1"/>
    <col min="12036" max="12036" width="9.140625" style="59"/>
    <col min="12037" max="12037" width="11.7109375" style="59" bestFit="1" customWidth="1"/>
    <col min="12038" max="12038" width="8.5703125" style="59" bestFit="1" customWidth="1"/>
    <col min="12039" max="12039" width="10" style="59" bestFit="1" customWidth="1"/>
    <col min="12040" max="12040" width="10.5703125" style="59" bestFit="1" customWidth="1"/>
    <col min="12041" max="12041" width="0" style="59" hidden="1" customWidth="1"/>
    <col min="12042" max="12289" width="9.140625" style="59"/>
    <col min="12290" max="12290" width="6.42578125" style="59" bestFit="1" customWidth="1"/>
    <col min="12291" max="12291" width="44.140625" style="59" customWidth="1"/>
    <col min="12292" max="12292" width="9.140625" style="59"/>
    <col min="12293" max="12293" width="11.7109375" style="59" bestFit="1" customWidth="1"/>
    <col min="12294" max="12294" width="8.5703125" style="59" bestFit="1" customWidth="1"/>
    <col min="12295" max="12295" width="10" style="59" bestFit="1" customWidth="1"/>
    <col min="12296" max="12296" width="10.5703125" style="59" bestFit="1" customWidth="1"/>
    <col min="12297" max="12297" width="0" style="59" hidden="1" customWidth="1"/>
    <col min="12298" max="12545" width="9.140625" style="59"/>
    <col min="12546" max="12546" width="6.42578125" style="59" bestFit="1" customWidth="1"/>
    <col min="12547" max="12547" width="44.140625" style="59" customWidth="1"/>
    <col min="12548" max="12548" width="9.140625" style="59"/>
    <col min="12549" max="12549" width="11.7109375" style="59" bestFit="1" customWidth="1"/>
    <col min="12550" max="12550" width="8.5703125" style="59" bestFit="1" customWidth="1"/>
    <col min="12551" max="12551" width="10" style="59" bestFit="1" customWidth="1"/>
    <col min="12552" max="12552" width="10.5703125" style="59" bestFit="1" customWidth="1"/>
    <col min="12553" max="12553" width="0" style="59" hidden="1" customWidth="1"/>
    <col min="12554" max="12801" width="9.140625" style="59"/>
    <col min="12802" max="12802" width="6.42578125" style="59" bestFit="1" customWidth="1"/>
    <col min="12803" max="12803" width="44.140625" style="59" customWidth="1"/>
    <col min="12804" max="12804" width="9.140625" style="59"/>
    <col min="12805" max="12805" width="11.7109375" style="59" bestFit="1" customWidth="1"/>
    <col min="12806" max="12806" width="8.5703125" style="59" bestFit="1" customWidth="1"/>
    <col min="12807" max="12807" width="10" style="59" bestFit="1" customWidth="1"/>
    <col min="12808" max="12808" width="10.5703125" style="59" bestFit="1" customWidth="1"/>
    <col min="12809" max="12809" width="0" style="59" hidden="1" customWidth="1"/>
    <col min="12810" max="13057" width="9.140625" style="59"/>
    <col min="13058" max="13058" width="6.42578125" style="59" bestFit="1" customWidth="1"/>
    <col min="13059" max="13059" width="44.140625" style="59" customWidth="1"/>
    <col min="13060" max="13060" width="9.140625" style="59"/>
    <col min="13061" max="13061" width="11.7109375" style="59" bestFit="1" customWidth="1"/>
    <col min="13062" max="13062" width="8.5703125" style="59" bestFit="1" customWidth="1"/>
    <col min="13063" max="13063" width="10" style="59" bestFit="1" customWidth="1"/>
    <col min="13064" max="13064" width="10.5703125" style="59" bestFit="1" customWidth="1"/>
    <col min="13065" max="13065" width="0" style="59" hidden="1" customWidth="1"/>
    <col min="13066" max="13313" width="9.140625" style="59"/>
    <col min="13314" max="13314" width="6.42578125" style="59" bestFit="1" customWidth="1"/>
    <col min="13315" max="13315" width="44.140625" style="59" customWidth="1"/>
    <col min="13316" max="13316" width="9.140625" style="59"/>
    <col min="13317" max="13317" width="11.7109375" style="59" bestFit="1" customWidth="1"/>
    <col min="13318" max="13318" width="8.5703125" style="59" bestFit="1" customWidth="1"/>
    <col min="13319" max="13319" width="10" style="59" bestFit="1" customWidth="1"/>
    <col min="13320" max="13320" width="10.5703125" style="59" bestFit="1" customWidth="1"/>
    <col min="13321" max="13321" width="0" style="59" hidden="1" customWidth="1"/>
    <col min="13322" max="13569" width="9.140625" style="59"/>
    <col min="13570" max="13570" width="6.42578125" style="59" bestFit="1" customWidth="1"/>
    <col min="13571" max="13571" width="44.140625" style="59" customWidth="1"/>
    <col min="13572" max="13572" width="9.140625" style="59"/>
    <col min="13573" max="13573" width="11.7109375" style="59" bestFit="1" customWidth="1"/>
    <col min="13574" max="13574" width="8.5703125" style="59" bestFit="1" customWidth="1"/>
    <col min="13575" max="13575" width="10" style="59" bestFit="1" customWidth="1"/>
    <col min="13576" max="13576" width="10.5703125" style="59" bestFit="1" customWidth="1"/>
    <col min="13577" max="13577" width="0" style="59" hidden="1" customWidth="1"/>
    <col min="13578" max="13825" width="9.140625" style="59"/>
    <col min="13826" max="13826" width="6.42578125" style="59" bestFit="1" customWidth="1"/>
    <col min="13827" max="13827" width="44.140625" style="59" customWidth="1"/>
    <col min="13828" max="13828" width="9.140625" style="59"/>
    <col min="13829" max="13829" width="11.7109375" style="59" bestFit="1" customWidth="1"/>
    <col min="13830" max="13830" width="8.5703125" style="59" bestFit="1" customWidth="1"/>
    <col min="13831" max="13831" width="10" style="59" bestFit="1" customWidth="1"/>
    <col min="13832" max="13832" width="10.5703125" style="59" bestFit="1" customWidth="1"/>
    <col min="13833" max="13833" width="0" style="59" hidden="1" customWidth="1"/>
    <col min="13834" max="14081" width="9.140625" style="59"/>
    <col min="14082" max="14082" width="6.42578125" style="59" bestFit="1" customWidth="1"/>
    <col min="14083" max="14083" width="44.140625" style="59" customWidth="1"/>
    <col min="14084" max="14084" width="9.140625" style="59"/>
    <col min="14085" max="14085" width="11.7109375" style="59" bestFit="1" customWidth="1"/>
    <col min="14086" max="14086" width="8.5703125" style="59" bestFit="1" customWidth="1"/>
    <col min="14087" max="14087" width="10" style="59" bestFit="1" customWidth="1"/>
    <col min="14088" max="14088" width="10.5703125" style="59" bestFit="1" customWidth="1"/>
    <col min="14089" max="14089" width="0" style="59" hidden="1" customWidth="1"/>
    <col min="14090" max="14337" width="9.140625" style="59"/>
    <col min="14338" max="14338" width="6.42578125" style="59" bestFit="1" customWidth="1"/>
    <col min="14339" max="14339" width="44.140625" style="59" customWidth="1"/>
    <col min="14340" max="14340" width="9.140625" style="59"/>
    <col min="14341" max="14341" width="11.7109375" style="59" bestFit="1" customWidth="1"/>
    <col min="14342" max="14342" width="8.5703125" style="59" bestFit="1" customWidth="1"/>
    <col min="14343" max="14343" width="10" style="59" bestFit="1" customWidth="1"/>
    <col min="14344" max="14344" width="10.5703125" style="59" bestFit="1" customWidth="1"/>
    <col min="14345" max="14345" width="0" style="59" hidden="1" customWidth="1"/>
    <col min="14346" max="14593" width="9.140625" style="59"/>
    <col min="14594" max="14594" width="6.42578125" style="59" bestFit="1" customWidth="1"/>
    <col min="14595" max="14595" width="44.140625" style="59" customWidth="1"/>
    <col min="14596" max="14596" width="9.140625" style="59"/>
    <col min="14597" max="14597" width="11.7109375" style="59" bestFit="1" customWidth="1"/>
    <col min="14598" max="14598" width="8.5703125" style="59" bestFit="1" customWidth="1"/>
    <col min="14599" max="14599" width="10" style="59" bestFit="1" customWidth="1"/>
    <col min="14600" max="14600" width="10.5703125" style="59" bestFit="1" customWidth="1"/>
    <col min="14601" max="14601" width="0" style="59" hidden="1" customWidth="1"/>
    <col min="14602" max="14849" width="9.140625" style="59"/>
    <col min="14850" max="14850" width="6.42578125" style="59" bestFit="1" customWidth="1"/>
    <col min="14851" max="14851" width="44.140625" style="59" customWidth="1"/>
    <col min="14852" max="14852" width="9.140625" style="59"/>
    <col min="14853" max="14853" width="11.7109375" style="59" bestFit="1" customWidth="1"/>
    <col min="14854" max="14854" width="8.5703125" style="59" bestFit="1" customWidth="1"/>
    <col min="14855" max="14855" width="10" style="59" bestFit="1" customWidth="1"/>
    <col min="14856" max="14856" width="10.5703125" style="59" bestFit="1" customWidth="1"/>
    <col min="14857" max="14857" width="0" style="59" hidden="1" customWidth="1"/>
    <col min="14858" max="15105" width="9.140625" style="59"/>
    <col min="15106" max="15106" width="6.42578125" style="59" bestFit="1" customWidth="1"/>
    <col min="15107" max="15107" width="44.140625" style="59" customWidth="1"/>
    <col min="15108" max="15108" width="9.140625" style="59"/>
    <col min="15109" max="15109" width="11.7109375" style="59" bestFit="1" customWidth="1"/>
    <col min="15110" max="15110" width="8.5703125" style="59" bestFit="1" customWidth="1"/>
    <col min="15111" max="15111" width="10" style="59" bestFit="1" customWidth="1"/>
    <col min="15112" max="15112" width="10.5703125" style="59" bestFit="1" customWidth="1"/>
    <col min="15113" max="15113" width="0" style="59" hidden="1" customWidth="1"/>
    <col min="15114" max="15361" width="9.140625" style="59"/>
    <col min="15362" max="15362" width="6.42578125" style="59" bestFit="1" customWidth="1"/>
    <col min="15363" max="15363" width="44.140625" style="59" customWidth="1"/>
    <col min="15364" max="15364" width="9.140625" style="59"/>
    <col min="15365" max="15365" width="11.7109375" style="59" bestFit="1" customWidth="1"/>
    <col min="15366" max="15366" width="8.5703125" style="59" bestFit="1" customWidth="1"/>
    <col min="15367" max="15367" width="10" style="59" bestFit="1" customWidth="1"/>
    <col min="15368" max="15368" width="10.5703125" style="59" bestFit="1" customWidth="1"/>
    <col min="15369" max="15369" width="0" style="59" hidden="1" customWidth="1"/>
    <col min="15370" max="15617" width="9.140625" style="59"/>
    <col min="15618" max="15618" width="6.42578125" style="59" bestFit="1" customWidth="1"/>
    <col min="15619" max="15619" width="44.140625" style="59" customWidth="1"/>
    <col min="15620" max="15620" width="9.140625" style="59"/>
    <col min="15621" max="15621" width="11.7109375" style="59" bestFit="1" customWidth="1"/>
    <col min="15622" max="15622" width="8.5703125" style="59" bestFit="1" customWidth="1"/>
    <col min="15623" max="15623" width="10" style="59" bestFit="1" customWidth="1"/>
    <col min="15624" max="15624" width="10.5703125" style="59" bestFit="1" customWidth="1"/>
    <col min="15625" max="15625" width="0" style="59" hidden="1" customWidth="1"/>
    <col min="15626" max="15873" width="9.140625" style="59"/>
    <col min="15874" max="15874" width="6.42578125" style="59" bestFit="1" customWidth="1"/>
    <col min="15875" max="15875" width="44.140625" style="59" customWidth="1"/>
    <col min="15876" max="15876" width="9.140625" style="59"/>
    <col min="15877" max="15877" width="11.7109375" style="59" bestFit="1" customWidth="1"/>
    <col min="15878" max="15878" width="8.5703125" style="59" bestFit="1" customWidth="1"/>
    <col min="15879" max="15879" width="10" style="59" bestFit="1" customWidth="1"/>
    <col min="15880" max="15880" width="10.5703125" style="59" bestFit="1" customWidth="1"/>
    <col min="15881" max="15881" width="0" style="59" hidden="1" customWidth="1"/>
    <col min="15882" max="16129" width="9.140625" style="59"/>
    <col min="16130" max="16130" width="6.42578125" style="59" bestFit="1" customWidth="1"/>
    <col min="16131" max="16131" width="44.140625" style="59" customWidth="1"/>
    <col min="16132" max="16132" width="9.140625" style="59"/>
    <col min="16133" max="16133" width="11.7109375" style="59" bestFit="1" customWidth="1"/>
    <col min="16134" max="16134" width="8.5703125" style="59" bestFit="1" customWidth="1"/>
    <col min="16135" max="16135" width="10" style="59" bestFit="1" customWidth="1"/>
    <col min="16136" max="16136" width="10.5703125" style="59" bestFit="1" customWidth="1"/>
    <col min="16137" max="16137" width="0" style="59" hidden="1" customWidth="1"/>
    <col min="16138" max="16384" width="9.140625" style="59"/>
  </cols>
  <sheetData>
    <row r="1" spans="1:8" s="34" customFormat="1" x14ac:dyDescent="0.2">
      <c r="A1" s="37"/>
      <c r="B1" s="35" t="str">
        <f>Update!$B$6</f>
        <v>Department of Health</v>
      </c>
    </row>
    <row r="2" spans="1:8" s="34" customFormat="1" x14ac:dyDescent="0.2">
      <c r="A2" s="37"/>
      <c r="B2" s="35" t="str">
        <f>Update!$B$10</f>
        <v>Notes to the financial statements</v>
      </c>
    </row>
    <row r="3" spans="1:8" s="34" customFormat="1" x14ac:dyDescent="0.2">
      <c r="A3" s="37"/>
      <c r="B3" s="35" t="str">
        <f>Update!$A$3</f>
        <v>2025-26</v>
      </c>
    </row>
    <row r="6" spans="1:8" s="34" customFormat="1" x14ac:dyDescent="0.2">
      <c r="A6" s="229">
        <f>SUMIF(Update!$B$33:$B$106,B6,Update!$A$33:$A$106)</f>
        <v>19</v>
      </c>
      <c r="B6" s="37" t="s">
        <v>664</v>
      </c>
      <c r="C6" s="37"/>
      <c r="D6" s="37"/>
      <c r="E6" s="37"/>
    </row>
    <row r="7" spans="1:8" s="34" customFormat="1" x14ac:dyDescent="0.2">
      <c r="A7" s="36"/>
      <c r="B7" s="37"/>
      <c r="C7" s="37"/>
      <c r="D7" s="37"/>
      <c r="E7" s="37"/>
    </row>
    <row r="8" spans="1:8" s="34" customFormat="1" x14ac:dyDescent="0.2">
      <c r="A8" s="229">
        <f>SUMIF(Update!$B$33:$B$106,B8,Update!$A$33:$A$106)</f>
        <v>19.100000000000001</v>
      </c>
      <c r="B8" s="37" t="s">
        <v>665</v>
      </c>
      <c r="H8" s="38"/>
    </row>
    <row r="9" spans="1:8" s="34" customFormat="1" x14ac:dyDescent="0.2">
      <c r="A9" s="36"/>
      <c r="B9" s="197" t="s">
        <v>2458</v>
      </c>
      <c r="C9" s="197"/>
      <c r="D9" s="197"/>
      <c r="E9" s="197"/>
      <c r="F9" s="197"/>
      <c r="G9" s="197"/>
      <c r="H9" s="197"/>
    </row>
    <row r="10" spans="1:8" s="34" customFormat="1" x14ac:dyDescent="0.2">
      <c r="A10" s="36"/>
      <c r="F10" s="39"/>
      <c r="G10" s="39"/>
    </row>
    <row r="11" spans="1:8" s="34" customFormat="1" ht="25.5" x14ac:dyDescent="0.2">
      <c r="A11" s="36"/>
      <c r="D11" s="201" t="str">
        <f>Update!$B$7</f>
        <v>Core Department &amp; Agencies</v>
      </c>
      <c r="E11" s="201" t="str">
        <f>Update!$B$8</f>
        <v>Departmental Group</v>
      </c>
      <c r="F11" s="39"/>
      <c r="G11" s="201" t="str">
        <f>Update!$B$7</f>
        <v>Core Department &amp; Agencies</v>
      </c>
      <c r="H11" s="201" t="str">
        <f>Update!$B$8</f>
        <v>Departmental Group</v>
      </c>
    </row>
    <row r="12" spans="1:8" s="34" customFormat="1" x14ac:dyDescent="0.2">
      <c r="A12" s="36"/>
      <c r="D12" s="40" t="str">
        <f>Update!$B$22</f>
        <v xml:space="preserve"> 31 March 2026</v>
      </c>
      <c r="E12" s="40" t="str">
        <f>Update!$B$22</f>
        <v xml:space="preserve"> 31 March 2026</v>
      </c>
      <c r="F12" s="39">
        <f>ROUND(SUMIF(MAP!$E$389:$E$406,$B12,MAP!$N$389:$N$406),0)</f>
        <v>0</v>
      </c>
      <c r="G12" s="40" t="str">
        <f>Update!$B$24</f>
        <v xml:space="preserve"> 31 March 2025</v>
      </c>
      <c r="H12" s="40" t="str">
        <f>Update!$B$24</f>
        <v xml:space="preserve"> 31 March 2025</v>
      </c>
    </row>
    <row r="13" spans="1:8" s="34" customFormat="1" ht="13.5" customHeight="1" x14ac:dyDescent="0.2">
      <c r="A13" s="36"/>
      <c r="D13" s="39" t="s">
        <v>462</v>
      </c>
      <c r="E13" s="39" t="s">
        <v>462</v>
      </c>
      <c r="F13" s="39"/>
      <c r="G13" s="39" t="s">
        <v>462</v>
      </c>
      <c r="H13" s="39" t="s">
        <v>462</v>
      </c>
    </row>
    <row r="14" spans="1:8" s="34" customFormat="1" ht="25.5" customHeight="1" x14ac:dyDescent="0.2">
      <c r="A14" s="37"/>
      <c r="B14" s="56" t="s">
        <v>666</v>
      </c>
      <c r="D14" s="39"/>
      <c r="E14" s="39"/>
      <c r="F14" s="39"/>
      <c r="G14" s="39"/>
      <c r="H14" s="39"/>
    </row>
    <row r="15" spans="1:8" s="34" customFormat="1" x14ac:dyDescent="0.2">
      <c r="A15" s="37"/>
      <c r="B15" s="56" t="s">
        <v>288</v>
      </c>
      <c r="D15" s="747">
        <f>SUMIF(MAP!$E$1745:$E$1748,$B15,MAP!$T$1745:$T$1748)</f>
        <v>0</v>
      </c>
      <c r="E15" s="747">
        <f>SUMIF(MAP!$E$1745:$E$1748,$B15,MAP!$N$1745:$N$1748)</f>
        <v>0</v>
      </c>
      <c r="F15" s="56"/>
      <c r="G15" s="768">
        <v>0</v>
      </c>
      <c r="H15" s="768">
        <v>48977</v>
      </c>
    </row>
    <row r="16" spans="1:8" s="56" customFormat="1" x14ac:dyDescent="0.2">
      <c r="A16" s="55"/>
      <c r="B16" s="56" t="s">
        <v>289</v>
      </c>
      <c r="D16" s="747">
        <f>SUMIF(MAP!$E$1745:$E$1748,$B16,MAP!$T$1745:$T$1748)</f>
        <v>0</v>
      </c>
      <c r="E16" s="747">
        <f>SUMIF(MAP!$E$1745:$E$1748,$B16,MAP!$N$1745:$N$1748)</f>
        <v>0</v>
      </c>
      <c r="G16" s="768">
        <v>0</v>
      </c>
      <c r="H16" s="768">
        <v>1864</v>
      </c>
    </row>
    <row r="17" spans="1:9" s="34" customFormat="1" ht="17.25" customHeight="1" thickBot="1" x14ac:dyDescent="0.25">
      <c r="A17" s="37"/>
      <c r="D17" s="54">
        <f>SUM(D15:D16)</f>
        <v>0</v>
      </c>
      <c r="E17" s="54">
        <f>SUM(E15:E16)</f>
        <v>0</v>
      </c>
      <c r="G17" s="54">
        <f>SUM(G15:G16)</f>
        <v>0</v>
      </c>
      <c r="H17" s="54">
        <f>SUM(H15:H16)</f>
        <v>50841</v>
      </c>
    </row>
    <row r="18" spans="1:9" x14ac:dyDescent="0.2">
      <c r="D18" s="204">
        <f>D17-MAP!T1748</f>
        <v>0</v>
      </c>
      <c r="E18" s="204">
        <f>E17-MAP!N1748</f>
        <v>0</v>
      </c>
    </row>
    <row r="19" spans="1:9" x14ac:dyDescent="0.2">
      <c r="F19" s="59">
        <f>ROUND(SUMIF(MAP!$E$389:$E$406,$B19,MAP!$N$389:$N$406),0)</f>
        <v>0</v>
      </c>
    </row>
    <row r="20" spans="1:9" s="34" customFormat="1" x14ac:dyDescent="0.2">
      <c r="A20" s="229">
        <f>SUMIF(Update!$B$33:$B$106,B20,Update!$A$33:$A$106)</f>
        <v>19.200000000000003</v>
      </c>
      <c r="B20" s="37" t="s">
        <v>2486</v>
      </c>
    </row>
    <row r="21" spans="1:9" s="34" customFormat="1" x14ac:dyDescent="0.2">
      <c r="A21" s="37"/>
    </row>
    <row r="22" spans="1:9" s="34" customFormat="1" ht="66" hidden="1" customHeight="1" outlineLevel="1" x14ac:dyDescent="0.2">
      <c r="A22" s="37"/>
      <c r="B22" s="2124" t="s">
        <v>668</v>
      </c>
      <c r="C22" s="2124"/>
      <c r="D22" s="2124"/>
      <c r="E22" s="2124"/>
      <c r="F22" s="2124"/>
      <c r="G22" s="2124"/>
      <c r="H22" s="2124"/>
      <c r="I22" s="2124"/>
    </row>
    <row r="23" spans="1:9" s="34" customFormat="1" hidden="1" outlineLevel="1" x14ac:dyDescent="0.2">
      <c r="A23" s="37"/>
      <c r="B23" s="187"/>
      <c r="C23" s="188"/>
      <c r="D23" s="188"/>
      <c r="E23" s="187"/>
    </row>
    <row r="24" spans="1:9" s="34" customFormat="1" ht="65.25" hidden="1" customHeight="1" outlineLevel="1" x14ac:dyDescent="0.2">
      <c r="A24" s="37"/>
      <c r="B24" s="2124" t="s">
        <v>1423</v>
      </c>
      <c r="C24" s="2124"/>
      <c r="D24" s="2124"/>
      <c r="E24" s="2124"/>
      <c r="F24" s="2124"/>
      <c r="G24" s="2124"/>
      <c r="H24" s="2124"/>
      <c r="I24" s="2124"/>
    </row>
    <row r="25" spans="1:9" s="34" customFormat="1" collapsed="1" x14ac:dyDescent="0.2">
      <c r="A25" s="37"/>
    </row>
    <row r="26" spans="1:9" s="34" customFormat="1" x14ac:dyDescent="0.2">
      <c r="A26" s="37"/>
      <c r="B26" s="34" t="s">
        <v>669</v>
      </c>
    </row>
    <row r="27" spans="1:9" s="34" customFormat="1" x14ac:dyDescent="0.2">
      <c r="A27" s="37"/>
    </row>
    <row r="28" spans="1:9" s="34" customFormat="1" ht="25.5" x14ac:dyDescent="0.2">
      <c r="A28" s="37"/>
      <c r="D28" s="79" t="str">
        <f>Update!$B$7</f>
        <v>Core Department &amp; Agencies</v>
      </c>
      <c r="E28" s="79" t="str">
        <f>Update!$B$8</f>
        <v>Departmental Group</v>
      </c>
      <c r="F28" s="105"/>
      <c r="G28" s="79" t="str">
        <f>Update!$B$7</f>
        <v>Core Department &amp; Agencies</v>
      </c>
      <c r="H28" s="79" t="str">
        <f>Update!$B$8</f>
        <v>Departmental Group</v>
      </c>
    </row>
    <row r="29" spans="1:9" s="34" customFormat="1" x14ac:dyDescent="0.2">
      <c r="A29" s="37"/>
      <c r="D29" s="40" t="str">
        <f>Update!$B$22</f>
        <v xml:space="preserve"> 31 March 2026</v>
      </c>
      <c r="E29" s="40" t="str">
        <f>Update!$B$22</f>
        <v xml:space="preserve"> 31 March 2026</v>
      </c>
      <c r="F29" s="39"/>
      <c r="G29" s="40" t="str">
        <f>Update!$B$24</f>
        <v xml:space="preserve"> 31 March 2025</v>
      </c>
      <c r="H29" s="40" t="str">
        <f>Update!$B$24</f>
        <v xml:space="preserve"> 31 March 2025</v>
      </c>
    </row>
    <row r="30" spans="1:9" s="34" customFormat="1" x14ac:dyDescent="0.2">
      <c r="A30" s="37"/>
      <c r="D30" s="39" t="s">
        <v>462</v>
      </c>
      <c r="E30" s="39" t="s">
        <v>462</v>
      </c>
      <c r="F30" s="39"/>
      <c r="G30" s="39" t="s">
        <v>462</v>
      </c>
      <c r="H30" s="39" t="s">
        <v>462</v>
      </c>
    </row>
    <row r="31" spans="1:9" s="34" customFormat="1" x14ac:dyDescent="0.2">
      <c r="A31" s="37"/>
      <c r="B31" s="34" t="s">
        <v>216</v>
      </c>
      <c r="D31" s="747">
        <f>SUMIF(MAP!$E$1751:$E$1754,$B31,MAP!$T$1751:$T$1754)</f>
        <v>0</v>
      </c>
      <c r="E31" s="747">
        <f>SUMIF(MAP!$E$1751:$E$1754,$B31,MAP!$N$1751:$N$1754)</f>
        <v>0</v>
      </c>
      <c r="F31" s="58"/>
      <c r="G31" s="768">
        <v>1500</v>
      </c>
      <c r="H31" s="768">
        <v>3303</v>
      </c>
    </row>
    <row r="32" spans="1:9" s="34" customFormat="1" x14ac:dyDescent="0.2">
      <c r="B32" s="34" t="s">
        <v>218</v>
      </c>
      <c r="D32" s="747">
        <f>SUMIF(MAP!$E$1751:$E$1754,$B32,MAP!$T$1751:$T$1754)</f>
        <v>0</v>
      </c>
      <c r="E32" s="747">
        <f>SUMIF(MAP!$E$1751:$E$1754,$B32,MAP!$N$1751:$N$1754)</f>
        <v>0</v>
      </c>
      <c r="F32" s="58"/>
      <c r="G32" s="768">
        <v>6500</v>
      </c>
      <c r="H32" s="768">
        <v>6500</v>
      </c>
    </row>
    <row r="33" spans="1:8" s="34" customFormat="1" x14ac:dyDescent="0.2">
      <c r="B33" s="34" t="s">
        <v>217</v>
      </c>
      <c r="D33" s="747">
        <f>SUMIF(MAP!$E$1751:$E$1754,$B33,MAP!$T$1751:$T$1754)</f>
        <v>0</v>
      </c>
      <c r="E33" s="747">
        <f>SUMIF(MAP!$E$1751:$E$1754,$B33,MAP!$N$1751:$N$1754)</f>
        <v>0</v>
      </c>
      <c r="F33" s="58"/>
      <c r="G33" s="768">
        <v>6100</v>
      </c>
      <c r="H33" s="768">
        <v>6100</v>
      </c>
    </row>
    <row r="34" spans="1:8" s="34" customFormat="1" ht="13.5" thickBot="1" x14ac:dyDescent="0.25">
      <c r="D34" s="54">
        <f>SUM(D31:D33)</f>
        <v>0</v>
      </c>
      <c r="E34" s="54">
        <f>SUM(E31:E33)</f>
        <v>0</v>
      </c>
      <c r="F34" s="58"/>
      <c r="G34" s="175">
        <f>SUM(G31:G33)</f>
        <v>14100</v>
      </c>
      <c r="H34" s="175">
        <f>SUM(H31:H33)</f>
        <v>15903</v>
      </c>
    </row>
    <row r="35" spans="1:8" x14ac:dyDescent="0.2">
      <c r="D35" s="204">
        <f>D34-MAP!T1754</f>
        <v>0</v>
      </c>
      <c r="E35" s="204">
        <f>E34-MAP!N1754</f>
        <v>0</v>
      </c>
    </row>
    <row r="38" spans="1:8" s="34" customFormat="1" x14ac:dyDescent="0.2">
      <c r="A38" s="37"/>
    </row>
    <row r="39" spans="1:8" s="34" customFormat="1" x14ac:dyDescent="0.2">
      <c r="A39" s="37"/>
    </row>
  </sheetData>
  <mergeCells count="2">
    <mergeCell ref="B22:I22"/>
    <mergeCell ref="B24:I24"/>
  </mergeCells>
  <pageMargins left="0.35433070866141736" right="0.47244094488188981" top="0.19685039370078741" bottom="0.19685039370078741" header="0.31496062992125984" footer="0.31496062992125984"/>
  <pageSetup paperSize="9" scale="9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rgb="FF00B0F0"/>
    <pageSetUpPr fitToPage="1"/>
  </sheetPr>
  <dimension ref="A1:G19"/>
  <sheetViews>
    <sheetView zoomScale="90" zoomScaleNormal="90" workbookViewId="0">
      <selection activeCell="G5" sqref="G4:G5"/>
    </sheetView>
  </sheetViews>
  <sheetFormatPr defaultColWidth="9.140625" defaultRowHeight="12.75" outlineLevelCol="1" x14ac:dyDescent="0.2"/>
  <cols>
    <col min="1" max="1" width="4.7109375" style="238" customWidth="1"/>
    <col min="2" max="2" width="55.140625" style="238" customWidth="1"/>
    <col min="3" max="4" width="15.42578125" style="238" customWidth="1"/>
    <col min="5" max="5" width="7.28515625" style="238" customWidth="1"/>
    <col min="6" max="7" width="15.42578125" style="238" customWidth="1" outlineLevel="1"/>
    <col min="8" max="16384" width="9.140625" style="238"/>
  </cols>
  <sheetData>
    <row r="1" spans="1:7" ht="14.65" customHeight="1" x14ac:dyDescent="0.2">
      <c r="B1" s="35" t="str">
        <f>Update!$B$6</f>
        <v>Department of Health</v>
      </c>
      <c r="C1" s="1143"/>
    </row>
    <row r="2" spans="1:7" ht="12.75" customHeight="1" x14ac:dyDescent="0.2">
      <c r="B2" s="35" t="str">
        <f>Update!$B$10</f>
        <v>Notes to the financial statements</v>
      </c>
      <c r="C2" s="240"/>
    </row>
    <row r="3" spans="1:7" ht="12.75" customHeight="1" x14ac:dyDescent="0.2">
      <c r="B3" s="35" t="str">
        <f>Update!$A$3</f>
        <v>2025-26</v>
      </c>
      <c r="C3" s="240"/>
    </row>
    <row r="4" spans="1:7" ht="12.75" customHeight="1" x14ac:dyDescent="0.2"/>
    <row r="5" spans="1:7" ht="12.75" customHeight="1" x14ac:dyDescent="0.2"/>
    <row r="6" spans="1:7" ht="12.75" customHeight="1" x14ac:dyDescent="0.2">
      <c r="A6" s="229">
        <f>SUMIF(Update!$B$33:$B$106,B6,Update!$A$33:$A$106)</f>
        <v>21</v>
      </c>
      <c r="B6" s="239" t="s">
        <v>849</v>
      </c>
    </row>
    <row r="7" spans="1:7" ht="12.75" customHeight="1" x14ac:dyDescent="0.2">
      <c r="B7" s="237"/>
    </row>
    <row r="8" spans="1:7" ht="39.75" customHeight="1" x14ac:dyDescent="0.2">
      <c r="B8" s="2125" t="s">
        <v>848</v>
      </c>
      <c r="C8" s="2125"/>
      <c r="D8" s="2125"/>
      <c r="E8" s="2125"/>
      <c r="F8" s="2125"/>
      <c r="G8" s="2125"/>
    </row>
    <row r="9" spans="1:7" ht="39.75" customHeight="1" x14ac:dyDescent="0.2"/>
    <row r="10" spans="1:7" ht="38.25" x14ac:dyDescent="0.2">
      <c r="C10" s="79" t="str">
        <f>Update!$B$7</f>
        <v>Core Department &amp; Agencies</v>
      </c>
      <c r="D10" s="201" t="str">
        <f>Update!$B$8</f>
        <v>Departmental Group</v>
      </c>
      <c r="E10" s="39"/>
      <c r="F10" s="79" t="str">
        <f>Update!$B$7</f>
        <v>Core Department &amp; Agencies</v>
      </c>
      <c r="G10" s="201" t="str">
        <f>Update!$B$8</f>
        <v>Departmental Group</v>
      </c>
    </row>
    <row r="11" spans="1:7" x14ac:dyDescent="0.2">
      <c r="C11" s="40" t="str">
        <f>Update!$B$22</f>
        <v xml:space="preserve"> 31 March 2026</v>
      </c>
      <c r="D11" s="40" t="str">
        <f>Update!$B$22</f>
        <v xml:space="preserve"> 31 March 2026</v>
      </c>
      <c r="E11" s="39"/>
      <c r="F11" s="40" t="str">
        <f>Update!$B$24</f>
        <v xml:space="preserve"> 31 March 2025</v>
      </c>
      <c r="G11" s="40" t="str">
        <f>Update!$B$24</f>
        <v xml:space="preserve"> 31 March 2025</v>
      </c>
    </row>
    <row r="12" spans="1:7" ht="12.75" customHeight="1" x14ac:dyDescent="0.2">
      <c r="C12" s="39" t="s">
        <v>462</v>
      </c>
      <c r="D12" s="39" t="s">
        <v>462</v>
      </c>
      <c r="E12" s="39"/>
      <c r="F12" s="39">
        <f>ROUND(SUMIF(MAP!$E$389:$E$406,$B12,MAP!$N$389:$N$406),0)</f>
        <v>0</v>
      </c>
      <c r="G12" s="39" t="s">
        <v>462</v>
      </c>
    </row>
    <row r="13" spans="1:7" ht="12.75" customHeight="1" x14ac:dyDescent="0.2">
      <c r="B13" s="238" t="s">
        <v>671</v>
      </c>
      <c r="C13" s="747">
        <f>SUMIF(MAP!$E$1760:$E$1765,$B13,MAP!$T$1760:$T$1765)</f>
        <v>0</v>
      </c>
      <c r="D13" s="747">
        <f>SUMIF(MAP!$E$1761:$E$1765,$B13,MAP!$N$1761:$N$1765)</f>
        <v>0</v>
      </c>
      <c r="E13" s="56"/>
      <c r="F13" s="768">
        <v>0</v>
      </c>
      <c r="G13" s="768">
        <v>41704</v>
      </c>
    </row>
    <row r="14" spans="1:7" x14ac:dyDescent="0.2">
      <c r="B14" s="238" t="s">
        <v>672</v>
      </c>
      <c r="C14" s="747">
        <f>SUMIF(MAP!$E$1760:$E$1765,$B14,MAP!$T$1760:$T$1765)</f>
        <v>0</v>
      </c>
      <c r="D14" s="747">
        <f>SUMIF(MAP!$E$1760:$E$1765,$B14,MAP!$N$1760:$N$1765)</f>
        <v>0</v>
      </c>
      <c r="E14" s="56"/>
      <c r="F14" s="768">
        <v>0</v>
      </c>
      <c r="G14" s="768">
        <v>0</v>
      </c>
    </row>
    <row r="15" spans="1:7" x14ac:dyDescent="0.2">
      <c r="B15" s="238" t="s">
        <v>181</v>
      </c>
      <c r="C15" s="747">
        <f>SUMIF(MAP!$E$1760:$E$1765,$B15,MAP!$T$1760:$T$1765)</f>
        <v>0</v>
      </c>
      <c r="D15" s="747">
        <f>SUMIF(MAP!$E$1760:$E$1765,$B15,MAP!$N$1760:$N$1765)</f>
        <v>0</v>
      </c>
      <c r="E15" s="34"/>
      <c r="F15" s="768">
        <v>0</v>
      </c>
      <c r="G15" s="768">
        <v>0</v>
      </c>
    </row>
    <row r="16" spans="1:7" ht="13.5" thickBot="1" x14ac:dyDescent="0.25">
      <c r="B16" s="238" t="s">
        <v>146</v>
      </c>
      <c r="C16" s="1113">
        <f>SUM(C13:C15)</f>
        <v>0</v>
      </c>
      <c r="D16" s="244">
        <f>SUM(D13:D15)</f>
        <v>0</v>
      </c>
      <c r="F16" s="244">
        <f>SUM(F13:F15)</f>
        <v>0</v>
      </c>
      <c r="G16" s="244">
        <f>SUM(G13:G15)</f>
        <v>41704</v>
      </c>
    </row>
    <row r="17" spans="3:6" ht="13.5" thickTop="1" x14ac:dyDescent="0.2">
      <c r="C17" s="204">
        <f>C16-MAP!T1765</f>
        <v>0</v>
      </c>
      <c r="D17" s="204">
        <f>D16-MAP!N1765</f>
        <v>0</v>
      </c>
    </row>
    <row r="19" spans="3:6" x14ac:dyDescent="0.2">
      <c r="F19" s="238">
        <f>ROUND(SUMIF(MAP!$E$389:$E$406,$B19,MAP!$N$389:$N$406),0)</f>
        <v>0</v>
      </c>
    </row>
  </sheetData>
  <mergeCells count="1">
    <mergeCell ref="B8:G8"/>
  </mergeCells>
  <pageMargins left="0.35433070866141736" right="0.47244094488188981" top="0.19685039370078741" bottom="0.19685039370078741"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tabColor rgb="FFFFFF00"/>
    <pageSetUpPr fitToPage="1"/>
  </sheetPr>
  <dimension ref="B1:J44"/>
  <sheetViews>
    <sheetView zoomScaleNormal="100" workbookViewId="0"/>
  </sheetViews>
  <sheetFormatPr defaultRowHeight="12.75" x14ac:dyDescent="0.2"/>
  <cols>
    <col min="1" max="1" width="3.5703125" style="34" customWidth="1"/>
    <col min="2" max="2" width="10.85546875" style="34" customWidth="1"/>
    <col min="3" max="3" width="40" style="34" customWidth="1"/>
    <col min="4" max="4" width="9.140625" style="34"/>
    <col min="5" max="5" width="13.5703125" style="34" customWidth="1"/>
    <col min="6" max="6" width="9.140625" style="34"/>
    <col min="7" max="7" width="13.5703125" style="34" hidden="1" customWidth="1"/>
    <col min="8" max="8" width="13.42578125" style="34" bestFit="1" customWidth="1"/>
    <col min="9" max="9" width="10.28515625" style="34" bestFit="1" customWidth="1"/>
    <col min="10" max="10" width="9.42578125" style="34" hidden="1" customWidth="1"/>
    <col min="11" max="256" width="9.140625" style="34"/>
    <col min="257" max="257" width="3.5703125" style="34" customWidth="1"/>
    <col min="258" max="258" width="10.85546875" style="34" customWidth="1"/>
    <col min="259" max="259" width="40" style="34" customWidth="1"/>
    <col min="260" max="260" width="9.140625" style="34"/>
    <col min="261" max="261" width="13.5703125" style="34" customWidth="1"/>
    <col min="262" max="262" width="9.140625" style="34"/>
    <col min="263" max="263" width="13.5703125" style="34" customWidth="1"/>
    <col min="264" max="264" width="13.42578125" style="34" bestFit="1" customWidth="1"/>
    <col min="265" max="265" width="10.28515625" style="34" bestFit="1" customWidth="1"/>
    <col min="266" max="266" width="9.42578125" style="34" bestFit="1" customWidth="1"/>
    <col min="267" max="512" width="9.140625" style="34"/>
    <col min="513" max="513" width="3.5703125" style="34" customWidth="1"/>
    <col min="514" max="514" width="10.85546875" style="34" customWidth="1"/>
    <col min="515" max="515" width="40" style="34" customWidth="1"/>
    <col min="516" max="516" width="9.140625" style="34"/>
    <col min="517" max="517" width="13.5703125" style="34" customWidth="1"/>
    <col min="518" max="518" width="9.140625" style="34"/>
    <col min="519" max="519" width="13.5703125" style="34" customWidth="1"/>
    <col min="520" max="520" width="13.42578125" style="34" bestFit="1" customWidth="1"/>
    <col min="521" max="521" width="10.28515625" style="34" bestFit="1" customWidth="1"/>
    <col min="522" max="522" width="9.42578125" style="34" bestFit="1" customWidth="1"/>
    <col min="523" max="768" width="9.140625" style="34"/>
    <col min="769" max="769" width="3.5703125" style="34" customWidth="1"/>
    <col min="770" max="770" width="10.85546875" style="34" customWidth="1"/>
    <col min="771" max="771" width="40" style="34" customWidth="1"/>
    <col min="772" max="772" width="9.140625" style="34"/>
    <col min="773" max="773" width="13.5703125" style="34" customWidth="1"/>
    <col min="774" max="774" width="9.140625" style="34"/>
    <col min="775" max="775" width="13.5703125" style="34" customWidth="1"/>
    <col min="776" max="776" width="13.42578125" style="34" bestFit="1" customWidth="1"/>
    <col min="777" max="777" width="10.28515625" style="34" bestFit="1" customWidth="1"/>
    <col min="778" max="778" width="9.42578125" style="34" bestFit="1" customWidth="1"/>
    <col min="779" max="1024" width="9.140625" style="34"/>
    <col min="1025" max="1025" width="3.5703125" style="34" customWidth="1"/>
    <col min="1026" max="1026" width="10.85546875" style="34" customWidth="1"/>
    <col min="1027" max="1027" width="40" style="34" customWidth="1"/>
    <col min="1028" max="1028" width="9.140625" style="34"/>
    <col min="1029" max="1029" width="13.5703125" style="34" customWidth="1"/>
    <col min="1030" max="1030" width="9.140625" style="34"/>
    <col min="1031" max="1031" width="13.5703125" style="34" customWidth="1"/>
    <col min="1032" max="1032" width="13.42578125" style="34" bestFit="1" customWidth="1"/>
    <col min="1033" max="1033" width="10.28515625" style="34" bestFit="1" customWidth="1"/>
    <col min="1034" max="1034" width="9.42578125" style="34" bestFit="1" customWidth="1"/>
    <col min="1035" max="1280" width="9.140625" style="34"/>
    <col min="1281" max="1281" width="3.5703125" style="34" customWidth="1"/>
    <col min="1282" max="1282" width="10.85546875" style="34" customWidth="1"/>
    <col min="1283" max="1283" width="40" style="34" customWidth="1"/>
    <col min="1284" max="1284" width="9.140625" style="34"/>
    <col min="1285" max="1285" width="13.5703125" style="34" customWidth="1"/>
    <col min="1286" max="1286" width="9.140625" style="34"/>
    <col min="1287" max="1287" width="13.5703125" style="34" customWidth="1"/>
    <col min="1288" max="1288" width="13.42578125" style="34" bestFit="1" customWidth="1"/>
    <col min="1289" max="1289" width="10.28515625" style="34" bestFit="1" customWidth="1"/>
    <col min="1290" max="1290" width="9.42578125" style="34" bestFit="1" customWidth="1"/>
    <col min="1291" max="1536" width="9.140625" style="34"/>
    <col min="1537" max="1537" width="3.5703125" style="34" customWidth="1"/>
    <col min="1538" max="1538" width="10.85546875" style="34" customWidth="1"/>
    <col min="1539" max="1539" width="40" style="34" customWidth="1"/>
    <col min="1540" max="1540" width="9.140625" style="34"/>
    <col min="1541" max="1541" width="13.5703125" style="34" customWidth="1"/>
    <col min="1542" max="1542" width="9.140625" style="34"/>
    <col min="1543" max="1543" width="13.5703125" style="34" customWidth="1"/>
    <col min="1544" max="1544" width="13.42578125" style="34" bestFit="1" customWidth="1"/>
    <col min="1545" max="1545" width="10.28515625" style="34" bestFit="1" customWidth="1"/>
    <col min="1546" max="1546" width="9.42578125" style="34" bestFit="1" customWidth="1"/>
    <col min="1547" max="1792" width="9.140625" style="34"/>
    <col min="1793" max="1793" width="3.5703125" style="34" customWidth="1"/>
    <col min="1794" max="1794" width="10.85546875" style="34" customWidth="1"/>
    <col min="1795" max="1795" width="40" style="34" customWidth="1"/>
    <col min="1796" max="1796" width="9.140625" style="34"/>
    <col min="1797" max="1797" width="13.5703125" style="34" customWidth="1"/>
    <col min="1798" max="1798" width="9.140625" style="34"/>
    <col min="1799" max="1799" width="13.5703125" style="34" customWidth="1"/>
    <col min="1800" max="1800" width="13.42578125" style="34" bestFit="1" customWidth="1"/>
    <col min="1801" max="1801" width="10.28515625" style="34" bestFit="1" customWidth="1"/>
    <col min="1802" max="1802" width="9.42578125" style="34" bestFit="1" customWidth="1"/>
    <col min="1803" max="2048" width="9.140625" style="34"/>
    <col min="2049" max="2049" width="3.5703125" style="34" customWidth="1"/>
    <col min="2050" max="2050" width="10.85546875" style="34" customWidth="1"/>
    <col min="2051" max="2051" width="40" style="34" customWidth="1"/>
    <col min="2052" max="2052" width="9.140625" style="34"/>
    <col min="2053" max="2053" width="13.5703125" style="34" customWidth="1"/>
    <col min="2054" max="2054" width="9.140625" style="34"/>
    <col min="2055" max="2055" width="13.5703125" style="34" customWidth="1"/>
    <col min="2056" max="2056" width="13.42578125" style="34" bestFit="1" customWidth="1"/>
    <col min="2057" max="2057" width="10.28515625" style="34" bestFit="1" customWidth="1"/>
    <col min="2058" max="2058" width="9.42578125" style="34" bestFit="1" customWidth="1"/>
    <col min="2059" max="2304" width="9.140625" style="34"/>
    <col min="2305" max="2305" width="3.5703125" style="34" customWidth="1"/>
    <col min="2306" max="2306" width="10.85546875" style="34" customWidth="1"/>
    <col min="2307" max="2307" width="40" style="34" customWidth="1"/>
    <col min="2308" max="2308" width="9.140625" style="34"/>
    <col min="2309" max="2309" width="13.5703125" style="34" customWidth="1"/>
    <col min="2310" max="2310" width="9.140625" style="34"/>
    <col min="2311" max="2311" width="13.5703125" style="34" customWidth="1"/>
    <col min="2312" max="2312" width="13.42578125" style="34" bestFit="1" customWidth="1"/>
    <col min="2313" max="2313" width="10.28515625" style="34" bestFit="1" customWidth="1"/>
    <col min="2314" max="2314" width="9.42578125" style="34" bestFit="1" customWidth="1"/>
    <col min="2315" max="2560" width="9.140625" style="34"/>
    <col min="2561" max="2561" width="3.5703125" style="34" customWidth="1"/>
    <col min="2562" max="2562" width="10.85546875" style="34" customWidth="1"/>
    <col min="2563" max="2563" width="40" style="34" customWidth="1"/>
    <col min="2564" max="2564" width="9.140625" style="34"/>
    <col min="2565" max="2565" width="13.5703125" style="34" customWidth="1"/>
    <col min="2566" max="2566" width="9.140625" style="34"/>
    <col min="2567" max="2567" width="13.5703125" style="34" customWidth="1"/>
    <col min="2568" max="2568" width="13.42578125" style="34" bestFit="1" customWidth="1"/>
    <col min="2569" max="2569" width="10.28515625" style="34" bestFit="1" customWidth="1"/>
    <col min="2570" max="2570" width="9.42578125" style="34" bestFit="1" customWidth="1"/>
    <col min="2571" max="2816" width="9.140625" style="34"/>
    <col min="2817" max="2817" width="3.5703125" style="34" customWidth="1"/>
    <col min="2818" max="2818" width="10.85546875" style="34" customWidth="1"/>
    <col min="2819" max="2819" width="40" style="34" customWidth="1"/>
    <col min="2820" max="2820" width="9.140625" style="34"/>
    <col min="2821" max="2821" width="13.5703125" style="34" customWidth="1"/>
    <col min="2822" max="2822" width="9.140625" style="34"/>
    <col min="2823" max="2823" width="13.5703125" style="34" customWidth="1"/>
    <col min="2824" max="2824" width="13.42578125" style="34" bestFit="1" customWidth="1"/>
    <col min="2825" max="2825" width="10.28515625" style="34" bestFit="1" customWidth="1"/>
    <col min="2826" max="2826" width="9.42578125" style="34" bestFit="1" customWidth="1"/>
    <col min="2827" max="3072" width="9.140625" style="34"/>
    <col min="3073" max="3073" width="3.5703125" style="34" customWidth="1"/>
    <col min="3074" max="3074" width="10.85546875" style="34" customWidth="1"/>
    <col min="3075" max="3075" width="40" style="34" customWidth="1"/>
    <col min="3076" max="3076" width="9.140625" style="34"/>
    <col min="3077" max="3077" width="13.5703125" style="34" customWidth="1"/>
    <col min="3078" max="3078" width="9.140625" style="34"/>
    <col min="3079" max="3079" width="13.5703125" style="34" customWidth="1"/>
    <col min="3080" max="3080" width="13.42578125" style="34" bestFit="1" customWidth="1"/>
    <col min="3081" max="3081" width="10.28515625" style="34" bestFit="1" customWidth="1"/>
    <col min="3082" max="3082" width="9.42578125" style="34" bestFit="1" customWidth="1"/>
    <col min="3083" max="3328" width="9.140625" style="34"/>
    <col min="3329" max="3329" width="3.5703125" style="34" customWidth="1"/>
    <col min="3330" max="3330" width="10.85546875" style="34" customWidth="1"/>
    <col min="3331" max="3331" width="40" style="34" customWidth="1"/>
    <col min="3332" max="3332" width="9.140625" style="34"/>
    <col min="3333" max="3333" width="13.5703125" style="34" customWidth="1"/>
    <col min="3334" max="3334" width="9.140625" style="34"/>
    <col min="3335" max="3335" width="13.5703125" style="34" customWidth="1"/>
    <col min="3336" max="3336" width="13.42578125" style="34" bestFit="1" customWidth="1"/>
    <col min="3337" max="3337" width="10.28515625" style="34" bestFit="1" customWidth="1"/>
    <col min="3338" max="3338" width="9.42578125" style="34" bestFit="1" customWidth="1"/>
    <col min="3339" max="3584" width="9.140625" style="34"/>
    <col min="3585" max="3585" width="3.5703125" style="34" customWidth="1"/>
    <col min="3586" max="3586" width="10.85546875" style="34" customWidth="1"/>
    <col min="3587" max="3587" width="40" style="34" customWidth="1"/>
    <col min="3588" max="3588" width="9.140625" style="34"/>
    <col min="3589" max="3589" width="13.5703125" style="34" customWidth="1"/>
    <col min="3590" max="3590" width="9.140625" style="34"/>
    <col min="3591" max="3591" width="13.5703125" style="34" customWidth="1"/>
    <col min="3592" max="3592" width="13.42578125" style="34" bestFit="1" customWidth="1"/>
    <col min="3593" max="3593" width="10.28515625" style="34" bestFit="1" customWidth="1"/>
    <col min="3594" max="3594" width="9.42578125" style="34" bestFit="1" customWidth="1"/>
    <col min="3595" max="3840" width="9.140625" style="34"/>
    <col min="3841" max="3841" width="3.5703125" style="34" customWidth="1"/>
    <col min="3842" max="3842" width="10.85546875" style="34" customWidth="1"/>
    <col min="3843" max="3843" width="40" style="34" customWidth="1"/>
    <col min="3844" max="3844" width="9.140625" style="34"/>
    <col min="3845" max="3845" width="13.5703125" style="34" customWidth="1"/>
    <col min="3846" max="3846" width="9.140625" style="34"/>
    <col min="3847" max="3847" width="13.5703125" style="34" customWidth="1"/>
    <col min="3848" max="3848" width="13.42578125" style="34" bestFit="1" customWidth="1"/>
    <col min="3849" max="3849" width="10.28515625" style="34" bestFit="1" customWidth="1"/>
    <col min="3850" max="3850" width="9.42578125" style="34" bestFit="1" customWidth="1"/>
    <col min="3851" max="4096" width="9.140625" style="34"/>
    <col min="4097" max="4097" width="3.5703125" style="34" customWidth="1"/>
    <col min="4098" max="4098" width="10.85546875" style="34" customWidth="1"/>
    <col min="4099" max="4099" width="40" style="34" customWidth="1"/>
    <col min="4100" max="4100" width="9.140625" style="34"/>
    <col min="4101" max="4101" width="13.5703125" style="34" customWidth="1"/>
    <col min="4102" max="4102" width="9.140625" style="34"/>
    <col min="4103" max="4103" width="13.5703125" style="34" customWidth="1"/>
    <col min="4104" max="4104" width="13.42578125" style="34" bestFit="1" customWidth="1"/>
    <col min="4105" max="4105" width="10.28515625" style="34" bestFit="1" customWidth="1"/>
    <col min="4106" max="4106" width="9.42578125" style="34" bestFit="1" customWidth="1"/>
    <col min="4107" max="4352" width="9.140625" style="34"/>
    <col min="4353" max="4353" width="3.5703125" style="34" customWidth="1"/>
    <col min="4354" max="4354" width="10.85546875" style="34" customWidth="1"/>
    <col min="4355" max="4355" width="40" style="34" customWidth="1"/>
    <col min="4356" max="4356" width="9.140625" style="34"/>
    <col min="4357" max="4357" width="13.5703125" style="34" customWidth="1"/>
    <col min="4358" max="4358" width="9.140625" style="34"/>
    <col min="4359" max="4359" width="13.5703125" style="34" customWidth="1"/>
    <col min="4360" max="4360" width="13.42578125" style="34" bestFit="1" customWidth="1"/>
    <col min="4361" max="4361" width="10.28515625" style="34" bestFit="1" customWidth="1"/>
    <col min="4362" max="4362" width="9.42578125" style="34" bestFit="1" customWidth="1"/>
    <col min="4363" max="4608" width="9.140625" style="34"/>
    <col min="4609" max="4609" width="3.5703125" style="34" customWidth="1"/>
    <col min="4610" max="4610" width="10.85546875" style="34" customWidth="1"/>
    <col min="4611" max="4611" width="40" style="34" customWidth="1"/>
    <col min="4612" max="4612" width="9.140625" style="34"/>
    <col min="4613" max="4613" width="13.5703125" style="34" customWidth="1"/>
    <col min="4614" max="4614" width="9.140625" style="34"/>
    <col min="4615" max="4615" width="13.5703125" style="34" customWidth="1"/>
    <col min="4616" max="4616" width="13.42578125" style="34" bestFit="1" customWidth="1"/>
    <col min="4617" max="4617" width="10.28515625" style="34" bestFit="1" customWidth="1"/>
    <col min="4618" max="4618" width="9.42578125" style="34" bestFit="1" customWidth="1"/>
    <col min="4619" max="4864" width="9.140625" style="34"/>
    <col min="4865" max="4865" width="3.5703125" style="34" customWidth="1"/>
    <col min="4866" max="4866" width="10.85546875" style="34" customWidth="1"/>
    <col min="4867" max="4867" width="40" style="34" customWidth="1"/>
    <col min="4868" max="4868" width="9.140625" style="34"/>
    <col min="4869" max="4869" width="13.5703125" style="34" customWidth="1"/>
    <col min="4870" max="4870" width="9.140625" style="34"/>
    <col min="4871" max="4871" width="13.5703125" style="34" customWidth="1"/>
    <col min="4872" max="4872" width="13.42578125" style="34" bestFit="1" customWidth="1"/>
    <col min="4873" max="4873" width="10.28515625" style="34" bestFit="1" customWidth="1"/>
    <col min="4874" max="4874" width="9.42578125" style="34" bestFit="1" customWidth="1"/>
    <col min="4875" max="5120" width="9.140625" style="34"/>
    <col min="5121" max="5121" width="3.5703125" style="34" customWidth="1"/>
    <col min="5122" max="5122" width="10.85546875" style="34" customWidth="1"/>
    <col min="5123" max="5123" width="40" style="34" customWidth="1"/>
    <col min="5124" max="5124" width="9.140625" style="34"/>
    <col min="5125" max="5125" width="13.5703125" style="34" customWidth="1"/>
    <col min="5126" max="5126" width="9.140625" style="34"/>
    <col min="5127" max="5127" width="13.5703125" style="34" customWidth="1"/>
    <col min="5128" max="5128" width="13.42578125" style="34" bestFit="1" customWidth="1"/>
    <col min="5129" max="5129" width="10.28515625" style="34" bestFit="1" customWidth="1"/>
    <col min="5130" max="5130" width="9.42578125" style="34" bestFit="1" customWidth="1"/>
    <col min="5131" max="5376" width="9.140625" style="34"/>
    <col min="5377" max="5377" width="3.5703125" style="34" customWidth="1"/>
    <col min="5378" max="5378" width="10.85546875" style="34" customWidth="1"/>
    <col min="5379" max="5379" width="40" style="34" customWidth="1"/>
    <col min="5380" max="5380" width="9.140625" style="34"/>
    <col min="5381" max="5381" width="13.5703125" style="34" customWidth="1"/>
    <col min="5382" max="5382" width="9.140625" style="34"/>
    <col min="5383" max="5383" width="13.5703125" style="34" customWidth="1"/>
    <col min="5384" max="5384" width="13.42578125" style="34" bestFit="1" customWidth="1"/>
    <col min="5385" max="5385" width="10.28515625" style="34" bestFit="1" customWidth="1"/>
    <col min="5386" max="5386" width="9.42578125" style="34" bestFit="1" customWidth="1"/>
    <col min="5387" max="5632" width="9.140625" style="34"/>
    <col min="5633" max="5633" width="3.5703125" style="34" customWidth="1"/>
    <col min="5634" max="5634" width="10.85546875" style="34" customWidth="1"/>
    <col min="5635" max="5635" width="40" style="34" customWidth="1"/>
    <col min="5636" max="5636" width="9.140625" style="34"/>
    <col min="5637" max="5637" width="13.5703125" style="34" customWidth="1"/>
    <col min="5638" max="5638" width="9.140625" style="34"/>
    <col min="5639" max="5639" width="13.5703125" style="34" customWidth="1"/>
    <col min="5640" max="5640" width="13.42578125" style="34" bestFit="1" customWidth="1"/>
    <col min="5641" max="5641" width="10.28515625" style="34" bestFit="1" customWidth="1"/>
    <col min="5642" max="5642" width="9.42578125" style="34" bestFit="1" customWidth="1"/>
    <col min="5643" max="5888" width="9.140625" style="34"/>
    <col min="5889" max="5889" width="3.5703125" style="34" customWidth="1"/>
    <col min="5890" max="5890" width="10.85546875" style="34" customWidth="1"/>
    <col min="5891" max="5891" width="40" style="34" customWidth="1"/>
    <col min="5892" max="5892" width="9.140625" style="34"/>
    <col min="5893" max="5893" width="13.5703125" style="34" customWidth="1"/>
    <col min="5894" max="5894" width="9.140625" style="34"/>
    <col min="5895" max="5895" width="13.5703125" style="34" customWidth="1"/>
    <col min="5896" max="5896" width="13.42578125" style="34" bestFit="1" customWidth="1"/>
    <col min="5897" max="5897" width="10.28515625" style="34" bestFit="1" customWidth="1"/>
    <col min="5898" max="5898" width="9.42578125" style="34" bestFit="1" customWidth="1"/>
    <col min="5899" max="6144" width="9.140625" style="34"/>
    <col min="6145" max="6145" width="3.5703125" style="34" customWidth="1"/>
    <col min="6146" max="6146" width="10.85546875" style="34" customWidth="1"/>
    <col min="6147" max="6147" width="40" style="34" customWidth="1"/>
    <col min="6148" max="6148" width="9.140625" style="34"/>
    <col min="6149" max="6149" width="13.5703125" style="34" customWidth="1"/>
    <col min="6150" max="6150" width="9.140625" style="34"/>
    <col min="6151" max="6151" width="13.5703125" style="34" customWidth="1"/>
    <col min="6152" max="6152" width="13.42578125" style="34" bestFit="1" customWidth="1"/>
    <col min="6153" max="6153" width="10.28515625" style="34" bestFit="1" customWidth="1"/>
    <col min="6154" max="6154" width="9.42578125" style="34" bestFit="1" customWidth="1"/>
    <col min="6155" max="6400" width="9.140625" style="34"/>
    <col min="6401" max="6401" width="3.5703125" style="34" customWidth="1"/>
    <col min="6402" max="6402" width="10.85546875" style="34" customWidth="1"/>
    <col min="6403" max="6403" width="40" style="34" customWidth="1"/>
    <col min="6404" max="6404" width="9.140625" style="34"/>
    <col min="6405" max="6405" width="13.5703125" style="34" customWidth="1"/>
    <col min="6406" max="6406" width="9.140625" style="34"/>
    <col min="6407" max="6407" width="13.5703125" style="34" customWidth="1"/>
    <col min="6408" max="6408" width="13.42578125" style="34" bestFit="1" customWidth="1"/>
    <col min="6409" max="6409" width="10.28515625" style="34" bestFit="1" customWidth="1"/>
    <col min="6410" max="6410" width="9.42578125" style="34" bestFit="1" customWidth="1"/>
    <col min="6411" max="6656" width="9.140625" style="34"/>
    <col min="6657" max="6657" width="3.5703125" style="34" customWidth="1"/>
    <col min="6658" max="6658" width="10.85546875" style="34" customWidth="1"/>
    <col min="6659" max="6659" width="40" style="34" customWidth="1"/>
    <col min="6660" max="6660" width="9.140625" style="34"/>
    <col min="6661" max="6661" width="13.5703125" style="34" customWidth="1"/>
    <col min="6662" max="6662" width="9.140625" style="34"/>
    <col min="6663" max="6663" width="13.5703125" style="34" customWidth="1"/>
    <col min="6664" max="6664" width="13.42578125" style="34" bestFit="1" customWidth="1"/>
    <col min="6665" max="6665" width="10.28515625" style="34" bestFit="1" customWidth="1"/>
    <col min="6666" max="6666" width="9.42578125" style="34" bestFit="1" customWidth="1"/>
    <col min="6667" max="6912" width="9.140625" style="34"/>
    <col min="6913" max="6913" width="3.5703125" style="34" customWidth="1"/>
    <col min="6914" max="6914" width="10.85546875" style="34" customWidth="1"/>
    <col min="6915" max="6915" width="40" style="34" customWidth="1"/>
    <col min="6916" max="6916" width="9.140625" style="34"/>
    <col min="6917" max="6917" width="13.5703125" style="34" customWidth="1"/>
    <col min="6918" max="6918" width="9.140625" style="34"/>
    <col min="6919" max="6919" width="13.5703125" style="34" customWidth="1"/>
    <col min="6920" max="6920" width="13.42578125" style="34" bestFit="1" customWidth="1"/>
    <col min="6921" max="6921" width="10.28515625" style="34" bestFit="1" customWidth="1"/>
    <col min="6922" max="6922" width="9.42578125" style="34" bestFit="1" customWidth="1"/>
    <col min="6923" max="7168" width="9.140625" style="34"/>
    <col min="7169" max="7169" width="3.5703125" style="34" customWidth="1"/>
    <col min="7170" max="7170" width="10.85546875" style="34" customWidth="1"/>
    <col min="7171" max="7171" width="40" style="34" customWidth="1"/>
    <col min="7172" max="7172" width="9.140625" style="34"/>
    <col min="7173" max="7173" width="13.5703125" style="34" customWidth="1"/>
    <col min="7174" max="7174" width="9.140625" style="34"/>
    <col min="7175" max="7175" width="13.5703125" style="34" customWidth="1"/>
    <col min="7176" max="7176" width="13.42578125" style="34" bestFit="1" customWidth="1"/>
    <col min="7177" max="7177" width="10.28515625" style="34" bestFit="1" customWidth="1"/>
    <col min="7178" max="7178" width="9.42578125" style="34" bestFit="1" customWidth="1"/>
    <col min="7179" max="7424" width="9.140625" style="34"/>
    <col min="7425" max="7425" width="3.5703125" style="34" customWidth="1"/>
    <col min="7426" max="7426" width="10.85546875" style="34" customWidth="1"/>
    <col min="7427" max="7427" width="40" style="34" customWidth="1"/>
    <col min="7428" max="7428" width="9.140625" style="34"/>
    <col min="7429" max="7429" width="13.5703125" style="34" customWidth="1"/>
    <col min="7430" max="7430" width="9.140625" style="34"/>
    <col min="7431" max="7431" width="13.5703125" style="34" customWidth="1"/>
    <col min="7432" max="7432" width="13.42578125" style="34" bestFit="1" customWidth="1"/>
    <col min="7433" max="7433" width="10.28515625" style="34" bestFit="1" customWidth="1"/>
    <col min="7434" max="7434" width="9.42578125" style="34" bestFit="1" customWidth="1"/>
    <col min="7435" max="7680" width="9.140625" style="34"/>
    <col min="7681" max="7681" width="3.5703125" style="34" customWidth="1"/>
    <col min="7682" max="7682" width="10.85546875" style="34" customWidth="1"/>
    <col min="7683" max="7683" width="40" style="34" customWidth="1"/>
    <col min="7684" max="7684" width="9.140625" style="34"/>
    <col min="7685" max="7685" width="13.5703125" style="34" customWidth="1"/>
    <col min="7686" max="7686" width="9.140625" style="34"/>
    <col min="7687" max="7687" width="13.5703125" style="34" customWidth="1"/>
    <col min="7688" max="7688" width="13.42578125" style="34" bestFit="1" customWidth="1"/>
    <col min="7689" max="7689" width="10.28515625" style="34" bestFit="1" customWidth="1"/>
    <col min="7690" max="7690" width="9.42578125" style="34" bestFit="1" customWidth="1"/>
    <col min="7691" max="7936" width="9.140625" style="34"/>
    <col min="7937" max="7937" width="3.5703125" style="34" customWidth="1"/>
    <col min="7938" max="7938" width="10.85546875" style="34" customWidth="1"/>
    <col min="7939" max="7939" width="40" style="34" customWidth="1"/>
    <col min="7940" max="7940" width="9.140625" style="34"/>
    <col min="7941" max="7941" width="13.5703125" style="34" customWidth="1"/>
    <col min="7942" max="7942" width="9.140625" style="34"/>
    <col min="7943" max="7943" width="13.5703125" style="34" customWidth="1"/>
    <col min="7944" max="7944" width="13.42578125" style="34" bestFit="1" customWidth="1"/>
    <col min="7945" max="7945" width="10.28515625" style="34" bestFit="1" customWidth="1"/>
    <col min="7946" max="7946" width="9.42578125" style="34" bestFit="1" customWidth="1"/>
    <col min="7947" max="8192" width="9.140625" style="34"/>
    <col min="8193" max="8193" width="3.5703125" style="34" customWidth="1"/>
    <col min="8194" max="8194" width="10.85546875" style="34" customWidth="1"/>
    <col min="8195" max="8195" width="40" style="34" customWidth="1"/>
    <col min="8196" max="8196" width="9.140625" style="34"/>
    <col min="8197" max="8197" width="13.5703125" style="34" customWidth="1"/>
    <col min="8198" max="8198" width="9.140625" style="34"/>
    <col min="8199" max="8199" width="13.5703125" style="34" customWidth="1"/>
    <col min="8200" max="8200" width="13.42578125" style="34" bestFit="1" customWidth="1"/>
    <col min="8201" max="8201" width="10.28515625" style="34" bestFit="1" customWidth="1"/>
    <col min="8202" max="8202" width="9.42578125" style="34" bestFit="1" customWidth="1"/>
    <col min="8203" max="8448" width="9.140625" style="34"/>
    <col min="8449" max="8449" width="3.5703125" style="34" customWidth="1"/>
    <col min="8450" max="8450" width="10.85546875" style="34" customWidth="1"/>
    <col min="8451" max="8451" width="40" style="34" customWidth="1"/>
    <col min="8452" max="8452" width="9.140625" style="34"/>
    <col min="8453" max="8453" width="13.5703125" style="34" customWidth="1"/>
    <col min="8454" max="8454" width="9.140625" style="34"/>
    <col min="8455" max="8455" width="13.5703125" style="34" customWidth="1"/>
    <col min="8456" max="8456" width="13.42578125" style="34" bestFit="1" customWidth="1"/>
    <col min="8457" max="8457" width="10.28515625" style="34" bestFit="1" customWidth="1"/>
    <col min="8458" max="8458" width="9.42578125" style="34" bestFit="1" customWidth="1"/>
    <col min="8459" max="8704" width="9.140625" style="34"/>
    <col min="8705" max="8705" width="3.5703125" style="34" customWidth="1"/>
    <col min="8706" max="8706" width="10.85546875" style="34" customWidth="1"/>
    <col min="8707" max="8707" width="40" style="34" customWidth="1"/>
    <col min="8708" max="8708" width="9.140625" style="34"/>
    <col min="8709" max="8709" width="13.5703125" style="34" customWidth="1"/>
    <col min="8710" max="8710" width="9.140625" style="34"/>
    <col min="8711" max="8711" width="13.5703125" style="34" customWidth="1"/>
    <col min="8712" max="8712" width="13.42578125" style="34" bestFit="1" customWidth="1"/>
    <col min="8713" max="8713" width="10.28515625" style="34" bestFit="1" customWidth="1"/>
    <col min="8714" max="8714" width="9.42578125" style="34" bestFit="1" customWidth="1"/>
    <col min="8715" max="8960" width="9.140625" style="34"/>
    <col min="8961" max="8961" width="3.5703125" style="34" customWidth="1"/>
    <col min="8962" max="8962" width="10.85546875" style="34" customWidth="1"/>
    <col min="8963" max="8963" width="40" style="34" customWidth="1"/>
    <col min="8964" max="8964" width="9.140625" style="34"/>
    <col min="8965" max="8965" width="13.5703125" style="34" customWidth="1"/>
    <col min="8966" max="8966" width="9.140625" style="34"/>
    <col min="8967" max="8967" width="13.5703125" style="34" customWidth="1"/>
    <col min="8968" max="8968" width="13.42578125" style="34" bestFit="1" customWidth="1"/>
    <col min="8969" max="8969" width="10.28515625" style="34" bestFit="1" customWidth="1"/>
    <col min="8970" max="8970" width="9.42578125" style="34" bestFit="1" customWidth="1"/>
    <col min="8971" max="9216" width="9.140625" style="34"/>
    <col min="9217" max="9217" width="3.5703125" style="34" customWidth="1"/>
    <col min="9218" max="9218" width="10.85546875" style="34" customWidth="1"/>
    <col min="9219" max="9219" width="40" style="34" customWidth="1"/>
    <col min="9220" max="9220" width="9.140625" style="34"/>
    <col min="9221" max="9221" width="13.5703125" style="34" customWidth="1"/>
    <col min="9222" max="9222" width="9.140625" style="34"/>
    <col min="9223" max="9223" width="13.5703125" style="34" customWidth="1"/>
    <col min="9224" max="9224" width="13.42578125" style="34" bestFit="1" customWidth="1"/>
    <col min="9225" max="9225" width="10.28515625" style="34" bestFit="1" customWidth="1"/>
    <col min="9226" max="9226" width="9.42578125" style="34" bestFit="1" customWidth="1"/>
    <col min="9227" max="9472" width="9.140625" style="34"/>
    <col min="9473" max="9473" width="3.5703125" style="34" customWidth="1"/>
    <col min="9474" max="9474" width="10.85546875" style="34" customWidth="1"/>
    <col min="9475" max="9475" width="40" style="34" customWidth="1"/>
    <col min="9476" max="9476" width="9.140625" style="34"/>
    <col min="9477" max="9477" width="13.5703125" style="34" customWidth="1"/>
    <col min="9478" max="9478" width="9.140625" style="34"/>
    <col min="9479" max="9479" width="13.5703125" style="34" customWidth="1"/>
    <col min="9480" max="9480" width="13.42578125" style="34" bestFit="1" customWidth="1"/>
    <col min="9481" max="9481" width="10.28515625" style="34" bestFit="1" customWidth="1"/>
    <col min="9482" max="9482" width="9.42578125" style="34" bestFit="1" customWidth="1"/>
    <col min="9483" max="9728" width="9.140625" style="34"/>
    <col min="9729" max="9729" width="3.5703125" style="34" customWidth="1"/>
    <col min="9730" max="9730" width="10.85546875" style="34" customWidth="1"/>
    <col min="9731" max="9731" width="40" style="34" customWidth="1"/>
    <col min="9732" max="9732" width="9.140625" style="34"/>
    <col min="9733" max="9733" width="13.5703125" style="34" customWidth="1"/>
    <col min="9734" max="9734" width="9.140625" style="34"/>
    <col min="9735" max="9735" width="13.5703125" style="34" customWidth="1"/>
    <col min="9736" max="9736" width="13.42578125" style="34" bestFit="1" customWidth="1"/>
    <col min="9737" max="9737" width="10.28515625" style="34" bestFit="1" customWidth="1"/>
    <col min="9738" max="9738" width="9.42578125" style="34" bestFit="1" customWidth="1"/>
    <col min="9739" max="9984" width="9.140625" style="34"/>
    <col min="9985" max="9985" width="3.5703125" style="34" customWidth="1"/>
    <col min="9986" max="9986" width="10.85546875" style="34" customWidth="1"/>
    <col min="9987" max="9987" width="40" style="34" customWidth="1"/>
    <col min="9988" max="9988" width="9.140625" style="34"/>
    <col min="9989" max="9989" width="13.5703125" style="34" customWidth="1"/>
    <col min="9990" max="9990" width="9.140625" style="34"/>
    <col min="9991" max="9991" width="13.5703125" style="34" customWidth="1"/>
    <col min="9992" max="9992" width="13.42578125" style="34" bestFit="1" customWidth="1"/>
    <col min="9993" max="9993" width="10.28515625" style="34" bestFit="1" customWidth="1"/>
    <col min="9994" max="9994" width="9.42578125" style="34" bestFit="1" customWidth="1"/>
    <col min="9995" max="10240" width="9.140625" style="34"/>
    <col min="10241" max="10241" width="3.5703125" style="34" customWidth="1"/>
    <col min="10242" max="10242" width="10.85546875" style="34" customWidth="1"/>
    <col min="10243" max="10243" width="40" style="34" customWidth="1"/>
    <col min="10244" max="10244" width="9.140625" style="34"/>
    <col min="10245" max="10245" width="13.5703125" style="34" customWidth="1"/>
    <col min="10246" max="10246" width="9.140625" style="34"/>
    <col min="10247" max="10247" width="13.5703125" style="34" customWidth="1"/>
    <col min="10248" max="10248" width="13.42578125" style="34" bestFit="1" customWidth="1"/>
    <col min="10249" max="10249" width="10.28515625" style="34" bestFit="1" customWidth="1"/>
    <col min="10250" max="10250" width="9.42578125" style="34" bestFit="1" customWidth="1"/>
    <col min="10251" max="10496" width="9.140625" style="34"/>
    <col min="10497" max="10497" width="3.5703125" style="34" customWidth="1"/>
    <col min="10498" max="10498" width="10.85546875" style="34" customWidth="1"/>
    <col min="10499" max="10499" width="40" style="34" customWidth="1"/>
    <col min="10500" max="10500" width="9.140625" style="34"/>
    <col min="10501" max="10501" width="13.5703125" style="34" customWidth="1"/>
    <col min="10502" max="10502" width="9.140625" style="34"/>
    <col min="10503" max="10503" width="13.5703125" style="34" customWidth="1"/>
    <col min="10504" max="10504" width="13.42578125" style="34" bestFit="1" customWidth="1"/>
    <col min="10505" max="10505" width="10.28515625" style="34" bestFit="1" customWidth="1"/>
    <col min="10506" max="10506" width="9.42578125" style="34" bestFit="1" customWidth="1"/>
    <col min="10507" max="10752" width="9.140625" style="34"/>
    <col min="10753" max="10753" width="3.5703125" style="34" customWidth="1"/>
    <col min="10754" max="10754" width="10.85546875" style="34" customWidth="1"/>
    <col min="10755" max="10755" width="40" style="34" customWidth="1"/>
    <col min="10756" max="10756" width="9.140625" style="34"/>
    <col min="10757" max="10757" width="13.5703125" style="34" customWidth="1"/>
    <col min="10758" max="10758" width="9.140625" style="34"/>
    <col min="10759" max="10759" width="13.5703125" style="34" customWidth="1"/>
    <col min="10760" max="10760" width="13.42578125" style="34" bestFit="1" customWidth="1"/>
    <col min="10761" max="10761" width="10.28515625" style="34" bestFit="1" customWidth="1"/>
    <col min="10762" max="10762" width="9.42578125" style="34" bestFit="1" customWidth="1"/>
    <col min="10763" max="11008" width="9.140625" style="34"/>
    <col min="11009" max="11009" width="3.5703125" style="34" customWidth="1"/>
    <col min="11010" max="11010" width="10.85546875" style="34" customWidth="1"/>
    <col min="11011" max="11011" width="40" style="34" customWidth="1"/>
    <col min="11012" max="11012" width="9.140625" style="34"/>
    <col min="11013" max="11013" width="13.5703125" style="34" customWidth="1"/>
    <col min="11014" max="11014" width="9.140625" style="34"/>
    <col min="11015" max="11015" width="13.5703125" style="34" customWidth="1"/>
    <col min="11016" max="11016" width="13.42578125" style="34" bestFit="1" customWidth="1"/>
    <col min="11017" max="11017" width="10.28515625" style="34" bestFit="1" customWidth="1"/>
    <col min="11018" max="11018" width="9.42578125" style="34" bestFit="1" customWidth="1"/>
    <col min="11019" max="11264" width="9.140625" style="34"/>
    <col min="11265" max="11265" width="3.5703125" style="34" customWidth="1"/>
    <col min="11266" max="11266" width="10.85546875" style="34" customWidth="1"/>
    <col min="11267" max="11267" width="40" style="34" customWidth="1"/>
    <col min="11268" max="11268" width="9.140625" style="34"/>
    <col min="11269" max="11269" width="13.5703125" style="34" customWidth="1"/>
    <col min="11270" max="11270" width="9.140625" style="34"/>
    <col min="11271" max="11271" width="13.5703125" style="34" customWidth="1"/>
    <col min="11272" max="11272" width="13.42578125" style="34" bestFit="1" customWidth="1"/>
    <col min="11273" max="11273" width="10.28515625" style="34" bestFit="1" customWidth="1"/>
    <col min="11274" max="11274" width="9.42578125" style="34" bestFit="1" customWidth="1"/>
    <col min="11275" max="11520" width="9.140625" style="34"/>
    <col min="11521" max="11521" width="3.5703125" style="34" customWidth="1"/>
    <col min="11522" max="11522" width="10.85546875" style="34" customWidth="1"/>
    <col min="11523" max="11523" width="40" style="34" customWidth="1"/>
    <col min="11524" max="11524" width="9.140625" style="34"/>
    <col min="11525" max="11525" width="13.5703125" style="34" customWidth="1"/>
    <col min="11526" max="11526" width="9.140625" style="34"/>
    <col min="11527" max="11527" width="13.5703125" style="34" customWidth="1"/>
    <col min="11528" max="11528" width="13.42578125" style="34" bestFit="1" customWidth="1"/>
    <col min="11529" max="11529" width="10.28515625" style="34" bestFit="1" customWidth="1"/>
    <col min="11530" max="11530" width="9.42578125" style="34" bestFit="1" customWidth="1"/>
    <col min="11531" max="11776" width="9.140625" style="34"/>
    <col min="11777" max="11777" width="3.5703125" style="34" customWidth="1"/>
    <col min="11778" max="11778" width="10.85546875" style="34" customWidth="1"/>
    <col min="11779" max="11779" width="40" style="34" customWidth="1"/>
    <col min="11780" max="11780" width="9.140625" style="34"/>
    <col min="11781" max="11781" width="13.5703125" style="34" customWidth="1"/>
    <col min="11782" max="11782" width="9.140625" style="34"/>
    <col min="11783" max="11783" width="13.5703125" style="34" customWidth="1"/>
    <col min="11784" max="11784" width="13.42578125" style="34" bestFit="1" customWidth="1"/>
    <col min="11785" max="11785" width="10.28515625" style="34" bestFit="1" customWidth="1"/>
    <col min="11786" max="11786" width="9.42578125" style="34" bestFit="1" customWidth="1"/>
    <col min="11787" max="12032" width="9.140625" style="34"/>
    <col min="12033" max="12033" width="3.5703125" style="34" customWidth="1"/>
    <col min="12034" max="12034" width="10.85546875" style="34" customWidth="1"/>
    <col min="12035" max="12035" width="40" style="34" customWidth="1"/>
    <col min="12036" max="12036" width="9.140625" style="34"/>
    <col min="12037" max="12037" width="13.5703125" style="34" customWidth="1"/>
    <col min="12038" max="12038" width="9.140625" style="34"/>
    <col min="12039" max="12039" width="13.5703125" style="34" customWidth="1"/>
    <col min="12040" max="12040" width="13.42578125" style="34" bestFit="1" customWidth="1"/>
    <col min="12041" max="12041" width="10.28515625" style="34" bestFit="1" customWidth="1"/>
    <col min="12042" max="12042" width="9.42578125" style="34" bestFit="1" customWidth="1"/>
    <col min="12043" max="12288" width="9.140625" style="34"/>
    <col min="12289" max="12289" width="3.5703125" style="34" customWidth="1"/>
    <col min="12290" max="12290" width="10.85546875" style="34" customWidth="1"/>
    <col min="12291" max="12291" width="40" style="34" customWidth="1"/>
    <col min="12292" max="12292" width="9.140625" style="34"/>
    <col min="12293" max="12293" width="13.5703125" style="34" customWidth="1"/>
    <col min="12294" max="12294" width="9.140625" style="34"/>
    <col min="12295" max="12295" width="13.5703125" style="34" customWidth="1"/>
    <col min="12296" max="12296" width="13.42578125" style="34" bestFit="1" customWidth="1"/>
    <col min="12297" max="12297" width="10.28515625" style="34" bestFit="1" customWidth="1"/>
    <col min="12298" max="12298" width="9.42578125" style="34" bestFit="1" customWidth="1"/>
    <col min="12299" max="12544" width="9.140625" style="34"/>
    <col min="12545" max="12545" width="3.5703125" style="34" customWidth="1"/>
    <col min="12546" max="12546" width="10.85546875" style="34" customWidth="1"/>
    <col min="12547" max="12547" width="40" style="34" customWidth="1"/>
    <col min="12548" max="12548" width="9.140625" style="34"/>
    <col min="12549" max="12549" width="13.5703125" style="34" customWidth="1"/>
    <col min="12550" max="12550" width="9.140625" style="34"/>
    <col min="12551" max="12551" width="13.5703125" style="34" customWidth="1"/>
    <col min="12552" max="12552" width="13.42578125" style="34" bestFit="1" customWidth="1"/>
    <col min="12553" max="12553" width="10.28515625" style="34" bestFit="1" customWidth="1"/>
    <col min="12554" max="12554" width="9.42578125" style="34" bestFit="1" customWidth="1"/>
    <col min="12555" max="12800" width="9.140625" style="34"/>
    <col min="12801" max="12801" width="3.5703125" style="34" customWidth="1"/>
    <col min="12802" max="12802" width="10.85546875" style="34" customWidth="1"/>
    <col min="12803" max="12803" width="40" style="34" customWidth="1"/>
    <col min="12804" max="12804" width="9.140625" style="34"/>
    <col min="12805" max="12805" width="13.5703125" style="34" customWidth="1"/>
    <col min="12806" max="12806" width="9.140625" style="34"/>
    <col min="12807" max="12807" width="13.5703125" style="34" customWidth="1"/>
    <col min="12808" max="12808" width="13.42578125" style="34" bestFit="1" customWidth="1"/>
    <col min="12809" max="12809" width="10.28515625" style="34" bestFit="1" customWidth="1"/>
    <col min="12810" max="12810" width="9.42578125" style="34" bestFit="1" customWidth="1"/>
    <col min="12811" max="13056" width="9.140625" style="34"/>
    <col min="13057" max="13057" width="3.5703125" style="34" customWidth="1"/>
    <col min="13058" max="13058" width="10.85546875" style="34" customWidth="1"/>
    <col min="13059" max="13059" width="40" style="34" customWidth="1"/>
    <col min="13060" max="13060" width="9.140625" style="34"/>
    <col min="13061" max="13061" width="13.5703125" style="34" customWidth="1"/>
    <col min="13062" max="13062" width="9.140625" style="34"/>
    <col min="13063" max="13063" width="13.5703125" style="34" customWidth="1"/>
    <col min="13064" max="13064" width="13.42578125" style="34" bestFit="1" customWidth="1"/>
    <col min="13065" max="13065" width="10.28515625" style="34" bestFit="1" customWidth="1"/>
    <col min="13066" max="13066" width="9.42578125" style="34" bestFit="1" customWidth="1"/>
    <col min="13067" max="13312" width="9.140625" style="34"/>
    <col min="13313" max="13313" width="3.5703125" style="34" customWidth="1"/>
    <col min="13314" max="13314" width="10.85546875" style="34" customWidth="1"/>
    <col min="13315" max="13315" width="40" style="34" customWidth="1"/>
    <col min="13316" max="13316" width="9.140625" style="34"/>
    <col min="13317" max="13317" width="13.5703125" style="34" customWidth="1"/>
    <col min="13318" max="13318" width="9.140625" style="34"/>
    <col min="13319" max="13319" width="13.5703125" style="34" customWidth="1"/>
    <col min="13320" max="13320" width="13.42578125" style="34" bestFit="1" customWidth="1"/>
    <col min="13321" max="13321" width="10.28515625" style="34" bestFit="1" customWidth="1"/>
    <col min="13322" max="13322" width="9.42578125" style="34" bestFit="1" customWidth="1"/>
    <col min="13323" max="13568" width="9.140625" style="34"/>
    <col min="13569" max="13569" width="3.5703125" style="34" customWidth="1"/>
    <col min="13570" max="13570" width="10.85546875" style="34" customWidth="1"/>
    <col min="13571" max="13571" width="40" style="34" customWidth="1"/>
    <col min="13572" max="13572" width="9.140625" style="34"/>
    <col min="13573" max="13573" width="13.5703125" style="34" customWidth="1"/>
    <col min="13574" max="13574" width="9.140625" style="34"/>
    <col min="13575" max="13575" width="13.5703125" style="34" customWidth="1"/>
    <col min="13576" max="13576" width="13.42578125" style="34" bestFit="1" customWidth="1"/>
    <col min="13577" max="13577" width="10.28515625" style="34" bestFit="1" customWidth="1"/>
    <col min="13578" max="13578" width="9.42578125" style="34" bestFit="1" customWidth="1"/>
    <col min="13579" max="13824" width="9.140625" style="34"/>
    <col min="13825" max="13825" width="3.5703125" style="34" customWidth="1"/>
    <col min="13826" max="13826" width="10.85546875" style="34" customWidth="1"/>
    <col min="13827" max="13827" width="40" style="34" customWidth="1"/>
    <col min="13828" max="13828" width="9.140625" style="34"/>
    <col min="13829" max="13829" width="13.5703125" style="34" customWidth="1"/>
    <col min="13830" max="13830" width="9.140625" style="34"/>
    <col min="13831" max="13831" width="13.5703125" style="34" customWidth="1"/>
    <col min="13832" max="13832" width="13.42578125" style="34" bestFit="1" customWidth="1"/>
    <col min="13833" max="13833" width="10.28515625" style="34" bestFit="1" customWidth="1"/>
    <col min="13834" max="13834" width="9.42578125" style="34" bestFit="1" customWidth="1"/>
    <col min="13835" max="14080" width="9.140625" style="34"/>
    <col min="14081" max="14081" width="3.5703125" style="34" customWidth="1"/>
    <col min="14082" max="14082" width="10.85546875" style="34" customWidth="1"/>
    <col min="14083" max="14083" width="40" style="34" customWidth="1"/>
    <col min="14084" max="14084" width="9.140625" style="34"/>
    <col min="14085" max="14085" width="13.5703125" style="34" customWidth="1"/>
    <col min="14086" max="14086" width="9.140625" style="34"/>
    <col min="14087" max="14087" width="13.5703125" style="34" customWidth="1"/>
    <col min="14088" max="14088" width="13.42578125" style="34" bestFit="1" customWidth="1"/>
    <col min="14089" max="14089" width="10.28515625" style="34" bestFit="1" customWidth="1"/>
    <col min="14090" max="14090" width="9.42578125" style="34" bestFit="1" customWidth="1"/>
    <col min="14091" max="14336" width="9.140625" style="34"/>
    <col min="14337" max="14337" width="3.5703125" style="34" customWidth="1"/>
    <col min="14338" max="14338" width="10.85546875" style="34" customWidth="1"/>
    <col min="14339" max="14339" width="40" style="34" customWidth="1"/>
    <col min="14340" max="14340" width="9.140625" style="34"/>
    <col min="14341" max="14341" width="13.5703125" style="34" customWidth="1"/>
    <col min="14342" max="14342" width="9.140625" style="34"/>
    <col min="14343" max="14343" width="13.5703125" style="34" customWidth="1"/>
    <col min="14344" max="14344" width="13.42578125" style="34" bestFit="1" customWidth="1"/>
    <col min="14345" max="14345" width="10.28515625" style="34" bestFit="1" customWidth="1"/>
    <col min="14346" max="14346" width="9.42578125" style="34" bestFit="1" customWidth="1"/>
    <col min="14347" max="14592" width="9.140625" style="34"/>
    <col min="14593" max="14593" width="3.5703125" style="34" customWidth="1"/>
    <col min="14594" max="14594" width="10.85546875" style="34" customWidth="1"/>
    <col min="14595" max="14595" width="40" style="34" customWidth="1"/>
    <col min="14596" max="14596" width="9.140625" style="34"/>
    <col min="14597" max="14597" width="13.5703125" style="34" customWidth="1"/>
    <col min="14598" max="14598" width="9.140625" style="34"/>
    <col min="14599" max="14599" width="13.5703125" style="34" customWidth="1"/>
    <col min="14600" max="14600" width="13.42578125" style="34" bestFit="1" customWidth="1"/>
    <col min="14601" max="14601" width="10.28515625" style="34" bestFit="1" customWidth="1"/>
    <col min="14602" max="14602" width="9.42578125" style="34" bestFit="1" customWidth="1"/>
    <col min="14603" max="14848" width="9.140625" style="34"/>
    <col min="14849" max="14849" width="3.5703125" style="34" customWidth="1"/>
    <col min="14850" max="14850" width="10.85546875" style="34" customWidth="1"/>
    <col min="14851" max="14851" width="40" style="34" customWidth="1"/>
    <col min="14852" max="14852" width="9.140625" style="34"/>
    <col min="14853" max="14853" width="13.5703125" style="34" customWidth="1"/>
    <col min="14854" max="14854" width="9.140625" style="34"/>
    <col min="14855" max="14855" width="13.5703125" style="34" customWidth="1"/>
    <col min="14856" max="14856" width="13.42578125" style="34" bestFit="1" customWidth="1"/>
    <col min="14857" max="14857" width="10.28515625" style="34" bestFit="1" customWidth="1"/>
    <col min="14858" max="14858" width="9.42578125" style="34" bestFit="1" customWidth="1"/>
    <col min="14859" max="15104" width="9.140625" style="34"/>
    <col min="15105" max="15105" width="3.5703125" style="34" customWidth="1"/>
    <col min="15106" max="15106" width="10.85546875" style="34" customWidth="1"/>
    <col min="15107" max="15107" width="40" style="34" customWidth="1"/>
    <col min="15108" max="15108" width="9.140625" style="34"/>
    <col min="15109" max="15109" width="13.5703125" style="34" customWidth="1"/>
    <col min="15110" max="15110" width="9.140625" style="34"/>
    <col min="15111" max="15111" width="13.5703125" style="34" customWidth="1"/>
    <col min="15112" max="15112" width="13.42578125" style="34" bestFit="1" customWidth="1"/>
    <col min="15113" max="15113" width="10.28515625" style="34" bestFit="1" customWidth="1"/>
    <col min="15114" max="15114" width="9.42578125" style="34" bestFit="1" customWidth="1"/>
    <col min="15115" max="15360" width="9.140625" style="34"/>
    <col min="15361" max="15361" width="3.5703125" style="34" customWidth="1"/>
    <col min="15362" max="15362" width="10.85546875" style="34" customWidth="1"/>
    <col min="15363" max="15363" width="40" style="34" customWidth="1"/>
    <col min="15364" max="15364" width="9.140625" style="34"/>
    <col min="15365" max="15365" width="13.5703125" style="34" customWidth="1"/>
    <col min="15366" max="15366" width="9.140625" style="34"/>
    <col min="15367" max="15367" width="13.5703125" style="34" customWidth="1"/>
    <col min="15368" max="15368" width="13.42578125" style="34" bestFit="1" customWidth="1"/>
    <col min="15369" max="15369" width="10.28515625" style="34" bestFit="1" customWidth="1"/>
    <col min="15370" max="15370" width="9.42578125" style="34" bestFit="1" customWidth="1"/>
    <col min="15371" max="15616" width="9.140625" style="34"/>
    <col min="15617" max="15617" width="3.5703125" style="34" customWidth="1"/>
    <col min="15618" max="15618" width="10.85546875" style="34" customWidth="1"/>
    <col min="15619" max="15619" width="40" style="34" customWidth="1"/>
    <col min="15620" max="15620" width="9.140625" style="34"/>
    <col min="15621" max="15621" width="13.5703125" style="34" customWidth="1"/>
    <col min="15622" max="15622" width="9.140625" style="34"/>
    <col min="15623" max="15623" width="13.5703125" style="34" customWidth="1"/>
    <col min="15624" max="15624" width="13.42578125" style="34" bestFit="1" customWidth="1"/>
    <col min="15625" max="15625" width="10.28515625" style="34" bestFit="1" customWidth="1"/>
    <col min="15626" max="15626" width="9.42578125" style="34" bestFit="1" customWidth="1"/>
    <col min="15627" max="15872" width="9.140625" style="34"/>
    <col min="15873" max="15873" width="3.5703125" style="34" customWidth="1"/>
    <col min="15874" max="15874" width="10.85546875" style="34" customWidth="1"/>
    <col min="15875" max="15875" width="40" style="34" customWidth="1"/>
    <col min="15876" max="15876" width="9.140625" style="34"/>
    <col min="15877" max="15877" width="13.5703125" style="34" customWidth="1"/>
    <col min="15878" max="15878" width="9.140625" style="34"/>
    <col min="15879" max="15879" width="13.5703125" style="34" customWidth="1"/>
    <col min="15880" max="15880" width="13.42578125" style="34" bestFit="1" customWidth="1"/>
    <col min="15881" max="15881" width="10.28515625" style="34" bestFit="1" customWidth="1"/>
    <col min="15882" max="15882" width="9.42578125" style="34" bestFit="1" customWidth="1"/>
    <col min="15883" max="16128" width="9.140625" style="34"/>
    <col min="16129" max="16129" width="3.5703125" style="34" customWidth="1"/>
    <col min="16130" max="16130" width="10.85546875" style="34" customWidth="1"/>
    <col min="16131" max="16131" width="40" style="34" customWidth="1"/>
    <col min="16132" max="16132" width="9.140625" style="34"/>
    <col min="16133" max="16133" width="13.5703125" style="34" customWidth="1"/>
    <col min="16134" max="16134" width="9.140625" style="34"/>
    <col min="16135" max="16135" width="13.5703125" style="34" customWidth="1"/>
    <col min="16136" max="16136" width="13.42578125" style="34" bestFit="1" customWidth="1"/>
    <col min="16137" max="16137" width="10.28515625" style="34" bestFit="1" customWidth="1"/>
    <col min="16138" max="16138" width="9.42578125" style="34" bestFit="1" customWidth="1"/>
    <col min="16139" max="16384" width="9.140625" style="34"/>
  </cols>
  <sheetData>
    <row r="1" spans="2:10" x14ac:dyDescent="0.2">
      <c r="B1" s="35" t="str">
        <f>Update!$B$6</f>
        <v>Department of Health</v>
      </c>
    </row>
    <row r="2" spans="2:10" x14ac:dyDescent="0.2">
      <c r="B2" s="35" t="str">
        <f>Update!$B$10</f>
        <v>Notes to the financial statements</v>
      </c>
    </row>
    <row r="3" spans="2:10" x14ac:dyDescent="0.2">
      <c r="B3" s="35"/>
    </row>
    <row r="4" spans="2:10" x14ac:dyDescent="0.2">
      <c r="B4" s="37" t="s">
        <v>673</v>
      </c>
    </row>
    <row r="5" spans="2:10" x14ac:dyDescent="0.2">
      <c r="B5" s="834" t="s">
        <v>674</v>
      </c>
    </row>
    <row r="6" spans="2:10" x14ac:dyDescent="0.2">
      <c r="B6" s="37"/>
    </row>
    <row r="7" spans="2:10" x14ac:dyDescent="0.2">
      <c r="E7" s="40" t="str">
        <f>Update!C38</f>
        <v>2025-26</v>
      </c>
      <c r="F7" s="39"/>
      <c r="G7" s="40" t="str">
        <f>Update!C36</f>
        <v>2023-24</v>
      </c>
    </row>
    <row r="8" spans="2:10" x14ac:dyDescent="0.2">
      <c r="E8" s="39" t="s">
        <v>462</v>
      </c>
      <c r="F8" s="39"/>
      <c r="G8" s="39" t="s">
        <v>462</v>
      </c>
    </row>
    <row r="9" spans="2:10" x14ac:dyDescent="0.2">
      <c r="E9" s="39"/>
      <c r="F9" s="39"/>
      <c r="G9" s="39"/>
    </row>
    <row r="10" spans="2:10" x14ac:dyDescent="0.2">
      <c r="B10" s="37" t="s">
        <v>675</v>
      </c>
      <c r="E10" s="39"/>
      <c r="F10" s="39"/>
      <c r="G10" s="39"/>
    </row>
    <row r="11" spans="2:10" x14ac:dyDescent="0.2">
      <c r="E11" s="39"/>
      <c r="F11" s="39"/>
      <c r="G11" s="39"/>
    </row>
    <row r="12" spans="2:10" x14ac:dyDescent="0.2">
      <c r="B12" s="34" t="s">
        <v>2694</v>
      </c>
      <c r="E12" s="34">
        <f>+SCF!F39</f>
        <v>0</v>
      </c>
      <c r="G12" s="832"/>
    </row>
    <row r="13" spans="2:10" x14ac:dyDescent="0.2">
      <c r="B13" s="34" t="s">
        <v>2695</v>
      </c>
      <c r="E13" s="34">
        <f>+SCF!F40</f>
        <v>0</v>
      </c>
      <c r="G13" s="832"/>
      <c r="I13" s="46"/>
      <c r="J13" s="46"/>
    </row>
    <row r="14" spans="2:10" x14ac:dyDescent="0.2">
      <c r="B14" s="34" t="s">
        <v>2696</v>
      </c>
      <c r="E14" s="34">
        <f>+SCF!F41</f>
        <v>0</v>
      </c>
      <c r="G14" s="832"/>
      <c r="I14" s="46"/>
      <c r="J14" s="46"/>
    </row>
    <row r="15" spans="2:10" x14ac:dyDescent="0.2">
      <c r="B15" s="34" t="s">
        <v>676</v>
      </c>
      <c r="E15" s="98">
        <f>SUM(E12:E14)</f>
        <v>0</v>
      </c>
      <c r="G15" s="98">
        <f>G12+G13</f>
        <v>0</v>
      </c>
      <c r="H15" s="34" t="s">
        <v>502</v>
      </c>
      <c r="I15" s="46"/>
      <c r="J15" s="46"/>
    </row>
    <row r="16" spans="2:10" x14ac:dyDescent="0.2">
      <c r="I16" s="46"/>
      <c r="J16" s="46"/>
    </row>
    <row r="17" spans="2:10" x14ac:dyDescent="0.2">
      <c r="B17" s="37" t="s">
        <v>2697</v>
      </c>
      <c r="E17" s="34">
        <f>+MAP!N2122+MAP!N2123</f>
        <v>0</v>
      </c>
      <c r="G17" s="342"/>
      <c r="I17" s="46"/>
      <c r="J17" s="46"/>
    </row>
    <row r="18" spans="2:10" x14ac:dyDescent="0.2">
      <c r="B18" s="37"/>
      <c r="G18" s="342"/>
      <c r="I18" s="46"/>
      <c r="J18" s="46"/>
    </row>
    <row r="19" spans="2:10" x14ac:dyDescent="0.2">
      <c r="I19" s="46"/>
      <c r="J19" s="46"/>
    </row>
    <row r="20" spans="2:10" x14ac:dyDescent="0.2">
      <c r="B20" s="37" t="s">
        <v>679</v>
      </c>
    </row>
    <row r="22" spans="2:10" x14ac:dyDescent="0.2">
      <c r="B22" s="34" t="s">
        <v>680</v>
      </c>
      <c r="C22" s="34" t="s">
        <v>681</v>
      </c>
      <c r="E22" s="34">
        <f>-+'Note 5'!K15</f>
        <v>0</v>
      </c>
      <c r="G22" s="342"/>
      <c r="H22" s="34" t="s">
        <v>682</v>
      </c>
      <c r="I22" s="46" t="str">
        <f>IF(ROUND(-E22,0)=ROUNDDOWN('Note 5'!K15,0),"OK","ERROR")</f>
        <v>OK</v>
      </c>
      <c r="J22" s="46" t="str">
        <f>IF(ROUND(-G22,0)=ROUND('Note 5'!K66,0),"OK","ERROR")</f>
        <v>ERROR</v>
      </c>
    </row>
    <row r="23" spans="2:10" x14ac:dyDescent="0.2">
      <c r="C23" s="34" t="s">
        <v>683</v>
      </c>
      <c r="E23" s="34">
        <f>-+'Note 5'!K30</f>
        <v>0</v>
      </c>
      <c r="G23" s="342"/>
      <c r="I23" s="46" t="str">
        <f>IF(ROUND(-E23,0)=ROUND('Note 5'!K30,0),"OK","ERROR")</f>
        <v>OK</v>
      </c>
      <c r="J23" s="46" t="str">
        <f>IF(ROUND(-G23,0)=ROUND('Note 5'!K81,0),"OK","ERROR")</f>
        <v>ERROR</v>
      </c>
    </row>
    <row r="24" spans="2:10" x14ac:dyDescent="0.2">
      <c r="C24" s="34" t="s">
        <v>684</v>
      </c>
      <c r="E24" s="98">
        <f>E22-E23</f>
        <v>0</v>
      </c>
      <c r="G24" s="98">
        <f>G22-G23</f>
        <v>0</v>
      </c>
    </row>
    <row r="26" spans="2:10" x14ac:dyDescent="0.2">
      <c r="B26" s="34" t="s">
        <v>685</v>
      </c>
      <c r="C26" s="34" t="s">
        <v>681</v>
      </c>
      <c r="E26" s="34">
        <f>-'Note 6'!K17</f>
        <v>0</v>
      </c>
      <c r="G26" s="342"/>
      <c r="H26" s="34" t="s">
        <v>686</v>
      </c>
      <c r="I26" s="46" t="str">
        <f>IF(-E26='Note 6'!K17,"OK","ERROR")</f>
        <v>OK</v>
      </c>
      <c r="J26" s="46" t="str">
        <f>IF(-F26='Note 6'!L17,"OK","ERROR")</f>
        <v>OK</v>
      </c>
    </row>
    <row r="27" spans="2:10" x14ac:dyDescent="0.2">
      <c r="C27" s="34" t="s">
        <v>687</v>
      </c>
      <c r="E27" s="34">
        <f>-'Note 6'!K31</f>
        <v>0</v>
      </c>
      <c r="G27" s="342"/>
      <c r="I27" s="46" t="str">
        <f>IF(-E27='Note 6'!K31,"OK","ERROR")</f>
        <v>OK</v>
      </c>
      <c r="J27" s="46" t="str">
        <f>IF(-F27='Note 6'!L31,"OK","ERROR")</f>
        <v>OK</v>
      </c>
    </row>
    <row r="28" spans="2:10" x14ac:dyDescent="0.2">
      <c r="C28" s="34" t="s">
        <v>684</v>
      </c>
      <c r="E28" s="98">
        <f>E26-E27</f>
        <v>0</v>
      </c>
      <c r="G28" s="98"/>
    </row>
    <row r="30" spans="2:10" x14ac:dyDescent="0.2">
      <c r="B30" s="34" t="s">
        <v>688</v>
      </c>
      <c r="E30" s="34">
        <f>-'Note 5.4'!L17</f>
        <v>0</v>
      </c>
      <c r="G30" s="342"/>
      <c r="H30" s="34" t="s">
        <v>689</v>
      </c>
    </row>
    <row r="32" spans="2:10" ht="13.5" thickBot="1" x14ac:dyDescent="0.25">
      <c r="B32" s="37" t="s">
        <v>690</v>
      </c>
      <c r="E32" s="153">
        <f>E15-E24-E28-E30</f>
        <v>0</v>
      </c>
      <c r="G32" s="153" t="e">
        <f>G15+#REF!-G24-G28-G30</f>
        <v>#REF!</v>
      </c>
    </row>
    <row r="35" spans="2:10" x14ac:dyDescent="0.2">
      <c r="B35" s="37" t="s">
        <v>691</v>
      </c>
    </row>
    <row r="37" spans="2:10" x14ac:dyDescent="0.2">
      <c r="B37" s="34" t="s">
        <v>2690</v>
      </c>
      <c r="E37" s="34">
        <f>+'Note 3a'!D23</f>
        <v>0</v>
      </c>
      <c r="G37" s="342"/>
      <c r="I37" s="46" t="str">
        <f>IF(ROUND(-E37,0)=ROUND('Note 3a'!D23,0),"OK","ERROR")</f>
        <v>OK</v>
      </c>
      <c r="J37" s="46" t="str">
        <f>IF(ROUND(-G37,0)=ROUND('Note 3a'!L23,0),"OK","ERROR")</f>
        <v>OK</v>
      </c>
    </row>
    <row r="38" spans="2:10" x14ac:dyDescent="0.2">
      <c r="B38" s="34" t="s">
        <v>2691</v>
      </c>
      <c r="E38" s="34">
        <f>+'Note 3a'!D24</f>
        <v>0</v>
      </c>
      <c r="G38" s="342"/>
      <c r="I38" s="46" t="str">
        <f>IF(ROUND(-E38,0)=ROUND('Note 3a'!D24,0),"OK","ERROR")</f>
        <v>OK</v>
      </c>
      <c r="J38" s="46" t="str">
        <f>IF(-G38='Note 3a'!L24,"OK","ERROR")</f>
        <v>OK</v>
      </c>
    </row>
    <row r="39" spans="2:10" x14ac:dyDescent="0.2">
      <c r="B39" s="34" t="s">
        <v>2692</v>
      </c>
      <c r="E39" s="34">
        <f>+'Note 3b &amp; 3c'!F28</f>
        <v>0</v>
      </c>
      <c r="G39" s="342"/>
      <c r="I39" s="46" t="str">
        <f>IF(E39='Note 3b &amp; 3c'!F28,"OK","ERROR")</f>
        <v>OK</v>
      </c>
      <c r="J39" s="46" t="str">
        <f>IF(G39='Note 3b &amp; 3c'!K28,"OK","ERROR")</f>
        <v>OK</v>
      </c>
    </row>
    <row r="40" spans="2:10" x14ac:dyDescent="0.2">
      <c r="B40" s="34" t="s">
        <v>2693</v>
      </c>
      <c r="E40" s="34">
        <f>+'Note 3b &amp; 3c'!F29</f>
        <v>0</v>
      </c>
      <c r="G40" s="342"/>
      <c r="I40" s="46" t="str">
        <f>IF(E40='Note 3b &amp; 3c'!F29,"OK","ERROR")</f>
        <v>OK</v>
      </c>
      <c r="J40" s="46" t="str">
        <f>IF(G40='Note 3b &amp; 3c'!K29,"OK","ERROR")</f>
        <v>OK</v>
      </c>
    </row>
    <row r="41" spans="2:10" x14ac:dyDescent="0.2">
      <c r="B41" s="34" t="s">
        <v>2689</v>
      </c>
      <c r="E41" s="34">
        <f>+'Note 4'!E27</f>
        <v>0</v>
      </c>
      <c r="G41" s="342"/>
      <c r="I41" s="46" t="str">
        <f>IF(E41='Note 4'!E27,"OK","ERROR")</f>
        <v>OK</v>
      </c>
      <c r="J41" s="46" t="e">
        <f>IF(G41='Note 4'!#REF!+'Note 4'!#REF!,"OK","ERROR")</f>
        <v>#REF!</v>
      </c>
    </row>
    <row r="42" spans="2:10" ht="17.45" customHeight="1" thickBot="1" x14ac:dyDescent="0.25">
      <c r="B42" s="34" t="s">
        <v>692</v>
      </c>
      <c r="E42" s="54">
        <f>SUM(E37:E41)</f>
        <v>0</v>
      </c>
      <c r="G42" s="54">
        <f>SUM(G37:G41)</f>
        <v>0</v>
      </c>
      <c r="I42" s="46" t="str">
        <f>IF(ROUND(E32,0)=-ROUND((E42+E44),0),"OK","ERROR")</f>
        <v>OK</v>
      </c>
      <c r="J42" s="46" t="e">
        <f>IF(ROUND(G32,0)=-ROUND(G42-G44,0),"OK","ERROR")</f>
        <v>#REF!</v>
      </c>
    </row>
    <row r="43" spans="2:10" x14ac:dyDescent="0.2">
      <c r="I43" s="34">
        <f>E32+(E42+E44)</f>
        <v>0</v>
      </c>
      <c r="J43" s="34" t="e">
        <f>G32-(G42-G44)</f>
        <v>#REF!</v>
      </c>
    </row>
    <row r="44" spans="2:10" x14ac:dyDescent="0.2">
      <c r="B44" s="34" t="s">
        <v>693</v>
      </c>
      <c r="E44" s="833"/>
      <c r="G44" s="833"/>
    </row>
  </sheetData>
  <pageMargins left="0.75" right="0.75" top="1" bottom="1" header="0.5" footer="0.5"/>
  <pageSetup paperSize="9" scale="58" orientation="portrait" r:id="rId1"/>
  <headerFooter alignWithMargins="0">
    <oddFooter>&amp;L&amp;F - &amp;A&amp;C&amp;P&amp;RPrinted at &amp;T on &amp;D</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651A4-1226-4885-8764-740EC0182E58}">
  <sheetPr>
    <tabColor rgb="FFFFFF00"/>
  </sheetPr>
  <dimension ref="A1:M107"/>
  <sheetViews>
    <sheetView zoomScale="90" zoomScaleNormal="90" workbookViewId="0">
      <pane ySplit="11" topLeftCell="A12" activePane="bottomLeft" state="frozen"/>
      <selection activeCell="G5" sqref="G4:G5"/>
      <selection pane="bottomLeft" activeCell="G5" sqref="G4:G5"/>
    </sheetView>
  </sheetViews>
  <sheetFormatPr defaultRowHeight="15" x14ac:dyDescent="0.25"/>
  <cols>
    <col min="1" max="1" width="74.42578125" style="1726" customWidth="1"/>
    <col min="3" max="3" width="12.5703125" customWidth="1"/>
    <col min="4" max="4" width="13.140625" customWidth="1"/>
    <col min="5" max="5" width="10.7109375" bestFit="1" customWidth="1"/>
    <col min="6" max="6" width="10.7109375" customWidth="1"/>
    <col min="7" max="7" width="0" hidden="1" customWidth="1"/>
    <col min="8" max="8" width="3.7109375" hidden="1" customWidth="1"/>
    <col min="9" max="9" width="71" hidden="1" customWidth="1"/>
  </cols>
  <sheetData>
    <row r="1" spans="1:9" x14ac:dyDescent="0.25">
      <c r="A1" s="1095" t="str">
        <f>'alb Instructions'!$B$20</f>
        <v>enter HSC Body name here</v>
      </c>
      <c r="B1" s="1078"/>
      <c r="C1" s="1078"/>
      <c r="D1" s="1078"/>
    </row>
    <row r="2" spans="1:9" x14ac:dyDescent="0.25">
      <c r="A2" s="1079"/>
      <c r="B2" s="1079"/>
      <c r="C2" s="1079"/>
      <c r="D2" s="1079"/>
    </row>
    <row r="3" spans="1:9" x14ac:dyDescent="0.25">
      <c r="A3" s="1095" t="str">
        <f>"NOTES TO THE ACCOUNTS FOR THE YEAR ENDED"&amp;Update!$B$22</f>
        <v>NOTES TO THE ACCOUNTS FOR THE YEAR ENDED 31 March 2026</v>
      </c>
      <c r="B3" s="1079"/>
      <c r="C3" s="1079"/>
      <c r="D3" s="1079"/>
    </row>
    <row r="4" spans="1:9" x14ac:dyDescent="0.25">
      <c r="A4" s="1079"/>
      <c r="B4" s="1079"/>
      <c r="C4" s="1079"/>
      <c r="D4" s="1079"/>
    </row>
    <row r="5" spans="1:9" x14ac:dyDescent="0.25">
      <c r="A5" s="2126" t="s">
        <v>2772</v>
      </c>
      <c r="B5" s="2126"/>
      <c r="C5" s="2126"/>
      <c r="D5" s="2126"/>
    </row>
    <row r="7" spans="1:9" x14ac:dyDescent="0.25">
      <c r="A7" s="1506" t="s">
        <v>2771</v>
      </c>
      <c r="B7" s="1507"/>
      <c r="C7" s="1507"/>
      <c r="D7" s="1507"/>
      <c r="E7" s="1507"/>
      <c r="F7" s="1507"/>
      <c r="G7" s="1507"/>
      <c r="H7" s="1507"/>
    </row>
    <row r="8" spans="1:9" x14ac:dyDescent="0.25">
      <c r="A8" s="1506"/>
      <c r="B8" s="1507"/>
      <c r="C8" s="1507"/>
      <c r="D8" s="1507"/>
      <c r="E8" s="1507"/>
      <c r="F8" s="1507"/>
      <c r="G8" s="1507"/>
      <c r="H8" s="1507"/>
    </row>
    <row r="9" spans="1:9" x14ac:dyDescent="0.25">
      <c r="A9" s="1507" t="s">
        <v>2770</v>
      </c>
      <c r="B9" s="1507"/>
      <c r="C9" s="1507"/>
      <c r="D9" s="1507"/>
      <c r="E9" s="1507"/>
      <c r="F9" s="1507"/>
      <c r="G9" s="1507"/>
      <c r="H9" s="1507"/>
    </row>
    <row r="10" spans="1:9" x14ac:dyDescent="0.25">
      <c r="A10" s="1507"/>
      <c r="B10" s="1507"/>
      <c r="C10" s="1074" t="str">
        <f>Update!$C$38</f>
        <v>2025-26</v>
      </c>
      <c r="D10" s="1074" t="str">
        <f>Update!$C$37</f>
        <v>2024-25</v>
      </c>
      <c r="E10" s="1507"/>
      <c r="F10" s="1507"/>
      <c r="G10" s="1507"/>
      <c r="H10" s="1507"/>
      <c r="I10" s="1" t="s">
        <v>2773</v>
      </c>
    </row>
    <row r="11" spans="1:9" x14ac:dyDescent="0.25">
      <c r="A11" s="1751" t="s">
        <v>281</v>
      </c>
      <c r="B11" s="1507"/>
      <c r="C11" s="1096" t="s">
        <v>493</v>
      </c>
      <c r="D11" s="1096" t="s">
        <v>493</v>
      </c>
      <c r="E11" s="1507"/>
      <c r="F11" s="1507"/>
      <c r="G11" s="1507"/>
      <c r="H11" s="1507"/>
    </row>
    <row r="12" spans="1:9" x14ac:dyDescent="0.25">
      <c r="A12" s="1752" t="s">
        <v>2802</v>
      </c>
      <c r="B12" s="1507"/>
      <c r="C12" s="1096"/>
      <c r="D12" s="1096"/>
      <c r="E12" s="1096"/>
      <c r="F12" s="1096"/>
      <c r="G12" s="1507"/>
      <c r="H12" s="1507"/>
      <c r="I12" t="s">
        <v>2774</v>
      </c>
    </row>
    <row r="13" spans="1:9" x14ac:dyDescent="0.25">
      <c r="A13" s="1732" t="s">
        <v>2546</v>
      </c>
      <c r="B13" s="1507"/>
      <c r="C13" s="1507">
        <f>SUMIFS(MAP!$N:$N,MAP!$B:$B,"22.1",MAP!$E:$E,A13)</f>
        <v>0</v>
      </c>
      <c r="D13" s="1747">
        <v>8059205.9519999996</v>
      </c>
      <c r="E13" s="1507"/>
      <c r="F13" s="1507"/>
      <c r="G13" s="1507"/>
      <c r="H13" s="1507"/>
      <c r="I13" t="s">
        <v>2774</v>
      </c>
    </row>
    <row r="14" spans="1:9" x14ac:dyDescent="0.25">
      <c r="A14" s="1732" t="s">
        <v>2545</v>
      </c>
      <c r="B14" s="1507"/>
      <c r="C14" s="1507">
        <f>SUMIFS(MAP!$N:$N,MAP!$B:$B,"22.1",MAP!$E:$E,A14)</f>
        <v>0</v>
      </c>
      <c r="D14" s="1747">
        <v>6595505.1789999995</v>
      </c>
      <c r="E14" s="1507"/>
      <c r="F14" s="1507"/>
      <c r="G14" s="1738" t="s">
        <v>2775</v>
      </c>
      <c r="H14" s="1738"/>
      <c r="I14" t="s">
        <v>2776</v>
      </c>
    </row>
    <row r="15" spans="1:9" x14ac:dyDescent="0.25">
      <c r="A15" s="1732" t="s">
        <v>4</v>
      </c>
      <c r="B15" s="1507"/>
      <c r="C15" s="1507">
        <f>SUMIFS(MAP!$N:$N,MAP!$B:$B,"22.1",MAP!$E:$E,A15)</f>
        <v>0</v>
      </c>
      <c r="D15" s="1747">
        <v>52358</v>
      </c>
      <c r="E15" s="1507"/>
      <c r="F15" s="1507"/>
      <c r="G15" s="1738" t="s">
        <v>2775</v>
      </c>
      <c r="H15" s="1738"/>
      <c r="I15" t="s">
        <v>2777</v>
      </c>
    </row>
    <row r="16" spans="1:9" x14ac:dyDescent="0.25">
      <c r="A16" s="1732" t="s">
        <v>22</v>
      </c>
      <c r="B16" s="1507"/>
      <c r="C16" s="1507">
        <f>SUMIFS(MAP!$N:$N,MAP!$B:$B,"22.1",MAP!$E:$E,A16)</f>
        <v>0</v>
      </c>
      <c r="D16" s="1747">
        <v>54567.4</v>
      </c>
      <c r="E16" s="1507"/>
      <c r="F16" s="1507"/>
      <c r="G16" s="1738" t="s">
        <v>2775</v>
      </c>
      <c r="H16" s="1738"/>
      <c r="I16" t="s">
        <v>2778</v>
      </c>
    </row>
    <row r="17" spans="1:9" x14ac:dyDescent="0.25">
      <c r="A17" s="1749" t="s">
        <v>2547</v>
      </c>
      <c r="B17" s="1507"/>
      <c r="C17" s="1507">
        <f>SUMIFS(MAP!$N:$N,MAP!$B:$B,"22.1",MAP!$E:$E,A17)</f>
        <v>0</v>
      </c>
      <c r="D17" s="1747">
        <v>0</v>
      </c>
      <c r="E17" s="1507"/>
      <c r="F17" s="1507"/>
      <c r="G17" s="1738" t="s">
        <v>2775</v>
      </c>
      <c r="H17" s="1738"/>
      <c r="I17" t="s">
        <v>2779</v>
      </c>
    </row>
    <row r="18" spans="1:9" x14ac:dyDescent="0.25">
      <c r="A18" s="1749"/>
      <c r="B18" s="1507"/>
      <c r="C18" s="1507">
        <f>SUMIFS(MAP!$N:$N,MAP!$B:$B,"22.1",MAP!$E:$E,A18)</f>
        <v>15000</v>
      </c>
      <c r="D18" s="1747">
        <v>3374</v>
      </c>
      <c r="E18" s="1507"/>
      <c r="F18" s="1507"/>
      <c r="G18" s="1738" t="s">
        <v>2775</v>
      </c>
      <c r="H18" s="1738"/>
      <c r="I18" t="s">
        <v>2780</v>
      </c>
    </row>
    <row r="19" spans="1:9" x14ac:dyDescent="0.25">
      <c r="A19" s="1749"/>
      <c r="B19" s="1507"/>
      <c r="C19" s="1507">
        <f>SUMIFS(MAP!$N:$N,MAP!$B:$B,"22.1",MAP!$E:$E,A19)</f>
        <v>15000</v>
      </c>
      <c r="D19" s="1747">
        <v>0</v>
      </c>
      <c r="E19" s="1507"/>
      <c r="F19" s="1507"/>
      <c r="G19" s="1730"/>
      <c r="H19" s="1730"/>
      <c r="I19" t="s">
        <v>2781</v>
      </c>
    </row>
    <row r="20" spans="1:9" ht="15.75" thickBot="1" x14ac:dyDescent="0.3">
      <c r="A20" s="1734" t="s">
        <v>2548</v>
      </c>
      <c r="B20" s="1507"/>
      <c r="C20" s="1844">
        <f>SUM(C13:C19)</f>
        <v>30000</v>
      </c>
      <c r="D20" s="1844">
        <f>SUM(D13:D19)</f>
        <v>14765010.530999999</v>
      </c>
      <c r="E20" s="1507"/>
      <c r="F20" s="1507"/>
      <c r="G20" s="1730"/>
      <c r="H20" s="1730"/>
    </row>
    <row r="21" spans="1:9" ht="15.75" thickTop="1" x14ac:dyDescent="0.25">
      <c r="A21" s="1734"/>
      <c r="B21" s="1507"/>
      <c r="C21" s="1507"/>
      <c r="D21" s="1507"/>
      <c r="E21" s="1507"/>
      <c r="F21" s="1507"/>
      <c r="G21" s="1730"/>
      <c r="H21" s="1730"/>
    </row>
    <row r="22" spans="1:9" x14ac:dyDescent="0.25">
      <c r="A22" s="1739" t="s">
        <v>2769</v>
      </c>
      <c r="B22" s="1730"/>
      <c r="C22" s="1845"/>
      <c r="D22" s="1845"/>
      <c r="E22" s="1507"/>
      <c r="F22" s="1507"/>
    </row>
    <row r="23" spans="1:9" x14ac:dyDescent="0.25">
      <c r="A23" s="1740" t="s">
        <v>2761</v>
      </c>
      <c r="B23" s="1738"/>
      <c r="C23" s="1507">
        <f>SUMIFS(MAP!$N:$N,MAP!$B:$B,"22.1",MAP!$E:$E,A23)</f>
        <v>0</v>
      </c>
      <c r="D23" s="1846">
        <v>-40713.415000000001</v>
      </c>
      <c r="E23" s="1507"/>
      <c r="F23" s="1507"/>
      <c r="G23" s="1738" t="s">
        <v>2783</v>
      </c>
      <c r="I23" t="s">
        <v>2782</v>
      </c>
    </row>
    <row r="24" spans="1:9" x14ac:dyDescent="0.25">
      <c r="A24" s="1740"/>
      <c r="B24" s="1738"/>
      <c r="C24" s="1507">
        <f>SUMIFS(MAP!$N:$N,MAP!$B:$B,"22.1",MAP!$E:$E,A24)</f>
        <v>15000</v>
      </c>
      <c r="D24" s="1846">
        <v>-2120938.946</v>
      </c>
      <c r="E24" s="1507"/>
      <c r="F24" s="1507"/>
      <c r="G24" s="1738" t="s">
        <v>2783</v>
      </c>
      <c r="H24" s="1738"/>
      <c r="I24" t="s">
        <v>2784</v>
      </c>
    </row>
    <row r="25" spans="1:9" x14ac:dyDescent="0.25">
      <c r="A25" s="1740"/>
      <c r="B25" s="1738"/>
      <c r="C25" s="1507">
        <f>SUMIFS(MAP!$N:$N,MAP!$B:$B,"22.1",MAP!$E:$E,A25)</f>
        <v>15000</v>
      </c>
      <c r="D25" s="1846">
        <v>-1086830.5319999999</v>
      </c>
      <c r="E25" s="1507"/>
      <c r="F25" s="1507"/>
      <c r="G25" s="1738" t="s">
        <v>2783</v>
      </c>
      <c r="H25" s="1507"/>
    </row>
    <row r="26" spans="1:9" x14ac:dyDescent="0.25">
      <c r="A26" s="1740"/>
      <c r="B26" s="1738"/>
      <c r="C26" s="1507">
        <f>SUMIFS(MAP!$N:$N,MAP!$B:$B,"22.1",MAP!$E:$E,A26)</f>
        <v>15000</v>
      </c>
      <c r="D26" s="1846">
        <v>-1075357.838</v>
      </c>
      <c r="E26" s="1507"/>
      <c r="F26" s="1507"/>
      <c r="G26" s="1738" t="s">
        <v>2783</v>
      </c>
      <c r="H26" s="1507"/>
    </row>
    <row r="27" spans="1:9" x14ac:dyDescent="0.25">
      <c r="A27" s="1740"/>
      <c r="B27" s="1738"/>
      <c r="C27" s="1507">
        <f>SUMIFS(MAP!$N:$N,MAP!$B:$B,"22.1",MAP!$E:$E,A27)</f>
        <v>15000</v>
      </c>
      <c r="D27" s="1846">
        <v>-1168912.081</v>
      </c>
      <c r="E27" s="1507"/>
      <c r="F27" s="1507"/>
      <c r="G27" s="1738" t="s">
        <v>2783</v>
      </c>
      <c r="H27" s="1507"/>
    </row>
    <row r="28" spans="1:9" x14ac:dyDescent="0.25">
      <c r="A28" s="1740"/>
      <c r="B28" s="1738"/>
      <c r="C28" s="1507">
        <f>SUMIFS(MAP!$N:$N,MAP!$B:$B,"22.1",MAP!$E:$E,A28)</f>
        <v>15000</v>
      </c>
      <c r="D28" s="1846">
        <v>-1033262.657</v>
      </c>
      <c r="E28" s="1507"/>
      <c r="F28" s="1507"/>
      <c r="G28" s="1738" t="s">
        <v>2783</v>
      </c>
      <c r="H28" s="1507"/>
    </row>
    <row r="29" spans="1:9" x14ac:dyDescent="0.25">
      <c r="A29" s="1740"/>
      <c r="B29" s="1738"/>
      <c r="C29" s="1507">
        <f>SUMIFS(MAP!$N:$N,MAP!$B:$B,"22.1",MAP!$E:$E,A29)</f>
        <v>15000</v>
      </c>
      <c r="D29" s="1846">
        <v>-124148</v>
      </c>
      <c r="E29" s="1507"/>
      <c r="F29" s="1507"/>
      <c r="G29" s="1738" t="s">
        <v>2783</v>
      </c>
      <c r="H29" s="1507"/>
    </row>
    <row r="30" spans="1:9" x14ac:dyDescent="0.25">
      <c r="A30" s="1740"/>
      <c r="B30" s="1738"/>
      <c r="C30" s="1507">
        <f>SUMIFS(MAP!$N:$N,MAP!$B:$B,"22.1",MAP!$E:$E,A30)</f>
        <v>15000</v>
      </c>
      <c r="D30" s="1846">
        <v>-2002</v>
      </c>
      <c r="E30" s="1507"/>
      <c r="F30" s="1507"/>
      <c r="G30" s="1738" t="s">
        <v>2783</v>
      </c>
      <c r="H30" s="1507"/>
    </row>
    <row r="31" spans="1:9" x14ac:dyDescent="0.25">
      <c r="A31" s="1740"/>
      <c r="B31" s="1738"/>
      <c r="C31" s="1507">
        <f>SUMIFS(MAP!$N:$N,MAP!$B:$B,"22.1",MAP!$E:$E,A31)</f>
        <v>15000</v>
      </c>
      <c r="D31" s="1846">
        <v>-5</v>
      </c>
      <c r="E31" s="1507"/>
      <c r="F31" s="1507"/>
      <c r="G31" s="1738" t="s">
        <v>2783</v>
      </c>
      <c r="H31" s="1507"/>
    </row>
    <row r="32" spans="1:9" ht="15.75" thickBot="1" x14ac:dyDescent="0.3">
      <c r="A32" s="1739" t="s">
        <v>2549</v>
      </c>
      <c r="B32" s="1738"/>
      <c r="C32" s="1844">
        <f>SUM(C23:C31)</f>
        <v>120000</v>
      </c>
      <c r="D32" s="1844">
        <f>SUM(D23:D31)</f>
        <v>-6652170.4690000005</v>
      </c>
      <c r="E32" s="1507"/>
      <c r="F32" s="1507"/>
      <c r="G32" s="1507"/>
      <c r="H32" s="1507"/>
    </row>
    <row r="33" spans="1:13" ht="15.75" thickTop="1" x14ac:dyDescent="0.25">
      <c r="A33" s="1734"/>
      <c r="B33" s="1507"/>
      <c r="C33" s="1507"/>
      <c r="D33" s="1507"/>
      <c r="E33" s="1507"/>
      <c r="F33" s="1507"/>
      <c r="G33" s="1507"/>
      <c r="H33" s="1507"/>
      <c r="I33" t="s">
        <v>2785</v>
      </c>
    </row>
    <row r="34" spans="1:13" ht="15.75" thickBot="1" x14ac:dyDescent="0.3">
      <c r="A34" s="1739" t="s">
        <v>2550</v>
      </c>
      <c r="B34" s="1738"/>
      <c r="C34" s="1844">
        <f>C20+C32</f>
        <v>150000</v>
      </c>
      <c r="D34" s="1844">
        <f>D20+D32</f>
        <v>8112840.061999999</v>
      </c>
      <c r="E34" s="1507"/>
      <c r="F34" s="1507"/>
      <c r="G34" s="1507"/>
      <c r="H34" s="1507"/>
    </row>
    <row r="35" spans="1:13" ht="15.75" thickTop="1" x14ac:dyDescent="0.25">
      <c r="A35" s="1734"/>
      <c r="B35" s="1507"/>
      <c r="C35" s="1507"/>
      <c r="D35" s="1507"/>
      <c r="E35" s="1507"/>
      <c r="F35" s="1507"/>
      <c r="G35" s="1507"/>
      <c r="H35" s="1507"/>
      <c r="I35" t="s">
        <v>2786</v>
      </c>
    </row>
    <row r="36" spans="1:13" x14ac:dyDescent="0.25">
      <c r="A36" s="1739" t="s">
        <v>2551</v>
      </c>
      <c r="B36" s="1738"/>
      <c r="C36" s="1845"/>
      <c r="D36" s="1845"/>
      <c r="E36" s="1507"/>
      <c r="G36" s="1507"/>
      <c r="H36" s="1507"/>
    </row>
    <row r="37" spans="1:13" x14ac:dyDescent="0.25">
      <c r="A37" s="1743" t="s">
        <v>2552</v>
      </c>
      <c r="B37" s="1738"/>
      <c r="C37" s="1847">
        <f>SUMIFS(MAP!$N:$N,MAP!$B:$B,"22.1",MAP!$E:$E,A37)</f>
        <v>0</v>
      </c>
      <c r="D37" s="1847">
        <v>9120709.5979999993</v>
      </c>
      <c r="E37" s="939" t="e">
        <f>IF(C37-SCNE!F41-MAP!W24-MAP!AP24-MAP!AQ24+MAP!N40-MAP!S24-MAP!R24-MAP!Q24-MAP!P24-MAP!O24=0,"OK","ERROR")</f>
        <v>#VALUE!</v>
      </c>
      <c r="F37" s="1507" t="e">
        <f>+C37-SCNE!F41-MAP!W24-MAP!AP24-MAP!AQ24+MAP!N40-MAP!S24-MAP!R24-MAP!Q24-MAP!P24-MAP!O24</f>
        <v>#VALUE!</v>
      </c>
      <c r="G37" s="1507"/>
      <c r="H37" s="1507"/>
      <c r="M37" s="1834"/>
    </row>
    <row r="38" spans="1:13" x14ac:dyDescent="0.25">
      <c r="A38" s="1734"/>
      <c r="B38" s="1507"/>
      <c r="C38" s="1507"/>
      <c r="D38" s="1507"/>
      <c r="E38" s="1507"/>
      <c r="F38" s="1507"/>
      <c r="G38" s="1507"/>
      <c r="H38" s="1507"/>
    </row>
    <row r="39" spans="1:13" x14ac:dyDescent="0.25">
      <c r="A39" s="1739" t="s">
        <v>2553</v>
      </c>
      <c r="B39" s="1507"/>
      <c r="C39" s="1507"/>
      <c r="D39" s="1507"/>
      <c r="E39" s="1507"/>
      <c r="F39" s="1507"/>
      <c r="G39" s="1507"/>
      <c r="H39" s="1507"/>
    </row>
    <row r="40" spans="1:13" x14ac:dyDescent="0.25">
      <c r="A40" s="1732" t="s">
        <v>2554</v>
      </c>
      <c r="B40" s="1507"/>
      <c r="C40" s="1507">
        <f>SUMIFS(MAP!$N:$N,MAP!$B:$B,"22.1",MAP!$E:$E,A40)</f>
        <v>0</v>
      </c>
      <c r="D40" s="1748">
        <v>-2750.7750000000001</v>
      </c>
      <c r="E40" s="1507"/>
      <c r="F40" s="1507"/>
      <c r="G40" s="1738" t="s">
        <v>2783</v>
      </c>
      <c r="H40" s="1507"/>
      <c r="M40" s="1834"/>
    </row>
    <row r="41" spans="1:13" x14ac:dyDescent="0.25">
      <c r="A41" s="1732" t="s">
        <v>2555</v>
      </c>
      <c r="B41" s="1507"/>
      <c r="C41" s="1507">
        <f>SUMIFS(MAP!$N:$N,MAP!$B:$B,"22.1",MAP!$E:$E,A41)</f>
        <v>0</v>
      </c>
      <c r="D41" s="1748">
        <v>-2400</v>
      </c>
      <c r="E41" s="1507"/>
      <c r="F41" s="1507"/>
      <c r="G41" s="1738" t="s">
        <v>2783</v>
      </c>
      <c r="H41" s="1507"/>
      <c r="L41" s="1833"/>
      <c r="M41" s="1834"/>
    </row>
    <row r="42" spans="1:13" x14ac:dyDescent="0.25">
      <c r="A42" s="1732" t="s">
        <v>2427</v>
      </c>
      <c r="B42" s="1507"/>
      <c r="C42" s="1507">
        <f>SUMIFS(MAP!$N:$N,MAP!$B:$B,"22.1",MAP!$E:$E,A42)</f>
        <v>0</v>
      </c>
      <c r="D42" s="1748">
        <v>-12546.469000000001</v>
      </c>
      <c r="E42" s="1507"/>
      <c r="F42" s="1507"/>
      <c r="G42" s="1738" t="s">
        <v>2783</v>
      </c>
      <c r="H42" s="1507"/>
      <c r="L42" s="1833"/>
      <c r="M42" s="1834"/>
    </row>
    <row r="43" spans="1:13" x14ac:dyDescent="0.25">
      <c r="A43" s="1732" t="s">
        <v>2803</v>
      </c>
      <c r="B43" s="1507"/>
      <c r="C43" s="1839">
        <f>SUMIFS(MAP!$N:$N,MAP!$B:$B,"22.1",MAP!$E:$E,A43)</f>
        <v>0</v>
      </c>
      <c r="D43" s="1753">
        <v>-259783.92199999999</v>
      </c>
      <c r="E43" s="1507"/>
      <c r="F43" s="1507"/>
      <c r="G43" s="1738" t="s">
        <v>2783</v>
      </c>
      <c r="H43" s="1507"/>
      <c r="L43" s="1833"/>
      <c r="M43" s="1834"/>
    </row>
    <row r="44" spans="1:13" x14ac:dyDescent="0.25">
      <c r="A44" s="1732" t="s">
        <v>161</v>
      </c>
      <c r="B44" s="1507"/>
      <c r="C44" s="1507">
        <f>SUMIFS(MAP!$N:$N,MAP!$B:$B,"22.1",MAP!$E:$E,A44)</f>
        <v>0</v>
      </c>
      <c r="D44" s="1750">
        <v>-73646.16399999999</v>
      </c>
      <c r="E44" s="1507"/>
      <c r="F44" s="1507"/>
      <c r="G44" s="1738" t="s">
        <v>2783</v>
      </c>
      <c r="H44" s="1507"/>
      <c r="L44" s="1833"/>
      <c r="M44" s="1834"/>
    </row>
    <row r="45" spans="1:13" x14ac:dyDescent="0.25">
      <c r="A45" s="1732" t="s">
        <v>208</v>
      </c>
      <c r="B45" s="1507"/>
      <c r="C45" s="1507">
        <f>SUMIFS(MAP!$N:$N,MAP!$B:$B,"22.1",MAP!$E:$E,A45)</f>
        <v>0</v>
      </c>
      <c r="D45" s="1750">
        <v>-50624</v>
      </c>
      <c r="E45" s="1507"/>
      <c r="F45" s="1507"/>
      <c r="G45" s="1738" t="s">
        <v>2783</v>
      </c>
      <c r="H45" s="1507"/>
      <c r="L45" s="1833"/>
      <c r="M45" s="1834"/>
    </row>
    <row r="46" spans="1:13" x14ac:dyDescent="0.25">
      <c r="A46" s="1732" t="s">
        <v>2556</v>
      </c>
      <c r="B46" s="1507"/>
      <c r="C46" s="1507">
        <f>SUMIFS(MAP!$N:$N,MAP!$B:$B,"22.1",MAP!$E:$E,A46)</f>
        <v>0</v>
      </c>
      <c r="D46" s="1750">
        <v>-610170.60100000002</v>
      </c>
      <c r="E46" s="1507"/>
      <c r="F46" s="1507"/>
      <c r="G46" s="1738"/>
      <c r="H46" s="1507"/>
      <c r="L46" s="1833"/>
      <c r="M46" s="1834"/>
    </row>
    <row r="47" spans="1:13" x14ac:dyDescent="0.25">
      <c r="A47" s="1732" t="s">
        <v>353</v>
      </c>
      <c r="B47" s="1507"/>
      <c r="C47" s="1507">
        <f>SUMIFS(MAP!$N:$N,MAP!$B:$B,"22.1",MAP!$E:$E,A47)</f>
        <v>0</v>
      </c>
      <c r="D47" s="1748">
        <v>-6405</v>
      </c>
      <c r="E47" s="1507"/>
      <c r="F47" s="1507"/>
      <c r="G47" s="1738"/>
      <c r="H47" s="1507"/>
      <c r="I47" s="1274"/>
      <c r="L47" s="1833"/>
      <c r="M47" s="1834"/>
    </row>
    <row r="48" spans="1:13" ht="26.25" x14ac:dyDescent="0.25">
      <c r="A48" s="1732" t="s">
        <v>2426</v>
      </c>
      <c r="B48" s="1507"/>
      <c r="C48" s="1507">
        <f>SUMIFS(MAP!$N:$N,MAP!$B:$B,"22.1",MAP!$E:$E,A48)</f>
        <v>0</v>
      </c>
      <c r="D48" s="1748">
        <v>4852.8099999999995</v>
      </c>
      <c r="E48" s="1507"/>
      <c r="F48" s="1507"/>
      <c r="G48" s="1738"/>
      <c r="H48" s="1507"/>
      <c r="I48" s="4" t="s">
        <v>2787</v>
      </c>
      <c r="L48" s="1833"/>
      <c r="M48" s="1834"/>
    </row>
    <row r="49" spans="1:13" x14ac:dyDescent="0.25">
      <c r="A49" s="1829" t="s">
        <v>2835</v>
      </c>
      <c r="B49" s="1507"/>
      <c r="C49" s="1507">
        <f>SUMIFS(MAP!$N:$N,MAP!$B:$B,"22.1",MAP!$E:$E,A49)</f>
        <v>0</v>
      </c>
      <c r="D49" s="1748"/>
      <c r="E49" s="1507"/>
      <c r="F49" s="1507"/>
      <c r="G49" s="1738" t="s">
        <v>2783</v>
      </c>
      <c r="H49" s="1507"/>
      <c r="I49" t="s">
        <v>2836</v>
      </c>
      <c r="L49" s="1833"/>
      <c r="M49" s="1834"/>
    </row>
    <row r="50" spans="1:13" x14ac:dyDescent="0.25">
      <c r="A50" s="1749" t="s">
        <v>2762</v>
      </c>
      <c r="B50" s="1507"/>
      <c r="C50" s="1507">
        <f>SUMIFS(MAP!$N:$N,MAP!$B:$B,"22.1",MAP!$E:$E,A50)</f>
        <v>0</v>
      </c>
      <c r="D50" s="1748">
        <v>4859</v>
      </c>
      <c r="E50" s="1507"/>
      <c r="F50" s="1507"/>
      <c r="G50" s="1738" t="s">
        <v>2783</v>
      </c>
      <c r="H50" s="1507"/>
      <c r="I50" t="s">
        <v>2837</v>
      </c>
      <c r="L50" s="1833"/>
      <c r="M50" s="1834"/>
    </row>
    <row r="51" spans="1:13" ht="15.75" thickBot="1" x14ac:dyDescent="0.3">
      <c r="A51" s="1734" t="s">
        <v>2557</v>
      </c>
      <c r="B51" s="1507"/>
      <c r="C51" s="1746">
        <f>SUM(C37:C50)</f>
        <v>0</v>
      </c>
      <c r="D51" s="1746">
        <f>SUM(D37:D50)</f>
        <v>8112094.4769999972</v>
      </c>
      <c r="E51" s="1507"/>
      <c r="F51" s="1507"/>
      <c r="H51" s="1507"/>
      <c r="I51" s="4" t="s">
        <v>2781</v>
      </c>
    </row>
    <row r="52" spans="1:13" ht="15.75" thickTop="1" x14ac:dyDescent="0.25">
      <c r="A52" s="1506"/>
      <c r="B52" s="1507"/>
      <c r="C52" s="1745"/>
      <c r="D52" s="1745"/>
      <c r="E52" s="1507"/>
      <c r="F52" s="1507"/>
      <c r="G52" s="1507"/>
      <c r="H52" s="1507"/>
    </row>
    <row r="53" spans="1:13" x14ac:dyDescent="0.25">
      <c r="A53" s="1743" t="s">
        <v>2765</v>
      </c>
      <c r="B53" s="1507"/>
      <c r="C53" s="1847">
        <f>C34-C51</f>
        <v>150000</v>
      </c>
      <c r="D53" s="1847">
        <f>D34-D51</f>
        <v>745.58500000182539</v>
      </c>
      <c r="E53" s="1507"/>
      <c r="F53" s="1507"/>
      <c r="G53" s="1507"/>
      <c r="H53" s="1507"/>
    </row>
    <row r="54" spans="1:13" x14ac:dyDescent="0.25">
      <c r="A54" s="1743"/>
      <c r="B54" s="1507"/>
      <c r="C54" s="1745"/>
      <c r="D54" s="1745"/>
      <c r="E54" s="1507"/>
      <c r="F54" s="1507"/>
      <c r="G54" s="1507"/>
      <c r="H54" s="1507"/>
    </row>
    <row r="55" spans="1:13" x14ac:dyDescent="0.25">
      <c r="A55" s="1743" t="s">
        <v>2768</v>
      </c>
      <c r="B55" s="1507"/>
      <c r="C55" s="1848">
        <f>+C53/C34</f>
        <v>1</v>
      </c>
      <c r="D55" s="1848">
        <f>+D53/D34</f>
        <v>9.1901848711907407E-5</v>
      </c>
      <c r="E55" s="1507"/>
      <c r="F55" s="1507"/>
      <c r="G55" s="1507"/>
      <c r="H55" s="1507"/>
    </row>
    <row r="56" spans="1:13" x14ac:dyDescent="0.25">
      <c r="A56" s="1506"/>
      <c r="B56" s="1507"/>
      <c r="C56" s="1745"/>
      <c r="D56" s="1745"/>
      <c r="E56" s="1507"/>
      <c r="F56" s="1507"/>
      <c r="G56" s="1507"/>
      <c r="H56" s="1507"/>
    </row>
    <row r="57" spans="1:13" x14ac:dyDescent="0.25">
      <c r="A57" s="1506"/>
      <c r="B57" s="1507"/>
      <c r="C57" s="1745"/>
      <c r="D57" s="1745"/>
      <c r="E57" s="1507"/>
      <c r="F57" s="1507"/>
      <c r="G57" s="1507"/>
      <c r="H57" s="1507"/>
    </row>
    <row r="58" spans="1:13" x14ac:dyDescent="0.25">
      <c r="A58" s="1506" t="s">
        <v>2767</v>
      </c>
      <c r="B58" s="1507"/>
      <c r="C58" s="1507"/>
      <c r="D58" s="1507"/>
      <c r="E58" s="1507"/>
      <c r="F58" s="1507"/>
      <c r="G58" s="1507"/>
      <c r="H58" s="1507"/>
    </row>
    <row r="59" spans="1:13" x14ac:dyDescent="0.25">
      <c r="A59" s="1507"/>
      <c r="B59" s="1507"/>
      <c r="C59" s="1507"/>
      <c r="D59" s="1507"/>
      <c r="E59" s="1507"/>
      <c r="F59" s="1507"/>
      <c r="G59" s="1507"/>
      <c r="H59" s="1507"/>
    </row>
    <row r="60" spans="1:13" ht="30" x14ac:dyDescent="0.25">
      <c r="A60" s="1507" t="s">
        <v>2766</v>
      </c>
      <c r="B60" s="1507"/>
      <c r="C60" s="1507"/>
      <c r="D60" s="1507"/>
      <c r="E60" s="1507"/>
      <c r="F60" s="1507"/>
      <c r="G60" s="1507"/>
      <c r="H60" s="1507"/>
      <c r="I60" s="4" t="s">
        <v>2788</v>
      </c>
    </row>
    <row r="61" spans="1:13" x14ac:dyDescent="0.25">
      <c r="A61" s="1507"/>
      <c r="B61" s="1507"/>
      <c r="C61" s="1745" t="str">
        <f>C10</f>
        <v>2025-26</v>
      </c>
      <c r="D61" s="1074" t="str">
        <f>Update!$C$37</f>
        <v>2024-25</v>
      </c>
      <c r="E61" s="1507"/>
      <c r="F61" s="1507"/>
      <c r="G61" s="1507"/>
      <c r="H61" s="1507"/>
    </row>
    <row r="62" spans="1:13" x14ac:dyDescent="0.25">
      <c r="A62" s="1507"/>
      <c r="B62" s="1507"/>
      <c r="C62" s="1745" t="s">
        <v>493</v>
      </c>
      <c r="D62" s="1745" t="s">
        <v>493</v>
      </c>
      <c r="E62" s="1507"/>
      <c r="F62" s="1507"/>
      <c r="G62" s="1507"/>
      <c r="H62" s="1507"/>
      <c r="I62" s="1"/>
    </row>
    <row r="63" spans="1:13" x14ac:dyDescent="0.25">
      <c r="A63" s="1739" t="s">
        <v>2558</v>
      </c>
      <c r="B63" s="1744"/>
      <c r="C63" s="1726"/>
      <c r="D63" s="1726"/>
      <c r="E63" s="1507"/>
      <c r="F63" s="1507"/>
      <c r="G63" s="1830"/>
      <c r="H63" s="1830"/>
    </row>
    <row r="64" spans="1:13" x14ac:dyDescent="0.25">
      <c r="A64" s="1743" t="s">
        <v>2559</v>
      </c>
      <c r="B64" s="1738"/>
      <c r="C64" s="1507">
        <f>SUMIFS(MAP!$N:$N,MAP!$B:$B,"22.2",MAP!$E:$E,A64)</f>
        <v>0</v>
      </c>
      <c r="D64" s="1846">
        <v>360568.74300000002</v>
      </c>
      <c r="E64" s="1507"/>
      <c r="F64" s="1507"/>
      <c r="G64" s="1830" t="s">
        <v>2789</v>
      </c>
      <c r="H64" s="1830"/>
      <c r="I64" t="s">
        <v>2838</v>
      </c>
    </row>
    <row r="65" spans="1:9" x14ac:dyDescent="0.25">
      <c r="A65" s="1743" t="s">
        <v>2560</v>
      </c>
      <c r="B65" s="1738"/>
      <c r="C65" s="1507">
        <f>SUMIFS(MAP!$N:$N,MAP!$B:$B,"22.2",MAP!$E:$E,A65)</f>
        <v>0</v>
      </c>
      <c r="D65" s="1846">
        <v>9456.6929999999993</v>
      </c>
      <c r="E65" s="1507"/>
      <c r="F65" s="1507"/>
      <c r="G65" s="1830" t="s">
        <v>2789</v>
      </c>
      <c r="H65" s="1830"/>
      <c r="I65" s="4" t="s">
        <v>2790</v>
      </c>
    </row>
    <row r="66" spans="1:9" x14ac:dyDescent="0.25">
      <c r="A66" s="1743" t="s">
        <v>5</v>
      </c>
      <c r="B66" s="1738"/>
      <c r="C66" s="1507">
        <f>SUMIFS(MAP!$N:$N,MAP!$B:$B,"22.2",MAP!$E:$E,A66)</f>
        <v>0</v>
      </c>
      <c r="D66" s="1846"/>
      <c r="E66" s="1507"/>
      <c r="F66" s="1507"/>
      <c r="G66" s="1830" t="s">
        <v>2789</v>
      </c>
      <c r="H66" s="1830"/>
      <c r="I66" s="4" t="s">
        <v>2791</v>
      </c>
    </row>
    <row r="67" spans="1:9" x14ac:dyDescent="0.25">
      <c r="A67" s="1742" t="s">
        <v>2561</v>
      </c>
      <c r="B67" s="1738"/>
      <c r="C67" s="1507">
        <f>SUMIFS(MAP!$N:$N,MAP!$B:$B,"22.2",MAP!$E:$E,A67)</f>
        <v>0</v>
      </c>
      <c r="D67" s="1846"/>
      <c r="E67" s="1507"/>
      <c r="F67" s="1507"/>
      <c r="G67" s="1830" t="s">
        <v>2789</v>
      </c>
      <c r="H67" s="1830"/>
      <c r="I67" s="4" t="s">
        <v>2792</v>
      </c>
    </row>
    <row r="68" spans="1:9" x14ac:dyDescent="0.25">
      <c r="A68" s="1741" t="s">
        <v>2547</v>
      </c>
      <c r="B68" s="1738"/>
      <c r="C68" s="1507">
        <f>SUMIFS(MAP!$N:$N,MAP!$B:$B,"22.2",MAP!$E:$E,A68)</f>
        <v>0</v>
      </c>
      <c r="D68" s="1846"/>
      <c r="E68" s="1507"/>
      <c r="F68" s="1507"/>
      <c r="G68" s="1830" t="s">
        <v>2789</v>
      </c>
      <c r="H68" s="1830"/>
      <c r="I68" s="4" t="s">
        <v>2793</v>
      </c>
    </row>
    <row r="69" spans="1:9" x14ac:dyDescent="0.25">
      <c r="A69" s="1741"/>
      <c r="B69" s="1738"/>
      <c r="C69" s="1507">
        <f>SUMIFS(MAP!$N:$N,MAP!$B:$B,"22.2",MAP!$E:$E,A69)</f>
        <v>0</v>
      </c>
      <c r="D69" s="1846"/>
      <c r="E69" s="1507"/>
      <c r="F69" s="1507"/>
      <c r="G69" s="1830" t="s">
        <v>2789</v>
      </c>
      <c r="H69" s="1830"/>
    </row>
    <row r="70" spans="1:9" x14ac:dyDescent="0.25">
      <c r="A70" s="1741"/>
      <c r="B70" s="1738"/>
      <c r="C70" s="1507">
        <f>SUMIFS(MAP!$N:$N,MAP!$B:$B,"22.2",MAP!$E:$E,A70)</f>
        <v>0</v>
      </c>
      <c r="D70" s="1846"/>
      <c r="E70" s="1507"/>
      <c r="F70" s="1507"/>
      <c r="G70" s="1830" t="s">
        <v>2789</v>
      </c>
      <c r="H70" s="1830"/>
    </row>
    <row r="71" spans="1:9" ht="15.75" thickBot="1" x14ac:dyDescent="0.3">
      <c r="A71" s="1739" t="s">
        <v>2562</v>
      </c>
      <c r="B71" s="1738"/>
      <c r="C71" s="1844">
        <f>SUM(C64:C70)</f>
        <v>0</v>
      </c>
      <c r="D71" s="1844">
        <f>SUM(D64:D70)</f>
        <v>370025.43599999999</v>
      </c>
      <c r="E71" s="1507"/>
      <c r="F71" s="1507"/>
      <c r="G71" s="1507"/>
      <c r="H71" s="1507"/>
      <c r="I71" s="4" t="s">
        <v>2781</v>
      </c>
    </row>
    <row r="72" spans="1:9" ht="15.75" thickTop="1" x14ac:dyDescent="0.25">
      <c r="A72" s="1739"/>
      <c r="B72" s="1738"/>
      <c r="C72" s="1849"/>
      <c r="D72" s="1849"/>
      <c r="E72" s="1507"/>
      <c r="F72" s="1507"/>
      <c r="G72" s="1507"/>
      <c r="H72" s="1507"/>
    </row>
    <row r="73" spans="1:9" x14ac:dyDescent="0.25">
      <c r="A73" s="1739" t="s">
        <v>2563</v>
      </c>
      <c r="B73" s="1738"/>
      <c r="C73" s="1845"/>
      <c r="D73" s="1845"/>
      <c r="E73" s="1507"/>
      <c r="F73" s="1507"/>
      <c r="G73" s="1507"/>
      <c r="H73" s="1507"/>
    </row>
    <row r="74" spans="1:9" x14ac:dyDescent="0.25">
      <c r="A74" s="1740" t="s">
        <v>2761</v>
      </c>
      <c r="B74" s="1738"/>
      <c r="C74" s="1845">
        <f>SUMIFS(MAP!$N:$N,MAP!$B:$B,"22.2",MAP!$E:$E,A74)</f>
        <v>0</v>
      </c>
      <c r="D74" s="1846"/>
      <c r="E74" s="1507"/>
      <c r="F74" s="1507"/>
      <c r="G74" s="1738" t="s">
        <v>2795</v>
      </c>
      <c r="H74" s="1507"/>
      <c r="I74" t="s">
        <v>2794</v>
      </c>
    </row>
    <row r="75" spans="1:9" x14ac:dyDescent="0.25">
      <c r="A75" s="1740"/>
      <c r="B75" s="1738"/>
      <c r="C75" s="1743">
        <f>SUMIFS(MAP!$N:$N,MAP!$B:$B,"22.2",MAP!$E:$E,A75)</f>
        <v>0</v>
      </c>
      <c r="D75" s="1846"/>
      <c r="E75" s="1507"/>
      <c r="F75" s="1507"/>
      <c r="G75" s="1738" t="s">
        <v>2795</v>
      </c>
      <c r="H75" s="1507"/>
      <c r="I75" t="s">
        <v>2784</v>
      </c>
    </row>
    <row r="76" spans="1:9" x14ac:dyDescent="0.25">
      <c r="A76" s="1740"/>
      <c r="B76" s="1738"/>
      <c r="C76" s="1743">
        <f>SUMIFS(MAP!$N:$N,MAP!$B:$B,"22.2",MAP!$E:$E,A76)</f>
        <v>0</v>
      </c>
      <c r="D76" s="1846"/>
      <c r="E76" s="1507"/>
      <c r="F76" s="1507"/>
      <c r="G76" s="1738" t="s">
        <v>2795</v>
      </c>
      <c r="H76" s="1507"/>
    </row>
    <row r="77" spans="1:9" x14ac:dyDescent="0.25">
      <c r="A77" s="1740"/>
      <c r="B77" s="1738"/>
      <c r="C77" s="1743">
        <f>SUMIFS(MAP!$N:$N,MAP!$B:$B,"22.2",MAP!$E:$E,A77)</f>
        <v>0</v>
      </c>
      <c r="D77" s="1846"/>
      <c r="E77" s="1507"/>
      <c r="F77" s="1507"/>
      <c r="G77" s="1738" t="s">
        <v>2795</v>
      </c>
      <c r="H77" s="1507"/>
    </row>
    <row r="78" spans="1:9" x14ac:dyDescent="0.25">
      <c r="A78" s="1740"/>
      <c r="B78" s="1738"/>
      <c r="C78" s="1743">
        <f>SUMIFS(MAP!$N:$N,MAP!$B:$B,"22.2",MAP!$E:$E,A78)</f>
        <v>0</v>
      </c>
      <c r="D78" s="1846"/>
      <c r="E78" s="1507"/>
      <c r="F78" s="1507"/>
      <c r="G78" s="1738" t="s">
        <v>2795</v>
      </c>
      <c r="H78" s="1507"/>
    </row>
    <row r="79" spans="1:9" x14ac:dyDescent="0.25">
      <c r="A79" s="1740"/>
      <c r="B79" s="1738"/>
      <c r="C79" s="1743">
        <f>SUMIFS(MAP!$N:$N,MAP!$B:$B,"22.2",MAP!$E:$E,A79)</f>
        <v>0</v>
      </c>
      <c r="D79" s="1846"/>
      <c r="E79" s="1507"/>
      <c r="F79" s="1507"/>
      <c r="G79" s="1738" t="s">
        <v>2795</v>
      </c>
      <c r="H79" s="1507"/>
    </row>
    <row r="80" spans="1:9" ht="15.75" thickBot="1" x14ac:dyDescent="0.3">
      <c r="A80" s="1739" t="s">
        <v>2564</v>
      </c>
      <c r="B80" s="1738"/>
      <c r="C80" s="1844">
        <f>SUM(C74:C79)</f>
        <v>0</v>
      </c>
      <c r="D80" s="1844">
        <f>SUM(D74:D79)</f>
        <v>0</v>
      </c>
      <c r="E80" s="1507"/>
      <c r="F80" s="1507"/>
      <c r="G80" s="1507"/>
      <c r="H80" s="1507"/>
      <c r="I80" t="s">
        <v>2796</v>
      </c>
    </row>
    <row r="81" spans="1:9" ht="15.75" thickTop="1" x14ac:dyDescent="0.25">
      <c r="A81" s="1729"/>
      <c r="B81" s="1738"/>
      <c r="C81" s="1845"/>
      <c r="D81" s="1845"/>
      <c r="E81" s="1507"/>
      <c r="F81" s="1507"/>
      <c r="G81" s="1507"/>
      <c r="H81" s="1507"/>
    </row>
    <row r="82" spans="1:9" ht="15.75" thickBot="1" x14ac:dyDescent="0.3">
      <c r="A82" s="1739" t="s">
        <v>2565</v>
      </c>
      <c r="B82" s="1738"/>
      <c r="C82" s="1844">
        <f>C71+C80</f>
        <v>0</v>
      </c>
      <c r="D82" s="1844">
        <f>D71+D80</f>
        <v>370025.43599999999</v>
      </c>
      <c r="E82" s="1507"/>
      <c r="F82" s="1507"/>
      <c r="G82" s="1507"/>
      <c r="H82" s="1507"/>
      <c r="I82" t="s">
        <v>2797</v>
      </c>
    </row>
    <row r="83" spans="1:9" ht="15.75" thickTop="1" x14ac:dyDescent="0.25">
      <c r="A83" s="1507"/>
      <c r="B83" s="1507"/>
      <c r="C83" s="1737"/>
      <c r="D83" s="1737"/>
      <c r="E83" s="1507"/>
      <c r="F83" s="1507"/>
      <c r="G83" s="1507"/>
      <c r="H83" s="1507"/>
    </row>
    <row r="84" spans="1:9" x14ac:dyDescent="0.25">
      <c r="A84" s="1506" t="s">
        <v>2566</v>
      </c>
      <c r="B84" s="1507"/>
      <c r="C84" s="1737"/>
      <c r="D84" s="1737"/>
      <c r="E84" s="1507"/>
      <c r="F84" s="1507"/>
      <c r="G84" s="1507"/>
      <c r="H84" s="1507"/>
    </row>
    <row r="85" spans="1:9" x14ac:dyDescent="0.25">
      <c r="A85" s="1507"/>
      <c r="B85" s="1507"/>
      <c r="C85" s="1737"/>
      <c r="D85" s="1737"/>
      <c r="E85" s="1507"/>
      <c r="F85" s="1507"/>
      <c r="G85" s="1507"/>
      <c r="H85" s="1507"/>
    </row>
    <row r="86" spans="1:9" x14ac:dyDescent="0.25">
      <c r="A86" s="1507" t="s">
        <v>2567</v>
      </c>
      <c r="B86" s="1507"/>
      <c r="C86" s="1737">
        <f>SUMIFS(MAP!$N:$N,MAP!$B:$B,"22.2",MAP!$E:$E,A86)</f>
        <v>0</v>
      </c>
      <c r="D86" s="1735">
        <v>355483.71600000001</v>
      </c>
      <c r="E86" s="939" t="s">
        <v>1328</v>
      </c>
      <c r="F86" s="1507">
        <v>0</v>
      </c>
      <c r="G86" s="1738" t="s">
        <v>2775</v>
      </c>
      <c r="H86" s="1507"/>
      <c r="I86" t="s">
        <v>2798</v>
      </c>
    </row>
    <row r="87" spans="1:9" x14ac:dyDescent="0.25">
      <c r="A87" s="1507"/>
      <c r="B87" s="1507"/>
      <c r="C87" s="1737"/>
      <c r="D87" s="1737"/>
      <c r="E87" s="1507"/>
      <c r="F87" s="1507"/>
      <c r="G87" s="1507"/>
      <c r="H87" s="1507"/>
    </row>
    <row r="88" spans="1:9" x14ac:dyDescent="0.25">
      <c r="A88" s="1506" t="s">
        <v>2568</v>
      </c>
      <c r="B88" s="1507"/>
      <c r="C88" s="1737"/>
      <c r="D88" s="1737"/>
      <c r="E88" s="1507"/>
      <c r="F88" s="1507"/>
      <c r="G88" s="1507"/>
      <c r="H88" s="1507"/>
    </row>
    <row r="89" spans="1:9" x14ac:dyDescent="0.25">
      <c r="A89" s="1507" t="s">
        <v>2569</v>
      </c>
      <c r="B89" s="1507"/>
      <c r="C89" s="1840">
        <f>SUMIFS(MAP!$N:$N,MAP!$B:$B,"22.2",MAP!$E:$E,A89)</f>
        <v>0</v>
      </c>
      <c r="D89" s="1736">
        <v>-594</v>
      </c>
      <c r="E89" s="1507"/>
      <c r="F89" s="1507"/>
      <c r="G89" s="1738" t="s">
        <v>2795</v>
      </c>
      <c r="H89" s="1507"/>
    </row>
    <row r="90" spans="1:9" x14ac:dyDescent="0.25">
      <c r="A90" s="1507" t="s">
        <v>2570</v>
      </c>
      <c r="B90" s="1507"/>
      <c r="C90" s="1840">
        <f>SUMIFS(MAP!$N:$N,MAP!$B:$B,"22.2",MAP!$E:$E,A90)</f>
        <v>0</v>
      </c>
      <c r="D90" s="1736">
        <v>-1905.5</v>
      </c>
      <c r="E90" s="1507"/>
      <c r="F90" s="1507"/>
      <c r="G90" s="1738" t="s">
        <v>2795</v>
      </c>
      <c r="H90" s="1507"/>
    </row>
    <row r="91" spans="1:9" x14ac:dyDescent="0.25">
      <c r="A91" s="1507" t="s">
        <v>2571</v>
      </c>
      <c r="B91" s="1507"/>
      <c r="C91" s="1840">
        <f>SUMIFS(MAP!$N:$N,MAP!$B:$B,"22.2",MAP!$E:$E,A91)</f>
        <v>0</v>
      </c>
      <c r="D91" s="1735">
        <v>-834.70100000000002</v>
      </c>
      <c r="E91" s="1507"/>
      <c r="F91" s="1507"/>
      <c r="G91" s="1738" t="s">
        <v>2795</v>
      </c>
      <c r="H91" s="1507"/>
    </row>
    <row r="92" spans="1:9" x14ac:dyDescent="0.25">
      <c r="A92" s="1830" t="s">
        <v>2839</v>
      </c>
      <c r="B92" s="1830"/>
      <c r="C92" s="1840">
        <f>SUMIFS(MAP!$N:$N,MAP!$B:$B,"22.2",MAP!$E:$E,A92)</f>
        <v>0</v>
      </c>
      <c r="D92" s="1831"/>
      <c r="E92" s="1830"/>
      <c r="F92" s="1830"/>
      <c r="G92" s="1738"/>
      <c r="H92" s="1830"/>
      <c r="I92" t="s">
        <v>2840</v>
      </c>
    </row>
    <row r="93" spans="1:9" x14ac:dyDescent="0.25">
      <c r="A93" s="1740" t="s">
        <v>2841</v>
      </c>
      <c r="B93" s="1830"/>
      <c r="C93" s="1840">
        <f>SUMIFS(MAP!$N:$N,MAP!$B:$B,"22.2",MAP!$E:$E,A93)</f>
        <v>0</v>
      </c>
      <c r="D93" s="1831"/>
      <c r="E93" s="1830"/>
      <c r="F93" s="1830"/>
      <c r="G93" s="1738"/>
      <c r="H93" s="1830"/>
      <c r="I93" t="s">
        <v>2837</v>
      </c>
    </row>
    <row r="94" spans="1:9" x14ac:dyDescent="0.25">
      <c r="A94" s="1734" t="s">
        <v>2842</v>
      </c>
      <c r="B94" s="1507"/>
      <c r="C94" s="1840"/>
      <c r="D94" s="1733"/>
      <c r="E94" s="1507"/>
      <c r="F94" s="1507"/>
      <c r="H94" s="1507"/>
      <c r="I94" t="s">
        <v>2799</v>
      </c>
    </row>
    <row r="95" spans="1:9" x14ac:dyDescent="0.25">
      <c r="A95" s="1732" t="s">
        <v>2554</v>
      </c>
      <c r="B95" s="1507"/>
      <c r="C95" s="1840">
        <f t="shared" ref="C95:C97" si="0">-C40</f>
        <v>0</v>
      </c>
      <c r="D95" s="1843">
        <v>2750.7750000000001</v>
      </c>
      <c r="E95" s="1507"/>
      <c r="F95" s="1507"/>
      <c r="G95" s="1507"/>
      <c r="H95" s="1507"/>
      <c r="I95" t="s">
        <v>2800</v>
      </c>
    </row>
    <row r="96" spans="1:9" x14ac:dyDescent="0.25">
      <c r="A96" s="1732" t="s">
        <v>2555</v>
      </c>
      <c r="B96" s="1507"/>
      <c r="C96" s="1840">
        <f t="shared" si="0"/>
        <v>0</v>
      </c>
      <c r="D96" s="1843">
        <v>2400</v>
      </c>
      <c r="E96" s="1507"/>
      <c r="F96" s="1507"/>
      <c r="G96" s="1507"/>
      <c r="H96" s="1507"/>
      <c r="I96" t="s">
        <v>2800</v>
      </c>
    </row>
    <row r="97" spans="1:9" x14ac:dyDescent="0.25">
      <c r="A97" s="1732" t="s">
        <v>2427</v>
      </c>
      <c r="B97" s="1507"/>
      <c r="C97" s="1840">
        <f t="shared" si="0"/>
        <v>0</v>
      </c>
      <c r="D97" s="1843">
        <v>12546.469000000001</v>
      </c>
      <c r="E97" s="1507"/>
      <c r="F97" s="1507"/>
      <c r="G97" s="1507"/>
      <c r="H97" s="1507"/>
      <c r="I97" t="s">
        <v>2800</v>
      </c>
    </row>
    <row r="98" spans="1:9" x14ac:dyDescent="0.25">
      <c r="A98" s="1829" t="s">
        <v>2843</v>
      </c>
      <c r="B98" s="1507"/>
      <c r="C98" s="1840">
        <f>SUMIFS(MAP!$N:$N,MAP!$B:$B,"22.2",MAP!$E:$E,A98)</f>
        <v>0</v>
      </c>
      <c r="D98" s="1832"/>
      <c r="E98" s="1507"/>
      <c r="F98" s="1507"/>
      <c r="G98" s="1507"/>
      <c r="H98" s="1507"/>
    </row>
    <row r="99" spans="1:9" x14ac:dyDescent="0.25">
      <c r="A99" s="1740" t="s">
        <v>2844</v>
      </c>
      <c r="B99" s="1507"/>
      <c r="C99" s="1840">
        <f>SUMIFS(MAP!$N:$N,MAP!$B:$B,"22.2",MAP!$E:$E,A99)</f>
        <v>0</v>
      </c>
      <c r="D99" s="1831"/>
      <c r="E99" s="1507"/>
      <c r="F99" s="1507"/>
      <c r="G99" s="1507"/>
      <c r="H99" s="1507"/>
      <c r="I99" t="s">
        <v>2801</v>
      </c>
    </row>
    <row r="100" spans="1:9" ht="15.75" thickBot="1" x14ac:dyDescent="0.3">
      <c r="A100" s="1730" t="s">
        <v>2572</v>
      </c>
      <c r="B100" s="1728"/>
      <c r="C100" s="1850">
        <f>SUM(C86:C99)</f>
        <v>0</v>
      </c>
      <c r="D100" s="1850">
        <f>SUM(D86:D99)</f>
        <v>369846.75900000002</v>
      </c>
      <c r="E100" s="1507"/>
      <c r="F100" s="1507"/>
      <c r="G100" s="1507"/>
      <c r="H100" s="1507"/>
    </row>
    <row r="101" spans="1:9" ht="15.75" thickTop="1" x14ac:dyDescent="0.25">
      <c r="A101"/>
      <c r="B101" s="1728"/>
      <c r="C101" s="1726"/>
      <c r="D101" s="1726"/>
      <c r="E101" s="1507"/>
      <c r="F101" s="1507"/>
      <c r="G101" s="1507"/>
      <c r="H101" s="1507"/>
    </row>
    <row r="102" spans="1:9" ht="15.75" thickBot="1" x14ac:dyDescent="0.3">
      <c r="A102" s="1729" t="s">
        <v>2765</v>
      </c>
      <c r="B102" s="1728"/>
      <c r="C102" s="1850">
        <f>C82-C100</f>
        <v>0</v>
      </c>
      <c r="D102" s="1850">
        <f>D82-D100</f>
        <v>178.67699999996694</v>
      </c>
      <c r="E102" s="1507"/>
      <c r="F102" s="1507"/>
      <c r="G102" s="1507"/>
      <c r="H102" s="1507"/>
    </row>
    <row r="103" spans="1:9" ht="15.75" thickTop="1" x14ac:dyDescent="0.25">
      <c r="A103" s="1506"/>
      <c r="B103" s="1507"/>
      <c r="C103" s="1507"/>
      <c r="D103" s="1507"/>
      <c r="E103" s="1507"/>
      <c r="F103" s="1507"/>
      <c r="G103" s="1507"/>
      <c r="H103" s="1507"/>
    </row>
    <row r="104" spans="1:9" x14ac:dyDescent="0.25">
      <c r="A104" s="1507"/>
      <c r="B104" s="1507"/>
      <c r="C104" s="1507"/>
      <c r="D104" s="1507"/>
      <c r="E104" s="1507"/>
      <c r="F104" s="1507"/>
      <c r="G104" s="1507"/>
      <c r="H104" s="1507"/>
    </row>
    <row r="105" spans="1:9" x14ac:dyDescent="0.25">
      <c r="A105" s="1507"/>
      <c r="B105" s="1727"/>
      <c r="C105" s="1727"/>
      <c r="D105" s="1727"/>
      <c r="E105" s="1727"/>
      <c r="F105" s="1727"/>
      <c r="G105" s="1507"/>
      <c r="H105" s="1507"/>
    </row>
    <row r="106" spans="1:9" x14ac:dyDescent="0.25">
      <c r="G106" s="1507"/>
      <c r="H106" s="1507"/>
    </row>
    <row r="107" spans="1:9" x14ac:dyDescent="0.25">
      <c r="G107" s="1727"/>
      <c r="H107" s="1727"/>
    </row>
  </sheetData>
  <mergeCells count="1">
    <mergeCell ref="A5:D5"/>
  </mergeCells>
  <conditionalFormatting sqref="A3">
    <cfRule type="expression" dxfId="340" priority="3">
      <formula>CELL("Protect",A3)=0</formula>
    </cfRule>
  </conditionalFormatting>
  <conditionalFormatting sqref="C11:D11">
    <cfRule type="expression" dxfId="339" priority="2">
      <formula>CELL("Protect",C11)=0</formula>
    </cfRule>
  </conditionalFormatting>
  <conditionalFormatting sqref="C12:F12">
    <cfRule type="expression" dxfId="338" priority="1">
      <formula>CELL("Protect",C12)=0</formula>
    </cfRule>
  </conditionalFormatting>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tabColor rgb="FF00B0F0"/>
    <pageSetUpPr fitToPage="1"/>
  </sheetPr>
  <dimension ref="B1:J37"/>
  <sheetViews>
    <sheetView zoomScaleNormal="100" workbookViewId="0">
      <selection activeCell="G5" sqref="G4:G5"/>
    </sheetView>
  </sheetViews>
  <sheetFormatPr defaultRowHeight="12.75" x14ac:dyDescent="0.2"/>
  <cols>
    <col min="1" max="1" width="4.28515625" style="34" customWidth="1"/>
    <col min="2" max="2" width="33" style="34" customWidth="1"/>
    <col min="3" max="3" width="16.28515625" style="34" customWidth="1"/>
    <col min="4" max="4" width="3.28515625" style="34" customWidth="1"/>
    <col min="5" max="5" width="14.42578125" style="34" customWidth="1"/>
    <col min="6" max="6" width="4.85546875" style="34" customWidth="1"/>
    <col min="7" max="7" width="14.5703125" style="34" bestFit="1" customWidth="1"/>
    <col min="8" max="8" width="9.140625" style="34"/>
    <col min="9" max="9" width="19.42578125" style="177" customWidth="1"/>
    <col min="10" max="10" width="39.28515625" style="34" customWidth="1"/>
    <col min="11" max="256" width="9.140625" style="34"/>
    <col min="257" max="257" width="4.28515625" style="34" customWidth="1"/>
    <col min="258" max="258" width="33" style="34" customWidth="1"/>
    <col min="259" max="259" width="16.28515625" style="34" customWidth="1"/>
    <col min="260" max="260" width="3.28515625" style="34" customWidth="1"/>
    <col min="261" max="261" width="14.42578125" style="34" customWidth="1"/>
    <col min="262" max="262" width="4.85546875" style="34" customWidth="1"/>
    <col min="263" max="263" width="14.5703125" style="34" bestFit="1" customWidth="1"/>
    <col min="264" max="264" width="9.140625" style="34"/>
    <col min="265" max="265" width="19.42578125" style="34" customWidth="1"/>
    <col min="266" max="266" width="39.28515625" style="34" customWidth="1"/>
    <col min="267" max="512" width="9.140625" style="34"/>
    <col min="513" max="513" width="4.28515625" style="34" customWidth="1"/>
    <col min="514" max="514" width="33" style="34" customWidth="1"/>
    <col min="515" max="515" width="16.28515625" style="34" customWidth="1"/>
    <col min="516" max="516" width="3.28515625" style="34" customWidth="1"/>
    <col min="517" max="517" width="14.42578125" style="34" customWidth="1"/>
    <col min="518" max="518" width="4.85546875" style="34" customWidth="1"/>
    <col min="519" max="519" width="14.5703125" style="34" bestFit="1" customWidth="1"/>
    <col min="520" max="520" width="9.140625" style="34"/>
    <col min="521" max="521" width="19.42578125" style="34" customWidth="1"/>
    <col min="522" max="522" width="39.28515625" style="34" customWidth="1"/>
    <col min="523" max="768" width="9.140625" style="34"/>
    <col min="769" max="769" width="4.28515625" style="34" customWidth="1"/>
    <col min="770" max="770" width="33" style="34" customWidth="1"/>
    <col min="771" max="771" width="16.28515625" style="34" customWidth="1"/>
    <col min="772" max="772" width="3.28515625" style="34" customWidth="1"/>
    <col min="773" max="773" width="14.42578125" style="34" customWidth="1"/>
    <col min="774" max="774" width="4.85546875" style="34" customWidth="1"/>
    <col min="775" max="775" width="14.5703125" style="34" bestFit="1" customWidth="1"/>
    <col min="776" max="776" width="9.140625" style="34"/>
    <col min="777" max="777" width="19.42578125" style="34" customWidth="1"/>
    <col min="778" max="778" width="39.28515625" style="34" customWidth="1"/>
    <col min="779" max="1024" width="9.140625" style="34"/>
    <col min="1025" max="1025" width="4.28515625" style="34" customWidth="1"/>
    <col min="1026" max="1026" width="33" style="34" customWidth="1"/>
    <col min="1027" max="1027" width="16.28515625" style="34" customWidth="1"/>
    <col min="1028" max="1028" width="3.28515625" style="34" customWidth="1"/>
    <col min="1029" max="1029" width="14.42578125" style="34" customWidth="1"/>
    <col min="1030" max="1030" width="4.85546875" style="34" customWidth="1"/>
    <col min="1031" max="1031" width="14.5703125" style="34" bestFit="1" customWidth="1"/>
    <col min="1032" max="1032" width="9.140625" style="34"/>
    <col min="1033" max="1033" width="19.42578125" style="34" customWidth="1"/>
    <col min="1034" max="1034" width="39.28515625" style="34" customWidth="1"/>
    <col min="1035" max="1280" width="9.140625" style="34"/>
    <col min="1281" max="1281" width="4.28515625" style="34" customWidth="1"/>
    <col min="1282" max="1282" width="33" style="34" customWidth="1"/>
    <col min="1283" max="1283" width="16.28515625" style="34" customWidth="1"/>
    <col min="1284" max="1284" width="3.28515625" style="34" customWidth="1"/>
    <col min="1285" max="1285" width="14.42578125" style="34" customWidth="1"/>
    <col min="1286" max="1286" width="4.85546875" style="34" customWidth="1"/>
    <col min="1287" max="1287" width="14.5703125" style="34" bestFit="1" customWidth="1"/>
    <col min="1288" max="1288" width="9.140625" style="34"/>
    <col min="1289" max="1289" width="19.42578125" style="34" customWidth="1"/>
    <col min="1290" max="1290" width="39.28515625" style="34" customWidth="1"/>
    <col min="1291" max="1536" width="9.140625" style="34"/>
    <col min="1537" max="1537" width="4.28515625" style="34" customWidth="1"/>
    <col min="1538" max="1538" width="33" style="34" customWidth="1"/>
    <col min="1539" max="1539" width="16.28515625" style="34" customWidth="1"/>
    <col min="1540" max="1540" width="3.28515625" style="34" customWidth="1"/>
    <col min="1541" max="1541" width="14.42578125" style="34" customWidth="1"/>
    <col min="1542" max="1542" width="4.85546875" style="34" customWidth="1"/>
    <col min="1543" max="1543" width="14.5703125" style="34" bestFit="1" customWidth="1"/>
    <col min="1544" max="1544" width="9.140625" style="34"/>
    <col min="1545" max="1545" width="19.42578125" style="34" customWidth="1"/>
    <col min="1546" max="1546" width="39.28515625" style="34" customWidth="1"/>
    <col min="1547" max="1792" width="9.140625" style="34"/>
    <col min="1793" max="1793" width="4.28515625" style="34" customWidth="1"/>
    <col min="1794" max="1794" width="33" style="34" customWidth="1"/>
    <col min="1795" max="1795" width="16.28515625" style="34" customWidth="1"/>
    <col min="1796" max="1796" width="3.28515625" style="34" customWidth="1"/>
    <col min="1797" max="1797" width="14.42578125" style="34" customWidth="1"/>
    <col min="1798" max="1798" width="4.85546875" style="34" customWidth="1"/>
    <col min="1799" max="1799" width="14.5703125" style="34" bestFit="1" customWidth="1"/>
    <col min="1800" max="1800" width="9.140625" style="34"/>
    <col min="1801" max="1801" width="19.42578125" style="34" customWidth="1"/>
    <col min="1802" max="1802" width="39.28515625" style="34" customWidth="1"/>
    <col min="1803" max="2048" width="9.140625" style="34"/>
    <col min="2049" max="2049" width="4.28515625" style="34" customWidth="1"/>
    <col min="2050" max="2050" width="33" style="34" customWidth="1"/>
    <col min="2051" max="2051" width="16.28515625" style="34" customWidth="1"/>
    <col min="2052" max="2052" width="3.28515625" style="34" customWidth="1"/>
    <col min="2053" max="2053" width="14.42578125" style="34" customWidth="1"/>
    <col min="2054" max="2054" width="4.85546875" style="34" customWidth="1"/>
    <col min="2055" max="2055" width="14.5703125" style="34" bestFit="1" customWidth="1"/>
    <col min="2056" max="2056" width="9.140625" style="34"/>
    <col min="2057" max="2057" width="19.42578125" style="34" customWidth="1"/>
    <col min="2058" max="2058" width="39.28515625" style="34" customWidth="1"/>
    <col min="2059" max="2304" width="9.140625" style="34"/>
    <col min="2305" max="2305" width="4.28515625" style="34" customWidth="1"/>
    <col min="2306" max="2306" width="33" style="34" customWidth="1"/>
    <col min="2307" max="2307" width="16.28515625" style="34" customWidth="1"/>
    <col min="2308" max="2308" width="3.28515625" style="34" customWidth="1"/>
    <col min="2309" max="2309" width="14.42578125" style="34" customWidth="1"/>
    <col min="2310" max="2310" width="4.85546875" style="34" customWidth="1"/>
    <col min="2311" max="2311" width="14.5703125" style="34" bestFit="1" customWidth="1"/>
    <col min="2312" max="2312" width="9.140625" style="34"/>
    <col min="2313" max="2313" width="19.42578125" style="34" customWidth="1"/>
    <col min="2314" max="2314" width="39.28515625" style="34" customWidth="1"/>
    <col min="2315" max="2560" width="9.140625" style="34"/>
    <col min="2561" max="2561" width="4.28515625" style="34" customWidth="1"/>
    <col min="2562" max="2562" width="33" style="34" customWidth="1"/>
    <col min="2563" max="2563" width="16.28515625" style="34" customWidth="1"/>
    <col min="2564" max="2564" width="3.28515625" style="34" customWidth="1"/>
    <col min="2565" max="2565" width="14.42578125" style="34" customWidth="1"/>
    <col min="2566" max="2566" width="4.85546875" style="34" customWidth="1"/>
    <col min="2567" max="2567" width="14.5703125" style="34" bestFit="1" customWidth="1"/>
    <col min="2568" max="2568" width="9.140625" style="34"/>
    <col min="2569" max="2569" width="19.42578125" style="34" customWidth="1"/>
    <col min="2570" max="2570" width="39.28515625" style="34" customWidth="1"/>
    <col min="2571" max="2816" width="9.140625" style="34"/>
    <col min="2817" max="2817" width="4.28515625" style="34" customWidth="1"/>
    <col min="2818" max="2818" width="33" style="34" customWidth="1"/>
    <col min="2819" max="2819" width="16.28515625" style="34" customWidth="1"/>
    <col min="2820" max="2820" width="3.28515625" style="34" customWidth="1"/>
    <col min="2821" max="2821" width="14.42578125" style="34" customWidth="1"/>
    <col min="2822" max="2822" width="4.85546875" style="34" customWidth="1"/>
    <col min="2823" max="2823" width="14.5703125" style="34" bestFit="1" customWidth="1"/>
    <col min="2824" max="2824" width="9.140625" style="34"/>
    <col min="2825" max="2825" width="19.42578125" style="34" customWidth="1"/>
    <col min="2826" max="2826" width="39.28515625" style="34" customWidth="1"/>
    <col min="2827" max="3072" width="9.140625" style="34"/>
    <col min="3073" max="3073" width="4.28515625" style="34" customWidth="1"/>
    <col min="3074" max="3074" width="33" style="34" customWidth="1"/>
    <col min="3075" max="3075" width="16.28515625" style="34" customWidth="1"/>
    <col min="3076" max="3076" width="3.28515625" style="34" customWidth="1"/>
    <col min="3077" max="3077" width="14.42578125" style="34" customWidth="1"/>
    <col min="3078" max="3078" width="4.85546875" style="34" customWidth="1"/>
    <col min="3079" max="3079" width="14.5703125" style="34" bestFit="1" customWidth="1"/>
    <col min="3080" max="3080" width="9.140625" style="34"/>
    <col min="3081" max="3081" width="19.42578125" style="34" customWidth="1"/>
    <col min="3082" max="3082" width="39.28515625" style="34" customWidth="1"/>
    <col min="3083" max="3328" width="9.140625" style="34"/>
    <col min="3329" max="3329" width="4.28515625" style="34" customWidth="1"/>
    <col min="3330" max="3330" width="33" style="34" customWidth="1"/>
    <col min="3331" max="3331" width="16.28515625" style="34" customWidth="1"/>
    <col min="3332" max="3332" width="3.28515625" style="34" customWidth="1"/>
    <col min="3333" max="3333" width="14.42578125" style="34" customWidth="1"/>
    <col min="3334" max="3334" width="4.85546875" style="34" customWidth="1"/>
    <col min="3335" max="3335" width="14.5703125" style="34" bestFit="1" customWidth="1"/>
    <col min="3336" max="3336" width="9.140625" style="34"/>
    <col min="3337" max="3337" width="19.42578125" style="34" customWidth="1"/>
    <col min="3338" max="3338" width="39.28515625" style="34" customWidth="1"/>
    <col min="3339" max="3584" width="9.140625" style="34"/>
    <col min="3585" max="3585" width="4.28515625" style="34" customWidth="1"/>
    <col min="3586" max="3586" width="33" style="34" customWidth="1"/>
    <col min="3587" max="3587" width="16.28515625" style="34" customWidth="1"/>
    <col min="3588" max="3588" width="3.28515625" style="34" customWidth="1"/>
    <col min="3589" max="3589" width="14.42578125" style="34" customWidth="1"/>
    <col min="3590" max="3590" width="4.85546875" style="34" customWidth="1"/>
    <col min="3591" max="3591" width="14.5703125" style="34" bestFit="1" customWidth="1"/>
    <col min="3592" max="3592" width="9.140625" style="34"/>
    <col min="3593" max="3593" width="19.42578125" style="34" customWidth="1"/>
    <col min="3594" max="3594" width="39.28515625" style="34" customWidth="1"/>
    <col min="3595" max="3840" width="9.140625" style="34"/>
    <col min="3841" max="3841" width="4.28515625" style="34" customWidth="1"/>
    <col min="3842" max="3842" width="33" style="34" customWidth="1"/>
    <col min="3843" max="3843" width="16.28515625" style="34" customWidth="1"/>
    <col min="3844" max="3844" width="3.28515625" style="34" customWidth="1"/>
    <col min="3845" max="3845" width="14.42578125" style="34" customWidth="1"/>
    <col min="3846" max="3846" width="4.85546875" style="34" customWidth="1"/>
    <col min="3847" max="3847" width="14.5703125" style="34" bestFit="1" customWidth="1"/>
    <col min="3848" max="3848" width="9.140625" style="34"/>
    <col min="3849" max="3849" width="19.42578125" style="34" customWidth="1"/>
    <col min="3850" max="3850" width="39.28515625" style="34" customWidth="1"/>
    <col min="3851" max="4096" width="9.140625" style="34"/>
    <col min="4097" max="4097" width="4.28515625" style="34" customWidth="1"/>
    <col min="4098" max="4098" width="33" style="34" customWidth="1"/>
    <col min="4099" max="4099" width="16.28515625" style="34" customWidth="1"/>
    <col min="4100" max="4100" width="3.28515625" style="34" customWidth="1"/>
    <col min="4101" max="4101" width="14.42578125" style="34" customWidth="1"/>
    <col min="4102" max="4102" width="4.85546875" style="34" customWidth="1"/>
    <col min="4103" max="4103" width="14.5703125" style="34" bestFit="1" customWidth="1"/>
    <col min="4104" max="4104" width="9.140625" style="34"/>
    <col min="4105" max="4105" width="19.42578125" style="34" customWidth="1"/>
    <col min="4106" max="4106" width="39.28515625" style="34" customWidth="1"/>
    <col min="4107" max="4352" width="9.140625" style="34"/>
    <col min="4353" max="4353" width="4.28515625" style="34" customWidth="1"/>
    <col min="4354" max="4354" width="33" style="34" customWidth="1"/>
    <col min="4355" max="4355" width="16.28515625" style="34" customWidth="1"/>
    <col min="4356" max="4356" width="3.28515625" style="34" customWidth="1"/>
    <col min="4357" max="4357" width="14.42578125" style="34" customWidth="1"/>
    <col min="4358" max="4358" width="4.85546875" style="34" customWidth="1"/>
    <col min="4359" max="4359" width="14.5703125" style="34" bestFit="1" customWidth="1"/>
    <col min="4360" max="4360" width="9.140625" style="34"/>
    <col min="4361" max="4361" width="19.42578125" style="34" customWidth="1"/>
    <col min="4362" max="4362" width="39.28515625" style="34" customWidth="1"/>
    <col min="4363" max="4608" width="9.140625" style="34"/>
    <col min="4609" max="4609" width="4.28515625" style="34" customWidth="1"/>
    <col min="4610" max="4610" width="33" style="34" customWidth="1"/>
    <col min="4611" max="4611" width="16.28515625" style="34" customWidth="1"/>
    <col min="4612" max="4612" width="3.28515625" style="34" customWidth="1"/>
    <col min="4613" max="4613" width="14.42578125" style="34" customWidth="1"/>
    <col min="4614" max="4614" width="4.85546875" style="34" customWidth="1"/>
    <col min="4615" max="4615" width="14.5703125" style="34" bestFit="1" customWidth="1"/>
    <col min="4616" max="4616" width="9.140625" style="34"/>
    <col min="4617" max="4617" width="19.42578125" style="34" customWidth="1"/>
    <col min="4618" max="4618" width="39.28515625" style="34" customWidth="1"/>
    <col min="4619" max="4864" width="9.140625" style="34"/>
    <col min="4865" max="4865" width="4.28515625" style="34" customWidth="1"/>
    <col min="4866" max="4866" width="33" style="34" customWidth="1"/>
    <col min="4867" max="4867" width="16.28515625" style="34" customWidth="1"/>
    <col min="4868" max="4868" width="3.28515625" style="34" customWidth="1"/>
    <col min="4869" max="4869" width="14.42578125" style="34" customWidth="1"/>
    <col min="4870" max="4870" width="4.85546875" style="34" customWidth="1"/>
    <col min="4871" max="4871" width="14.5703125" style="34" bestFit="1" customWidth="1"/>
    <col min="4872" max="4872" width="9.140625" style="34"/>
    <col min="4873" max="4873" width="19.42578125" style="34" customWidth="1"/>
    <col min="4874" max="4874" width="39.28515625" style="34" customWidth="1"/>
    <col min="4875" max="5120" width="9.140625" style="34"/>
    <col min="5121" max="5121" width="4.28515625" style="34" customWidth="1"/>
    <col min="5122" max="5122" width="33" style="34" customWidth="1"/>
    <col min="5123" max="5123" width="16.28515625" style="34" customWidth="1"/>
    <col min="5124" max="5124" width="3.28515625" style="34" customWidth="1"/>
    <col min="5125" max="5125" width="14.42578125" style="34" customWidth="1"/>
    <col min="5126" max="5126" width="4.85546875" style="34" customWidth="1"/>
    <col min="5127" max="5127" width="14.5703125" style="34" bestFit="1" customWidth="1"/>
    <col min="5128" max="5128" width="9.140625" style="34"/>
    <col min="5129" max="5129" width="19.42578125" style="34" customWidth="1"/>
    <col min="5130" max="5130" width="39.28515625" style="34" customWidth="1"/>
    <col min="5131" max="5376" width="9.140625" style="34"/>
    <col min="5377" max="5377" width="4.28515625" style="34" customWidth="1"/>
    <col min="5378" max="5378" width="33" style="34" customWidth="1"/>
    <col min="5379" max="5379" width="16.28515625" style="34" customWidth="1"/>
    <col min="5380" max="5380" width="3.28515625" style="34" customWidth="1"/>
    <col min="5381" max="5381" width="14.42578125" style="34" customWidth="1"/>
    <col min="5382" max="5382" width="4.85546875" style="34" customWidth="1"/>
    <col min="5383" max="5383" width="14.5703125" style="34" bestFit="1" customWidth="1"/>
    <col min="5384" max="5384" width="9.140625" style="34"/>
    <col min="5385" max="5385" width="19.42578125" style="34" customWidth="1"/>
    <col min="5386" max="5386" width="39.28515625" style="34" customWidth="1"/>
    <col min="5387" max="5632" width="9.140625" style="34"/>
    <col min="5633" max="5633" width="4.28515625" style="34" customWidth="1"/>
    <col min="5634" max="5634" width="33" style="34" customWidth="1"/>
    <col min="5635" max="5635" width="16.28515625" style="34" customWidth="1"/>
    <col min="5636" max="5636" width="3.28515625" style="34" customWidth="1"/>
    <col min="5637" max="5637" width="14.42578125" style="34" customWidth="1"/>
    <col min="5638" max="5638" width="4.85546875" style="34" customWidth="1"/>
    <col min="5639" max="5639" width="14.5703125" style="34" bestFit="1" customWidth="1"/>
    <col min="5640" max="5640" width="9.140625" style="34"/>
    <col min="5641" max="5641" width="19.42578125" style="34" customWidth="1"/>
    <col min="5642" max="5642" width="39.28515625" style="34" customWidth="1"/>
    <col min="5643" max="5888" width="9.140625" style="34"/>
    <col min="5889" max="5889" width="4.28515625" style="34" customWidth="1"/>
    <col min="5890" max="5890" width="33" style="34" customWidth="1"/>
    <col min="5891" max="5891" width="16.28515625" style="34" customWidth="1"/>
    <col min="5892" max="5892" width="3.28515625" style="34" customWidth="1"/>
    <col min="5893" max="5893" width="14.42578125" style="34" customWidth="1"/>
    <col min="5894" max="5894" width="4.85546875" style="34" customWidth="1"/>
    <col min="5895" max="5895" width="14.5703125" style="34" bestFit="1" customWidth="1"/>
    <col min="5896" max="5896" width="9.140625" style="34"/>
    <col min="5897" max="5897" width="19.42578125" style="34" customWidth="1"/>
    <col min="5898" max="5898" width="39.28515625" style="34" customWidth="1"/>
    <col min="5899" max="6144" width="9.140625" style="34"/>
    <col min="6145" max="6145" width="4.28515625" style="34" customWidth="1"/>
    <col min="6146" max="6146" width="33" style="34" customWidth="1"/>
    <col min="6147" max="6147" width="16.28515625" style="34" customWidth="1"/>
    <col min="6148" max="6148" width="3.28515625" style="34" customWidth="1"/>
    <col min="6149" max="6149" width="14.42578125" style="34" customWidth="1"/>
    <col min="6150" max="6150" width="4.85546875" style="34" customWidth="1"/>
    <col min="6151" max="6151" width="14.5703125" style="34" bestFit="1" customWidth="1"/>
    <col min="6152" max="6152" width="9.140625" style="34"/>
    <col min="6153" max="6153" width="19.42578125" style="34" customWidth="1"/>
    <col min="6154" max="6154" width="39.28515625" style="34" customWidth="1"/>
    <col min="6155" max="6400" width="9.140625" style="34"/>
    <col min="6401" max="6401" width="4.28515625" style="34" customWidth="1"/>
    <col min="6402" max="6402" width="33" style="34" customWidth="1"/>
    <col min="6403" max="6403" width="16.28515625" style="34" customWidth="1"/>
    <col min="6404" max="6404" width="3.28515625" style="34" customWidth="1"/>
    <col min="6405" max="6405" width="14.42578125" style="34" customWidth="1"/>
    <col min="6406" max="6406" width="4.85546875" style="34" customWidth="1"/>
    <col min="6407" max="6407" width="14.5703125" style="34" bestFit="1" customWidth="1"/>
    <col min="6408" max="6408" width="9.140625" style="34"/>
    <col min="6409" max="6409" width="19.42578125" style="34" customWidth="1"/>
    <col min="6410" max="6410" width="39.28515625" style="34" customWidth="1"/>
    <col min="6411" max="6656" width="9.140625" style="34"/>
    <col min="6657" max="6657" width="4.28515625" style="34" customWidth="1"/>
    <col min="6658" max="6658" width="33" style="34" customWidth="1"/>
    <col min="6659" max="6659" width="16.28515625" style="34" customWidth="1"/>
    <col min="6660" max="6660" width="3.28515625" style="34" customWidth="1"/>
    <col min="6661" max="6661" width="14.42578125" style="34" customWidth="1"/>
    <col min="6662" max="6662" width="4.85546875" style="34" customWidth="1"/>
    <col min="6663" max="6663" width="14.5703125" style="34" bestFit="1" customWidth="1"/>
    <col min="6664" max="6664" width="9.140625" style="34"/>
    <col min="6665" max="6665" width="19.42578125" style="34" customWidth="1"/>
    <col min="6666" max="6666" width="39.28515625" style="34" customWidth="1"/>
    <col min="6667" max="6912" width="9.140625" style="34"/>
    <col min="6913" max="6913" width="4.28515625" style="34" customWidth="1"/>
    <col min="6914" max="6914" width="33" style="34" customWidth="1"/>
    <col min="6915" max="6915" width="16.28515625" style="34" customWidth="1"/>
    <col min="6916" max="6916" width="3.28515625" style="34" customWidth="1"/>
    <col min="6917" max="6917" width="14.42578125" style="34" customWidth="1"/>
    <col min="6918" max="6918" width="4.85546875" style="34" customWidth="1"/>
    <col min="6919" max="6919" width="14.5703125" style="34" bestFit="1" customWidth="1"/>
    <col min="6920" max="6920" width="9.140625" style="34"/>
    <col min="6921" max="6921" width="19.42578125" style="34" customWidth="1"/>
    <col min="6922" max="6922" width="39.28515625" style="34" customWidth="1"/>
    <col min="6923" max="7168" width="9.140625" style="34"/>
    <col min="7169" max="7169" width="4.28515625" style="34" customWidth="1"/>
    <col min="7170" max="7170" width="33" style="34" customWidth="1"/>
    <col min="7171" max="7171" width="16.28515625" style="34" customWidth="1"/>
    <col min="7172" max="7172" width="3.28515625" style="34" customWidth="1"/>
    <col min="7173" max="7173" width="14.42578125" style="34" customWidth="1"/>
    <col min="7174" max="7174" width="4.85546875" style="34" customWidth="1"/>
    <col min="7175" max="7175" width="14.5703125" style="34" bestFit="1" customWidth="1"/>
    <col min="7176" max="7176" width="9.140625" style="34"/>
    <col min="7177" max="7177" width="19.42578125" style="34" customWidth="1"/>
    <col min="7178" max="7178" width="39.28515625" style="34" customWidth="1"/>
    <col min="7179" max="7424" width="9.140625" style="34"/>
    <col min="7425" max="7425" width="4.28515625" style="34" customWidth="1"/>
    <col min="7426" max="7426" width="33" style="34" customWidth="1"/>
    <col min="7427" max="7427" width="16.28515625" style="34" customWidth="1"/>
    <col min="7428" max="7428" width="3.28515625" style="34" customWidth="1"/>
    <col min="7429" max="7429" width="14.42578125" style="34" customWidth="1"/>
    <col min="7430" max="7430" width="4.85546875" style="34" customWidth="1"/>
    <col min="7431" max="7431" width="14.5703125" style="34" bestFit="1" customWidth="1"/>
    <col min="7432" max="7432" width="9.140625" style="34"/>
    <col min="7433" max="7433" width="19.42578125" style="34" customWidth="1"/>
    <col min="7434" max="7434" width="39.28515625" style="34" customWidth="1"/>
    <col min="7435" max="7680" width="9.140625" style="34"/>
    <col min="7681" max="7681" width="4.28515625" style="34" customWidth="1"/>
    <col min="7682" max="7682" width="33" style="34" customWidth="1"/>
    <col min="7683" max="7683" width="16.28515625" style="34" customWidth="1"/>
    <col min="7684" max="7684" width="3.28515625" style="34" customWidth="1"/>
    <col min="7685" max="7685" width="14.42578125" style="34" customWidth="1"/>
    <col min="7686" max="7686" width="4.85546875" style="34" customWidth="1"/>
    <col min="7687" max="7687" width="14.5703125" style="34" bestFit="1" customWidth="1"/>
    <col min="7688" max="7688" width="9.140625" style="34"/>
    <col min="7689" max="7689" width="19.42578125" style="34" customWidth="1"/>
    <col min="7690" max="7690" width="39.28515625" style="34" customWidth="1"/>
    <col min="7691" max="7936" width="9.140625" style="34"/>
    <col min="7937" max="7937" width="4.28515625" style="34" customWidth="1"/>
    <col min="7938" max="7938" width="33" style="34" customWidth="1"/>
    <col min="7939" max="7939" width="16.28515625" style="34" customWidth="1"/>
    <col min="7940" max="7940" width="3.28515625" style="34" customWidth="1"/>
    <col min="7941" max="7941" width="14.42578125" style="34" customWidth="1"/>
    <col min="7942" max="7942" width="4.85546875" style="34" customWidth="1"/>
    <col min="7943" max="7943" width="14.5703125" style="34" bestFit="1" customWidth="1"/>
    <col min="7944" max="7944" width="9.140625" style="34"/>
    <col min="7945" max="7945" width="19.42578125" style="34" customWidth="1"/>
    <col min="7946" max="7946" width="39.28515625" style="34" customWidth="1"/>
    <col min="7947" max="8192" width="9.140625" style="34"/>
    <col min="8193" max="8193" width="4.28515625" style="34" customWidth="1"/>
    <col min="8194" max="8194" width="33" style="34" customWidth="1"/>
    <col min="8195" max="8195" width="16.28515625" style="34" customWidth="1"/>
    <col min="8196" max="8196" width="3.28515625" style="34" customWidth="1"/>
    <col min="8197" max="8197" width="14.42578125" style="34" customWidth="1"/>
    <col min="8198" max="8198" width="4.85546875" style="34" customWidth="1"/>
    <col min="8199" max="8199" width="14.5703125" style="34" bestFit="1" customWidth="1"/>
    <col min="8200" max="8200" width="9.140625" style="34"/>
    <col min="8201" max="8201" width="19.42578125" style="34" customWidth="1"/>
    <col min="8202" max="8202" width="39.28515625" style="34" customWidth="1"/>
    <col min="8203" max="8448" width="9.140625" style="34"/>
    <col min="8449" max="8449" width="4.28515625" style="34" customWidth="1"/>
    <col min="8450" max="8450" width="33" style="34" customWidth="1"/>
    <col min="8451" max="8451" width="16.28515625" style="34" customWidth="1"/>
    <col min="8452" max="8452" width="3.28515625" style="34" customWidth="1"/>
    <col min="8453" max="8453" width="14.42578125" style="34" customWidth="1"/>
    <col min="8454" max="8454" width="4.85546875" style="34" customWidth="1"/>
    <col min="8455" max="8455" width="14.5703125" style="34" bestFit="1" customWidth="1"/>
    <col min="8456" max="8456" width="9.140625" style="34"/>
    <col min="8457" max="8457" width="19.42578125" style="34" customWidth="1"/>
    <col min="8458" max="8458" width="39.28515625" style="34" customWidth="1"/>
    <col min="8459" max="8704" width="9.140625" style="34"/>
    <col min="8705" max="8705" width="4.28515625" style="34" customWidth="1"/>
    <col min="8706" max="8706" width="33" style="34" customWidth="1"/>
    <col min="8707" max="8707" width="16.28515625" style="34" customWidth="1"/>
    <col min="8708" max="8708" width="3.28515625" style="34" customWidth="1"/>
    <col min="8709" max="8709" width="14.42578125" style="34" customWidth="1"/>
    <col min="8710" max="8710" width="4.85546875" style="34" customWidth="1"/>
    <col min="8711" max="8711" width="14.5703125" style="34" bestFit="1" customWidth="1"/>
    <col min="8712" max="8712" width="9.140625" style="34"/>
    <col min="8713" max="8713" width="19.42578125" style="34" customWidth="1"/>
    <col min="8714" max="8714" width="39.28515625" style="34" customWidth="1"/>
    <col min="8715" max="8960" width="9.140625" style="34"/>
    <col min="8961" max="8961" width="4.28515625" style="34" customWidth="1"/>
    <col min="8962" max="8962" width="33" style="34" customWidth="1"/>
    <col min="8963" max="8963" width="16.28515625" style="34" customWidth="1"/>
    <col min="8964" max="8964" width="3.28515625" style="34" customWidth="1"/>
    <col min="8965" max="8965" width="14.42578125" style="34" customWidth="1"/>
    <col min="8966" max="8966" width="4.85546875" style="34" customWidth="1"/>
    <col min="8967" max="8967" width="14.5703125" style="34" bestFit="1" customWidth="1"/>
    <col min="8968" max="8968" width="9.140625" style="34"/>
    <col min="8969" max="8969" width="19.42578125" style="34" customWidth="1"/>
    <col min="8970" max="8970" width="39.28515625" style="34" customWidth="1"/>
    <col min="8971" max="9216" width="9.140625" style="34"/>
    <col min="9217" max="9217" width="4.28515625" style="34" customWidth="1"/>
    <col min="9218" max="9218" width="33" style="34" customWidth="1"/>
    <col min="9219" max="9219" width="16.28515625" style="34" customWidth="1"/>
    <col min="9220" max="9220" width="3.28515625" style="34" customWidth="1"/>
    <col min="9221" max="9221" width="14.42578125" style="34" customWidth="1"/>
    <col min="9222" max="9222" width="4.85546875" style="34" customWidth="1"/>
    <col min="9223" max="9223" width="14.5703125" style="34" bestFit="1" customWidth="1"/>
    <col min="9224" max="9224" width="9.140625" style="34"/>
    <col min="9225" max="9225" width="19.42578125" style="34" customWidth="1"/>
    <col min="9226" max="9226" width="39.28515625" style="34" customWidth="1"/>
    <col min="9227" max="9472" width="9.140625" style="34"/>
    <col min="9473" max="9473" width="4.28515625" style="34" customWidth="1"/>
    <col min="9474" max="9474" width="33" style="34" customWidth="1"/>
    <col min="9475" max="9475" width="16.28515625" style="34" customWidth="1"/>
    <col min="9476" max="9476" width="3.28515625" style="34" customWidth="1"/>
    <col min="9477" max="9477" width="14.42578125" style="34" customWidth="1"/>
    <col min="9478" max="9478" width="4.85546875" style="34" customWidth="1"/>
    <col min="9479" max="9479" width="14.5703125" style="34" bestFit="1" customWidth="1"/>
    <col min="9480" max="9480" width="9.140625" style="34"/>
    <col min="9481" max="9481" width="19.42578125" style="34" customWidth="1"/>
    <col min="9482" max="9482" width="39.28515625" style="34" customWidth="1"/>
    <col min="9483" max="9728" width="9.140625" style="34"/>
    <col min="9729" max="9729" width="4.28515625" style="34" customWidth="1"/>
    <col min="9730" max="9730" width="33" style="34" customWidth="1"/>
    <col min="9731" max="9731" width="16.28515625" style="34" customWidth="1"/>
    <col min="9732" max="9732" width="3.28515625" style="34" customWidth="1"/>
    <col min="9733" max="9733" width="14.42578125" style="34" customWidth="1"/>
    <col min="9734" max="9734" width="4.85546875" style="34" customWidth="1"/>
    <col min="9735" max="9735" width="14.5703125" style="34" bestFit="1" customWidth="1"/>
    <col min="9736" max="9736" width="9.140625" style="34"/>
    <col min="9737" max="9737" width="19.42578125" style="34" customWidth="1"/>
    <col min="9738" max="9738" width="39.28515625" style="34" customWidth="1"/>
    <col min="9739" max="9984" width="9.140625" style="34"/>
    <col min="9985" max="9985" width="4.28515625" style="34" customWidth="1"/>
    <col min="9986" max="9986" width="33" style="34" customWidth="1"/>
    <col min="9987" max="9987" width="16.28515625" style="34" customWidth="1"/>
    <col min="9988" max="9988" width="3.28515625" style="34" customWidth="1"/>
    <col min="9989" max="9989" width="14.42578125" style="34" customWidth="1"/>
    <col min="9990" max="9990" width="4.85546875" style="34" customWidth="1"/>
    <col min="9991" max="9991" width="14.5703125" style="34" bestFit="1" customWidth="1"/>
    <col min="9992" max="9992" width="9.140625" style="34"/>
    <col min="9993" max="9993" width="19.42578125" style="34" customWidth="1"/>
    <col min="9994" max="9994" width="39.28515625" style="34" customWidth="1"/>
    <col min="9995" max="10240" width="9.140625" style="34"/>
    <col min="10241" max="10241" width="4.28515625" style="34" customWidth="1"/>
    <col min="10242" max="10242" width="33" style="34" customWidth="1"/>
    <col min="10243" max="10243" width="16.28515625" style="34" customWidth="1"/>
    <col min="10244" max="10244" width="3.28515625" style="34" customWidth="1"/>
    <col min="10245" max="10245" width="14.42578125" style="34" customWidth="1"/>
    <col min="10246" max="10246" width="4.85546875" style="34" customWidth="1"/>
    <col min="10247" max="10247" width="14.5703125" style="34" bestFit="1" customWidth="1"/>
    <col min="10248" max="10248" width="9.140625" style="34"/>
    <col min="10249" max="10249" width="19.42578125" style="34" customWidth="1"/>
    <col min="10250" max="10250" width="39.28515625" style="34" customWidth="1"/>
    <col min="10251" max="10496" width="9.140625" style="34"/>
    <col min="10497" max="10497" width="4.28515625" style="34" customWidth="1"/>
    <col min="10498" max="10498" width="33" style="34" customWidth="1"/>
    <col min="10499" max="10499" width="16.28515625" style="34" customWidth="1"/>
    <col min="10500" max="10500" width="3.28515625" style="34" customWidth="1"/>
    <col min="10501" max="10501" width="14.42578125" style="34" customWidth="1"/>
    <col min="10502" max="10502" width="4.85546875" style="34" customWidth="1"/>
    <col min="10503" max="10503" width="14.5703125" style="34" bestFit="1" customWidth="1"/>
    <col min="10504" max="10504" width="9.140625" style="34"/>
    <col min="10505" max="10505" width="19.42578125" style="34" customWidth="1"/>
    <col min="10506" max="10506" width="39.28515625" style="34" customWidth="1"/>
    <col min="10507" max="10752" width="9.140625" style="34"/>
    <col min="10753" max="10753" width="4.28515625" style="34" customWidth="1"/>
    <col min="10754" max="10754" width="33" style="34" customWidth="1"/>
    <col min="10755" max="10755" width="16.28515625" style="34" customWidth="1"/>
    <col min="10756" max="10756" width="3.28515625" style="34" customWidth="1"/>
    <col min="10757" max="10757" width="14.42578125" style="34" customWidth="1"/>
    <col min="10758" max="10758" width="4.85546875" style="34" customWidth="1"/>
    <col min="10759" max="10759" width="14.5703125" style="34" bestFit="1" customWidth="1"/>
    <col min="10760" max="10760" width="9.140625" style="34"/>
    <col min="10761" max="10761" width="19.42578125" style="34" customWidth="1"/>
    <col min="10762" max="10762" width="39.28515625" style="34" customWidth="1"/>
    <col min="10763" max="11008" width="9.140625" style="34"/>
    <col min="11009" max="11009" width="4.28515625" style="34" customWidth="1"/>
    <col min="11010" max="11010" width="33" style="34" customWidth="1"/>
    <col min="11011" max="11011" width="16.28515625" style="34" customWidth="1"/>
    <col min="11012" max="11012" width="3.28515625" style="34" customWidth="1"/>
    <col min="11013" max="11013" width="14.42578125" style="34" customWidth="1"/>
    <col min="11014" max="11014" width="4.85546875" style="34" customWidth="1"/>
    <col min="11015" max="11015" width="14.5703125" style="34" bestFit="1" customWidth="1"/>
    <col min="11016" max="11016" width="9.140625" style="34"/>
    <col min="11017" max="11017" width="19.42578125" style="34" customWidth="1"/>
    <col min="11018" max="11018" width="39.28515625" style="34" customWidth="1"/>
    <col min="11019" max="11264" width="9.140625" style="34"/>
    <col min="11265" max="11265" width="4.28515625" style="34" customWidth="1"/>
    <col min="11266" max="11266" width="33" style="34" customWidth="1"/>
    <col min="11267" max="11267" width="16.28515625" style="34" customWidth="1"/>
    <col min="11268" max="11268" width="3.28515625" style="34" customWidth="1"/>
    <col min="11269" max="11269" width="14.42578125" style="34" customWidth="1"/>
    <col min="11270" max="11270" width="4.85546875" style="34" customWidth="1"/>
    <col min="11271" max="11271" width="14.5703125" style="34" bestFit="1" customWidth="1"/>
    <col min="11272" max="11272" width="9.140625" style="34"/>
    <col min="11273" max="11273" width="19.42578125" style="34" customWidth="1"/>
    <col min="11274" max="11274" width="39.28515625" style="34" customWidth="1"/>
    <col min="11275" max="11520" width="9.140625" style="34"/>
    <col min="11521" max="11521" width="4.28515625" style="34" customWidth="1"/>
    <col min="11522" max="11522" width="33" style="34" customWidth="1"/>
    <col min="11523" max="11523" width="16.28515625" style="34" customWidth="1"/>
    <col min="11524" max="11524" width="3.28515625" style="34" customWidth="1"/>
    <col min="11525" max="11525" width="14.42578125" style="34" customWidth="1"/>
    <col min="11526" max="11526" width="4.85546875" style="34" customWidth="1"/>
    <col min="11527" max="11527" width="14.5703125" style="34" bestFit="1" customWidth="1"/>
    <col min="11528" max="11528" width="9.140625" style="34"/>
    <col min="11529" max="11529" width="19.42578125" style="34" customWidth="1"/>
    <col min="11530" max="11530" width="39.28515625" style="34" customWidth="1"/>
    <col min="11531" max="11776" width="9.140625" style="34"/>
    <col min="11777" max="11777" width="4.28515625" style="34" customWidth="1"/>
    <col min="11778" max="11778" width="33" style="34" customWidth="1"/>
    <col min="11779" max="11779" width="16.28515625" style="34" customWidth="1"/>
    <col min="11780" max="11780" width="3.28515625" style="34" customWidth="1"/>
    <col min="11781" max="11781" width="14.42578125" style="34" customWidth="1"/>
    <col min="11782" max="11782" width="4.85546875" style="34" customWidth="1"/>
    <col min="11783" max="11783" width="14.5703125" style="34" bestFit="1" customWidth="1"/>
    <col min="11784" max="11784" width="9.140625" style="34"/>
    <col min="11785" max="11785" width="19.42578125" style="34" customWidth="1"/>
    <col min="11786" max="11786" width="39.28515625" style="34" customWidth="1"/>
    <col min="11787" max="12032" width="9.140625" style="34"/>
    <col min="12033" max="12033" width="4.28515625" style="34" customWidth="1"/>
    <col min="12034" max="12034" width="33" style="34" customWidth="1"/>
    <col min="12035" max="12035" width="16.28515625" style="34" customWidth="1"/>
    <col min="12036" max="12036" width="3.28515625" style="34" customWidth="1"/>
    <col min="12037" max="12037" width="14.42578125" style="34" customWidth="1"/>
    <col min="12038" max="12038" width="4.85546875" style="34" customWidth="1"/>
    <col min="12039" max="12039" width="14.5703125" style="34" bestFit="1" customWidth="1"/>
    <col min="12040" max="12040" width="9.140625" style="34"/>
    <col min="12041" max="12041" width="19.42578125" style="34" customWidth="1"/>
    <col min="12042" max="12042" width="39.28515625" style="34" customWidth="1"/>
    <col min="12043" max="12288" width="9.140625" style="34"/>
    <col min="12289" max="12289" width="4.28515625" style="34" customWidth="1"/>
    <col min="12290" max="12290" width="33" style="34" customWidth="1"/>
    <col min="12291" max="12291" width="16.28515625" style="34" customWidth="1"/>
    <col min="12292" max="12292" width="3.28515625" style="34" customWidth="1"/>
    <col min="12293" max="12293" width="14.42578125" style="34" customWidth="1"/>
    <col min="12294" max="12294" width="4.85546875" style="34" customWidth="1"/>
    <col min="12295" max="12295" width="14.5703125" style="34" bestFit="1" customWidth="1"/>
    <col min="12296" max="12296" width="9.140625" style="34"/>
    <col min="12297" max="12297" width="19.42578125" style="34" customWidth="1"/>
    <col min="12298" max="12298" width="39.28515625" style="34" customWidth="1"/>
    <col min="12299" max="12544" width="9.140625" style="34"/>
    <col min="12545" max="12545" width="4.28515625" style="34" customWidth="1"/>
    <col min="12546" max="12546" width="33" style="34" customWidth="1"/>
    <col min="12547" max="12547" width="16.28515625" style="34" customWidth="1"/>
    <col min="12548" max="12548" width="3.28515625" style="34" customWidth="1"/>
    <col min="12549" max="12549" width="14.42578125" style="34" customWidth="1"/>
    <col min="12550" max="12550" width="4.85546875" style="34" customWidth="1"/>
    <col min="12551" max="12551" width="14.5703125" style="34" bestFit="1" customWidth="1"/>
    <col min="12552" max="12552" width="9.140625" style="34"/>
    <col min="12553" max="12553" width="19.42578125" style="34" customWidth="1"/>
    <col min="12554" max="12554" width="39.28515625" style="34" customWidth="1"/>
    <col min="12555" max="12800" width="9.140625" style="34"/>
    <col min="12801" max="12801" width="4.28515625" style="34" customWidth="1"/>
    <col min="12802" max="12802" width="33" style="34" customWidth="1"/>
    <col min="12803" max="12803" width="16.28515625" style="34" customWidth="1"/>
    <col min="12804" max="12804" width="3.28515625" style="34" customWidth="1"/>
    <col min="12805" max="12805" width="14.42578125" style="34" customWidth="1"/>
    <col min="12806" max="12806" width="4.85546875" style="34" customWidth="1"/>
    <col min="12807" max="12807" width="14.5703125" style="34" bestFit="1" customWidth="1"/>
    <col min="12808" max="12808" width="9.140625" style="34"/>
    <col min="12809" max="12809" width="19.42578125" style="34" customWidth="1"/>
    <col min="12810" max="12810" width="39.28515625" style="34" customWidth="1"/>
    <col min="12811" max="13056" width="9.140625" style="34"/>
    <col min="13057" max="13057" width="4.28515625" style="34" customWidth="1"/>
    <col min="13058" max="13058" width="33" style="34" customWidth="1"/>
    <col min="13059" max="13059" width="16.28515625" style="34" customWidth="1"/>
    <col min="13060" max="13060" width="3.28515625" style="34" customWidth="1"/>
    <col min="13061" max="13061" width="14.42578125" style="34" customWidth="1"/>
    <col min="13062" max="13062" width="4.85546875" style="34" customWidth="1"/>
    <col min="13063" max="13063" width="14.5703125" style="34" bestFit="1" customWidth="1"/>
    <col min="13064" max="13064" width="9.140625" style="34"/>
    <col min="13065" max="13065" width="19.42578125" style="34" customWidth="1"/>
    <col min="13066" max="13066" width="39.28515625" style="34" customWidth="1"/>
    <col min="13067" max="13312" width="9.140625" style="34"/>
    <col min="13313" max="13313" width="4.28515625" style="34" customWidth="1"/>
    <col min="13314" max="13314" width="33" style="34" customWidth="1"/>
    <col min="13315" max="13315" width="16.28515625" style="34" customWidth="1"/>
    <col min="13316" max="13316" width="3.28515625" style="34" customWidth="1"/>
    <col min="13317" max="13317" width="14.42578125" style="34" customWidth="1"/>
    <col min="13318" max="13318" width="4.85546875" style="34" customWidth="1"/>
    <col min="13319" max="13319" width="14.5703125" style="34" bestFit="1" customWidth="1"/>
    <col min="13320" max="13320" width="9.140625" style="34"/>
    <col min="13321" max="13321" width="19.42578125" style="34" customWidth="1"/>
    <col min="13322" max="13322" width="39.28515625" style="34" customWidth="1"/>
    <col min="13323" max="13568" width="9.140625" style="34"/>
    <col min="13569" max="13569" width="4.28515625" style="34" customWidth="1"/>
    <col min="13570" max="13570" width="33" style="34" customWidth="1"/>
    <col min="13571" max="13571" width="16.28515625" style="34" customWidth="1"/>
    <col min="13572" max="13572" width="3.28515625" style="34" customWidth="1"/>
    <col min="13573" max="13573" width="14.42578125" style="34" customWidth="1"/>
    <col min="13574" max="13574" width="4.85546875" style="34" customWidth="1"/>
    <col min="13575" max="13575" width="14.5703125" style="34" bestFit="1" customWidth="1"/>
    <col min="13576" max="13576" width="9.140625" style="34"/>
    <col min="13577" max="13577" width="19.42578125" style="34" customWidth="1"/>
    <col min="13578" max="13578" width="39.28515625" style="34" customWidth="1"/>
    <col min="13579" max="13824" width="9.140625" style="34"/>
    <col min="13825" max="13825" width="4.28515625" style="34" customWidth="1"/>
    <col min="13826" max="13826" width="33" style="34" customWidth="1"/>
    <col min="13827" max="13827" width="16.28515625" style="34" customWidth="1"/>
    <col min="13828" max="13828" width="3.28515625" style="34" customWidth="1"/>
    <col min="13829" max="13829" width="14.42578125" style="34" customWidth="1"/>
    <col min="13830" max="13830" width="4.85546875" style="34" customWidth="1"/>
    <col min="13831" max="13831" width="14.5703125" style="34" bestFit="1" customWidth="1"/>
    <col min="13832" max="13832" width="9.140625" style="34"/>
    <col min="13833" max="13833" width="19.42578125" style="34" customWidth="1"/>
    <col min="13834" max="13834" width="39.28515625" style="34" customWidth="1"/>
    <col min="13835" max="14080" width="9.140625" style="34"/>
    <col min="14081" max="14081" width="4.28515625" style="34" customWidth="1"/>
    <col min="14082" max="14082" width="33" style="34" customWidth="1"/>
    <col min="14083" max="14083" width="16.28515625" style="34" customWidth="1"/>
    <col min="14084" max="14084" width="3.28515625" style="34" customWidth="1"/>
    <col min="14085" max="14085" width="14.42578125" style="34" customWidth="1"/>
    <col min="14086" max="14086" width="4.85546875" style="34" customWidth="1"/>
    <col min="14087" max="14087" width="14.5703125" style="34" bestFit="1" customWidth="1"/>
    <col min="14088" max="14088" width="9.140625" style="34"/>
    <col min="14089" max="14089" width="19.42578125" style="34" customWidth="1"/>
    <col min="14090" max="14090" width="39.28515625" style="34" customWidth="1"/>
    <col min="14091" max="14336" width="9.140625" style="34"/>
    <col min="14337" max="14337" width="4.28515625" style="34" customWidth="1"/>
    <col min="14338" max="14338" width="33" style="34" customWidth="1"/>
    <col min="14339" max="14339" width="16.28515625" style="34" customWidth="1"/>
    <col min="14340" max="14340" width="3.28515625" style="34" customWidth="1"/>
    <col min="14341" max="14341" width="14.42578125" style="34" customWidth="1"/>
    <col min="14342" max="14342" width="4.85546875" style="34" customWidth="1"/>
    <col min="14343" max="14343" width="14.5703125" style="34" bestFit="1" customWidth="1"/>
    <col min="14344" max="14344" width="9.140625" style="34"/>
    <col min="14345" max="14345" width="19.42578125" style="34" customWidth="1"/>
    <col min="14346" max="14346" width="39.28515625" style="34" customWidth="1"/>
    <col min="14347" max="14592" width="9.140625" style="34"/>
    <col min="14593" max="14593" width="4.28515625" style="34" customWidth="1"/>
    <col min="14594" max="14594" width="33" style="34" customWidth="1"/>
    <col min="14595" max="14595" width="16.28515625" style="34" customWidth="1"/>
    <col min="14596" max="14596" width="3.28515625" style="34" customWidth="1"/>
    <col min="14597" max="14597" width="14.42578125" style="34" customWidth="1"/>
    <col min="14598" max="14598" width="4.85546875" style="34" customWidth="1"/>
    <col min="14599" max="14599" width="14.5703125" style="34" bestFit="1" customWidth="1"/>
    <col min="14600" max="14600" width="9.140625" style="34"/>
    <col min="14601" max="14601" width="19.42578125" style="34" customWidth="1"/>
    <col min="14602" max="14602" width="39.28515625" style="34" customWidth="1"/>
    <col min="14603" max="14848" width="9.140625" style="34"/>
    <col min="14849" max="14849" width="4.28515625" style="34" customWidth="1"/>
    <col min="14850" max="14850" width="33" style="34" customWidth="1"/>
    <col min="14851" max="14851" width="16.28515625" style="34" customWidth="1"/>
    <col min="14852" max="14852" width="3.28515625" style="34" customWidth="1"/>
    <col min="14853" max="14853" width="14.42578125" style="34" customWidth="1"/>
    <col min="14854" max="14854" width="4.85546875" style="34" customWidth="1"/>
    <col min="14855" max="14855" width="14.5703125" style="34" bestFit="1" customWidth="1"/>
    <col min="14856" max="14856" width="9.140625" style="34"/>
    <col min="14857" max="14857" width="19.42578125" style="34" customWidth="1"/>
    <col min="14858" max="14858" width="39.28515625" style="34" customWidth="1"/>
    <col min="14859" max="15104" width="9.140625" style="34"/>
    <col min="15105" max="15105" width="4.28515625" style="34" customWidth="1"/>
    <col min="15106" max="15106" width="33" style="34" customWidth="1"/>
    <col min="15107" max="15107" width="16.28515625" style="34" customWidth="1"/>
    <col min="15108" max="15108" width="3.28515625" style="34" customWidth="1"/>
    <col min="15109" max="15109" width="14.42578125" style="34" customWidth="1"/>
    <col min="15110" max="15110" width="4.85546875" style="34" customWidth="1"/>
    <col min="15111" max="15111" width="14.5703125" style="34" bestFit="1" customWidth="1"/>
    <col min="15112" max="15112" width="9.140625" style="34"/>
    <col min="15113" max="15113" width="19.42578125" style="34" customWidth="1"/>
    <col min="15114" max="15114" width="39.28515625" style="34" customWidth="1"/>
    <col min="15115" max="15360" width="9.140625" style="34"/>
    <col min="15361" max="15361" width="4.28515625" style="34" customWidth="1"/>
    <col min="15362" max="15362" width="33" style="34" customWidth="1"/>
    <col min="15363" max="15363" width="16.28515625" style="34" customWidth="1"/>
    <col min="15364" max="15364" width="3.28515625" style="34" customWidth="1"/>
    <col min="15365" max="15365" width="14.42578125" style="34" customWidth="1"/>
    <col min="15366" max="15366" width="4.85546875" style="34" customWidth="1"/>
    <col min="15367" max="15367" width="14.5703125" style="34" bestFit="1" customWidth="1"/>
    <col min="15368" max="15368" width="9.140625" style="34"/>
    <col min="15369" max="15369" width="19.42578125" style="34" customWidth="1"/>
    <col min="15370" max="15370" width="39.28515625" style="34" customWidth="1"/>
    <col min="15371" max="15616" width="9.140625" style="34"/>
    <col min="15617" max="15617" width="4.28515625" style="34" customWidth="1"/>
    <col min="15618" max="15618" width="33" style="34" customWidth="1"/>
    <col min="15619" max="15619" width="16.28515625" style="34" customWidth="1"/>
    <col min="15620" max="15620" width="3.28515625" style="34" customWidth="1"/>
    <col min="15621" max="15621" width="14.42578125" style="34" customWidth="1"/>
    <col min="15622" max="15622" width="4.85546875" style="34" customWidth="1"/>
    <col min="15623" max="15623" width="14.5703125" style="34" bestFit="1" customWidth="1"/>
    <col min="15624" max="15624" width="9.140625" style="34"/>
    <col min="15625" max="15625" width="19.42578125" style="34" customWidth="1"/>
    <col min="15626" max="15626" width="39.28515625" style="34" customWidth="1"/>
    <col min="15627" max="15872" width="9.140625" style="34"/>
    <col min="15873" max="15873" width="4.28515625" style="34" customWidth="1"/>
    <col min="15874" max="15874" width="33" style="34" customWidth="1"/>
    <col min="15875" max="15875" width="16.28515625" style="34" customWidth="1"/>
    <col min="15876" max="15876" width="3.28515625" style="34" customWidth="1"/>
    <col min="15877" max="15877" width="14.42578125" style="34" customWidth="1"/>
    <col min="15878" max="15878" width="4.85546875" style="34" customWidth="1"/>
    <col min="15879" max="15879" width="14.5703125" style="34" bestFit="1" customWidth="1"/>
    <col min="15880" max="15880" width="9.140625" style="34"/>
    <col min="15881" max="15881" width="19.42578125" style="34" customWidth="1"/>
    <col min="15882" max="15882" width="39.28515625" style="34" customWidth="1"/>
    <col min="15883" max="16128" width="9.140625" style="34"/>
    <col min="16129" max="16129" width="4.28515625" style="34" customWidth="1"/>
    <col min="16130" max="16130" width="33" style="34" customWidth="1"/>
    <col min="16131" max="16131" width="16.28515625" style="34" customWidth="1"/>
    <col min="16132" max="16132" width="3.28515625" style="34" customWidth="1"/>
    <col min="16133" max="16133" width="14.42578125" style="34" customWidth="1"/>
    <col min="16134" max="16134" width="4.85546875" style="34" customWidth="1"/>
    <col min="16135" max="16135" width="14.5703125" style="34" bestFit="1" customWidth="1"/>
    <col min="16136" max="16136" width="9.140625" style="34"/>
    <col min="16137" max="16137" width="19.42578125" style="34" customWidth="1"/>
    <col min="16138" max="16138" width="39.28515625" style="34" customWidth="1"/>
    <col min="16139" max="16384" width="9.140625" style="34"/>
  </cols>
  <sheetData>
    <row r="1" spans="2:10" x14ac:dyDescent="0.2">
      <c r="B1" s="35" t="str">
        <f>Update!$B$6</f>
        <v>Department of Health</v>
      </c>
    </row>
    <row r="2" spans="2:10" x14ac:dyDescent="0.2">
      <c r="B2" s="35" t="str">
        <f>Update!$B$10</f>
        <v>Notes to the financial statements</v>
      </c>
    </row>
    <row r="4" spans="2:10" x14ac:dyDescent="0.2">
      <c r="B4" s="37" t="s">
        <v>694</v>
      </c>
    </row>
    <row r="5" spans="2:10" x14ac:dyDescent="0.2">
      <c r="B5" s="834" t="s">
        <v>674</v>
      </c>
    </row>
    <row r="6" spans="2:10" x14ac:dyDescent="0.2">
      <c r="B6" s="37"/>
    </row>
    <row r="7" spans="2:10" x14ac:dyDescent="0.2">
      <c r="E7" s="40" t="str">
        <f>+Update!B13</f>
        <v>2025-26</v>
      </c>
      <c r="F7" s="39"/>
      <c r="G7" s="40" t="str">
        <f>+Update!B15</f>
        <v>2024-25</v>
      </c>
      <c r="I7" s="115" t="s">
        <v>695</v>
      </c>
    </row>
    <row r="8" spans="2:10" x14ac:dyDescent="0.2">
      <c r="E8" s="39" t="s">
        <v>462</v>
      </c>
      <c r="F8" s="39"/>
      <c r="G8" s="39" t="s">
        <v>462</v>
      </c>
    </row>
    <row r="10" spans="2:10" x14ac:dyDescent="0.2">
      <c r="B10" s="34" t="s">
        <v>696</v>
      </c>
      <c r="D10" s="36" t="s">
        <v>697</v>
      </c>
      <c r="E10" s="34">
        <v>1419</v>
      </c>
      <c r="G10" s="34">
        <v>1219</v>
      </c>
      <c r="I10" s="184">
        <v>13</v>
      </c>
    </row>
    <row r="11" spans="2:10" x14ac:dyDescent="0.2">
      <c r="D11" s="37"/>
    </row>
    <row r="12" spans="2:10" x14ac:dyDescent="0.2">
      <c r="B12" s="34" t="s">
        <v>698</v>
      </c>
      <c r="D12" s="36" t="s">
        <v>699</v>
      </c>
      <c r="E12" s="34">
        <v>0</v>
      </c>
      <c r="G12" s="34">
        <v>373</v>
      </c>
      <c r="I12" s="177" t="s">
        <v>502</v>
      </c>
      <c r="J12" s="34" t="s">
        <v>700</v>
      </c>
    </row>
    <row r="13" spans="2:10" x14ac:dyDescent="0.2">
      <c r="B13" s="34" t="s">
        <v>701</v>
      </c>
      <c r="D13" s="37"/>
      <c r="E13" s="34">
        <v>0</v>
      </c>
      <c r="G13" s="34">
        <v>0</v>
      </c>
    </row>
    <row r="14" spans="2:10" x14ac:dyDescent="0.2">
      <c r="B14" s="34" t="s">
        <v>702</v>
      </c>
      <c r="D14" s="36" t="s">
        <v>703</v>
      </c>
      <c r="E14" s="34">
        <v>0</v>
      </c>
      <c r="G14" s="34">
        <v>-173</v>
      </c>
      <c r="I14" s="177" t="s">
        <v>704</v>
      </c>
      <c r="J14" s="34" t="s">
        <v>705</v>
      </c>
    </row>
    <row r="15" spans="2:10" x14ac:dyDescent="0.2">
      <c r="B15" s="34" t="s">
        <v>706</v>
      </c>
      <c r="D15" s="37" t="s">
        <v>281</v>
      </c>
      <c r="E15" s="34">
        <v>0</v>
      </c>
      <c r="G15" s="34">
        <v>0</v>
      </c>
      <c r="I15" s="177" t="s">
        <v>704</v>
      </c>
      <c r="J15" s="34" t="s">
        <v>2430</v>
      </c>
    </row>
    <row r="16" spans="2:10" x14ac:dyDescent="0.2">
      <c r="D16" s="37"/>
      <c r="E16" s="44"/>
      <c r="G16" s="44"/>
    </row>
    <row r="17" spans="2:10" x14ac:dyDescent="0.2">
      <c r="B17" s="34" t="s">
        <v>707</v>
      </c>
      <c r="D17" s="36">
        <v>4</v>
      </c>
      <c r="E17" s="34">
        <f>SUM(E10:E15)</f>
        <v>1419</v>
      </c>
      <c r="G17" s="34">
        <f>SUM(G10:G15)</f>
        <v>1419</v>
      </c>
      <c r="I17" s="184">
        <v>13</v>
      </c>
    </row>
    <row r="18" spans="2:10" x14ac:dyDescent="0.2">
      <c r="D18" s="37"/>
    </row>
    <row r="19" spans="2:10" x14ac:dyDescent="0.2">
      <c r="B19" s="34" t="s">
        <v>708</v>
      </c>
      <c r="D19" s="36">
        <v>5</v>
      </c>
      <c r="E19" s="34">
        <v>0</v>
      </c>
      <c r="G19" s="34">
        <v>0</v>
      </c>
      <c r="I19" s="184">
        <v>12</v>
      </c>
      <c r="J19" s="34" t="s">
        <v>709</v>
      </c>
    </row>
    <row r="20" spans="2:10" x14ac:dyDescent="0.2">
      <c r="B20" s="34" t="s">
        <v>710</v>
      </c>
      <c r="D20" s="36"/>
      <c r="E20" s="34">
        <v>0</v>
      </c>
      <c r="G20" s="34">
        <v>0</v>
      </c>
      <c r="I20" s="184"/>
    </row>
    <row r="21" spans="2:10" x14ac:dyDescent="0.2">
      <c r="D21" s="36"/>
      <c r="I21" s="184"/>
    </row>
    <row r="22" spans="2:10" ht="13.5" thickBot="1" x14ac:dyDescent="0.25">
      <c r="D22" s="36">
        <v>6</v>
      </c>
      <c r="E22" s="54">
        <f>E17-E19-E20</f>
        <v>1419</v>
      </c>
      <c r="G22" s="54">
        <f>G17-G19-G20</f>
        <v>1419</v>
      </c>
      <c r="I22" s="184"/>
      <c r="J22" s="34" t="s">
        <v>711</v>
      </c>
    </row>
    <row r="23" spans="2:10" x14ac:dyDescent="0.2">
      <c r="J23" s="34" t="s">
        <v>712</v>
      </c>
    </row>
    <row r="24" spans="2:10" ht="15.75" thickBot="1" x14ac:dyDescent="0.3">
      <c r="B24" s="1112" t="s">
        <v>2429</v>
      </c>
      <c r="C24" s="1112"/>
      <c r="D24" s="1112"/>
      <c r="E24" s="1563">
        <v>0</v>
      </c>
      <c r="F24" s="1112"/>
      <c r="G24" s="1563">
        <v>0</v>
      </c>
    </row>
    <row r="25" spans="2:10" x14ac:dyDescent="0.2">
      <c r="B25" s="1515"/>
    </row>
    <row r="28" spans="2:10" hidden="1" x14ac:dyDescent="0.2">
      <c r="C28" s="94" t="s">
        <v>556</v>
      </c>
      <c r="D28" s="36" t="s">
        <v>697</v>
      </c>
      <c r="E28" s="46" t="str">
        <f>IF(ROUND(E10,0)=ROUND('Note 13'!I29+'Note 13'!I30,0),"OK","ERROR")</f>
        <v>OK</v>
      </c>
      <c r="F28" s="46"/>
      <c r="G28" s="46"/>
    </row>
    <row r="29" spans="2:10" hidden="1" x14ac:dyDescent="0.2">
      <c r="D29" s="36" t="s">
        <v>699</v>
      </c>
      <c r="E29" s="46" t="e">
        <f>IF(ROUND(E12,0)=ROUND(#REF!,0),"OK","ERROR")</f>
        <v>#REF!</v>
      </c>
      <c r="F29" s="46"/>
    </row>
    <row r="30" spans="2:10" hidden="1" x14ac:dyDescent="0.2">
      <c r="D30" s="36" t="s">
        <v>703</v>
      </c>
      <c r="E30" s="46" t="e">
        <f>IF(E14+E15=SCF!#REF!,"OK","ERROR")</f>
        <v>#REF!</v>
      </c>
      <c r="F30" s="46"/>
      <c r="G30" s="46" t="e">
        <f>IF(G14+G15=SCF!#REF!,"OK","ERROR")</f>
        <v>#REF!</v>
      </c>
    </row>
    <row r="31" spans="2:10" hidden="1" x14ac:dyDescent="0.2">
      <c r="C31" s="94" t="s">
        <v>556</v>
      </c>
      <c r="D31" s="36" t="s">
        <v>713</v>
      </c>
      <c r="E31" s="46" t="str">
        <f>IF(ROUND(E17,0)=ROUND('Note 13'!E29+'Note 13'!E30,0),"OK","ERROR")</f>
        <v>ERROR</v>
      </c>
      <c r="F31" s="46"/>
      <c r="G31" s="46" t="str">
        <f>IF(ROUND(G17,0)=ROUND('Note 13'!I30+'Note 13'!I29,0),"OK","ERROR")</f>
        <v>OK</v>
      </c>
    </row>
    <row r="32" spans="2:10" hidden="1" x14ac:dyDescent="0.2">
      <c r="C32" s="94" t="s">
        <v>556</v>
      </c>
      <c r="D32" s="36" t="s">
        <v>714</v>
      </c>
      <c r="E32" s="46" t="str">
        <f>IF(E19+E20='Note 12'!E54,"OK","ERROR")</f>
        <v>OK</v>
      </c>
      <c r="F32" s="46"/>
      <c r="G32" s="46" t="str">
        <f>IF(G19+G20='Note 12'!I54,"OK","ERROR")</f>
        <v>OK</v>
      </c>
    </row>
    <row r="33" spans="3:7" hidden="1" x14ac:dyDescent="0.2">
      <c r="C33" s="94" t="s">
        <v>556</v>
      </c>
      <c r="D33" s="36" t="s">
        <v>715</v>
      </c>
      <c r="E33" s="46" t="str">
        <f>IF(ROUND(E22,0)=ROUND('Note 13'!E29,0),"OK","ERROR")</f>
        <v>ERROR</v>
      </c>
      <c r="F33" s="46"/>
      <c r="G33" s="46" t="str">
        <f>IF(ROUND(G22,0)=ROUND('Note 13'!I29,0),"OK","ERROR")</f>
        <v>OK</v>
      </c>
    </row>
    <row r="34" spans="3:7" hidden="1" x14ac:dyDescent="0.2">
      <c r="D34" s="36" t="s">
        <v>716</v>
      </c>
      <c r="E34" s="46" t="e">
        <f>IF(ROUND(E22,0)=ROUND('Notes 10 &amp; 11'!#REF!,0),"OK","ERROR")</f>
        <v>#REF!</v>
      </c>
      <c r="F34" s="46"/>
      <c r="G34" s="46" t="e">
        <f>IF(ROUND(G22,0)=ROUND('Notes 10 &amp; 11'!#REF!,0),"OK","ERROR")</f>
        <v>#REF!</v>
      </c>
    </row>
    <row r="35" spans="3:7" hidden="1" x14ac:dyDescent="0.2">
      <c r="C35" s="34" t="s">
        <v>717</v>
      </c>
      <c r="D35" s="36" t="s">
        <v>718</v>
      </c>
      <c r="E35" s="46" t="str">
        <f>IF(E12=-TE!I54,"OK","ERROR")</f>
        <v>OK</v>
      </c>
      <c r="F35" s="46"/>
      <c r="G35" s="46" t="str">
        <f>IF(ROUND(G12,0)=ROUND(-TE!I25,0),"OK","ERROR")</f>
        <v>OK</v>
      </c>
    </row>
    <row r="36" spans="3:7" hidden="1" x14ac:dyDescent="0.2">
      <c r="D36" s="34">
        <v>9</v>
      </c>
      <c r="E36" s="46"/>
      <c r="G36" s="46" t="s">
        <v>1328</v>
      </c>
    </row>
    <row r="37" spans="3:7" hidden="1" x14ac:dyDescent="0.2"/>
  </sheetData>
  <pageMargins left="0.75" right="0.75" top="1" bottom="1" header="0.5" footer="0.5"/>
  <pageSetup paperSize="9" scale="83" orientation="landscape" r:id="rId1"/>
  <headerFooter alignWithMargins="0">
    <oddFooter>&amp;L&amp;F - &amp;A&amp;C&amp;P&amp;RPrinted at &amp;T on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6">
    <tabColor rgb="FF00B0F0"/>
    <pageSetUpPr fitToPage="1"/>
  </sheetPr>
  <dimension ref="A1:F27"/>
  <sheetViews>
    <sheetView zoomScale="90" zoomScaleNormal="90" workbookViewId="0">
      <selection activeCell="G5" sqref="G4:G5"/>
    </sheetView>
  </sheetViews>
  <sheetFormatPr defaultColWidth="9.140625" defaultRowHeight="12.75" x14ac:dyDescent="0.25"/>
  <cols>
    <col min="1" max="1" width="5.140625" style="35" customWidth="1"/>
    <col min="2" max="2" width="66.28515625" style="103" customWidth="1"/>
    <col min="3" max="3" width="11.28515625" style="102" bestFit="1" customWidth="1"/>
    <col min="4" max="4" width="13.28515625" style="103" customWidth="1"/>
    <col min="5" max="5" width="14.5703125" style="103" customWidth="1"/>
    <col min="6" max="6" width="13.28515625" style="103" customWidth="1"/>
    <col min="7" max="7" width="5.7109375" style="103" customWidth="1"/>
    <col min="8" max="8" width="14.5703125" style="103" bestFit="1" customWidth="1"/>
    <col min="9" max="9" width="9.7109375" style="103" bestFit="1" customWidth="1"/>
    <col min="10" max="10" width="9.140625" style="103"/>
    <col min="11" max="11" width="10.5703125" style="103" bestFit="1" customWidth="1"/>
    <col min="12" max="16384" width="9.140625" style="103"/>
  </cols>
  <sheetData>
    <row r="1" spans="2:6" x14ac:dyDescent="0.25">
      <c r="B1" s="35" t="str">
        <f>+'SOAS 1.2'!B1</f>
        <v>2025-26</v>
      </c>
    </row>
    <row r="2" spans="2:6" x14ac:dyDescent="0.25">
      <c r="B2" s="35"/>
    </row>
    <row r="3" spans="2:6" x14ac:dyDescent="0.25">
      <c r="B3" s="35" t="s">
        <v>840</v>
      </c>
    </row>
    <row r="4" spans="2:6" x14ac:dyDescent="0.25">
      <c r="B4" s="35"/>
    </row>
    <row r="5" spans="2:6" x14ac:dyDescent="0.25">
      <c r="B5" s="35" t="s">
        <v>2152</v>
      </c>
    </row>
    <row r="8" spans="2:6" ht="57" customHeight="1" x14ac:dyDescent="0.25">
      <c r="B8" s="1508" t="s">
        <v>2112</v>
      </c>
      <c r="C8" s="1361" t="s">
        <v>461</v>
      </c>
      <c r="D8" s="1355" t="s">
        <v>2849</v>
      </c>
      <c r="E8" s="1355" t="s">
        <v>2850</v>
      </c>
    </row>
    <row r="9" spans="2:6" x14ac:dyDescent="0.25">
      <c r="B9" s="1356"/>
      <c r="D9" s="1356"/>
      <c r="E9" s="1356"/>
    </row>
    <row r="10" spans="2:6" x14ac:dyDescent="0.25">
      <c r="B10" s="1516" t="s">
        <v>2153</v>
      </c>
      <c r="C10" s="1357" t="s">
        <v>2115</v>
      </c>
      <c r="D10" s="1358">
        <f>'SOAS 1.1'!I77</f>
        <v>0</v>
      </c>
      <c r="E10" s="1358">
        <f>+'SOAS 1.1'!N77</f>
        <v>9256514</v>
      </c>
    </row>
    <row r="11" spans="2:6" x14ac:dyDescent="0.25">
      <c r="B11" s="1356" t="s">
        <v>2154</v>
      </c>
      <c r="D11" s="1356"/>
      <c r="E11" s="1356"/>
    </row>
    <row r="12" spans="2:6" ht="15" x14ac:dyDescent="0.25">
      <c r="B12" s="1356" t="s">
        <v>2650</v>
      </c>
      <c r="D12" s="1356">
        <f>-(+MAP!N1786+MAP!N1787+MAP!N1788+MAP!N1795)</f>
        <v>0</v>
      </c>
      <c r="E12" s="1356">
        <v>33123</v>
      </c>
      <c r="F12" s="1672">
        <f>ROUND(SUMIF(MAP!$E$389:$E$406,$B12,MAP!$N$389:$N$406),0)</f>
        <v>0</v>
      </c>
    </row>
    <row r="13" spans="2:6" x14ac:dyDescent="0.25">
      <c r="B13" s="1517" t="s">
        <v>2468</v>
      </c>
      <c r="D13" s="1356">
        <f>-+MAP!N1793</f>
        <v>0</v>
      </c>
      <c r="E13" s="1356">
        <v>6405</v>
      </c>
    </row>
    <row r="14" spans="2:6" x14ac:dyDescent="0.25">
      <c r="B14" s="1517" t="s">
        <v>2469</v>
      </c>
      <c r="D14" s="1754"/>
      <c r="E14" s="1356"/>
    </row>
    <row r="15" spans="2:6" x14ac:dyDescent="0.25">
      <c r="B15" s="1517" t="s">
        <v>181</v>
      </c>
      <c r="D15" s="1356">
        <f>-MAP!N1794+MAP!N40</f>
        <v>0</v>
      </c>
      <c r="E15" s="1356">
        <v>2760</v>
      </c>
    </row>
    <row r="16" spans="2:6" x14ac:dyDescent="0.25">
      <c r="B16" s="1356"/>
      <c r="D16" s="1356"/>
      <c r="E16" s="1356"/>
    </row>
    <row r="17" spans="2:6" s="35" customFormat="1" x14ac:dyDescent="0.25">
      <c r="B17" s="1360" t="s">
        <v>146</v>
      </c>
      <c r="C17" s="1359"/>
      <c r="D17" s="1360">
        <f>SUM(D12:D15)</f>
        <v>0</v>
      </c>
      <c r="E17" s="1360">
        <f>SUM(E12:E15)</f>
        <v>42288</v>
      </c>
    </row>
    <row r="18" spans="2:6" x14ac:dyDescent="0.25">
      <c r="B18" s="1356"/>
      <c r="D18" s="1356"/>
      <c r="E18" s="1356"/>
    </row>
    <row r="19" spans="2:6" x14ac:dyDescent="0.25">
      <c r="B19" s="1356"/>
      <c r="D19" s="1356"/>
      <c r="E19" s="1356"/>
      <c r="F19" s="103">
        <f>ROUND(SUMIF(MAP!$E$389:$E$406,$B19,MAP!$N$389:$N$406),0)</f>
        <v>0</v>
      </c>
    </row>
    <row r="20" spans="2:6" ht="29.25" customHeight="1" x14ac:dyDescent="0.25">
      <c r="B20" s="1321" t="s">
        <v>2155</v>
      </c>
      <c r="C20" s="1361" t="s">
        <v>2156</v>
      </c>
      <c r="D20" s="1671" t="e">
        <f>+SCNE!F41</f>
        <v>#VALUE!</v>
      </c>
      <c r="E20" s="1671">
        <f>+E10+E17</f>
        <v>9298802</v>
      </c>
    </row>
    <row r="22" spans="2:6" x14ac:dyDescent="0.2">
      <c r="D22" s="1331" t="e">
        <f>IF(D10+D17=D20,"OK","ERROR")</f>
        <v>#VALUE!</v>
      </c>
      <c r="E22" s="1331" t="str">
        <f>IF(E10+E17=E20,"OK","ERROR")</f>
        <v>OK</v>
      </c>
    </row>
    <row r="23" spans="2:6" ht="30" customHeight="1" x14ac:dyDescent="0.25">
      <c r="B23" s="1903" t="s">
        <v>2157</v>
      </c>
      <c r="C23" s="1903"/>
      <c r="D23" s="1903"/>
      <c r="E23" s="1903"/>
    </row>
    <row r="25" spans="2:6" x14ac:dyDescent="0.25">
      <c r="D25" s="103">
        <f>+D10+D17</f>
        <v>0</v>
      </c>
    </row>
    <row r="27" spans="2:6" x14ac:dyDescent="0.25">
      <c r="D27" s="103" t="e">
        <f>+D20-D25</f>
        <v>#VALUE!</v>
      </c>
    </row>
  </sheetData>
  <mergeCells count="1">
    <mergeCell ref="B23:E23"/>
  </mergeCells>
  <pageMargins left="0.35433070866141736" right="0.47244094488188981" top="0.19685039370078741" bottom="0.19685039370078741" header="0.31496062992125984" footer="0.31496062992125984"/>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5">
    <tabColor rgb="FFFF0000"/>
  </sheetPr>
  <dimension ref="A1"/>
  <sheetViews>
    <sheetView workbookViewId="0">
      <selection activeCell="G5" sqref="G4:G5"/>
    </sheetView>
  </sheetViews>
  <sheetFormatPr defaultRowHeight="15" x14ac:dyDescent="0.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3C28E-09FC-4EFB-A2B5-3D8367A7750D}">
  <sheetPr codeName="Sheet4"/>
  <dimension ref="A1:A96"/>
  <sheetViews>
    <sheetView workbookViewId="0"/>
  </sheetViews>
  <sheetFormatPr defaultRowHeight="15" x14ac:dyDescent="0.25"/>
  <cols>
    <col min="1" max="1" width="41.140625" bestFit="1" customWidth="1"/>
  </cols>
  <sheetData>
    <row r="1" spans="1:1" ht="18" x14ac:dyDescent="0.25">
      <c r="A1" s="1062" t="s">
        <v>1842</v>
      </c>
    </row>
    <row r="3" spans="1:1" x14ac:dyDescent="0.25">
      <c r="A3" s="1063" t="s">
        <v>1604</v>
      </c>
    </row>
    <row r="4" spans="1:1" x14ac:dyDescent="0.25">
      <c r="A4" s="1063" t="s">
        <v>1605</v>
      </c>
    </row>
    <row r="5" spans="1:1" x14ac:dyDescent="0.25">
      <c r="A5" s="1063" t="s">
        <v>719</v>
      </c>
    </row>
    <row r="6" spans="1:1" x14ac:dyDescent="0.25">
      <c r="A6" s="1063" t="s">
        <v>1829</v>
      </c>
    </row>
    <row r="7" spans="1:1" x14ac:dyDescent="0.25">
      <c r="A7" s="1063" t="s">
        <v>1088</v>
      </c>
    </row>
    <row r="8" spans="1:1" x14ac:dyDescent="0.25">
      <c r="A8" s="1063" t="s">
        <v>1843</v>
      </c>
    </row>
    <row r="9" spans="1:1" x14ac:dyDescent="0.25">
      <c r="A9" s="1063" t="s">
        <v>1606</v>
      </c>
    </row>
    <row r="10" spans="1:1" x14ac:dyDescent="0.25">
      <c r="A10" s="1063" t="s">
        <v>1607</v>
      </c>
    </row>
    <row r="11" spans="1:1" x14ac:dyDescent="0.25">
      <c r="A11" s="1063" t="s">
        <v>1608</v>
      </c>
    </row>
    <row r="12" spans="1:1" x14ac:dyDescent="0.25">
      <c r="A12" s="1063" t="s">
        <v>1609</v>
      </c>
    </row>
    <row r="13" spans="1:1" x14ac:dyDescent="0.25">
      <c r="A13" s="1063" t="s">
        <v>498</v>
      </c>
    </row>
    <row r="14" spans="1:1" x14ac:dyDescent="0.25">
      <c r="A14" s="1063" t="s">
        <v>501</v>
      </c>
    </row>
    <row r="15" spans="1:1" x14ac:dyDescent="0.25">
      <c r="A15" s="1063" t="s">
        <v>726</v>
      </c>
    </row>
    <row r="16" spans="1:1" x14ac:dyDescent="0.25">
      <c r="A16" s="1063" t="s">
        <v>534</v>
      </c>
    </row>
    <row r="17" spans="1:1" x14ac:dyDescent="0.25">
      <c r="A17" s="1063" t="s">
        <v>1610</v>
      </c>
    </row>
    <row r="18" spans="1:1" x14ac:dyDescent="0.25">
      <c r="A18" s="1063" t="s">
        <v>1611</v>
      </c>
    </row>
    <row r="19" spans="1:1" x14ac:dyDescent="0.25">
      <c r="A19" s="1063" t="s">
        <v>1612</v>
      </c>
    </row>
    <row r="20" spans="1:1" x14ac:dyDescent="0.25">
      <c r="A20" s="1063" t="s">
        <v>1613</v>
      </c>
    </row>
    <row r="21" spans="1:1" x14ac:dyDescent="0.25">
      <c r="A21" s="1063" t="s">
        <v>1616</v>
      </c>
    </row>
    <row r="22" spans="1:1" x14ac:dyDescent="0.25">
      <c r="A22" s="1063" t="s">
        <v>1614</v>
      </c>
    </row>
    <row r="23" spans="1:1" x14ac:dyDescent="0.25">
      <c r="A23" s="1063" t="s">
        <v>1352</v>
      </c>
    </row>
    <row r="24" spans="1:1" x14ac:dyDescent="0.25">
      <c r="A24" s="1063" t="s">
        <v>1619</v>
      </c>
    </row>
    <row r="25" spans="1:1" x14ac:dyDescent="0.25">
      <c r="A25" s="1063" t="s">
        <v>1617</v>
      </c>
    </row>
    <row r="26" spans="1:1" x14ac:dyDescent="0.25">
      <c r="A26" s="1063" t="s">
        <v>1618</v>
      </c>
    </row>
    <row r="27" spans="1:1" x14ac:dyDescent="0.25">
      <c r="A27" s="1063" t="s">
        <v>723</v>
      </c>
    </row>
    <row r="28" spans="1:1" x14ac:dyDescent="0.25">
      <c r="A28" s="1063" t="s">
        <v>42</v>
      </c>
    </row>
    <row r="29" spans="1:1" x14ac:dyDescent="0.25">
      <c r="A29" s="1063" t="s">
        <v>1620</v>
      </c>
    </row>
    <row r="30" spans="1:1" x14ac:dyDescent="0.25">
      <c r="A30" s="1063" t="s">
        <v>41</v>
      </c>
    </row>
    <row r="31" spans="1:1" x14ac:dyDescent="0.25">
      <c r="A31" s="1063" t="s">
        <v>1401</v>
      </c>
    </row>
    <row r="32" spans="1:1" x14ac:dyDescent="0.25">
      <c r="A32" s="1063" t="s">
        <v>1402</v>
      </c>
    </row>
    <row r="33" spans="1:1" x14ac:dyDescent="0.25">
      <c r="A33" s="1063" t="s">
        <v>1427</v>
      </c>
    </row>
    <row r="34" spans="1:1" x14ac:dyDescent="0.25">
      <c r="A34" s="1063" t="s">
        <v>682</v>
      </c>
    </row>
    <row r="35" spans="1:1" x14ac:dyDescent="0.25">
      <c r="A35" s="1063" t="s">
        <v>1621</v>
      </c>
    </row>
    <row r="36" spans="1:1" x14ac:dyDescent="0.25">
      <c r="A36" s="1063" t="s">
        <v>1844</v>
      </c>
    </row>
    <row r="37" spans="1:1" x14ac:dyDescent="0.25">
      <c r="A37" s="1063" t="s">
        <v>686</v>
      </c>
    </row>
    <row r="38" spans="1:1" x14ac:dyDescent="0.25">
      <c r="A38" s="1063" t="s">
        <v>1444</v>
      </c>
    </row>
    <row r="39" spans="1:1" x14ac:dyDescent="0.25">
      <c r="A39" s="1063" t="s">
        <v>1622</v>
      </c>
    </row>
    <row r="40" spans="1:1" x14ac:dyDescent="0.25">
      <c r="A40" s="1063" t="s">
        <v>1623</v>
      </c>
    </row>
    <row r="41" spans="1:1" x14ac:dyDescent="0.25">
      <c r="A41" s="1063" t="s">
        <v>1624</v>
      </c>
    </row>
    <row r="42" spans="1:1" x14ac:dyDescent="0.25">
      <c r="A42" s="1063" t="s">
        <v>1625</v>
      </c>
    </row>
    <row r="43" spans="1:1" x14ac:dyDescent="0.25">
      <c r="A43" s="1063" t="s">
        <v>1626</v>
      </c>
    </row>
    <row r="44" spans="1:1" x14ac:dyDescent="0.25">
      <c r="A44" s="1063" t="s">
        <v>1627</v>
      </c>
    </row>
    <row r="45" spans="1:1" x14ac:dyDescent="0.25">
      <c r="A45" s="1063" t="s">
        <v>1628</v>
      </c>
    </row>
    <row r="46" spans="1:1" x14ac:dyDescent="0.25">
      <c r="A46" s="1063" t="s">
        <v>1629</v>
      </c>
    </row>
    <row r="47" spans="1:1" x14ac:dyDescent="0.25">
      <c r="A47" s="1063" t="s">
        <v>1630</v>
      </c>
    </row>
    <row r="48" spans="1:1" x14ac:dyDescent="0.25">
      <c r="A48" s="1063" t="s">
        <v>1631</v>
      </c>
    </row>
    <row r="49" spans="1:1" x14ac:dyDescent="0.25">
      <c r="A49" s="1063" t="s">
        <v>1632</v>
      </c>
    </row>
    <row r="50" spans="1:1" x14ac:dyDescent="0.25">
      <c r="A50" s="1063" t="s">
        <v>1633</v>
      </c>
    </row>
    <row r="51" spans="1:1" x14ac:dyDescent="0.25">
      <c r="A51" s="1063" t="s">
        <v>47</v>
      </c>
    </row>
    <row r="52" spans="1:1" x14ac:dyDescent="0.25">
      <c r="A52" s="1064" t="s">
        <v>1634</v>
      </c>
    </row>
    <row r="53" spans="1:1" x14ac:dyDescent="0.25">
      <c r="A53" s="1063" t="s">
        <v>1615</v>
      </c>
    </row>
    <row r="54" spans="1:1" x14ac:dyDescent="0.25">
      <c r="A54" s="1063" t="s">
        <v>1458</v>
      </c>
    </row>
    <row r="55" spans="1:1" x14ac:dyDescent="0.25">
      <c r="A55" s="1063" t="s">
        <v>1635</v>
      </c>
    </row>
    <row r="56" spans="1:1" x14ac:dyDescent="0.25">
      <c r="A56" s="1063" t="s">
        <v>1637</v>
      </c>
    </row>
    <row r="57" spans="1:1" x14ac:dyDescent="0.25">
      <c r="A57" s="1063" t="s">
        <v>1845</v>
      </c>
    </row>
    <row r="58" spans="1:1" x14ac:dyDescent="0.25">
      <c r="A58" s="1063" t="s">
        <v>1636</v>
      </c>
    </row>
    <row r="59" spans="1:1" x14ac:dyDescent="0.25">
      <c r="A59" s="1063" t="s">
        <v>1638</v>
      </c>
    </row>
    <row r="60" spans="1:1" x14ac:dyDescent="0.25">
      <c r="A60" s="1063" t="s">
        <v>1846</v>
      </c>
    </row>
    <row r="61" spans="1:1" x14ac:dyDescent="0.25">
      <c r="A61" s="1063" t="s">
        <v>1847</v>
      </c>
    </row>
    <row r="62" spans="1:1" x14ac:dyDescent="0.25">
      <c r="A62" s="1063" t="s">
        <v>1639</v>
      </c>
    </row>
    <row r="63" spans="1:1" x14ac:dyDescent="0.25">
      <c r="A63" s="1063" t="s">
        <v>1640</v>
      </c>
    </row>
    <row r="64" spans="1:1" x14ac:dyDescent="0.25">
      <c r="A64" s="1063" t="s">
        <v>1641</v>
      </c>
    </row>
    <row r="65" spans="1:1" x14ac:dyDescent="0.25">
      <c r="A65" s="1063" t="s">
        <v>1643</v>
      </c>
    </row>
    <row r="66" spans="1:1" x14ac:dyDescent="0.25">
      <c r="A66" s="1063" t="s">
        <v>1642</v>
      </c>
    </row>
    <row r="67" spans="1:1" x14ac:dyDescent="0.25">
      <c r="A67" s="1063" t="s">
        <v>1848</v>
      </c>
    </row>
    <row r="68" spans="1:1" x14ac:dyDescent="0.25">
      <c r="A68" s="1063" t="s">
        <v>1849</v>
      </c>
    </row>
    <row r="69" spans="1:1" x14ac:dyDescent="0.25">
      <c r="A69" s="1063" t="s">
        <v>1850</v>
      </c>
    </row>
    <row r="70" spans="1:1" x14ac:dyDescent="0.25">
      <c r="A70" s="1063" t="s">
        <v>1851</v>
      </c>
    </row>
    <row r="71" spans="1:1" x14ac:dyDescent="0.25">
      <c r="A71" s="1063" t="s">
        <v>1852</v>
      </c>
    </row>
    <row r="72" spans="1:1" x14ac:dyDescent="0.25">
      <c r="A72" s="1063" t="s">
        <v>1853</v>
      </c>
    </row>
    <row r="73" spans="1:1" x14ac:dyDescent="0.25">
      <c r="A73" s="1063" t="s">
        <v>1854</v>
      </c>
    </row>
    <row r="74" spans="1:1" x14ac:dyDescent="0.25">
      <c r="A74" s="1063" t="s">
        <v>1644</v>
      </c>
    </row>
    <row r="75" spans="1:1" x14ac:dyDescent="0.25">
      <c r="A75" s="1063" t="s">
        <v>1855</v>
      </c>
    </row>
    <row r="76" spans="1:1" x14ac:dyDescent="0.25">
      <c r="A76" s="1063" t="s">
        <v>1856</v>
      </c>
    </row>
    <row r="77" spans="1:1" x14ac:dyDescent="0.25">
      <c r="A77" s="1063" t="s">
        <v>1857</v>
      </c>
    </row>
    <row r="78" spans="1:1" x14ac:dyDescent="0.25">
      <c r="A78" s="1063" t="s">
        <v>1858</v>
      </c>
    </row>
    <row r="79" spans="1:1" x14ac:dyDescent="0.25">
      <c r="A79" s="1063" t="s">
        <v>1859</v>
      </c>
    </row>
    <row r="80" spans="1:1" x14ac:dyDescent="0.25">
      <c r="A80" s="1063" t="s">
        <v>1860</v>
      </c>
    </row>
    <row r="81" spans="1:1" x14ac:dyDescent="0.25">
      <c r="A81" s="1063" t="s">
        <v>1645</v>
      </c>
    </row>
    <row r="82" spans="1:1" x14ac:dyDescent="0.25">
      <c r="A82" s="1063" t="s">
        <v>1646</v>
      </c>
    </row>
    <row r="83" spans="1:1" x14ac:dyDescent="0.25">
      <c r="A83" s="1063" t="s">
        <v>1980</v>
      </c>
    </row>
    <row r="84" spans="1:1" x14ac:dyDescent="0.25">
      <c r="A84" s="1063" t="s">
        <v>1981</v>
      </c>
    </row>
    <row r="85" spans="1:1" x14ac:dyDescent="0.25">
      <c r="A85" s="1063" t="s">
        <v>1982</v>
      </c>
    </row>
    <row r="86" spans="1:1" x14ac:dyDescent="0.25">
      <c r="A86" s="1063" t="s">
        <v>1861</v>
      </c>
    </row>
    <row r="87" spans="1:1" x14ac:dyDescent="0.25">
      <c r="A87" s="1063" t="s">
        <v>1862</v>
      </c>
    </row>
    <row r="88" spans="1:1" x14ac:dyDescent="0.25">
      <c r="A88" s="1063" t="s">
        <v>1863</v>
      </c>
    </row>
    <row r="89" spans="1:1" x14ac:dyDescent="0.25">
      <c r="A89" s="1063" t="s">
        <v>1864</v>
      </c>
    </row>
    <row r="90" spans="1:1" x14ac:dyDescent="0.25">
      <c r="A90" s="1063" t="s">
        <v>1647</v>
      </c>
    </row>
    <row r="91" spans="1:1" x14ac:dyDescent="0.25">
      <c r="A91" s="1063" t="s">
        <v>1648</v>
      </c>
    </row>
    <row r="92" spans="1:1" x14ac:dyDescent="0.25">
      <c r="A92" s="1063" t="s">
        <v>1865</v>
      </c>
    </row>
    <row r="93" spans="1:1" x14ac:dyDescent="0.25">
      <c r="A93" s="1063" t="s">
        <v>1866</v>
      </c>
    </row>
    <row r="94" spans="1:1" x14ac:dyDescent="0.25">
      <c r="A94" s="1063" t="s">
        <v>1977</v>
      </c>
    </row>
    <row r="95" spans="1:1" x14ac:dyDescent="0.25">
      <c r="A95" s="1063" t="s">
        <v>1867</v>
      </c>
    </row>
    <row r="96" spans="1:1" x14ac:dyDescent="0.25">
      <c r="A96" s="1063" t="s">
        <v>1868</v>
      </c>
    </row>
  </sheetData>
  <hyperlinks>
    <hyperlink ref="A3" location="'LOSS-PROFIT ON DISPOSAL'!A1" tooltip="Activate LOSS-PROFIT ON DISPOSAL" display="'LOSS-PROFIT ON DISPOSAL'!A1" xr:uid="{D6D1D90B-B1F1-4DD3-90E0-69D59BA33A5B}"/>
    <hyperlink ref="A4" location="'CFER RECONCILIATION'!A1" tooltip="Activate CFER RECONCILIATION" display="'CFER RECONCILIATION'!A1" xr:uid="{EE8E259C-B64F-44BB-B705-4691851DB611}"/>
    <hyperlink ref="A5" location="'Cross References'!A1" tooltip="Activate Cross References" display="'Cross References'!A1" xr:uid="{AE85F4BE-BF5C-4E66-9E82-F218D4B60889}"/>
    <hyperlink ref="A6" location="'Staff Data'!A1" tooltip="Activate Staff Data" display="'Staff Data'!A1" xr:uid="{53FD253B-1041-4A4E-B764-F2B4E211CBF0}"/>
    <hyperlink ref="A7" location="'A - Senior employees'!A1" tooltip="Activate A - Senior employees" display="'A - Senior employees'!A1" xr:uid="{39222FCD-09B8-4B03-8EF6-5A10BA8A3341}"/>
    <hyperlink ref="A8" location="'A1 - Staff Report'!A1" tooltip="Activate A1 - Staff Report" display="'A1 - Staff Report'!A1" xr:uid="{B71424F2-1FCC-4310-9BC3-F6A3DF7E2110}"/>
    <hyperlink ref="A9" location="'A - Compensation packages'!A1" tooltip="Activate A - Compensation packages" display="'A - Compensation packages'!A1" xr:uid="{CC245436-AC34-4674-81DF-6E34D9B0A654}"/>
    <hyperlink ref="A10" location="'A - Losses &amp; special payments'!A1" tooltip="Activate A - Losses &amp; special payments" display="'A - Losses &amp; special payments'!A1" xr:uid="{9C7F61A7-B54E-4FA1-AFB4-F3A50A7E834D}"/>
    <hyperlink ref="A11" location="'SAS'!A1" tooltip="Activate SAS" display="'SAS'!A1" xr:uid="{83E9D262-2475-42B9-864A-17803D72AB01}"/>
    <hyperlink ref="A12" location="'SOAS 1'!A1" tooltip="Activate SOAS 1" display="'SOAS 1'!A1" xr:uid="{26043E9D-4B0F-4EA7-B707-1FB6FE41A0E4}"/>
    <hyperlink ref="A13" location="'SoAS 2'!A1" tooltip="Activate SoAS 2" display="'SoAS 2'!A1" xr:uid="{1DE473B5-53CD-4F3B-BC04-7B18AF2CC4FF}"/>
    <hyperlink ref="A14" location="'SoAS 3'!A1" tooltip="Activate SoAS 3" display="'SoAS 3'!A1" xr:uid="{C4F546A6-67DA-4C00-B90A-B2A4F4B153C1}"/>
    <hyperlink ref="A15" location="'SoAS 4&amp;5'!A1" tooltip="Activate SoAS 4&amp;5" display="'SoAS 4&amp;5'!A1" xr:uid="{C79A42BF-5CC7-4CCC-9944-1B8F3D8FC701}"/>
    <hyperlink ref="A16" location="'SoAS 6'!A1" tooltip="Activate SoAS 6" display="'SoAS 6'!A1" xr:uid="{CBCF6BE2-0D78-4D21-BA21-B5FB48BD147A}"/>
    <hyperlink ref="A17" location="'Note 2'!A1" tooltip="Activate Note 2" display="'Note 2'!A1" xr:uid="{50336F16-DB2B-41BB-A35A-E7AB27935A7B}"/>
    <hyperlink ref="A18" location="'Note 2.1'!A1" tooltip="Activate Note 2.1" display="'Note 2.1'!A1" xr:uid="{53DBCDB6-BE33-4551-9AC9-0B8DBEC3171B}"/>
    <hyperlink ref="A19" location="'Note 6 Impair Check'!A1" tooltip="Activate Note 6 Impair Check" display="'Note 6 Impair Check'!A1" xr:uid="{2F3CC4D1-B93C-4A7D-8140-56EBA4355C47}"/>
    <hyperlink ref="A20" location="'Note 15 prov check'!A1" tooltip="Activate Note 15 prov check" display="'Note 15 prov check'!A1" xr:uid="{3AE5492E-0663-4868-A361-95CF126904E8}"/>
    <hyperlink ref="A21" location="'NS B'!A1" tooltip="Activate NS B" display="'NS B'!A1" xr:uid="{2306D362-A18F-464E-B26E-CBB260AB4D54}"/>
    <hyperlink ref="A22" location="'Guide'!A1" tooltip="Activate Guide" display="'Guide'!A1" xr:uid="{E5E8DC96-D395-45B5-88AE-FEB7A007FC73}"/>
    <hyperlink ref="A23" location="'GIA'!A1" tooltip="Activate GIA" display="'GIA'!A1" xr:uid="{79EAB1CA-3AE2-4686-81BE-3D6C164DFE07}"/>
    <hyperlink ref="A24" location="'Key'!A1" tooltip="Activate Key" display="'Key'!A1" xr:uid="{2307BBD6-B3B8-4C29-A63E-D68777EA2C50}"/>
    <hyperlink ref="A25" location="'CHECK 1'!A1" tooltip="Activate CHECK 1" display="'CHECK 1'!A1" xr:uid="{8B411B8C-D232-45C5-9202-C7FEDCCA807E}"/>
    <hyperlink ref="A26" location="'CHECK 2'!A1" tooltip="Activate CHECK 2" display="'CHECK 2'!A1" xr:uid="{20386DEB-B22F-4EB6-9CD7-F75349380DC6}"/>
    <hyperlink ref="A27" location="'SCNE'!A1" tooltip="Activate SCNE" display="'SCNE'!A1" xr:uid="{9215C940-5C4D-4902-9348-FD9E1BEF09AC}"/>
    <hyperlink ref="A28" location="'SCF'!A1" tooltip="Activate SCF" display="'SCF'!A1" xr:uid="{4C3AA47C-7442-4527-8147-F31043FFCB06}"/>
    <hyperlink ref="A29" location="'TE'!A1" tooltip="Activate TE" display="'TE'!A1" xr:uid="{14FB1747-B24F-4598-8002-6A5FB610CEE1}"/>
    <hyperlink ref="A30" location="'SFP'!A1" tooltip="Activate SFP" display="'SFP'!A1" xr:uid="{D2F1A6A9-A0FE-435A-9A19-522831D04447}"/>
    <hyperlink ref="A31" location="'Note 3'!A1" tooltip="Activate Note 3" display="'Note 3'!A1" xr:uid="{66CFE95F-3A29-4067-AB05-692592DC8C48}"/>
    <hyperlink ref="A32" location="'Note 4'!A1" tooltip="Activate Note 4" display="'Note 4'!A1" xr:uid="{BD775CCB-5E5A-42C8-98EC-13B8DD4ED582}"/>
    <hyperlink ref="A33" location="'Note 5'!A1" tooltip="Activate Note 5" display="'Note 5'!A1" xr:uid="{1D0587C2-BFD0-46C9-8EC5-8C5146134CCE}"/>
    <hyperlink ref="A34" location="'Note 6'!A1" tooltip="Activate Note 6" display="'Note 6'!A1" xr:uid="{DCF00678-259F-452F-BFCB-D1D8D4F18061}"/>
    <hyperlink ref="A35" location="'Note 6.4'!A1" tooltip="Activate Note 6.4" display="'Note 6.4'!A1" xr:uid="{F7BF7207-9763-4738-A922-817154BD69D8}"/>
    <hyperlink ref="A36" location="'Note 6 check'!A1" tooltip="Activate Note 6 check" display="'Note 6 check'!A1" xr:uid="{4333BCED-1996-415D-90CF-14DF9773E89A}"/>
    <hyperlink ref="A37" location="'Note 7'!A1" tooltip="Activate Note 7" display="'Note 7'!A1" xr:uid="{D89A218D-12B8-4B52-B1AE-0EE68069ED02}"/>
    <hyperlink ref="A38" location="'Note 8'!A1" tooltip="Activate Note 8" display="'Note 8'!A1" xr:uid="{3485CEFA-AC55-44FD-AFD0-4D679B219856}"/>
    <hyperlink ref="A39" location="'Notes 9 &amp; 10'!A1" tooltip="Activate Notes 9 &amp; 10" display="'Notes 9 &amp; 10'!A1" xr:uid="{0749BC9E-2D4C-4CD6-9080-D0AB64F99147}"/>
    <hyperlink ref="A40" location="'Notes 11 &amp; 12'!A1" tooltip="Activate Notes 11 &amp; 12" display="'Notes 11 &amp; 12'!A1" xr:uid="{0E12125B-C5C1-4838-BF51-1A7603B63533}"/>
    <hyperlink ref="A41" location="'Note 13'!A1" tooltip="Activate Note 13" display="'Note 13'!A1" xr:uid="{B07FF857-CB80-4CFE-BCF0-A85A27603DBF}"/>
    <hyperlink ref="A42" location="'Note 14'!A1" tooltip="Activate Note 14" display="'Note 14'!A1" xr:uid="{6C75860D-F82C-495F-A8CA-F4BCA7815579}"/>
    <hyperlink ref="A43" location="'Note 15'!A1" tooltip="Activate Note 15" display="'Note 15'!A1" xr:uid="{FA059065-9C31-4B2C-9278-D0362A8A7B30}"/>
    <hyperlink ref="A44" location="'Note 16.1'!A1" tooltip="Activate Note 16.1" display="'Note 16.1'!A1" xr:uid="{34AE7507-6E7B-49DA-B712-FEE9FFBF0AC5}"/>
    <hyperlink ref="A45" location="'Note 17'!A1" tooltip="Activate Note 17" display="'Note 17'!A1" xr:uid="{02661FA9-EC13-439C-8ADF-0FE3EBD73372}"/>
    <hyperlink ref="A46" location="'Note 18'!A1" tooltip="Activate Note 18" display="'Note 18'!A1" xr:uid="{547268E9-F83A-4BCE-BCE7-DC21067873CD}"/>
    <hyperlink ref="A47" location="'Note 19'!A1" tooltip="Activate Note 19" display="'Note 19'!A1" xr:uid="{79B7D0B7-D0EE-4791-BEC2-02B7ED8BBDE0}"/>
    <hyperlink ref="A48" location="'Note 20'!A1" tooltip="Activate Note 20" display="'Note 20'!A1" xr:uid="{708D3B9E-B641-4990-9FAA-EC3FA9D773D0}"/>
    <hyperlink ref="A49" location="'Note 21'!A1" tooltip="Activate Note 21" display="'Note 21'!A1" xr:uid="{DB86CC6E-386F-4881-BD57-6F64B6CB8CC0}"/>
    <hyperlink ref="A50" location="'Note 22'!A1" tooltip="Activate Note 22" display="'Note 22'!A1" xr:uid="{47BDF7DD-0812-4341-B252-B3EE8C4FB3A0}"/>
    <hyperlink ref="A51" location="'Queries'!A1" tooltip="Activate Queries" display="'Queries'!A1" xr:uid="{990A04BC-4148-484E-AFA3-FE9DD0259530}"/>
    <hyperlink ref="A52" location="'-------ALB to the right--------'!A1" tooltip="Activate -------ALB to the right--------" display="'-------ALB to the right--------'!A1" xr:uid="{1A456130-B830-4E6A-B715-D0F501226C3C}"/>
    <hyperlink ref="A53" location="'Update'!A1" tooltip="Activate Update" display="'Update'!A1" xr:uid="{347F7B75-8273-4EF4-96F4-765D1296E8D3}"/>
    <hyperlink ref="A54" location="'MAP'!A1" tooltip="Activate MAP" display="'MAP'!A1" xr:uid="{40EA73FB-8D82-4369-ABE9-5D46DFC2A523}"/>
    <hyperlink ref="A55" location="'alb Instructions'!A1" tooltip="Activate alb Instructions" display="'alb Instructions'!A1" xr:uid="{B5D1A82B-6131-450F-B384-54A63DC2ECB6}"/>
    <hyperlink ref="A56" location="'alb Check Sheet'!A1" tooltip="Activate alb Check Sheet" display="'alb Check Sheet'!A1" xr:uid="{FC78BA63-DA5A-4581-A8F1-7CFC4C9FCC39}"/>
    <hyperlink ref="A57" location="'alb Interco'!A1" tooltip="Activate alb Interco" display="'alb Interco'!A1" xr:uid="{47EC6C42-D8D6-41B6-89F9-5130B7E5C1E7}"/>
    <hyperlink ref="A58" location="'alb Narrative'!A1" tooltip="Activate alb Narrative" display="'alb Narrative'!A1" xr:uid="{9EBD46DB-B8A5-420C-A383-CCDEB0298A2D}"/>
    <hyperlink ref="A59" location="'alb A - Losses &amp; special pay'!A1" tooltip="Activate alb A - Losses &amp; special pay" display="'alb A - Losses &amp; special pay'!A1" xr:uid="{B1D9B715-7109-4EF2-8315-2F7055456427}"/>
    <hyperlink ref="A60" location="'alb A - Staff data'!A1" tooltip="Activate alb A - Staff data" display="'alb A - Staff data'!A1" xr:uid="{4F46E772-1167-4E0B-811C-30026E0C3C2F}"/>
    <hyperlink ref="A61" location="'alb A - Staff Report'!A1" tooltip="Activate alb A - Staff Report" display="'alb A - Staff Report'!A1" xr:uid="{D8FD0D90-EB98-4A3A-A256-A8B976443823}"/>
    <hyperlink ref="A62" location="'alb A - Compensation packages'!A1" tooltip="Activate alb A - Compensation packages" display="'alb A - Compensation packages'!A1" xr:uid="{235F3ABB-96A3-478E-9D6F-A56AE7C5E599}"/>
    <hyperlink ref="A63" location="'alb SoCNE'!A1" tooltip="Activate alb SoCNE" display="'alb SoCNE'!A1" xr:uid="{4DA628A4-F09F-4FD9-BA8E-08927C03B023}"/>
    <hyperlink ref="A64" location="'alb SFP'!A1" tooltip="Activate alb SFP" display="'alb SFP'!A1" xr:uid="{CBC25C2D-CF98-48E4-85B7-E2F28A1D260A}"/>
    <hyperlink ref="A65" location="'alb SCF'!A1" tooltip="Activate alb SCF" display="'alb SCF'!A1" xr:uid="{B2FEDC9B-0741-4F18-A003-C558E2856DFC}"/>
    <hyperlink ref="A66" location="'alb SoCITE'!A1" tooltip="Activate alb SoCITE" display="'alb SoCITE'!A1" xr:uid="{4908E8F7-AD20-49DC-8D91-500CFC422267}"/>
    <hyperlink ref="A67" location="'alb Note 4 - Other expenditure'!A1" tooltip="Activate alb Note 4 - Other expenditure" display="'alb Note 4 - Other expenditure'!A1" xr:uid="{C3CDE40F-1E4D-4620-AD58-ACCEF839EDAD}"/>
    <hyperlink ref="A68" location="'alb Note 5 - Income'!A1" tooltip="Activate alb Note 5 - Income" display="'alb Note 5 - Income'!A1" xr:uid="{10C095E8-F382-4F16-A1ED-594E4E8326D3}"/>
    <hyperlink ref="A69" location="'alb Note 6.1 -PP&amp;E - CY'!A1" tooltip="Activate alb Note 6.1 -PP&amp;E - CY" display="'alb Note 6.1 -PP&amp;E - CY'!A1" xr:uid="{49EDAC90-1624-4EE0-AAE7-6CD31736A20B}"/>
    <hyperlink ref="A70" location="'alb Note 6.2 -  PP&amp;E - PY'!A1" tooltip="Activate alb Note 6.2 -  PP&amp;E - PY" display="'alb Note 6.2 -  PP&amp;E - PY'!A1" xr:uid="{0C43B261-E88D-48AB-B082-5BBCB0883BD8}"/>
    <hyperlink ref="A71" location="'alb Note 6.3 -Asset held resale'!A1" tooltip="Activate alb Note 6.3 -Asset held resale" display="'alb Note 6.3 -Asset held resale'!A1" xr:uid="{79B5A5D8-EB67-4DDE-867D-EECBBEEA8920}"/>
    <hyperlink ref="A72" location="'alb Note 7.1 -  Intangibles CY'!A1" tooltip="Activate alb Note 7.1 -  Intangibles CY" display="'alb Note 7.1 -  Intangibles CY'!A1" xr:uid="{FBC3F750-CADB-4756-AC15-A741F87B075C}"/>
    <hyperlink ref="A73" location="'alb Note 7.2 -  Intangibles PY'!A1" tooltip="Activate alb Note 7.2 -  Intangibles PY" display="'alb Note 7.2 -  Intangibles PY'!A1" xr:uid="{99A2B7EB-223D-4420-8FC1-EAEAB6A41EF3}"/>
    <hyperlink ref="A74" location="'alb Note 8 - Impairments'!A1" tooltip="Activate alb Note 8 - Impairments" display="'alb Note 8 - Impairments'!A1" xr:uid="{9332C618-873C-431C-B98A-668778BA69FD}"/>
    <hyperlink ref="A75" location="'alb Note 9 - Fin instruments'!A1" tooltip="Activate alb Note 9 - Fin instruments" display="'alb Note 9 - Fin instruments'!A1" xr:uid="{027618B8-8C10-4E91-BBF3-16E144BC2B53}"/>
    <hyperlink ref="A76" location="'alb Note 10 - Investments'!A1" tooltip="Activate alb Note 10 - Investments" display="'alb Note 10 - Investments'!A1" xr:uid="{1A6D0B48-AE3A-4B7E-BFBB-8298DF10D91F}"/>
    <hyperlink ref="A77" location="'alb Note 11 - Inventories'!A1" tooltip="Activate alb Note 11 - Inventories" display="'alb Note 11 - Inventories'!A1" xr:uid="{2D3670B8-44A0-44C0-A1E8-CF032A1C853F}"/>
    <hyperlink ref="A78" location="'alb Note 12 - Cash'!A1" tooltip="Activate alb Note 12 - Cash" display="'alb Note 12 - Cash'!A1" xr:uid="{DDF4687F-15A3-401C-B03B-B97A7D1FD200}"/>
    <hyperlink ref="A79" location="'alb Note 13 Trade Receivables'!A1" tooltip="Activate alb Note 13 Trade Receivables" display="'alb Note 13 Trade Receivables'!A1" xr:uid="{60D4A234-9897-4492-921F-EC536D770404}"/>
    <hyperlink ref="A80" location="'alb Note 14.1 Trade payables'!A1" tooltip="Activate alb Note 14.1 Trade payables" display="'alb Note 14.1 Trade payables'!A1" xr:uid="{EF52F98C-6024-493F-9C39-D102E348CEE0}"/>
    <hyperlink ref="A81" location="'alb Note 15 - Provisions CY'!A1" tooltip="Activate alb Note 15 - Provisions CY" display="'alb Note 15 - Provisions CY'!A1" xr:uid="{F537DFE7-0985-4350-95E2-6BB13FD20DD8}"/>
    <hyperlink ref="A82" location="'alb Note 15 - Provisions PY'!A1" tooltip="Activate alb Note 15 - Provisions PY" display="'alb Note 15 - Provisions PY'!A1" xr:uid="{CD804EF5-C02A-4C05-98A3-42B0F0E3C25E}"/>
    <hyperlink ref="A86" location="'alb Note 15.5 Pensions'!A1" tooltip="Activate alb Note 15.5 Pensions" display="'alb Note 15.5 Pensions'!A1" xr:uid="{8D638CDB-C7D5-45BC-B90E-845CFF5FE96C}"/>
    <hyperlink ref="A87" location="'alb Note 16 - Cont liab'!A1" tooltip="Activate alb Note 16 - Cont liab" display="'alb Note 16 - Cont liab'!A1" xr:uid="{E2A16AF8-4DC2-4E1D-ADB6-2A7581F005CD}"/>
    <hyperlink ref="A88" location="'alb Note 16.1- Financial Guar'!A1" tooltip="Activate alb Note 16.1- Financial Guar" display="'alb Note 16.1- Financial Guar'!A1" xr:uid="{5498EE6D-30FB-44EC-BA9B-47FF69413F67}"/>
    <hyperlink ref="A89" location="'alb Note 17  Leases'!A1" tooltip="Activate alb Note 17  Leases" display="'alb Note 17  Leases'!A1" xr:uid="{6FC3A16E-3F7E-4164-9B35-4CEF2D5828C4}"/>
    <hyperlink ref="A90" location="'alb Note 17.3 Lessor Commitment'!A1" tooltip="Activate alb Note 17.3 Lessor Commitment" display="'alb Note 17.3 Lessor Commitment'!A1" xr:uid="{370CFFDE-477B-4443-B782-3FD14946FA04}"/>
    <hyperlink ref="A91" location="'alb Note 18 - Commitments PFI'!A1" tooltip="Activate alb Note 18 - Commitments PFI" display="'alb Note 18 - Commitments PFI'!A1" xr:uid="{DFB184F6-92B2-4957-ACDD-A09B47DADD0F}"/>
    <hyperlink ref="A92" location="'alb Note 19 - Capital commits'!A1" tooltip="Activate alb Note 19 - Capital commits" display="'alb Note 19 - Capital commits'!A1" xr:uid="{126F76DC-CD0D-4312-A5E0-073A3A1B3904}"/>
    <hyperlink ref="A93" location="'alb Note 19.2 - Other fin comm'!A1" tooltip="Activate alb Note 19.2 - Other fin comm" display="'alb Note 19.2 - Other fin comm'!A1" xr:uid="{FCC0E85D-C6E0-45B0-B802-C1A4E46FFCA1}"/>
    <hyperlink ref="A95" location="'alb Note 21 Third Party Assets'!A1" tooltip="Activate alb Note 21 Third Party Assets" display="'alb Note 21 Third Party Assets'!A1" xr:uid="{0EF6A7FD-76E2-4872-856B-DC4C0CA6CECC}"/>
    <hyperlink ref="A96" location="'alb Note 22 - Post Bal sheet'!A1" tooltip="Activate alb Note 22 - Post Bal sheet" display="'alb Note 22 - Post Bal sheet'!A1" xr:uid="{85D2447E-4FC2-46D6-931C-2B0EF42A332A}"/>
    <hyperlink ref="A94" location="'alb Note 20 Related Party Trans'!A1" display="alb Note 20 Related Party Transactions" xr:uid="{D4FA71E1-974D-40F6-9473-978C850A6CA3}"/>
    <hyperlink ref="A83" location="'alb Note 15a Pensions - NIFRS'!A1" display="alb Note 15a Pensions - NIFRS" xr:uid="{A60013C4-1799-49E5-9B59-45211EB0B761}"/>
    <hyperlink ref="A84" location="'alb Note 15a cont - NIFRS'!A1" display="alb Note 15a cont - NIFRS" xr:uid="{84D2FFD9-5955-462B-B76B-1D067CD130E6}"/>
    <hyperlink ref="A85" location="'alb Note 15b FF Pensions NIFRS'!A1" display="alb Note 15b FF Pensions NIFRS" xr:uid="{33329B6C-752F-42DE-95D6-7F53F22195EA}"/>
  </hyperlinks>
  <pageMargins left="0.7" right="0.7" top="0.75" bottom="0.75" header="0.3" footer="0.3"/>
  <pageSetup orientation="portrait" horizontalDpi="90" verticalDpi="90"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2060"/>
    <pageSetUpPr fitToPage="1"/>
  </sheetPr>
  <dimension ref="A1:CZ2850"/>
  <sheetViews>
    <sheetView zoomScale="80" zoomScaleNormal="80" workbookViewId="0">
      <pane xSplit="5" ySplit="6" topLeftCell="K7" activePane="bottomRight" state="frozen"/>
      <selection activeCell="A36" sqref="A36"/>
      <selection pane="topRight" activeCell="A36" sqref="A36"/>
      <selection pane="bottomLeft" activeCell="A36" sqref="A36"/>
      <selection pane="bottomRight" activeCell="K6" sqref="K6"/>
    </sheetView>
  </sheetViews>
  <sheetFormatPr defaultRowHeight="15" outlineLevelCol="1" x14ac:dyDescent="0.25"/>
  <cols>
    <col min="1" max="1" width="6.42578125" style="891" bestFit="1" customWidth="1"/>
    <col min="2" max="2" width="9.85546875" customWidth="1"/>
    <col min="3" max="3" width="20" customWidth="1"/>
    <col min="4" max="4" width="31" customWidth="1"/>
    <col min="5" max="5" width="38.42578125" customWidth="1"/>
    <col min="6" max="6" width="5.5703125" customWidth="1"/>
    <col min="7" max="7" width="30.5703125" customWidth="1" outlineLevel="1"/>
    <col min="8" max="8" width="16.42578125" style="4" customWidth="1" outlineLevel="1"/>
    <col min="9" max="9" width="12" style="4" bestFit="1" customWidth="1"/>
    <col min="10" max="10" width="34.140625" style="4" customWidth="1" outlineLevel="1"/>
    <col min="11" max="11" width="15" style="4" customWidth="1" outlineLevel="1"/>
    <col min="12" max="12" width="16" style="4" customWidth="1" outlineLevel="1"/>
    <col min="13" max="13" width="5.5703125" customWidth="1"/>
    <col min="14" max="14" width="18.85546875" customWidth="1"/>
    <col min="15" max="15" width="16.140625" customWidth="1"/>
    <col min="16" max="16" width="14.85546875" customWidth="1" outlineLevel="1"/>
    <col min="17" max="17" width="16.85546875" customWidth="1" outlineLevel="1"/>
    <col min="18" max="18" width="16.85546875" customWidth="1" outlineLevel="1" collapsed="1"/>
    <col min="19" max="19" width="11.85546875" customWidth="1" outlineLevel="1"/>
    <col min="20" max="20" width="18.85546875" customWidth="1"/>
    <col min="21" max="48" width="14.140625" customWidth="1"/>
    <col min="49" max="49" width="4.5703125" customWidth="1"/>
    <col min="50" max="51" width="15.140625" customWidth="1" outlineLevel="1"/>
    <col min="52" max="52" width="4.5703125" customWidth="1" outlineLevel="1"/>
    <col min="53" max="53" width="11.5703125" customWidth="1" outlineLevel="1"/>
    <col min="54" max="54" width="11.140625" customWidth="1" outlineLevel="1"/>
    <col min="55" max="55" width="6" customWidth="1" outlineLevel="1"/>
    <col min="56" max="56" width="15.5703125" customWidth="1"/>
    <col min="57" max="59" width="12.5703125" customWidth="1"/>
    <col min="60" max="60" width="14.42578125" customWidth="1"/>
    <col min="61" max="63" width="12.5703125" customWidth="1"/>
    <col min="64" max="66" width="12.5703125" customWidth="1" outlineLevel="1"/>
    <col min="67" max="67" width="13.7109375" customWidth="1" outlineLevel="1"/>
    <col min="68" max="68" width="15.7109375" customWidth="1" outlineLevel="1"/>
    <col min="69" max="89" width="12.5703125" customWidth="1" outlineLevel="1"/>
    <col min="91" max="92" width="15.140625" customWidth="1" outlineLevel="1"/>
    <col min="94" max="94" width="0" hidden="1" customWidth="1"/>
  </cols>
  <sheetData>
    <row r="1" spans="1:104" x14ac:dyDescent="0.25">
      <c r="A1" s="35" t="str">
        <f>Update!$B$6</f>
        <v>Department of Health</v>
      </c>
      <c r="B1" s="2"/>
      <c r="C1" s="16"/>
      <c r="D1" s="1085">
        <f>SFP!E62+SFP!G62</f>
        <v>120338</v>
      </c>
      <c r="E1" s="2"/>
      <c r="F1" s="2"/>
      <c r="J1" s="7"/>
      <c r="K1" s="7"/>
      <c r="L1" s="7"/>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703"/>
      <c r="BD1" s="3"/>
      <c r="BE1" s="3"/>
      <c r="BF1" s="3"/>
      <c r="BG1" s="3"/>
      <c r="BH1" s="3"/>
      <c r="BI1" s="3"/>
      <c r="BJ1" s="1526" t="s">
        <v>2451</v>
      </c>
      <c r="BK1" s="3"/>
      <c r="BL1" s="3"/>
      <c r="BM1" s="3"/>
      <c r="BN1" s="3"/>
      <c r="BO1" s="3"/>
      <c r="BP1" s="3"/>
      <c r="BQ1" s="3"/>
      <c r="BR1" s="3"/>
      <c r="BS1" s="3"/>
      <c r="BT1" s="3"/>
      <c r="BU1" s="3"/>
      <c r="BV1" s="3"/>
      <c r="BW1" s="3"/>
      <c r="BX1" s="3"/>
      <c r="BY1" s="3"/>
      <c r="BZ1" s="3"/>
      <c r="CA1" s="3"/>
      <c r="CB1" s="3"/>
      <c r="CC1" s="3"/>
      <c r="CD1" s="3"/>
      <c r="CE1" s="3"/>
      <c r="CF1" s="3"/>
      <c r="CG1" s="3"/>
      <c r="CH1" s="3"/>
      <c r="CI1" s="3"/>
      <c r="CJ1" s="3"/>
      <c r="CK1" s="3"/>
      <c r="CM1" s="3"/>
      <c r="CN1" s="3"/>
    </row>
    <row r="2" spans="1:104" ht="38.25" customHeight="1" x14ac:dyDescent="0.25">
      <c r="A2" s="35" t="str">
        <f>Update!$A$3</f>
        <v>2025-26</v>
      </c>
      <c r="B2" s="2"/>
      <c r="C2" s="863" t="s">
        <v>1458</v>
      </c>
      <c r="D2" s="2"/>
      <c r="E2" s="2"/>
      <c r="F2" s="2"/>
      <c r="J2" s="7"/>
      <c r="K2" s="7"/>
      <c r="L2" s="7"/>
      <c r="M2" s="2"/>
      <c r="N2" s="2"/>
      <c r="O2" s="2"/>
      <c r="P2" s="2"/>
      <c r="Q2" s="2"/>
      <c r="R2" s="2"/>
      <c r="S2" s="2"/>
      <c r="T2" s="2"/>
      <c r="U2" s="1530" t="s">
        <v>2454</v>
      </c>
      <c r="V2" s="1534" t="s">
        <v>2455</v>
      </c>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
      <c r="AX2" s="703"/>
      <c r="AY2" s="703"/>
      <c r="AZ2" s="2"/>
      <c r="BA2" s="703"/>
      <c r="BB2" s="703"/>
      <c r="BC2" s="703"/>
      <c r="BD2" s="2"/>
      <c r="BE2" s="2"/>
      <c r="BF2" s="2"/>
      <c r="BG2" s="2"/>
      <c r="BH2" s="1532" t="s">
        <v>224</v>
      </c>
      <c r="BI2" s="1531" t="s">
        <v>2455</v>
      </c>
      <c r="BJ2" s="1525" t="s">
        <v>2450</v>
      </c>
      <c r="BK2" s="2"/>
      <c r="BL2" s="1783" t="s">
        <v>2467</v>
      </c>
      <c r="BM2" s="1783"/>
      <c r="BN2" s="1783"/>
      <c r="BO2" s="24"/>
      <c r="BP2" s="24"/>
      <c r="BQ2" s="24"/>
      <c r="BR2" s="24"/>
      <c r="BS2" s="24"/>
      <c r="BT2" s="24"/>
      <c r="BU2" s="24"/>
      <c r="BV2" s="24"/>
      <c r="BW2" s="24"/>
      <c r="BX2" s="24"/>
      <c r="BY2" s="24"/>
      <c r="BZ2" s="24"/>
      <c r="CA2" s="24"/>
      <c r="CB2" s="24"/>
      <c r="CC2" s="24"/>
      <c r="CD2" s="24"/>
      <c r="CE2" s="24"/>
      <c r="CF2" s="24"/>
      <c r="CG2" s="24"/>
      <c r="CH2" s="24"/>
      <c r="CI2" s="24"/>
      <c r="CJ2" s="24"/>
      <c r="CK2" s="24"/>
      <c r="CM2" s="1535" t="s">
        <v>2862</v>
      </c>
      <c r="CN2" s="1535" t="s">
        <v>2861</v>
      </c>
    </row>
    <row r="3" spans="1:104" ht="35.25" customHeight="1" x14ac:dyDescent="0.25">
      <c r="A3" s="1298"/>
      <c r="B3" s="2"/>
      <c r="C3" s="2"/>
      <c r="D3" s="2"/>
      <c r="E3" s="2"/>
      <c r="F3" s="2"/>
      <c r="J3" s="7"/>
      <c r="K3" s="7"/>
      <c r="L3" s="7"/>
      <c r="M3" s="2"/>
      <c r="N3" s="2"/>
      <c r="O3" s="2"/>
      <c r="P3" s="2"/>
      <c r="Q3" s="2"/>
      <c r="R3" s="2"/>
      <c r="S3" s="791">
        <f>-IF(ISNUMBER(BD3),BD3,0)</f>
        <v>0</v>
      </c>
      <c r="T3" s="2"/>
      <c r="U3" s="690"/>
      <c r="V3" s="690"/>
      <c r="W3" s="690" t="s">
        <v>1318</v>
      </c>
      <c r="X3" s="690" t="s">
        <v>1318</v>
      </c>
      <c r="Y3" s="690" t="s">
        <v>1318</v>
      </c>
      <c r="Z3" s="690" t="s">
        <v>1318</v>
      </c>
      <c r="AA3" s="690" t="s">
        <v>1318</v>
      </c>
      <c r="AB3" s="690" t="s">
        <v>1318</v>
      </c>
      <c r="AC3" s="690" t="s">
        <v>1318</v>
      </c>
      <c r="AD3" s="690" t="s">
        <v>1318</v>
      </c>
      <c r="AE3" s="690" t="s">
        <v>1318</v>
      </c>
      <c r="AF3" s="690" t="s">
        <v>1318</v>
      </c>
      <c r="AG3" s="690" t="s">
        <v>1318</v>
      </c>
      <c r="AH3" s="690" t="s">
        <v>1318</v>
      </c>
      <c r="AI3" s="690" t="s">
        <v>1318</v>
      </c>
      <c r="AJ3" s="690" t="s">
        <v>1318</v>
      </c>
      <c r="AK3" s="690" t="s">
        <v>1318</v>
      </c>
      <c r="AL3" s="690" t="s">
        <v>1318</v>
      </c>
      <c r="AM3" s="690" t="s">
        <v>1318</v>
      </c>
      <c r="AN3" s="690" t="s">
        <v>1318</v>
      </c>
      <c r="AO3" s="690" t="s">
        <v>1318</v>
      </c>
      <c r="AP3" s="690" t="s">
        <v>1318</v>
      </c>
      <c r="AQ3" s="690" t="s">
        <v>1318</v>
      </c>
      <c r="AR3" s="690" t="s">
        <v>1318</v>
      </c>
      <c r="AS3" s="690" t="s">
        <v>1318</v>
      </c>
      <c r="AT3" s="690" t="s">
        <v>1318</v>
      </c>
      <c r="AU3" s="690" t="s">
        <v>1318</v>
      </c>
      <c r="AV3" s="690" t="s">
        <v>1318</v>
      </c>
      <c r="AW3" s="2"/>
      <c r="AX3" s="690" t="s">
        <v>1318</v>
      </c>
      <c r="AY3" s="690"/>
      <c r="AZ3" s="2"/>
      <c r="BA3" s="690" t="s">
        <v>1318</v>
      </c>
      <c r="BB3" s="690"/>
      <c r="BC3" s="3"/>
      <c r="BD3" s="709" t="s">
        <v>1336</v>
      </c>
      <c r="BE3" s="709" t="s">
        <v>1336</v>
      </c>
      <c r="BF3" s="709" t="s">
        <v>1336</v>
      </c>
      <c r="BG3" s="709" t="s">
        <v>1336</v>
      </c>
      <c r="BH3" s="709" t="s">
        <v>1336</v>
      </c>
      <c r="BI3" s="709" t="s">
        <v>1336</v>
      </c>
      <c r="BJ3" s="709" t="s">
        <v>1336</v>
      </c>
      <c r="BK3" s="709"/>
      <c r="BL3" s="709" t="s">
        <v>1319</v>
      </c>
      <c r="BM3" s="709" t="s">
        <v>1319</v>
      </c>
      <c r="BN3" s="709" t="s">
        <v>1319</v>
      </c>
      <c r="BO3" s="709" t="s">
        <v>1319</v>
      </c>
      <c r="BP3" s="709" t="s">
        <v>1319</v>
      </c>
      <c r="BQ3" s="709" t="s">
        <v>1319</v>
      </c>
      <c r="BR3" s="709" t="s">
        <v>1319</v>
      </c>
      <c r="BS3" s="709" t="s">
        <v>1319</v>
      </c>
      <c r="BT3" s="709" t="s">
        <v>1319</v>
      </c>
      <c r="BU3" s="709" t="s">
        <v>1319</v>
      </c>
      <c r="BV3" s="709" t="s">
        <v>1319</v>
      </c>
      <c r="BW3" s="709" t="s">
        <v>1319</v>
      </c>
      <c r="BX3" s="709" t="s">
        <v>1319</v>
      </c>
      <c r="BY3" s="709" t="s">
        <v>1319</v>
      </c>
      <c r="BZ3" s="709" t="s">
        <v>1319</v>
      </c>
      <c r="CA3" s="709" t="s">
        <v>1319</v>
      </c>
      <c r="CB3" s="709" t="s">
        <v>1319</v>
      </c>
      <c r="CC3" s="709" t="s">
        <v>1319</v>
      </c>
      <c r="CD3" s="709" t="s">
        <v>1319</v>
      </c>
      <c r="CE3" s="709" t="s">
        <v>1319</v>
      </c>
      <c r="CF3" s="709" t="s">
        <v>1319</v>
      </c>
      <c r="CG3" s="709" t="s">
        <v>1319</v>
      </c>
      <c r="CH3" s="709" t="s">
        <v>1319</v>
      </c>
      <c r="CI3" s="709" t="s">
        <v>1319</v>
      </c>
      <c r="CJ3" s="709" t="s">
        <v>1319</v>
      </c>
      <c r="CK3" s="709" t="s">
        <v>1319</v>
      </c>
      <c r="CM3" s="709" t="s">
        <v>2406</v>
      </c>
      <c r="CN3" s="709" t="s">
        <v>2405</v>
      </c>
    </row>
    <row r="4" spans="1:104" ht="77.25" customHeight="1" x14ac:dyDescent="0.25">
      <c r="A4" s="686" t="s">
        <v>1321</v>
      </c>
      <c r="B4" s="687" t="s">
        <v>1320</v>
      </c>
      <c r="C4" s="688" t="s">
        <v>1315</v>
      </c>
      <c r="D4" s="687" t="s">
        <v>1316</v>
      </c>
      <c r="E4" s="687" t="s">
        <v>1325</v>
      </c>
      <c r="F4" s="687" t="s">
        <v>1317</v>
      </c>
      <c r="G4" s="687" t="s">
        <v>1322</v>
      </c>
      <c r="H4" s="687" t="s">
        <v>1323</v>
      </c>
      <c r="I4" s="687" t="s">
        <v>1329</v>
      </c>
      <c r="J4" s="687" t="s">
        <v>1327</v>
      </c>
      <c r="K4" s="687" t="s">
        <v>1326</v>
      </c>
      <c r="L4" s="687" t="s">
        <v>1461</v>
      </c>
      <c r="M4" s="687" t="s">
        <v>55</v>
      </c>
      <c r="N4" s="689" t="s">
        <v>347</v>
      </c>
      <c r="O4" s="688" t="s">
        <v>65</v>
      </c>
      <c r="P4" s="687" t="s">
        <v>364</v>
      </c>
      <c r="Q4" s="687" t="s">
        <v>66</v>
      </c>
      <c r="R4" s="687" t="s">
        <v>362</v>
      </c>
      <c r="S4" s="790" t="s">
        <v>64</v>
      </c>
      <c r="T4" s="689" t="s">
        <v>346</v>
      </c>
      <c r="U4" s="715" t="s">
        <v>1899</v>
      </c>
      <c r="V4" s="715" t="s">
        <v>2453</v>
      </c>
      <c r="W4" s="715" t="s">
        <v>1324</v>
      </c>
      <c r="X4" s="715" t="s">
        <v>2457</v>
      </c>
      <c r="Y4" s="715" t="s">
        <v>5</v>
      </c>
      <c r="Z4" s="715" t="s">
        <v>11</v>
      </c>
      <c r="AA4" s="715" t="s">
        <v>25</v>
      </c>
      <c r="AB4" s="715" t="s">
        <v>1011</v>
      </c>
      <c r="AC4" s="715" t="s">
        <v>19</v>
      </c>
      <c r="AD4" s="715" t="s">
        <v>35</v>
      </c>
      <c r="AE4" s="715" t="s">
        <v>902</v>
      </c>
      <c r="AF4" s="715" t="s">
        <v>2446</v>
      </c>
      <c r="AG4" s="715" t="s">
        <v>23</v>
      </c>
      <c r="AH4" s="715" t="s">
        <v>33</v>
      </c>
      <c r="AI4" s="715" t="s">
        <v>31</v>
      </c>
      <c r="AJ4" s="715" t="s">
        <v>7</v>
      </c>
      <c r="AK4" s="715" t="s">
        <v>27</v>
      </c>
      <c r="AL4" s="715" t="s">
        <v>29</v>
      </c>
      <c r="AM4" s="715" t="s">
        <v>13</v>
      </c>
      <c r="AN4" s="715" t="s">
        <v>9</v>
      </c>
      <c r="AO4" s="715" t="s">
        <v>15</v>
      </c>
      <c r="AP4" s="715" t="s">
        <v>37</v>
      </c>
      <c r="AQ4" s="715" t="s">
        <v>39</v>
      </c>
      <c r="AR4" s="715"/>
      <c r="AS4" s="715"/>
      <c r="AT4" s="715"/>
      <c r="AU4" s="715"/>
      <c r="AV4" s="715"/>
      <c r="AW4" s="706"/>
      <c r="AX4" s="707" t="s">
        <v>1331</v>
      </c>
      <c r="AY4" s="715" t="s">
        <v>1332</v>
      </c>
      <c r="AZ4" s="706"/>
      <c r="BA4" s="707" t="s">
        <v>1333</v>
      </c>
      <c r="BB4" s="715" t="s">
        <v>1334</v>
      </c>
      <c r="BC4" s="708"/>
      <c r="BD4" s="717" t="s">
        <v>1335</v>
      </c>
      <c r="BE4" s="718" t="s">
        <v>1341</v>
      </c>
      <c r="BF4" s="718" t="s">
        <v>1340</v>
      </c>
      <c r="BG4" s="718" t="s">
        <v>1339</v>
      </c>
      <c r="BH4" s="718" t="s">
        <v>2452</v>
      </c>
      <c r="BI4" s="718" t="s">
        <v>1441</v>
      </c>
      <c r="BJ4" s="718" t="s">
        <v>2449</v>
      </c>
      <c r="BK4" s="717" t="s">
        <v>1342</v>
      </c>
      <c r="BL4" s="718" t="s">
        <v>48</v>
      </c>
      <c r="BM4" s="718" t="s">
        <v>2457</v>
      </c>
      <c r="BN4" s="718" t="s">
        <v>5</v>
      </c>
      <c r="BO4" s="718" t="s">
        <v>11</v>
      </c>
      <c r="BP4" s="718" t="s">
        <v>25</v>
      </c>
      <c r="BQ4" s="718" t="s">
        <v>1011</v>
      </c>
      <c r="BR4" s="718" t="s">
        <v>19</v>
      </c>
      <c r="BS4" s="718" t="s">
        <v>35</v>
      </c>
      <c r="BT4" s="718" t="s">
        <v>902</v>
      </c>
      <c r="BU4" s="718" t="s">
        <v>2446</v>
      </c>
      <c r="BV4" s="718" t="s">
        <v>23</v>
      </c>
      <c r="BW4" s="718" t="s">
        <v>33</v>
      </c>
      <c r="BX4" s="718" t="s">
        <v>31</v>
      </c>
      <c r="BY4" s="718" t="s">
        <v>7</v>
      </c>
      <c r="BZ4" s="718" t="s">
        <v>27</v>
      </c>
      <c r="CA4" s="718" t="s">
        <v>29</v>
      </c>
      <c r="CB4" s="718" t="s">
        <v>13</v>
      </c>
      <c r="CC4" s="718" t="s">
        <v>9</v>
      </c>
      <c r="CD4" s="718" t="s">
        <v>15</v>
      </c>
      <c r="CE4" s="718" t="s">
        <v>37</v>
      </c>
      <c r="CF4" s="718" t="s">
        <v>39</v>
      </c>
      <c r="CG4" s="718" t="s">
        <v>2045</v>
      </c>
      <c r="CH4" s="718" t="s">
        <v>2463</v>
      </c>
      <c r="CI4" s="718" t="s">
        <v>2046</v>
      </c>
      <c r="CJ4" s="718" t="s">
        <v>1343</v>
      </c>
      <c r="CK4" s="718" t="s">
        <v>1343</v>
      </c>
      <c r="CM4" s="718" t="s">
        <v>440</v>
      </c>
      <c r="CN4" s="718" t="s">
        <v>440</v>
      </c>
    </row>
    <row r="5" spans="1:104" ht="15" customHeight="1" x14ac:dyDescent="0.25">
      <c r="A5" s="686">
        <v>5</v>
      </c>
      <c r="B5" s="688" t="s">
        <v>281</v>
      </c>
      <c r="C5" s="688" t="s">
        <v>281</v>
      </c>
      <c r="D5" s="688" t="s">
        <v>281</v>
      </c>
      <c r="E5" s="687"/>
      <c r="F5" s="687" t="s">
        <v>281</v>
      </c>
      <c r="G5" s="687" t="s">
        <v>800</v>
      </c>
      <c r="H5" s="687" t="s">
        <v>800</v>
      </c>
      <c r="I5" s="687"/>
      <c r="J5" s="687"/>
      <c r="K5" s="687"/>
      <c r="L5" s="687"/>
      <c r="M5" s="688" t="s">
        <v>281</v>
      </c>
      <c r="N5" s="691" t="s">
        <v>62</v>
      </c>
      <c r="O5" s="692" t="s">
        <v>62</v>
      </c>
      <c r="P5" s="692" t="s">
        <v>62</v>
      </c>
      <c r="Q5" s="692" t="s">
        <v>62</v>
      </c>
      <c r="R5" s="692" t="s">
        <v>0</v>
      </c>
      <c r="S5" s="692" t="s">
        <v>62</v>
      </c>
      <c r="T5" s="691" t="s">
        <v>62</v>
      </c>
      <c r="U5" s="692" t="s">
        <v>62</v>
      </c>
      <c r="V5" s="692" t="s">
        <v>62</v>
      </c>
      <c r="W5" s="692" t="s">
        <v>62</v>
      </c>
      <c r="X5" s="692" t="s">
        <v>62</v>
      </c>
      <c r="Y5" s="692" t="s">
        <v>62</v>
      </c>
      <c r="Z5" s="692" t="s">
        <v>62</v>
      </c>
      <c r="AA5" s="692" t="s">
        <v>62</v>
      </c>
      <c r="AB5" s="692" t="s">
        <v>62</v>
      </c>
      <c r="AC5" s="692" t="s">
        <v>62</v>
      </c>
      <c r="AD5" s="692" t="s">
        <v>62</v>
      </c>
      <c r="AE5" s="692" t="s">
        <v>62</v>
      </c>
      <c r="AF5" s="692" t="s">
        <v>62</v>
      </c>
      <c r="AG5" s="692" t="s">
        <v>62</v>
      </c>
      <c r="AH5" s="692" t="s">
        <v>62</v>
      </c>
      <c r="AI5" s="692" t="s">
        <v>62</v>
      </c>
      <c r="AJ5" s="692" t="s">
        <v>62</v>
      </c>
      <c r="AK5" s="692" t="s">
        <v>62</v>
      </c>
      <c r="AL5" s="692" t="s">
        <v>62</v>
      </c>
      <c r="AM5" s="692" t="s">
        <v>62</v>
      </c>
      <c r="AN5" s="692" t="s">
        <v>62</v>
      </c>
      <c r="AO5" s="692" t="s">
        <v>62</v>
      </c>
      <c r="AP5" s="692" t="s">
        <v>62</v>
      </c>
      <c r="AQ5" s="692" t="s">
        <v>62</v>
      </c>
      <c r="AR5" s="692" t="s">
        <v>62</v>
      </c>
      <c r="AS5" s="692" t="s">
        <v>62</v>
      </c>
      <c r="AT5" s="692" t="s">
        <v>62</v>
      </c>
      <c r="AU5" s="692" t="s">
        <v>62</v>
      </c>
      <c r="AV5" s="692" t="s">
        <v>62</v>
      </c>
      <c r="AX5" s="692" t="s">
        <v>366</v>
      </c>
      <c r="AY5" s="692" t="s">
        <v>62</v>
      </c>
      <c r="BA5" s="692" t="s">
        <v>368</v>
      </c>
      <c r="BB5" s="692" t="s">
        <v>62</v>
      </c>
      <c r="BC5" s="3"/>
      <c r="BD5" s="719" t="s">
        <v>62</v>
      </c>
      <c r="BE5" s="720" t="s">
        <v>62</v>
      </c>
      <c r="BF5" s="720" t="s">
        <v>62</v>
      </c>
      <c r="BG5" s="720" t="s">
        <v>62</v>
      </c>
      <c r="BH5" s="720" t="s">
        <v>62</v>
      </c>
      <c r="BI5" s="720" t="s">
        <v>62</v>
      </c>
      <c r="BJ5" s="720" t="s">
        <v>62</v>
      </c>
      <c r="BK5" s="719" t="s">
        <v>62</v>
      </c>
      <c r="BL5" s="720" t="s">
        <v>62</v>
      </c>
      <c r="BM5" s="720" t="s">
        <v>62</v>
      </c>
      <c r="BN5" s="720" t="s">
        <v>62</v>
      </c>
      <c r="BO5" s="720" t="s">
        <v>62</v>
      </c>
      <c r="BP5" s="720" t="s">
        <v>62</v>
      </c>
      <c r="BQ5" s="720" t="s">
        <v>62</v>
      </c>
      <c r="BR5" s="720" t="s">
        <v>62</v>
      </c>
      <c r="BS5" s="720" t="s">
        <v>62</v>
      </c>
      <c r="BT5" s="720" t="s">
        <v>62</v>
      </c>
      <c r="BU5" s="720" t="s">
        <v>62</v>
      </c>
      <c r="BV5" s="720" t="s">
        <v>62</v>
      </c>
      <c r="BW5" s="720" t="s">
        <v>62</v>
      </c>
      <c r="BX5" s="720" t="s">
        <v>62</v>
      </c>
      <c r="BY5" s="720" t="s">
        <v>62</v>
      </c>
      <c r="BZ5" s="720" t="s">
        <v>62</v>
      </c>
      <c r="CA5" s="720" t="s">
        <v>62</v>
      </c>
      <c r="CB5" s="720" t="s">
        <v>62</v>
      </c>
      <c r="CC5" s="720" t="s">
        <v>62</v>
      </c>
      <c r="CD5" s="720" t="s">
        <v>62</v>
      </c>
      <c r="CE5" s="720" t="s">
        <v>62</v>
      </c>
      <c r="CF5" s="720" t="s">
        <v>62</v>
      </c>
      <c r="CG5" s="720" t="s">
        <v>62</v>
      </c>
      <c r="CH5" s="720" t="s">
        <v>62</v>
      </c>
      <c r="CI5" s="720" t="s">
        <v>62</v>
      </c>
      <c r="CJ5" s="720" t="s">
        <v>62</v>
      </c>
      <c r="CK5" s="720" t="s">
        <v>62</v>
      </c>
      <c r="CM5" s="720" t="s">
        <v>62</v>
      </c>
      <c r="CN5" s="720" t="s">
        <v>62</v>
      </c>
      <c r="CZ5" s="330"/>
    </row>
    <row r="6" spans="1:104" ht="18.75" customHeight="1" x14ac:dyDescent="0.25">
      <c r="A6" s="694">
        <f>A5+1</f>
        <v>6</v>
      </c>
      <c r="B6" s="695"/>
      <c r="C6" s="696" t="s">
        <v>40</v>
      </c>
      <c r="D6" s="695"/>
      <c r="E6" s="696" t="s">
        <v>1959</v>
      </c>
      <c r="F6" s="697"/>
      <c r="G6" s="697"/>
      <c r="H6" s="695"/>
      <c r="I6" s="695"/>
      <c r="J6" s="698"/>
      <c r="K6" s="699">
        <f>SUMIF('alb SoCNE'!$A:$A,$J6,'alb SoCNE'!$C:$C)</f>
        <v>0</v>
      </c>
      <c r="L6" s="699"/>
      <c r="M6" s="695"/>
      <c r="N6" s="713"/>
      <c r="O6" s="695"/>
      <c r="P6" s="695"/>
      <c r="Q6" s="695"/>
      <c r="R6" s="695"/>
      <c r="S6" s="695"/>
      <c r="T6" s="713"/>
      <c r="U6" s="695"/>
      <c r="V6" s="695"/>
      <c r="W6" s="695"/>
      <c r="X6" s="695">
        <v>0</v>
      </c>
      <c r="Y6" s="695">
        <v>0</v>
      </c>
      <c r="Z6" s="695">
        <v>0</v>
      </c>
      <c r="AA6" s="695">
        <v>0</v>
      </c>
      <c r="AB6" s="695">
        <v>0</v>
      </c>
      <c r="AC6" s="695">
        <v>0</v>
      </c>
      <c r="AD6" s="695">
        <v>0</v>
      </c>
      <c r="AE6" s="695">
        <v>0</v>
      </c>
      <c r="AF6" s="695">
        <v>0</v>
      </c>
      <c r="AG6" s="695">
        <v>0</v>
      </c>
      <c r="AH6" s="695">
        <v>0</v>
      </c>
      <c r="AI6" s="695">
        <v>0</v>
      </c>
      <c r="AJ6" s="695">
        <v>0</v>
      </c>
      <c r="AK6" s="695">
        <v>0</v>
      </c>
      <c r="AL6" s="695">
        <v>0</v>
      </c>
      <c r="AM6" s="695">
        <v>0</v>
      </c>
      <c r="AN6" s="695">
        <v>0</v>
      </c>
      <c r="AO6" s="695">
        <v>0</v>
      </c>
      <c r="AP6" s="695">
        <v>0</v>
      </c>
      <c r="AQ6" s="695">
        <v>0</v>
      </c>
      <c r="AR6" s="695"/>
      <c r="AS6" s="695"/>
      <c r="AT6" s="695"/>
      <c r="AU6" s="695"/>
      <c r="AV6" s="695"/>
      <c r="AW6" s="700"/>
      <c r="AX6" s="700"/>
      <c r="AY6" s="700"/>
      <c r="AZ6" s="700"/>
      <c r="BA6" s="700"/>
      <c r="BB6" s="700"/>
      <c r="BC6" s="700"/>
      <c r="BD6" s="716"/>
      <c r="BE6" s="716"/>
      <c r="BF6" s="716"/>
      <c r="BG6" s="716"/>
      <c r="BH6" s="716"/>
      <c r="BI6" s="716"/>
      <c r="BJ6" s="716"/>
      <c r="BK6" s="716"/>
      <c r="BL6" s="716"/>
      <c r="BM6" s="716"/>
      <c r="BN6" s="716"/>
      <c r="BO6" s="716"/>
      <c r="BP6" s="716"/>
      <c r="BQ6" s="716"/>
      <c r="BR6" s="716"/>
      <c r="BS6" s="716"/>
      <c r="BT6" s="716"/>
      <c r="BU6" s="716"/>
      <c r="BV6" s="716"/>
      <c r="BW6" s="716"/>
      <c r="BX6" s="716"/>
      <c r="BY6" s="716"/>
      <c r="BZ6" s="716"/>
      <c r="CA6" s="716"/>
      <c r="CB6" s="716"/>
      <c r="CC6" s="716"/>
      <c r="CD6" s="716"/>
      <c r="CE6" s="716"/>
      <c r="CF6" s="716"/>
      <c r="CG6" s="716"/>
      <c r="CH6" s="716"/>
      <c r="CI6" s="716"/>
      <c r="CJ6" s="716"/>
      <c r="CK6" s="716"/>
      <c r="CM6" s="716"/>
      <c r="CN6" s="716"/>
      <c r="CZ6" s="330"/>
    </row>
    <row r="7" spans="1:104" ht="25.5" customHeight="1" x14ac:dyDescent="0.25">
      <c r="A7" s="684">
        <f>MAX($A$6:A6)+1</f>
        <v>7</v>
      </c>
      <c r="B7" s="11" t="s">
        <v>40</v>
      </c>
      <c r="C7" s="11" t="str">
        <f t="shared" ref="C7:C12" si="0">C6</f>
        <v>SoCNE</v>
      </c>
      <c r="D7" s="11"/>
      <c r="E7" s="7" t="s">
        <v>1072</v>
      </c>
      <c r="F7" s="15"/>
      <c r="G7" s="1254" t="s">
        <v>1651</v>
      </c>
      <c r="H7" s="6" t="e">
        <v>#VALUE!</v>
      </c>
      <c r="I7" s="6" t="e">
        <v>#VALUE!</v>
      </c>
      <c r="J7" s="1257" t="s">
        <v>1072</v>
      </c>
      <c r="K7" s="251">
        <f>SUMIF('alb SoCNE'!$A:$A,$J7,'alb SoCNE'!$C:$C)</f>
        <v>0</v>
      </c>
      <c r="L7" s="251">
        <f>SUMIF('alb SoCNE'!$A:$A,$J7,'alb SoCNE'!$F:$F)</f>
        <v>0</v>
      </c>
      <c r="M7" s="252">
        <v>4</v>
      </c>
      <c r="N7" s="273" t="e">
        <f>ROUND(SUM(O7:S7)+SUM(W7:AV7),0)</f>
        <v>#VALUE!</v>
      </c>
      <c r="O7" s="12"/>
      <c r="P7" s="12"/>
      <c r="Q7" s="12"/>
      <c r="R7" s="12"/>
      <c r="S7" s="6">
        <f>-IF(ISNUMBER(BD7),BD7,0)</f>
        <v>0</v>
      </c>
      <c r="T7" s="273" t="e">
        <f>ROUND(SUM(U7:Y7),0)</f>
        <v>#VALUE!</v>
      </c>
      <c r="U7" s="6">
        <f>-SUM(BL7:BN7)</f>
        <v>0</v>
      </c>
      <c r="V7" s="1523">
        <f>V474</f>
        <v>0</v>
      </c>
      <c r="W7" s="6" t="e">
        <f>-H7</f>
        <v>#VALUE!</v>
      </c>
      <c r="X7" s="6"/>
      <c r="Y7" s="6"/>
      <c r="Z7" s="6"/>
      <c r="AA7" s="6"/>
      <c r="AB7" s="6"/>
      <c r="AC7" s="6"/>
      <c r="AD7" s="6"/>
      <c r="AE7" s="6"/>
      <c r="AF7" s="6"/>
      <c r="AG7" s="6"/>
      <c r="AH7" s="6"/>
      <c r="AI7" s="6"/>
      <c r="AJ7" s="6"/>
      <c r="AK7" s="6"/>
      <c r="AL7" s="6"/>
      <c r="AM7" s="6"/>
      <c r="AN7" s="6"/>
      <c r="AO7" s="6"/>
      <c r="AP7" s="6"/>
      <c r="AQ7" s="6"/>
      <c r="AR7" s="6"/>
      <c r="AS7" s="6"/>
      <c r="AT7" s="6"/>
      <c r="AU7" s="6"/>
      <c r="AV7" s="6"/>
      <c r="AX7" s="6"/>
      <c r="BA7" s="6"/>
      <c r="BD7" s="327">
        <f>ROUND(SUM(BE7:BK7),0)</f>
        <v>0</v>
      </c>
      <c r="BE7" s="1191">
        <f>SUMIF($E$392:$E$2071,"Fees and charges to external customers",$BK$392:$BK$2071)*0</f>
        <v>0</v>
      </c>
      <c r="BJ7" s="1523">
        <f>+BJ466</f>
        <v>0</v>
      </c>
      <c r="BK7" s="327">
        <f>ROUND(SUM(BO7:CI7),0)</f>
        <v>0</v>
      </c>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M7" s="1139">
        <v>-3015</v>
      </c>
      <c r="CN7" s="1139">
        <v>270486</v>
      </c>
      <c r="CP7" s="923">
        <f>-V7+BL7+BM7+BN7+CM7</f>
        <v>-3015</v>
      </c>
      <c r="CR7" s="923"/>
      <c r="CS7" s="923"/>
      <c r="CT7" s="923"/>
      <c r="CZ7" s="330"/>
    </row>
    <row r="8" spans="1:104" ht="15" customHeight="1" x14ac:dyDescent="0.25">
      <c r="A8" s="684">
        <f>MAX($A$6:A7)+1</f>
        <v>8</v>
      </c>
      <c r="B8" s="11" t="s">
        <v>40</v>
      </c>
      <c r="C8" s="11" t="str">
        <f t="shared" si="0"/>
        <v>SoCNE</v>
      </c>
      <c r="D8" s="11"/>
      <c r="E8" s="7" t="s">
        <v>308</v>
      </c>
      <c r="F8" s="15"/>
      <c r="G8" s="1254" t="s">
        <v>308</v>
      </c>
      <c r="H8" s="6" t="e">
        <v>#VALUE!</v>
      </c>
      <c r="I8" s="6" t="e">
        <v>#VALUE!</v>
      </c>
      <c r="J8" s="1257" t="s">
        <v>823</v>
      </c>
      <c r="K8" s="251">
        <f>SUMIF('alb SoCNE'!$A:$A,$J8,'alb SoCNE'!$C:$C)</f>
        <v>0</v>
      </c>
      <c r="L8" s="251">
        <f>SUMIF('alb SoCNE'!$A:$A,$J8,'alb SoCNE'!$F:$F)</f>
        <v>0</v>
      </c>
      <c r="M8" s="252"/>
      <c r="N8" s="273" t="e">
        <f>ROUND(SUM(O8:S8)+SUM(W8:AV8),0)</f>
        <v>#VALUE!</v>
      </c>
      <c r="O8" s="12"/>
      <c r="P8" s="12"/>
      <c r="Q8" s="12"/>
      <c r="R8" s="12"/>
      <c r="S8" s="6">
        <f t="shared" ref="S8:S66" si="1">-IF(ISNUMBER(BD8),BD8,0)</f>
        <v>0</v>
      </c>
      <c r="T8" s="273" t="e">
        <f>ROUND(SUM(U8:Y8),0)</f>
        <v>#VALUE!</v>
      </c>
      <c r="U8" s="6">
        <f>-SUM(BL8:BN8)</f>
        <v>0</v>
      </c>
      <c r="V8" s="6"/>
      <c r="W8" s="6" t="e">
        <f>-H8</f>
        <v>#VALUE!</v>
      </c>
      <c r="X8" s="6"/>
      <c r="Y8" s="6"/>
      <c r="Z8" s="6"/>
      <c r="AA8" s="6"/>
      <c r="AB8" s="6"/>
      <c r="AC8" s="6"/>
      <c r="AD8" s="6"/>
      <c r="AE8" s="6"/>
      <c r="AF8" s="6"/>
      <c r="AG8" s="6"/>
      <c r="AH8" s="6"/>
      <c r="AI8" s="6"/>
      <c r="AJ8" s="6"/>
      <c r="AK8" s="6"/>
      <c r="AL8" s="6"/>
      <c r="AM8" s="6"/>
      <c r="AN8" s="6"/>
      <c r="AO8" s="6"/>
      <c r="AP8" s="6"/>
      <c r="AQ8" s="6"/>
      <c r="AR8" s="6"/>
      <c r="AS8" s="6"/>
      <c r="AT8" s="6"/>
      <c r="AU8" s="6"/>
      <c r="AV8" s="6"/>
      <c r="AX8" s="6"/>
      <c r="AY8">
        <f>ROUND(AX8/1000/Update!$B$31*Update!$B$27,0)</f>
        <v>0</v>
      </c>
      <c r="BA8" s="6"/>
      <c r="BB8">
        <f>ROUND(BA8/1000/Update!$B$31,0)</f>
        <v>0</v>
      </c>
      <c r="BC8" s="6"/>
      <c r="BD8" s="327">
        <f>ROUND(SUM(BE8:BK8),0)</f>
        <v>0</v>
      </c>
      <c r="BE8" s="1191">
        <f>SUMIF($E$392:$E$2071,"Other Income",$BK$392:$BK$2071)*0</f>
        <v>0</v>
      </c>
      <c r="BK8" s="327">
        <f t="shared" ref="BK8:BK77" si="2">ROUND(SUM(BO8:CI8),0)</f>
        <v>0</v>
      </c>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M8" s="1139">
        <v>-774</v>
      </c>
      <c r="CN8" s="1139">
        <v>209592</v>
      </c>
      <c r="CP8" s="923">
        <f t="shared" ref="CP8:CP71" si="3">-V8+BL8+BM8+BN8+CM8</f>
        <v>-774</v>
      </c>
      <c r="CZ8" s="330"/>
    </row>
    <row r="9" spans="1:104" ht="15" customHeight="1" x14ac:dyDescent="0.25">
      <c r="A9" s="684">
        <f>MAX($A$6:A8)+1</f>
        <v>9</v>
      </c>
      <c r="B9" s="11" t="s">
        <v>40</v>
      </c>
      <c r="C9" s="11" t="str">
        <f t="shared" si="0"/>
        <v>SoCNE</v>
      </c>
      <c r="D9" s="11"/>
      <c r="E9" s="7" t="s">
        <v>308</v>
      </c>
      <c r="F9" s="15"/>
      <c r="G9" s="1254"/>
      <c r="H9" s="6" t="e">
        <v>#VALUE!</v>
      </c>
      <c r="I9" s="6" t="e">
        <v>#VALUE!</v>
      </c>
      <c r="J9" s="1257" t="s">
        <v>822</v>
      </c>
      <c r="K9" s="251">
        <f>SUMIF('alb SoCNE'!$A:$A,$J9,'alb SoCNE'!$C:$C)</f>
        <v>0</v>
      </c>
      <c r="L9" s="251">
        <f>SUMIF('alb SoCNE'!$A:$A,$J9,'alb SoCNE'!$F:$F)</f>
        <v>0</v>
      </c>
      <c r="M9" s="252">
        <v>4</v>
      </c>
      <c r="N9" s="273" t="e">
        <f>ROUND(SUM(O9:S9)+SUM(W9:AV9),0)</f>
        <v>#VALUE!</v>
      </c>
      <c r="O9" s="12"/>
      <c r="P9" s="12"/>
      <c r="Q9" s="12"/>
      <c r="R9" s="12"/>
      <c r="S9" s="6">
        <f t="shared" si="1"/>
        <v>0</v>
      </c>
      <c r="T9" s="273" t="e">
        <f>ROUND(SUM(U9:Y9),0)</f>
        <v>#VALUE!</v>
      </c>
      <c r="U9" s="6">
        <f>-SUM(BL9:BN9)</f>
        <v>0</v>
      </c>
      <c r="V9" s="6"/>
      <c r="W9" s="6" t="e">
        <f>-H9</f>
        <v>#VALUE!</v>
      </c>
      <c r="X9" s="6"/>
      <c r="Y9" s="6"/>
      <c r="Z9" s="6"/>
      <c r="AA9" s="6"/>
      <c r="AB9" s="6"/>
      <c r="AC9" s="6"/>
      <c r="AD9" s="6"/>
      <c r="AE9" s="6"/>
      <c r="AF9" s="6"/>
      <c r="AG9" s="6"/>
      <c r="AH9" s="6"/>
      <c r="AI9" s="6"/>
      <c r="AJ9" s="6"/>
      <c r="AK9" s="6"/>
      <c r="AL9" s="6"/>
      <c r="AM9" s="6"/>
      <c r="AN9" s="6"/>
      <c r="AO9" s="6"/>
      <c r="AP9" s="6"/>
      <c r="AQ9" s="6"/>
      <c r="AR9" s="6"/>
      <c r="AS9" s="6"/>
      <c r="AT9" s="6"/>
      <c r="AU9" s="6"/>
      <c r="AV9" s="6"/>
      <c r="AX9" s="6"/>
      <c r="AY9">
        <f>ROUND(AX9/1000/Update!$B$31*Update!$B$27,0)</f>
        <v>0</v>
      </c>
      <c r="BA9" s="6"/>
      <c r="BB9">
        <f>ROUND(BA9/1000/Update!$B$31,0)</f>
        <v>0</v>
      </c>
      <c r="BD9" s="327">
        <f t="shared" ref="BD9:BD66" si="4">ROUND(SUM(BE9:BK9),0)</f>
        <v>0</v>
      </c>
      <c r="BK9" s="327">
        <f t="shared" si="2"/>
        <v>0</v>
      </c>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M9" s="1139">
        <v>0</v>
      </c>
      <c r="CN9" s="1139">
        <v>0</v>
      </c>
      <c r="CP9" s="923">
        <f t="shared" si="3"/>
        <v>0</v>
      </c>
      <c r="CZ9" s="330"/>
    </row>
    <row r="10" spans="1:104" ht="15" customHeight="1" x14ac:dyDescent="0.25">
      <c r="A10" s="684">
        <f>MAX($A$6:A9)+1</f>
        <v>10</v>
      </c>
      <c r="B10" s="11" t="s">
        <v>40</v>
      </c>
      <c r="C10" s="11" t="str">
        <f t="shared" si="0"/>
        <v>SoCNE</v>
      </c>
      <c r="D10" s="11"/>
      <c r="E10" s="1257" t="s">
        <v>286</v>
      </c>
      <c r="F10" s="15"/>
      <c r="G10" s="1254"/>
      <c r="H10" s="6" t="e">
        <v>#VALUE!</v>
      </c>
      <c r="I10" s="6" t="e">
        <v>#VALUE!</v>
      </c>
      <c r="J10" s="1257" t="s">
        <v>286</v>
      </c>
      <c r="K10" s="251">
        <f>SUMIF('alb SoCNE'!$A:$A,$J10,'alb SoCNE'!$C:$C)</f>
        <v>0</v>
      </c>
      <c r="L10" s="251">
        <f>SUMIF('alb SoCNE'!$A:$A,$J10,'alb SoCNE'!$F:$F)</f>
        <v>0</v>
      </c>
      <c r="M10" s="252"/>
      <c r="N10" s="273" t="e">
        <f>ROUND(SUM(O10:S10)+SUM(W10:AV10),0)</f>
        <v>#VALUE!</v>
      </c>
      <c r="O10" s="12"/>
      <c r="P10" s="12"/>
      <c r="Q10" s="12"/>
      <c r="R10" s="12"/>
      <c r="S10" s="6">
        <f t="shared" si="1"/>
        <v>0</v>
      </c>
      <c r="T10" s="273" t="e">
        <f>ROUND(SUM(U10:Y10),0)</f>
        <v>#VALUE!</v>
      </c>
      <c r="U10" s="6">
        <f>-SUM(BL10:BN10)</f>
        <v>0</v>
      </c>
      <c r="V10" s="6"/>
      <c r="W10" s="6" t="e">
        <f>-H10</f>
        <v>#VALUE!</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X10" s="6"/>
      <c r="AY10">
        <f>ROUND(AX10/1000/Update!$B$31*Update!$B$27,0)</f>
        <v>0</v>
      </c>
      <c r="BA10" s="6"/>
      <c r="BB10">
        <f>ROUND(BA10/1000/Update!$B$31,0)</f>
        <v>0</v>
      </c>
      <c r="BD10" s="327">
        <f t="shared" si="4"/>
        <v>0</v>
      </c>
      <c r="BK10" s="327">
        <f t="shared" si="2"/>
        <v>0</v>
      </c>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M10" s="1139">
        <v>0</v>
      </c>
      <c r="CN10" s="1139">
        <v>0</v>
      </c>
      <c r="CP10" s="923">
        <f t="shared" si="3"/>
        <v>0</v>
      </c>
      <c r="CZ10" s="330"/>
    </row>
    <row r="11" spans="1:104" ht="15" customHeight="1" x14ac:dyDescent="0.25">
      <c r="A11" s="701">
        <f>MAX($A$6:A10)+1</f>
        <v>11</v>
      </c>
      <c r="B11" s="18" t="s">
        <v>40</v>
      </c>
      <c r="C11" s="18" t="str">
        <f t="shared" si="0"/>
        <v>SoCNE</v>
      </c>
      <c r="D11" s="18"/>
      <c r="E11" s="17" t="s">
        <v>56</v>
      </c>
      <c r="F11" s="14"/>
      <c r="G11" s="254"/>
      <c r="H11" s="14" t="e">
        <f>SUM(H7:H10)</f>
        <v>#VALUE!</v>
      </c>
      <c r="I11" s="14"/>
      <c r="J11" s="1258" t="s">
        <v>286</v>
      </c>
      <c r="K11" s="256">
        <f>SUM(K7:K10)</f>
        <v>0</v>
      </c>
      <c r="L11" s="256">
        <f>SUM(L7:L10)</f>
        <v>0</v>
      </c>
      <c r="M11" s="14"/>
      <c r="N11" s="14" t="e">
        <f>SUM(N7:N10)</f>
        <v>#VALUE!</v>
      </c>
      <c r="O11" s="14">
        <f t="shared" ref="O11:W11" si="5">SUM(O7:O10)</f>
        <v>0</v>
      </c>
      <c r="P11" s="14">
        <f t="shared" si="5"/>
        <v>0</v>
      </c>
      <c r="Q11" s="14">
        <f t="shared" si="5"/>
        <v>0</v>
      </c>
      <c r="R11" s="14">
        <f t="shared" si="5"/>
        <v>0</v>
      </c>
      <c r="S11" s="14">
        <f>-IF(ISNUMBER(BD11),BD11,0)</f>
        <v>0</v>
      </c>
      <c r="T11" s="14" t="e">
        <f>SUM(T7:T10)</f>
        <v>#VALUE!</v>
      </c>
      <c r="U11" s="14">
        <f t="shared" si="5"/>
        <v>0</v>
      </c>
      <c r="V11" s="14">
        <f t="shared" si="5"/>
        <v>0</v>
      </c>
      <c r="W11" s="14" t="e">
        <f t="shared" si="5"/>
        <v>#VALUE!</v>
      </c>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2"/>
      <c r="AX11" s="14">
        <f>SUM(AX7:AX10)</f>
        <v>0</v>
      </c>
      <c r="AY11" s="14">
        <f>ROUND(AX11/1000/Update!$B$31*Update!$B$27,0)</f>
        <v>0</v>
      </c>
      <c r="AZ11" s="2"/>
      <c r="BA11" s="14">
        <f>SUM(BA7:BA10)</f>
        <v>0</v>
      </c>
      <c r="BB11" s="14">
        <f>ROUND(BA11/1000/Update!$B$31,0)</f>
        <v>0</v>
      </c>
      <c r="BC11" s="14"/>
      <c r="BD11" s="326">
        <f>ROUND(SUM(BE11:BK11),0)</f>
        <v>0</v>
      </c>
      <c r="BE11" s="318">
        <f t="shared" ref="BE11:BJ11" si="6">SUM(BE7:BE10)</f>
        <v>0</v>
      </c>
      <c r="BF11" s="318">
        <f t="shared" si="6"/>
        <v>0</v>
      </c>
      <c r="BG11" s="318">
        <f t="shared" si="6"/>
        <v>0</v>
      </c>
      <c r="BH11" s="318">
        <f t="shared" si="6"/>
        <v>0</v>
      </c>
      <c r="BI11" s="318">
        <f t="shared" si="6"/>
        <v>0</v>
      </c>
      <c r="BJ11" s="318">
        <f t="shared" si="6"/>
        <v>0</v>
      </c>
      <c r="BK11" s="326">
        <f>ROUND(SUM(BO11:CI11),0)</f>
        <v>0</v>
      </c>
      <c r="BL11" s="318"/>
      <c r="BM11" s="318"/>
      <c r="BN11" s="318"/>
      <c r="BO11" s="318"/>
      <c r="BP11" s="318"/>
      <c r="BQ11" s="318"/>
      <c r="BR11" s="318"/>
      <c r="BS11" s="318"/>
      <c r="BT11" s="318"/>
      <c r="BU11" s="318"/>
      <c r="BV11" s="318"/>
      <c r="BW11" s="318"/>
      <c r="BX11" s="318"/>
      <c r="BY11" s="318"/>
      <c r="BZ11" s="318"/>
      <c r="CA11" s="318"/>
      <c r="CB11" s="318"/>
      <c r="CC11" s="318"/>
      <c r="CD11" s="318"/>
      <c r="CE11" s="318"/>
      <c r="CF11" s="318"/>
      <c r="CG11" s="318"/>
      <c r="CH11" s="318"/>
      <c r="CI11" s="318"/>
      <c r="CJ11" s="2"/>
      <c r="CK11" s="2"/>
      <c r="CM11" s="1140">
        <v>-3789</v>
      </c>
      <c r="CN11" s="1140">
        <v>480078</v>
      </c>
      <c r="CP11" s="923">
        <f t="shared" si="3"/>
        <v>-3789</v>
      </c>
      <c r="CZ11" s="330"/>
    </row>
    <row r="12" spans="1:104" ht="15" customHeight="1" collapsed="1" x14ac:dyDescent="0.25">
      <c r="A12" s="684">
        <f>MAX($A$6:A11)+1</f>
        <v>12</v>
      </c>
      <c r="B12" s="11" t="s">
        <v>40</v>
      </c>
      <c r="C12" s="11" t="str">
        <f t="shared" si="0"/>
        <v>SoCNE</v>
      </c>
      <c r="D12" s="11"/>
      <c r="E12" s="7"/>
      <c r="F12" s="15"/>
      <c r="G12" s="26"/>
      <c r="H12" s="6"/>
      <c r="I12" s="6"/>
      <c r="J12" s="1257" t="s">
        <v>286</v>
      </c>
      <c r="K12" s="251">
        <f>SUMIF('alb SoCNE'!$A:$A,$J12,'alb SoCNE'!$C:$C)</f>
        <v>0</v>
      </c>
      <c r="L12" s="251">
        <f>SUMIF('alb SoCNE'!$A:$A,$J12,'alb SoCNE'!$F:$F)</f>
        <v>0</v>
      </c>
      <c r="M12" s="252"/>
      <c r="N12" s="273">
        <f>ROUND(SUM(O12:S12)+SUM(W12:AV12),0)</f>
        <v>0</v>
      </c>
      <c r="O12" s="12"/>
      <c r="P12" s="12"/>
      <c r="Q12" s="12"/>
      <c r="R12" s="12"/>
      <c r="S12" s="6">
        <f t="shared" si="1"/>
        <v>0</v>
      </c>
      <c r="T12" s="273">
        <f t="shared" ref="T12:T19" si="7">ROUND(SUM(U12:Y12),0)</f>
        <v>0</v>
      </c>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X12" s="6"/>
      <c r="AY12" s="6">
        <f>ROUND(AX12/1000/Update!$B$31*Update!$B$27,0)</f>
        <v>0</v>
      </c>
      <c r="BA12" s="6"/>
      <c r="BB12" s="6">
        <f>ROUND(BA12/1000/Update!$B$31,0)</f>
        <v>0</v>
      </c>
      <c r="BC12" s="6"/>
      <c r="BD12" s="1190"/>
      <c r="BE12" s="1191"/>
      <c r="BF12" s="1191"/>
      <c r="BG12" s="1191"/>
      <c r="BH12" s="1191"/>
      <c r="BI12" s="1191"/>
      <c r="BJ12" s="1191"/>
      <c r="BK12" s="1192">
        <f t="shared" si="2"/>
        <v>0</v>
      </c>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M12" s="1139">
        <v>0</v>
      </c>
      <c r="CN12" s="1139"/>
      <c r="CP12" s="923">
        <f t="shared" si="3"/>
        <v>0</v>
      </c>
      <c r="CZ12" s="330"/>
    </row>
    <row r="13" spans="1:104" ht="15" customHeight="1" x14ac:dyDescent="0.25">
      <c r="A13" s="684">
        <f>MAX($A$6:A12)+1</f>
        <v>13</v>
      </c>
      <c r="B13" s="11" t="s">
        <v>40</v>
      </c>
      <c r="C13" s="11" t="str">
        <f t="shared" ref="C13:C20" si="8">C12</f>
        <v>SoCNE</v>
      </c>
      <c r="D13" s="11"/>
      <c r="E13" s="7" t="s">
        <v>282</v>
      </c>
      <c r="F13" s="15"/>
      <c r="G13" s="1254" t="s">
        <v>282</v>
      </c>
      <c r="H13" s="6" t="e">
        <v>#VALUE!</v>
      </c>
      <c r="I13" s="6" t="e">
        <v>#VALUE!</v>
      </c>
      <c r="J13" s="1257" t="s">
        <v>282</v>
      </c>
      <c r="K13" s="251">
        <f>SUMIF('alb SoCNE'!$A:$A,$J13,'alb SoCNE'!$C:$C)</f>
        <v>0</v>
      </c>
      <c r="L13" s="251">
        <f>SUMIF('alb SoCNE'!$A:$A,$J13,'alb SoCNE'!$F:$F)</f>
        <v>0</v>
      </c>
      <c r="M13" s="252">
        <v>3</v>
      </c>
      <c r="N13" s="273" t="e">
        <f t="shared" ref="N13:N18" si="9">ROUND(SUM(O13:S13)+SUM(W13:AV13),0)</f>
        <v>#VALUE!</v>
      </c>
      <c r="O13" s="12"/>
      <c r="P13" s="12"/>
      <c r="Q13" s="12"/>
      <c r="R13" s="12"/>
      <c r="S13" s="6">
        <f t="shared" si="1"/>
        <v>0</v>
      </c>
      <c r="T13" s="273" t="e">
        <f t="shared" si="7"/>
        <v>#VALUE!</v>
      </c>
      <c r="U13" s="6">
        <f t="shared" ref="U13:U19" si="10">-SUM(BL13:BN13)</f>
        <v>0</v>
      </c>
      <c r="V13" s="6"/>
      <c r="W13" s="6" t="e">
        <f t="shared" ref="W13:W19" si="11">-H13</f>
        <v>#VALUE!</v>
      </c>
      <c r="X13" s="6"/>
      <c r="Y13" s="6"/>
      <c r="Z13" s="1190"/>
      <c r="AA13" s="6"/>
      <c r="AB13" s="6"/>
      <c r="AC13" s="6"/>
      <c r="AD13" s="6"/>
      <c r="AE13" s="6"/>
      <c r="AF13" s="6"/>
      <c r="AG13" s="6"/>
      <c r="AH13" s="6"/>
      <c r="AI13" s="6"/>
      <c r="AJ13" s="6"/>
      <c r="AK13" s="6"/>
      <c r="AL13" s="6"/>
      <c r="AM13" s="6"/>
      <c r="AN13" s="6"/>
      <c r="AO13" s="6"/>
      <c r="AP13" s="6"/>
      <c r="AQ13" s="6"/>
      <c r="AR13" s="6"/>
      <c r="AS13" s="6"/>
      <c r="AT13" s="6"/>
      <c r="AU13" s="6"/>
      <c r="AV13" s="6"/>
      <c r="AX13" s="6"/>
      <c r="AY13" s="6">
        <f>ROUND(AX13/1000/Update!$B$31*Update!$B$27,0)</f>
        <v>0</v>
      </c>
      <c r="BA13" s="6"/>
      <c r="BB13" s="6">
        <f>ROUND(BA13/1000/Update!$B$31,0)</f>
        <v>0</v>
      </c>
      <c r="BC13" s="6"/>
      <c r="BD13" s="1190">
        <f>ROUND(SUM(BE13:BK13),0)</f>
        <v>0</v>
      </c>
      <c r="BE13" s="1191">
        <f>-SUM(BK392:BK394)*0</f>
        <v>0</v>
      </c>
      <c r="BF13" s="1191"/>
      <c r="BG13" s="1191"/>
      <c r="BH13" s="1191"/>
      <c r="BI13" s="1191"/>
      <c r="BJ13" s="1191"/>
      <c r="BK13" s="327">
        <f t="shared" si="2"/>
        <v>0</v>
      </c>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M13" s="1139">
        <v>495</v>
      </c>
      <c r="CN13" s="1139">
        <v>-63223</v>
      </c>
      <c r="CP13" s="923">
        <f t="shared" si="3"/>
        <v>495</v>
      </c>
      <c r="CZ13" s="330"/>
    </row>
    <row r="14" spans="1:104" ht="25.5" customHeight="1" x14ac:dyDescent="0.25">
      <c r="A14" s="684">
        <f>MAX($A$6:A13)+1</f>
        <v>14</v>
      </c>
      <c r="B14" s="11" t="s">
        <v>40</v>
      </c>
      <c r="C14" s="11" t="str">
        <f t="shared" si="8"/>
        <v>SoCNE</v>
      </c>
      <c r="D14" s="11"/>
      <c r="E14" s="7" t="s">
        <v>158</v>
      </c>
      <c r="F14" s="15"/>
      <c r="G14" s="1254" t="s">
        <v>158</v>
      </c>
      <c r="H14" s="6" t="e">
        <v>#VALUE!</v>
      </c>
      <c r="I14" s="6" t="e">
        <v>#VALUE!</v>
      </c>
      <c r="J14" s="1257" t="s">
        <v>158</v>
      </c>
      <c r="K14" s="251">
        <f>SUMIF('alb SoCNE'!$A:$A,$J14,'alb SoCNE'!$C:$C)</f>
        <v>0</v>
      </c>
      <c r="L14" s="251">
        <f>SUMIF('alb SoCNE'!$A:$A,$J14,'alb SoCNE'!$F:$F)</f>
        <v>0</v>
      </c>
      <c r="M14" s="252">
        <v>3</v>
      </c>
      <c r="N14" s="273" t="e">
        <f t="shared" si="9"/>
        <v>#VALUE!</v>
      </c>
      <c r="O14" s="12"/>
      <c r="P14" s="12"/>
      <c r="Q14" s="12"/>
      <c r="R14" s="12"/>
      <c r="S14" s="6">
        <f t="shared" si="1"/>
        <v>0</v>
      </c>
      <c r="T14" s="273" t="e">
        <f t="shared" si="7"/>
        <v>#VALUE!</v>
      </c>
      <c r="U14" s="6">
        <f t="shared" si="10"/>
        <v>0</v>
      </c>
      <c r="V14" s="1523"/>
      <c r="W14" s="6" t="e">
        <f t="shared" si="11"/>
        <v>#VALUE!</v>
      </c>
      <c r="X14" s="6"/>
      <c r="Y14" s="6"/>
      <c r="Z14" s="1190"/>
      <c r="AA14" s="6"/>
      <c r="AB14" s="6"/>
      <c r="AC14" s="6"/>
      <c r="AD14" s="6"/>
      <c r="AE14" s="6"/>
      <c r="AF14" s="6"/>
      <c r="AG14" s="6"/>
      <c r="AH14" s="6"/>
      <c r="AI14" s="6"/>
      <c r="AJ14" s="6"/>
      <c r="AK14" s="6"/>
      <c r="AL14" s="6"/>
      <c r="AM14" s="6"/>
      <c r="AN14" s="6"/>
      <c r="AO14" s="6"/>
      <c r="AP14" s="6"/>
      <c r="AQ14" s="6"/>
      <c r="AR14" s="6"/>
      <c r="AS14" s="6"/>
      <c r="AT14" s="6"/>
      <c r="AU14" s="6"/>
      <c r="AV14" s="6"/>
      <c r="AX14" s="6"/>
      <c r="AY14" s="6">
        <f>ROUND(AX14/1000/Update!$B$31*Update!$B$27,0)</f>
        <v>0</v>
      </c>
      <c r="BA14" s="6"/>
      <c r="BB14" s="6">
        <f>ROUND(BA14/1000/Update!$B$31,0)</f>
        <v>0</v>
      </c>
      <c r="BC14" s="6"/>
      <c r="BD14" s="1190">
        <f t="shared" ref="BD14:BD19" si="12">ROUND(SUM(BE14:BK14),0)</f>
        <v>0</v>
      </c>
      <c r="BE14" s="1191">
        <f>-BE13</f>
        <v>0</v>
      </c>
      <c r="BF14" s="1191"/>
      <c r="BG14" s="1191"/>
      <c r="BH14" s="1191"/>
      <c r="BI14" s="1522">
        <f>-BI179</f>
        <v>0</v>
      </c>
      <c r="BJ14" s="1523">
        <f>-BJ402</f>
        <v>0</v>
      </c>
      <c r="BK14" s="317">
        <f t="shared" si="2"/>
        <v>0</v>
      </c>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M14" s="1139">
        <v>3293</v>
      </c>
      <c r="CN14" s="1139">
        <v>-7898581</v>
      </c>
      <c r="CP14" s="923">
        <f>-V14+BL14+BM14+BN14+CM14</f>
        <v>3293</v>
      </c>
      <c r="CZ14" s="330"/>
    </row>
    <row r="15" spans="1:104" ht="30" customHeight="1" x14ac:dyDescent="0.25">
      <c r="A15" s="684">
        <f>MAX($A$6:A14)+1</f>
        <v>15</v>
      </c>
      <c r="B15" s="11" t="s">
        <v>40</v>
      </c>
      <c r="C15" s="11" t="str">
        <f t="shared" si="8"/>
        <v>SoCNE</v>
      </c>
      <c r="D15" s="11"/>
      <c r="E15" s="7" t="s">
        <v>283</v>
      </c>
      <c r="F15" s="15"/>
      <c r="G15" s="1254" t="s">
        <v>283</v>
      </c>
      <c r="H15" s="6" t="e">
        <v>#VALUE!</v>
      </c>
      <c r="I15" s="6" t="e">
        <v>#VALUE!</v>
      </c>
      <c r="J15" s="1257" t="s">
        <v>283</v>
      </c>
      <c r="K15" s="251">
        <f>SUMIF('alb SoCNE'!$A:$A,$J15,'alb SoCNE'!$C:$C)</f>
        <v>0</v>
      </c>
      <c r="L15" s="251">
        <f>SUMIF('alb SoCNE'!$A:$A,$J15,'alb SoCNE'!$F:$F)</f>
        <v>0</v>
      </c>
      <c r="M15" s="252">
        <v>3</v>
      </c>
      <c r="N15" s="273" t="e">
        <f t="shared" si="9"/>
        <v>#VALUE!</v>
      </c>
      <c r="O15" s="12"/>
      <c r="P15" s="12"/>
      <c r="Q15" s="12"/>
      <c r="R15" s="12"/>
      <c r="S15" s="6">
        <f t="shared" si="1"/>
        <v>0</v>
      </c>
      <c r="T15" s="273" t="e">
        <f t="shared" si="7"/>
        <v>#VALUE!</v>
      </c>
      <c r="U15" s="6">
        <f t="shared" si="10"/>
        <v>0</v>
      </c>
      <c r="V15" s="6"/>
      <c r="W15" s="6" t="e">
        <f t="shared" si="11"/>
        <v>#VALUE!</v>
      </c>
      <c r="X15" s="6"/>
      <c r="Y15" s="6"/>
      <c r="Z15" s="1190"/>
      <c r="AA15" s="6"/>
      <c r="AB15" s="6"/>
      <c r="AC15" s="6"/>
      <c r="AD15" s="6"/>
      <c r="AE15" s="6"/>
      <c r="AF15" s="6"/>
      <c r="AG15" s="6"/>
      <c r="AH15" s="6"/>
      <c r="AI15" s="6"/>
      <c r="AJ15" s="6"/>
      <c r="AK15" s="6"/>
      <c r="AL15" s="6"/>
      <c r="AM15" s="6"/>
      <c r="AN15" s="6"/>
      <c r="AO15" s="6"/>
      <c r="AP15" s="6"/>
      <c r="AQ15" s="6"/>
      <c r="AR15" s="6"/>
      <c r="AS15" s="6"/>
      <c r="AT15" s="6"/>
      <c r="AU15" s="6"/>
      <c r="AV15" s="6"/>
      <c r="AX15" s="6"/>
      <c r="AY15" s="6">
        <f>ROUND(AX15/1000/Update!$B$31*Update!$B$27,0)</f>
        <v>0</v>
      </c>
      <c r="BA15" s="6"/>
      <c r="BB15" s="6">
        <f>ROUND(BA15/1000/Update!$B$31,0)</f>
        <v>0</v>
      </c>
      <c r="BC15" s="6"/>
      <c r="BD15" s="1190">
        <f t="shared" si="12"/>
        <v>0</v>
      </c>
      <c r="BE15" s="1191">
        <f>-SUMIF($E$392:$E$2071,$E15,$BK$392:$BK$2071)*0</f>
        <v>0</v>
      </c>
      <c r="BF15" s="1191"/>
      <c r="BG15" s="1191"/>
      <c r="BH15" s="1191"/>
      <c r="BI15" s="1191"/>
      <c r="BJ15" s="1191"/>
      <c r="BK15" s="327">
        <f t="shared" si="2"/>
        <v>0</v>
      </c>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M15" s="1139">
        <v>0</v>
      </c>
      <c r="CN15" s="1139">
        <v>0</v>
      </c>
      <c r="CP15" s="923">
        <f t="shared" si="3"/>
        <v>0</v>
      </c>
      <c r="CZ15" s="330"/>
    </row>
    <row r="16" spans="1:104" ht="15" customHeight="1" x14ac:dyDescent="0.25">
      <c r="A16" s="684">
        <f>MAX($A$6:A15)+1</f>
        <v>16</v>
      </c>
      <c r="B16" s="11" t="s">
        <v>40</v>
      </c>
      <c r="C16" s="11" t="str">
        <f t="shared" si="8"/>
        <v>SoCNE</v>
      </c>
      <c r="D16" s="11"/>
      <c r="E16" s="7" t="s">
        <v>284</v>
      </c>
      <c r="F16" s="15"/>
      <c r="G16" s="1254" t="s">
        <v>284</v>
      </c>
      <c r="H16" s="6" t="e">
        <v>#VALUE!</v>
      </c>
      <c r="I16" s="6" t="e">
        <v>#VALUE!</v>
      </c>
      <c r="J16" s="1257" t="s">
        <v>284</v>
      </c>
      <c r="K16" s="251">
        <f>SUMIF('alb SoCNE'!$A:$A,$J16,'alb SoCNE'!$C:$C)</f>
        <v>0</v>
      </c>
      <c r="L16" s="251">
        <f>SUMIF('alb SoCNE'!$A:$A,$J16,'alb SoCNE'!$F:$F)</f>
        <v>0</v>
      </c>
      <c r="M16" s="252">
        <v>3</v>
      </c>
      <c r="N16" s="273" t="e">
        <f t="shared" si="9"/>
        <v>#VALUE!</v>
      </c>
      <c r="O16" s="12"/>
      <c r="P16" s="12"/>
      <c r="Q16" s="12"/>
      <c r="R16" s="12"/>
      <c r="S16" s="6">
        <f t="shared" si="1"/>
        <v>0</v>
      </c>
      <c r="T16" s="273" t="e">
        <f t="shared" si="7"/>
        <v>#VALUE!</v>
      </c>
      <c r="U16" s="6">
        <f t="shared" si="10"/>
        <v>0</v>
      </c>
      <c r="V16" s="6"/>
      <c r="W16" s="6" t="e">
        <f t="shared" si="11"/>
        <v>#VALUE!</v>
      </c>
      <c r="X16" s="6"/>
      <c r="Y16" s="6"/>
      <c r="Z16" s="1190"/>
      <c r="AA16" s="6"/>
      <c r="AB16" s="6"/>
      <c r="AC16" s="6"/>
      <c r="AD16" s="6"/>
      <c r="AE16" s="6"/>
      <c r="AF16" s="6"/>
      <c r="AG16" s="6"/>
      <c r="AH16" s="6"/>
      <c r="AI16" s="6"/>
      <c r="AJ16" s="6"/>
      <c r="AK16" s="6"/>
      <c r="AL16" s="6"/>
      <c r="AM16" s="6"/>
      <c r="AN16" s="6"/>
      <c r="AO16" s="6"/>
      <c r="AP16" s="6"/>
      <c r="AQ16" s="6"/>
      <c r="AR16" s="6"/>
      <c r="AS16" s="6"/>
      <c r="AT16" s="6"/>
      <c r="AU16" s="6"/>
      <c r="AV16" s="6"/>
      <c r="AX16" s="6"/>
      <c r="AY16" s="6">
        <f>ROUND(AX16/1000/Update!$B$31*Update!$B$27,0)</f>
        <v>0</v>
      </c>
      <c r="BA16" s="6"/>
      <c r="BB16" s="6">
        <f>ROUND(BA16/1000/Update!$B$31,0)</f>
        <v>0</v>
      </c>
      <c r="BC16" s="6"/>
      <c r="BD16" s="1190">
        <f t="shared" si="12"/>
        <v>0</v>
      </c>
      <c r="BE16" s="1191">
        <f>-SUMIF($E$392:$E$2071,$E16,$BK$392:$BK$2071)*0</f>
        <v>0</v>
      </c>
      <c r="BF16" s="1191"/>
      <c r="BG16" s="1191"/>
      <c r="BH16" s="1191"/>
      <c r="BI16" s="1191"/>
      <c r="BJ16" s="1191"/>
      <c r="BK16" s="327">
        <f t="shared" si="2"/>
        <v>0</v>
      </c>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M16" s="1139">
        <v>0</v>
      </c>
      <c r="CN16" s="1139">
        <v>0</v>
      </c>
      <c r="CP16" s="923">
        <f t="shared" si="3"/>
        <v>0</v>
      </c>
      <c r="CZ16" s="330"/>
    </row>
    <row r="17" spans="1:104" ht="15" customHeight="1" x14ac:dyDescent="0.25">
      <c r="A17" s="684">
        <f>MAX($A$6:A16)+1</f>
        <v>17</v>
      </c>
      <c r="B17" s="11" t="s">
        <v>40</v>
      </c>
      <c r="C17" s="11" t="str">
        <f t="shared" si="8"/>
        <v>SoCNE</v>
      </c>
      <c r="D17" s="11"/>
      <c r="E17" s="13" t="s">
        <v>1005</v>
      </c>
      <c r="F17" s="15"/>
      <c r="G17" s="1254"/>
      <c r="H17" s="6" t="e">
        <v>#VALUE!</v>
      </c>
      <c r="I17" s="6" t="e">
        <v>#VALUE!</v>
      </c>
      <c r="J17" s="1257" t="s">
        <v>1005</v>
      </c>
      <c r="K17" s="251">
        <f>SUMIF('alb SoCNE'!$A:$A,$J17,'alb SoCNE'!$C:$C)</f>
        <v>0</v>
      </c>
      <c r="L17" s="251">
        <f>SUMIF('alb SoCNE'!$A:$A,$J17,'alb SoCNE'!$F:$F)</f>
        <v>0</v>
      </c>
      <c r="M17" s="252"/>
      <c r="N17" s="273" t="e">
        <f t="shared" si="9"/>
        <v>#VALUE!</v>
      </c>
      <c r="O17" s="12"/>
      <c r="P17" s="12"/>
      <c r="Q17" s="12"/>
      <c r="R17" s="12"/>
      <c r="S17" s="6">
        <f t="shared" si="1"/>
        <v>0</v>
      </c>
      <c r="T17" s="273" t="e">
        <f t="shared" si="7"/>
        <v>#VALUE!</v>
      </c>
      <c r="U17" s="6">
        <f t="shared" si="10"/>
        <v>0</v>
      </c>
      <c r="V17" s="6"/>
      <c r="W17" s="6" t="e">
        <f t="shared" si="11"/>
        <v>#VALUE!</v>
      </c>
      <c r="X17" s="6"/>
      <c r="Y17" s="6"/>
      <c r="Z17" s="1190"/>
      <c r="AA17" s="6"/>
      <c r="AB17" s="6"/>
      <c r="AC17" s="6"/>
      <c r="AD17" s="6"/>
      <c r="AE17" s="6"/>
      <c r="AF17" s="6"/>
      <c r="AG17" s="6"/>
      <c r="AH17" s="6"/>
      <c r="AI17" s="6"/>
      <c r="AJ17" s="6"/>
      <c r="AK17" s="6"/>
      <c r="AL17" s="6"/>
      <c r="AM17" s="6"/>
      <c r="AN17" s="6"/>
      <c r="AO17" s="6"/>
      <c r="AP17" s="6"/>
      <c r="AQ17" s="6"/>
      <c r="AR17" s="6"/>
      <c r="AS17" s="6"/>
      <c r="AT17" s="6"/>
      <c r="AU17" s="6"/>
      <c r="AV17" s="6"/>
      <c r="AX17" s="6"/>
      <c r="AY17" s="6"/>
      <c r="BA17" s="6"/>
      <c r="BB17" s="6"/>
      <c r="BC17" s="6"/>
      <c r="BD17" s="1190">
        <f t="shared" si="12"/>
        <v>0</v>
      </c>
      <c r="BE17" s="1191">
        <f>-SUMIF($E$392:$E$2071,$E17,$BK$392:$BK$2071)*0</f>
        <v>0</v>
      </c>
      <c r="BF17" s="1191"/>
      <c r="BG17" s="1191"/>
      <c r="BH17" s="1191"/>
      <c r="BI17" s="1191"/>
      <c r="BJ17" s="1191"/>
      <c r="BK17" s="327">
        <f t="shared" si="2"/>
        <v>0</v>
      </c>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M17" s="1139">
        <v>0</v>
      </c>
      <c r="CN17" s="1139">
        <v>0</v>
      </c>
      <c r="CP17" s="923">
        <f t="shared" si="3"/>
        <v>0</v>
      </c>
      <c r="CZ17" s="330"/>
    </row>
    <row r="18" spans="1:104" ht="15" customHeight="1" x14ac:dyDescent="0.25">
      <c r="A18" s="684">
        <f>MAX($A$6:A17)+1</f>
        <v>18</v>
      </c>
      <c r="B18" s="11" t="s">
        <v>40</v>
      </c>
      <c r="C18" s="11" t="str">
        <f>C17</f>
        <v>SoCNE</v>
      </c>
      <c r="D18" s="11"/>
      <c r="E18" s="250" t="s">
        <v>1691</v>
      </c>
      <c r="F18" s="15"/>
      <c r="G18" s="1254"/>
      <c r="H18" s="6" t="e">
        <v>#VALUE!</v>
      </c>
      <c r="I18" s="6" t="e">
        <v>#VALUE!</v>
      </c>
      <c r="J18" s="1257" t="s">
        <v>286</v>
      </c>
      <c r="K18" s="251">
        <f>SUMIF('alb SoCNE'!$A:$A,$J18,'alb SoCNE'!$C:$C)</f>
        <v>0</v>
      </c>
      <c r="L18" s="251">
        <f>SUMIF('alb SoCNE'!$A:$A,$J18,'alb SoCNE'!$F:$F)</f>
        <v>0</v>
      </c>
      <c r="M18" s="252"/>
      <c r="N18" s="273" t="e">
        <f t="shared" si="9"/>
        <v>#VALUE!</v>
      </c>
      <c r="O18" s="12"/>
      <c r="P18" s="12"/>
      <c r="Q18" s="12"/>
      <c r="R18" s="12"/>
      <c r="S18" s="6">
        <f t="shared" si="1"/>
        <v>0</v>
      </c>
      <c r="T18" s="273" t="e">
        <f t="shared" si="7"/>
        <v>#VALUE!</v>
      </c>
      <c r="U18" s="6">
        <f t="shared" si="10"/>
        <v>0</v>
      </c>
      <c r="V18" s="6"/>
      <c r="W18" s="6" t="e">
        <f t="shared" si="11"/>
        <v>#VALUE!</v>
      </c>
      <c r="X18" s="6"/>
      <c r="Y18" s="6"/>
      <c r="Z18" s="1190"/>
      <c r="AA18" s="6"/>
      <c r="AB18" s="6"/>
      <c r="AC18" s="6"/>
      <c r="AD18" s="6"/>
      <c r="AE18" s="6"/>
      <c r="AF18" s="6"/>
      <c r="AG18" s="6"/>
      <c r="AH18" s="6"/>
      <c r="AI18" s="6"/>
      <c r="AJ18" s="6"/>
      <c r="AK18" s="6"/>
      <c r="AL18" s="6"/>
      <c r="AM18" s="6"/>
      <c r="AN18" s="6"/>
      <c r="AO18" s="6"/>
      <c r="AP18" s="6"/>
      <c r="AQ18" s="6"/>
      <c r="AR18" s="6"/>
      <c r="AS18" s="6"/>
      <c r="AT18" s="6"/>
      <c r="AU18" s="6"/>
      <c r="AV18" s="6"/>
      <c r="AX18" s="6"/>
      <c r="AY18" s="6"/>
      <c r="BA18" s="6"/>
      <c r="BB18" s="6"/>
      <c r="BC18" s="6"/>
      <c r="BD18" s="1190">
        <f t="shared" si="12"/>
        <v>0</v>
      </c>
      <c r="BE18" s="1191">
        <f>-SUMIF($E$392:$E$2071,$E18,$BK$392:$BK$2071)*0</f>
        <v>0</v>
      </c>
      <c r="BF18" s="1191"/>
      <c r="BG18" s="1191"/>
      <c r="BH18" s="1191"/>
      <c r="BI18" s="1191"/>
      <c r="BJ18" s="1191"/>
      <c r="BK18" s="327">
        <f t="shared" si="2"/>
        <v>0</v>
      </c>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M18" s="1139">
        <v>0</v>
      </c>
      <c r="CN18" s="1139">
        <v>0</v>
      </c>
      <c r="CP18" s="923">
        <f t="shared" si="3"/>
        <v>0</v>
      </c>
      <c r="CZ18" s="330"/>
    </row>
    <row r="19" spans="1:104" ht="15" customHeight="1" x14ac:dyDescent="0.25">
      <c r="A19" s="684">
        <f>MAX($A$6:A18)+1</f>
        <v>19</v>
      </c>
      <c r="B19" s="11" t="s">
        <v>40</v>
      </c>
      <c r="C19" s="11" t="str">
        <f>C16</f>
        <v>SoCNE</v>
      </c>
      <c r="D19" s="11"/>
      <c r="E19" s="7" t="s">
        <v>464</v>
      </c>
      <c r="F19" s="15"/>
      <c r="G19" s="1254" t="s">
        <v>464</v>
      </c>
      <c r="H19" s="6" t="e">
        <v>#VALUE!</v>
      </c>
      <c r="I19" s="6" t="e">
        <v>#VALUE!</v>
      </c>
      <c r="J19" s="1257" t="s">
        <v>285</v>
      </c>
      <c r="K19" s="251">
        <f>SUMIF('alb SoCNE'!$A:$A,$J19,'alb SoCNE'!$C:$C)</f>
        <v>0</v>
      </c>
      <c r="L19" s="251">
        <f>SUMIF('alb SoCNE'!$A:$A,$J19,'alb SoCNE'!$F:$F)</f>
        <v>0</v>
      </c>
      <c r="M19" s="252">
        <v>3</v>
      </c>
      <c r="N19" s="273" t="e">
        <f>ROUND(SUM(O19:S19)+SUM(W19:AV19),0)</f>
        <v>#VALUE!</v>
      </c>
      <c r="O19" s="12"/>
      <c r="P19" s="12"/>
      <c r="Q19" s="12"/>
      <c r="R19" s="12"/>
      <c r="S19" s="6">
        <f t="shared" si="1"/>
        <v>0</v>
      </c>
      <c r="T19" s="273" t="e">
        <f t="shared" si="7"/>
        <v>#VALUE!</v>
      </c>
      <c r="U19" s="6">
        <f t="shared" si="10"/>
        <v>0</v>
      </c>
      <c r="V19" s="251"/>
      <c r="W19" s="251" t="e">
        <f t="shared" si="11"/>
        <v>#VALUE!</v>
      </c>
      <c r="X19" s="251"/>
      <c r="Y19" s="251"/>
      <c r="Z19" s="1185"/>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X19" s="6"/>
      <c r="AY19" s="6">
        <f>ROUND(AX19/1000/Update!$B$31*Update!$B$27,0)</f>
        <v>0</v>
      </c>
      <c r="BA19" s="6"/>
      <c r="BB19" s="6">
        <f>ROUND(BA19/1000/Update!$B$31,0)</f>
        <v>0</v>
      </c>
      <c r="BC19" s="6"/>
      <c r="BD19" s="1190">
        <f t="shared" si="12"/>
        <v>0</v>
      </c>
      <c r="BE19" s="1191">
        <f>-SUMIF($E$392:$E$2071,$E19,$BK$392:$BK$2071)*0</f>
        <v>0</v>
      </c>
      <c r="BF19" s="1191"/>
      <c r="BG19" s="1191"/>
      <c r="BH19" s="1191"/>
      <c r="BI19" s="1191"/>
      <c r="BJ19" s="1191"/>
      <c r="BK19" s="327">
        <f t="shared" si="2"/>
        <v>0</v>
      </c>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M19" s="1139">
        <v>1</v>
      </c>
      <c r="CN19" s="1139">
        <v>-60185</v>
      </c>
      <c r="CP19" s="923">
        <f t="shared" si="3"/>
        <v>1</v>
      </c>
      <c r="CZ19" s="330"/>
    </row>
    <row r="20" spans="1:104" ht="15" customHeight="1" x14ac:dyDescent="0.25">
      <c r="A20" s="701">
        <f>MAX($A$6:A19)+1</f>
        <v>20</v>
      </c>
      <c r="B20" s="18" t="s">
        <v>40</v>
      </c>
      <c r="C20" s="18" t="str">
        <f t="shared" si="8"/>
        <v>SoCNE</v>
      </c>
      <c r="D20" s="18"/>
      <c r="E20" s="17" t="s">
        <v>57</v>
      </c>
      <c r="F20" s="14"/>
      <c r="G20" s="254"/>
      <c r="H20" s="14" t="e">
        <f>SUM(H13:H19)</f>
        <v>#VALUE!</v>
      </c>
      <c r="I20" s="14" t="e">
        <f>SUM(I13:I19)</f>
        <v>#VALUE!</v>
      </c>
      <c r="J20" s="1258" t="s">
        <v>286</v>
      </c>
      <c r="K20" s="256">
        <f>SUM(K13:K19)</f>
        <v>0</v>
      </c>
      <c r="L20" s="256">
        <f>SUM(L13:L19)</f>
        <v>0</v>
      </c>
      <c r="M20" s="14"/>
      <c r="N20" s="14" t="e">
        <f>SUM(N13:N19)</f>
        <v>#VALUE!</v>
      </c>
      <c r="O20" s="14">
        <f>SUM(O13:O19)</f>
        <v>0</v>
      </c>
      <c r="P20" s="14">
        <f>SUM(P13:P19)</f>
        <v>0</v>
      </c>
      <c r="Q20" s="14">
        <f>SUM(Q13:Q19)</f>
        <v>0</v>
      </c>
      <c r="R20" s="14">
        <f>SUM(R13:R19)</f>
        <v>0</v>
      </c>
      <c r="S20" s="14">
        <f t="shared" si="1"/>
        <v>0</v>
      </c>
      <c r="T20" s="14" t="e">
        <f>SUM(T13:T19)</f>
        <v>#VALUE!</v>
      </c>
      <c r="U20" s="14">
        <f>SUM(U13:U19)</f>
        <v>0</v>
      </c>
      <c r="V20" s="14">
        <f>SUM(V13:V19)</f>
        <v>0</v>
      </c>
      <c r="W20" s="14" t="e">
        <f>SUM(W13:W19)</f>
        <v>#VALUE!</v>
      </c>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2"/>
      <c r="AX20" s="14">
        <f>SUM(AX13:AX19)</f>
        <v>0</v>
      </c>
      <c r="AY20" s="14">
        <f>ROUND(AX20/1000/Update!$B$31*Update!$B$27,0)</f>
        <v>0</v>
      </c>
      <c r="AZ20" s="2"/>
      <c r="BA20" s="14">
        <f>SUM(BA13:BA19)</f>
        <v>0</v>
      </c>
      <c r="BB20" s="14">
        <f>ROUND(BA20/1000/Update!$B$31,0)</f>
        <v>0</v>
      </c>
      <c r="BC20" s="14"/>
      <c r="BD20" s="14">
        <f t="shared" si="4"/>
        <v>0</v>
      </c>
      <c r="BE20" s="318">
        <f t="shared" ref="BE20:BJ20" si="13">SUM(BE13:BE19)</f>
        <v>0</v>
      </c>
      <c r="BF20" s="318">
        <f t="shared" si="13"/>
        <v>0</v>
      </c>
      <c r="BG20" s="318">
        <f t="shared" si="13"/>
        <v>0</v>
      </c>
      <c r="BH20" s="318">
        <f t="shared" si="13"/>
        <v>0</v>
      </c>
      <c r="BI20" s="318">
        <f t="shared" si="13"/>
        <v>0</v>
      </c>
      <c r="BJ20" s="318">
        <f t="shared" si="13"/>
        <v>0</v>
      </c>
      <c r="BK20" s="14">
        <f>ROUND(SUM(BO20:CI20),0)</f>
        <v>0</v>
      </c>
      <c r="BL20" s="318"/>
      <c r="BM20" s="318"/>
      <c r="BN20" s="318"/>
      <c r="BO20" s="318"/>
      <c r="BP20" s="318"/>
      <c r="BQ20" s="318"/>
      <c r="BR20" s="318"/>
      <c r="BS20" s="318"/>
      <c r="BT20" s="318"/>
      <c r="BU20" s="318"/>
      <c r="BV20" s="318"/>
      <c r="BW20" s="318"/>
      <c r="BX20" s="318"/>
      <c r="BY20" s="318"/>
      <c r="BZ20" s="318"/>
      <c r="CA20" s="318"/>
      <c r="CB20" s="318"/>
      <c r="CC20" s="318"/>
      <c r="CD20" s="318"/>
      <c r="CE20" s="318"/>
      <c r="CF20" s="318"/>
      <c r="CG20" s="318"/>
      <c r="CH20" s="318"/>
      <c r="CI20" s="318"/>
      <c r="CJ20" s="2"/>
      <c r="CK20" s="1818"/>
      <c r="CM20" s="1140">
        <v>3789</v>
      </c>
      <c r="CN20" s="1140">
        <v>-8021989</v>
      </c>
      <c r="CP20" s="923">
        <f t="shared" si="3"/>
        <v>3789</v>
      </c>
      <c r="CZ20" s="330"/>
    </row>
    <row r="21" spans="1:104" ht="15" customHeight="1" x14ac:dyDescent="0.25">
      <c r="A21" s="684">
        <f>MAX($A$6:A20)+1</f>
        <v>21</v>
      </c>
      <c r="B21" s="11" t="s">
        <v>40</v>
      </c>
      <c r="C21" s="11" t="str">
        <f>C20</f>
        <v>SoCNE</v>
      </c>
      <c r="D21" s="11"/>
      <c r="E21" s="7" t="s">
        <v>310</v>
      </c>
      <c r="F21" s="15"/>
      <c r="G21" s="1254" t="s">
        <v>310</v>
      </c>
      <c r="H21" s="6" t="e">
        <v>#VALUE!</v>
      </c>
      <c r="I21" s="6" t="e">
        <v>#VALUE!</v>
      </c>
      <c r="J21" s="1257" t="s">
        <v>310</v>
      </c>
      <c r="K21" s="251">
        <f>SUMIF('alb SoCNE'!$A:$A,$J21,'alb SoCNE'!$C:$C)</f>
        <v>0</v>
      </c>
      <c r="L21" s="251">
        <f>SUMIF('alb SoCNE'!$A:$A,$J21,'alb SoCNE'!$F:$F)</f>
        <v>0</v>
      </c>
      <c r="M21" s="252">
        <v>4</v>
      </c>
      <c r="N21" s="273" t="e">
        <f>ROUND(SUM(O21:S21)+SUM(W21:AV21),0)</f>
        <v>#VALUE!</v>
      </c>
      <c r="O21" s="12"/>
      <c r="P21" s="12"/>
      <c r="Q21" s="12"/>
      <c r="R21" s="12"/>
      <c r="S21" s="6">
        <f t="shared" si="1"/>
        <v>0</v>
      </c>
      <c r="T21" s="273" t="e">
        <f>ROUND(SUM(U21:Y21),0)</f>
        <v>#VALUE!</v>
      </c>
      <c r="U21" s="6">
        <f>-SUM(BL21:BN21)</f>
        <v>0</v>
      </c>
      <c r="V21" s="6"/>
      <c r="W21" s="6" t="e">
        <f t="shared" ref="W21:W28" si="14">-H21</f>
        <v>#VALUE!</v>
      </c>
      <c r="X21" s="6"/>
      <c r="Y21" s="6"/>
      <c r="Z21" s="6"/>
      <c r="AA21" s="6"/>
      <c r="AB21" s="6"/>
      <c r="AC21" s="6"/>
      <c r="AD21" s="6"/>
      <c r="AE21" s="6"/>
      <c r="AF21" s="6"/>
      <c r="AG21" s="6"/>
      <c r="AH21" s="6"/>
      <c r="AI21" s="6"/>
      <c r="AJ21" s="6"/>
      <c r="AK21" s="6"/>
      <c r="AL21" s="6"/>
      <c r="AM21" s="6"/>
      <c r="AN21" s="6"/>
      <c r="AO21" s="6"/>
      <c r="AP21" s="6"/>
      <c r="AQ21" s="6"/>
      <c r="AR21" s="6"/>
      <c r="AS21" s="6"/>
      <c r="AT21" s="6"/>
      <c r="AU21" s="6"/>
      <c r="AV21" s="6"/>
      <c r="AX21" s="6"/>
      <c r="AY21" s="6">
        <f>ROUND(AX21/1000/Update!$B$31*Update!$B$27,0)</f>
        <v>0</v>
      </c>
      <c r="BA21" s="6"/>
      <c r="BB21" s="6">
        <f>ROUND(BA21/1000/Update!$B$31,0)</f>
        <v>0</v>
      </c>
      <c r="BC21" s="6"/>
      <c r="BD21" s="29">
        <f>ROUND(SUM(BE21:BK21),0)</f>
        <v>0</v>
      </c>
      <c r="BE21" s="317"/>
      <c r="BF21" s="317"/>
      <c r="BG21" s="317"/>
      <c r="BH21" s="317"/>
      <c r="BI21" s="317"/>
      <c r="BJ21" s="317"/>
      <c r="BK21" s="29">
        <f t="shared" si="2"/>
        <v>0</v>
      </c>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M21" s="1139">
        <v>0</v>
      </c>
      <c r="CN21" s="1139">
        <v>0</v>
      </c>
      <c r="CP21" s="923">
        <f t="shared" si="3"/>
        <v>0</v>
      </c>
      <c r="CZ21" s="330"/>
    </row>
    <row r="22" spans="1:104" ht="15" customHeight="1" x14ac:dyDescent="0.25">
      <c r="A22" s="684">
        <f>MAX($A$6:A21)+1</f>
        <v>22</v>
      </c>
      <c r="B22" s="11" t="s">
        <v>40</v>
      </c>
      <c r="C22" s="11" t="str">
        <f t="shared" ref="C22:C28" si="15">C21</f>
        <v>SoCNE</v>
      </c>
      <c r="D22" s="11"/>
      <c r="E22" s="7" t="s">
        <v>309</v>
      </c>
      <c r="F22" s="15"/>
      <c r="G22" s="1254" t="s">
        <v>309</v>
      </c>
      <c r="H22" s="6" t="e">
        <v>#VALUE!</v>
      </c>
      <c r="I22" s="6" t="e">
        <v>#VALUE!</v>
      </c>
      <c r="J22" s="1257" t="s">
        <v>309</v>
      </c>
      <c r="K22" s="251">
        <f>SUMIF('alb SoCNE'!$A:$A,$J22,'alb SoCNE'!$C:$C)</f>
        <v>0</v>
      </c>
      <c r="L22" s="251">
        <f>SUMIF('alb SoCNE'!$A:$A,$J22,'alb SoCNE'!$F:$F)</f>
        <v>0</v>
      </c>
      <c r="M22" s="252">
        <v>3</v>
      </c>
      <c r="N22" s="273" t="e">
        <f>ROUND(SUM(O22:S22)+SUM(W22:AV22),0)</f>
        <v>#VALUE!</v>
      </c>
      <c r="O22" s="12"/>
      <c r="P22" s="12"/>
      <c r="Q22" s="12"/>
      <c r="R22" s="12"/>
      <c r="S22" s="6">
        <f>-IF(ISNUMBER(BD22),BD22,0)</f>
        <v>0</v>
      </c>
      <c r="T22" s="273" t="e">
        <f>ROUND(SUM(U22:Y22),0)</f>
        <v>#VALUE!</v>
      </c>
      <c r="U22" s="6">
        <f>-SUM(BL22:BN22)</f>
        <v>0</v>
      </c>
      <c r="V22" s="6"/>
      <c r="W22" s="6" t="e">
        <f t="shared" si="14"/>
        <v>#VALUE!</v>
      </c>
      <c r="X22" s="6"/>
      <c r="Y22" s="6"/>
      <c r="Z22" s="1190"/>
      <c r="AA22" s="6"/>
      <c r="AB22" s="6"/>
      <c r="AC22" s="6"/>
      <c r="AD22" s="6"/>
      <c r="AE22" s="6"/>
      <c r="AF22" s="6"/>
      <c r="AG22" s="6"/>
      <c r="AH22" s="6"/>
      <c r="AI22" s="6"/>
      <c r="AJ22" s="6"/>
      <c r="AK22" s="6"/>
      <c r="AL22" s="6"/>
      <c r="AM22" s="6"/>
      <c r="AN22" s="6"/>
      <c r="AO22" s="6"/>
      <c r="AP22" s="6"/>
      <c r="AQ22" s="6"/>
      <c r="AR22" s="6"/>
      <c r="AS22" s="6"/>
      <c r="AT22" s="6"/>
      <c r="AU22" s="6"/>
      <c r="AV22" s="6"/>
      <c r="AX22" s="6"/>
      <c r="AY22" s="6">
        <f>ROUND(AX22/1000/Update!$B$31*Update!$B$27,0)</f>
        <v>0</v>
      </c>
      <c r="BA22" s="6"/>
      <c r="BB22" s="6">
        <f>ROUND(BA22/1000/Update!$B$31,0)</f>
        <v>0</v>
      </c>
      <c r="BC22" s="6"/>
      <c r="BD22" s="29">
        <f>ROUND(SUM(BE22:BK22),0)</f>
        <v>0</v>
      </c>
      <c r="BE22" s="317"/>
      <c r="BF22" s="317"/>
      <c r="BG22" s="317"/>
      <c r="BH22" s="317"/>
      <c r="BI22" s="317"/>
      <c r="BJ22" s="317"/>
      <c r="BK22" s="29">
        <f t="shared" si="2"/>
        <v>0</v>
      </c>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M22" s="1139">
        <v>0</v>
      </c>
      <c r="CN22" s="1139">
        <v>0</v>
      </c>
      <c r="CP22" s="923">
        <f t="shared" si="3"/>
        <v>0</v>
      </c>
      <c r="CZ22" s="330"/>
    </row>
    <row r="23" spans="1:104" ht="15" customHeight="1" x14ac:dyDescent="0.25">
      <c r="A23" s="684">
        <f>MAX($A$6:A22)+1</f>
        <v>23</v>
      </c>
      <c r="B23" s="11" t="s">
        <v>40</v>
      </c>
      <c r="C23" s="11" t="str">
        <f t="shared" si="15"/>
        <v>SoCNE</v>
      </c>
      <c r="D23" s="11"/>
      <c r="E23" s="7"/>
      <c r="F23" s="15"/>
      <c r="G23" s="26"/>
      <c r="H23" s="6"/>
      <c r="I23" s="6"/>
      <c r="J23" s="1257" t="s">
        <v>286</v>
      </c>
      <c r="K23" s="251">
        <f>SUMIF('alb SoCNE'!$A:$A,$J23,'alb SoCNE'!$C:$C)</f>
        <v>0</v>
      </c>
      <c r="L23" s="251">
        <f>SUMIF('alb SoCNE'!$A:$A,$J23,'alb SoCNE'!$F:$F)</f>
        <v>0</v>
      </c>
      <c r="M23" s="252"/>
      <c r="N23" s="273">
        <f>ROUND(SUM(O23:S23)+SUM(W23:AV23),0)</f>
        <v>0</v>
      </c>
      <c r="O23" s="12"/>
      <c r="P23" s="12"/>
      <c r="Q23" s="12"/>
      <c r="R23" s="12"/>
      <c r="S23" s="6">
        <f t="shared" si="1"/>
        <v>0</v>
      </c>
      <c r="T23" s="273">
        <f>ROUND(SUM(U23:Y23),0)</f>
        <v>0</v>
      </c>
      <c r="U23" s="6"/>
      <c r="V23" s="6"/>
      <c r="W23" s="6">
        <f t="shared" si="14"/>
        <v>0</v>
      </c>
      <c r="X23" s="6"/>
      <c r="Y23" s="6"/>
      <c r="Z23" s="6"/>
      <c r="AA23" s="6"/>
      <c r="AB23" s="6"/>
      <c r="AC23" s="6"/>
      <c r="AD23" s="6"/>
      <c r="AE23" s="6"/>
      <c r="AF23" s="6"/>
      <c r="AG23" s="6"/>
      <c r="AH23" s="6"/>
      <c r="AI23" s="6"/>
      <c r="AJ23" s="6"/>
      <c r="AK23" s="6"/>
      <c r="AL23" s="6"/>
      <c r="AM23" s="6"/>
      <c r="AN23" s="6"/>
      <c r="AO23" s="6"/>
      <c r="AP23" s="6"/>
      <c r="AQ23" s="6"/>
      <c r="AR23" s="6"/>
      <c r="AS23" s="6"/>
      <c r="AT23" s="6"/>
      <c r="AU23" s="6"/>
      <c r="AV23" s="6"/>
      <c r="AX23" s="6"/>
      <c r="AY23" s="6">
        <f>ROUND(AX23/1000/Update!$B$31*Update!$B$27,0)</f>
        <v>0</v>
      </c>
      <c r="BA23" s="6"/>
      <c r="BB23" s="6">
        <f>ROUND(BA23/1000/Update!$B$31,0)</f>
        <v>0</v>
      </c>
      <c r="BC23" s="6"/>
      <c r="BD23" s="29">
        <f>ROUND(SUM(BE23:BK23),0)</f>
        <v>0</v>
      </c>
      <c r="BE23" s="317"/>
      <c r="BF23" s="317"/>
      <c r="BG23" s="317"/>
      <c r="BH23" s="317"/>
      <c r="BI23" s="317"/>
      <c r="BJ23" s="317"/>
      <c r="BK23" s="29">
        <f t="shared" si="2"/>
        <v>0</v>
      </c>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M23" s="1139">
        <v>0</v>
      </c>
      <c r="CN23" s="1139">
        <v>0</v>
      </c>
      <c r="CP23" s="923">
        <f t="shared" si="3"/>
        <v>0</v>
      </c>
      <c r="CZ23" s="330"/>
    </row>
    <row r="24" spans="1:104" ht="15" customHeight="1" x14ac:dyDescent="0.25">
      <c r="A24" s="701">
        <f>MAX($A$6:A23)+1</f>
        <v>24</v>
      </c>
      <c r="B24" s="18" t="s">
        <v>40</v>
      </c>
      <c r="C24" s="18" t="str">
        <f t="shared" si="15"/>
        <v>SoCNE</v>
      </c>
      <c r="D24" s="17"/>
      <c r="E24" s="17" t="s">
        <v>58</v>
      </c>
      <c r="F24" s="14"/>
      <c r="G24" s="254"/>
      <c r="H24" s="14" t="e">
        <f>SUM(H20:H23)+H11</f>
        <v>#VALUE!</v>
      </c>
      <c r="I24" s="14" t="e">
        <f>SUM(I20:I23)+I11</f>
        <v>#VALUE!</v>
      </c>
      <c r="J24" s="1258" t="s">
        <v>286</v>
      </c>
      <c r="K24" s="256">
        <f>SUM(K20:K23)+K11</f>
        <v>0</v>
      </c>
      <c r="L24" s="256">
        <f>SUM(L20:L23)+L11</f>
        <v>0</v>
      </c>
      <c r="M24" s="14"/>
      <c r="N24" s="14" t="e">
        <f>SUM(N20:N23)+N11</f>
        <v>#VALUE!</v>
      </c>
      <c r="O24" s="14">
        <f t="shared" ref="O24:T24" si="16">SUM(O20:O23)+O11</f>
        <v>0</v>
      </c>
      <c r="P24" s="14">
        <f t="shared" si="16"/>
        <v>0</v>
      </c>
      <c r="Q24" s="14">
        <f t="shared" si="16"/>
        <v>0</v>
      </c>
      <c r="R24" s="14">
        <f t="shared" si="16"/>
        <v>0</v>
      </c>
      <c r="S24" s="14">
        <f t="shared" si="16"/>
        <v>0</v>
      </c>
      <c r="T24" s="14" t="e">
        <f t="shared" si="16"/>
        <v>#VALUE!</v>
      </c>
      <c r="U24" s="14">
        <f>U20+U11</f>
        <v>0</v>
      </c>
      <c r="V24" s="14">
        <f>V20+V11</f>
        <v>0</v>
      </c>
      <c r="W24" s="14" t="e">
        <f>W20+W11+W21+W22</f>
        <v>#VALUE!</v>
      </c>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2"/>
      <c r="AX24" s="14">
        <f>SUM(AX20:AX23)+AX11</f>
        <v>0</v>
      </c>
      <c r="AY24" s="14">
        <f>ROUND(AX24/1000/Update!$B$31*Update!$B$27,0)</f>
        <v>0</v>
      </c>
      <c r="AZ24" s="2"/>
      <c r="BA24" s="14">
        <f>SUM(BA20:BA23)+BA11</f>
        <v>0</v>
      </c>
      <c r="BB24" s="14">
        <f>ROUND(BA24/1000/Update!$B$31,0)</f>
        <v>0</v>
      </c>
      <c r="BC24" s="14"/>
      <c r="BD24" s="14">
        <f t="shared" si="4"/>
        <v>0</v>
      </c>
      <c r="BE24" s="318">
        <f t="shared" ref="BE24:BJ24" si="17">SUM(BE20:BE23)+BE11</f>
        <v>0</v>
      </c>
      <c r="BF24" s="318">
        <f t="shared" si="17"/>
        <v>0</v>
      </c>
      <c r="BG24" s="318">
        <f t="shared" si="17"/>
        <v>0</v>
      </c>
      <c r="BH24" s="318">
        <f t="shared" si="17"/>
        <v>0</v>
      </c>
      <c r="BI24" s="318">
        <f t="shared" si="17"/>
        <v>0</v>
      </c>
      <c r="BJ24" s="318">
        <f t="shared" si="17"/>
        <v>0</v>
      </c>
      <c r="BK24" s="318">
        <f t="shared" si="2"/>
        <v>0</v>
      </c>
      <c r="BL24" s="318"/>
      <c r="BM24" s="318"/>
      <c r="BN24" s="318"/>
      <c r="BO24" s="318"/>
      <c r="BP24" s="318"/>
      <c r="BQ24" s="318"/>
      <c r="BR24" s="318"/>
      <c r="BS24" s="318"/>
      <c r="BT24" s="318"/>
      <c r="BU24" s="318"/>
      <c r="BV24" s="318"/>
      <c r="BW24" s="318"/>
      <c r="BX24" s="318"/>
      <c r="BY24" s="318"/>
      <c r="BZ24" s="318"/>
      <c r="CA24" s="318"/>
      <c r="CB24" s="318"/>
      <c r="CC24" s="318"/>
      <c r="CD24" s="318"/>
      <c r="CE24" s="318"/>
      <c r="CF24" s="318"/>
      <c r="CG24" s="318"/>
      <c r="CH24" s="318"/>
      <c r="CI24" s="318"/>
      <c r="CJ24" s="2"/>
      <c r="CK24" s="2"/>
      <c r="CM24" s="1140">
        <v>0</v>
      </c>
      <c r="CN24" s="1140">
        <v>-7541911</v>
      </c>
      <c r="CP24" s="923">
        <f t="shared" si="3"/>
        <v>0</v>
      </c>
      <c r="CZ24" s="330"/>
    </row>
    <row r="25" spans="1:104" ht="15" customHeight="1" x14ac:dyDescent="0.25">
      <c r="A25" s="684">
        <f>MAX($A$6:A24)+1</f>
        <v>25</v>
      </c>
      <c r="B25" s="11" t="s">
        <v>40</v>
      </c>
      <c r="C25" s="11" t="str">
        <f t="shared" si="15"/>
        <v>SoCNE</v>
      </c>
      <c r="D25" s="1451"/>
      <c r="E25" s="1457" t="s">
        <v>2328</v>
      </c>
      <c r="F25" s="1290"/>
      <c r="G25" s="1457" t="s">
        <v>2328</v>
      </c>
      <c r="H25" s="6" t="e">
        <v>#VALUE!</v>
      </c>
      <c r="I25" s="6" t="e">
        <v>#VALUE!</v>
      </c>
      <c r="J25" s="1457" t="s">
        <v>2328</v>
      </c>
      <c r="K25" s="251">
        <f>SUMIF('alb SoCNE'!$A:$A,$J25,'alb SoCNE'!$C:$C)</f>
        <v>0</v>
      </c>
      <c r="L25" s="251">
        <f>SUMIF('alb SoCNE'!$A:$A,$J25,'alb SoCNE'!$F:$F)</f>
        <v>0</v>
      </c>
      <c r="M25" s="1290"/>
      <c r="N25" s="273" t="e">
        <f>ROUND(SUM(O25:S25)+SUM(W25:AV25),0)</f>
        <v>#VALUE!</v>
      </c>
      <c r="O25" s="1290"/>
      <c r="P25" s="1290"/>
      <c r="Q25" s="1290"/>
      <c r="R25" s="1290"/>
      <c r="S25" s="1290"/>
      <c r="T25" s="273" t="e">
        <f>ROUND(SUM(U25:Y25),0)</f>
        <v>#VALUE!</v>
      </c>
      <c r="U25" s="1290"/>
      <c r="V25" s="1290"/>
      <c r="W25" s="1290" t="e">
        <f t="shared" si="14"/>
        <v>#VALUE!</v>
      </c>
      <c r="X25" s="1290"/>
      <c r="Y25" s="1290"/>
      <c r="Z25" s="1290"/>
      <c r="AA25" s="1290"/>
      <c r="AB25" s="1290"/>
      <c r="AC25" s="1290"/>
      <c r="AD25" s="1290"/>
      <c r="AE25" s="1290"/>
      <c r="AF25" s="1290"/>
      <c r="AG25" s="1290"/>
      <c r="AH25" s="1290"/>
      <c r="AI25" s="1290"/>
      <c r="AJ25" s="1290"/>
      <c r="AK25" s="1290"/>
      <c r="AL25" s="1290"/>
      <c r="AM25" s="1290"/>
      <c r="AN25" s="1290"/>
      <c r="AO25" s="1290"/>
      <c r="AP25" s="1290"/>
      <c r="AQ25" s="1290"/>
      <c r="AR25" s="1290"/>
      <c r="AS25" s="1290"/>
      <c r="AT25" s="1290"/>
      <c r="AU25" s="1290"/>
      <c r="AV25" s="1290"/>
      <c r="AW25" s="2"/>
      <c r="AX25" s="1290"/>
      <c r="AY25" s="1290"/>
      <c r="AZ25" s="2"/>
      <c r="BA25" s="1290"/>
      <c r="BB25" s="1290"/>
      <c r="BC25" s="1290"/>
      <c r="BD25" s="29">
        <f t="shared" si="4"/>
        <v>0</v>
      </c>
      <c r="BE25" s="1455"/>
      <c r="BF25" s="1455"/>
      <c r="BG25" s="1455"/>
      <c r="BH25" s="1455"/>
      <c r="BI25" s="1455"/>
      <c r="BJ25" s="1455"/>
      <c r="BK25" s="1455"/>
      <c r="BL25" s="1455"/>
      <c r="BM25" s="1455"/>
      <c r="BN25" s="1455"/>
      <c r="BO25" s="1455"/>
      <c r="BP25" s="1455"/>
      <c r="BQ25" s="1455"/>
      <c r="BR25" s="1455"/>
      <c r="BS25" s="1455"/>
      <c r="BT25" s="1455"/>
      <c r="BU25" s="1455"/>
      <c r="BV25" s="1455"/>
      <c r="BW25" s="1455"/>
      <c r="BX25" s="1455"/>
      <c r="BY25" s="1455"/>
      <c r="BZ25" s="1455"/>
      <c r="CA25" s="1455"/>
      <c r="CB25" s="1455"/>
      <c r="CC25" s="1455"/>
      <c r="CD25" s="1455"/>
      <c r="CE25" s="1455"/>
      <c r="CF25" s="1455"/>
      <c r="CG25" s="1455"/>
      <c r="CH25" s="1455"/>
      <c r="CI25" s="1455"/>
      <c r="CJ25" s="2"/>
      <c r="CK25" s="2"/>
      <c r="CM25" s="1140">
        <v>0</v>
      </c>
      <c r="CN25" s="1140">
        <v>0</v>
      </c>
      <c r="CP25" s="923">
        <f t="shared" si="3"/>
        <v>0</v>
      </c>
      <c r="CZ25" s="1456"/>
    </row>
    <row r="26" spans="1:104" ht="15" customHeight="1" x14ac:dyDescent="0.25">
      <c r="A26" s="684">
        <f>MAX($A$6:A25)+1</f>
        <v>26</v>
      </c>
      <c r="B26" s="11" t="s">
        <v>40</v>
      </c>
      <c r="C26" s="11" t="str">
        <f t="shared" si="15"/>
        <v>SoCNE</v>
      </c>
      <c r="D26" s="1451"/>
      <c r="E26" s="1457" t="s">
        <v>2329</v>
      </c>
      <c r="F26" s="1290"/>
      <c r="G26" s="1457" t="s">
        <v>2329</v>
      </c>
      <c r="H26" s="6" t="e">
        <v>#VALUE!</v>
      </c>
      <c r="I26" s="6" t="e">
        <v>#VALUE!</v>
      </c>
      <c r="J26" s="1457" t="s">
        <v>2329</v>
      </c>
      <c r="K26" s="251">
        <f>SUMIF('alb SoCNE'!$A:$A,$J26,'alb SoCNE'!$C:$C)</f>
        <v>0</v>
      </c>
      <c r="L26" s="251">
        <f>SUMIF('alb SoCNE'!$A:$A,$J26,'alb SoCNE'!$F:$F)</f>
        <v>0</v>
      </c>
      <c r="M26" s="1290"/>
      <c r="N26" s="273" t="e">
        <f>ROUND(SUM(O26:S26)+SUM(W26:AV26),0)</f>
        <v>#VALUE!</v>
      </c>
      <c r="O26" s="1290"/>
      <c r="P26" s="1290"/>
      <c r="Q26" s="1290"/>
      <c r="R26" s="1290"/>
      <c r="S26" s="1290"/>
      <c r="T26" s="273" t="e">
        <f>ROUND(SUM(U26:Y26),0)</f>
        <v>#VALUE!</v>
      </c>
      <c r="U26" s="1290"/>
      <c r="V26" s="1290"/>
      <c r="W26" s="1290" t="e">
        <f t="shared" si="14"/>
        <v>#VALUE!</v>
      </c>
      <c r="X26" s="1290"/>
      <c r="Y26" s="1290"/>
      <c r="Z26" s="1290"/>
      <c r="AA26" s="1290"/>
      <c r="AB26" s="1290"/>
      <c r="AC26" s="1290"/>
      <c r="AD26" s="1290"/>
      <c r="AE26" s="1290"/>
      <c r="AF26" s="1290"/>
      <c r="AG26" s="1290"/>
      <c r="AH26" s="1290"/>
      <c r="AI26" s="1290"/>
      <c r="AJ26" s="1290"/>
      <c r="AK26" s="1290"/>
      <c r="AL26" s="1290"/>
      <c r="AM26" s="1290"/>
      <c r="AN26" s="1290"/>
      <c r="AO26" s="1290"/>
      <c r="AP26" s="1290"/>
      <c r="AQ26" s="1290"/>
      <c r="AR26" s="1290"/>
      <c r="AS26" s="1290"/>
      <c r="AT26" s="1290"/>
      <c r="AU26" s="1290"/>
      <c r="AV26" s="1290"/>
      <c r="AW26" s="2"/>
      <c r="AX26" s="1290"/>
      <c r="AY26" s="1290"/>
      <c r="AZ26" s="2"/>
      <c r="BA26" s="1290"/>
      <c r="BB26" s="1290"/>
      <c r="BC26" s="1290"/>
      <c r="BD26" s="29">
        <f t="shared" si="4"/>
        <v>0</v>
      </c>
      <c r="BE26" s="1455"/>
      <c r="BF26" s="1455"/>
      <c r="BG26" s="1455"/>
      <c r="BH26" s="1455"/>
      <c r="BI26" s="1455"/>
      <c r="BJ26" s="1455"/>
      <c r="BK26" s="1455"/>
      <c r="BL26" s="1455"/>
      <c r="BM26" s="1455"/>
      <c r="BN26" s="1455"/>
      <c r="BO26" s="1455"/>
      <c r="BP26" s="1455"/>
      <c r="BQ26" s="1455"/>
      <c r="BR26" s="1455"/>
      <c r="BS26" s="1455"/>
      <c r="BT26" s="1455"/>
      <c r="BU26" s="1455"/>
      <c r="BV26" s="1455"/>
      <c r="BW26" s="1455"/>
      <c r="BX26" s="1455"/>
      <c r="BY26" s="1455"/>
      <c r="BZ26" s="1455"/>
      <c r="CA26" s="1455"/>
      <c r="CB26" s="1455"/>
      <c r="CC26" s="1455"/>
      <c r="CD26" s="1455"/>
      <c r="CE26" s="1455"/>
      <c r="CF26" s="1455"/>
      <c r="CG26" s="1455"/>
      <c r="CH26" s="1455"/>
      <c r="CI26" s="1455"/>
      <c r="CJ26" s="2"/>
      <c r="CK26" s="2"/>
      <c r="CM26" s="1140">
        <v>0</v>
      </c>
      <c r="CN26" s="1140">
        <v>0</v>
      </c>
      <c r="CP26" s="923">
        <f t="shared" si="3"/>
        <v>0</v>
      </c>
      <c r="CZ26" s="1456"/>
    </row>
    <row r="27" spans="1:104" ht="15" customHeight="1" x14ac:dyDescent="0.25">
      <c r="A27" s="701">
        <f>MAX($A$6:A26)+1</f>
        <v>27</v>
      </c>
      <c r="B27" s="18" t="s">
        <v>40</v>
      </c>
      <c r="C27" s="18" t="str">
        <f t="shared" si="15"/>
        <v>SoCNE</v>
      </c>
      <c r="D27" s="17"/>
      <c r="E27" s="17" t="s">
        <v>2330</v>
      </c>
      <c r="F27" s="14"/>
      <c r="G27" s="254"/>
      <c r="H27" s="14" t="e">
        <f>SUM(H25:H26)</f>
        <v>#VALUE!</v>
      </c>
      <c r="I27" s="14" t="e">
        <f>SUM(I25:I26)</f>
        <v>#VALUE!</v>
      </c>
      <c r="J27" s="1258"/>
      <c r="K27" s="14">
        <f>SUM(K25:K26)</f>
        <v>0</v>
      </c>
      <c r="L27" s="14">
        <f>SUM(L25:L26)</f>
        <v>0</v>
      </c>
      <c r="M27" s="14"/>
      <c r="N27" s="14" t="e">
        <f>SUM(N25:N26)</f>
        <v>#VALUE!</v>
      </c>
      <c r="O27" s="14"/>
      <c r="P27" s="14"/>
      <c r="Q27" s="14"/>
      <c r="R27" s="14"/>
      <c r="S27" s="14">
        <f>SUM(S25:S26)</f>
        <v>0</v>
      </c>
      <c r="T27" s="14" t="e">
        <f>SUM(T25:T26)</f>
        <v>#VALUE!</v>
      </c>
      <c r="U27" s="14">
        <f t="shared" ref="U27:V27" si="18">SUM(U25:U26)</f>
        <v>0</v>
      </c>
      <c r="V27" s="14">
        <f t="shared" si="18"/>
        <v>0</v>
      </c>
      <c r="W27" s="14" t="e">
        <f t="shared" si="14"/>
        <v>#VALUE!</v>
      </c>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2"/>
      <c r="AX27" s="14"/>
      <c r="AY27" s="14"/>
      <c r="AZ27" s="2"/>
      <c r="BA27" s="14"/>
      <c r="BB27" s="14"/>
      <c r="BC27" s="14"/>
      <c r="BD27" s="14">
        <f>SUM(BD25:BD26)</f>
        <v>0</v>
      </c>
      <c r="BE27" s="14">
        <f t="shared" ref="BE27:BJ27" si="19">SUM(BE25:BE26)</f>
        <v>0</v>
      </c>
      <c r="BF27" s="14">
        <f t="shared" si="19"/>
        <v>0</v>
      </c>
      <c r="BG27" s="14">
        <f t="shared" si="19"/>
        <v>0</v>
      </c>
      <c r="BH27" s="14">
        <f t="shared" si="19"/>
        <v>0</v>
      </c>
      <c r="BI27" s="14">
        <f t="shared" si="19"/>
        <v>0</v>
      </c>
      <c r="BJ27" s="14">
        <f t="shared" si="19"/>
        <v>0</v>
      </c>
      <c r="BK27" s="14">
        <f>SUM(BK25:BK26)</f>
        <v>0</v>
      </c>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2"/>
      <c r="CK27" s="2"/>
      <c r="CM27" s="1140">
        <v>0</v>
      </c>
      <c r="CN27" s="1140">
        <v>0</v>
      </c>
      <c r="CP27" s="923">
        <f t="shared" si="3"/>
        <v>0</v>
      </c>
      <c r="CZ27" s="330"/>
    </row>
    <row r="28" spans="1:104" ht="15" customHeight="1" x14ac:dyDescent="0.25">
      <c r="A28" s="684">
        <f>MAX($A$6:A27)+1</f>
        <v>28</v>
      </c>
      <c r="B28" s="11" t="s">
        <v>40</v>
      </c>
      <c r="C28" s="11" t="str">
        <f t="shared" si="15"/>
        <v>SoCNE</v>
      </c>
      <c r="D28" s="1451"/>
      <c r="E28" s="1451"/>
      <c r="F28" s="1290"/>
      <c r="G28" s="1452"/>
      <c r="H28" s="1290"/>
      <c r="I28" s="1290"/>
      <c r="J28" s="1453"/>
      <c r="K28" s="1454"/>
      <c r="L28" s="1454"/>
      <c r="M28" s="1290"/>
      <c r="N28" s="1290"/>
      <c r="O28" s="1290"/>
      <c r="P28" s="1290"/>
      <c r="Q28" s="1290"/>
      <c r="R28" s="1290"/>
      <c r="S28" s="1290"/>
      <c r="T28" s="1290"/>
      <c r="U28" s="1290"/>
      <c r="V28" s="1290"/>
      <c r="W28" s="1290">
        <f t="shared" si="14"/>
        <v>0</v>
      </c>
      <c r="X28" s="1290"/>
      <c r="Y28" s="1290"/>
      <c r="Z28" s="1290"/>
      <c r="AA28" s="1290"/>
      <c r="AB28" s="1290"/>
      <c r="AC28" s="1290"/>
      <c r="AD28" s="1290"/>
      <c r="AE28" s="1290"/>
      <c r="AF28" s="1290"/>
      <c r="AG28" s="1290"/>
      <c r="AH28" s="1290"/>
      <c r="AI28" s="1290"/>
      <c r="AJ28" s="1290"/>
      <c r="AK28" s="1290"/>
      <c r="AL28" s="1290"/>
      <c r="AM28" s="1290"/>
      <c r="AN28" s="1290"/>
      <c r="AO28" s="1290"/>
      <c r="AP28" s="1290"/>
      <c r="AQ28" s="1290"/>
      <c r="AR28" s="1290"/>
      <c r="AS28" s="1290"/>
      <c r="AT28" s="1290"/>
      <c r="AU28" s="1290"/>
      <c r="AV28" s="1290"/>
      <c r="AW28" s="2"/>
      <c r="AX28" s="1290"/>
      <c r="AY28" s="1290"/>
      <c r="AZ28" s="2"/>
      <c r="BA28" s="1290"/>
      <c r="BB28" s="1290"/>
      <c r="BC28" s="1290"/>
      <c r="BD28" s="1290"/>
      <c r="BE28" s="1290"/>
      <c r="BF28" s="1290"/>
      <c r="BG28" s="1290"/>
      <c r="BH28" s="1290"/>
      <c r="BI28" s="1290"/>
      <c r="BJ28" s="1290"/>
      <c r="BK28" s="1290"/>
      <c r="BL28" s="1455"/>
      <c r="BM28" s="1455"/>
      <c r="BN28" s="1455"/>
      <c r="BO28" s="1455"/>
      <c r="BP28" s="1455"/>
      <c r="BQ28" s="1455"/>
      <c r="BR28" s="1455"/>
      <c r="BS28" s="1455"/>
      <c r="BT28" s="1455"/>
      <c r="BU28" s="1455"/>
      <c r="BV28" s="1455"/>
      <c r="BW28" s="1455"/>
      <c r="BX28" s="1455"/>
      <c r="BY28" s="1455"/>
      <c r="BZ28" s="1455"/>
      <c r="CA28" s="1455"/>
      <c r="CB28" s="1455"/>
      <c r="CC28" s="1455"/>
      <c r="CD28" s="1455"/>
      <c r="CE28" s="1455"/>
      <c r="CF28" s="1455"/>
      <c r="CG28" s="1455"/>
      <c r="CH28" s="1455"/>
      <c r="CI28" s="1455"/>
      <c r="CJ28" s="2"/>
      <c r="CK28" s="2"/>
      <c r="CM28" s="1140">
        <v>0</v>
      </c>
      <c r="CN28" s="1140"/>
      <c r="CP28" s="923">
        <f t="shared" si="3"/>
        <v>0</v>
      </c>
      <c r="CZ28" s="1456"/>
    </row>
    <row r="29" spans="1:104" ht="15" customHeight="1" x14ac:dyDescent="0.25">
      <c r="A29" s="701">
        <f>MAX($A$6:A28)+1</f>
        <v>29</v>
      </c>
      <c r="B29" s="18" t="s">
        <v>40</v>
      </c>
      <c r="C29" s="18" t="str">
        <f>C28</f>
        <v>SoCNE</v>
      </c>
      <c r="D29" s="17"/>
      <c r="E29" s="17" t="s">
        <v>2331</v>
      </c>
      <c r="F29" s="14"/>
      <c r="G29" s="254"/>
      <c r="H29" s="14" t="e">
        <f>+H27+H24</f>
        <v>#VALUE!</v>
      </c>
      <c r="I29" s="14" t="e">
        <f>+I27+I24</f>
        <v>#VALUE!</v>
      </c>
      <c r="J29" s="1258"/>
      <c r="K29" s="14">
        <f>+K27+K24</f>
        <v>0</v>
      </c>
      <c r="L29" s="14">
        <f>+L27+L24</f>
        <v>0</v>
      </c>
      <c r="M29" s="14"/>
      <c r="N29" s="14" t="e">
        <f>+N27+N24</f>
        <v>#VALUE!</v>
      </c>
      <c r="O29" s="14"/>
      <c r="P29" s="14"/>
      <c r="Q29" s="14"/>
      <c r="R29" s="14"/>
      <c r="S29" s="14">
        <f>+S27+S24</f>
        <v>0</v>
      </c>
      <c r="T29" s="14" t="e">
        <f>+T27+T24</f>
        <v>#VALUE!</v>
      </c>
      <c r="U29" s="14">
        <f t="shared" ref="U29:V29" si="20">+U27+U24</f>
        <v>0</v>
      </c>
      <c r="V29" s="14">
        <f t="shared" si="20"/>
        <v>0</v>
      </c>
      <c r="W29" s="14" t="e">
        <f>-H29</f>
        <v>#VALUE!</v>
      </c>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2"/>
      <c r="AX29" s="14"/>
      <c r="AY29" s="14"/>
      <c r="AZ29" s="2"/>
      <c r="BA29" s="14"/>
      <c r="BB29" s="14"/>
      <c r="BC29" s="14"/>
      <c r="BD29" s="14">
        <f>+BD27+BD24</f>
        <v>0</v>
      </c>
      <c r="BE29" s="14">
        <f t="shared" ref="BE29:BJ29" si="21">+BE27+BE24</f>
        <v>0</v>
      </c>
      <c r="BF29" s="14">
        <f t="shared" si="21"/>
        <v>0</v>
      </c>
      <c r="BG29" s="14">
        <f t="shared" si="21"/>
        <v>0</v>
      </c>
      <c r="BH29" s="14">
        <f t="shared" si="21"/>
        <v>0</v>
      </c>
      <c r="BI29" s="14">
        <f t="shared" si="21"/>
        <v>0</v>
      </c>
      <c r="BJ29" s="14">
        <f t="shared" si="21"/>
        <v>0</v>
      </c>
      <c r="BK29" s="14">
        <f>+BK27+BK24</f>
        <v>0</v>
      </c>
      <c r="BL29" s="318"/>
      <c r="BM29" s="318"/>
      <c r="BN29" s="318"/>
      <c r="BO29" s="318"/>
      <c r="BP29" s="318"/>
      <c r="BQ29" s="318"/>
      <c r="BR29" s="318"/>
      <c r="BS29" s="318"/>
      <c r="BT29" s="318"/>
      <c r="BU29" s="318"/>
      <c r="BV29" s="318"/>
      <c r="BW29" s="318"/>
      <c r="BX29" s="318"/>
      <c r="BY29" s="318"/>
      <c r="BZ29" s="318"/>
      <c r="CA29" s="318"/>
      <c r="CB29" s="318"/>
      <c r="CC29" s="318"/>
      <c r="CD29" s="318"/>
      <c r="CE29" s="318"/>
      <c r="CF29" s="318"/>
      <c r="CG29" s="318"/>
      <c r="CH29" s="318"/>
      <c r="CI29" s="318"/>
      <c r="CJ29" s="2"/>
      <c r="CK29" s="2"/>
      <c r="CM29" s="1140">
        <v>0</v>
      </c>
      <c r="CN29" s="1140">
        <v>-7541911</v>
      </c>
      <c r="CP29" s="923">
        <f t="shared" si="3"/>
        <v>0</v>
      </c>
      <c r="CZ29" s="330"/>
    </row>
    <row r="30" spans="1:104" ht="15" customHeight="1" x14ac:dyDescent="0.25">
      <c r="A30" s="684">
        <f>MAX($A$6:A29)+1</f>
        <v>30</v>
      </c>
      <c r="B30" s="11" t="s">
        <v>40</v>
      </c>
      <c r="C30" s="11" t="str">
        <f>C24</f>
        <v>SoCNE</v>
      </c>
      <c r="D30" s="11"/>
      <c r="E30" s="13" t="s">
        <v>59</v>
      </c>
      <c r="F30" s="15"/>
      <c r="G30" s="26"/>
      <c r="H30" s="6"/>
      <c r="I30" s="6"/>
      <c r="J30" s="1257" t="s">
        <v>286</v>
      </c>
      <c r="K30" s="251">
        <f>SUMIF('alb SoCNE'!$A:$A,$J30,'alb SoCNE'!$C:$C)</f>
        <v>0</v>
      </c>
      <c r="L30" s="251">
        <f>SUMIF('alb SoCNE'!$A:$A,$J30,'alb SoCNE'!$F:$F)</f>
        <v>0</v>
      </c>
      <c r="M30" s="252"/>
      <c r="N30" s="273">
        <f>ROUND(SUM(O30:S30)+SUM(W30:AV30),0)</f>
        <v>0</v>
      </c>
      <c r="O30" s="12"/>
      <c r="P30" s="12"/>
      <c r="Q30" s="12"/>
      <c r="R30" s="12"/>
      <c r="S30" s="6">
        <f t="shared" si="1"/>
        <v>0</v>
      </c>
      <c r="T30" s="273">
        <f>ROUND(SUM(U30:Y30),0)</f>
        <v>0</v>
      </c>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X30" s="6"/>
      <c r="AY30" s="6">
        <f>ROUND(AX30/1000/Update!$B$31*Update!$B$27,0)</f>
        <v>0</v>
      </c>
      <c r="BA30" s="6"/>
      <c r="BB30" s="6">
        <f>ROUND(BA30/1000/Update!$B$31,0)</f>
        <v>0</v>
      </c>
      <c r="BC30" s="6"/>
      <c r="BD30" s="29">
        <f t="shared" si="4"/>
        <v>0</v>
      </c>
      <c r="BE30" s="317"/>
      <c r="BF30" s="317"/>
      <c r="BG30" s="317"/>
      <c r="BH30" s="317"/>
      <c r="BI30" s="317"/>
      <c r="BJ30" s="317"/>
      <c r="BK30" s="29">
        <f t="shared" si="2"/>
        <v>0</v>
      </c>
      <c r="BL30" s="317"/>
      <c r="BM30" s="317"/>
      <c r="BN30" s="317"/>
      <c r="BO30" s="317"/>
      <c r="BP30" s="317"/>
      <c r="BQ30" s="317"/>
      <c r="BR30" s="317"/>
      <c r="BS30" s="317"/>
      <c r="BT30" s="317"/>
      <c r="BU30" s="317"/>
      <c r="BV30" s="317"/>
      <c r="BW30" s="317"/>
      <c r="BX30" s="317"/>
      <c r="BY30" s="317"/>
      <c r="BZ30" s="317"/>
      <c r="CA30" s="317"/>
      <c r="CB30" s="317"/>
      <c r="CC30" s="317"/>
      <c r="CD30" s="317"/>
      <c r="CE30" s="317"/>
      <c r="CF30" s="317"/>
      <c r="CG30" s="317"/>
      <c r="CH30" s="317"/>
      <c r="CI30" s="317"/>
      <c r="CM30" s="1139">
        <v>0</v>
      </c>
      <c r="CN30" s="1139">
        <v>0</v>
      </c>
      <c r="CP30" s="923">
        <f t="shared" si="3"/>
        <v>0</v>
      </c>
      <c r="CZ30" s="330"/>
    </row>
    <row r="31" spans="1:104" ht="15" customHeight="1" x14ac:dyDescent="0.25">
      <c r="A31" s="701">
        <f>MAX($A$6:A30)+1</f>
        <v>31</v>
      </c>
      <c r="B31" s="18" t="s">
        <v>40</v>
      </c>
      <c r="C31" s="18" t="str">
        <f t="shared" ref="C31:C39" si="22">C30</f>
        <v>SoCNE</v>
      </c>
      <c r="D31" s="18"/>
      <c r="E31" s="257" t="s">
        <v>60</v>
      </c>
      <c r="F31" s="258"/>
      <c r="G31" s="259"/>
      <c r="H31" s="260" t="e">
        <v>#VALUE!</v>
      </c>
      <c r="I31" s="260" t="e">
        <v>#VALUE!</v>
      </c>
      <c r="J31" s="1259" t="s">
        <v>286</v>
      </c>
      <c r="K31" s="261">
        <f>SUMIF('alb SoCNE'!$A:$A,$J31,'alb SoCNE'!$C:$C)</f>
        <v>0</v>
      </c>
      <c r="L31" s="261">
        <f>SUMIF('alb SoCNE'!$A:$A,$J31,'alb SoCNE'!$F:$F)</f>
        <v>0</v>
      </c>
      <c r="M31" s="262"/>
      <c r="N31" s="14">
        <f>ROUND(SUM(O31:AU31)-T31,0)</f>
        <v>0</v>
      </c>
      <c r="O31" s="264"/>
      <c r="P31" s="264"/>
      <c r="Q31" s="264"/>
      <c r="R31" s="264"/>
      <c r="S31" s="260">
        <f t="shared" si="1"/>
        <v>0</v>
      </c>
      <c r="T31" s="14">
        <f>ROUND(SUM(U31:Y31),0)</f>
        <v>0</v>
      </c>
      <c r="U31" s="260">
        <f>ROUND(SUM(V31:Z31),0)</f>
        <v>0</v>
      </c>
      <c r="V31" s="260">
        <f>ROUND(SUM(W31:AA31),0)</f>
        <v>0</v>
      </c>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
      <c r="AX31" s="260"/>
      <c r="AY31" s="6">
        <f>ROUND(AX31/1000/Update!$B$31*Update!$B$27,0)</f>
        <v>0</v>
      </c>
      <c r="AZ31" s="2"/>
      <c r="BA31" s="260"/>
      <c r="BB31" s="6">
        <f>ROUND(BA31/1000/Update!$B$31,0)</f>
        <v>0</v>
      </c>
      <c r="BC31" s="6"/>
      <c r="BD31" s="260">
        <f t="shared" si="4"/>
        <v>0</v>
      </c>
      <c r="BE31" s="319"/>
      <c r="BF31" s="319"/>
      <c r="BG31" s="319"/>
      <c r="BH31" s="319"/>
      <c r="BI31" s="319"/>
      <c r="BJ31" s="319"/>
      <c r="BK31" s="260">
        <f t="shared" si="2"/>
        <v>0</v>
      </c>
      <c r="BL31" s="319"/>
      <c r="BM31" s="319"/>
      <c r="BN31" s="319"/>
      <c r="BO31" s="319"/>
      <c r="BP31" s="319"/>
      <c r="BQ31" s="319"/>
      <c r="BR31" s="319"/>
      <c r="BS31" s="319"/>
      <c r="BT31" s="319"/>
      <c r="BU31" s="319"/>
      <c r="BV31" s="319"/>
      <c r="BW31" s="319"/>
      <c r="BX31" s="319"/>
      <c r="BY31" s="319"/>
      <c r="BZ31" s="319"/>
      <c r="CA31" s="319"/>
      <c r="CB31" s="319"/>
      <c r="CC31" s="319"/>
      <c r="CD31" s="319"/>
      <c r="CE31" s="319"/>
      <c r="CF31" s="319"/>
      <c r="CG31" s="319"/>
      <c r="CH31" s="319"/>
      <c r="CI31" s="319"/>
      <c r="CJ31" s="2"/>
      <c r="CK31" s="2"/>
      <c r="CM31" s="1139">
        <v>0</v>
      </c>
      <c r="CN31" s="1139">
        <v>0</v>
      </c>
      <c r="CP31" s="923">
        <f t="shared" si="3"/>
        <v>0</v>
      </c>
      <c r="CZ31" s="330"/>
    </row>
    <row r="32" spans="1:104" ht="38.25" customHeight="1" x14ac:dyDescent="0.25">
      <c r="A32" s="684">
        <f>MAX($A$6:A31)+1</f>
        <v>32</v>
      </c>
      <c r="B32" s="11" t="s">
        <v>40</v>
      </c>
      <c r="C32" s="11" t="str">
        <f t="shared" si="22"/>
        <v>SoCNE</v>
      </c>
      <c r="D32" s="11" t="s">
        <v>1374</v>
      </c>
      <c r="E32" s="7" t="s">
        <v>311</v>
      </c>
      <c r="F32" s="15"/>
      <c r="G32" s="1254" t="s">
        <v>311</v>
      </c>
      <c r="H32" s="6" t="e">
        <v>#VALUE!</v>
      </c>
      <c r="I32" s="6" t="e">
        <v>#VALUE!</v>
      </c>
      <c r="J32" s="1257" t="s">
        <v>749</v>
      </c>
      <c r="K32" s="251">
        <f>SUMIF('alb SoCNE'!$A:$A,$J32,'alb SoCNE'!$C:$C)</f>
        <v>0</v>
      </c>
      <c r="L32" s="251">
        <f>SUMIF('alb SoCNE'!$A:$A,$J32,'alb SoCNE'!$F:$F)</f>
        <v>0</v>
      </c>
      <c r="M32" s="252"/>
      <c r="N32" s="273" t="e">
        <f>ROUND(SUM(O32:S32)+SUM(W32:AV32),0)</f>
        <v>#VALUE!</v>
      </c>
      <c r="O32" s="12"/>
      <c r="P32" s="12"/>
      <c r="Q32" s="12"/>
      <c r="R32" s="12"/>
      <c r="S32" s="6">
        <f t="shared" si="1"/>
        <v>0</v>
      </c>
      <c r="T32" s="273" t="e">
        <f>ROUND(SUM(U32:Y32),0)</f>
        <v>#VALUE!</v>
      </c>
      <c r="U32" s="6">
        <f>-SUM(BL32:BN32)</f>
        <v>0</v>
      </c>
      <c r="V32" s="6"/>
      <c r="W32" s="6" t="e">
        <f>-H32</f>
        <v>#VALUE!</v>
      </c>
      <c r="X32" s="6"/>
      <c r="Y32" s="6"/>
      <c r="Z32" s="6"/>
      <c r="AA32" s="6"/>
      <c r="AB32" s="6"/>
      <c r="AC32" s="6"/>
      <c r="AD32" s="6"/>
      <c r="AE32" s="6"/>
      <c r="AF32" s="6"/>
      <c r="AG32" s="6"/>
      <c r="AH32" s="6"/>
      <c r="AI32" s="6"/>
      <c r="AJ32" s="6"/>
      <c r="AK32" s="6"/>
      <c r="AL32" s="6"/>
      <c r="AM32" s="6"/>
      <c r="AN32" s="6"/>
      <c r="AO32" s="6"/>
      <c r="AP32" s="6"/>
      <c r="AQ32" s="6"/>
      <c r="AR32" s="6"/>
      <c r="AS32" s="6"/>
      <c r="AT32" s="6"/>
      <c r="AU32" s="6"/>
      <c r="AV32" s="6"/>
      <c r="AX32" s="6"/>
      <c r="AY32" s="6">
        <f>ROUND(AX32/1000/Update!$B$31*Update!$B$27,0)</f>
        <v>0</v>
      </c>
      <c r="BA32" s="6"/>
      <c r="BB32" s="6">
        <f>ROUND(BA32/1000/Update!$B$31,0)</f>
        <v>0</v>
      </c>
      <c r="BC32" s="6"/>
      <c r="BD32" s="1190">
        <f t="shared" si="4"/>
        <v>0</v>
      </c>
      <c r="BE32" s="1191"/>
      <c r="BF32" s="1191"/>
      <c r="BG32" s="1191"/>
      <c r="BH32" s="1191"/>
      <c r="BI32" s="1191"/>
      <c r="BJ32" s="1191"/>
      <c r="BK32" s="327">
        <f t="shared" si="2"/>
        <v>0</v>
      </c>
      <c r="BL32" s="317"/>
      <c r="BM32" s="317"/>
      <c r="BN32" s="317"/>
      <c r="BO32" s="317"/>
      <c r="BP32" s="317"/>
      <c r="BQ32" s="317"/>
      <c r="BR32" s="317"/>
      <c r="BS32" s="317"/>
      <c r="BT32" s="317"/>
      <c r="BU32" s="317"/>
      <c r="BV32" s="317"/>
      <c r="BW32" s="317"/>
      <c r="BX32" s="317"/>
      <c r="BY32" s="317"/>
      <c r="BZ32" s="317"/>
      <c r="CA32" s="317"/>
      <c r="CB32" s="317"/>
      <c r="CC32" s="317"/>
      <c r="CD32" s="317"/>
      <c r="CE32" s="317"/>
      <c r="CF32" s="317"/>
      <c r="CG32" s="317"/>
      <c r="CH32" s="317"/>
      <c r="CI32" s="317"/>
      <c r="CM32" s="1139">
        <v>0</v>
      </c>
      <c r="CN32" s="1139">
        <v>0</v>
      </c>
      <c r="CP32" s="923">
        <f t="shared" si="3"/>
        <v>0</v>
      </c>
      <c r="CZ32" s="330"/>
    </row>
    <row r="33" spans="1:104" ht="30" customHeight="1" x14ac:dyDescent="0.25">
      <c r="A33" s="684">
        <f>MAX($A$6:A32)+1</f>
        <v>33</v>
      </c>
      <c r="B33" s="11" t="s">
        <v>40</v>
      </c>
      <c r="C33" s="11" t="str">
        <f t="shared" si="22"/>
        <v>SoCNE</v>
      </c>
      <c r="D33" s="11" t="s">
        <v>1374</v>
      </c>
      <c r="E33" s="7" t="s">
        <v>312</v>
      </c>
      <c r="F33" s="15"/>
      <c r="G33" s="1254" t="s">
        <v>312</v>
      </c>
      <c r="H33" s="6" t="e">
        <v>#VALUE!</v>
      </c>
      <c r="I33" s="6" t="e">
        <v>#VALUE!</v>
      </c>
      <c r="J33" s="1257" t="s">
        <v>750</v>
      </c>
      <c r="K33" s="251">
        <f>SUMIF('alb SoCNE'!$A:$A,$J33,'alb SoCNE'!$C:$C)</f>
        <v>0</v>
      </c>
      <c r="L33" s="251">
        <f>SUMIF('alb SoCNE'!$A:$A,$J33,'alb SoCNE'!$F:$F)</f>
        <v>0</v>
      </c>
      <c r="M33" s="252"/>
      <c r="N33" s="273" t="e">
        <f>ROUND(SUM(O33:S33)+SUM(W33:AV33),0)</f>
        <v>#VALUE!</v>
      </c>
      <c r="O33" s="12"/>
      <c r="P33" s="12"/>
      <c r="Q33" s="12"/>
      <c r="R33" s="12"/>
      <c r="S33" s="6">
        <f t="shared" si="1"/>
        <v>0</v>
      </c>
      <c r="T33" s="273" t="e">
        <f>ROUND(SUM(U33:Y33),0)</f>
        <v>#VALUE!</v>
      </c>
      <c r="U33" s="6">
        <f>-SUM(BL33:BN33)</f>
        <v>0</v>
      </c>
      <c r="V33" s="6"/>
      <c r="W33" s="6" t="e">
        <f>-H33</f>
        <v>#VALUE!</v>
      </c>
      <c r="X33" s="6"/>
      <c r="Y33" s="6"/>
      <c r="Z33" s="6"/>
      <c r="AA33" s="6"/>
      <c r="AB33" s="6"/>
      <c r="AC33" s="6"/>
      <c r="AD33" s="6"/>
      <c r="AE33" s="6"/>
      <c r="AF33" s="6"/>
      <c r="AG33" s="6"/>
      <c r="AH33" s="6"/>
      <c r="AI33" s="6"/>
      <c r="AJ33" s="6"/>
      <c r="AK33" s="6"/>
      <c r="AL33" s="6"/>
      <c r="AM33" s="6"/>
      <c r="AN33" s="6"/>
      <c r="AO33" s="6"/>
      <c r="AP33" s="6"/>
      <c r="AQ33" s="6"/>
      <c r="AR33" s="6"/>
      <c r="AS33" s="6"/>
      <c r="AT33" s="6"/>
      <c r="AU33" s="6"/>
      <c r="AV33" s="6"/>
      <c r="AX33" s="6"/>
      <c r="AY33" s="6">
        <f>ROUND(AX33/1000/Update!$B$31*Update!$B$27,0)</f>
        <v>0</v>
      </c>
      <c r="BA33" s="6"/>
      <c r="BB33" s="6">
        <f>ROUND(BA33/1000/Update!$B$31,0)</f>
        <v>0</v>
      </c>
      <c r="BC33" s="6"/>
      <c r="BD33" s="1190">
        <f t="shared" si="4"/>
        <v>0</v>
      </c>
      <c r="BE33" s="1191"/>
      <c r="BF33" s="1191"/>
      <c r="BG33" s="1191"/>
      <c r="BH33" s="1191"/>
      <c r="BI33" s="1191"/>
      <c r="BJ33" s="1191"/>
      <c r="BK33" s="327">
        <f t="shared" si="2"/>
        <v>0</v>
      </c>
      <c r="BL33" s="317"/>
      <c r="BM33" s="317"/>
      <c r="BN33" s="317"/>
      <c r="BO33" s="317"/>
      <c r="BP33" s="317"/>
      <c r="BQ33" s="317"/>
      <c r="BR33" s="317"/>
      <c r="BS33" s="317"/>
      <c r="BT33" s="317"/>
      <c r="BU33" s="317"/>
      <c r="BV33" s="317"/>
      <c r="BW33" s="317"/>
      <c r="BX33" s="317"/>
      <c r="BY33" s="317"/>
      <c r="BZ33" s="317"/>
      <c r="CA33" s="317"/>
      <c r="CB33" s="317"/>
      <c r="CC33" s="317"/>
      <c r="CD33" s="317"/>
      <c r="CE33" s="317"/>
      <c r="CF33" s="317"/>
      <c r="CG33" s="317"/>
      <c r="CH33" s="317"/>
      <c r="CI33" s="317"/>
      <c r="CM33" s="1139">
        <v>0</v>
      </c>
      <c r="CN33" s="1139">
        <v>0</v>
      </c>
      <c r="CP33" s="923">
        <f t="shared" si="3"/>
        <v>0</v>
      </c>
      <c r="CZ33" s="330"/>
    </row>
    <row r="34" spans="1:104" ht="30" customHeight="1" x14ac:dyDescent="0.25">
      <c r="A34" s="684">
        <f>MAX($A$6:A33)+1</f>
        <v>34</v>
      </c>
      <c r="B34" s="11" t="s">
        <v>40</v>
      </c>
      <c r="C34" s="11" t="str">
        <f>C33</f>
        <v>SoCNE</v>
      </c>
      <c r="D34" s="11" t="s">
        <v>1210</v>
      </c>
      <c r="E34" s="7" t="s">
        <v>358</v>
      </c>
      <c r="F34" s="15"/>
      <c r="G34" s="1254"/>
      <c r="H34" s="6" t="e">
        <v>#VALUE!</v>
      </c>
      <c r="I34" s="6" t="e">
        <v>#VALUE!</v>
      </c>
      <c r="J34" s="1257" t="s">
        <v>808</v>
      </c>
      <c r="K34" s="251">
        <f>SUMIF('alb SoCNE'!$A:$A,$J34,'alb SoCNE'!$C:$C)</f>
        <v>0</v>
      </c>
      <c r="L34" s="251">
        <f>SUMIF('alb SoCNE'!$A:$A,$J34,'alb SoCNE'!$F:$F)</f>
        <v>0</v>
      </c>
      <c r="M34" s="252"/>
      <c r="N34" s="273" t="e">
        <f>ROUND(SUM(O34:S34)+SUM(W34:AV34),0)</f>
        <v>#VALUE!</v>
      </c>
      <c r="O34" s="12"/>
      <c r="P34" s="12"/>
      <c r="Q34" s="12"/>
      <c r="R34" s="12"/>
      <c r="S34" s="6">
        <f t="shared" si="1"/>
        <v>0</v>
      </c>
      <c r="T34" s="273" t="e">
        <f>ROUND(SUM(U34:Y34),0)</f>
        <v>#VALUE!</v>
      </c>
      <c r="U34" s="6">
        <f>-SUM(BL34:BN34)</f>
        <v>0</v>
      </c>
      <c r="V34" s="6"/>
      <c r="W34" s="6" t="e">
        <f>-H34</f>
        <v>#VALUE!</v>
      </c>
      <c r="X34" s="6"/>
      <c r="Y34" s="6"/>
      <c r="Z34" s="6"/>
      <c r="AA34" s="6"/>
      <c r="AB34" s="6"/>
      <c r="AC34" s="6"/>
      <c r="AD34" s="6"/>
      <c r="AE34" s="6"/>
      <c r="AF34" s="6"/>
      <c r="AG34" s="6"/>
      <c r="AH34" s="6"/>
      <c r="AI34" s="6"/>
      <c r="AJ34" s="6"/>
      <c r="AK34" s="6"/>
      <c r="AL34" s="6"/>
      <c r="AM34" s="6"/>
      <c r="AN34" s="6"/>
      <c r="AO34" s="6"/>
      <c r="AP34" s="6"/>
      <c r="AQ34" s="6"/>
      <c r="AR34" s="6"/>
      <c r="AS34" s="6"/>
      <c r="AT34" s="6"/>
      <c r="AU34" s="6"/>
      <c r="AV34" s="6"/>
      <c r="AX34" s="6"/>
      <c r="AY34" s="6">
        <f>ROUND(AX34/1000/Update!$B$31*Update!$B$27,0)</f>
        <v>0</v>
      </c>
      <c r="BA34" s="6"/>
      <c r="BB34" s="6">
        <f>ROUND(BA34/1000/Update!$B$31,0)</f>
        <v>0</v>
      </c>
      <c r="BC34" s="6"/>
      <c r="BD34" s="1190">
        <f t="shared" si="4"/>
        <v>0</v>
      </c>
      <c r="BE34" s="1191"/>
      <c r="BF34" s="1191"/>
      <c r="BG34" s="1191"/>
      <c r="BH34" s="1191"/>
      <c r="BI34" s="1191"/>
      <c r="BJ34" s="1191"/>
      <c r="BK34" s="327">
        <f t="shared" si="2"/>
        <v>0</v>
      </c>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M34" s="1139">
        <v>0</v>
      </c>
      <c r="CN34" s="1139">
        <v>0</v>
      </c>
      <c r="CP34" s="923">
        <f t="shared" si="3"/>
        <v>0</v>
      </c>
      <c r="CZ34" s="330"/>
    </row>
    <row r="35" spans="1:104" ht="15" customHeight="1" x14ac:dyDescent="0.25">
      <c r="A35" s="701">
        <f>MAX($A$6:A34)+1</f>
        <v>35</v>
      </c>
      <c r="B35" s="18" t="s">
        <v>40</v>
      </c>
      <c r="C35" s="18" t="str">
        <f t="shared" si="22"/>
        <v>SoCNE</v>
      </c>
      <c r="D35" s="18"/>
      <c r="E35" s="704" t="s">
        <v>468</v>
      </c>
      <c r="F35" s="258"/>
      <c r="G35" s="259"/>
      <c r="H35" s="260" t="e">
        <v>#VALUE!</v>
      </c>
      <c r="I35" s="260" t="e">
        <v>#VALUE!</v>
      </c>
      <c r="J35" s="1258" t="s">
        <v>286</v>
      </c>
      <c r="K35" s="261">
        <f>SUMIF('alb SoCNE'!$A:$A,$J35,'alb SoCNE'!$C:$C)</f>
        <v>0</v>
      </c>
      <c r="L35" s="261">
        <f>SUMIF('alb SoCNE'!$A:$A,$J35,'alb SoCNE'!$F:$F)</f>
        <v>0</v>
      </c>
      <c r="M35" s="262"/>
      <c r="N35" s="256">
        <v>0</v>
      </c>
      <c r="O35" s="264">
        <v>0</v>
      </c>
      <c r="P35" s="264">
        <v>0</v>
      </c>
      <c r="Q35" s="264">
        <v>0</v>
      </c>
      <c r="R35" s="264">
        <v>0</v>
      </c>
      <c r="S35" s="260">
        <f t="shared" si="1"/>
        <v>0</v>
      </c>
      <c r="T35" s="256"/>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
      <c r="AX35" s="260"/>
      <c r="AY35" s="6"/>
      <c r="AZ35" s="2"/>
      <c r="BA35" s="260"/>
      <c r="BB35" s="6"/>
      <c r="BC35" s="6"/>
      <c r="BD35" s="267">
        <f t="shared" si="4"/>
        <v>0</v>
      </c>
      <c r="BE35" s="319"/>
      <c r="BF35" s="319"/>
      <c r="BG35" s="319"/>
      <c r="BH35" s="319"/>
      <c r="BI35" s="319"/>
      <c r="BJ35" s="319"/>
      <c r="BK35" s="267">
        <f t="shared" si="2"/>
        <v>0</v>
      </c>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2"/>
      <c r="CK35" s="2"/>
      <c r="CM35" s="1139">
        <v>0</v>
      </c>
      <c r="CN35" s="1139">
        <v>0</v>
      </c>
      <c r="CP35" s="923">
        <f t="shared" si="3"/>
        <v>0</v>
      </c>
      <c r="CZ35" s="330"/>
    </row>
    <row r="36" spans="1:104" ht="30" customHeight="1" x14ac:dyDescent="0.25">
      <c r="A36" s="684">
        <f>MAX($A$6:A35)+1</f>
        <v>36</v>
      </c>
      <c r="B36" s="11" t="s">
        <v>40</v>
      </c>
      <c r="C36" s="11" t="str">
        <f>C34</f>
        <v>SoCNE</v>
      </c>
      <c r="D36" s="11" t="s">
        <v>1374</v>
      </c>
      <c r="E36" s="7" t="s">
        <v>313</v>
      </c>
      <c r="F36" s="15"/>
      <c r="G36" s="1254" t="s">
        <v>313</v>
      </c>
      <c r="H36" s="6" t="e">
        <v>#VALUE!</v>
      </c>
      <c r="I36" s="6" t="e">
        <v>#VALUE!</v>
      </c>
      <c r="J36" s="1257" t="s">
        <v>852</v>
      </c>
      <c r="K36" s="251">
        <f>SUMIF('alb SoCNE'!$A:$A,$J36,'alb SoCNE'!$C:$C)</f>
        <v>0</v>
      </c>
      <c r="L36" s="251">
        <f>SUMIF('alb SoCNE'!$A:$A,$J36,'alb SoCNE'!$F:$F)</f>
        <v>0</v>
      </c>
      <c r="M36" s="252"/>
      <c r="N36" s="273" t="e">
        <f>ROUND(SUM(O36:S36)+SUM(W36:AV36),0)</f>
        <v>#VALUE!</v>
      </c>
      <c r="O36" s="12"/>
      <c r="P36" s="12"/>
      <c r="Q36" s="12"/>
      <c r="R36" s="12"/>
      <c r="S36" s="6">
        <f t="shared" si="1"/>
        <v>0</v>
      </c>
      <c r="T36" s="273" t="e">
        <f>ROUND(SUM(U36:Y36),0)</f>
        <v>#VALUE!</v>
      </c>
      <c r="U36" s="6">
        <f>-SUM(BL36:BN36)</f>
        <v>0</v>
      </c>
      <c r="V36" s="6"/>
      <c r="W36" s="6" t="e">
        <f>-H36</f>
        <v>#VALUE!</v>
      </c>
      <c r="X36" s="6"/>
      <c r="Y36" s="6"/>
      <c r="Z36" s="6"/>
      <c r="AA36" s="6"/>
      <c r="AB36" s="6"/>
      <c r="AC36" s="6"/>
      <c r="AD36" s="6"/>
      <c r="AE36" s="6"/>
      <c r="AF36" s="6"/>
      <c r="AG36" s="6"/>
      <c r="AH36" s="6"/>
      <c r="AI36" s="6"/>
      <c r="AJ36" s="6"/>
      <c r="AK36" s="6"/>
      <c r="AL36" s="6"/>
      <c r="AM36" s="6"/>
      <c r="AN36" s="6"/>
      <c r="AO36" s="6"/>
      <c r="AP36" s="6"/>
      <c r="AQ36" s="6"/>
      <c r="AR36" s="6"/>
      <c r="AS36" s="6"/>
      <c r="AT36" s="6"/>
      <c r="AU36" s="6"/>
      <c r="AV36" s="6"/>
      <c r="AX36" s="6"/>
      <c r="AY36" s="6"/>
      <c r="BA36" s="6"/>
      <c r="BB36" s="6"/>
      <c r="BC36" s="6"/>
      <c r="BD36" s="1190">
        <f t="shared" si="4"/>
        <v>0</v>
      </c>
      <c r="BE36" s="1191"/>
      <c r="BF36" s="1191"/>
      <c r="BG36" s="1191"/>
      <c r="BH36" s="1191"/>
      <c r="BI36" s="1191"/>
      <c r="BJ36" s="1191"/>
      <c r="BK36" s="327">
        <f t="shared" si="2"/>
        <v>0</v>
      </c>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7"/>
      <c r="CM36" s="1139">
        <v>-1</v>
      </c>
      <c r="CN36" s="1139">
        <v>0</v>
      </c>
      <c r="CP36" s="923">
        <f t="shared" si="3"/>
        <v>-1</v>
      </c>
      <c r="CZ36" s="330"/>
    </row>
    <row r="37" spans="1:104" ht="30" customHeight="1" x14ac:dyDescent="0.25">
      <c r="A37" s="684">
        <f>MAX($A$6:A36)+1</f>
        <v>37</v>
      </c>
      <c r="B37" s="11" t="s">
        <v>40</v>
      </c>
      <c r="C37" s="11" t="str">
        <f>C35</f>
        <v>SoCNE</v>
      </c>
      <c r="D37" s="11"/>
      <c r="E37" s="7" t="s">
        <v>2048</v>
      </c>
      <c r="F37" s="15"/>
      <c r="G37" s="1254"/>
      <c r="H37" s="6" t="e">
        <v>#VALUE!</v>
      </c>
      <c r="I37" s="6" t="e">
        <v>#VALUE!</v>
      </c>
      <c r="J37" s="1257" t="s">
        <v>937</v>
      </c>
      <c r="K37" s="251">
        <f>SUMIF('alb SoCNE'!$A:$A,$J37,'alb SoCNE'!$C:$C)</f>
        <v>0</v>
      </c>
      <c r="L37" s="251">
        <f>SUMIF('alb SoCNE'!$A:$A,$J37,'alb SoCNE'!$F:$F)</f>
        <v>0</v>
      </c>
      <c r="M37" s="252"/>
      <c r="N37" s="273" t="e">
        <f>ROUND(SUM(O37:S37)+SUM(W37:AV37),0)</f>
        <v>#VALUE!</v>
      </c>
      <c r="O37" s="12"/>
      <c r="P37" s="12"/>
      <c r="Q37" s="12"/>
      <c r="R37" s="12"/>
      <c r="S37" s="6">
        <f t="shared" si="1"/>
        <v>0</v>
      </c>
      <c r="T37" s="273" t="e">
        <f>ROUND(SUM(U37:Y37),0)</f>
        <v>#VALUE!</v>
      </c>
      <c r="U37" s="6">
        <f>-SUM(BL37:BN37)</f>
        <v>0</v>
      </c>
      <c r="V37" s="6"/>
      <c r="W37" s="6" t="e">
        <f>-H37</f>
        <v>#VALUE!</v>
      </c>
      <c r="X37" s="6"/>
      <c r="Y37" s="6"/>
      <c r="Z37" s="6"/>
      <c r="AA37" s="6"/>
      <c r="AB37" s="6"/>
      <c r="AC37" s="6"/>
      <c r="AD37" s="6"/>
      <c r="AE37" s="6"/>
      <c r="AF37" s="6"/>
      <c r="AG37" s="6"/>
      <c r="AH37" s="6"/>
      <c r="AI37" s="6"/>
      <c r="AJ37" s="6"/>
      <c r="AK37" s="6"/>
      <c r="AL37" s="6"/>
      <c r="AM37" s="6"/>
      <c r="AN37" s="6"/>
      <c r="AO37" s="6"/>
      <c r="AP37" s="6"/>
      <c r="AQ37" s="6"/>
      <c r="AR37" s="6"/>
      <c r="AS37" s="6"/>
      <c r="AT37" s="6"/>
      <c r="AU37" s="6"/>
      <c r="AV37" s="6"/>
      <c r="AX37" s="6"/>
      <c r="AY37" s="6"/>
      <c r="BA37" s="6"/>
      <c r="BB37" s="6"/>
      <c r="BC37" s="6"/>
      <c r="BD37" s="1190">
        <f t="shared" si="4"/>
        <v>0</v>
      </c>
      <c r="BE37" s="1191"/>
      <c r="BF37" s="1191"/>
      <c r="BG37" s="1191"/>
      <c r="BH37" s="1191"/>
      <c r="BI37" s="1191"/>
      <c r="BJ37" s="1191"/>
      <c r="BK37" s="327">
        <f t="shared" si="2"/>
        <v>0</v>
      </c>
      <c r="BL37" s="317"/>
      <c r="BM37" s="317"/>
      <c r="BN37" s="317"/>
      <c r="BO37" s="317"/>
      <c r="BP37" s="317"/>
      <c r="BQ37" s="317"/>
      <c r="BR37" s="317"/>
      <c r="BS37" s="317"/>
      <c r="BT37" s="317"/>
      <c r="BU37" s="317"/>
      <c r="BV37" s="317"/>
      <c r="BW37" s="317"/>
      <c r="BX37" s="317"/>
      <c r="BY37" s="317"/>
      <c r="BZ37" s="317"/>
      <c r="CA37" s="317"/>
      <c r="CB37" s="317"/>
      <c r="CC37" s="317"/>
      <c r="CD37" s="317"/>
      <c r="CE37" s="317"/>
      <c r="CF37" s="317"/>
      <c r="CG37" s="317"/>
      <c r="CH37" s="317"/>
      <c r="CI37" s="317"/>
      <c r="CM37" s="1139">
        <v>0</v>
      </c>
      <c r="CN37" s="1139">
        <v>0</v>
      </c>
      <c r="CP37" s="923">
        <f t="shared" si="3"/>
        <v>0</v>
      </c>
      <c r="CZ37" s="330"/>
    </row>
    <row r="38" spans="1:104" ht="30" customHeight="1" x14ac:dyDescent="0.25">
      <c r="A38" s="684">
        <f>MAX($A$6:A37)+1</f>
        <v>38</v>
      </c>
      <c r="B38" s="11" t="s">
        <v>40</v>
      </c>
      <c r="C38" s="11" t="str">
        <f>C37</f>
        <v>SoCNE</v>
      </c>
      <c r="D38" s="11" t="s">
        <v>1374</v>
      </c>
      <c r="E38" s="7" t="s">
        <v>751</v>
      </c>
      <c r="F38" s="15"/>
      <c r="G38" s="1254"/>
      <c r="H38" s="6" t="e">
        <v>#VALUE!</v>
      </c>
      <c r="I38" s="6" t="e">
        <v>#VALUE!</v>
      </c>
      <c r="J38" s="1257" t="s">
        <v>751</v>
      </c>
      <c r="K38" s="251">
        <f>SUMIF('alb SoCNE'!$A:$A,$J38,'alb SoCNE'!$C:$C)</f>
        <v>0</v>
      </c>
      <c r="L38" s="251">
        <f>SUMIF('alb SoCNE'!$A:$A,$J38,'alb SoCNE'!$F:$F)</f>
        <v>0</v>
      </c>
      <c r="M38" s="252"/>
      <c r="N38" s="273" t="e">
        <f>ROUND(SUM(O38:S38)+SUM(W38:AV38),0)</f>
        <v>#VALUE!</v>
      </c>
      <c r="O38" s="12"/>
      <c r="P38" s="12"/>
      <c r="Q38" s="12"/>
      <c r="R38" s="12"/>
      <c r="S38" s="6">
        <f t="shared" si="1"/>
        <v>0</v>
      </c>
      <c r="T38" s="273" t="e">
        <f>ROUND(SUM(U38:Y38),0)</f>
        <v>#VALUE!</v>
      </c>
      <c r="U38" s="6">
        <f>-SUM(BL38:BN38)</f>
        <v>0</v>
      </c>
      <c r="V38" s="6"/>
      <c r="W38" s="6" t="e">
        <f>-H38</f>
        <v>#VALUE!</v>
      </c>
      <c r="X38" s="6"/>
      <c r="Y38" s="6"/>
      <c r="Z38" s="6"/>
      <c r="AA38" s="6"/>
      <c r="AB38" s="6"/>
      <c r="AC38" s="6"/>
      <c r="AD38" s="6"/>
      <c r="AE38" s="6"/>
      <c r="AF38" s="6"/>
      <c r="AG38" s="6"/>
      <c r="AH38" s="6"/>
      <c r="AI38" s="6"/>
      <c r="AJ38" s="6"/>
      <c r="AK38" s="6"/>
      <c r="AL38" s="6"/>
      <c r="AM38" s="6"/>
      <c r="AN38" s="6"/>
      <c r="AO38" s="6"/>
      <c r="AP38" s="6"/>
      <c r="AQ38" s="6"/>
      <c r="AR38" s="6"/>
      <c r="AS38" s="6"/>
      <c r="AT38" s="6"/>
      <c r="AU38" s="6"/>
      <c r="AV38" s="6"/>
      <c r="AX38" s="6"/>
      <c r="AY38" s="6">
        <f>ROUND(AX38/1000/Update!$B$31*Update!$B$27,0)</f>
        <v>0</v>
      </c>
      <c r="BA38" s="6"/>
      <c r="BB38" s="6">
        <f>ROUND(BA38/1000/Update!$B$31,0)</f>
        <v>0</v>
      </c>
      <c r="BC38" s="6"/>
      <c r="BD38" s="1190">
        <f t="shared" si="4"/>
        <v>0</v>
      </c>
      <c r="BE38" s="1191"/>
      <c r="BF38" s="1191"/>
      <c r="BG38" s="1191"/>
      <c r="BH38" s="1191"/>
      <c r="BI38" s="1191"/>
      <c r="BJ38" s="1191"/>
      <c r="BK38" s="327">
        <f t="shared" si="2"/>
        <v>0</v>
      </c>
      <c r="BL38" s="317"/>
      <c r="BM38" s="317"/>
      <c r="BN38" s="317"/>
      <c r="BO38" s="317"/>
      <c r="BP38" s="317"/>
      <c r="BQ38" s="317"/>
      <c r="BR38" s="317"/>
      <c r="BS38" s="317"/>
      <c r="BT38" s="317"/>
      <c r="BU38" s="317"/>
      <c r="BV38" s="317"/>
      <c r="BW38" s="317"/>
      <c r="BX38" s="317"/>
      <c r="BY38" s="317"/>
      <c r="BZ38" s="317"/>
      <c r="CA38" s="317"/>
      <c r="CB38" s="317"/>
      <c r="CC38" s="317"/>
      <c r="CD38" s="317"/>
      <c r="CE38" s="317"/>
      <c r="CF38" s="317"/>
      <c r="CG38" s="317"/>
      <c r="CH38" s="317"/>
      <c r="CI38" s="317"/>
      <c r="CM38" s="1139">
        <v>0</v>
      </c>
      <c r="CN38" s="1139">
        <v>0</v>
      </c>
      <c r="CP38" s="923">
        <f t="shared" si="3"/>
        <v>0</v>
      </c>
      <c r="CZ38" s="330"/>
    </row>
    <row r="39" spans="1:104" ht="15" customHeight="1" x14ac:dyDescent="0.25">
      <c r="A39" s="701">
        <f>MAX($A$6:A38)+1</f>
        <v>39</v>
      </c>
      <c r="B39" s="18" t="s">
        <v>40</v>
      </c>
      <c r="C39" s="18" t="str">
        <f t="shared" si="22"/>
        <v>SoCNE</v>
      </c>
      <c r="D39" s="18"/>
      <c r="E39" s="17" t="s">
        <v>61</v>
      </c>
      <c r="F39" s="14"/>
      <c r="G39" s="1275"/>
      <c r="H39" s="256" t="e">
        <f>SUM(H29:H38)</f>
        <v>#VALUE!</v>
      </c>
      <c r="I39" s="256" t="e">
        <f>SUM(I29:I38)</f>
        <v>#VALUE!</v>
      </c>
      <c r="J39" s="1258" t="s">
        <v>286</v>
      </c>
      <c r="K39" s="256">
        <f>SUM(K29:K38)</f>
        <v>0</v>
      </c>
      <c r="L39" s="256">
        <f>SUM(L29:L38)</f>
        <v>0</v>
      </c>
      <c r="M39" s="14"/>
      <c r="N39" s="256" t="e">
        <f>SUM(N29:N38)</f>
        <v>#VALUE!</v>
      </c>
      <c r="O39" s="14">
        <f>SUM(O24:O38)</f>
        <v>0</v>
      </c>
      <c r="P39" s="14"/>
      <c r="Q39" s="14">
        <f>SUM(Q24:Q38)</f>
        <v>0</v>
      </c>
      <c r="R39" s="14"/>
      <c r="S39" s="14">
        <f>-IF(ISNUMBER(BD39),BD39,0)</f>
        <v>0</v>
      </c>
      <c r="T39" s="256" t="e">
        <f>SUM(T29:T38)</f>
        <v>#VALUE!</v>
      </c>
      <c r="U39" s="256">
        <f t="shared" ref="U39:V39" si="23">SUM(U29:U38)</f>
        <v>0</v>
      </c>
      <c r="V39" s="256">
        <f t="shared" si="23"/>
        <v>0</v>
      </c>
      <c r="W39" s="256" t="e">
        <f>SUM(W29:W38)</f>
        <v>#VALUE!</v>
      </c>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
      <c r="AX39" s="14">
        <f>SUM(AX24:AX38)</f>
        <v>0</v>
      </c>
      <c r="AY39" s="14">
        <f>ROUND(AX39/1000/Update!$B$31*Update!$B$27,0)</f>
        <v>0</v>
      </c>
      <c r="AZ39" s="2"/>
      <c r="BA39" s="14">
        <f>SUM(BA24:BA38)</f>
        <v>0</v>
      </c>
      <c r="BB39" s="14">
        <f>ROUND(BA39/1000/Update!$B$31,0)</f>
        <v>0</v>
      </c>
      <c r="BC39" s="14"/>
      <c r="BD39" s="14">
        <f>ROUND(SUM(BE39:BK39),0)</f>
        <v>0</v>
      </c>
      <c r="BE39" s="318">
        <f t="shared" ref="BE39:BJ39" si="24">SUM(BE29:BE38)</f>
        <v>0</v>
      </c>
      <c r="BF39" s="318">
        <f t="shared" si="24"/>
        <v>0</v>
      </c>
      <c r="BG39" s="318">
        <f t="shared" si="24"/>
        <v>0</v>
      </c>
      <c r="BH39" s="318">
        <f t="shared" si="24"/>
        <v>0</v>
      </c>
      <c r="BI39" s="318">
        <f t="shared" si="24"/>
        <v>0</v>
      </c>
      <c r="BJ39" s="318">
        <f t="shared" si="24"/>
        <v>0</v>
      </c>
      <c r="BK39" s="14">
        <f>ROUND(SUM(BO39:CI39),0)</f>
        <v>0</v>
      </c>
      <c r="BL39" s="318"/>
      <c r="BM39" s="318"/>
      <c r="BN39" s="318"/>
      <c r="BO39" s="318"/>
      <c r="BP39" s="318"/>
      <c r="BQ39" s="318"/>
      <c r="BR39" s="318"/>
      <c r="BS39" s="318"/>
      <c r="BT39" s="318"/>
      <c r="BU39" s="318"/>
      <c r="BV39" s="318"/>
      <c r="BW39" s="318"/>
      <c r="BX39" s="318"/>
      <c r="BY39" s="318"/>
      <c r="BZ39" s="318"/>
      <c r="CA39" s="318"/>
      <c r="CB39" s="318"/>
      <c r="CC39" s="318"/>
      <c r="CD39" s="318"/>
      <c r="CE39" s="318"/>
      <c r="CF39" s="318"/>
      <c r="CG39" s="318"/>
      <c r="CH39" s="318"/>
      <c r="CI39" s="318"/>
      <c r="CJ39" s="2"/>
      <c r="CK39" s="2"/>
      <c r="CM39" s="1140">
        <v>-1</v>
      </c>
      <c r="CN39" s="1140">
        <v>-7541911</v>
      </c>
      <c r="CP39" s="923">
        <f t="shared" si="3"/>
        <v>-1</v>
      </c>
      <c r="CZ39" s="330"/>
    </row>
    <row r="40" spans="1:104" ht="15" customHeight="1" x14ac:dyDescent="0.25">
      <c r="A40" s="684">
        <f>MAX($A$6:A39)+1</f>
        <v>40</v>
      </c>
      <c r="B40" s="11" t="s">
        <v>40</v>
      </c>
      <c r="C40" s="11" t="s">
        <v>40</v>
      </c>
      <c r="D40" s="11"/>
      <c r="E40" s="7" t="s">
        <v>1367</v>
      </c>
      <c r="F40" s="15"/>
      <c r="G40" s="1254" t="s">
        <v>286</v>
      </c>
      <c r="H40" s="6" t="e">
        <v>#VALUE!</v>
      </c>
      <c r="I40" s="6" t="e">
        <v>#VALUE!</v>
      </c>
      <c r="J40" s="1257" t="s">
        <v>1815</v>
      </c>
      <c r="K40" s="251">
        <f>SUMIF('alb SoCNE'!$A:$A,$J40,'alb SoCNE'!$C:$C)</f>
        <v>0</v>
      </c>
      <c r="L40" s="251">
        <f>SUMIF('alb SoCNE'!$A:$A,$J40,'alb SoCNE'!$F:$F)</f>
        <v>0</v>
      </c>
      <c r="M40" s="252"/>
      <c r="N40" s="273">
        <f>ROUND(SUM(O40:AU40)-T40,0)</f>
        <v>0</v>
      </c>
      <c r="O40" s="12"/>
      <c r="P40" s="12"/>
      <c r="Q40" s="12"/>
      <c r="R40" s="12"/>
      <c r="S40" s="6">
        <f t="shared" si="1"/>
        <v>0</v>
      </c>
      <c r="T40" s="273">
        <f>ROUND(SUM(U40:Y40),0)</f>
        <v>0</v>
      </c>
      <c r="U40" s="6"/>
      <c r="V40" s="6"/>
      <c r="W40" s="6">
        <v>0</v>
      </c>
      <c r="X40" s="6"/>
      <c r="Y40" s="6"/>
      <c r="Z40" s="6"/>
      <c r="AA40" s="6"/>
      <c r="AB40" s="6"/>
      <c r="AC40" s="6"/>
      <c r="AD40" s="6"/>
      <c r="AE40" s="6"/>
      <c r="AF40" s="6"/>
      <c r="AG40" s="6"/>
      <c r="AH40" s="6"/>
      <c r="AI40" s="6"/>
      <c r="AJ40" s="6"/>
      <c r="AK40" s="6"/>
      <c r="AL40" s="6"/>
      <c r="AM40" s="6"/>
      <c r="AN40" s="6"/>
      <c r="AO40" s="6"/>
      <c r="AP40" s="6"/>
      <c r="AQ40" s="6"/>
      <c r="AR40" s="6"/>
      <c r="AS40" s="6"/>
      <c r="AT40" s="6"/>
      <c r="AU40" s="6"/>
      <c r="AV40" s="6"/>
      <c r="AX40" s="6"/>
      <c r="AY40" s="6">
        <f>ROUND(AX40/1000/Update!$B$31*Update!$B$27,0)</f>
        <v>0</v>
      </c>
      <c r="BA40" s="6"/>
      <c r="BB40" s="6">
        <f>ROUND(BA40/1000/Update!$B$31,0)</f>
        <v>0</v>
      </c>
      <c r="BC40" s="6"/>
      <c r="BD40" s="29">
        <f t="shared" si="4"/>
        <v>0</v>
      </c>
      <c r="BE40" s="317"/>
      <c r="BF40" s="317"/>
      <c r="BG40" s="317"/>
      <c r="BH40" s="317"/>
      <c r="BI40" s="317"/>
      <c r="BJ40" s="317"/>
      <c r="BK40" s="327">
        <f t="shared" si="2"/>
        <v>0</v>
      </c>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M40" s="1139">
        <v>0</v>
      </c>
      <c r="CN40" s="1139">
        <v>0</v>
      </c>
      <c r="CP40" s="923">
        <f t="shared" si="3"/>
        <v>0</v>
      </c>
      <c r="CZ40" s="330"/>
    </row>
    <row r="41" spans="1:104" ht="18.75" customHeight="1" x14ac:dyDescent="0.25">
      <c r="A41" s="694">
        <f>MAX($A$6:A40)+1</f>
        <v>41</v>
      </c>
      <c r="B41" s="696" t="s">
        <v>41</v>
      </c>
      <c r="C41" s="696" t="s">
        <v>41</v>
      </c>
      <c r="D41" s="695"/>
      <c r="E41" s="696" t="str">
        <f>B41&amp;" "&amp;C41</f>
        <v>SFP SFP</v>
      </c>
      <c r="F41" s="697"/>
      <c r="G41" s="697"/>
      <c r="H41" s="695"/>
      <c r="I41" s="695"/>
      <c r="J41" s="1260" t="s">
        <v>286</v>
      </c>
      <c r="K41" s="699">
        <f>SUMIF('alb SFP'!$A:$A,$J41,'alb SFP'!$C:$C)</f>
        <v>0</v>
      </c>
      <c r="L41" s="699">
        <f>SUMIF('alb SFP'!$A:$A,$J41,'alb SFP'!$F:$F)</f>
        <v>0</v>
      </c>
      <c r="M41" s="695"/>
      <c r="N41" s="713">
        <f>ROUND(SUM(O41:AU41)-T41,0)</f>
        <v>0</v>
      </c>
      <c r="O41" s="695"/>
      <c r="P41" s="695"/>
      <c r="Q41" s="695"/>
      <c r="R41" s="695"/>
      <c r="S41" s="695">
        <f t="shared" si="1"/>
        <v>0</v>
      </c>
      <c r="T41" s="713">
        <f>ROUND(SUM(U41:Y41),0)</f>
        <v>0</v>
      </c>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700"/>
      <c r="AX41" s="700"/>
      <c r="AY41" s="700">
        <f>ROUND(AX41/1000/Update!$B$31*Update!$B$27,0)</f>
        <v>0</v>
      </c>
      <c r="AZ41" s="700"/>
      <c r="BA41" s="700"/>
      <c r="BB41" s="700">
        <f>ROUND(BA41/1000/Update!$B$31,0)</f>
        <v>0</v>
      </c>
      <c r="BC41" s="700"/>
      <c r="BD41" s="721">
        <f t="shared" si="4"/>
        <v>0</v>
      </c>
      <c r="BE41" s="700"/>
      <c r="BF41" s="700"/>
      <c r="BG41" s="700"/>
      <c r="BH41" s="700"/>
      <c r="BI41" s="700"/>
      <c r="BJ41" s="700"/>
      <c r="BK41" s="721">
        <f t="shared" si="2"/>
        <v>0</v>
      </c>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M41" s="700">
        <v>0</v>
      </c>
      <c r="CN41" s="700">
        <v>0</v>
      </c>
      <c r="CP41" s="923">
        <f t="shared" si="3"/>
        <v>0</v>
      </c>
      <c r="CZ41" s="330"/>
    </row>
    <row r="42" spans="1:104" ht="15" customHeight="1" x14ac:dyDescent="0.25">
      <c r="A42" s="684">
        <f>MAX($A$6:A41)+1</f>
        <v>42</v>
      </c>
      <c r="B42" s="11" t="s">
        <v>41</v>
      </c>
      <c r="C42" s="11" t="str">
        <f>$C$41</f>
        <v>SFP</v>
      </c>
      <c r="D42" s="11"/>
      <c r="E42" s="13" t="s">
        <v>67</v>
      </c>
      <c r="F42" s="15"/>
      <c r="G42" s="26"/>
      <c r="H42" s="6"/>
      <c r="I42" s="6"/>
      <c r="J42" s="1257" t="s">
        <v>286</v>
      </c>
      <c r="K42" s="251">
        <f>SUMIF('alb SFP'!$A:$A,$J42,'alb SFP'!$C:$C)</f>
        <v>0</v>
      </c>
      <c r="L42" s="251">
        <f>SUMIF('alb SFP'!$A:$A,$J42,'alb SFP'!$F:$F)</f>
        <v>0</v>
      </c>
      <c r="M42" s="252"/>
      <c r="N42" s="273"/>
      <c r="O42" s="12"/>
      <c r="P42" s="12"/>
      <c r="Q42" s="12"/>
      <c r="R42" s="12"/>
      <c r="S42" s="6">
        <f t="shared" si="1"/>
        <v>0</v>
      </c>
      <c r="T42" s="273">
        <f>ROUND(SUM(V42:Y42)-U42,0)</f>
        <v>0</v>
      </c>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X42" s="6"/>
      <c r="AY42" s="6">
        <f>ROUND(AX42/1000/Update!$B$31*Update!$B$27,0)</f>
        <v>0</v>
      </c>
      <c r="BA42" s="6"/>
      <c r="BB42" s="6">
        <f>ROUND(BA42/1000/Update!$B$31,0)</f>
        <v>0</v>
      </c>
      <c r="BC42" s="6"/>
      <c r="BD42" s="29">
        <f t="shared" si="4"/>
        <v>0</v>
      </c>
      <c r="BE42" s="317"/>
      <c r="BF42" s="317"/>
      <c r="BG42" s="317"/>
      <c r="BH42" s="317"/>
      <c r="BI42" s="317"/>
      <c r="BJ42" s="317"/>
      <c r="BK42" s="327">
        <f t="shared" si="2"/>
        <v>0</v>
      </c>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M42" s="317">
        <v>0</v>
      </c>
      <c r="CN42" s="317">
        <v>0</v>
      </c>
      <c r="CP42" s="923">
        <f t="shared" si="3"/>
        <v>0</v>
      </c>
      <c r="CZ42" s="330"/>
    </row>
    <row r="43" spans="1:104" ht="15" customHeight="1" x14ac:dyDescent="0.25">
      <c r="A43" s="684">
        <f>MAX($A$6:A42)+1</f>
        <v>43</v>
      </c>
      <c r="B43" s="11" t="s">
        <v>41</v>
      </c>
      <c r="C43" s="11" t="str">
        <f t="shared" ref="C43:C93" si="25">$C$41</f>
        <v>SFP</v>
      </c>
      <c r="D43" s="11"/>
      <c r="E43" s="7" t="s">
        <v>825</v>
      </c>
      <c r="F43" s="15"/>
      <c r="G43" s="1254" t="s">
        <v>288</v>
      </c>
      <c r="H43" s="6">
        <v>54976</v>
      </c>
      <c r="I43" s="6">
        <v>0</v>
      </c>
      <c r="J43" s="1257" t="s">
        <v>288</v>
      </c>
      <c r="K43" s="251">
        <f>SUMIF('alb SFP'!$A:$A,$J43,'alb SFP'!$C:$C)</f>
        <v>0</v>
      </c>
      <c r="L43" s="251">
        <f>SUMIF('alb SFP'!$A:$A,$J43,'alb SFP'!$F:$F)</f>
        <v>0</v>
      </c>
      <c r="M43" s="252">
        <v>5</v>
      </c>
      <c r="N43" s="273">
        <f t="shared" ref="N43:N48" si="26">ROUND(SUM(O43:S43)+SUM(W43:AV43),0)</f>
        <v>54976</v>
      </c>
      <c r="O43" s="12"/>
      <c r="P43" s="12"/>
      <c r="Q43" s="12"/>
      <c r="R43" s="12"/>
      <c r="S43" s="6">
        <f t="shared" si="1"/>
        <v>0</v>
      </c>
      <c r="T43" s="273">
        <f>ROUND(SUM(V43:Y43)-U43,0)</f>
        <v>54976</v>
      </c>
      <c r="U43" s="251">
        <f t="shared" ref="U43:U48" si="27">SUM(BL43:BN43)</f>
        <v>0</v>
      </c>
      <c r="V43" s="251"/>
      <c r="W43" s="251">
        <f t="shared" ref="W43:W48" si="28">H43</f>
        <v>54976</v>
      </c>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X43" s="6"/>
      <c r="AY43" s="6">
        <f>ROUND(AX43/1000/Update!$B$31*Update!$B$27,0)</f>
        <v>0</v>
      </c>
      <c r="BA43" s="6"/>
      <c r="BB43" s="6">
        <f>ROUND(BA43/1000/Update!$B$31,0)</f>
        <v>0</v>
      </c>
      <c r="BC43" s="6"/>
      <c r="BD43" s="29">
        <f t="shared" si="4"/>
        <v>0</v>
      </c>
      <c r="BE43" s="1191">
        <f>BK796*0</f>
        <v>0</v>
      </c>
      <c r="BF43" s="1191"/>
      <c r="BG43" s="1191"/>
      <c r="BH43" s="1191"/>
      <c r="BI43" s="317"/>
      <c r="BJ43" s="317"/>
      <c r="BK43" s="327">
        <f t="shared" si="2"/>
        <v>0</v>
      </c>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M43" s="1139">
        <v>0</v>
      </c>
      <c r="CN43" s="1139">
        <v>0</v>
      </c>
      <c r="CP43" s="923">
        <f t="shared" si="3"/>
        <v>0</v>
      </c>
      <c r="CZ43" s="330"/>
    </row>
    <row r="44" spans="1:104" ht="15" customHeight="1" x14ac:dyDescent="0.25">
      <c r="A44" s="684">
        <f>MAX($A$6:A43)+1</f>
        <v>44</v>
      </c>
      <c r="B44" s="11" t="s">
        <v>41</v>
      </c>
      <c r="C44" s="11" t="str">
        <f t="shared" si="25"/>
        <v>SFP</v>
      </c>
      <c r="D44" s="11"/>
      <c r="E44" s="7" t="s">
        <v>2831</v>
      </c>
      <c r="F44" s="15"/>
      <c r="G44" s="1254" t="s">
        <v>2831</v>
      </c>
      <c r="H44" s="6">
        <v>366</v>
      </c>
      <c r="I44" s="6">
        <v>0</v>
      </c>
      <c r="J44" s="1254" t="s">
        <v>2831</v>
      </c>
      <c r="K44" s="251">
        <f>SUMIF('alb SFP'!$A:$A,$J44,'alb SFP'!$C:$C)</f>
        <v>0</v>
      </c>
      <c r="L44" s="251">
        <f>SUMIF('alb SFP'!$A:$A,$J44,'alb SFP'!$F:$F)</f>
        <v>0</v>
      </c>
      <c r="M44" s="252">
        <v>16.100000000000001</v>
      </c>
      <c r="N44" s="273">
        <f t="shared" si="26"/>
        <v>366</v>
      </c>
      <c r="O44" s="12"/>
      <c r="P44" s="12"/>
      <c r="Q44" s="12"/>
      <c r="R44" s="12"/>
      <c r="S44" s="6">
        <f t="shared" si="1"/>
        <v>0</v>
      </c>
      <c r="T44" s="273">
        <f>ROUND(SUM(V44:Y44)-U44,0)</f>
        <v>366</v>
      </c>
      <c r="U44" s="251">
        <f t="shared" si="27"/>
        <v>0</v>
      </c>
      <c r="V44" s="251"/>
      <c r="W44" s="251">
        <f t="shared" si="28"/>
        <v>366</v>
      </c>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X44" s="6"/>
      <c r="AY44" s="6">
        <f>ROUND(AX44/1000/Update!$B$31*Update!$B$27,0)</f>
        <v>0</v>
      </c>
      <c r="BA44" s="6"/>
      <c r="BB44" s="6"/>
      <c r="BC44" s="6"/>
      <c r="BD44" s="29">
        <f t="shared" si="4"/>
        <v>0</v>
      </c>
      <c r="BE44" s="1191"/>
      <c r="BF44" s="1191"/>
      <c r="BG44" s="1191"/>
      <c r="BH44" s="1191"/>
      <c r="BI44" s="317"/>
      <c r="BJ44" s="317"/>
      <c r="BK44" s="327">
        <f t="shared" si="2"/>
        <v>0</v>
      </c>
      <c r="BL44" s="317"/>
      <c r="BM44" s="317"/>
      <c r="BN44" s="317"/>
      <c r="BO44" s="317"/>
      <c r="BP44" s="317"/>
      <c r="BQ44" s="317"/>
      <c r="BR44" s="317"/>
      <c r="BS44" s="317"/>
      <c r="BT44" s="317"/>
      <c r="BU44" s="317"/>
      <c r="BV44" s="317"/>
      <c r="BW44" s="317"/>
      <c r="BX44" s="317"/>
      <c r="BY44" s="317"/>
      <c r="BZ44" s="317"/>
      <c r="CA44" s="317"/>
      <c r="CB44" s="317"/>
      <c r="CC44" s="317"/>
      <c r="CD44" s="317"/>
      <c r="CE44" s="317"/>
      <c r="CF44" s="317"/>
      <c r="CG44" s="317"/>
      <c r="CH44" s="317"/>
      <c r="CI44" s="317"/>
      <c r="CM44" s="1139"/>
      <c r="CN44" s="1139"/>
      <c r="CP44" s="923"/>
      <c r="CZ44" s="330"/>
    </row>
    <row r="45" spans="1:104" ht="15" customHeight="1" x14ac:dyDescent="0.25">
      <c r="A45" s="684">
        <f>MAX($A$6:A44)+1</f>
        <v>45</v>
      </c>
      <c r="B45" s="11" t="s">
        <v>41</v>
      </c>
      <c r="C45" s="11" t="str">
        <f t="shared" si="25"/>
        <v>SFP</v>
      </c>
      <c r="D45" s="11"/>
      <c r="E45" s="7" t="s">
        <v>289</v>
      </c>
      <c r="F45" s="15"/>
      <c r="G45" s="1254" t="s">
        <v>289</v>
      </c>
      <c r="H45" s="6">
        <v>101</v>
      </c>
      <c r="I45" s="6">
        <v>0</v>
      </c>
      <c r="J45" s="1257" t="s">
        <v>289</v>
      </c>
      <c r="K45" s="251">
        <f>SUMIF('alb SFP'!$A:$A,$J45,'alb SFP'!$C:$C)</f>
        <v>0</v>
      </c>
      <c r="L45" s="251">
        <f>SUMIF('alb SFP'!$A:$A,$J45,'alb SFP'!$F:$F)</f>
        <v>0</v>
      </c>
      <c r="M45" s="252">
        <v>6</v>
      </c>
      <c r="N45" s="273">
        <f t="shared" si="26"/>
        <v>101</v>
      </c>
      <c r="O45" s="12"/>
      <c r="P45" s="12"/>
      <c r="Q45" s="12"/>
      <c r="R45" s="12"/>
      <c r="S45" s="6">
        <f t="shared" si="1"/>
        <v>0</v>
      </c>
      <c r="T45" s="273">
        <f t="shared" ref="T45:T50" si="29">ROUND(SUM(V45:Y45)-U45,0)</f>
        <v>101</v>
      </c>
      <c r="U45" s="251">
        <f t="shared" si="27"/>
        <v>0</v>
      </c>
      <c r="V45" s="251"/>
      <c r="W45" s="251">
        <f t="shared" si="28"/>
        <v>101</v>
      </c>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X45" s="6"/>
      <c r="AY45" s="6">
        <f>ROUND(AX45/1000/Update!$B$31*Update!$B$27,0)</f>
        <v>0</v>
      </c>
      <c r="BA45" s="6"/>
      <c r="BB45" s="6">
        <f>ROUND(BA45/1000/Update!$B$31,0)</f>
        <v>0</v>
      </c>
      <c r="BC45" s="6"/>
      <c r="BD45" s="29">
        <f t="shared" si="4"/>
        <v>0</v>
      </c>
      <c r="BE45" s="1191"/>
      <c r="BF45" s="1191"/>
      <c r="BG45" s="1191"/>
      <c r="BH45" s="1191"/>
      <c r="BI45" s="317"/>
      <c r="BJ45" s="317"/>
      <c r="BK45" s="327">
        <f t="shared" si="2"/>
        <v>0</v>
      </c>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M45" s="1139">
        <v>0</v>
      </c>
      <c r="CN45" s="1139">
        <v>0</v>
      </c>
      <c r="CP45" s="923">
        <f t="shared" si="3"/>
        <v>0</v>
      </c>
      <c r="CZ45" s="330"/>
    </row>
    <row r="46" spans="1:104" ht="15" customHeight="1" x14ac:dyDescent="0.25">
      <c r="A46" s="684">
        <f>MAX($A$6:A45)+1</f>
        <v>46</v>
      </c>
      <c r="B46" s="11" t="s">
        <v>41</v>
      </c>
      <c r="C46" s="11" t="str">
        <f t="shared" si="25"/>
        <v>SFP</v>
      </c>
      <c r="D46" s="11"/>
      <c r="E46" s="7" t="s">
        <v>343</v>
      </c>
      <c r="F46" s="15"/>
      <c r="G46" s="1254" t="s">
        <v>343</v>
      </c>
      <c r="H46" s="6">
        <v>2009000</v>
      </c>
      <c r="I46" s="6">
        <v>0</v>
      </c>
      <c r="J46" s="1257" t="s">
        <v>826</v>
      </c>
      <c r="K46" s="251">
        <f>SUMIF('alb SFP'!$A:$A,$J46,'alb SFP'!$C:$C)</f>
        <v>0</v>
      </c>
      <c r="L46" s="251">
        <f>SUMIF('alb SFP'!$A:$A,$J46,'alb SFP'!$F:$F)</f>
        <v>0</v>
      </c>
      <c r="M46" s="252">
        <v>9</v>
      </c>
      <c r="N46" s="273">
        <f t="shared" si="26"/>
        <v>0</v>
      </c>
      <c r="O46" s="12"/>
      <c r="P46" s="12"/>
      <c r="Q46" s="12"/>
      <c r="R46" s="12"/>
      <c r="S46" s="6">
        <f t="shared" si="1"/>
        <v>-2009000</v>
      </c>
      <c r="T46" s="273">
        <f t="shared" si="29"/>
        <v>2009000</v>
      </c>
      <c r="U46" s="251">
        <f t="shared" si="27"/>
        <v>0</v>
      </c>
      <c r="V46" s="251"/>
      <c r="W46" s="251">
        <f t="shared" si="28"/>
        <v>2009000</v>
      </c>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X46" s="6"/>
      <c r="AY46" s="6">
        <f>ROUND(AX46/1000/Update!$B$31*Update!$B$27,0)</f>
        <v>0</v>
      </c>
      <c r="BA46" s="6"/>
      <c r="BB46" s="6">
        <f>ROUND(BA46/1000/Update!$B$31,0)</f>
        <v>0</v>
      </c>
      <c r="BC46" s="6"/>
      <c r="BD46" s="29">
        <f t="shared" si="4"/>
        <v>2009000</v>
      </c>
      <c r="BE46" s="1191"/>
      <c r="BF46" s="1191"/>
      <c r="BG46" s="1191"/>
      <c r="BH46" s="1528">
        <f>+BH1178</f>
        <v>2009000</v>
      </c>
      <c r="BI46" s="317"/>
      <c r="BJ46" s="317"/>
      <c r="BK46" s="327">
        <f t="shared" si="2"/>
        <v>0</v>
      </c>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M46" s="1139">
        <v>0</v>
      </c>
      <c r="CN46" s="1139">
        <v>2009000</v>
      </c>
      <c r="CP46" s="923">
        <f t="shared" si="3"/>
        <v>0</v>
      </c>
      <c r="CZ46" s="330"/>
    </row>
    <row r="47" spans="1:104" ht="25.5" customHeight="1" x14ac:dyDescent="0.25">
      <c r="A47" s="684">
        <f>MAX($A$6:A46)+1</f>
        <v>47</v>
      </c>
      <c r="B47" s="11" t="s">
        <v>41</v>
      </c>
      <c r="C47" s="11" t="str">
        <f t="shared" si="25"/>
        <v>SFP</v>
      </c>
      <c r="D47" s="11"/>
      <c r="E47" s="7" t="s">
        <v>290</v>
      </c>
      <c r="F47" s="15"/>
      <c r="G47" s="1254" t="s">
        <v>539</v>
      </c>
      <c r="H47" s="6">
        <v>0</v>
      </c>
      <c r="I47" s="6">
        <v>0</v>
      </c>
      <c r="J47" s="1257" t="s">
        <v>1079</v>
      </c>
      <c r="K47" s="251">
        <f>SUMIF('alb SFP'!$A:$A,$J47,'alb SFP'!$C:$C)</f>
        <v>0</v>
      </c>
      <c r="L47" s="251">
        <f>SUMIF('alb SFP'!$A:$A,$J47,'alb SFP'!$F:$F)</f>
        <v>0</v>
      </c>
      <c r="M47" s="252">
        <v>12</v>
      </c>
      <c r="N47" s="273">
        <f t="shared" si="26"/>
        <v>0</v>
      </c>
      <c r="O47" s="12"/>
      <c r="P47" s="12"/>
      <c r="Q47" s="12"/>
      <c r="R47" s="12"/>
      <c r="S47" s="6">
        <f t="shared" si="1"/>
        <v>0</v>
      </c>
      <c r="T47" s="273">
        <f t="shared" si="29"/>
        <v>0</v>
      </c>
      <c r="U47" s="6">
        <f t="shared" si="27"/>
        <v>0</v>
      </c>
      <c r="V47" s="6"/>
      <c r="W47" s="6">
        <f t="shared" si="28"/>
        <v>0</v>
      </c>
      <c r="X47" s="6"/>
      <c r="Y47" s="6"/>
      <c r="Z47" s="6"/>
      <c r="AA47" s="6"/>
      <c r="AB47" s="6"/>
      <c r="AC47" s="6"/>
      <c r="AD47" s="6"/>
      <c r="AE47" s="6"/>
      <c r="AF47" s="6"/>
      <c r="AG47" s="6"/>
      <c r="AH47" s="6"/>
      <c r="AI47" s="6"/>
      <c r="AJ47" s="6"/>
      <c r="AK47" s="6"/>
      <c r="AL47" s="6"/>
      <c r="AM47" s="6"/>
      <c r="AN47" s="6"/>
      <c r="AO47" s="6"/>
      <c r="AP47" s="6"/>
      <c r="AQ47" s="6"/>
      <c r="AR47" s="6"/>
      <c r="AS47" s="6"/>
      <c r="AT47" s="6"/>
      <c r="AU47" s="6"/>
      <c r="AV47" s="6"/>
      <c r="AX47" s="6"/>
      <c r="AY47" s="6">
        <f>ROUND(AX47/1000/Update!$B$31*Update!$B$27,0)</f>
        <v>0</v>
      </c>
      <c r="BA47" s="6"/>
      <c r="BB47" s="6">
        <f>ROUND(BA47/1000/Update!$B$31,0)</f>
        <v>0</v>
      </c>
      <c r="BC47" s="6"/>
      <c r="BD47" s="29">
        <f t="shared" si="4"/>
        <v>0</v>
      </c>
      <c r="BE47" s="317"/>
      <c r="BF47" s="317"/>
      <c r="BG47" s="317"/>
      <c r="BH47" s="317"/>
      <c r="BI47" s="317"/>
      <c r="BJ47" s="317"/>
      <c r="BK47" s="327">
        <f t="shared" si="2"/>
        <v>0</v>
      </c>
      <c r="BL47" s="317"/>
      <c r="BM47" s="317"/>
      <c r="BN47" s="317"/>
      <c r="BO47" s="317"/>
      <c r="BP47" s="317"/>
      <c r="BQ47" s="317"/>
      <c r="BR47" s="317"/>
      <c r="BS47" s="317"/>
      <c r="BT47" s="317"/>
      <c r="BU47" s="317"/>
      <c r="BV47" s="317"/>
      <c r="BW47" s="317"/>
      <c r="BX47" s="317"/>
      <c r="BY47" s="317"/>
      <c r="BZ47" s="317"/>
      <c r="CA47" s="317"/>
      <c r="CB47" s="317"/>
      <c r="CC47" s="317"/>
      <c r="CD47" s="317"/>
      <c r="CE47" s="317"/>
      <c r="CF47" s="317"/>
      <c r="CG47" s="317"/>
      <c r="CH47" s="317"/>
      <c r="CI47" s="317"/>
      <c r="CM47" s="1139">
        <v>0</v>
      </c>
      <c r="CN47" s="1139">
        <v>0</v>
      </c>
      <c r="CP47" s="923">
        <f t="shared" si="3"/>
        <v>0</v>
      </c>
      <c r="CZ47" s="330"/>
    </row>
    <row r="48" spans="1:104" ht="15" customHeight="1" x14ac:dyDescent="0.25">
      <c r="A48" s="684">
        <f>MAX($A$6:A47)+1</f>
        <v>48</v>
      </c>
      <c r="B48" s="11" t="s">
        <v>41</v>
      </c>
      <c r="C48" s="11" t="str">
        <f t="shared" si="25"/>
        <v>SFP</v>
      </c>
      <c r="D48" s="11"/>
      <c r="E48" s="7" t="s">
        <v>344</v>
      </c>
      <c r="F48" s="15"/>
      <c r="G48" s="1254" t="s">
        <v>344</v>
      </c>
      <c r="H48" s="6">
        <v>0</v>
      </c>
      <c r="I48" s="6">
        <v>0</v>
      </c>
      <c r="J48" s="1257" t="s">
        <v>344</v>
      </c>
      <c r="K48" s="251">
        <f>SUMIF('alb SFP'!$A:$A,$J48,'alb SFP'!$C:$C)</f>
        <v>0</v>
      </c>
      <c r="L48" s="251">
        <f>SUMIF('alb SFP'!$A:$A,$J48,'alb SFP'!$F:$F)</f>
        <v>0</v>
      </c>
      <c r="M48" s="252">
        <v>12</v>
      </c>
      <c r="N48" s="273">
        <f t="shared" si="26"/>
        <v>0</v>
      </c>
      <c r="O48" s="12"/>
      <c r="P48" s="12"/>
      <c r="Q48" s="12"/>
      <c r="R48" s="12"/>
      <c r="S48" s="6">
        <f t="shared" si="1"/>
        <v>0</v>
      </c>
      <c r="T48" s="273">
        <f t="shared" si="29"/>
        <v>0</v>
      </c>
      <c r="U48" s="6">
        <f t="shared" si="27"/>
        <v>0</v>
      </c>
      <c r="V48" s="6"/>
      <c r="W48" s="6">
        <f t="shared" si="28"/>
        <v>0</v>
      </c>
      <c r="X48" s="6"/>
      <c r="Y48" s="6"/>
      <c r="Z48" s="6"/>
      <c r="AA48" s="6"/>
      <c r="AB48" s="6"/>
      <c r="AC48" s="6"/>
      <c r="AD48" s="6"/>
      <c r="AE48" s="6"/>
      <c r="AF48" s="6"/>
      <c r="AG48" s="6"/>
      <c r="AH48" s="6"/>
      <c r="AI48" s="6"/>
      <c r="AJ48" s="6"/>
      <c r="AK48" s="6"/>
      <c r="AL48" s="6"/>
      <c r="AM48" s="6"/>
      <c r="AN48" s="6"/>
      <c r="AO48" s="6"/>
      <c r="AP48" s="6"/>
      <c r="AQ48" s="6"/>
      <c r="AR48" s="6"/>
      <c r="AS48" s="6"/>
      <c r="AT48" s="6"/>
      <c r="AU48" s="6"/>
      <c r="AV48" s="6"/>
      <c r="AX48" s="6"/>
      <c r="AY48" s="6">
        <f>ROUND(AX48/1000/Update!$B$31*Update!$B$27,0)</f>
        <v>0</v>
      </c>
      <c r="BA48" s="6"/>
      <c r="BB48" s="6">
        <f>ROUND(BA48/1000/Update!$B$31,0)</f>
        <v>0</v>
      </c>
      <c r="BC48" s="6"/>
      <c r="BD48" s="29">
        <f t="shared" si="4"/>
        <v>0</v>
      </c>
      <c r="BE48" s="317"/>
      <c r="BF48" s="317"/>
      <c r="BG48" s="317"/>
      <c r="BH48" s="317"/>
      <c r="BI48" s="317"/>
      <c r="BJ48" s="317"/>
      <c r="BK48" s="327">
        <f t="shared" si="2"/>
        <v>0</v>
      </c>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7"/>
      <c r="CI48" s="317"/>
      <c r="CM48" s="1139">
        <v>0</v>
      </c>
      <c r="CN48" s="1139">
        <v>0</v>
      </c>
      <c r="CP48" s="923">
        <f t="shared" si="3"/>
        <v>0</v>
      </c>
      <c r="CZ48" s="330"/>
    </row>
    <row r="49" spans="1:104" ht="15" customHeight="1" x14ac:dyDescent="0.25">
      <c r="A49" s="701">
        <f>MAX($A$6:A48)+1</f>
        <v>49</v>
      </c>
      <c r="B49" s="18" t="s">
        <v>41</v>
      </c>
      <c r="C49" s="18" t="str">
        <f t="shared" si="25"/>
        <v>SFP</v>
      </c>
      <c r="D49" s="18"/>
      <c r="E49" s="17" t="s">
        <v>68</v>
      </c>
      <c r="F49" s="14"/>
      <c r="G49" s="254"/>
      <c r="H49" s="14">
        <f>SUM(H42:H48)</f>
        <v>2064443</v>
      </c>
      <c r="I49" s="14">
        <f>SUM(I42:I48)</f>
        <v>0</v>
      </c>
      <c r="J49" s="1258" t="s">
        <v>286</v>
      </c>
      <c r="K49" s="256">
        <f>SUM(K42:K48)</f>
        <v>0</v>
      </c>
      <c r="L49" s="256">
        <f>SUM(L42:L48)</f>
        <v>0</v>
      </c>
      <c r="M49" s="14"/>
      <c r="N49" s="14">
        <f t="shared" ref="N49:W49" si="30">SUM(N42:N48)</f>
        <v>55443</v>
      </c>
      <c r="O49" s="14">
        <f t="shared" si="30"/>
        <v>0</v>
      </c>
      <c r="P49" s="14">
        <f t="shared" si="30"/>
        <v>0</v>
      </c>
      <c r="Q49" s="14">
        <f t="shared" si="30"/>
        <v>0</v>
      </c>
      <c r="R49" s="14">
        <f t="shared" si="30"/>
        <v>0</v>
      </c>
      <c r="S49" s="14">
        <f>-IF(ISNUMBER(BD49),BD49,0)</f>
        <v>-2009000</v>
      </c>
      <c r="T49" s="14">
        <f t="shared" si="30"/>
        <v>2064443</v>
      </c>
      <c r="U49" s="14">
        <f t="shared" si="30"/>
        <v>0</v>
      </c>
      <c r="V49" s="14">
        <f t="shared" si="30"/>
        <v>0</v>
      </c>
      <c r="W49" s="14">
        <f t="shared" si="30"/>
        <v>2064443</v>
      </c>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2"/>
      <c r="AX49" s="14">
        <f>SUM(AX42:AX48)</f>
        <v>0</v>
      </c>
      <c r="AY49" s="14">
        <f>ROUND(AX49/1000/Update!$B$31*Update!$B$27,0)</f>
        <v>0</v>
      </c>
      <c r="AZ49" s="2"/>
      <c r="BA49" s="14">
        <f>SUM(BA42:BA48)</f>
        <v>0</v>
      </c>
      <c r="BB49" s="14">
        <f>ROUND(BA49/1000/Update!$B$31,0)</f>
        <v>0</v>
      </c>
      <c r="BC49" s="14"/>
      <c r="BD49" s="14">
        <f t="shared" si="4"/>
        <v>2009000</v>
      </c>
      <c r="BE49" s="318">
        <f t="shared" ref="BE49:BJ49" si="31">SUM(BE42:BE48)</f>
        <v>0</v>
      </c>
      <c r="BF49" s="318">
        <f t="shared" si="31"/>
        <v>0</v>
      </c>
      <c r="BG49" s="318">
        <f t="shared" si="31"/>
        <v>0</v>
      </c>
      <c r="BH49" s="318">
        <f t="shared" si="31"/>
        <v>2009000</v>
      </c>
      <c r="BI49" s="318">
        <f t="shared" si="31"/>
        <v>0</v>
      </c>
      <c r="BJ49" s="318">
        <f t="shared" si="31"/>
        <v>0</v>
      </c>
      <c r="BK49" s="14">
        <f>ROUND(SUM(BO49:CI49),0)</f>
        <v>0</v>
      </c>
      <c r="BL49" s="318"/>
      <c r="BM49" s="318"/>
      <c r="BN49" s="318"/>
      <c r="BO49" s="318"/>
      <c r="BP49" s="318"/>
      <c r="BQ49" s="318"/>
      <c r="BR49" s="318"/>
      <c r="BS49" s="318"/>
      <c r="BT49" s="318"/>
      <c r="BU49" s="318"/>
      <c r="BV49" s="318"/>
      <c r="BW49" s="318"/>
      <c r="BX49" s="318"/>
      <c r="BY49" s="318"/>
      <c r="BZ49" s="318"/>
      <c r="CA49" s="318"/>
      <c r="CB49" s="318"/>
      <c r="CC49" s="318"/>
      <c r="CD49" s="318"/>
      <c r="CE49" s="318"/>
      <c r="CF49" s="318"/>
      <c r="CG49" s="318"/>
      <c r="CH49" s="318"/>
      <c r="CI49" s="318"/>
      <c r="CJ49" s="2"/>
      <c r="CK49" s="2"/>
      <c r="CM49" s="1140">
        <v>0</v>
      </c>
      <c r="CN49" s="1140">
        <v>2009000</v>
      </c>
      <c r="CP49" s="923">
        <f t="shared" si="3"/>
        <v>0</v>
      </c>
      <c r="CZ49" s="330"/>
    </row>
    <row r="50" spans="1:104" ht="15" customHeight="1" x14ac:dyDescent="0.25">
      <c r="A50" s="684">
        <f>MAX($A$6:A49)+1</f>
        <v>50</v>
      </c>
      <c r="B50" s="11" t="s">
        <v>41</v>
      </c>
      <c r="C50" s="11" t="str">
        <f t="shared" si="25"/>
        <v>SFP</v>
      </c>
      <c r="D50" s="11"/>
      <c r="E50" s="13" t="s">
        <v>69</v>
      </c>
      <c r="F50" s="15"/>
      <c r="G50" s="26"/>
      <c r="H50" s="6"/>
      <c r="I50" s="6"/>
      <c r="J50" s="1257" t="s">
        <v>286</v>
      </c>
      <c r="K50" s="251">
        <f>SUMIF('alb SFP'!$A:$A,$J50,'alb SFP'!$C:$C)</f>
        <v>0</v>
      </c>
      <c r="L50" s="251">
        <f>SUMIF('alb SFP'!$A:$A,$J50,'alb SFP'!$F:$F)</f>
        <v>0</v>
      </c>
      <c r="M50" s="252"/>
      <c r="N50" s="273">
        <f t="shared" ref="N50:N58" si="32">ROUND(SUM(O50:S50)+SUM(W50:AV50),0)</f>
        <v>0</v>
      </c>
      <c r="O50" s="12"/>
      <c r="P50" s="12"/>
      <c r="Q50" s="12"/>
      <c r="R50" s="12"/>
      <c r="S50" s="6">
        <f t="shared" si="1"/>
        <v>0</v>
      </c>
      <c r="T50" s="273">
        <f t="shared" si="29"/>
        <v>0</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X50" s="6"/>
      <c r="AY50" s="6">
        <f>ROUND(AX50/1000/Update!$B$31*Update!$B$27,0)</f>
        <v>0</v>
      </c>
      <c r="BA50" s="6"/>
      <c r="BB50" s="6">
        <f>ROUND(BA50/1000/Update!$B$31,0)</f>
        <v>0</v>
      </c>
      <c r="BC50" s="6"/>
      <c r="BD50" s="29">
        <f t="shared" si="4"/>
        <v>0</v>
      </c>
      <c r="BE50" s="317"/>
      <c r="BF50" s="317"/>
      <c r="BG50" s="317"/>
      <c r="BH50" s="317"/>
      <c r="BI50" s="317"/>
      <c r="BJ50" s="317"/>
      <c r="BK50" s="327">
        <f t="shared" si="2"/>
        <v>0</v>
      </c>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M50" s="1139">
        <v>0</v>
      </c>
      <c r="CN50" s="1139">
        <v>0</v>
      </c>
      <c r="CP50" s="923">
        <f t="shared" si="3"/>
        <v>0</v>
      </c>
      <c r="CZ50" s="330"/>
    </row>
    <row r="51" spans="1:104" ht="25.5" customHeight="1" x14ac:dyDescent="0.25">
      <c r="A51" s="684">
        <f>MAX($A$6:A50)+1</f>
        <v>51</v>
      </c>
      <c r="B51" s="11" t="s">
        <v>41</v>
      </c>
      <c r="C51" s="11" t="str">
        <f t="shared" si="25"/>
        <v>SFP</v>
      </c>
      <c r="D51" s="11"/>
      <c r="E51" s="7" t="s">
        <v>292</v>
      </c>
      <c r="F51" s="15"/>
      <c r="G51" s="1254" t="s">
        <v>292</v>
      </c>
      <c r="H51" s="6">
        <v>0</v>
      </c>
      <c r="I51" s="6">
        <v>0</v>
      </c>
      <c r="J51" s="1257" t="s">
        <v>292</v>
      </c>
      <c r="K51" s="251">
        <f>SUMIF('alb SFP'!$A:$A,$J51,'alb SFP'!$C:$C)</f>
        <v>0</v>
      </c>
      <c r="L51" s="251">
        <f>SUMIF('alb SFP'!$A:$A,$J51,'alb SFP'!$F:$F)</f>
        <v>0</v>
      </c>
      <c r="M51" s="252">
        <v>5.2</v>
      </c>
      <c r="N51" s="273">
        <f t="shared" si="32"/>
        <v>0</v>
      </c>
      <c r="O51" s="12"/>
      <c r="P51" s="12"/>
      <c r="Q51" s="12"/>
      <c r="R51" s="12"/>
      <c r="S51" s="6">
        <f t="shared" si="1"/>
        <v>0</v>
      </c>
      <c r="T51" s="273">
        <f t="shared" ref="T51:T58" si="33">ROUND(SUM(U51:Y51),0)</f>
        <v>0</v>
      </c>
      <c r="U51" s="6">
        <f t="shared" ref="U51:U58" si="34">SUM(BL51:BN51)</f>
        <v>0</v>
      </c>
      <c r="V51" s="6"/>
      <c r="W51" s="6">
        <f t="shared" ref="W51:W58" si="35">H51</f>
        <v>0</v>
      </c>
      <c r="X51" s="6"/>
      <c r="Y51" s="6"/>
      <c r="Z51" s="6"/>
      <c r="AA51" s="6"/>
      <c r="AB51" s="6"/>
      <c r="AC51" s="6"/>
      <c r="AD51" s="6"/>
      <c r="AE51" s="6"/>
      <c r="AF51" s="6"/>
      <c r="AG51" s="6"/>
      <c r="AH51" s="6"/>
      <c r="AI51" s="6"/>
      <c r="AJ51" s="6"/>
      <c r="AK51" s="6"/>
      <c r="AL51" s="6"/>
      <c r="AM51" s="6"/>
      <c r="AN51" s="6"/>
      <c r="AO51" s="6"/>
      <c r="AP51" s="6"/>
      <c r="AQ51" s="6"/>
      <c r="AR51" s="6"/>
      <c r="AS51" s="6"/>
      <c r="AT51" s="6"/>
      <c r="AU51" s="6"/>
      <c r="AV51" s="6"/>
      <c r="AX51" s="6"/>
      <c r="AY51" s="6">
        <f>ROUND(AX51/1000/Update!$B$31*Update!$B$27,0)</f>
        <v>0</v>
      </c>
      <c r="BA51" s="6"/>
      <c r="BB51" s="6">
        <f>ROUND(BA51/1000/Update!$B$31,0)</f>
        <v>0</v>
      </c>
      <c r="BC51" s="6"/>
      <c r="BD51" s="29">
        <f t="shared" si="4"/>
        <v>0</v>
      </c>
      <c r="BE51" s="317"/>
      <c r="BF51" s="317"/>
      <c r="BG51" s="317"/>
      <c r="BH51" s="317"/>
      <c r="BI51" s="317"/>
      <c r="BJ51" s="317"/>
      <c r="BK51" s="327">
        <f t="shared" si="2"/>
        <v>0</v>
      </c>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M51" s="1139">
        <v>0</v>
      </c>
      <c r="CN51" s="1139">
        <v>0</v>
      </c>
      <c r="CP51" s="923">
        <f t="shared" si="3"/>
        <v>0</v>
      </c>
      <c r="CZ51" s="330"/>
    </row>
    <row r="52" spans="1:104" ht="15" customHeight="1" x14ac:dyDescent="0.25">
      <c r="A52" s="684">
        <f>MAX($A$6:A51)+1</f>
        <v>52</v>
      </c>
      <c r="B52" s="11" t="s">
        <v>41</v>
      </c>
      <c r="C52" s="11" t="str">
        <f t="shared" si="25"/>
        <v>SFP</v>
      </c>
      <c r="D52" s="11"/>
      <c r="E52" s="7" t="s">
        <v>293</v>
      </c>
      <c r="F52" s="15"/>
      <c r="G52" s="1254" t="s">
        <v>293</v>
      </c>
      <c r="H52" s="6">
        <v>0</v>
      </c>
      <c r="I52" s="6">
        <v>0</v>
      </c>
      <c r="J52" s="1257" t="s">
        <v>293</v>
      </c>
      <c r="K52" s="251">
        <f>SUMIF('alb SFP'!$A:$A,$J52,'alb SFP'!$C:$C)</f>
        <v>0</v>
      </c>
      <c r="L52" s="251">
        <f>SUMIF('alb SFP'!$A:$A,$J52,'alb SFP'!$F:$F)</f>
        <v>0</v>
      </c>
      <c r="M52" s="252">
        <v>10</v>
      </c>
      <c r="N52" s="273">
        <f t="shared" si="32"/>
        <v>0</v>
      </c>
      <c r="O52" s="12"/>
      <c r="P52" s="12"/>
      <c r="Q52" s="12"/>
      <c r="R52" s="12"/>
      <c r="S52" s="6">
        <f t="shared" si="1"/>
        <v>0</v>
      </c>
      <c r="T52" s="273">
        <f t="shared" si="33"/>
        <v>0</v>
      </c>
      <c r="U52" s="6">
        <f t="shared" si="34"/>
        <v>0</v>
      </c>
      <c r="V52" s="6"/>
      <c r="W52" s="6">
        <f t="shared" si="35"/>
        <v>0</v>
      </c>
      <c r="X52" s="6"/>
      <c r="Y52" s="6"/>
      <c r="Z52" s="6"/>
      <c r="AA52" s="6"/>
      <c r="AB52" s="6"/>
      <c r="AC52" s="6"/>
      <c r="AD52" s="6"/>
      <c r="AE52" s="6"/>
      <c r="AF52" s="6"/>
      <c r="AG52" s="6"/>
      <c r="AH52" s="6"/>
      <c r="AI52" s="6"/>
      <c r="AJ52" s="6"/>
      <c r="AK52" s="6"/>
      <c r="AL52" s="6"/>
      <c r="AM52" s="6"/>
      <c r="AN52" s="6"/>
      <c r="AO52" s="6"/>
      <c r="AP52" s="6"/>
      <c r="AQ52" s="6"/>
      <c r="AR52" s="6"/>
      <c r="AS52" s="6"/>
      <c r="AT52" s="6"/>
      <c r="AU52" s="6"/>
      <c r="AV52" s="6"/>
      <c r="AX52" s="6"/>
      <c r="AY52" s="6">
        <f>ROUND(AX52/1000/Update!$B$31*Update!$B$27,0)</f>
        <v>0</v>
      </c>
      <c r="BA52" s="6"/>
      <c r="BB52" s="6">
        <f>ROUND(BA52/1000/Update!$B$31,0)</f>
        <v>0</v>
      </c>
      <c r="BC52" s="6"/>
      <c r="BD52" s="29">
        <f t="shared" si="4"/>
        <v>0</v>
      </c>
      <c r="BE52" s="317"/>
      <c r="BF52" s="317"/>
      <c r="BG52" s="317"/>
      <c r="BH52" s="317"/>
      <c r="BI52" s="317"/>
      <c r="BJ52" s="317"/>
      <c r="BK52" s="327">
        <f t="shared" si="2"/>
        <v>0</v>
      </c>
      <c r="BL52" s="317"/>
      <c r="BM52" s="317"/>
      <c r="BN52" s="317"/>
      <c r="BO52" s="317"/>
      <c r="BP52" s="317"/>
      <c r="BQ52" s="317"/>
      <c r="BR52" s="317"/>
      <c r="BS52" s="317"/>
      <c r="BT52" s="317"/>
      <c r="BU52" s="317"/>
      <c r="BV52" s="317"/>
      <c r="BW52" s="317"/>
      <c r="BX52" s="317"/>
      <c r="BY52" s="317"/>
      <c r="BZ52" s="317"/>
      <c r="CA52" s="317"/>
      <c r="CB52" s="317"/>
      <c r="CC52" s="317"/>
      <c r="CD52" s="317"/>
      <c r="CE52" s="317"/>
      <c r="CF52" s="317"/>
      <c r="CG52" s="317"/>
      <c r="CH52" s="317"/>
      <c r="CI52" s="317"/>
      <c r="CM52" s="1139">
        <v>0</v>
      </c>
      <c r="CN52" s="1139">
        <v>0</v>
      </c>
      <c r="CP52" s="923">
        <f t="shared" si="3"/>
        <v>0</v>
      </c>
      <c r="CZ52" s="330"/>
    </row>
    <row r="53" spans="1:104" ht="25.5" customHeight="1" x14ac:dyDescent="0.25">
      <c r="A53" s="684">
        <f>MAX($A$6:A52)+1</f>
        <v>53</v>
      </c>
      <c r="B53" s="11" t="s">
        <v>41</v>
      </c>
      <c r="C53" s="11" t="str">
        <f t="shared" si="25"/>
        <v>SFP</v>
      </c>
      <c r="D53" s="11"/>
      <c r="E53" s="7" t="s">
        <v>1686</v>
      </c>
      <c r="F53" s="15"/>
      <c r="G53" s="1254" t="s">
        <v>341</v>
      </c>
      <c r="H53" s="6">
        <v>0</v>
      </c>
      <c r="I53" s="6">
        <v>0</v>
      </c>
      <c r="J53" s="1257" t="s">
        <v>895</v>
      </c>
      <c r="K53" s="251">
        <f>SUMIF('alb SFP'!$A:$A,$J53,'alb SFP'!$C:$C)</f>
        <v>0</v>
      </c>
      <c r="L53" s="251">
        <f>SUMIF('alb SFP'!$A:$A,$J53,'alb SFP'!$F:$F)</f>
        <v>0</v>
      </c>
      <c r="M53" s="252">
        <v>12</v>
      </c>
      <c r="N53" s="273">
        <f t="shared" si="32"/>
        <v>0</v>
      </c>
      <c r="O53" s="12"/>
      <c r="P53" s="12"/>
      <c r="Q53" s="12"/>
      <c r="R53" s="12"/>
      <c r="S53" s="6">
        <f>-IF(ISNUMBER(BD53),BD53,0)</f>
        <v>0</v>
      </c>
      <c r="T53" s="273">
        <f t="shared" si="33"/>
        <v>0</v>
      </c>
      <c r="U53" s="6">
        <f>-SUM(BL53:BN53)</f>
        <v>0</v>
      </c>
      <c r="V53" s="1527">
        <f>V1238</f>
        <v>0</v>
      </c>
      <c r="W53" s="6">
        <f t="shared" si="35"/>
        <v>0</v>
      </c>
      <c r="X53" s="6"/>
      <c r="Y53" s="6"/>
      <c r="Z53" s="6"/>
      <c r="AA53" s="6"/>
      <c r="AB53" s="6"/>
      <c r="AC53" s="6"/>
      <c r="AD53" s="6"/>
      <c r="AE53" s="6"/>
      <c r="AF53" s="6"/>
      <c r="AG53" s="6"/>
      <c r="AH53" s="6"/>
      <c r="AI53" s="6"/>
      <c r="AJ53" s="6"/>
      <c r="AK53" s="6"/>
      <c r="AL53" s="6"/>
      <c r="AM53" s="6"/>
      <c r="AN53" s="6"/>
      <c r="AO53" s="6"/>
      <c r="AP53" s="6"/>
      <c r="AQ53" s="6"/>
      <c r="AR53" s="6"/>
      <c r="AS53" s="6"/>
      <c r="AT53" s="6"/>
      <c r="AU53" s="6"/>
      <c r="AV53" s="6"/>
      <c r="AX53" s="6"/>
      <c r="AY53" s="6">
        <f>ROUND(AX53/1000/Update!$B$31*Update!$B$27,0)</f>
        <v>0</v>
      </c>
      <c r="BA53" s="6"/>
      <c r="BB53" s="6">
        <f>ROUND(BA53/1000/Update!$B$31,0)</f>
        <v>0</v>
      </c>
      <c r="BC53" s="6"/>
      <c r="BD53" s="29">
        <f>ROUND(SUM(BE53:BK53),0)</f>
        <v>0</v>
      </c>
      <c r="BE53" s="317"/>
      <c r="BF53" s="1191">
        <f>(BD1248)*0</f>
        <v>0</v>
      </c>
      <c r="BG53" s="295"/>
      <c r="BI53" s="317"/>
      <c r="BJ53" s="1527">
        <f>+-BJ99</f>
        <v>0</v>
      </c>
      <c r="BK53" s="327">
        <f>ROUND(SUM(BO53:CI53),0)</f>
        <v>0</v>
      </c>
      <c r="BL53" s="317"/>
      <c r="BM53" s="317"/>
      <c r="BN53" s="317"/>
      <c r="BO53" s="317"/>
      <c r="BP53" s="317"/>
      <c r="BQ53" s="317"/>
      <c r="BR53" s="317"/>
      <c r="BS53" s="317"/>
      <c r="BT53" s="317"/>
      <c r="BU53" s="317"/>
      <c r="BV53" s="317"/>
      <c r="BW53" s="317"/>
      <c r="BX53" s="317"/>
      <c r="BY53" s="317"/>
      <c r="BZ53" s="317"/>
      <c r="CA53" s="317"/>
      <c r="CB53" s="317"/>
      <c r="CC53" s="317"/>
      <c r="CD53" s="317"/>
      <c r="CE53" s="317"/>
      <c r="CF53" s="317"/>
      <c r="CG53" s="317"/>
      <c r="CH53" s="317"/>
      <c r="CI53" s="317"/>
      <c r="CM53" s="1139">
        <v>-436</v>
      </c>
      <c r="CN53" s="1139">
        <v>73263</v>
      </c>
      <c r="CP53" s="923">
        <f t="shared" si="3"/>
        <v>-436</v>
      </c>
      <c r="CZ53" s="330"/>
    </row>
    <row r="54" spans="1:104" ht="15" customHeight="1" x14ac:dyDescent="0.25">
      <c r="A54" s="684">
        <f>MAX($A$6:A53)+1</f>
        <v>54</v>
      </c>
      <c r="B54" s="11" t="s">
        <v>41</v>
      </c>
      <c r="C54" s="11" t="str">
        <f t="shared" si="25"/>
        <v>SFP</v>
      </c>
      <c r="D54" s="11"/>
      <c r="E54" s="7" t="s">
        <v>1073</v>
      </c>
      <c r="F54" s="15"/>
      <c r="G54" s="1254"/>
      <c r="H54" s="6">
        <v>0</v>
      </c>
      <c r="I54" s="6">
        <v>0</v>
      </c>
      <c r="J54" s="1257" t="s">
        <v>1073</v>
      </c>
      <c r="K54" s="251">
        <f>SUMIF('alb SFP'!$A:$A,$J54,'alb SFP'!$C:$C)</f>
        <v>0</v>
      </c>
      <c r="L54" s="251">
        <f>SUMIF('alb SFP'!$A:$A,$J54,'alb SFP'!$F:$F)</f>
        <v>0</v>
      </c>
      <c r="M54" s="252">
        <v>12</v>
      </c>
      <c r="N54" s="273">
        <f t="shared" si="32"/>
        <v>0</v>
      </c>
      <c r="O54" s="12"/>
      <c r="P54" s="12"/>
      <c r="Q54" s="12"/>
      <c r="R54" s="12"/>
      <c r="S54" s="6">
        <f t="shared" si="1"/>
        <v>0</v>
      </c>
      <c r="T54" s="273">
        <f t="shared" si="33"/>
        <v>0</v>
      </c>
      <c r="U54" s="6">
        <f t="shared" si="34"/>
        <v>0</v>
      </c>
      <c r="V54" s="6"/>
      <c r="W54" s="6">
        <f t="shared" si="35"/>
        <v>0</v>
      </c>
      <c r="X54" s="6"/>
      <c r="Y54" s="6"/>
      <c r="Z54" s="6"/>
      <c r="AA54" s="6"/>
      <c r="AB54" s="6"/>
      <c r="AC54" s="6"/>
      <c r="AD54" s="6"/>
      <c r="AE54" s="6"/>
      <c r="AF54" s="6"/>
      <c r="AG54" s="6"/>
      <c r="AH54" s="6"/>
      <c r="AI54" s="6"/>
      <c r="AJ54" s="6"/>
      <c r="AK54" s="6"/>
      <c r="AL54" s="6"/>
      <c r="AM54" s="6"/>
      <c r="AN54" s="6"/>
      <c r="AO54" s="6"/>
      <c r="AP54" s="6"/>
      <c r="AQ54" s="6"/>
      <c r="AR54" s="6"/>
      <c r="AS54" s="6"/>
      <c r="AT54" s="6"/>
      <c r="AU54" s="6"/>
      <c r="AV54" s="6"/>
      <c r="AX54" s="6"/>
      <c r="AY54" s="6"/>
      <c r="BA54" s="6"/>
      <c r="BB54" s="6"/>
      <c r="BC54" s="6"/>
      <c r="BD54" s="29">
        <f t="shared" si="4"/>
        <v>0</v>
      </c>
      <c r="BE54" s="317"/>
      <c r="BF54" s="317"/>
      <c r="BG54" s="317"/>
      <c r="BH54" s="317"/>
      <c r="BI54" s="317"/>
      <c r="BJ54" s="317"/>
      <c r="BK54" s="327">
        <f t="shared" si="2"/>
        <v>0</v>
      </c>
      <c r="BL54" s="317"/>
      <c r="BM54" s="317"/>
      <c r="BN54" s="317"/>
      <c r="BO54" s="317"/>
      <c r="BP54" s="317"/>
      <c r="BQ54" s="317"/>
      <c r="BR54" s="317"/>
      <c r="BS54" s="317"/>
      <c r="BT54" s="317"/>
      <c r="BU54" s="317"/>
      <c r="BV54" s="317"/>
      <c r="BW54" s="317"/>
      <c r="BX54" s="317"/>
      <c r="BY54" s="317"/>
      <c r="BZ54" s="317"/>
      <c r="CA54" s="317"/>
      <c r="CB54" s="317"/>
      <c r="CC54" s="317"/>
      <c r="CD54" s="317"/>
      <c r="CE54" s="317"/>
      <c r="CF54" s="317"/>
      <c r="CG54" s="317"/>
      <c r="CH54" s="317"/>
      <c r="CI54" s="317"/>
      <c r="CM54" s="1139">
        <v>0</v>
      </c>
      <c r="CN54" s="1139">
        <v>0</v>
      </c>
      <c r="CP54" s="923">
        <f t="shared" si="3"/>
        <v>0</v>
      </c>
      <c r="CZ54" s="330"/>
    </row>
    <row r="55" spans="1:104" ht="15" customHeight="1" x14ac:dyDescent="0.25">
      <c r="A55" s="684">
        <f>MAX($A$6:A54)+1</f>
        <v>55</v>
      </c>
      <c r="B55" s="11" t="s">
        <v>41</v>
      </c>
      <c r="C55" s="11" t="str">
        <f t="shared" si="25"/>
        <v>SFP</v>
      </c>
      <c r="D55" s="11"/>
      <c r="E55" s="7" t="s">
        <v>291</v>
      </c>
      <c r="F55" s="15"/>
      <c r="G55" s="1254" t="s">
        <v>291</v>
      </c>
      <c r="H55" s="6">
        <v>0</v>
      </c>
      <c r="I55" s="6">
        <v>0</v>
      </c>
      <c r="J55" s="1257" t="s">
        <v>896</v>
      </c>
      <c r="K55" s="251">
        <f>SUMIF('alb SFP'!$A:$A,$J55,'alb SFP'!$C:$C)</f>
        <v>0</v>
      </c>
      <c r="L55" s="251">
        <f>SUMIF('alb SFP'!$A:$A,$J55,'alb SFP'!$F:$F)</f>
        <v>0</v>
      </c>
      <c r="M55" s="252">
        <v>12</v>
      </c>
      <c r="N55" s="273">
        <f t="shared" si="32"/>
        <v>0</v>
      </c>
      <c r="O55" s="12"/>
      <c r="P55" s="12"/>
      <c r="Q55" s="12"/>
      <c r="R55" s="12"/>
      <c r="S55" s="6">
        <f t="shared" si="1"/>
        <v>0</v>
      </c>
      <c r="T55" s="273">
        <f t="shared" si="33"/>
        <v>0</v>
      </c>
      <c r="U55" s="6">
        <f t="shared" si="34"/>
        <v>0</v>
      </c>
      <c r="V55" s="6"/>
      <c r="W55" s="6">
        <f t="shared" si="35"/>
        <v>0</v>
      </c>
      <c r="X55" s="6"/>
      <c r="Y55" s="6"/>
      <c r="Z55" s="6"/>
      <c r="AA55" s="6"/>
      <c r="AB55" s="6"/>
      <c r="AC55" s="6"/>
      <c r="AD55" s="6"/>
      <c r="AE55" s="6"/>
      <c r="AF55" s="6"/>
      <c r="AG55" s="6"/>
      <c r="AH55" s="6"/>
      <c r="AI55" s="6"/>
      <c r="AJ55" s="6"/>
      <c r="AK55" s="6"/>
      <c r="AL55" s="6"/>
      <c r="AM55" s="6"/>
      <c r="AN55" s="6"/>
      <c r="AO55" s="6"/>
      <c r="AP55" s="6"/>
      <c r="AQ55" s="6"/>
      <c r="AR55" s="6"/>
      <c r="AS55" s="6"/>
      <c r="AT55" s="6"/>
      <c r="AU55" s="6"/>
      <c r="AV55" s="6"/>
      <c r="AX55" s="6"/>
      <c r="AY55" s="6">
        <f>ROUND(AX55/1000/Update!$B$31*Update!$B$27,0)</f>
        <v>0</v>
      </c>
      <c r="BA55" s="6"/>
      <c r="BB55" s="6">
        <f>ROUND(BA55/1000/Update!$B$31,0)</f>
        <v>0</v>
      </c>
      <c r="BC55" s="6"/>
      <c r="BD55" s="29">
        <f t="shared" si="4"/>
        <v>0</v>
      </c>
      <c r="BE55" s="317"/>
      <c r="BF55" s="1191">
        <f>BD1253*0</f>
        <v>0</v>
      </c>
      <c r="BG55" s="317"/>
      <c r="BH55" s="317"/>
      <c r="BI55" s="317"/>
      <c r="BJ55" s="317"/>
      <c r="BK55" s="327">
        <f t="shared" si="2"/>
        <v>0</v>
      </c>
      <c r="BL55" s="317"/>
      <c r="BM55" s="317"/>
      <c r="BN55" s="317"/>
      <c r="BO55" s="317"/>
      <c r="BP55" s="317"/>
      <c r="BQ55" s="317"/>
      <c r="BR55" s="317"/>
      <c r="BS55" s="317"/>
      <c r="BT55" s="317"/>
      <c r="BU55" s="317"/>
      <c r="BV55" s="317"/>
      <c r="BW55" s="317"/>
      <c r="BX55" s="317"/>
      <c r="BY55" s="317"/>
      <c r="BZ55" s="317"/>
      <c r="CA55" s="317"/>
      <c r="CB55" s="317"/>
      <c r="CC55" s="317"/>
      <c r="CD55" s="317"/>
      <c r="CE55" s="317"/>
      <c r="CF55" s="317"/>
      <c r="CG55" s="317"/>
      <c r="CH55" s="317"/>
      <c r="CI55" s="317"/>
      <c r="CM55" s="1139">
        <v>1</v>
      </c>
      <c r="CN55" s="1139">
        <v>7719</v>
      </c>
      <c r="CP55" s="923">
        <f t="shared" si="3"/>
        <v>1</v>
      </c>
      <c r="CZ55" s="330"/>
    </row>
    <row r="56" spans="1:104" ht="15" customHeight="1" x14ac:dyDescent="0.25">
      <c r="A56" s="684">
        <f>MAX($A$6:A55)+1</f>
        <v>56</v>
      </c>
      <c r="B56" s="11" t="s">
        <v>41</v>
      </c>
      <c r="C56" s="11" t="str">
        <f t="shared" si="25"/>
        <v>SFP</v>
      </c>
      <c r="D56" s="11"/>
      <c r="E56" s="7" t="s">
        <v>826</v>
      </c>
      <c r="F56" s="15"/>
      <c r="G56" s="1254" t="s">
        <v>801</v>
      </c>
      <c r="H56" s="6">
        <v>0</v>
      </c>
      <c r="I56" s="6">
        <v>0</v>
      </c>
      <c r="J56" s="1257" t="s">
        <v>853</v>
      </c>
      <c r="K56" s="251">
        <f>SUMIF('alb SFP'!$A:$A,$J56,'alb SFP'!$C:$C)</f>
        <v>0</v>
      </c>
      <c r="L56" s="251">
        <f>SUMIF('alb SFP'!$A:$A,$J56,'alb SFP'!$F:$F)</f>
        <v>0</v>
      </c>
      <c r="M56" s="252">
        <v>9</v>
      </c>
      <c r="N56" s="273">
        <f t="shared" si="32"/>
        <v>0</v>
      </c>
      <c r="O56" s="12"/>
      <c r="P56" s="12"/>
      <c r="Q56" s="12">
        <f>-Q46</f>
        <v>0</v>
      </c>
      <c r="R56" s="12"/>
      <c r="S56" s="6">
        <f t="shared" si="1"/>
        <v>0</v>
      </c>
      <c r="T56" s="273">
        <f t="shared" si="33"/>
        <v>0</v>
      </c>
      <c r="U56" s="251">
        <f t="shared" si="34"/>
        <v>0</v>
      </c>
      <c r="V56" s="251"/>
      <c r="W56" s="251">
        <f t="shared" si="35"/>
        <v>0</v>
      </c>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X56" s="6"/>
      <c r="AY56" s="6">
        <f>ROUND(AX56/1000/Update!$B$31*Update!$B$27,0)</f>
        <v>0</v>
      </c>
      <c r="BA56" s="6"/>
      <c r="BB56" s="6">
        <f>ROUND(BA56/1000/Update!$B$31,0)</f>
        <v>0</v>
      </c>
      <c r="BC56" s="6"/>
      <c r="BD56" s="29">
        <f t="shared" si="4"/>
        <v>0</v>
      </c>
      <c r="BE56" s="317"/>
      <c r="BF56" s="317"/>
      <c r="BG56" s="317"/>
      <c r="BH56" s="317"/>
      <c r="BI56" s="317"/>
      <c r="BJ56" s="317"/>
      <c r="BK56" s="327">
        <f t="shared" si="2"/>
        <v>0</v>
      </c>
      <c r="BL56" s="317"/>
      <c r="BM56" s="317"/>
      <c r="BN56" s="317"/>
      <c r="BO56" s="317"/>
      <c r="BP56" s="317"/>
      <c r="BQ56" s="317"/>
      <c r="BR56" s="317"/>
      <c r="BS56" s="317"/>
      <c r="BT56" s="317"/>
      <c r="BU56" s="317"/>
      <c r="BV56" s="317"/>
      <c r="BW56" s="317"/>
      <c r="BX56" s="317"/>
      <c r="BY56" s="317"/>
      <c r="BZ56" s="317"/>
      <c r="CA56" s="317"/>
      <c r="CB56" s="317"/>
      <c r="CC56" s="317"/>
      <c r="CD56" s="317"/>
      <c r="CE56" s="317"/>
      <c r="CF56" s="317"/>
      <c r="CG56" s="317"/>
      <c r="CH56" s="317"/>
      <c r="CI56" s="317"/>
      <c r="CM56" s="1139">
        <v>0</v>
      </c>
      <c r="CN56" s="1139">
        <v>0</v>
      </c>
      <c r="CP56" s="923">
        <f t="shared" si="3"/>
        <v>0</v>
      </c>
      <c r="CZ56" s="330"/>
    </row>
    <row r="57" spans="1:104" ht="15" customHeight="1" x14ac:dyDescent="0.25">
      <c r="A57" s="684">
        <f>MAX($A$6:A56)+1</f>
        <v>57</v>
      </c>
      <c r="B57" s="11" t="s">
        <v>41</v>
      </c>
      <c r="C57" s="11" t="str">
        <f t="shared" si="25"/>
        <v>SFP</v>
      </c>
      <c r="D57" s="11"/>
      <c r="E57" s="7" t="s">
        <v>1687</v>
      </c>
      <c r="F57" s="15"/>
      <c r="G57" s="1254" t="s">
        <v>295</v>
      </c>
      <c r="H57" s="6">
        <v>0</v>
      </c>
      <c r="I57" s="6">
        <v>0</v>
      </c>
      <c r="J57" s="1257" t="s">
        <v>295</v>
      </c>
      <c r="K57" s="251">
        <f>SUMIF('alb SFP'!$A:$A,$J57,'alb SFP'!$C:$C)</f>
        <v>0</v>
      </c>
      <c r="L57" s="251">
        <f>SUMIF('alb SFP'!$A:$A,$J57,'alb SFP'!$F:$F)</f>
        <v>0</v>
      </c>
      <c r="M57" s="252">
        <v>11</v>
      </c>
      <c r="N57" s="273">
        <f t="shared" si="32"/>
        <v>0</v>
      </c>
      <c r="O57" s="12"/>
      <c r="P57" s="12"/>
      <c r="Q57" s="12"/>
      <c r="R57" s="12"/>
      <c r="S57" s="6">
        <f t="shared" si="1"/>
        <v>0</v>
      </c>
      <c r="T57" s="273">
        <f t="shared" si="33"/>
        <v>0</v>
      </c>
      <c r="U57" s="6">
        <f t="shared" si="34"/>
        <v>0</v>
      </c>
      <c r="V57" s="6"/>
      <c r="W57" s="6">
        <f t="shared" si="35"/>
        <v>0</v>
      </c>
      <c r="X57" s="6"/>
      <c r="Y57" s="6"/>
      <c r="Z57" s="6"/>
      <c r="AA57" s="6"/>
      <c r="AB57" s="6"/>
      <c r="AC57" s="6"/>
      <c r="AD57" s="6"/>
      <c r="AE57" s="6"/>
      <c r="AF57" s="6"/>
      <c r="AG57" s="6"/>
      <c r="AH57" s="6"/>
      <c r="AI57" s="6"/>
      <c r="AJ57" s="6"/>
      <c r="AK57" s="6"/>
      <c r="AL57" s="6"/>
      <c r="AM57" s="6"/>
      <c r="AN57" s="6"/>
      <c r="AO57" s="6"/>
      <c r="AP57" s="6"/>
      <c r="AQ57" s="6"/>
      <c r="AR57" s="6"/>
      <c r="AS57" s="6"/>
      <c r="AT57" s="6"/>
      <c r="AU57" s="6"/>
      <c r="AV57" s="6"/>
      <c r="AX57" s="6"/>
      <c r="AY57" s="6">
        <f>ROUND(AX57/1000/Update!$B$31*Update!$B$27,0)</f>
        <v>0</v>
      </c>
      <c r="BA57" s="6"/>
      <c r="BB57" s="6">
        <f>ROUND(BA57/1000/Update!$B$31,0)</f>
        <v>0</v>
      </c>
      <c r="BC57" s="6"/>
      <c r="BD57" s="29">
        <f t="shared" si="4"/>
        <v>0</v>
      </c>
      <c r="BE57" s="317"/>
      <c r="BF57" s="317"/>
      <c r="BG57" s="1191"/>
      <c r="BH57" s="317"/>
      <c r="BI57" s="1191"/>
      <c r="BJ57" s="1191">
        <f>-BJ89*0</f>
        <v>0</v>
      </c>
      <c r="BK57" s="327">
        <f t="shared" si="2"/>
        <v>0</v>
      </c>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M57" s="1139">
        <v>0</v>
      </c>
      <c r="CN57" s="1139">
        <v>0</v>
      </c>
      <c r="CP57" s="923">
        <f t="shared" si="3"/>
        <v>0</v>
      </c>
      <c r="CZ57" s="330"/>
    </row>
    <row r="58" spans="1:104" ht="15" customHeight="1" x14ac:dyDescent="0.25">
      <c r="A58" s="684">
        <f>MAX($A$6:A57)+1</f>
        <v>58</v>
      </c>
      <c r="B58" s="11" t="s">
        <v>41</v>
      </c>
      <c r="C58" s="11" t="str">
        <f t="shared" si="25"/>
        <v>SFP</v>
      </c>
      <c r="D58" s="11"/>
      <c r="E58" s="7" t="s">
        <v>291</v>
      </c>
      <c r="F58" s="15"/>
      <c r="G58" s="1254" t="s">
        <v>294</v>
      </c>
      <c r="H58" s="6">
        <v>0</v>
      </c>
      <c r="I58" s="6">
        <v>0</v>
      </c>
      <c r="J58" s="1257" t="s">
        <v>861</v>
      </c>
      <c r="K58" s="251">
        <f>SUMIF('alb SFP'!$A:$A,$J58,'alb SFP'!$C:$C)</f>
        <v>0</v>
      </c>
      <c r="L58" s="251">
        <f>SUMIF('alb SFP'!$A:$A,$J58,'alb SFP'!$F:$F)</f>
        <v>0</v>
      </c>
      <c r="M58" s="252">
        <v>12</v>
      </c>
      <c r="N58" s="273">
        <f t="shared" si="32"/>
        <v>0</v>
      </c>
      <c r="O58" s="12"/>
      <c r="P58" s="12"/>
      <c r="Q58" s="12"/>
      <c r="R58" s="12"/>
      <c r="S58" s="6">
        <f t="shared" si="1"/>
        <v>0</v>
      </c>
      <c r="T58" s="273">
        <f t="shared" si="33"/>
        <v>0</v>
      </c>
      <c r="U58" s="6">
        <f t="shared" si="34"/>
        <v>0</v>
      </c>
      <c r="V58" s="6"/>
      <c r="W58" s="6">
        <f t="shared" si="35"/>
        <v>0</v>
      </c>
      <c r="X58" s="6"/>
      <c r="Y58" s="6"/>
      <c r="Z58" s="6"/>
      <c r="AA58" s="6"/>
      <c r="AB58" s="6"/>
      <c r="AC58" s="6"/>
      <c r="AD58" s="6"/>
      <c r="AE58" s="6"/>
      <c r="AF58" s="6"/>
      <c r="AG58" s="6"/>
      <c r="AH58" s="6"/>
      <c r="AI58" s="6"/>
      <c r="AJ58" s="6"/>
      <c r="AK58" s="6"/>
      <c r="AL58" s="6"/>
      <c r="AM58" s="6"/>
      <c r="AN58" s="6"/>
      <c r="AO58" s="6"/>
      <c r="AP58" s="6"/>
      <c r="AQ58" s="6"/>
      <c r="AR58" s="6"/>
      <c r="AS58" s="6"/>
      <c r="AT58" s="6"/>
      <c r="AU58" s="6"/>
      <c r="AV58" s="6"/>
      <c r="AX58" s="6"/>
      <c r="AY58" s="6">
        <f>ROUND(AX58/1000/Update!$B$31*Update!$B$27,0)</f>
        <v>0</v>
      </c>
      <c r="BA58" s="6"/>
      <c r="BB58" s="6">
        <f>ROUND(BA58/1000/Update!$B$31,0)</f>
        <v>0</v>
      </c>
      <c r="BC58" s="6"/>
      <c r="BD58" s="29">
        <f t="shared" si="4"/>
        <v>0</v>
      </c>
      <c r="BE58" s="317"/>
      <c r="BF58" s="317"/>
      <c r="BG58" s="317"/>
      <c r="BH58" s="317"/>
      <c r="BI58" s="317"/>
      <c r="BJ58" s="317"/>
      <c r="BK58" s="327">
        <f t="shared" si="2"/>
        <v>0</v>
      </c>
      <c r="BL58" s="317"/>
      <c r="BM58" s="317"/>
      <c r="BN58" s="317"/>
      <c r="BO58" s="317"/>
      <c r="BP58" s="317"/>
      <c r="BQ58" s="317"/>
      <c r="BR58" s="317"/>
      <c r="BS58" s="317"/>
      <c r="BT58" s="317"/>
      <c r="BU58" s="317"/>
      <c r="BV58" s="317"/>
      <c r="BW58" s="317"/>
      <c r="BX58" s="317"/>
      <c r="BY58" s="317"/>
      <c r="BZ58" s="317"/>
      <c r="CA58" s="317"/>
      <c r="CB58" s="317"/>
      <c r="CC58" s="317"/>
      <c r="CD58" s="317"/>
      <c r="CE58" s="317"/>
      <c r="CF58" s="317"/>
      <c r="CG58" s="317"/>
      <c r="CH58" s="317"/>
      <c r="CI58" s="317"/>
      <c r="CM58" s="1139">
        <v>0</v>
      </c>
      <c r="CN58" s="1139">
        <v>0</v>
      </c>
      <c r="CP58" s="923">
        <f t="shared" si="3"/>
        <v>0</v>
      </c>
      <c r="CZ58" s="330"/>
    </row>
    <row r="59" spans="1:104" ht="15" customHeight="1" x14ac:dyDescent="0.25">
      <c r="A59" s="701">
        <f>MAX($A$6:A58)+1</f>
        <v>59</v>
      </c>
      <c r="B59" s="18" t="s">
        <v>41</v>
      </c>
      <c r="C59" s="18" t="str">
        <f t="shared" si="25"/>
        <v>SFP</v>
      </c>
      <c r="D59" s="18"/>
      <c r="E59" s="17" t="s">
        <v>70</v>
      </c>
      <c r="F59" s="14"/>
      <c r="G59" s="254"/>
      <c r="H59" s="14">
        <f>SUM(H50:H58)</f>
        <v>0</v>
      </c>
      <c r="I59" s="14">
        <f>SUM(I50:I58)</f>
        <v>0</v>
      </c>
      <c r="J59" s="1258" t="s">
        <v>286</v>
      </c>
      <c r="K59" s="256">
        <f>SUM(K50:K58)</f>
        <v>0</v>
      </c>
      <c r="L59" s="256">
        <f>SUM(L50:L58)</f>
        <v>0</v>
      </c>
      <c r="M59" s="14"/>
      <c r="N59" s="14">
        <f>SUM(N50:N58)</f>
        <v>0</v>
      </c>
      <c r="O59" s="14">
        <f>SUM(O50:O58)</f>
        <v>0</v>
      </c>
      <c r="P59" s="14"/>
      <c r="Q59" s="14">
        <f>SUM(Q50:Q58)</f>
        <v>0</v>
      </c>
      <c r="R59" s="14"/>
      <c r="S59" s="14">
        <f t="shared" si="1"/>
        <v>0</v>
      </c>
      <c r="T59" s="14">
        <f>SUM(T50:T58)</f>
        <v>0</v>
      </c>
      <c r="U59" s="14">
        <f>SUM(U50:U58)</f>
        <v>0</v>
      </c>
      <c r="V59" s="14">
        <f>SUM(V50:V58)</f>
        <v>0</v>
      </c>
      <c r="W59" s="14">
        <f>SUM(W51:W58)</f>
        <v>0</v>
      </c>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2"/>
      <c r="AX59" s="14">
        <f>SUM(AX50:AX58)</f>
        <v>0</v>
      </c>
      <c r="AY59" s="14">
        <f>ROUND(AX59/1000/Update!$B$31*Update!$B$27,0)</f>
        <v>0</v>
      </c>
      <c r="AZ59" s="2"/>
      <c r="BA59" s="14">
        <f>SUM(BA50:BA58)</f>
        <v>0</v>
      </c>
      <c r="BB59" s="14">
        <f>ROUND(BA59/1000/Update!$B$31,0)</f>
        <v>0</v>
      </c>
      <c r="BC59" s="14"/>
      <c r="BD59" s="14">
        <f t="shared" si="4"/>
        <v>0</v>
      </c>
      <c r="BE59" s="318">
        <f t="shared" ref="BE59:BJ59" si="36">SUM(BE50:BE58)</f>
        <v>0</v>
      </c>
      <c r="BF59" s="318">
        <f t="shared" si="36"/>
        <v>0</v>
      </c>
      <c r="BG59" s="318">
        <f t="shared" si="36"/>
        <v>0</v>
      </c>
      <c r="BH59" s="318">
        <f t="shared" si="36"/>
        <v>0</v>
      </c>
      <c r="BI59" s="318">
        <f t="shared" si="36"/>
        <v>0</v>
      </c>
      <c r="BJ59" s="318">
        <f t="shared" si="36"/>
        <v>0</v>
      </c>
      <c r="BK59" s="14">
        <f t="shared" si="2"/>
        <v>0</v>
      </c>
      <c r="BL59" s="318"/>
      <c r="BM59" s="318"/>
      <c r="BN59" s="318"/>
      <c r="BO59" s="318"/>
      <c r="BP59" s="318"/>
      <c r="BQ59" s="318"/>
      <c r="BR59" s="318"/>
      <c r="BS59" s="318"/>
      <c r="BT59" s="318"/>
      <c r="BU59" s="318"/>
      <c r="BV59" s="318"/>
      <c r="BW59" s="318"/>
      <c r="BX59" s="318"/>
      <c r="BY59" s="318"/>
      <c r="BZ59" s="318"/>
      <c r="CA59" s="318"/>
      <c r="CB59" s="318"/>
      <c r="CC59" s="318"/>
      <c r="CD59" s="318"/>
      <c r="CE59" s="318"/>
      <c r="CF59" s="318"/>
      <c r="CG59" s="318"/>
      <c r="CH59" s="318"/>
      <c r="CI59" s="318"/>
      <c r="CJ59" s="2"/>
      <c r="CK59" s="2"/>
      <c r="CM59" s="1140">
        <v>-435</v>
      </c>
      <c r="CN59" s="1140">
        <v>80982</v>
      </c>
      <c r="CP59" s="923">
        <f t="shared" si="3"/>
        <v>-435</v>
      </c>
      <c r="CZ59" s="330"/>
    </row>
    <row r="60" spans="1:104" ht="15" customHeight="1" x14ac:dyDescent="0.25">
      <c r="A60" s="684">
        <f>MAX($A$6:A59)+1</f>
        <v>60</v>
      </c>
      <c r="B60" s="11" t="s">
        <v>41</v>
      </c>
      <c r="C60" s="11" t="str">
        <f t="shared" si="25"/>
        <v>SFP</v>
      </c>
      <c r="D60" s="11"/>
      <c r="E60" s="268"/>
      <c r="F60" s="15"/>
      <c r="G60" s="26"/>
      <c r="H60" s="6"/>
      <c r="I60" s="6"/>
      <c r="J60" s="1257" t="s">
        <v>286</v>
      </c>
      <c r="K60" s="251">
        <f>SUMIF('alb SFP'!$A:$A,$J60,'alb SFP'!$C:$C)</f>
        <v>0</v>
      </c>
      <c r="L60" s="251">
        <f>SUMIF('alb SFP'!$A:$A,$J60,'alb SFP'!$F:$F)</f>
        <v>0</v>
      </c>
      <c r="M60" s="252"/>
      <c r="N60" s="273"/>
      <c r="O60" s="12"/>
      <c r="P60" s="12"/>
      <c r="Q60" s="12"/>
      <c r="R60" s="12"/>
      <c r="S60" s="6">
        <f t="shared" si="1"/>
        <v>0</v>
      </c>
      <c r="T60" s="273"/>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X60" s="6"/>
      <c r="AY60" s="6">
        <f>ROUND(AX60/1000/Update!$B$31*Update!$B$27,0)</f>
        <v>0</v>
      </c>
      <c r="BA60" s="6"/>
      <c r="BB60" s="6">
        <f>ROUND(BA60/1000/Update!$B$31,0)</f>
        <v>0</v>
      </c>
      <c r="BC60" s="6"/>
      <c r="BD60" s="29">
        <f t="shared" si="4"/>
        <v>0</v>
      </c>
      <c r="BE60" s="317"/>
      <c r="BF60" s="317"/>
      <c r="BG60" s="317"/>
      <c r="BH60" s="317"/>
      <c r="BI60" s="317"/>
      <c r="BJ60" s="317"/>
      <c r="BK60" s="29">
        <f t="shared" si="2"/>
        <v>0</v>
      </c>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M60" s="1139">
        <v>0</v>
      </c>
      <c r="CN60" s="1139">
        <v>0</v>
      </c>
      <c r="CP60" s="923">
        <f t="shared" si="3"/>
        <v>0</v>
      </c>
      <c r="CZ60" s="330"/>
    </row>
    <row r="61" spans="1:104" ht="15" customHeight="1" x14ac:dyDescent="0.25">
      <c r="A61" s="701">
        <f>MAX($A$6:A60)+1</f>
        <v>61</v>
      </c>
      <c r="B61" s="18" t="s">
        <v>41</v>
      </c>
      <c r="C61" s="18" t="str">
        <f t="shared" si="25"/>
        <v>SFP</v>
      </c>
      <c r="D61" s="18"/>
      <c r="E61" s="17" t="s">
        <v>71</v>
      </c>
      <c r="F61" s="14"/>
      <c r="G61" s="254"/>
      <c r="H61" s="14">
        <f>H49+H59</f>
        <v>2064443</v>
      </c>
      <c r="I61" s="14">
        <f>I49+I59</f>
        <v>0</v>
      </c>
      <c r="J61" s="1258" t="s">
        <v>286</v>
      </c>
      <c r="K61" s="256">
        <f>K49+K59</f>
        <v>0</v>
      </c>
      <c r="L61" s="256">
        <f>L49+L59</f>
        <v>0</v>
      </c>
      <c r="M61" s="14"/>
      <c r="N61" s="14">
        <f>N49+N59</f>
        <v>55443</v>
      </c>
      <c r="O61" s="14">
        <f>O49+O59</f>
        <v>0</v>
      </c>
      <c r="P61" s="14"/>
      <c r="Q61" s="14">
        <f>Q49+Q59</f>
        <v>0</v>
      </c>
      <c r="R61" s="14"/>
      <c r="S61" s="14">
        <f t="shared" si="1"/>
        <v>-2009000</v>
      </c>
      <c r="T61" s="14">
        <f>T49+T59</f>
        <v>2064443</v>
      </c>
      <c r="U61" s="14">
        <f>U49+U59</f>
        <v>0</v>
      </c>
      <c r="V61" s="14">
        <f>V49+V59</f>
        <v>0</v>
      </c>
      <c r="W61" s="14">
        <f>W49+W59</f>
        <v>2064443</v>
      </c>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2"/>
      <c r="AX61" s="14">
        <f>AX49+AX59</f>
        <v>0</v>
      </c>
      <c r="AY61" s="14">
        <f>ROUND(AX61/1000/Update!$B$31*Update!$B$27,0)</f>
        <v>0</v>
      </c>
      <c r="AZ61" s="2"/>
      <c r="BA61" s="14">
        <f>BA49+BA59</f>
        <v>0</v>
      </c>
      <c r="BB61" s="14">
        <f>ROUND(BA61/1000/Update!$B$31,0)</f>
        <v>0</v>
      </c>
      <c r="BC61" s="14"/>
      <c r="BD61" s="14">
        <f t="shared" si="4"/>
        <v>2009000</v>
      </c>
      <c r="BE61" s="318">
        <f t="shared" ref="BE61:BJ61" si="37">BE49+BE59</f>
        <v>0</v>
      </c>
      <c r="BF61" s="318">
        <f t="shared" si="37"/>
        <v>0</v>
      </c>
      <c r="BG61" s="318">
        <f t="shared" si="37"/>
        <v>0</v>
      </c>
      <c r="BH61" s="318">
        <f t="shared" si="37"/>
        <v>2009000</v>
      </c>
      <c r="BI61" s="318">
        <f t="shared" si="37"/>
        <v>0</v>
      </c>
      <c r="BJ61" s="318">
        <f t="shared" si="37"/>
        <v>0</v>
      </c>
      <c r="BK61" s="14">
        <f t="shared" si="2"/>
        <v>0</v>
      </c>
      <c r="BL61" s="318"/>
      <c r="BM61" s="318"/>
      <c r="BN61" s="318"/>
      <c r="BO61" s="318"/>
      <c r="BP61" s="318"/>
      <c r="BQ61" s="318"/>
      <c r="BR61" s="318"/>
      <c r="BS61" s="318"/>
      <c r="BT61" s="318"/>
      <c r="BU61" s="318"/>
      <c r="BV61" s="318"/>
      <c r="BW61" s="318"/>
      <c r="BX61" s="318"/>
      <c r="BY61" s="318"/>
      <c r="BZ61" s="318"/>
      <c r="CA61" s="318"/>
      <c r="CB61" s="318"/>
      <c r="CC61" s="318"/>
      <c r="CD61" s="318"/>
      <c r="CE61" s="318"/>
      <c r="CF61" s="318"/>
      <c r="CG61" s="318"/>
      <c r="CH61" s="318"/>
      <c r="CI61" s="318"/>
      <c r="CJ61" s="2"/>
      <c r="CK61" s="2"/>
      <c r="CM61" s="1140">
        <v>-435</v>
      </c>
      <c r="CN61" s="1140">
        <v>2089982</v>
      </c>
      <c r="CP61" s="923">
        <f t="shared" si="3"/>
        <v>-435</v>
      </c>
      <c r="CZ61" s="330"/>
    </row>
    <row r="62" spans="1:104" ht="15" customHeight="1" x14ac:dyDescent="0.25">
      <c r="A62" s="684">
        <f>MAX($A$6:A61)+1</f>
        <v>62</v>
      </c>
      <c r="B62" s="11" t="s">
        <v>41</v>
      </c>
      <c r="C62" s="11" t="str">
        <f t="shared" si="25"/>
        <v>SFP</v>
      </c>
      <c r="D62" s="11"/>
      <c r="E62" s="13" t="s">
        <v>72</v>
      </c>
      <c r="F62" s="15"/>
      <c r="G62" s="26"/>
      <c r="H62" s="6"/>
      <c r="I62" s="6"/>
      <c r="J62" s="1257" t="s">
        <v>286</v>
      </c>
      <c r="K62" s="251">
        <f>SUMIF('alb SFP'!$A:$A,$J62,'alb SFP'!$C:$C)</f>
        <v>0</v>
      </c>
      <c r="L62" s="251">
        <f>SUMIF('alb SFP'!$A:$A,$J62,'alb SFP'!$F:$F)</f>
        <v>0</v>
      </c>
      <c r="M62" s="252"/>
      <c r="N62" s="273"/>
      <c r="O62" s="12"/>
      <c r="P62" s="12"/>
      <c r="Q62" s="12"/>
      <c r="R62" s="12"/>
      <c r="S62" s="6">
        <f t="shared" si="1"/>
        <v>0</v>
      </c>
      <c r="T62" s="273"/>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X62" s="6"/>
      <c r="AY62" s="6">
        <f>ROUND(AX62/1000/Update!$B$31*Update!$B$27,0)</f>
        <v>0</v>
      </c>
      <c r="BA62" s="6"/>
      <c r="BB62" s="6">
        <f>ROUND(BA62/1000/Update!$B$31,0)</f>
        <v>0</v>
      </c>
      <c r="BC62" s="6"/>
      <c r="BD62" s="29">
        <f t="shared" si="4"/>
        <v>0</v>
      </c>
      <c r="BE62" s="317"/>
      <c r="BF62" s="317"/>
      <c r="BG62" s="317"/>
      <c r="BH62" s="317"/>
      <c r="BI62" s="317"/>
      <c r="BJ62" s="317"/>
      <c r="BK62" s="327">
        <f t="shared" si="2"/>
        <v>0</v>
      </c>
      <c r="BL62" s="317"/>
      <c r="BM62" s="317"/>
      <c r="BN62" s="317"/>
      <c r="BO62" s="317"/>
      <c r="BP62" s="317"/>
      <c r="BQ62" s="317"/>
      <c r="BR62" s="317"/>
      <c r="BS62" s="317"/>
      <c r="BT62" s="317"/>
      <c r="BU62" s="317"/>
      <c r="BV62" s="317"/>
      <c r="BW62" s="317"/>
      <c r="BX62" s="317"/>
      <c r="BY62" s="317"/>
      <c r="BZ62" s="317"/>
      <c r="CA62" s="317"/>
      <c r="CB62" s="317"/>
      <c r="CC62" s="317"/>
      <c r="CD62" s="317"/>
      <c r="CE62" s="317"/>
      <c r="CF62" s="317"/>
      <c r="CG62" s="317"/>
      <c r="CH62" s="317"/>
      <c r="CI62" s="317"/>
      <c r="CM62" s="1139">
        <v>0</v>
      </c>
      <c r="CN62" s="1139">
        <v>0</v>
      </c>
      <c r="CP62" s="923">
        <f t="shared" si="3"/>
        <v>0</v>
      </c>
      <c r="CZ62" s="330"/>
    </row>
    <row r="63" spans="1:104" ht="25.5" customHeight="1" x14ac:dyDescent="0.25">
      <c r="A63" s="684">
        <f>MAX($A$6:A62)+1</f>
        <v>63</v>
      </c>
      <c r="B63" s="11" t="s">
        <v>41</v>
      </c>
      <c r="C63" s="11" t="str">
        <f t="shared" si="25"/>
        <v>SFP</v>
      </c>
      <c r="D63" s="11"/>
      <c r="E63" s="7" t="s">
        <v>747</v>
      </c>
      <c r="F63" s="15"/>
      <c r="G63" s="1254" t="s">
        <v>314</v>
      </c>
      <c r="H63" s="6">
        <v>0</v>
      </c>
      <c r="I63" s="6">
        <v>-725</v>
      </c>
      <c r="J63" s="1257" t="s">
        <v>747</v>
      </c>
      <c r="K63" s="251">
        <f>SUMIF('alb SFP'!$A:$A,$J63,'alb SFP'!$C:$C)</f>
        <v>0</v>
      </c>
      <c r="L63" s="251">
        <f>SUMIF('alb SFP'!$A:$A,$J63,'alb SFP'!$F:$F)</f>
        <v>0</v>
      </c>
      <c r="M63" s="252">
        <v>13</v>
      </c>
      <c r="N63" s="273">
        <f>ROUND(SUM(O63:S63)+SUM(W63:AV63),0)</f>
        <v>0</v>
      </c>
      <c r="O63" s="12"/>
      <c r="P63" s="12"/>
      <c r="Q63" s="12"/>
      <c r="R63" s="12"/>
      <c r="S63" s="6">
        <f t="shared" si="1"/>
        <v>0</v>
      </c>
      <c r="T63" s="273">
        <f t="shared" ref="T63:T69" si="38">ROUND(SUM(U63:Y63),0)</f>
        <v>0</v>
      </c>
      <c r="U63" s="6">
        <f>-SUM(BL63:BN63)</f>
        <v>0</v>
      </c>
      <c r="V63" s="1527">
        <f>-V1271</f>
        <v>0</v>
      </c>
      <c r="W63" s="6">
        <f>-H63</f>
        <v>0</v>
      </c>
      <c r="X63" s="6"/>
      <c r="Y63" s="6"/>
      <c r="Z63" s="6"/>
      <c r="AA63" s="6"/>
      <c r="AB63" s="6"/>
      <c r="AC63" s="6"/>
      <c r="AD63" s="6"/>
      <c r="AE63" s="6"/>
      <c r="AF63" s="6"/>
      <c r="AG63" s="6"/>
      <c r="AH63" s="6"/>
      <c r="AI63" s="6"/>
      <c r="AJ63" s="6"/>
      <c r="AK63" s="6"/>
      <c r="AL63" s="6"/>
      <c r="AM63" s="6"/>
      <c r="AN63" s="6"/>
      <c r="AO63" s="6"/>
      <c r="AP63" s="6"/>
      <c r="AQ63" s="6"/>
      <c r="AR63" s="6"/>
      <c r="AS63" s="6"/>
      <c r="AT63" s="6"/>
      <c r="AU63" s="6"/>
      <c r="AV63" s="6"/>
      <c r="AX63" s="6"/>
      <c r="AY63" s="6">
        <f>ROUND(AX63/1000/Update!$B$31*Update!$B$27,0)</f>
        <v>0</v>
      </c>
      <c r="BA63" s="6"/>
      <c r="BB63" s="6">
        <f>ROUND(BA63/1000/Update!$B$31,0)</f>
        <v>0</v>
      </c>
      <c r="BC63" s="6"/>
      <c r="BD63" s="29">
        <f t="shared" si="4"/>
        <v>0</v>
      </c>
      <c r="BE63" s="1191"/>
      <c r="BF63" s="317"/>
      <c r="BG63" s="295">
        <f>-BG53</f>
        <v>0</v>
      </c>
      <c r="BI63" s="317"/>
      <c r="BJ63" s="1527">
        <f>+-BJ106</f>
        <v>0</v>
      </c>
      <c r="BK63" s="327">
        <f>ROUND(SUM(BO63:CI63),0)</f>
        <v>0</v>
      </c>
      <c r="BL63" s="317"/>
      <c r="BM63" s="317"/>
      <c r="BN63" s="317"/>
      <c r="BO63" s="317"/>
      <c r="BP63" s="317"/>
      <c r="BQ63" s="317"/>
      <c r="BR63" s="317"/>
      <c r="BS63" s="317"/>
      <c r="BT63" s="317"/>
      <c r="BU63" s="317"/>
      <c r="BV63" s="317"/>
      <c r="BW63" s="317"/>
      <c r="BX63" s="317"/>
      <c r="BY63" s="317"/>
      <c r="BZ63" s="317"/>
      <c r="CA63" s="317"/>
      <c r="CB63" s="317"/>
      <c r="CC63" s="317"/>
      <c r="CD63" s="317"/>
      <c r="CE63" s="317"/>
      <c r="CF63" s="317"/>
      <c r="CG63" s="317"/>
      <c r="CH63" s="317"/>
      <c r="CI63" s="317"/>
      <c r="CM63" s="1139">
        <v>436</v>
      </c>
      <c r="CN63" s="1139">
        <v>-80982</v>
      </c>
      <c r="CP63" s="923">
        <f t="shared" si="3"/>
        <v>436</v>
      </c>
      <c r="CZ63" s="330"/>
    </row>
    <row r="64" spans="1:104" ht="15" customHeight="1" x14ac:dyDescent="0.25">
      <c r="A64" s="684">
        <f>MAX($A$6:A63)+1</f>
        <v>64</v>
      </c>
      <c r="B64" s="11" t="s">
        <v>41</v>
      </c>
      <c r="C64" s="11" t="str">
        <f t="shared" si="25"/>
        <v>SFP</v>
      </c>
      <c r="D64" s="11"/>
      <c r="E64" s="7" t="s">
        <v>1075</v>
      </c>
      <c r="F64" s="15"/>
      <c r="G64" s="1254"/>
      <c r="H64" s="6">
        <v>0</v>
      </c>
      <c r="I64" s="6">
        <v>0</v>
      </c>
      <c r="J64" s="1257" t="s">
        <v>1075</v>
      </c>
      <c r="K64" s="251">
        <f>SUMIF('alb SFP'!$A:$A,$J64,'alb SFP'!$C:$C)</f>
        <v>0</v>
      </c>
      <c r="L64" s="251">
        <f>SUMIF('alb SFP'!$A:$A,$J64,'alb SFP'!$F:$F)</f>
        <v>0</v>
      </c>
      <c r="M64" s="252">
        <v>13</v>
      </c>
      <c r="N64" s="273">
        <f t="shared" ref="N64:N69" si="39">ROUND(SUM(O64:S64)+SUM(W64:AV64),0)</f>
        <v>0</v>
      </c>
      <c r="O64" s="12"/>
      <c r="P64" s="12"/>
      <c r="Q64" s="12"/>
      <c r="R64" s="12"/>
      <c r="S64" s="6">
        <f t="shared" si="1"/>
        <v>0</v>
      </c>
      <c r="T64" s="273">
        <f t="shared" si="38"/>
        <v>0</v>
      </c>
      <c r="U64" s="6">
        <f t="shared" ref="U64:U69" si="40">SUM(BL64:BN64)</f>
        <v>0</v>
      </c>
      <c r="V64" s="6"/>
      <c r="W64" s="6">
        <f t="shared" ref="W64:W69" si="41">-H64</f>
        <v>0</v>
      </c>
      <c r="X64" s="6"/>
      <c r="Y64" s="6"/>
      <c r="Z64" s="6"/>
      <c r="AA64" s="6"/>
      <c r="AB64" s="6"/>
      <c r="AC64" s="6"/>
      <c r="AD64" s="6"/>
      <c r="AE64" s="6"/>
      <c r="AF64" s="6"/>
      <c r="AG64" s="6"/>
      <c r="AH64" s="6"/>
      <c r="AI64" s="6"/>
      <c r="AJ64" s="6"/>
      <c r="AK64" s="6"/>
      <c r="AL64" s="6"/>
      <c r="AM64" s="6"/>
      <c r="AN64" s="6"/>
      <c r="AO64" s="6"/>
      <c r="AP64" s="6"/>
      <c r="AQ64" s="6"/>
      <c r="AR64" s="6"/>
      <c r="AS64" s="6"/>
      <c r="AT64" s="6"/>
      <c r="AU64" s="6"/>
      <c r="AV64" s="6"/>
      <c r="AX64" s="6"/>
      <c r="AY64" s="6"/>
      <c r="BA64" s="6"/>
      <c r="BB64" s="6"/>
      <c r="BC64" s="6"/>
      <c r="BD64" s="29">
        <f t="shared" si="4"/>
        <v>0</v>
      </c>
      <c r="BE64" s="1191"/>
      <c r="BF64" s="317"/>
      <c r="BG64" s="317"/>
      <c r="BH64" s="317"/>
      <c r="BI64" s="317"/>
      <c r="BJ64" s="317"/>
      <c r="BK64" s="327">
        <f t="shared" si="2"/>
        <v>0</v>
      </c>
      <c r="BL64" s="317"/>
      <c r="BM64" s="317"/>
      <c r="BN64" s="317"/>
      <c r="BO64" s="317"/>
      <c r="BP64" s="317"/>
      <c r="BQ64" s="317"/>
      <c r="BR64" s="317"/>
      <c r="BS64" s="317"/>
      <c r="BT64" s="317"/>
      <c r="BU64" s="317"/>
      <c r="BV64" s="317"/>
      <c r="BW64" s="317"/>
      <c r="BX64" s="317"/>
      <c r="BY64" s="317"/>
      <c r="BZ64" s="317"/>
      <c r="CA64" s="317"/>
      <c r="CB64" s="317"/>
      <c r="CC64" s="317"/>
      <c r="CD64" s="317"/>
      <c r="CE64" s="317"/>
      <c r="CF64" s="317"/>
      <c r="CG64" s="317"/>
      <c r="CH64" s="317"/>
      <c r="CI64" s="317"/>
      <c r="CM64" s="1139">
        <v>0</v>
      </c>
      <c r="CN64" s="1139">
        <v>0</v>
      </c>
      <c r="CP64" s="923">
        <f t="shared" si="3"/>
        <v>0</v>
      </c>
      <c r="CZ64" s="330"/>
    </row>
    <row r="65" spans="1:104" ht="15" customHeight="1" x14ac:dyDescent="0.25">
      <c r="A65" s="684">
        <f>MAX($A$6:A64)+1</f>
        <v>65</v>
      </c>
      <c r="B65" s="11" t="s">
        <v>41</v>
      </c>
      <c r="C65" s="11" t="str">
        <f t="shared" si="25"/>
        <v>SFP</v>
      </c>
      <c r="D65" s="11"/>
      <c r="E65" s="7" t="s">
        <v>748</v>
      </c>
      <c r="F65" s="15"/>
      <c r="G65" s="1254" t="s">
        <v>315</v>
      </c>
      <c r="H65" s="6">
        <v>0</v>
      </c>
      <c r="I65" s="6">
        <v>0</v>
      </c>
      <c r="J65" s="1257" t="s">
        <v>748</v>
      </c>
      <c r="K65" s="251">
        <f>SUMIF('alb SFP'!$A:$A,$J65,'alb SFP'!$C:$C)</f>
        <v>0</v>
      </c>
      <c r="L65" s="251">
        <f>SUMIF('alb SFP'!$A:$A,$J65,'alb SFP'!$F:$F)</f>
        <v>0</v>
      </c>
      <c r="M65" s="252">
        <v>13</v>
      </c>
      <c r="N65" s="273">
        <f t="shared" si="39"/>
        <v>0</v>
      </c>
      <c r="O65" s="12"/>
      <c r="P65" s="12"/>
      <c r="Q65" s="12"/>
      <c r="R65" s="12"/>
      <c r="S65" s="6">
        <f t="shared" si="1"/>
        <v>0</v>
      </c>
      <c r="T65" s="273">
        <f t="shared" si="38"/>
        <v>0</v>
      </c>
      <c r="U65" s="6">
        <f t="shared" si="40"/>
        <v>0</v>
      </c>
      <c r="V65" s="6"/>
      <c r="W65" s="6">
        <f t="shared" si="41"/>
        <v>0</v>
      </c>
      <c r="X65" s="6"/>
      <c r="Y65" s="6"/>
      <c r="Z65" s="6"/>
      <c r="AA65" s="6"/>
      <c r="AB65" s="6"/>
      <c r="AC65" s="6"/>
      <c r="AD65" s="6"/>
      <c r="AE65" s="6"/>
      <c r="AF65" s="6"/>
      <c r="AG65" s="6"/>
      <c r="AH65" s="6"/>
      <c r="AI65" s="6"/>
      <c r="AJ65" s="6"/>
      <c r="AK65" s="6"/>
      <c r="AL65" s="6"/>
      <c r="AM65" s="6"/>
      <c r="AN65" s="6"/>
      <c r="AO65" s="6"/>
      <c r="AP65" s="6"/>
      <c r="AQ65" s="6"/>
      <c r="AR65" s="6"/>
      <c r="AS65" s="6"/>
      <c r="AT65" s="6"/>
      <c r="AU65" s="6"/>
      <c r="AV65" s="6"/>
      <c r="AX65" s="6"/>
      <c r="AY65" s="6">
        <f>ROUND(AX65/1000/Update!$B$31*Update!$B$27,0)</f>
        <v>0</v>
      </c>
      <c r="BA65" s="6"/>
      <c r="BB65" s="6">
        <f>ROUND(BA65/1000/Update!$B$31,0)</f>
        <v>0</v>
      </c>
      <c r="BC65" s="6"/>
      <c r="BD65" s="29">
        <f t="shared" si="4"/>
        <v>0</v>
      </c>
      <c r="BE65" s="1191">
        <f>-BK1310*0</f>
        <v>0</v>
      </c>
      <c r="BF65" s="317"/>
      <c r="BG65" s="317"/>
      <c r="BH65" s="317"/>
      <c r="BI65" s="317"/>
      <c r="BJ65" s="317"/>
      <c r="BK65" s="327">
        <f t="shared" si="2"/>
        <v>0</v>
      </c>
      <c r="BL65" s="317"/>
      <c r="BM65" s="317"/>
      <c r="BN65" s="317"/>
      <c r="BO65" s="317"/>
      <c r="BP65" s="317"/>
      <c r="BQ65" s="317"/>
      <c r="BR65" s="317"/>
      <c r="BS65" s="317"/>
      <c r="BT65" s="317"/>
      <c r="BU65" s="317"/>
      <c r="BV65" s="317"/>
      <c r="BW65" s="317"/>
      <c r="BX65" s="317"/>
      <c r="BY65" s="317"/>
      <c r="BZ65" s="317"/>
      <c r="CA65" s="317"/>
      <c r="CB65" s="317"/>
      <c r="CC65" s="317"/>
      <c r="CD65" s="317"/>
      <c r="CE65" s="317"/>
      <c r="CF65" s="317"/>
      <c r="CG65" s="317"/>
      <c r="CH65" s="317"/>
      <c r="CI65" s="317"/>
      <c r="CM65" s="1139">
        <v>-1</v>
      </c>
      <c r="CN65" s="1139">
        <v>0</v>
      </c>
      <c r="CP65" s="923">
        <f t="shared" si="3"/>
        <v>-1</v>
      </c>
      <c r="CZ65" s="330"/>
    </row>
    <row r="66" spans="1:104" ht="15" customHeight="1" x14ac:dyDescent="0.25">
      <c r="A66" s="684">
        <f>MAX($A$6:A65)+1</f>
        <v>66</v>
      </c>
      <c r="B66" s="11" t="s">
        <v>41</v>
      </c>
      <c r="C66" s="11" t="str">
        <f t="shared" si="25"/>
        <v>SFP</v>
      </c>
      <c r="D66" s="11"/>
      <c r="E66" s="7" t="s">
        <v>297</v>
      </c>
      <c r="F66" s="15"/>
      <c r="G66" s="1254" t="s">
        <v>297</v>
      </c>
      <c r="H66" s="6">
        <v>0</v>
      </c>
      <c r="I66" s="6">
        <v>0</v>
      </c>
      <c r="J66" s="1257" t="s">
        <v>297</v>
      </c>
      <c r="K66" s="251">
        <f>SUMIF('alb SFP'!$A:$A,$J66,'alb SFP'!$C:$C)</f>
        <v>0</v>
      </c>
      <c r="L66" s="251">
        <f>SUMIF('alb SFP'!$A:$A,$J66,'alb SFP'!$F:$F)</f>
        <v>0</v>
      </c>
      <c r="M66" s="252">
        <v>14</v>
      </c>
      <c r="N66" s="273">
        <f t="shared" si="39"/>
        <v>0</v>
      </c>
      <c r="O66" s="12"/>
      <c r="P66" s="12"/>
      <c r="Q66" s="12"/>
      <c r="R66" s="12"/>
      <c r="S66" s="6">
        <f t="shared" si="1"/>
        <v>0</v>
      </c>
      <c r="T66" s="273">
        <f t="shared" si="38"/>
        <v>0</v>
      </c>
      <c r="U66" s="251">
        <f t="shared" si="40"/>
        <v>0</v>
      </c>
      <c r="V66" s="251"/>
      <c r="W66" s="251">
        <f t="shared" si="41"/>
        <v>0</v>
      </c>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X66" s="6"/>
      <c r="AY66" s="6">
        <f>ROUND(AX66/1000/Update!$B$31*Update!$B$27,0)</f>
        <v>0</v>
      </c>
      <c r="BA66" s="6"/>
      <c r="BB66" s="6">
        <f>ROUND(BA66/1000/Update!$B$31,0)</f>
        <v>0</v>
      </c>
      <c r="BC66" s="6"/>
      <c r="BD66" s="29">
        <f t="shared" si="4"/>
        <v>0</v>
      </c>
      <c r="BE66" s="1191"/>
      <c r="BF66" s="317"/>
      <c r="BG66" s="317"/>
      <c r="BH66" s="317"/>
      <c r="BI66" s="317"/>
      <c r="BJ66" s="317"/>
      <c r="BK66" s="327">
        <f t="shared" si="2"/>
        <v>0</v>
      </c>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M66" s="1139">
        <v>0</v>
      </c>
      <c r="CN66" s="1139">
        <v>0</v>
      </c>
      <c r="CP66" s="923">
        <f t="shared" si="3"/>
        <v>0</v>
      </c>
      <c r="CZ66" s="330"/>
    </row>
    <row r="67" spans="1:104" ht="15" customHeight="1" x14ac:dyDescent="0.25">
      <c r="A67" s="684">
        <f>MAX($A$6:A66)+1</f>
        <v>67</v>
      </c>
      <c r="B67" s="11" t="s">
        <v>41</v>
      </c>
      <c r="C67" s="11" t="str">
        <f t="shared" si="25"/>
        <v>SFP</v>
      </c>
      <c r="D67" s="11"/>
      <c r="E67" s="7" t="s">
        <v>297</v>
      </c>
      <c r="F67" s="15"/>
      <c r="G67" s="1254"/>
      <c r="H67" s="6">
        <v>0</v>
      </c>
      <c r="I67" s="6">
        <v>0</v>
      </c>
      <c r="J67" s="1257" t="s">
        <v>1004</v>
      </c>
      <c r="K67" s="251">
        <f>SUMIF('alb SFP'!$A:$A,$J67,'alb SFP'!$C:$C)</f>
        <v>0</v>
      </c>
      <c r="L67" s="251">
        <f>SUMIF('alb SFP'!$A:$A,$J67,'alb SFP'!$F:$F)</f>
        <v>0</v>
      </c>
      <c r="M67" s="252"/>
      <c r="N67" s="273">
        <f t="shared" si="39"/>
        <v>0</v>
      </c>
      <c r="O67" s="12"/>
      <c r="P67" s="12"/>
      <c r="Q67" s="12"/>
      <c r="R67" s="12"/>
      <c r="S67" s="6">
        <f t="shared" ref="S67:S124" si="42">-IF(ISNUMBER(BD67),BD67,0)</f>
        <v>0</v>
      </c>
      <c r="T67" s="273">
        <f t="shared" si="38"/>
        <v>0</v>
      </c>
      <c r="U67" s="251">
        <f t="shared" si="40"/>
        <v>0</v>
      </c>
      <c r="V67" s="251"/>
      <c r="W67" s="251">
        <f t="shared" si="41"/>
        <v>0</v>
      </c>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X67" s="6"/>
      <c r="AY67" s="6"/>
      <c r="BA67" s="6"/>
      <c r="BB67" s="6"/>
      <c r="BC67" s="6"/>
      <c r="BD67" s="29">
        <f t="shared" ref="BD67:BD124" si="43">ROUND(SUM(BE67:BK67),0)</f>
        <v>0</v>
      </c>
      <c r="BE67" s="317"/>
      <c r="BF67" s="317"/>
      <c r="BG67" s="317"/>
      <c r="BH67" s="317"/>
      <c r="BI67" s="317"/>
      <c r="BJ67" s="317"/>
      <c r="BK67" s="327">
        <f t="shared" si="2"/>
        <v>0</v>
      </c>
      <c r="BL67" s="317"/>
      <c r="BM67" s="317"/>
      <c r="BN67" s="317"/>
      <c r="BO67" s="317"/>
      <c r="BP67" s="317"/>
      <c r="BQ67" s="317"/>
      <c r="BR67" s="317"/>
      <c r="BS67" s="317"/>
      <c r="BT67" s="317"/>
      <c r="BU67" s="317"/>
      <c r="BV67" s="317"/>
      <c r="BW67" s="317"/>
      <c r="BX67" s="317"/>
      <c r="BY67" s="317"/>
      <c r="BZ67" s="317"/>
      <c r="CA67" s="317"/>
      <c r="CB67" s="317"/>
      <c r="CC67" s="317"/>
      <c r="CD67" s="317"/>
      <c r="CE67" s="317"/>
      <c r="CF67" s="317"/>
      <c r="CG67" s="317"/>
      <c r="CH67" s="317"/>
      <c r="CI67" s="317"/>
      <c r="CM67" s="1139">
        <v>0</v>
      </c>
      <c r="CN67" s="1139">
        <v>0</v>
      </c>
      <c r="CP67" s="923">
        <f t="shared" si="3"/>
        <v>0</v>
      </c>
      <c r="CZ67" s="330"/>
    </row>
    <row r="68" spans="1:104" ht="15" customHeight="1" x14ac:dyDescent="0.25">
      <c r="A68" s="684">
        <f>MAX($A$6:A67)+1</f>
        <v>68</v>
      </c>
      <c r="B68" s="11" t="s">
        <v>41</v>
      </c>
      <c r="C68" s="11" t="str">
        <f t="shared" si="25"/>
        <v>SFP</v>
      </c>
      <c r="D68" s="11"/>
      <c r="E68" s="7" t="s">
        <v>316</v>
      </c>
      <c r="F68" s="15"/>
      <c r="G68" s="1254" t="s">
        <v>316</v>
      </c>
      <c r="H68" s="6">
        <v>0</v>
      </c>
      <c r="I68" s="6">
        <v>0</v>
      </c>
      <c r="J68" s="1261" t="s">
        <v>286</v>
      </c>
      <c r="K68" s="251">
        <f>SUMIF('alb SFP'!$A:$A,$J68,'alb SFP'!$C:$C)</f>
        <v>0</v>
      </c>
      <c r="L68" s="251">
        <f>SUMIF('alb SFP'!$A:$A,$J68,'alb SFP'!$F:$F)</f>
        <v>0</v>
      </c>
      <c r="M68" s="252"/>
      <c r="N68" s="273">
        <f t="shared" si="39"/>
        <v>0</v>
      </c>
      <c r="O68" s="12"/>
      <c r="P68" s="12"/>
      <c r="Q68" s="12"/>
      <c r="R68" s="12"/>
      <c r="S68" s="6">
        <f t="shared" si="42"/>
        <v>0</v>
      </c>
      <c r="T68" s="273">
        <f t="shared" si="38"/>
        <v>0</v>
      </c>
      <c r="U68" s="6">
        <f t="shared" si="40"/>
        <v>0</v>
      </c>
      <c r="V68" s="6"/>
      <c r="W68" s="6">
        <f t="shared" si="41"/>
        <v>0</v>
      </c>
      <c r="X68" s="6"/>
      <c r="Y68" s="6"/>
      <c r="Z68" s="6"/>
      <c r="AA68" s="6"/>
      <c r="AB68" s="6"/>
      <c r="AC68" s="6"/>
      <c r="AD68" s="6"/>
      <c r="AE68" s="6"/>
      <c r="AF68" s="6"/>
      <c r="AG68" s="6"/>
      <c r="AH68" s="6"/>
      <c r="AI68" s="6"/>
      <c r="AJ68" s="6"/>
      <c r="AK68" s="6"/>
      <c r="AL68" s="6"/>
      <c r="AM68" s="6"/>
      <c r="AN68" s="6"/>
      <c r="AO68" s="6"/>
      <c r="AP68" s="6"/>
      <c r="AQ68" s="6"/>
      <c r="AR68" s="6"/>
      <c r="AS68" s="6"/>
      <c r="AT68" s="6"/>
      <c r="AU68" s="6"/>
      <c r="AV68" s="6"/>
      <c r="AX68" s="6"/>
      <c r="AY68" s="6">
        <f>ROUND(AX68/1000/Update!$B$31*Update!$B$27,0)</f>
        <v>0</v>
      </c>
      <c r="BA68" s="6"/>
      <c r="BB68" s="6">
        <f>ROUND(BA68/1000/Update!$B$31,0)</f>
        <v>0</v>
      </c>
      <c r="BC68" s="6"/>
      <c r="BD68" s="29">
        <f t="shared" si="43"/>
        <v>0</v>
      </c>
      <c r="BE68" s="317"/>
      <c r="BF68" s="317"/>
      <c r="BG68" s="317"/>
      <c r="BH68" s="317"/>
      <c r="BI68" s="317"/>
      <c r="BJ68" s="317"/>
      <c r="BK68" s="327">
        <f t="shared" si="2"/>
        <v>0</v>
      </c>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M68" s="1139">
        <v>0</v>
      </c>
      <c r="CN68" s="1139">
        <v>0</v>
      </c>
      <c r="CP68" s="923">
        <f t="shared" si="3"/>
        <v>0</v>
      </c>
      <c r="CZ68" s="330"/>
    </row>
    <row r="69" spans="1:104" ht="15" customHeight="1" x14ac:dyDescent="0.25">
      <c r="A69" s="684">
        <f>MAX($A$6:A68)+1</f>
        <v>69</v>
      </c>
      <c r="B69" s="11" t="s">
        <v>41</v>
      </c>
      <c r="C69" s="11" t="str">
        <f t="shared" si="25"/>
        <v>SFP</v>
      </c>
      <c r="D69" s="11"/>
      <c r="E69" s="7" t="s">
        <v>748</v>
      </c>
      <c r="F69" s="15"/>
      <c r="G69" s="1254" t="s">
        <v>296</v>
      </c>
      <c r="H69" s="6">
        <v>0</v>
      </c>
      <c r="I69" s="6">
        <v>0</v>
      </c>
      <c r="J69" s="1257" t="s">
        <v>862</v>
      </c>
      <c r="K69" s="251">
        <f>SUMIF('alb SFP'!$A:$A,$J69,'alb SFP'!$C:$C)</f>
        <v>0</v>
      </c>
      <c r="L69" s="251">
        <f>SUMIF('alb SFP'!$A:$A,$J69,'alb SFP'!$F:$F)</f>
        <v>0</v>
      </c>
      <c r="M69" s="252">
        <v>9</v>
      </c>
      <c r="N69" s="273">
        <f t="shared" si="39"/>
        <v>0</v>
      </c>
      <c r="O69" s="12"/>
      <c r="P69" s="12"/>
      <c r="Q69" s="12"/>
      <c r="R69" s="12"/>
      <c r="S69" s="6">
        <f t="shared" si="42"/>
        <v>0</v>
      </c>
      <c r="T69" s="273">
        <f t="shared" si="38"/>
        <v>0</v>
      </c>
      <c r="U69" s="6">
        <f t="shared" si="40"/>
        <v>0</v>
      </c>
      <c r="V69" s="6"/>
      <c r="W69" s="6">
        <f t="shared" si="41"/>
        <v>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X69" s="6"/>
      <c r="AY69" s="6">
        <f>ROUND(AX69/1000/Update!$B$31*Update!$B$27,0)</f>
        <v>0</v>
      </c>
      <c r="BA69" s="6"/>
      <c r="BB69" s="6">
        <f>ROUND(BA69/1000/Update!$B$31,0)</f>
        <v>0</v>
      </c>
      <c r="BC69" s="6"/>
      <c r="BD69" s="29">
        <f t="shared" si="43"/>
        <v>0</v>
      </c>
      <c r="BE69" s="317"/>
      <c r="BF69" s="317"/>
      <c r="BG69" s="317"/>
      <c r="BH69" s="317"/>
      <c r="BI69" s="317"/>
      <c r="BJ69" s="317"/>
      <c r="BK69" s="327">
        <f t="shared" si="2"/>
        <v>0</v>
      </c>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M69" s="1139">
        <v>0</v>
      </c>
      <c r="CN69" s="1139">
        <v>0</v>
      </c>
      <c r="CP69" s="923">
        <f t="shared" si="3"/>
        <v>0</v>
      </c>
      <c r="CZ69" s="330"/>
    </row>
    <row r="70" spans="1:104" ht="15" customHeight="1" x14ac:dyDescent="0.25">
      <c r="A70" s="701">
        <f>MAX($A$6:A69)+1</f>
        <v>70</v>
      </c>
      <c r="B70" s="18" t="s">
        <v>41</v>
      </c>
      <c r="C70" s="18" t="str">
        <f t="shared" si="25"/>
        <v>SFP</v>
      </c>
      <c r="D70" s="18"/>
      <c r="E70" s="17" t="s">
        <v>73</v>
      </c>
      <c r="F70" s="14"/>
      <c r="G70" s="254"/>
      <c r="H70" s="14">
        <f>SUM(H62:H69)</f>
        <v>0</v>
      </c>
      <c r="I70" s="14">
        <f>SUM(I62:I69)</f>
        <v>-725</v>
      </c>
      <c r="J70" s="1258" t="s">
        <v>286</v>
      </c>
      <c r="K70" s="256">
        <f>SUM(K62:K69)</f>
        <v>0</v>
      </c>
      <c r="L70" s="256">
        <f>SUM(L62:L69)</f>
        <v>0</v>
      </c>
      <c r="M70" s="14"/>
      <c r="N70" s="14">
        <f t="shared" ref="N70:V70" si="44">SUM(N62:N69)</f>
        <v>0</v>
      </c>
      <c r="O70" s="14">
        <f t="shared" si="44"/>
        <v>0</v>
      </c>
      <c r="P70" s="14">
        <f t="shared" si="44"/>
        <v>0</v>
      </c>
      <c r="Q70" s="14">
        <f t="shared" si="44"/>
        <v>0</v>
      </c>
      <c r="R70" s="14">
        <f t="shared" si="44"/>
        <v>0</v>
      </c>
      <c r="S70" s="14">
        <f t="shared" si="42"/>
        <v>0</v>
      </c>
      <c r="T70" s="14">
        <f>SUM(T62:T69)</f>
        <v>0</v>
      </c>
      <c r="U70" s="14">
        <f>SUM(U62:U69)</f>
        <v>0</v>
      </c>
      <c r="V70" s="14">
        <f t="shared" si="44"/>
        <v>0</v>
      </c>
      <c r="W70" s="14">
        <f>SUM(W63:W69)</f>
        <v>0</v>
      </c>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2"/>
      <c r="AX70" s="14">
        <f>SUM(AX62:AX69)</f>
        <v>0</v>
      </c>
      <c r="AY70" s="14">
        <f>ROUND(AX70/1000/Update!$B$31*Update!$B$27,0)</f>
        <v>0</v>
      </c>
      <c r="AZ70" s="2"/>
      <c r="BA70" s="14">
        <f>SUM(BA62:BA69)</f>
        <v>0</v>
      </c>
      <c r="BB70" s="14">
        <f>ROUND(BA70/1000/Update!$B$31,0)</f>
        <v>0</v>
      </c>
      <c r="BC70" s="14"/>
      <c r="BD70" s="14">
        <f t="shared" ref="BD70:BJ70" si="45">SUM(BD62:BD69)</f>
        <v>0</v>
      </c>
      <c r="BE70" s="14">
        <f t="shared" si="45"/>
        <v>0</v>
      </c>
      <c r="BF70" s="14">
        <f t="shared" si="45"/>
        <v>0</v>
      </c>
      <c r="BG70" s="14">
        <f t="shared" si="45"/>
        <v>0</v>
      </c>
      <c r="BH70" s="14">
        <f t="shared" si="45"/>
        <v>0</v>
      </c>
      <c r="BI70" s="14">
        <f t="shared" si="45"/>
        <v>0</v>
      </c>
      <c r="BJ70" s="14">
        <f t="shared" si="45"/>
        <v>0</v>
      </c>
      <c r="BK70" s="14">
        <f t="shared" si="2"/>
        <v>0</v>
      </c>
      <c r="BL70" s="318"/>
      <c r="BM70" s="318"/>
      <c r="BN70" s="318"/>
      <c r="BO70" s="318"/>
      <c r="BP70" s="318"/>
      <c r="BQ70" s="318"/>
      <c r="BR70" s="318"/>
      <c r="BS70" s="318"/>
      <c r="BT70" s="318"/>
      <c r="BU70" s="318"/>
      <c r="BV70" s="318"/>
      <c r="BW70" s="318"/>
      <c r="BX70" s="318"/>
      <c r="BY70" s="318"/>
      <c r="BZ70" s="318"/>
      <c r="CA70" s="318"/>
      <c r="CB70" s="318"/>
      <c r="CC70" s="318"/>
      <c r="CD70" s="318"/>
      <c r="CE70" s="318"/>
      <c r="CF70" s="318"/>
      <c r="CG70" s="318"/>
      <c r="CH70" s="318"/>
      <c r="CI70" s="318"/>
      <c r="CJ70" s="2"/>
      <c r="CK70" s="2"/>
      <c r="CM70" s="1140">
        <v>435</v>
      </c>
      <c r="CN70" s="1140">
        <v>-80982</v>
      </c>
      <c r="CP70" s="923">
        <f t="shared" si="3"/>
        <v>435</v>
      </c>
      <c r="CZ70" s="330"/>
    </row>
    <row r="71" spans="1:104" ht="15" customHeight="1" x14ac:dyDescent="0.25">
      <c r="A71" s="684">
        <f>MAX($A$6:A70)+1</f>
        <v>71</v>
      </c>
      <c r="B71" s="11" t="s">
        <v>41</v>
      </c>
      <c r="C71" s="11" t="str">
        <f t="shared" si="25"/>
        <v>SFP</v>
      </c>
      <c r="D71" s="11"/>
      <c r="E71" s="268"/>
      <c r="F71" s="15"/>
      <c r="G71" s="26"/>
      <c r="H71" s="6"/>
      <c r="I71" s="6"/>
      <c r="J71" s="1257" t="s">
        <v>286</v>
      </c>
      <c r="K71" s="251">
        <f>SUMIF('alb SFP'!$A:$A,$J71,'alb SFP'!$C:$C)</f>
        <v>0</v>
      </c>
      <c r="L71" s="251">
        <f>SUMIF('alb SFP'!$A:$A,$J71,'alb SFP'!$F:$F)</f>
        <v>0</v>
      </c>
      <c r="M71" s="252"/>
      <c r="N71" s="273"/>
      <c r="O71" s="12"/>
      <c r="P71" s="12"/>
      <c r="Q71" s="12"/>
      <c r="R71" s="12"/>
      <c r="S71" s="6">
        <f t="shared" si="42"/>
        <v>0</v>
      </c>
      <c r="T71" s="273"/>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X71" s="6"/>
      <c r="AY71" s="6">
        <f>ROUND(AX71/1000/Update!$B$31*Update!$B$27,0)</f>
        <v>0</v>
      </c>
      <c r="BA71" s="6"/>
      <c r="BB71" s="6">
        <f>ROUND(BA71/1000/Update!$B$31,0)</f>
        <v>0</v>
      </c>
      <c r="BC71" s="6"/>
      <c r="BD71" s="29">
        <f t="shared" si="43"/>
        <v>0</v>
      </c>
      <c r="BE71" s="317"/>
      <c r="BF71" s="317"/>
      <c r="BG71" s="317"/>
      <c r="BH71" s="317"/>
      <c r="BI71" s="317"/>
      <c r="BJ71" s="317"/>
      <c r="BK71" s="29">
        <f t="shared" si="2"/>
        <v>0</v>
      </c>
      <c r="BL71" s="317"/>
      <c r="BM71" s="317"/>
      <c r="BN71" s="317"/>
      <c r="BO71" s="317"/>
      <c r="BP71" s="317"/>
      <c r="BQ71" s="317"/>
      <c r="BR71" s="317"/>
      <c r="BS71" s="317"/>
      <c r="BT71" s="317"/>
      <c r="BU71" s="317"/>
      <c r="BV71" s="317"/>
      <c r="BW71" s="317"/>
      <c r="BX71" s="317"/>
      <c r="BY71" s="317"/>
      <c r="BZ71" s="317"/>
      <c r="CA71" s="317"/>
      <c r="CB71" s="317"/>
      <c r="CC71" s="317"/>
      <c r="CD71" s="317"/>
      <c r="CE71" s="317"/>
      <c r="CF71" s="317"/>
      <c r="CG71" s="317"/>
      <c r="CH71" s="317"/>
      <c r="CI71" s="317"/>
      <c r="CM71" s="1139">
        <v>0</v>
      </c>
      <c r="CN71" s="1139">
        <v>0</v>
      </c>
      <c r="CP71" s="923">
        <f t="shared" si="3"/>
        <v>0</v>
      </c>
      <c r="CZ71" s="330"/>
    </row>
    <row r="72" spans="1:104" ht="15" customHeight="1" x14ac:dyDescent="0.25">
      <c r="A72" s="701">
        <f>MAX($A$6:A71)+1</f>
        <v>72</v>
      </c>
      <c r="B72" s="18" t="s">
        <v>41</v>
      </c>
      <c r="C72" s="18" t="str">
        <f t="shared" si="25"/>
        <v>SFP</v>
      </c>
      <c r="D72" s="18"/>
      <c r="E72" s="17" t="s">
        <v>74</v>
      </c>
      <c r="F72" s="14"/>
      <c r="G72" s="254"/>
      <c r="H72" s="14">
        <f>H61-H70</f>
        <v>2064443</v>
      </c>
      <c r="I72" s="14">
        <f>I61-I70</f>
        <v>725</v>
      </c>
      <c r="J72" s="1258" t="s">
        <v>286</v>
      </c>
      <c r="K72" s="256">
        <f>K61+K70</f>
        <v>0</v>
      </c>
      <c r="L72" s="256">
        <f>L61+L70</f>
        <v>0</v>
      </c>
      <c r="M72" s="14"/>
      <c r="N72" s="17">
        <f>N61+N70</f>
        <v>55443</v>
      </c>
      <c r="O72" s="14">
        <f>O61-O70</f>
        <v>0</v>
      </c>
      <c r="P72" s="14">
        <f>P61-P70</f>
        <v>0</v>
      </c>
      <c r="Q72" s="14">
        <f>Q61-Q70</f>
        <v>0</v>
      </c>
      <c r="R72" s="14">
        <f>R61-R70</f>
        <v>0</v>
      </c>
      <c r="S72" s="14">
        <f t="shared" si="42"/>
        <v>-2009000</v>
      </c>
      <c r="T72" s="17">
        <f>T61+T70</f>
        <v>2064443</v>
      </c>
      <c r="U72" s="17">
        <f>U61+U70</f>
        <v>0</v>
      </c>
      <c r="V72" s="17">
        <f>V61+V70</f>
        <v>0</v>
      </c>
      <c r="W72" s="17">
        <f>W61+W70</f>
        <v>2064443</v>
      </c>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2"/>
      <c r="AX72" s="14">
        <f>AX61-AX70</f>
        <v>0</v>
      </c>
      <c r="AY72" s="14">
        <f>ROUND(AX72/1000/Update!$B$31*Update!$B$27,0)</f>
        <v>0</v>
      </c>
      <c r="AZ72" s="2"/>
      <c r="BA72" s="14">
        <f>BA61-BA70</f>
        <v>0</v>
      </c>
      <c r="BB72" s="14">
        <f>ROUND(BA72/1000/Update!$B$31,0)</f>
        <v>0</v>
      </c>
      <c r="BC72" s="14"/>
      <c r="BD72" s="17">
        <f t="shared" ref="BD72:BJ72" si="46">BD61+BD70</f>
        <v>2009000</v>
      </c>
      <c r="BE72" s="318">
        <f t="shared" si="46"/>
        <v>0</v>
      </c>
      <c r="BF72" s="318">
        <f t="shared" si="46"/>
        <v>0</v>
      </c>
      <c r="BG72" s="318">
        <f t="shared" si="46"/>
        <v>0</v>
      </c>
      <c r="BH72" s="318">
        <f t="shared" si="46"/>
        <v>2009000</v>
      </c>
      <c r="BI72" s="318">
        <f t="shared" si="46"/>
        <v>0</v>
      </c>
      <c r="BJ72" s="318">
        <f t="shared" si="46"/>
        <v>0</v>
      </c>
      <c r="BK72" s="17">
        <f t="shared" si="2"/>
        <v>0</v>
      </c>
      <c r="BL72" s="318"/>
      <c r="BM72" s="318"/>
      <c r="BN72" s="318"/>
      <c r="BO72" s="318"/>
      <c r="BP72" s="318"/>
      <c r="BQ72" s="318"/>
      <c r="BR72" s="318"/>
      <c r="BS72" s="318"/>
      <c r="BT72" s="318"/>
      <c r="BU72" s="318"/>
      <c r="BV72" s="318"/>
      <c r="BW72" s="318"/>
      <c r="BX72" s="318"/>
      <c r="BY72" s="318"/>
      <c r="BZ72" s="318"/>
      <c r="CA72" s="318"/>
      <c r="CB72" s="318"/>
      <c r="CC72" s="318"/>
      <c r="CD72" s="318"/>
      <c r="CE72" s="318"/>
      <c r="CF72" s="318"/>
      <c r="CG72" s="318"/>
      <c r="CH72" s="318"/>
      <c r="CI72" s="318"/>
      <c r="CJ72" s="2"/>
      <c r="CK72" s="2"/>
      <c r="CM72" s="1140">
        <v>0</v>
      </c>
      <c r="CN72" s="1140">
        <v>2009000</v>
      </c>
      <c r="CP72" s="923">
        <f t="shared" ref="CP72:CP135" si="47">-V72+BL72+BM72+BN72+CM72</f>
        <v>0</v>
      </c>
      <c r="CZ72" s="330"/>
    </row>
    <row r="73" spans="1:104" ht="15" customHeight="1" x14ac:dyDescent="0.25">
      <c r="A73" s="684">
        <f>MAX($A$6:A72)+1</f>
        <v>73</v>
      </c>
      <c r="B73" s="11" t="s">
        <v>41</v>
      </c>
      <c r="C73" s="11" t="str">
        <f t="shared" si="25"/>
        <v>SFP</v>
      </c>
      <c r="D73" s="11"/>
      <c r="E73" s="13" t="s">
        <v>75</v>
      </c>
      <c r="F73" s="15"/>
      <c r="G73" s="26"/>
      <c r="H73" s="6"/>
      <c r="I73" s="6"/>
      <c r="J73" s="1257" t="s">
        <v>286</v>
      </c>
      <c r="K73" s="251">
        <f>SUMIF('alb SFP'!$A:$A,$J73,'alb SFP'!$C:$C)</f>
        <v>0</v>
      </c>
      <c r="L73" s="251">
        <f>SUMIF('alb SFP'!$A:$A,$J73,'alb SFP'!$F:$F)</f>
        <v>0</v>
      </c>
      <c r="M73" s="252"/>
      <c r="N73" s="273"/>
      <c r="O73" s="12"/>
      <c r="P73" s="12"/>
      <c r="Q73" s="12"/>
      <c r="R73" s="12"/>
      <c r="S73" s="6">
        <f t="shared" si="42"/>
        <v>0</v>
      </c>
      <c r="T73" s="273"/>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X73" s="6"/>
      <c r="AY73" s="6">
        <f>ROUND(AX73/1000/Update!$B$31*Update!$B$27,0)</f>
        <v>0</v>
      </c>
      <c r="BA73" s="6"/>
      <c r="BB73" s="6">
        <f>ROUND(BA73/1000/Update!$B$31,0)</f>
        <v>0</v>
      </c>
      <c r="BC73" s="6"/>
      <c r="BD73" s="29">
        <f t="shared" si="43"/>
        <v>0</v>
      </c>
      <c r="BE73" s="317"/>
      <c r="BF73" s="317"/>
      <c r="BG73" s="317"/>
      <c r="BH73" s="317"/>
      <c r="BI73" s="317"/>
      <c r="BJ73" s="317"/>
      <c r="BK73" s="327">
        <f t="shared" si="2"/>
        <v>0</v>
      </c>
      <c r="BL73" s="317"/>
      <c r="BM73" s="317"/>
      <c r="BN73" s="317"/>
      <c r="BO73" s="317"/>
      <c r="BP73" s="317"/>
      <c r="BQ73" s="317"/>
      <c r="BR73" s="317"/>
      <c r="BS73" s="317"/>
      <c r="BT73" s="317"/>
      <c r="BU73" s="317"/>
      <c r="BV73" s="317"/>
      <c r="BW73" s="317"/>
      <c r="BX73" s="317"/>
      <c r="BY73" s="317"/>
      <c r="BZ73" s="317"/>
      <c r="CA73" s="317"/>
      <c r="CB73" s="317"/>
      <c r="CC73" s="317"/>
      <c r="CD73" s="317"/>
      <c r="CE73" s="317"/>
      <c r="CF73" s="317"/>
      <c r="CG73" s="317"/>
      <c r="CH73" s="317"/>
      <c r="CI73" s="317"/>
      <c r="CM73" s="1139">
        <v>0</v>
      </c>
      <c r="CN73" s="1139">
        <v>0</v>
      </c>
      <c r="CP73" s="923">
        <f t="shared" si="47"/>
        <v>0</v>
      </c>
      <c r="CZ73" s="330"/>
    </row>
    <row r="74" spans="1:104" ht="15" customHeight="1" x14ac:dyDescent="0.25">
      <c r="A74" s="684">
        <f>MAX($A$6:A73)+1</f>
        <v>74</v>
      </c>
      <c r="B74" s="11" t="s">
        <v>41</v>
      </c>
      <c r="C74" s="11" t="str">
        <f t="shared" si="25"/>
        <v>SFP</v>
      </c>
      <c r="D74" s="11"/>
      <c r="E74" s="7" t="s">
        <v>741</v>
      </c>
      <c r="F74" s="15"/>
      <c r="G74" s="1254" t="s">
        <v>741</v>
      </c>
      <c r="H74" s="6">
        <v>0</v>
      </c>
      <c r="I74" s="6">
        <v>0</v>
      </c>
      <c r="J74" s="1257" t="s">
        <v>741</v>
      </c>
      <c r="K74" s="251">
        <f>SUMIF('alb SFP'!$A:$A,$J74,'alb SFP'!$C:$C)</f>
        <v>0</v>
      </c>
      <c r="L74" s="251">
        <f>SUMIF('alb SFP'!$A:$A,$J74,'alb SFP'!$F:$F)</f>
        <v>0</v>
      </c>
      <c r="M74" s="252">
        <v>14</v>
      </c>
      <c r="N74" s="273">
        <f t="shared" ref="N74:N82" si="48">ROUND(SUM(O74:S74)+SUM(W74:AV74),0)</f>
        <v>0</v>
      </c>
      <c r="O74" s="12"/>
      <c r="P74" s="12"/>
      <c r="Q74" s="12"/>
      <c r="R74" s="12"/>
      <c r="S74" s="6">
        <f t="shared" si="42"/>
        <v>0</v>
      </c>
      <c r="T74" s="273">
        <f t="shared" ref="T74:T81" si="49">ROUND(SUM(U74:Y74),0)</f>
        <v>0</v>
      </c>
      <c r="U74" s="251">
        <f t="shared" ref="U74:U82" si="50">SUM(BL74:BN74)</f>
        <v>0</v>
      </c>
      <c r="V74" s="251"/>
      <c r="W74" s="251">
        <f t="shared" ref="W74:W82" si="51">-H74</f>
        <v>0</v>
      </c>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X74" s="6"/>
      <c r="AY74" s="6">
        <f>ROUND(AX74/1000/Update!$B$31*Update!$B$27,0)</f>
        <v>0</v>
      </c>
      <c r="BA74" s="6"/>
      <c r="BB74" s="6">
        <f>ROUND(BA74/1000/Update!$B$31,0)</f>
        <v>0</v>
      </c>
      <c r="BC74" s="6"/>
      <c r="BD74" s="29">
        <f t="shared" si="43"/>
        <v>0</v>
      </c>
      <c r="BE74" s="317"/>
      <c r="BF74" s="317"/>
      <c r="BG74" s="317"/>
      <c r="BH74" s="317"/>
      <c r="BI74" s="317"/>
      <c r="BJ74" s="317"/>
      <c r="BK74" s="327">
        <f t="shared" si="2"/>
        <v>0</v>
      </c>
      <c r="BL74" s="317"/>
      <c r="BM74" s="317"/>
      <c r="BN74" s="317"/>
      <c r="BO74" s="317"/>
      <c r="BP74" s="317"/>
      <c r="BQ74" s="317"/>
      <c r="BR74" s="317"/>
      <c r="BS74" s="317"/>
      <c r="BT74" s="317"/>
      <c r="BU74" s="317"/>
      <c r="BV74" s="317"/>
      <c r="BW74" s="317"/>
      <c r="BX74" s="317"/>
      <c r="BY74" s="317"/>
      <c r="BZ74" s="317"/>
      <c r="CA74" s="317"/>
      <c r="CB74" s="317"/>
      <c r="CC74" s="317"/>
      <c r="CD74" s="317"/>
      <c r="CE74" s="317"/>
      <c r="CF74" s="317"/>
      <c r="CG74" s="317"/>
      <c r="CH74" s="317"/>
      <c r="CI74" s="317"/>
      <c r="CM74" s="1139">
        <v>0</v>
      </c>
      <c r="CN74" s="1139">
        <v>0</v>
      </c>
      <c r="CP74" s="923">
        <f t="shared" si="47"/>
        <v>0</v>
      </c>
      <c r="CZ74" s="330"/>
    </row>
    <row r="75" spans="1:104" ht="15" customHeight="1" x14ac:dyDescent="0.25">
      <c r="A75" s="684">
        <f>MAX($A$6:A74)+1</f>
        <v>75</v>
      </c>
      <c r="B75" s="11" t="s">
        <v>41</v>
      </c>
      <c r="C75" s="11" t="str">
        <f t="shared" si="25"/>
        <v>SFP</v>
      </c>
      <c r="D75" s="11"/>
      <c r="E75" s="1257" t="s">
        <v>286</v>
      </c>
      <c r="F75" s="15"/>
      <c r="G75" s="1254"/>
      <c r="H75" s="6">
        <v>0</v>
      </c>
      <c r="I75" s="6">
        <v>0</v>
      </c>
      <c r="J75" s="1257" t="s">
        <v>286</v>
      </c>
      <c r="K75" s="251">
        <f>SUMIF('alb SFP'!$A:$A,$J75,'alb SFP'!$C:$C)</f>
        <v>0</v>
      </c>
      <c r="L75" s="251">
        <f>SUMIF('alb SFP'!$A:$A,$J75,'alb SFP'!$F:$F)</f>
        <v>0</v>
      </c>
      <c r="M75" s="252"/>
      <c r="N75" s="273">
        <f t="shared" si="48"/>
        <v>0</v>
      </c>
      <c r="O75" s="12"/>
      <c r="P75" s="12"/>
      <c r="Q75" s="12"/>
      <c r="R75" s="12"/>
      <c r="S75" s="6">
        <f t="shared" si="42"/>
        <v>0</v>
      </c>
      <c r="T75" s="273">
        <f t="shared" si="49"/>
        <v>0</v>
      </c>
      <c r="U75" s="251">
        <f t="shared" si="50"/>
        <v>0</v>
      </c>
      <c r="V75" s="251"/>
      <c r="W75" s="251">
        <f t="shared" si="51"/>
        <v>0</v>
      </c>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X75" s="6"/>
      <c r="AY75" s="6"/>
      <c r="BA75" s="6"/>
      <c r="BB75" s="6"/>
      <c r="BC75" s="6"/>
      <c r="BD75" s="29">
        <f t="shared" si="43"/>
        <v>0</v>
      </c>
      <c r="BE75" s="317"/>
      <c r="BF75" s="317"/>
      <c r="BG75" s="317"/>
      <c r="BH75" s="317"/>
      <c r="BI75" s="317"/>
      <c r="BJ75" s="317"/>
      <c r="BK75" s="327">
        <f t="shared" si="2"/>
        <v>0</v>
      </c>
      <c r="BL75" s="317"/>
      <c r="BM75" s="317"/>
      <c r="BN75" s="317"/>
      <c r="BO75" s="317"/>
      <c r="BP75" s="317"/>
      <c r="BQ75" s="317"/>
      <c r="BR75" s="317"/>
      <c r="BS75" s="317"/>
      <c r="BT75" s="317"/>
      <c r="BU75" s="317"/>
      <c r="BV75" s="317"/>
      <c r="BW75" s="317"/>
      <c r="BX75" s="317"/>
      <c r="BY75" s="317"/>
      <c r="BZ75" s="317"/>
      <c r="CA75" s="317"/>
      <c r="CB75" s="317"/>
      <c r="CC75" s="317"/>
      <c r="CD75" s="317"/>
      <c r="CE75" s="317"/>
      <c r="CF75" s="317"/>
      <c r="CG75" s="317"/>
      <c r="CH75" s="317"/>
      <c r="CI75" s="317"/>
      <c r="CM75" s="1139">
        <v>0</v>
      </c>
      <c r="CN75" s="1139">
        <v>0</v>
      </c>
      <c r="CP75" s="923">
        <f t="shared" si="47"/>
        <v>0</v>
      </c>
      <c r="CZ75" s="330"/>
    </row>
    <row r="76" spans="1:104" ht="15" customHeight="1" x14ac:dyDescent="0.25">
      <c r="A76" s="684">
        <f>MAX($A$6:A75)+1</f>
        <v>76</v>
      </c>
      <c r="B76" s="11" t="s">
        <v>41</v>
      </c>
      <c r="C76" s="11" t="str">
        <f t="shared" si="25"/>
        <v>SFP</v>
      </c>
      <c r="D76" s="11"/>
      <c r="E76" s="7" t="s">
        <v>741</v>
      </c>
      <c r="F76" s="15"/>
      <c r="G76" s="1254"/>
      <c r="H76" s="6">
        <v>0</v>
      </c>
      <c r="I76" s="6">
        <v>0</v>
      </c>
      <c r="J76" s="1257" t="s">
        <v>1003</v>
      </c>
      <c r="K76" s="251">
        <f>SUMIF('alb SFP'!$A:$A,$J76,'alb SFP'!$C:$C)</f>
        <v>0</v>
      </c>
      <c r="L76" s="251">
        <f>SUMIF('alb SFP'!$A:$A,$J76,'alb SFP'!$F:$F)</f>
        <v>0</v>
      </c>
      <c r="M76" s="252"/>
      <c r="N76" s="273">
        <f t="shared" si="48"/>
        <v>0</v>
      </c>
      <c r="O76" s="12"/>
      <c r="P76" s="12"/>
      <c r="Q76" s="12"/>
      <c r="R76" s="12"/>
      <c r="S76" s="6">
        <f t="shared" si="42"/>
        <v>0</v>
      </c>
      <c r="T76" s="273">
        <f t="shared" si="49"/>
        <v>0</v>
      </c>
      <c r="U76" s="251">
        <f t="shared" si="50"/>
        <v>0</v>
      </c>
      <c r="V76" s="251"/>
      <c r="W76" s="251">
        <f t="shared" si="51"/>
        <v>0</v>
      </c>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X76" s="6"/>
      <c r="AY76" s="6"/>
      <c r="BA76" s="6"/>
      <c r="BB76" s="6"/>
      <c r="BC76" s="6"/>
      <c r="BD76" s="29">
        <f t="shared" si="43"/>
        <v>0</v>
      </c>
      <c r="BE76" s="317"/>
      <c r="BF76" s="317"/>
      <c r="BG76" s="317"/>
      <c r="BH76" s="317"/>
      <c r="BI76" s="317"/>
      <c r="BJ76" s="317"/>
      <c r="BK76" s="327">
        <f t="shared" si="2"/>
        <v>0</v>
      </c>
      <c r="BL76" s="317"/>
      <c r="BM76" s="317"/>
      <c r="BN76" s="317"/>
      <c r="BO76" s="317"/>
      <c r="BP76" s="317"/>
      <c r="BQ76" s="317"/>
      <c r="BR76" s="317"/>
      <c r="BS76" s="317"/>
      <c r="BT76" s="317"/>
      <c r="BU76" s="317"/>
      <c r="BV76" s="317"/>
      <c r="BW76" s="317"/>
      <c r="BX76" s="317"/>
      <c r="BY76" s="317"/>
      <c r="BZ76" s="317"/>
      <c r="CA76" s="317"/>
      <c r="CB76" s="317"/>
      <c r="CC76" s="317"/>
      <c r="CD76" s="317"/>
      <c r="CE76" s="317"/>
      <c r="CF76" s="317"/>
      <c r="CG76" s="317"/>
      <c r="CH76" s="317"/>
      <c r="CI76" s="317"/>
      <c r="CM76" s="1139">
        <v>0</v>
      </c>
      <c r="CN76" s="1139">
        <v>0</v>
      </c>
      <c r="CP76" s="923">
        <f t="shared" si="47"/>
        <v>0</v>
      </c>
      <c r="CZ76" s="330"/>
    </row>
    <row r="77" spans="1:104" ht="15" customHeight="1" x14ac:dyDescent="0.25">
      <c r="A77" s="684">
        <f>MAX($A$6:A76)+1</f>
        <v>77</v>
      </c>
      <c r="B77" s="11" t="s">
        <v>41</v>
      </c>
      <c r="C77" s="11" t="str">
        <f t="shared" si="25"/>
        <v>SFP</v>
      </c>
      <c r="D77" s="11"/>
      <c r="E77" s="7" t="s">
        <v>1076</v>
      </c>
      <c r="F77" s="15"/>
      <c r="G77" s="1254"/>
      <c r="H77" s="6">
        <v>0</v>
      </c>
      <c r="I77" s="6">
        <v>0</v>
      </c>
      <c r="J77" s="1257" t="s">
        <v>2032</v>
      </c>
      <c r="K77" s="251">
        <f>SUMIF('alb SFP'!$A:$A,$J77,'alb SFP'!$C:$C)</f>
        <v>0</v>
      </c>
      <c r="L77" s="251">
        <f>SUMIF('alb SFP'!$A:$A,$J77,'alb SFP'!$F:$F)</f>
        <v>0</v>
      </c>
      <c r="M77" s="252"/>
      <c r="N77" s="273">
        <f t="shared" si="48"/>
        <v>0</v>
      </c>
      <c r="O77" s="12"/>
      <c r="P77" s="12"/>
      <c r="Q77" s="12"/>
      <c r="R77" s="12"/>
      <c r="S77" s="6">
        <f t="shared" si="42"/>
        <v>0</v>
      </c>
      <c r="T77" s="273">
        <f t="shared" si="49"/>
        <v>0</v>
      </c>
      <c r="U77" s="251">
        <f t="shared" si="50"/>
        <v>0</v>
      </c>
      <c r="V77" s="251"/>
      <c r="W77" s="251">
        <f t="shared" si="51"/>
        <v>0</v>
      </c>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X77" s="6"/>
      <c r="AY77" s="6"/>
      <c r="BA77" s="6"/>
      <c r="BB77" s="6"/>
      <c r="BC77" s="6"/>
      <c r="BD77" s="29">
        <f t="shared" si="43"/>
        <v>0</v>
      </c>
      <c r="BE77" s="317"/>
      <c r="BF77" s="317"/>
      <c r="BG77" s="317"/>
      <c r="BH77" s="317"/>
      <c r="BI77" s="317"/>
      <c r="BJ77" s="317"/>
      <c r="BK77" s="327">
        <f t="shared" si="2"/>
        <v>0</v>
      </c>
      <c r="BL77" s="317"/>
      <c r="BM77" s="317"/>
      <c r="BN77" s="317"/>
      <c r="BO77" s="317"/>
      <c r="BP77" s="317"/>
      <c r="BQ77" s="317"/>
      <c r="BR77" s="317"/>
      <c r="BS77" s="317"/>
      <c r="BT77" s="317"/>
      <c r="BU77" s="317"/>
      <c r="BV77" s="317"/>
      <c r="BW77" s="317"/>
      <c r="BX77" s="317"/>
      <c r="BY77" s="317"/>
      <c r="BZ77" s="317"/>
      <c r="CA77" s="317"/>
      <c r="CB77" s="317"/>
      <c r="CC77" s="317"/>
      <c r="CD77" s="317"/>
      <c r="CE77" s="317"/>
      <c r="CF77" s="317"/>
      <c r="CG77" s="317"/>
      <c r="CH77" s="317"/>
      <c r="CI77" s="317"/>
      <c r="CM77" s="1139">
        <v>0</v>
      </c>
      <c r="CN77" s="1139">
        <v>0</v>
      </c>
      <c r="CP77" s="923">
        <f t="shared" si="47"/>
        <v>0</v>
      </c>
      <c r="CZ77" s="330"/>
    </row>
    <row r="78" spans="1:104" ht="15" customHeight="1" x14ac:dyDescent="0.25">
      <c r="A78" s="684">
        <f>MAX($A$6:A77)+1</f>
        <v>78</v>
      </c>
      <c r="B78" s="11" t="s">
        <v>41</v>
      </c>
      <c r="C78" s="11" t="str">
        <f t="shared" si="25"/>
        <v>SFP</v>
      </c>
      <c r="D78" s="11"/>
      <c r="E78" s="7" t="s">
        <v>1076</v>
      </c>
      <c r="F78" s="15"/>
      <c r="G78" s="1254"/>
      <c r="H78" s="6">
        <v>0</v>
      </c>
      <c r="I78" s="6">
        <v>0</v>
      </c>
      <c r="J78" s="1262" t="s">
        <v>2035</v>
      </c>
      <c r="K78" s="251">
        <f>SUMIF('alb SFP'!$A:$A,$J78,'alb SFP'!$C:$C)</f>
        <v>0</v>
      </c>
      <c r="L78" s="251">
        <f>SUMIF('alb SFP'!$A:$A,$J78,'alb SFP'!$F:$F)</f>
        <v>0</v>
      </c>
      <c r="M78" s="252"/>
      <c r="N78" s="273">
        <f t="shared" si="48"/>
        <v>0</v>
      </c>
      <c r="O78" s="12"/>
      <c r="P78" s="12"/>
      <c r="Q78" s="12"/>
      <c r="R78" s="12"/>
      <c r="S78" s="6">
        <f t="shared" si="42"/>
        <v>0</v>
      </c>
      <c r="T78" s="273">
        <f t="shared" si="49"/>
        <v>0</v>
      </c>
      <c r="U78" s="251">
        <f t="shared" si="50"/>
        <v>0</v>
      </c>
      <c r="V78" s="251"/>
      <c r="W78" s="251">
        <f t="shared" si="51"/>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X78" s="6"/>
      <c r="AY78" s="6"/>
      <c r="BA78" s="6"/>
      <c r="BB78" s="6"/>
      <c r="BC78" s="6"/>
      <c r="BD78" s="29">
        <f t="shared" si="43"/>
        <v>0</v>
      </c>
      <c r="BE78" s="317"/>
      <c r="BF78" s="317"/>
      <c r="BG78" s="317"/>
      <c r="BH78" s="317"/>
      <c r="BI78" s="317"/>
      <c r="BJ78" s="317"/>
      <c r="BK78" s="327">
        <f t="shared" ref="BK78:BK142" si="52">ROUND(SUM(BO78:CI78),0)</f>
        <v>0</v>
      </c>
      <c r="BL78" s="317"/>
      <c r="BM78" s="317"/>
      <c r="BN78" s="317"/>
      <c r="BO78" s="317"/>
      <c r="BP78" s="317"/>
      <c r="BQ78" s="317"/>
      <c r="BR78" s="317"/>
      <c r="BS78" s="317"/>
      <c r="BT78" s="317"/>
      <c r="BU78" s="317"/>
      <c r="BV78" s="317"/>
      <c r="BW78" s="317"/>
      <c r="BX78" s="317"/>
      <c r="BY78" s="317"/>
      <c r="BZ78" s="317"/>
      <c r="CA78" s="317"/>
      <c r="CB78" s="317"/>
      <c r="CC78" s="317"/>
      <c r="CD78" s="317"/>
      <c r="CE78" s="317"/>
      <c r="CF78" s="317"/>
      <c r="CG78" s="317"/>
      <c r="CH78" s="317"/>
      <c r="CI78" s="317"/>
      <c r="CM78" s="1139">
        <v>0</v>
      </c>
      <c r="CN78" s="1139">
        <v>0</v>
      </c>
      <c r="CP78" s="923">
        <f t="shared" si="47"/>
        <v>0</v>
      </c>
      <c r="CZ78" s="330"/>
    </row>
    <row r="79" spans="1:104" ht="15" customHeight="1" x14ac:dyDescent="0.25">
      <c r="A79" s="684">
        <f>MAX($A$6:A78)+1</f>
        <v>79</v>
      </c>
      <c r="B79" s="11" t="s">
        <v>41</v>
      </c>
      <c r="C79" s="11" t="str">
        <f t="shared" si="25"/>
        <v>SFP</v>
      </c>
      <c r="D79" s="11"/>
      <c r="E79" s="7" t="s">
        <v>1076</v>
      </c>
      <c r="F79" s="15"/>
      <c r="G79" s="1254"/>
      <c r="H79" s="6">
        <v>0</v>
      </c>
      <c r="I79" s="6">
        <v>0</v>
      </c>
      <c r="J79" s="1262" t="s">
        <v>2033</v>
      </c>
      <c r="K79" s="251">
        <f>SUMIF('alb SFP'!$A:$A,$J79,'alb SFP'!$C:$C)</f>
        <v>0</v>
      </c>
      <c r="L79" s="251">
        <f>SUMIF('alb SFP'!$A:$A,$J79,'alb SFP'!$F:$F)</f>
        <v>0</v>
      </c>
      <c r="M79" s="252"/>
      <c r="N79" s="273">
        <f t="shared" si="48"/>
        <v>0</v>
      </c>
      <c r="O79" s="12"/>
      <c r="P79" s="12"/>
      <c r="Q79" s="12"/>
      <c r="R79" s="12"/>
      <c r="S79" s="6">
        <f t="shared" si="42"/>
        <v>0</v>
      </c>
      <c r="T79" s="273">
        <f t="shared" si="49"/>
        <v>0</v>
      </c>
      <c r="U79" s="251">
        <f t="shared" si="50"/>
        <v>0</v>
      </c>
      <c r="V79" s="251"/>
      <c r="W79" s="251">
        <f t="shared" si="51"/>
        <v>0</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X79" s="6"/>
      <c r="AY79" s="6"/>
      <c r="BA79" s="6"/>
      <c r="BB79" s="6"/>
      <c r="BC79" s="6"/>
      <c r="BD79" s="29">
        <f t="shared" si="43"/>
        <v>0</v>
      </c>
      <c r="BE79" s="317"/>
      <c r="BF79" s="317"/>
      <c r="BG79" s="317"/>
      <c r="BH79" s="317"/>
      <c r="BI79" s="317"/>
      <c r="BJ79" s="317"/>
      <c r="BK79" s="327">
        <f t="shared" si="52"/>
        <v>0</v>
      </c>
      <c r="BL79" s="317"/>
      <c r="BM79" s="317"/>
      <c r="BN79" s="317"/>
      <c r="BO79" s="317"/>
      <c r="BP79" s="317"/>
      <c r="BQ79" s="317"/>
      <c r="BR79" s="317"/>
      <c r="BS79" s="317"/>
      <c r="BT79" s="317"/>
      <c r="BU79" s="317"/>
      <c r="BV79" s="317"/>
      <c r="BW79" s="317"/>
      <c r="BX79" s="317"/>
      <c r="BY79" s="317"/>
      <c r="BZ79" s="317"/>
      <c r="CA79" s="317"/>
      <c r="CB79" s="317"/>
      <c r="CC79" s="317"/>
      <c r="CD79" s="317"/>
      <c r="CE79" s="317"/>
      <c r="CF79" s="317"/>
      <c r="CG79" s="317"/>
      <c r="CH79" s="317"/>
      <c r="CI79" s="317"/>
      <c r="CM79" s="1139">
        <v>0</v>
      </c>
      <c r="CN79" s="1139">
        <v>0</v>
      </c>
      <c r="CP79" s="923">
        <f t="shared" si="47"/>
        <v>0</v>
      </c>
      <c r="CZ79" s="330"/>
    </row>
    <row r="80" spans="1:104" ht="15" customHeight="1" x14ac:dyDescent="0.25">
      <c r="A80" s="684">
        <f>MAX($A$6:A79)+1</f>
        <v>80</v>
      </c>
      <c r="B80" s="11" t="s">
        <v>41</v>
      </c>
      <c r="C80" s="11" t="str">
        <f t="shared" si="25"/>
        <v>SFP</v>
      </c>
      <c r="D80" s="11"/>
      <c r="E80" s="7" t="s">
        <v>1076</v>
      </c>
      <c r="F80" s="15"/>
      <c r="G80" s="1254"/>
      <c r="H80" s="6">
        <v>0</v>
      </c>
      <c r="I80" s="6">
        <v>0</v>
      </c>
      <c r="J80" s="1262" t="s">
        <v>2036</v>
      </c>
      <c r="K80" s="251">
        <f>SUMIF('alb SFP'!$A:$A,$J80,'alb SFP'!$C:$C)</f>
        <v>0</v>
      </c>
      <c r="L80" s="251">
        <f>SUMIF('alb SFP'!$A:$A,$J80,'alb SFP'!$F:$F)</f>
        <v>0</v>
      </c>
      <c r="M80" s="252"/>
      <c r="N80" s="273">
        <f t="shared" si="48"/>
        <v>0</v>
      </c>
      <c r="O80" s="12"/>
      <c r="P80" s="12"/>
      <c r="Q80" s="12"/>
      <c r="R80" s="12"/>
      <c r="S80" s="6">
        <f t="shared" si="42"/>
        <v>0</v>
      </c>
      <c r="T80" s="273">
        <f t="shared" si="49"/>
        <v>0</v>
      </c>
      <c r="U80" s="251">
        <f t="shared" si="50"/>
        <v>0</v>
      </c>
      <c r="V80" s="251"/>
      <c r="W80" s="251">
        <f t="shared" si="51"/>
        <v>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X80" s="6"/>
      <c r="AY80" s="6"/>
      <c r="BA80" s="6"/>
      <c r="BB80" s="6"/>
      <c r="BC80" s="6"/>
      <c r="BD80" s="29">
        <f t="shared" si="43"/>
        <v>0</v>
      </c>
      <c r="BE80" s="317"/>
      <c r="BF80" s="317"/>
      <c r="BG80" s="317"/>
      <c r="BH80" s="317"/>
      <c r="BI80" s="317"/>
      <c r="BJ80" s="317"/>
      <c r="BK80" s="327">
        <f t="shared" si="52"/>
        <v>0</v>
      </c>
      <c r="BL80" s="317"/>
      <c r="BM80" s="317"/>
      <c r="BN80" s="317"/>
      <c r="BO80" s="317"/>
      <c r="BP80" s="317"/>
      <c r="BQ80" s="317"/>
      <c r="BR80" s="317"/>
      <c r="BS80" s="317"/>
      <c r="BT80" s="317"/>
      <c r="BU80" s="317"/>
      <c r="BV80" s="317"/>
      <c r="BW80" s="317"/>
      <c r="BX80" s="317"/>
      <c r="BY80" s="317"/>
      <c r="BZ80" s="317"/>
      <c r="CA80" s="317"/>
      <c r="CB80" s="317"/>
      <c r="CC80" s="317"/>
      <c r="CD80" s="317"/>
      <c r="CE80" s="317"/>
      <c r="CF80" s="317"/>
      <c r="CG80" s="317"/>
      <c r="CH80" s="317"/>
      <c r="CI80" s="317"/>
      <c r="CM80" s="1139">
        <v>0</v>
      </c>
      <c r="CN80" s="1139">
        <v>0</v>
      </c>
      <c r="CP80" s="923">
        <f t="shared" si="47"/>
        <v>0</v>
      </c>
      <c r="CZ80" s="330"/>
    </row>
    <row r="81" spans="1:104" ht="15" customHeight="1" x14ac:dyDescent="0.25">
      <c r="A81" s="684">
        <f>MAX($A$6:A80)+1</f>
        <v>81</v>
      </c>
      <c r="B81" s="11" t="s">
        <v>41</v>
      </c>
      <c r="C81" s="11" t="str">
        <f t="shared" si="25"/>
        <v>SFP</v>
      </c>
      <c r="D81" s="11"/>
      <c r="E81" s="7" t="s">
        <v>1688</v>
      </c>
      <c r="F81" s="15"/>
      <c r="G81" s="1254" t="s">
        <v>342</v>
      </c>
      <c r="H81" s="6">
        <v>0</v>
      </c>
      <c r="I81" s="6">
        <v>0</v>
      </c>
      <c r="J81" s="1257" t="s">
        <v>1057</v>
      </c>
      <c r="K81" s="251">
        <f>SUMIF('alb SFP'!$A:$A,$J81,'alb SFP'!$C:$C)</f>
        <v>0</v>
      </c>
      <c r="L81" s="251">
        <f>SUMIF('alb SFP'!$A:$A,$J81,'alb SFP'!$F:$F)</f>
        <v>0</v>
      </c>
      <c r="M81" s="252">
        <v>13</v>
      </c>
      <c r="N81" s="273">
        <f t="shared" si="48"/>
        <v>0</v>
      </c>
      <c r="O81" s="12"/>
      <c r="P81" s="12"/>
      <c r="Q81" s="12"/>
      <c r="R81" s="12"/>
      <c r="S81" s="6">
        <f t="shared" si="42"/>
        <v>0</v>
      </c>
      <c r="T81" s="273">
        <f t="shared" si="49"/>
        <v>0</v>
      </c>
      <c r="U81" s="6">
        <f t="shared" si="50"/>
        <v>0</v>
      </c>
      <c r="V81" s="6"/>
      <c r="W81" s="6">
        <f t="shared" si="51"/>
        <v>0</v>
      </c>
      <c r="X81" s="6"/>
      <c r="Y81" s="6"/>
      <c r="Z81" s="6"/>
      <c r="AA81" s="6"/>
      <c r="AB81" s="6"/>
      <c r="AC81" s="6"/>
      <c r="AD81" s="6"/>
      <c r="AE81" s="6"/>
      <c r="AF81" s="6"/>
      <c r="AG81" s="6"/>
      <c r="AH81" s="6"/>
      <c r="AI81" s="6"/>
      <c r="AJ81" s="6"/>
      <c r="AK81" s="6"/>
      <c r="AL81" s="6"/>
      <c r="AM81" s="6"/>
      <c r="AN81" s="6"/>
      <c r="AO81" s="6"/>
      <c r="AP81" s="6"/>
      <c r="AQ81" s="6"/>
      <c r="AR81" s="6"/>
      <c r="AS81" s="6"/>
      <c r="AT81" s="6"/>
      <c r="AU81" s="6"/>
      <c r="AV81" s="6"/>
      <c r="AX81" s="6"/>
      <c r="AY81" s="6">
        <f>ROUND(AX81/1000/Update!$B$31*Update!$B$27,0)</f>
        <v>0</v>
      </c>
      <c r="BA81" s="6"/>
      <c r="BB81" s="6">
        <f>ROUND(BA81/1000/Update!$B$31,0)</f>
        <v>0</v>
      </c>
      <c r="BC81" s="6"/>
      <c r="BD81" s="29">
        <f t="shared" si="43"/>
        <v>0</v>
      </c>
      <c r="BE81" s="317">
        <f>-BK1310</f>
        <v>0</v>
      </c>
      <c r="BF81" s="317"/>
      <c r="BG81" s="317"/>
      <c r="BH81" s="317"/>
      <c r="BI81" s="317"/>
      <c r="BJ81" s="317"/>
      <c r="BK81" s="327">
        <f t="shared" si="52"/>
        <v>0</v>
      </c>
      <c r="BL81" s="317"/>
      <c r="BM81" s="317"/>
      <c r="BN81" s="317"/>
      <c r="BO81" s="317"/>
      <c r="BP81" s="317"/>
      <c r="BQ81" s="317"/>
      <c r="BR81" s="317"/>
      <c r="BS81" s="317"/>
      <c r="BT81" s="317"/>
      <c r="BU81" s="317"/>
      <c r="BV81" s="317"/>
      <c r="BW81" s="317"/>
      <c r="BX81" s="317"/>
      <c r="BY81" s="317"/>
      <c r="BZ81" s="317"/>
      <c r="CA81" s="317"/>
      <c r="CB81" s="317"/>
      <c r="CC81" s="317"/>
      <c r="CD81" s="317"/>
      <c r="CE81" s="317"/>
      <c r="CF81" s="317"/>
      <c r="CG81" s="317"/>
      <c r="CH81" s="317"/>
      <c r="CI81" s="317"/>
      <c r="CM81" s="1139">
        <v>0</v>
      </c>
      <c r="CN81" s="1139">
        <v>0</v>
      </c>
      <c r="CP81" s="923">
        <f t="shared" si="47"/>
        <v>0</v>
      </c>
      <c r="CZ81" s="330"/>
    </row>
    <row r="82" spans="1:104" ht="15" customHeight="1" x14ac:dyDescent="0.25">
      <c r="A82" s="684">
        <f>MAX($A$6:A81)+1</f>
        <v>82</v>
      </c>
      <c r="B82" s="11" t="s">
        <v>41</v>
      </c>
      <c r="C82" s="11" t="str">
        <f t="shared" si="25"/>
        <v>SFP</v>
      </c>
      <c r="D82" s="11"/>
      <c r="E82" s="7" t="s">
        <v>1048</v>
      </c>
      <c r="F82" s="15"/>
      <c r="G82" s="1254" t="s">
        <v>316</v>
      </c>
      <c r="H82" s="6">
        <v>0</v>
      </c>
      <c r="I82" s="6">
        <v>0</v>
      </c>
      <c r="J82" s="1257" t="s">
        <v>746</v>
      </c>
      <c r="K82" s="251">
        <f>SUMIF('alb SFP'!$A:$A,$J82,'alb SFP'!$C:$C)</f>
        <v>0</v>
      </c>
      <c r="L82" s="251">
        <f>SUMIF('alb SFP'!$A:$A,$J82,'alb SFP'!$F:$F)</f>
        <v>0</v>
      </c>
      <c r="M82" s="252">
        <v>9</v>
      </c>
      <c r="N82" s="273">
        <f t="shared" si="48"/>
        <v>0</v>
      </c>
      <c r="O82" s="12"/>
      <c r="P82" s="12"/>
      <c r="Q82" s="12"/>
      <c r="R82" s="12"/>
      <c r="S82" s="6">
        <f t="shared" si="42"/>
        <v>0</v>
      </c>
      <c r="T82" s="273">
        <f>ROUND(SUM(V82:Y82)-U82,0)</f>
        <v>0</v>
      </c>
      <c r="U82" s="6">
        <f t="shared" si="50"/>
        <v>0</v>
      </c>
      <c r="V82" s="6"/>
      <c r="W82" s="6">
        <f t="shared" si="51"/>
        <v>0</v>
      </c>
      <c r="X82" s="6"/>
      <c r="Y82" s="6"/>
      <c r="Z82" s="6"/>
      <c r="AA82" s="6"/>
      <c r="AB82" s="6"/>
      <c r="AC82" s="6"/>
      <c r="AD82" s="6"/>
      <c r="AE82" s="6"/>
      <c r="AF82" s="6"/>
      <c r="AG82" s="6"/>
      <c r="AH82" s="6"/>
      <c r="AI82" s="6"/>
      <c r="AJ82" s="6"/>
      <c r="AK82" s="6"/>
      <c r="AL82" s="6"/>
      <c r="AM82" s="6"/>
      <c r="AN82" s="6"/>
      <c r="AO82" s="6"/>
      <c r="AP82" s="6"/>
      <c r="AQ82" s="6"/>
      <c r="AR82" s="6"/>
      <c r="AS82" s="6"/>
      <c r="AT82" s="6"/>
      <c r="AU82" s="6"/>
      <c r="AV82" s="6"/>
      <c r="AX82" s="6"/>
      <c r="AY82" s="6">
        <f>ROUND(AX82/1000/Update!$B$31*Update!$B$27,0)</f>
        <v>0</v>
      </c>
      <c r="BA82" s="6"/>
      <c r="BB82" s="6">
        <f>ROUND(BA82/1000/Update!$B$31,0)</f>
        <v>0</v>
      </c>
      <c r="BC82" s="6"/>
      <c r="BD82" s="29">
        <f t="shared" si="43"/>
        <v>0</v>
      </c>
      <c r="BE82" s="317"/>
      <c r="BF82" s="317"/>
      <c r="BG82" s="317"/>
      <c r="BH82" s="317"/>
      <c r="BI82" s="317"/>
      <c r="BJ82" s="317"/>
      <c r="BK82" s="327">
        <f t="shared" si="52"/>
        <v>0</v>
      </c>
      <c r="BL82" s="317"/>
      <c r="BM82" s="317"/>
      <c r="BN82" s="317"/>
      <c r="BO82" s="317"/>
      <c r="BP82" s="317"/>
      <c r="BQ82" s="317"/>
      <c r="BR82" s="317"/>
      <c r="BS82" s="317"/>
      <c r="BT82" s="317"/>
      <c r="BU82" s="317"/>
      <c r="BV82" s="317"/>
      <c r="BW82" s="317"/>
      <c r="BX82" s="317"/>
      <c r="BY82" s="317"/>
      <c r="BZ82" s="317"/>
      <c r="CA82" s="317"/>
      <c r="CB82" s="317"/>
      <c r="CC82" s="317"/>
      <c r="CD82" s="317"/>
      <c r="CE82" s="317"/>
      <c r="CF82" s="317"/>
      <c r="CG82" s="317"/>
      <c r="CH82" s="317"/>
      <c r="CI82" s="317"/>
      <c r="CM82" s="1139">
        <v>0</v>
      </c>
      <c r="CN82" s="1139">
        <v>0</v>
      </c>
      <c r="CP82" s="923">
        <f t="shared" si="47"/>
        <v>0</v>
      </c>
      <c r="CZ82" s="330"/>
    </row>
    <row r="83" spans="1:104" ht="15" customHeight="1" x14ac:dyDescent="0.25">
      <c r="A83" s="701">
        <f>MAX($A$6:A82)+1</f>
        <v>83</v>
      </c>
      <c r="B83" s="18" t="s">
        <v>41</v>
      </c>
      <c r="C83" s="18" t="str">
        <f t="shared" si="25"/>
        <v>SFP</v>
      </c>
      <c r="D83" s="18"/>
      <c r="E83" s="17" t="s">
        <v>76</v>
      </c>
      <c r="F83" s="14"/>
      <c r="G83" s="254"/>
      <c r="H83" s="14">
        <f>SUM(H73:H82)</f>
        <v>0</v>
      </c>
      <c r="I83" s="14">
        <f>SUM(I73:I82)</f>
        <v>0</v>
      </c>
      <c r="J83" s="1258" t="s">
        <v>286</v>
      </c>
      <c r="K83" s="256">
        <f>SUM(K73:K82)</f>
        <v>0</v>
      </c>
      <c r="L83" s="256">
        <f>SUM(L73:L82)</f>
        <v>0</v>
      </c>
      <c r="M83" s="14"/>
      <c r="N83" s="14">
        <f>SUM(N73:N82)</f>
        <v>0</v>
      </c>
      <c r="O83" s="14">
        <f>SUM(O73:O82)</f>
        <v>0</v>
      </c>
      <c r="P83" s="14">
        <f>SUM(P73:P82)</f>
        <v>0</v>
      </c>
      <c r="Q83" s="14">
        <f>SUM(Q73:Q82)</f>
        <v>0</v>
      </c>
      <c r="R83" s="14">
        <f>SUM(R73:R82)</f>
        <v>0</v>
      </c>
      <c r="S83" s="14">
        <f t="shared" si="42"/>
        <v>0</v>
      </c>
      <c r="T83" s="14">
        <f>SUM(T73:T82)</f>
        <v>0</v>
      </c>
      <c r="U83" s="14">
        <f>SUM(U73:U82)</f>
        <v>0</v>
      </c>
      <c r="V83" s="14">
        <f>SUM(V73:V82)</f>
        <v>0</v>
      </c>
      <c r="W83" s="14">
        <f>SUM(W73:W82)</f>
        <v>0</v>
      </c>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2"/>
      <c r="AX83" s="14">
        <f>SUM(AX73:AX82)</f>
        <v>0</v>
      </c>
      <c r="AY83" s="14">
        <f>ROUND(AX83/1000/Update!$B$31*Update!$B$27,0)</f>
        <v>0</v>
      </c>
      <c r="AZ83" s="2"/>
      <c r="BA83" s="14">
        <f>SUM(BA73:BA82)</f>
        <v>0</v>
      </c>
      <c r="BB83" s="14">
        <f>ROUND(BA83/1000/Update!$B$31,0)</f>
        <v>0</v>
      </c>
      <c r="BC83" s="14"/>
      <c r="BD83" s="14">
        <f t="shared" ref="BD83:BJ83" si="53">SUM(BD73:BD82)</f>
        <v>0</v>
      </c>
      <c r="BE83" s="14">
        <f t="shared" si="53"/>
        <v>0</v>
      </c>
      <c r="BF83" s="14">
        <f t="shared" si="53"/>
        <v>0</v>
      </c>
      <c r="BG83" s="14">
        <f t="shared" si="53"/>
        <v>0</v>
      </c>
      <c r="BH83" s="14">
        <f t="shared" si="53"/>
        <v>0</v>
      </c>
      <c r="BI83" s="14">
        <f t="shared" si="53"/>
        <v>0</v>
      </c>
      <c r="BJ83" s="14">
        <f t="shared" si="53"/>
        <v>0</v>
      </c>
      <c r="BK83" s="14">
        <f t="shared" si="52"/>
        <v>0</v>
      </c>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c r="CI83" s="318"/>
      <c r="CJ83" s="2"/>
      <c r="CK83" s="2"/>
      <c r="CM83" s="1140">
        <v>0</v>
      </c>
      <c r="CN83" s="1140">
        <v>0</v>
      </c>
      <c r="CP83" s="923">
        <f t="shared" si="47"/>
        <v>0</v>
      </c>
      <c r="CZ83" s="330"/>
    </row>
    <row r="84" spans="1:104" ht="15" customHeight="1" x14ac:dyDescent="0.25">
      <c r="A84" s="684">
        <f>MAX($A$6:A83)+1</f>
        <v>84</v>
      </c>
      <c r="B84" s="11" t="s">
        <v>41</v>
      </c>
      <c r="C84" s="11" t="str">
        <f t="shared" si="25"/>
        <v>SFP</v>
      </c>
      <c r="D84" s="11"/>
      <c r="E84" s="7"/>
      <c r="F84" s="15"/>
      <c r="G84" s="26"/>
      <c r="H84" s="6"/>
      <c r="I84" s="6"/>
      <c r="J84" s="1257" t="s">
        <v>286</v>
      </c>
      <c r="K84" s="251">
        <f>SUMIF('alb SFP'!$A:$A,$J84,'alb SFP'!$C:$C)</f>
        <v>0</v>
      </c>
      <c r="L84" s="251">
        <f>SUMIF('alb SFP'!$A:$A,$J84,'alb SFP'!$F:$F)</f>
        <v>0</v>
      </c>
      <c r="M84" s="252"/>
      <c r="N84" s="273">
        <f>ROUND(SUM(O84:S84)+SUM(W84:AV84)-W84*2,0)</f>
        <v>0</v>
      </c>
      <c r="O84" s="12"/>
      <c r="P84" s="12"/>
      <c r="Q84" s="12"/>
      <c r="R84" s="12"/>
      <c r="S84" s="6">
        <f t="shared" si="42"/>
        <v>0</v>
      </c>
      <c r="T84" s="273">
        <f>ROUND(SUM(U84:Y84),0)</f>
        <v>0</v>
      </c>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X84" s="6"/>
      <c r="AY84" s="6">
        <f>ROUND(AX84/1000/Update!$B$31*Update!$B$27,0)</f>
        <v>0</v>
      </c>
      <c r="BA84" s="6"/>
      <c r="BB84" s="6">
        <f>ROUND(BA84/1000/Update!$B$31,0)</f>
        <v>0</v>
      </c>
      <c r="BC84" s="6"/>
      <c r="BD84" s="29">
        <f t="shared" si="43"/>
        <v>0</v>
      </c>
      <c r="BE84" s="317"/>
      <c r="BF84" s="317"/>
      <c r="BG84" s="317"/>
      <c r="BH84" s="317"/>
      <c r="BI84" s="317"/>
      <c r="BJ84" s="317"/>
      <c r="BK84" s="29">
        <f t="shared" si="52"/>
        <v>0</v>
      </c>
      <c r="BL84" s="317"/>
      <c r="BM84" s="317"/>
      <c r="BN84" s="317"/>
      <c r="BO84" s="317"/>
      <c r="BP84" s="317"/>
      <c r="BQ84" s="317"/>
      <c r="BR84" s="317"/>
      <c r="BS84" s="317"/>
      <c r="BT84" s="317"/>
      <c r="BU84" s="317"/>
      <c r="BV84" s="317"/>
      <c r="BW84" s="317"/>
      <c r="BX84" s="317"/>
      <c r="BY84" s="317"/>
      <c r="BZ84" s="317"/>
      <c r="CA84" s="317"/>
      <c r="CB84" s="317"/>
      <c r="CC84" s="317"/>
      <c r="CD84" s="317"/>
      <c r="CE84" s="317"/>
      <c r="CF84" s="317"/>
      <c r="CG84" s="317"/>
      <c r="CH84" s="317"/>
      <c r="CI84" s="317"/>
      <c r="CM84" s="1139">
        <v>0</v>
      </c>
      <c r="CN84" s="1139">
        <v>0</v>
      </c>
      <c r="CP84" s="923">
        <f t="shared" si="47"/>
        <v>0</v>
      </c>
      <c r="CZ84" s="330"/>
    </row>
    <row r="85" spans="1:104" ht="15" customHeight="1" x14ac:dyDescent="0.25">
      <c r="A85" s="701">
        <f>MAX($A$6:A84)+1</f>
        <v>85</v>
      </c>
      <c r="B85" s="18" t="s">
        <v>41</v>
      </c>
      <c r="C85" s="18" t="str">
        <f t="shared" si="25"/>
        <v>SFP</v>
      </c>
      <c r="D85" s="18"/>
      <c r="E85" s="17" t="s">
        <v>77</v>
      </c>
      <c r="F85" s="14"/>
      <c r="G85" s="254"/>
      <c r="H85" s="14">
        <f>H72-H83</f>
        <v>2064443</v>
      </c>
      <c r="I85" s="14">
        <f>I72-I83</f>
        <v>725</v>
      </c>
      <c r="J85" s="1258" t="s">
        <v>286</v>
      </c>
      <c r="K85" s="256">
        <f>K72+K83</f>
        <v>0</v>
      </c>
      <c r="L85" s="256">
        <f>L72+L83</f>
        <v>0</v>
      </c>
      <c r="M85" s="14"/>
      <c r="N85" s="14">
        <f>N72+N83</f>
        <v>55443</v>
      </c>
      <c r="O85" s="14">
        <f>O72-O83</f>
        <v>0</v>
      </c>
      <c r="P85" s="14">
        <f>P72-P83</f>
        <v>0</v>
      </c>
      <c r="Q85" s="14">
        <f>Q72-Q83</f>
        <v>0</v>
      </c>
      <c r="R85" s="14">
        <f>R72-R83</f>
        <v>0</v>
      </c>
      <c r="S85" s="14">
        <f t="shared" si="42"/>
        <v>-2009000</v>
      </c>
      <c r="T85" s="14">
        <f>T72+T83</f>
        <v>2064443</v>
      </c>
      <c r="U85" s="14">
        <f>U72+U83</f>
        <v>0</v>
      </c>
      <c r="V85" s="14">
        <f>V72+V83</f>
        <v>0</v>
      </c>
      <c r="W85" s="14">
        <f>W72+W83</f>
        <v>2064443</v>
      </c>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2"/>
      <c r="AX85" s="14">
        <f>AX72+AX83</f>
        <v>0</v>
      </c>
      <c r="AY85" s="14">
        <f>ROUND(AX85/1000/Update!$B$31*Update!$B$27,0)</f>
        <v>0</v>
      </c>
      <c r="AZ85" s="2"/>
      <c r="BA85" s="14">
        <f>BA72+BA83</f>
        <v>0</v>
      </c>
      <c r="BB85" s="14">
        <f>ROUND(BA85/1000/Update!$B$31,0)</f>
        <v>0</v>
      </c>
      <c r="BC85" s="14"/>
      <c r="BD85" s="14">
        <f t="shared" ref="BD85:BJ85" si="54">BD72+BD83</f>
        <v>2009000</v>
      </c>
      <c r="BE85" s="14">
        <f t="shared" si="54"/>
        <v>0</v>
      </c>
      <c r="BF85" s="14">
        <f t="shared" si="54"/>
        <v>0</v>
      </c>
      <c r="BG85" s="14">
        <f t="shared" si="54"/>
        <v>0</v>
      </c>
      <c r="BH85" s="14">
        <f t="shared" si="54"/>
        <v>2009000</v>
      </c>
      <c r="BI85" s="14">
        <f t="shared" si="54"/>
        <v>0</v>
      </c>
      <c r="BJ85" s="14">
        <f t="shared" si="54"/>
        <v>0</v>
      </c>
      <c r="BK85" s="14">
        <f t="shared" si="52"/>
        <v>0</v>
      </c>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c r="CI85" s="318"/>
      <c r="CJ85" s="2"/>
      <c r="CK85" s="2"/>
      <c r="CM85" s="1140">
        <v>0</v>
      </c>
      <c r="CN85" s="1140">
        <v>2009000</v>
      </c>
      <c r="CP85" s="923">
        <f t="shared" si="47"/>
        <v>0</v>
      </c>
      <c r="CZ85" s="330"/>
    </row>
    <row r="86" spans="1:104" ht="15" customHeight="1" x14ac:dyDescent="0.25">
      <c r="A86" s="684">
        <f>MAX($A$6:A85)+1</f>
        <v>86</v>
      </c>
      <c r="B86" s="11" t="s">
        <v>41</v>
      </c>
      <c r="C86" s="11" t="str">
        <f t="shared" si="25"/>
        <v>SFP</v>
      </c>
      <c r="D86" s="11"/>
      <c r="E86" s="7"/>
      <c r="F86" s="15"/>
      <c r="G86" s="26"/>
      <c r="H86" s="6"/>
      <c r="I86" s="6"/>
      <c r="J86" s="1257" t="s">
        <v>286</v>
      </c>
      <c r="K86" s="251">
        <f>SUMIF('alb SFP'!$A:$A,$J86,'alb SFP'!$C:$C)</f>
        <v>0</v>
      </c>
      <c r="L86" s="251">
        <f>SUMIF('alb SFP'!$A:$A,$J86,'alb SFP'!$F:$F)</f>
        <v>0</v>
      </c>
      <c r="M86" s="252"/>
      <c r="N86" s="273">
        <f>ROUND(SUM(O86:S86)+SUM(W86:AV86)-W86*2,0)</f>
        <v>0</v>
      </c>
      <c r="O86" s="12"/>
      <c r="P86" s="12"/>
      <c r="Q86" s="12"/>
      <c r="R86" s="12"/>
      <c r="S86" s="6">
        <f t="shared" si="42"/>
        <v>0</v>
      </c>
      <c r="T86" s="273">
        <f>ROUND(SUM(U86:Y86),0)</f>
        <v>0</v>
      </c>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X86" s="6"/>
      <c r="AY86" s="6">
        <f>ROUND(AX86/1000/Update!$B$31*Update!$B$27,0)</f>
        <v>0</v>
      </c>
      <c r="BA86" s="6"/>
      <c r="BB86" s="6">
        <f>ROUND(BA86/1000/Update!$B$31,0)</f>
        <v>0</v>
      </c>
      <c r="BC86" s="6"/>
      <c r="BD86" s="29">
        <f t="shared" si="43"/>
        <v>0</v>
      </c>
      <c r="BE86" s="317"/>
      <c r="BF86" s="317"/>
      <c r="BG86" s="317"/>
      <c r="BH86" s="317"/>
      <c r="BI86" s="317"/>
      <c r="BJ86" s="317"/>
      <c r="BK86" s="29">
        <f t="shared" si="52"/>
        <v>0</v>
      </c>
      <c r="BL86" s="317"/>
      <c r="BM86" s="317"/>
      <c r="BN86" s="317"/>
      <c r="BO86" s="317"/>
      <c r="BP86" s="317"/>
      <c r="BQ86" s="317"/>
      <c r="BR86" s="317"/>
      <c r="BS86" s="317"/>
      <c r="BT86" s="317"/>
      <c r="BU86" s="317"/>
      <c r="BV86" s="317"/>
      <c r="BW86" s="317"/>
      <c r="BX86" s="317"/>
      <c r="BY86" s="317"/>
      <c r="BZ86" s="317"/>
      <c r="CA86" s="317"/>
      <c r="CB86" s="317"/>
      <c r="CC86" s="317"/>
      <c r="CD86" s="317"/>
      <c r="CE86" s="317"/>
      <c r="CF86" s="317"/>
      <c r="CG86" s="317"/>
      <c r="CH86" s="317"/>
      <c r="CI86" s="317"/>
      <c r="CM86" s="1139">
        <v>0</v>
      </c>
      <c r="CN86" s="1139">
        <v>0</v>
      </c>
      <c r="CP86" s="923">
        <f t="shared" si="47"/>
        <v>0</v>
      </c>
      <c r="CZ86" s="330"/>
    </row>
    <row r="87" spans="1:104" ht="15" customHeight="1" x14ac:dyDescent="0.25">
      <c r="A87" s="701">
        <f>MAX($A$6:A86)+1</f>
        <v>87</v>
      </c>
      <c r="B87" s="18" t="s">
        <v>41</v>
      </c>
      <c r="C87" s="18" t="str">
        <f t="shared" si="25"/>
        <v>SFP</v>
      </c>
      <c r="D87" s="18"/>
      <c r="E87" s="17" t="s">
        <v>78</v>
      </c>
      <c r="F87" s="14"/>
      <c r="G87" s="254"/>
      <c r="H87" s="14"/>
      <c r="I87" s="14"/>
      <c r="J87" s="1258" t="s">
        <v>286</v>
      </c>
      <c r="K87" s="256">
        <f>SUMIF('alb SFP'!$A:$A,$J87,'alb SFP'!$C:$C)</f>
        <v>0</v>
      </c>
      <c r="L87" s="256">
        <f>SUMIF('alb SFP'!$A:$A,$J87,'alb SFP'!$F:$F)</f>
        <v>0</v>
      </c>
      <c r="M87" s="14"/>
      <c r="N87" s="14">
        <f>SUM(O87:AU87)-T87</f>
        <v>0</v>
      </c>
      <c r="O87" s="14">
        <v>0</v>
      </c>
      <c r="P87" s="14">
        <v>0</v>
      </c>
      <c r="Q87" s="14">
        <v>0</v>
      </c>
      <c r="R87" s="14">
        <v>0</v>
      </c>
      <c r="S87" s="14">
        <f t="shared" si="42"/>
        <v>0</v>
      </c>
      <c r="T87" s="14">
        <f>ROUND(SUM(U87:Y87),0)</f>
        <v>0</v>
      </c>
      <c r="U87" s="14">
        <f>ROUND(SUM(V87:Z87),0)</f>
        <v>0</v>
      </c>
      <c r="V87" s="14">
        <f>ROUND(SUM(W87:AA87),0)</f>
        <v>0</v>
      </c>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2"/>
      <c r="AX87" s="14"/>
      <c r="AY87" s="14">
        <f>ROUND(AX87/1000/Update!$B$31*Update!$B$27,0)</f>
        <v>0</v>
      </c>
      <c r="AZ87" s="2"/>
      <c r="BA87" s="14"/>
      <c r="BB87" s="14">
        <f>ROUND(BA87/1000/Update!$B$31,0)</f>
        <v>0</v>
      </c>
      <c r="BC87" s="14"/>
      <c r="BD87" s="14">
        <f t="shared" si="43"/>
        <v>0</v>
      </c>
      <c r="BE87" s="318"/>
      <c r="BF87" s="318"/>
      <c r="BG87" s="318"/>
      <c r="BH87" s="318"/>
      <c r="BI87" s="318"/>
      <c r="BJ87" s="318"/>
      <c r="BK87" s="14">
        <f t="shared" si="52"/>
        <v>0</v>
      </c>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2"/>
      <c r="CK87" s="2"/>
      <c r="CM87" s="1140">
        <v>0</v>
      </c>
      <c r="CN87" s="1140">
        <v>0</v>
      </c>
      <c r="CP87" s="923">
        <f t="shared" si="47"/>
        <v>0</v>
      </c>
      <c r="CZ87" s="330"/>
    </row>
    <row r="88" spans="1:104" ht="15" customHeight="1" x14ac:dyDescent="0.25">
      <c r="A88" s="684">
        <f>MAX($A$6:A87)+1</f>
        <v>88</v>
      </c>
      <c r="B88" s="11" t="s">
        <v>41</v>
      </c>
      <c r="C88" s="11" t="str">
        <f t="shared" si="25"/>
        <v>SFP</v>
      </c>
      <c r="D88" s="11"/>
      <c r="E88" s="7"/>
      <c r="F88" s="15"/>
      <c r="G88" s="26"/>
      <c r="H88" s="6"/>
      <c r="I88" s="6"/>
      <c r="J88" s="1257" t="s">
        <v>286</v>
      </c>
      <c r="K88" s="251">
        <f>SUMIF('alb SFP'!$A:$A,$J88,'alb SFP'!$C:$C)</f>
        <v>0</v>
      </c>
      <c r="L88" s="251">
        <f>SUMIF('alb SFP'!$A:$A,$J88,'alb SFP'!$F:$F)</f>
        <v>0</v>
      </c>
      <c r="M88" s="252"/>
      <c r="N88" s="273"/>
      <c r="O88" s="12"/>
      <c r="P88" s="12"/>
      <c r="Q88" s="12"/>
      <c r="R88" s="12"/>
      <c r="S88" s="6">
        <f t="shared" si="42"/>
        <v>0</v>
      </c>
      <c r="T88" s="273"/>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X88" s="6"/>
      <c r="AY88" s="6">
        <f>ROUND(AX88/1000/Update!$B$31*Update!$B$27,0)</f>
        <v>0</v>
      </c>
      <c r="BA88" s="6"/>
      <c r="BB88" s="6">
        <f>ROUND(BA88/1000/Update!$B$31,0)</f>
        <v>0</v>
      </c>
      <c r="BC88" s="6"/>
      <c r="BD88" s="29">
        <f t="shared" si="43"/>
        <v>0</v>
      </c>
      <c r="BE88" s="317"/>
      <c r="BF88" s="317"/>
      <c r="BG88" s="317"/>
      <c r="BH88" s="317"/>
      <c r="BI88" s="317"/>
      <c r="BJ88" s="317"/>
      <c r="BK88" s="327">
        <f t="shared" si="52"/>
        <v>0</v>
      </c>
      <c r="BL88" s="317"/>
      <c r="BM88" s="317"/>
      <c r="BN88" s="317"/>
      <c r="BO88" s="317"/>
      <c r="BP88" s="317"/>
      <c r="BQ88" s="317"/>
      <c r="BR88" s="317"/>
      <c r="BS88" s="317"/>
      <c r="BT88" s="317"/>
      <c r="BU88" s="317"/>
      <c r="BV88" s="317"/>
      <c r="BW88" s="317"/>
      <c r="BX88" s="317"/>
      <c r="BY88" s="317"/>
      <c r="BZ88" s="317"/>
      <c r="CA88" s="317"/>
      <c r="CB88" s="317"/>
      <c r="CC88" s="317"/>
      <c r="CD88" s="317"/>
      <c r="CE88" s="317"/>
      <c r="CF88" s="317"/>
      <c r="CG88" s="317"/>
      <c r="CH88" s="317"/>
      <c r="CI88" s="317"/>
      <c r="CM88" s="1139">
        <v>0</v>
      </c>
      <c r="CN88" s="1139">
        <v>0</v>
      </c>
      <c r="CP88" s="923">
        <f t="shared" si="47"/>
        <v>0</v>
      </c>
      <c r="CZ88" s="330"/>
    </row>
    <row r="89" spans="1:104" ht="15" customHeight="1" x14ac:dyDescent="0.25">
      <c r="A89" s="684">
        <f>MAX($A$6:A88)+1</f>
        <v>89</v>
      </c>
      <c r="B89" s="11" t="s">
        <v>41</v>
      </c>
      <c r="C89" s="11" t="str">
        <f t="shared" si="25"/>
        <v>SFP</v>
      </c>
      <c r="D89" s="11"/>
      <c r="E89" s="7" t="s">
        <v>79</v>
      </c>
      <c r="F89" s="15"/>
      <c r="G89" s="1254" t="s">
        <v>126</v>
      </c>
      <c r="H89" s="6">
        <v>1984321.4500000002</v>
      </c>
      <c r="I89" s="6">
        <v>-6054</v>
      </c>
      <c r="J89" s="1257" t="s">
        <v>126</v>
      </c>
      <c r="K89" s="251">
        <f>SUMIF('alb SFP'!$A:$A,$J89,'alb SFP'!$C:$C)</f>
        <v>0</v>
      </c>
      <c r="L89" s="251">
        <f>SUMIF('alb SFP'!$A:$A,$J89,'alb SFP'!$F:$F)</f>
        <v>0</v>
      </c>
      <c r="M89" s="252"/>
      <c r="N89" s="273">
        <f>ROUND(SUM(O89:S89)+SUM(W89:AV89),0)</f>
        <v>-24679</v>
      </c>
      <c r="O89" s="12"/>
      <c r="P89" s="12"/>
      <c r="Q89" s="12"/>
      <c r="R89" s="12"/>
      <c r="S89" s="6">
        <f t="shared" si="42"/>
        <v>-2009000</v>
      </c>
      <c r="T89" s="273">
        <f>ROUND(SUM(U89:Y89),0)</f>
        <v>1984321</v>
      </c>
      <c r="U89" s="6"/>
      <c r="V89" s="1524">
        <f>+V39+U39</f>
        <v>0</v>
      </c>
      <c r="W89" s="6">
        <f>H89</f>
        <v>1984321.4500000002</v>
      </c>
      <c r="X89" s="6"/>
      <c r="Y89" s="6"/>
      <c r="Z89" s="6"/>
      <c r="AA89" s="6"/>
      <c r="AB89" s="6"/>
      <c r="AC89" s="6"/>
      <c r="AD89" s="6"/>
      <c r="AE89" s="6"/>
      <c r="AF89" s="6"/>
      <c r="AG89" s="6"/>
      <c r="AH89" s="6"/>
      <c r="AI89" s="6"/>
      <c r="AJ89" s="6"/>
      <c r="AK89" s="6"/>
      <c r="AL89" s="6"/>
      <c r="AM89" s="6"/>
      <c r="AN89" s="6"/>
      <c r="AO89" s="6"/>
      <c r="AP89" s="6"/>
      <c r="AQ89" s="6"/>
      <c r="AR89" s="6"/>
      <c r="AS89" s="6"/>
      <c r="AT89" s="6"/>
      <c r="AU89" s="6"/>
      <c r="AV89" s="6"/>
      <c r="AX89" s="6"/>
      <c r="AY89" s="6">
        <f>ROUND(AX89/1000/Update!$B$31*Update!$B$27,0)</f>
        <v>0</v>
      </c>
      <c r="BA89" s="6"/>
      <c r="BB89" s="6">
        <f>ROUND(BA89/1000/Update!$B$31,0)</f>
        <v>0</v>
      </c>
      <c r="BC89" s="6"/>
      <c r="BD89" s="29">
        <f t="shared" si="43"/>
        <v>2009000</v>
      </c>
      <c r="BE89" s="317"/>
      <c r="BF89" s="1191"/>
      <c r="BG89" s="1191"/>
      <c r="BH89" s="1528">
        <f>BH46</f>
        <v>2009000</v>
      </c>
      <c r="BI89" s="1191"/>
      <c r="BJ89" s="1524">
        <f>+BJ39</f>
        <v>0</v>
      </c>
      <c r="BK89" s="1524">
        <f>ROUND(SUM(BO89:CI89),0)</f>
        <v>0</v>
      </c>
      <c r="BL89" s="317"/>
      <c r="BM89" s="317"/>
      <c r="BN89" s="317"/>
      <c r="BO89" s="317"/>
      <c r="BP89" s="317"/>
      <c r="BQ89" s="317"/>
      <c r="BR89" s="317"/>
      <c r="BS89" s="317"/>
      <c r="BT89" s="317"/>
      <c r="BU89" s="317"/>
      <c r="BV89" s="317"/>
      <c r="BW89" s="317"/>
      <c r="BX89" s="317"/>
      <c r="BY89" s="317"/>
      <c r="BZ89" s="317"/>
      <c r="CA89" s="317"/>
      <c r="CB89" s="317"/>
      <c r="CC89" s="317"/>
      <c r="CD89" s="317"/>
      <c r="CE89" s="317"/>
      <c r="CF89" s="317"/>
      <c r="CG89" s="317"/>
      <c r="CH89" s="317"/>
      <c r="CI89" s="317"/>
      <c r="CM89" s="1139">
        <v>-1</v>
      </c>
      <c r="CN89" s="1139">
        <v>2009000</v>
      </c>
      <c r="CP89" s="923">
        <f t="shared" si="47"/>
        <v>-1</v>
      </c>
      <c r="CZ89" s="330"/>
    </row>
    <row r="90" spans="1:104" ht="15" customHeight="1" x14ac:dyDescent="0.25">
      <c r="A90" s="684">
        <f>MAX($A$6:A89)+1</f>
        <v>90</v>
      </c>
      <c r="B90" s="11" t="s">
        <v>41</v>
      </c>
      <c r="C90" s="11" t="str">
        <f t="shared" si="25"/>
        <v>SFP</v>
      </c>
      <c r="D90" s="11"/>
      <c r="E90" s="7" t="s">
        <v>80</v>
      </c>
      <c r="F90" s="15"/>
      <c r="G90" s="1254" t="s">
        <v>127</v>
      </c>
      <c r="H90" s="6">
        <v>19953</v>
      </c>
      <c r="I90" s="6">
        <v>0</v>
      </c>
      <c r="J90" s="1257" t="s">
        <v>745</v>
      </c>
      <c r="K90" s="251">
        <f>SUMIF('alb SFP'!$A:$A,$J90,'alb SFP'!$C:$C)</f>
        <v>0</v>
      </c>
      <c r="L90" s="251">
        <f>SUMIF('alb SFP'!$A:$A,$J90,'alb SFP'!$F:$F)</f>
        <v>0</v>
      </c>
      <c r="M90" s="252"/>
      <c r="N90" s="273">
        <f>ROUND(SUM(O90:S90)+SUM(W90:AV90),0)</f>
        <v>19953</v>
      </c>
      <c r="O90" s="12"/>
      <c r="P90" s="12"/>
      <c r="Q90" s="12"/>
      <c r="R90" s="12"/>
      <c r="S90" s="6">
        <f t="shared" si="42"/>
        <v>0</v>
      </c>
      <c r="T90" s="273">
        <f>ROUND(SUM(U90:Y90),0)</f>
        <v>19953</v>
      </c>
      <c r="U90" s="6">
        <f>SUM(BL90:BN90)</f>
        <v>0</v>
      </c>
      <c r="V90" s="6"/>
      <c r="W90" s="6">
        <f>H90</f>
        <v>19953</v>
      </c>
      <c r="X90" s="6"/>
      <c r="Y90" s="6"/>
      <c r="Z90" s="6"/>
      <c r="AA90" s="6"/>
      <c r="AB90" s="6"/>
      <c r="AC90" s="6"/>
      <c r="AD90" s="6"/>
      <c r="AE90" s="6"/>
      <c r="AF90" s="6"/>
      <c r="AG90" s="6"/>
      <c r="AH90" s="6"/>
      <c r="AI90" s="6"/>
      <c r="AJ90" s="6"/>
      <c r="AK90" s="6"/>
      <c r="AL90" s="6"/>
      <c r="AM90" s="6"/>
      <c r="AN90" s="6"/>
      <c r="AO90" s="6"/>
      <c r="AP90" s="6"/>
      <c r="AQ90" s="6"/>
      <c r="AR90" s="6"/>
      <c r="AS90" s="6"/>
      <c r="AT90" s="6"/>
      <c r="AU90" s="6"/>
      <c r="AV90" s="6"/>
      <c r="AX90" s="6"/>
      <c r="AY90" s="6">
        <f>ROUND(AX90/1000/Update!$B$31*Update!$B$27,0)</f>
        <v>0</v>
      </c>
      <c r="BA90" s="6"/>
      <c r="BB90" s="6">
        <f>ROUND(BA90/1000/Update!$B$31,0)</f>
        <v>0</v>
      </c>
      <c r="BC90" s="6"/>
      <c r="BD90" s="29">
        <f t="shared" si="43"/>
        <v>0</v>
      </c>
      <c r="BE90" s="317"/>
      <c r="BF90" s="317"/>
      <c r="BG90" s="317"/>
      <c r="BH90" s="317"/>
      <c r="BI90" s="317"/>
      <c r="BJ90" s="317"/>
      <c r="BK90" s="327">
        <f t="shared" si="52"/>
        <v>0</v>
      </c>
      <c r="BL90" s="317"/>
      <c r="BM90" s="317"/>
      <c r="BN90" s="317"/>
      <c r="BO90" s="317"/>
      <c r="BP90" s="317"/>
      <c r="BQ90" s="317"/>
      <c r="BR90" s="317"/>
      <c r="BS90" s="317"/>
      <c r="BT90" s="317"/>
      <c r="BU90" s="317"/>
      <c r="BV90" s="317"/>
      <c r="BW90" s="317"/>
      <c r="BX90" s="317"/>
      <c r="BY90" s="317"/>
      <c r="BZ90" s="317"/>
      <c r="CA90" s="317"/>
      <c r="CB90" s="317"/>
      <c r="CC90" s="317"/>
      <c r="CD90" s="317"/>
      <c r="CE90" s="317"/>
      <c r="CF90" s="317"/>
      <c r="CG90" s="317"/>
      <c r="CH90" s="317"/>
      <c r="CI90" s="317"/>
      <c r="CM90" s="1139">
        <v>0</v>
      </c>
      <c r="CN90" s="1139">
        <v>0</v>
      </c>
      <c r="CP90" s="923">
        <f t="shared" si="47"/>
        <v>0</v>
      </c>
      <c r="CZ90" s="330"/>
    </row>
    <row r="91" spans="1:104" ht="25.5" customHeight="1" x14ac:dyDescent="0.25">
      <c r="A91" s="684">
        <f>MAX($A$6:A90)+1</f>
        <v>91</v>
      </c>
      <c r="B91" s="11" t="s">
        <v>41</v>
      </c>
      <c r="C91" s="11" t="str">
        <f t="shared" si="25"/>
        <v>SFP</v>
      </c>
      <c r="D91" s="11"/>
      <c r="E91" s="7" t="s">
        <v>809</v>
      </c>
      <c r="F91" s="15"/>
      <c r="G91" s="1254" t="s">
        <v>299</v>
      </c>
      <c r="H91" s="6">
        <v>0</v>
      </c>
      <c r="I91" s="6">
        <v>0</v>
      </c>
      <c r="J91" s="1254" t="s">
        <v>299</v>
      </c>
      <c r="K91" s="251">
        <f>SUMIF('alb SFP'!$A:$A,$J91,'alb SFP'!$C:$C)</f>
        <v>0</v>
      </c>
      <c r="L91" s="251">
        <f>SUMIF('alb SFP'!$A:$A,$J91,'alb SFP'!$F:$F)</f>
        <v>0</v>
      </c>
      <c r="M91" s="252"/>
      <c r="N91" s="273">
        <f>ROUND(SUM(O91:S91)+SUM(W91:AV91),0)</f>
        <v>0</v>
      </c>
      <c r="O91" s="12"/>
      <c r="P91" s="12"/>
      <c r="Q91" s="12"/>
      <c r="R91" s="12"/>
      <c r="S91" s="6">
        <f t="shared" si="42"/>
        <v>0</v>
      </c>
      <c r="T91" s="273">
        <f>ROUND(SUM(U91:Y91),0)</f>
        <v>0</v>
      </c>
      <c r="U91" s="6">
        <f>SUM(BL91:BN91)</f>
        <v>0</v>
      </c>
      <c r="V91" s="6"/>
      <c r="W91" s="6">
        <f>H91</f>
        <v>0</v>
      </c>
      <c r="X91" s="6"/>
      <c r="Y91" s="6"/>
      <c r="Z91" s="6"/>
      <c r="AA91" s="6"/>
      <c r="AB91" s="6"/>
      <c r="AC91" s="6"/>
      <c r="AD91" s="6"/>
      <c r="AE91" s="6"/>
      <c r="AF91" s="6"/>
      <c r="AG91" s="6"/>
      <c r="AH91" s="6"/>
      <c r="AI91" s="6"/>
      <c r="AJ91" s="6"/>
      <c r="AK91" s="6"/>
      <c r="AL91" s="6"/>
      <c r="AM91" s="6"/>
      <c r="AN91" s="6"/>
      <c r="AO91" s="6"/>
      <c r="AP91" s="6"/>
      <c r="AQ91" s="6"/>
      <c r="AR91" s="6"/>
      <c r="AS91" s="6"/>
      <c r="AT91" s="6"/>
      <c r="AU91" s="6"/>
      <c r="AV91" s="6"/>
      <c r="AX91" s="6"/>
      <c r="AY91" s="6">
        <f>ROUND(AX91/1000/Update!$B$31*Update!$B$27,0)</f>
        <v>0</v>
      </c>
      <c r="BA91" s="6"/>
      <c r="BB91" s="6">
        <f>ROUND(BA91/1000/Update!$B$31,0)</f>
        <v>0</v>
      </c>
      <c r="BC91" s="6"/>
      <c r="BD91" s="29">
        <f t="shared" si="43"/>
        <v>0</v>
      </c>
      <c r="BE91" s="317"/>
      <c r="BF91" s="317"/>
      <c r="BG91" s="317"/>
      <c r="BH91" s="317"/>
      <c r="BI91" s="317"/>
      <c r="BJ91" s="317"/>
      <c r="BK91" s="327">
        <f t="shared" si="52"/>
        <v>0</v>
      </c>
      <c r="BL91" s="317"/>
      <c r="BM91" s="317"/>
      <c r="BN91" s="317"/>
      <c r="BO91" s="317"/>
      <c r="BP91" s="317"/>
      <c r="BQ91" s="317"/>
      <c r="BR91" s="317"/>
      <c r="BS91" s="317"/>
      <c r="BT91" s="317"/>
      <c r="BU91" s="317"/>
      <c r="BV91" s="317"/>
      <c r="BW91" s="317"/>
      <c r="BX91" s="317"/>
      <c r="BY91" s="317"/>
      <c r="BZ91" s="317"/>
      <c r="CA91" s="317"/>
      <c r="CB91" s="317"/>
      <c r="CC91" s="317"/>
      <c r="CD91" s="317"/>
      <c r="CE91" s="317"/>
      <c r="CF91" s="317"/>
      <c r="CG91" s="317"/>
      <c r="CH91" s="317"/>
      <c r="CI91" s="317"/>
      <c r="CM91" s="1139">
        <v>0</v>
      </c>
      <c r="CN91" s="1139">
        <v>0</v>
      </c>
      <c r="CP91" s="923">
        <f t="shared" si="47"/>
        <v>0</v>
      </c>
      <c r="CZ91" s="330"/>
    </row>
    <row r="92" spans="1:104" ht="15" customHeight="1" x14ac:dyDescent="0.25">
      <c r="A92" s="701">
        <f>MAX($A$6:A91)+1</f>
        <v>92</v>
      </c>
      <c r="B92" s="18" t="s">
        <v>41</v>
      </c>
      <c r="C92" s="18" t="str">
        <f t="shared" si="25"/>
        <v>SFP</v>
      </c>
      <c r="D92" s="18"/>
      <c r="E92" s="17" t="s">
        <v>81</v>
      </c>
      <c r="F92" s="14"/>
      <c r="G92" s="254"/>
      <c r="H92" s="14">
        <f>SUM(H88:H91)</f>
        <v>2004274.4500000002</v>
      </c>
      <c r="I92" s="14">
        <f>SUM(I88:I91)</f>
        <v>-6054</v>
      </c>
      <c r="J92" s="1258" t="s">
        <v>286</v>
      </c>
      <c r="K92" s="256">
        <f>SUM(K88:K91)</f>
        <v>0</v>
      </c>
      <c r="L92" s="256">
        <f>SUM(L88:L91)</f>
        <v>0</v>
      </c>
      <c r="M92" s="14"/>
      <c r="N92" s="14">
        <f t="shared" ref="N92:V92" si="55">SUM(N88:N91)</f>
        <v>-4726</v>
      </c>
      <c r="O92" s="14">
        <f t="shared" si="55"/>
        <v>0</v>
      </c>
      <c r="P92" s="14">
        <f t="shared" si="55"/>
        <v>0</v>
      </c>
      <c r="Q92" s="14">
        <f t="shared" si="55"/>
        <v>0</v>
      </c>
      <c r="R92" s="14">
        <f t="shared" si="55"/>
        <v>0</v>
      </c>
      <c r="S92" s="14">
        <f t="shared" si="42"/>
        <v>-2009000</v>
      </c>
      <c r="T92" s="14">
        <f t="shared" si="55"/>
        <v>2004274</v>
      </c>
      <c r="U92" s="14">
        <f t="shared" si="55"/>
        <v>0</v>
      </c>
      <c r="V92" s="14">
        <f t="shared" si="55"/>
        <v>0</v>
      </c>
      <c r="W92" s="14">
        <f>SUM(W89:W91)</f>
        <v>2004274.4500000002</v>
      </c>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2"/>
      <c r="AX92" s="14">
        <f>SUM(AX88:AX91)</f>
        <v>0</v>
      </c>
      <c r="AY92" s="14">
        <f>ROUND(AX92/1000/Update!$B$31*Update!$B$27,0)</f>
        <v>0</v>
      </c>
      <c r="AZ92" s="2"/>
      <c r="BA92" s="14">
        <f>SUM(BA88:BA91)</f>
        <v>0</v>
      </c>
      <c r="BB92" s="14">
        <f>ROUND(BA92/1000/Update!$B$31,0)</f>
        <v>0</v>
      </c>
      <c r="BC92" s="14"/>
      <c r="BD92" s="14">
        <f>SUM(BD88:BD91)</f>
        <v>2009000</v>
      </c>
      <c r="BE92" s="318">
        <f t="shared" ref="BE92:BJ92" si="56">SUM(BE88:BE91)</f>
        <v>0</v>
      </c>
      <c r="BF92" s="318">
        <f t="shared" si="56"/>
        <v>0</v>
      </c>
      <c r="BG92" s="318">
        <f t="shared" si="56"/>
        <v>0</v>
      </c>
      <c r="BH92" s="318">
        <f t="shared" si="56"/>
        <v>2009000</v>
      </c>
      <c r="BI92" s="318">
        <f t="shared" si="56"/>
        <v>0</v>
      </c>
      <c r="BJ92" s="318">
        <f t="shared" si="56"/>
        <v>0</v>
      </c>
      <c r="BK92" s="14">
        <f t="shared" si="52"/>
        <v>0</v>
      </c>
      <c r="BL92" s="318"/>
      <c r="BM92" s="318"/>
      <c r="BN92" s="318"/>
      <c r="BO92" s="318"/>
      <c r="BP92" s="318"/>
      <c r="BQ92" s="318"/>
      <c r="BR92" s="318"/>
      <c r="BS92" s="318"/>
      <c r="BT92" s="318"/>
      <c r="BU92" s="318"/>
      <c r="BV92" s="318"/>
      <c r="BW92" s="318"/>
      <c r="BX92" s="318"/>
      <c r="BY92" s="318"/>
      <c r="BZ92" s="318"/>
      <c r="CA92" s="318"/>
      <c r="CB92" s="318"/>
      <c r="CC92" s="318"/>
      <c r="CD92" s="318"/>
      <c r="CE92" s="318"/>
      <c r="CF92" s="318"/>
      <c r="CG92" s="318"/>
      <c r="CH92" s="318"/>
      <c r="CI92" s="318"/>
      <c r="CJ92" s="2"/>
      <c r="CK92" s="2"/>
      <c r="CM92" s="1140">
        <v>-1</v>
      </c>
      <c r="CN92" s="1140">
        <v>2009000</v>
      </c>
      <c r="CP92" s="923">
        <f t="shared" si="47"/>
        <v>-1</v>
      </c>
      <c r="CZ92" s="330"/>
    </row>
    <row r="93" spans="1:104" ht="15" customHeight="1" x14ac:dyDescent="0.25">
      <c r="A93" s="684">
        <f>MAX($A$6:A92)+1</f>
        <v>93</v>
      </c>
      <c r="B93" s="11" t="s">
        <v>41</v>
      </c>
      <c r="C93" s="11" t="str">
        <f t="shared" si="25"/>
        <v>SFP</v>
      </c>
      <c r="D93" s="11"/>
      <c r="E93" s="7"/>
      <c r="F93" s="15"/>
      <c r="G93" s="26"/>
      <c r="H93" s="6"/>
      <c r="I93" s="6"/>
      <c r="J93" s="1257" t="s">
        <v>286</v>
      </c>
      <c r="K93" s="251">
        <f>SUMIF('alb SCF'!$A:$A,$J93,'alb SCF'!$C:$C)</f>
        <v>0</v>
      </c>
      <c r="L93" s="251">
        <f>SUMIF('alb SCF'!$A:$A,$J93,'alb SCF'!$C:$C)</f>
        <v>0</v>
      </c>
      <c r="M93" s="252"/>
      <c r="N93" s="273">
        <f>ROUND(SUM(O93:AU93)-T93,0)</f>
        <v>-60169</v>
      </c>
      <c r="O93" s="12">
        <f>O92-O85</f>
        <v>0</v>
      </c>
      <c r="P93" s="12">
        <f t="shared" ref="P93:R93" si="57">P92-P85</f>
        <v>0</v>
      </c>
      <c r="Q93" s="12">
        <f t="shared" si="57"/>
        <v>0</v>
      </c>
      <c r="R93" s="12">
        <f t="shared" si="57"/>
        <v>0</v>
      </c>
      <c r="S93" s="6">
        <f>S92-S85</f>
        <v>0</v>
      </c>
      <c r="T93" s="273">
        <f>T92-T85</f>
        <v>-60169</v>
      </c>
      <c r="U93" s="6">
        <f>U92-U85</f>
        <v>0</v>
      </c>
      <c r="V93" s="6">
        <f>V92-V85</f>
        <v>0</v>
      </c>
      <c r="W93" s="6">
        <f t="shared" ref="W93" si="58">W92-W85</f>
        <v>-60168.549999999814</v>
      </c>
      <c r="X93" s="6"/>
      <c r="Y93" s="6"/>
      <c r="Z93" s="6"/>
      <c r="AA93" s="6"/>
      <c r="AB93" s="6"/>
      <c r="AC93" s="6"/>
      <c r="AD93" s="6"/>
      <c r="AE93" s="6"/>
      <c r="AF93" s="6"/>
      <c r="AG93" s="6"/>
      <c r="AH93" s="6"/>
      <c r="AI93" s="6"/>
      <c r="AJ93" s="6"/>
      <c r="AK93" s="6"/>
      <c r="AL93" s="6"/>
      <c r="AM93" s="6"/>
      <c r="AN93" s="6"/>
      <c r="AO93" s="6"/>
      <c r="AP93" s="6"/>
      <c r="AQ93" s="6"/>
      <c r="AR93" s="6"/>
      <c r="AS93" s="6"/>
      <c r="AT93" s="6"/>
      <c r="AU93" s="6"/>
      <c r="AV93" s="6"/>
      <c r="AX93" s="6"/>
      <c r="AY93" s="6">
        <f>ROUND(AX93/1000/Update!$B$31*Update!$B$27,0)</f>
        <v>0</v>
      </c>
      <c r="BA93" s="6"/>
      <c r="BB93" s="6">
        <f>ROUND(BA93/1000/Update!$B$31,0)</f>
        <v>0</v>
      </c>
      <c r="BC93" s="6"/>
      <c r="BD93" s="29">
        <f t="shared" si="43"/>
        <v>0</v>
      </c>
      <c r="BE93" s="317"/>
      <c r="BF93" s="317"/>
      <c r="BG93" s="317"/>
      <c r="BH93" s="317"/>
      <c r="BI93" s="317"/>
      <c r="BJ93" s="317"/>
      <c r="BK93" s="29">
        <f t="shared" si="52"/>
        <v>0</v>
      </c>
      <c r="BL93" s="317"/>
      <c r="BM93" s="317"/>
      <c r="BN93" s="317"/>
      <c r="BO93" s="317"/>
      <c r="BP93" s="317"/>
      <c r="BQ93" s="317"/>
      <c r="BR93" s="317"/>
      <c r="BS93" s="317"/>
      <c r="BT93" s="317"/>
      <c r="BU93" s="317"/>
      <c r="BV93" s="317"/>
      <c r="BW93" s="317"/>
      <c r="BX93" s="317"/>
      <c r="BY93" s="317"/>
      <c r="BZ93" s="317"/>
      <c r="CA93" s="317"/>
      <c r="CB93" s="317"/>
      <c r="CC93" s="317"/>
      <c r="CD93" s="317"/>
      <c r="CE93" s="317"/>
      <c r="CF93" s="317"/>
      <c r="CG93" s="317"/>
      <c r="CH93" s="317"/>
      <c r="CI93" s="317"/>
      <c r="CM93" s="317"/>
      <c r="CN93" s="317">
        <v>0</v>
      </c>
      <c r="CP93" s="923">
        <f t="shared" si="47"/>
        <v>0</v>
      </c>
      <c r="CZ93" s="330"/>
    </row>
    <row r="94" spans="1:104" ht="18.75" customHeight="1" x14ac:dyDescent="0.25">
      <c r="A94" s="694">
        <f>MAX($A$6:A93)+1</f>
        <v>94</v>
      </c>
      <c r="B94" s="696" t="s">
        <v>42</v>
      </c>
      <c r="C94" s="696" t="s">
        <v>42</v>
      </c>
      <c r="D94" s="695"/>
      <c r="E94" s="696" t="str">
        <f>B94&amp;" "&amp;C94</f>
        <v>SCF SCF</v>
      </c>
      <c r="F94" s="697"/>
      <c r="G94" s="697"/>
      <c r="H94" s="695"/>
      <c r="I94" s="695"/>
      <c r="J94" s="698" t="s">
        <v>286</v>
      </c>
      <c r="K94" s="699">
        <f>SUMIF('alb SCF'!$A:$A,$J94,'alb SCF'!$C:$C)</f>
        <v>0</v>
      </c>
      <c r="L94" s="699">
        <f>SUMIF('alb SCF'!$A:$A,$J94,'alb SCF'!$G:$G)</f>
        <v>0</v>
      </c>
      <c r="M94" s="695"/>
      <c r="N94" s="713">
        <f>ROUND(SUM(O94:AU94)-T94,0)</f>
        <v>0</v>
      </c>
      <c r="O94" s="695"/>
      <c r="P94" s="695"/>
      <c r="Q94" s="695"/>
      <c r="R94" s="695"/>
      <c r="S94" s="695">
        <f t="shared" si="42"/>
        <v>0</v>
      </c>
      <c r="T94" s="713">
        <f>ROUND(SUM(U94:Y94),0)</f>
        <v>0</v>
      </c>
      <c r="U94" s="695"/>
      <c r="V94" s="695"/>
      <c r="W94" s="695"/>
      <c r="X94" s="695"/>
      <c r="Y94" s="695"/>
      <c r="Z94" s="695"/>
      <c r="AA94" s="695"/>
      <c r="AB94" s="695"/>
      <c r="AC94" s="695"/>
      <c r="AD94" s="695"/>
      <c r="AE94" s="695"/>
      <c r="AF94" s="695"/>
      <c r="AG94" s="695"/>
      <c r="AH94" s="695"/>
      <c r="AI94" s="695"/>
      <c r="AJ94" s="695"/>
      <c r="AK94" s="695"/>
      <c r="AL94" s="695"/>
      <c r="AM94" s="695"/>
      <c r="AN94" s="695"/>
      <c r="AO94" s="695"/>
      <c r="AP94" s="695"/>
      <c r="AQ94" s="695"/>
      <c r="AR94" s="695"/>
      <c r="AS94" s="695"/>
      <c r="AT94" s="695"/>
      <c r="AU94" s="695"/>
      <c r="AV94" s="695"/>
      <c r="AW94" s="700"/>
      <c r="AX94" s="700"/>
      <c r="AY94" s="700">
        <f>ROUND(AX94/1000/Update!$B$31*Update!$B$27,0)</f>
        <v>0</v>
      </c>
      <c r="AZ94" s="700"/>
      <c r="BA94" s="700"/>
      <c r="BB94" s="700">
        <f>ROUND(BA94/1000/Update!$B$31,0)</f>
        <v>0</v>
      </c>
      <c r="BC94" s="700"/>
      <c r="BD94" s="721">
        <f t="shared" si="43"/>
        <v>0</v>
      </c>
      <c r="BE94" s="700"/>
      <c r="BF94" s="700"/>
      <c r="BG94" s="700"/>
      <c r="BH94" s="700"/>
      <c r="BI94" s="700"/>
      <c r="BJ94" s="700"/>
      <c r="BK94" s="721">
        <f t="shared" si="52"/>
        <v>0</v>
      </c>
      <c r="BL94" s="700"/>
      <c r="BM94" s="700"/>
      <c r="BN94" s="700"/>
      <c r="BO94" s="700"/>
      <c r="BP94" s="700"/>
      <c r="BQ94" s="700"/>
      <c r="BR94" s="700"/>
      <c r="BS94" s="700"/>
      <c r="BT94" s="700"/>
      <c r="BU94" s="700"/>
      <c r="BV94" s="700"/>
      <c r="BW94" s="700"/>
      <c r="BX94" s="700"/>
      <c r="BY94" s="700"/>
      <c r="BZ94" s="700"/>
      <c r="CA94" s="700"/>
      <c r="CB94" s="700"/>
      <c r="CC94" s="700"/>
      <c r="CD94" s="700"/>
      <c r="CE94" s="700"/>
      <c r="CF94" s="700"/>
      <c r="CG94" s="700"/>
      <c r="CH94" s="700"/>
      <c r="CI94" s="700"/>
      <c r="CJ94" s="700"/>
      <c r="CK94" s="700"/>
      <c r="CM94" s="700">
        <v>0</v>
      </c>
      <c r="CN94" s="700">
        <v>0</v>
      </c>
      <c r="CP94" s="923">
        <f t="shared" si="47"/>
        <v>0</v>
      </c>
      <c r="CZ94" s="330"/>
    </row>
    <row r="95" spans="1:104" ht="15" customHeight="1" x14ac:dyDescent="0.25">
      <c r="A95" s="684">
        <f>MAX($A$6:A94)+1</f>
        <v>95</v>
      </c>
      <c r="B95" s="11" t="s">
        <v>42</v>
      </c>
      <c r="C95" s="11" t="str">
        <f>$C$94</f>
        <v>SCF</v>
      </c>
      <c r="D95" s="11"/>
      <c r="E95" s="13" t="s">
        <v>82</v>
      </c>
      <c r="F95" s="15"/>
      <c r="G95" s="26"/>
      <c r="H95" s="6"/>
      <c r="I95" s="6"/>
      <c r="J95" s="1257" t="s">
        <v>286</v>
      </c>
      <c r="K95" s="251">
        <f>SUMIF('alb SCF'!$A:$A,$J95,'alb SCF'!$C:$C)</f>
        <v>0</v>
      </c>
      <c r="L95" s="251">
        <f>SUMIF('alb SCF'!$A:$A,$J95,'alb SCF'!$G:$G)</f>
        <v>0</v>
      </c>
      <c r="M95" s="252"/>
      <c r="N95" s="273"/>
      <c r="O95" s="12"/>
      <c r="P95" s="12"/>
      <c r="Q95" s="12"/>
      <c r="R95" s="12"/>
      <c r="S95" s="6">
        <f t="shared" si="42"/>
        <v>0</v>
      </c>
      <c r="T95" s="273">
        <f>ROUND(SUM(U95:Y95),0)</f>
        <v>0</v>
      </c>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X95" s="6"/>
      <c r="AY95" s="6">
        <f>ROUND(AX95/1000/Update!$B$31*Update!$B$27,0)</f>
        <v>0</v>
      </c>
      <c r="BA95" s="6"/>
      <c r="BB95" s="6">
        <f>ROUND(BA95/1000/Update!$B$31,0)</f>
        <v>0</v>
      </c>
      <c r="BC95" s="6"/>
      <c r="BD95" s="29"/>
      <c r="BE95" s="317"/>
      <c r="BF95" s="317"/>
      <c r="BG95" s="317"/>
      <c r="BH95" s="317"/>
      <c r="BI95" s="317"/>
      <c r="BJ95" s="317"/>
      <c r="BK95" s="29">
        <f t="shared" si="52"/>
        <v>0</v>
      </c>
      <c r="BL95" s="317"/>
      <c r="BM95" s="317"/>
      <c r="BN95" s="317"/>
      <c r="BO95" s="317"/>
      <c r="BP95" s="317"/>
      <c r="BQ95" s="317"/>
      <c r="BR95" s="317"/>
      <c r="BS95" s="317"/>
      <c r="BT95" s="317"/>
      <c r="BU95" s="317"/>
      <c r="BV95" s="317"/>
      <c r="BW95" s="317"/>
      <c r="BX95" s="317"/>
      <c r="BY95" s="317"/>
      <c r="BZ95" s="317"/>
      <c r="CA95" s="317"/>
      <c r="CB95" s="317"/>
      <c r="CC95" s="317"/>
      <c r="CD95" s="317"/>
      <c r="CE95" s="317"/>
      <c r="CF95" s="317"/>
      <c r="CG95" s="317"/>
      <c r="CH95" s="317"/>
      <c r="CI95" s="317"/>
      <c r="CM95" s="317">
        <v>0</v>
      </c>
      <c r="CN95" s="317"/>
      <c r="CP95" s="923">
        <f t="shared" si="47"/>
        <v>0</v>
      </c>
      <c r="CZ95" s="330"/>
    </row>
    <row r="96" spans="1:104" ht="30" customHeight="1" x14ac:dyDescent="0.25">
      <c r="A96" s="684">
        <f>MAX($A$6:A95)+1</f>
        <v>96</v>
      </c>
      <c r="B96" s="11" t="s">
        <v>42</v>
      </c>
      <c r="C96" s="11" t="str">
        <f t="shared" ref="C96:C146" si="59">$C$94</f>
        <v>SCF</v>
      </c>
      <c r="D96" s="11"/>
      <c r="E96" s="7" t="s">
        <v>2331</v>
      </c>
      <c r="F96" s="15"/>
      <c r="G96" s="1254" t="s">
        <v>2331</v>
      </c>
      <c r="H96" s="6">
        <v>0</v>
      </c>
      <c r="I96" s="6">
        <v>6054</v>
      </c>
      <c r="J96" s="1254" t="s">
        <v>2331</v>
      </c>
      <c r="K96" s="251">
        <f>SUMIF('alb SCF'!$A:$A,$J96,'alb SCF'!$C:$C)</f>
        <v>0</v>
      </c>
      <c r="L96" s="251">
        <f>SUMIF('alb SCF'!$A:$A,$J96,'alb SCF'!$G:$G)</f>
        <v>0</v>
      </c>
      <c r="M96" s="252" t="s">
        <v>40</v>
      </c>
      <c r="N96" s="273">
        <f>ROUND(SUM(O96:S96)+SUM(W96:AV96),0)</f>
        <v>0</v>
      </c>
      <c r="O96" s="12"/>
      <c r="P96" s="12"/>
      <c r="Q96" s="12"/>
      <c r="R96" s="12"/>
      <c r="S96" s="6">
        <f t="shared" si="42"/>
        <v>0</v>
      </c>
      <c r="T96" s="273">
        <f t="shared" ref="T96:T118" si="60">ROUND(SUM(U96:Y96),0)</f>
        <v>0</v>
      </c>
      <c r="U96" s="251">
        <f>SUM(BL96:BN96)</f>
        <v>0</v>
      </c>
      <c r="V96" s="1523"/>
      <c r="W96" s="251">
        <f>+H96</f>
        <v>0</v>
      </c>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X96" s="6"/>
      <c r="AY96" s="6">
        <f>ROUND(AX96/1000/Update!$B$31*Update!$B$27,0)</f>
        <v>0</v>
      </c>
      <c r="BA96" s="6"/>
      <c r="BB96" s="6">
        <f>ROUND(BA96/1000/Update!$B$31,0)</f>
        <v>0</v>
      </c>
      <c r="BC96" s="6"/>
      <c r="BD96" s="29">
        <f>ROUND(SUM(BE96:BK96),0)</f>
        <v>0</v>
      </c>
      <c r="BE96" s="1191"/>
      <c r="BF96" s="1191">
        <f>BH14</f>
        <v>0</v>
      </c>
      <c r="BG96" s="1191">
        <f>BG14</f>
        <v>0</v>
      </c>
      <c r="BI96" s="1522">
        <f>BI14</f>
        <v>0</v>
      </c>
      <c r="BJ96" s="1524">
        <f>BJ89</f>
        <v>0</v>
      </c>
      <c r="BK96" s="1524">
        <f>ROUND(SUM(BO96:CI96),0)</f>
        <v>0</v>
      </c>
      <c r="BL96" s="317"/>
      <c r="BM96" s="317"/>
      <c r="BN96" s="317"/>
      <c r="BO96" s="317"/>
      <c r="BP96" s="317"/>
      <c r="BQ96" s="317"/>
      <c r="BR96" s="317"/>
      <c r="BS96" s="317"/>
      <c r="BT96" s="317"/>
      <c r="BU96" s="317"/>
      <c r="BV96" s="317"/>
      <c r="BW96" s="317"/>
      <c r="BX96" s="317"/>
      <c r="BY96" s="317"/>
      <c r="BZ96" s="317"/>
      <c r="CA96" s="317"/>
      <c r="CB96" s="317"/>
      <c r="CC96" s="317"/>
      <c r="CD96" s="317"/>
      <c r="CE96" s="317"/>
      <c r="CF96" s="317"/>
      <c r="CG96" s="317"/>
      <c r="CH96" s="317"/>
      <c r="CI96" s="317"/>
      <c r="CM96" s="1139">
        <v>0</v>
      </c>
      <c r="CN96" s="1139">
        <v>-7541911</v>
      </c>
      <c r="CP96" s="923">
        <f>-V96+BL96+BM96+BN96+CM96</f>
        <v>0</v>
      </c>
      <c r="CZ96" s="330"/>
    </row>
    <row r="97" spans="1:104" ht="25.5" customHeight="1" x14ac:dyDescent="0.25">
      <c r="A97" s="684">
        <f>MAX($A$6:A96)+1</f>
        <v>97</v>
      </c>
      <c r="B97" s="11" t="s">
        <v>42</v>
      </c>
      <c r="C97" s="11" t="str">
        <f t="shared" si="59"/>
        <v>SCF</v>
      </c>
      <c r="D97" s="11"/>
      <c r="E97" s="7" t="s">
        <v>318</v>
      </c>
      <c r="F97" s="15"/>
      <c r="G97" s="1254" t="s">
        <v>318</v>
      </c>
      <c r="H97" s="6">
        <v>0</v>
      </c>
      <c r="I97" s="6">
        <v>0</v>
      </c>
      <c r="J97" s="1257" t="s">
        <v>1666</v>
      </c>
      <c r="K97" s="251">
        <f>SUMIF('alb SCF'!$A:$A,$J97,'alb SCF'!$C:$C)</f>
        <v>0</v>
      </c>
      <c r="L97" s="251">
        <f>SUMIF('alb SCF'!$A:$A,$J97,'alb SCF'!$G:$G)</f>
        <v>0</v>
      </c>
      <c r="M97" s="252" t="s">
        <v>83</v>
      </c>
      <c r="N97" s="273">
        <f t="shared" ref="N97:N138" si="61">ROUND(SUM(O97:S97)+SUM(W97:AV97),0)</f>
        <v>0</v>
      </c>
      <c r="O97" s="12"/>
      <c r="P97" s="12"/>
      <c r="Q97" s="12"/>
      <c r="R97" s="12"/>
      <c r="S97" s="6">
        <f t="shared" si="42"/>
        <v>0</v>
      </c>
      <c r="T97" s="273">
        <f t="shared" si="60"/>
        <v>0</v>
      </c>
      <c r="U97" s="251">
        <f t="shared" ref="U97:U118" si="62">SUM(BL97:BN97)</f>
        <v>0</v>
      </c>
      <c r="V97" s="251"/>
      <c r="W97" s="251">
        <f t="shared" ref="W97:W118" si="63">+H97</f>
        <v>0</v>
      </c>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X97" s="6"/>
      <c r="AY97" s="6">
        <f>ROUND(AX97/1000/Update!$B$31*Update!$B$27,0)</f>
        <v>0</v>
      </c>
      <c r="BA97" s="6"/>
      <c r="BB97" s="6">
        <f>ROUND(BA97/1000/Update!$B$31,0)</f>
        <v>0</v>
      </c>
      <c r="BC97" s="6"/>
      <c r="BD97" s="29">
        <f t="shared" si="43"/>
        <v>0</v>
      </c>
      <c r="BE97" s="317"/>
      <c r="BF97" s="317"/>
      <c r="BG97" s="1191"/>
      <c r="BH97" s="1191"/>
      <c r="BI97" s="1191"/>
      <c r="BJ97" s="1191"/>
      <c r="BK97" s="327">
        <f t="shared" si="52"/>
        <v>0</v>
      </c>
      <c r="BL97" s="317"/>
      <c r="BM97" s="317"/>
      <c r="BN97" s="317"/>
      <c r="BO97" s="317"/>
      <c r="BP97" s="317"/>
      <c r="BQ97" s="317"/>
      <c r="BR97" s="317"/>
      <c r="BS97" s="317"/>
      <c r="BT97" s="317"/>
      <c r="BU97" s="317"/>
      <c r="BV97" s="317"/>
      <c r="BW97" s="317"/>
      <c r="BX97" s="317"/>
      <c r="BY97" s="317"/>
      <c r="BZ97" s="317"/>
      <c r="CA97" s="317"/>
      <c r="CB97" s="317"/>
      <c r="CC97" s="317"/>
      <c r="CD97" s="317"/>
      <c r="CE97" s="317"/>
      <c r="CF97" s="317"/>
      <c r="CG97" s="317"/>
      <c r="CH97" s="317"/>
      <c r="CI97" s="317"/>
      <c r="CM97" s="1139">
        <v>0</v>
      </c>
      <c r="CN97" s="1139">
        <v>0</v>
      </c>
      <c r="CP97" s="923">
        <f t="shared" si="47"/>
        <v>0</v>
      </c>
      <c r="CZ97" s="330"/>
    </row>
    <row r="98" spans="1:104" ht="25.5" customHeight="1" x14ac:dyDescent="0.25">
      <c r="A98" s="684">
        <f>MAX($A$6:A97)+1</f>
        <v>98</v>
      </c>
      <c r="B98" s="11" t="s">
        <v>42</v>
      </c>
      <c r="C98" s="11" t="str">
        <f t="shared" si="59"/>
        <v>SCF</v>
      </c>
      <c r="D98" s="11"/>
      <c r="E98" s="7" t="s">
        <v>318</v>
      </c>
      <c r="F98" s="15"/>
      <c r="G98" s="1254" t="s">
        <v>286</v>
      </c>
      <c r="H98" s="6">
        <v>0</v>
      </c>
      <c r="I98" s="6">
        <v>0</v>
      </c>
      <c r="J98" s="1257" t="s">
        <v>2628</v>
      </c>
      <c r="K98" s="251">
        <f>SUMIF('alb SCF'!$A:$A,$J98,'alb SCF'!$C:$C)</f>
        <v>0</v>
      </c>
      <c r="L98" s="251">
        <f>SUMIF('alb SCF'!$A:$A,$J98,'alb SCF'!$G:$G)</f>
        <v>0</v>
      </c>
      <c r="M98" s="252" t="s">
        <v>83</v>
      </c>
      <c r="N98" s="273">
        <f>ROUND(SUM(O98:S98)+SUM(W98:AV98),0)</f>
        <v>0</v>
      </c>
      <c r="O98" s="12"/>
      <c r="P98" s="12"/>
      <c r="Q98" s="12"/>
      <c r="R98" s="12"/>
      <c r="S98" s="6">
        <f>-IF(ISNUMBER(BD98),BD98,0)</f>
        <v>0</v>
      </c>
      <c r="T98" s="273">
        <f>ROUND(SUM(U98:Y98),0)</f>
        <v>0</v>
      </c>
      <c r="U98" s="251">
        <f>SUM(BL98:BN98)</f>
        <v>0</v>
      </c>
      <c r="V98" s="251"/>
      <c r="W98" s="251">
        <f>+H98</f>
        <v>0</v>
      </c>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X98" s="6"/>
      <c r="AY98" s="6">
        <f>ROUND(AX98/1000/Update!$B$31*Update!$B$27,0)</f>
        <v>0</v>
      </c>
      <c r="BA98" s="6"/>
      <c r="BB98" s="6">
        <f>ROUND(BA98/1000/Update!$B$31,0)</f>
        <v>0</v>
      </c>
      <c r="BC98" s="6"/>
      <c r="BD98" s="29">
        <f>ROUND(SUM(BE98:BK98),0)</f>
        <v>0</v>
      </c>
      <c r="BE98" s="317"/>
      <c r="BF98" s="317"/>
      <c r="BG98" s="1191"/>
      <c r="BH98" s="1191"/>
      <c r="BI98" s="1191"/>
      <c r="BJ98" s="1191"/>
      <c r="BK98" s="327">
        <f>ROUND(SUM(BO98:CI98),0)</f>
        <v>0</v>
      </c>
      <c r="BL98" s="317"/>
      <c r="BM98" s="317"/>
      <c r="BN98" s="317"/>
      <c r="BO98" s="317"/>
      <c r="BP98" s="317"/>
      <c r="BQ98" s="317"/>
      <c r="BR98" s="317"/>
      <c r="BS98" s="317"/>
      <c r="BT98" s="317"/>
      <c r="BU98" s="317"/>
      <c r="BV98" s="317"/>
      <c r="BW98" s="317"/>
      <c r="BX98" s="317"/>
      <c r="BY98" s="317"/>
      <c r="BZ98" s="317"/>
      <c r="CA98" s="317"/>
      <c r="CB98" s="317"/>
      <c r="CC98" s="317"/>
      <c r="CD98" s="317"/>
      <c r="CE98" s="317"/>
      <c r="CF98" s="317"/>
      <c r="CG98" s="317"/>
      <c r="CH98" s="317"/>
      <c r="CI98" s="317"/>
      <c r="CM98" s="1139">
        <v>0</v>
      </c>
      <c r="CN98" s="1139">
        <v>0</v>
      </c>
      <c r="CP98" s="923">
        <f t="shared" si="47"/>
        <v>0</v>
      </c>
      <c r="CZ98" s="330"/>
    </row>
    <row r="99" spans="1:104" ht="30" customHeight="1" x14ac:dyDescent="0.25">
      <c r="A99" s="684">
        <f>MAX($A$6:A98)+1</f>
        <v>99</v>
      </c>
      <c r="B99" s="11" t="s">
        <v>42</v>
      </c>
      <c r="C99" s="11" t="str">
        <f t="shared" si="59"/>
        <v>SCF</v>
      </c>
      <c r="D99" s="11"/>
      <c r="E99" s="7" t="s">
        <v>84</v>
      </c>
      <c r="F99" s="15"/>
      <c r="G99" s="1254" t="s">
        <v>319</v>
      </c>
      <c r="H99" s="6">
        <v>14255</v>
      </c>
      <c r="I99" s="6">
        <v>0</v>
      </c>
      <c r="J99" s="1257" t="s">
        <v>752</v>
      </c>
      <c r="K99" s="251">
        <f>SUMIF('alb SCF'!$A:$A,$J99,'alb SCF'!$C:$C)</f>
        <v>0</v>
      </c>
      <c r="L99" s="251">
        <f>SUMIF('alb SCF'!$A:$A,$J99,'alb SCF'!$G:$G)</f>
        <v>0</v>
      </c>
      <c r="M99" s="252">
        <v>12</v>
      </c>
      <c r="N99" s="273">
        <f>ROUND(SUM(O99:S99)+SUM(W99:AV99),0)</f>
        <v>-66727</v>
      </c>
      <c r="O99" s="12"/>
      <c r="P99" s="12"/>
      <c r="Q99" s="12"/>
      <c r="R99" s="6"/>
      <c r="S99" s="1529">
        <f>-CN1266+BD1266</f>
        <v>-80982</v>
      </c>
      <c r="T99" s="273">
        <f>ROUND(SUM(U99:Y99),0)</f>
        <v>13821</v>
      </c>
      <c r="U99" s="1529">
        <f>CM1266-U1266-V1266</f>
        <v>-434</v>
      </c>
      <c r="V99" s="6"/>
      <c r="W99" s="6">
        <f t="shared" si="63"/>
        <v>14255</v>
      </c>
      <c r="X99" s="6"/>
      <c r="Y99" s="6"/>
      <c r="Z99" s="6"/>
      <c r="AA99" s="6"/>
      <c r="AB99" s="6"/>
      <c r="AC99" s="6"/>
      <c r="AD99" s="6"/>
      <c r="AE99" s="6"/>
      <c r="AF99" s="6"/>
      <c r="AG99" s="6"/>
      <c r="AH99" s="6"/>
      <c r="AI99" s="6"/>
      <c r="AJ99" s="6"/>
      <c r="AK99" s="6"/>
      <c r="AL99" s="6"/>
      <c r="AM99" s="6"/>
      <c r="AN99" s="6"/>
      <c r="AO99" s="6"/>
      <c r="AP99" s="6"/>
      <c r="AQ99" s="6"/>
      <c r="AR99" s="6"/>
      <c r="AS99" s="6"/>
      <c r="AT99" s="6"/>
      <c r="AU99" s="6"/>
      <c r="AV99" s="6"/>
      <c r="AX99" s="6"/>
      <c r="AY99" s="6">
        <f>ROUND(AX99/1000/Update!$B$31*Update!$B$27,0)</f>
        <v>0</v>
      </c>
      <c r="BA99" s="6"/>
      <c r="BB99" s="6">
        <f>ROUND(BA99/1000/Update!$B$31,0)</f>
        <v>0</v>
      </c>
      <c r="BC99" s="6"/>
      <c r="BD99" s="29">
        <f t="shared" si="43"/>
        <v>0</v>
      </c>
      <c r="BE99" s="317"/>
      <c r="BF99" s="317"/>
      <c r="BG99" s="1191">
        <f>-BG106</f>
        <v>0</v>
      </c>
      <c r="BI99" s="1191"/>
      <c r="BJ99" s="1527">
        <f>-BJ1238</f>
        <v>0</v>
      </c>
      <c r="BK99" s="327">
        <f t="shared" si="52"/>
        <v>0</v>
      </c>
      <c r="BL99" s="317"/>
      <c r="BM99" s="317"/>
      <c r="BN99" s="317"/>
      <c r="BO99" s="317"/>
      <c r="BP99" s="317"/>
      <c r="BQ99" s="317"/>
      <c r="BR99" s="317"/>
      <c r="BS99" s="317"/>
      <c r="BT99" s="317"/>
      <c r="BU99" s="317"/>
      <c r="BV99" s="317"/>
      <c r="BW99" s="317"/>
      <c r="BX99" s="317"/>
      <c r="BY99" s="317"/>
      <c r="BZ99" s="317"/>
      <c r="CA99" s="317"/>
      <c r="CB99" s="317"/>
      <c r="CC99" s="317"/>
      <c r="CD99" s="317"/>
      <c r="CE99" s="317"/>
      <c r="CF99" s="317"/>
      <c r="CG99" s="317"/>
      <c r="CH99" s="317"/>
      <c r="CI99" s="317"/>
      <c r="CM99" s="1139">
        <v>-403</v>
      </c>
      <c r="CN99" s="1139">
        <v>-42262</v>
      </c>
      <c r="CP99" s="923">
        <f t="shared" si="47"/>
        <v>-403</v>
      </c>
      <c r="CZ99" s="330"/>
    </row>
    <row r="100" spans="1:104" ht="45" customHeight="1" x14ac:dyDescent="0.25">
      <c r="A100" s="684">
        <f>MAX($A$6:A99)+1</f>
        <v>100</v>
      </c>
      <c r="B100" s="11" t="s">
        <v>42</v>
      </c>
      <c r="C100" s="11" t="str">
        <f t="shared" si="59"/>
        <v>SCF</v>
      </c>
      <c r="D100" s="11"/>
      <c r="E100" s="269" t="s">
        <v>85</v>
      </c>
      <c r="F100" s="15"/>
      <c r="G100" s="1276" t="s">
        <v>286</v>
      </c>
      <c r="H100" s="6">
        <v>0</v>
      </c>
      <c r="I100" s="6">
        <v>0</v>
      </c>
      <c r="J100" s="1253" t="s">
        <v>286</v>
      </c>
      <c r="K100" s="251">
        <f>SUMIF('alb SCF'!$A:$A,$J100,'alb SCF'!$C:$C)</f>
        <v>0</v>
      </c>
      <c r="L100" s="251">
        <f>SUMIF('alb SCF'!$A:$A,$J100,'alb SCF'!$G:$G)</f>
        <v>0</v>
      </c>
      <c r="M100" s="252"/>
      <c r="N100" s="273">
        <f t="shared" si="61"/>
        <v>0</v>
      </c>
      <c r="O100" s="12"/>
      <c r="P100" s="12"/>
      <c r="Q100" s="12"/>
      <c r="R100" s="12"/>
      <c r="S100" s="6">
        <f t="shared" si="42"/>
        <v>0</v>
      </c>
      <c r="T100" s="273">
        <f t="shared" si="60"/>
        <v>0</v>
      </c>
      <c r="U100" s="6">
        <f t="shared" si="62"/>
        <v>0</v>
      </c>
      <c r="V100" s="6"/>
      <c r="W100" s="6">
        <f t="shared" si="63"/>
        <v>0</v>
      </c>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X100" s="6"/>
      <c r="AY100" s="6">
        <f>ROUND(AX100/1000/Update!$B$31*Update!$B$27,0)</f>
        <v>0</v>
      </c>
      <c r="BA100" s="6"/>
      <c r="BB100" s="6">
        <f>ROUND(BA100/1000/Update!$B$31,0)</f>
        <v>0</v>
      </c>
      <c r="BC100" s="6"/>
      <c r="BD100" s="29">
        <f t="shared" si="43"/>
        <v>0</v>
      </c>
      <c r="BE100" s="317"/>
      <c r="BF100" s="317"/>
      <c r="BG100" s="317"/>
      <c r="BH100" s="317"/>
      <c r="BI100" s="317"/>
      <c r="BJ100" s="317"/>
      <c r="BK100" s="327">
        <f t="shared" si="52"/>
        <v>0</v>
      </c>
      <c r="BL100" s="317"/>
      <c r="BM100" s="317"/>
      <c r="BN100" s="317"/>
      <c r="BO100" s="317"/>
      <c r="BP100" s="317"/>
      <c r="BQ100" s="317"/>
      <c r="BR100" s="317"/>
      <c r="BS100" s="317"/>
      <c r="BT100" s="317"/>
      <c r="BU100" s="317"/>
      <c r="BV100" s="317"/>
      <c r="BW100" s="317"/>
      <c r="BX100" s="317"/>
      <c r="BY100" s="317"/>
      <c r="BZ100" s="317"/>
      <c r="CA100" s="317"/>
      <c r="CB100" s="317"/>
      <c r="CC100" s="317"/>
      <c r="CD100" s="317"/>
      <c r="CE100" s="317"/>
      <c r="CF100" s="317"/>
      <c r="CG100" s="317"/>
      <c r="CH100" s="317"/>
      <c r="CI100" s="317"/>
      <c r="CM100" s="1139">
        <v>0</v>
      </c>
      <c r="CN100" s="1139">
        <v>0</v>
      </c>
      <c r="CP100" s="923">
        <f t="shared" si="47"/>
        <v>0</v>
      </c>
      <c r="CZ100" s="330"/>
    </row>
    <row r="101" spans="1:104" ht="30" customHeight="1" x14ac:dyDescent="0.25">
      <c r="A101" s="684">
        <f>MAX($A$6:A100)+1</f>
        <v>101</v>
      </c>
      <c r="B101" s="11" t="s">
        <v>42</v>
      </c>
      <c r="C101" s="11" t="str">
        <f t="shared" si="59"/>
        <v>SCF</v>
      </c>
      <c r="D101" s="11"/>
      <c r="E101" s="7" t="s">
        <v>86</v>
      </c>
      <c r="F101" s="15"/>
      <c r="G101" s="1254" t="s">
        <v>86</v>
      </c>
      <c r="H101" s="6">
        <v>0</v>
      </c>
      <c r="I101" s="6">
        <v>0</v>
      </c>
      <c r="J101" s="1253" t="s">
        <v>286</v>
      </c>
      <c r="K101" s="251">
        <f>SUMIF('alb SCF'!$A:$A,$J101,'alb SCF'!$C:$C)</f>
        <v>0</v>
      </c>
      <c r="L101" s="251">
        <f>SUMIF('alb SCF'!$A:$A,$J101,'alb SCF'!$G:$G)</f>
        <v>0</v>
      </c>
      <c r="M101" s="252"/>
      <c r="N101" s="273">
        <f t="shared" si="61"/>
        <v>0</v>
      </c>
      <c r="O101" s="12"/>
      <c r="P101" s="12"/>
      <c r="Q101" s="12"/>
      <c r="R101" s="12"/>
      <c r="S101" s="6">
        <f t="shared" si="42"/>
        <v>0</v>
      </c>
      <c r="T101" s="273">
        <f t="shared" si="60"/>
        <v>0</v>
      </c>
      <c r="U101" s="6">
        <f t="shared" si="62"/>
        <v>0</v>
      </c>
      <c r="V101" s="6"/>
      <c r="W101" s="6">
        <f t="shared" si="63"/>
        <v>0</v>
      </c>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X101" s="6"/>
      <c r="AY101" s="6">
        <f>ROUND(AX101/1000/Update!$B$31*Update!$B$27,0)</f>
        <v>0</v>
      </c>
      <c r="BA101" s="6"/>
      <c r="BB101" s="6">
        <f>ROUND(BA101/1000/Update!$B$31,0)</f>
        <v>0</v>
      </c>
      <c r="BC101" s="6"/>
      <c r="BD101" s="29">
        <f t="shared" si="43"/>
        <v>0</v>
      </c>
      <c r="BE101" s="317"/>
      <c r="BF101" s="317"/>
      <c r="BG101" s="317"/>
      <c r="BH101" s="317"/>
      <c r="BI101" s="317"/>
      <c r="BJ101" s="317"/>
      <c r="BK101" s="327">
        <f t="shared" si="52"/>
        <v>0</v>
      </c>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M101" s="1139">
        <v>0</v>
      </c>
      <c r="CN101" s="1139">
        <v>0</v>
      </c>
      <c r="CP101" s="923">
        <f t="shared" si="47"/>
        <v>0</v>
      </c>
      <c r="CZ101" s="330"/>
    </row>
    <row r="102" spans="1:104" ht="38.25" customHeight="1" x14ac:dyDescent="0.25">
      <c r="A102" s="684">
        <f>MAX($A$6:A101)+1</f>
        <v>102</v>
      </c>
      <c r="B102" s="11" t="s">
        <v>42</v>
      </c>
      <c r="C102" s="11" t="str">
        <f t="shared" si="59"/>
        <v>SCF</v>
      </c>
      <c r="D102" s="11"/>
      <c r="E102" s="7" t="s">
        <v>300</v>
      </c>
      <c r="F102" s="15"/>
      <c r="G102" s="1254" t="s">
        <v>320</v>
      </c>
      <c r="H102" s="6">
        <v>0</v>
      </c>
      <c r="I102" s="6">
        <v>0</v>
      </c>
      <c r="J102" s="1257" t="s">
        <v>300</v>
      </c>
      <c r="K102" s="251">
        <f>SUMIF('alb SCF'!$A:$A,$J102,'alb SCF'!$C:$C)</f>
        <v>0</v>
      </c>
      <c r="L102" s="251">
        <f>SUMIF('alb SCF'!$A:$A,$J102,'alb SCF'!$G:$G)</f>
        <v>0</v>
      </c>
      <c r="M102" s="252"/>
      <c r="N102" s="273">
        <f t="shared" si="61"/>
        <v>0</v>
      </c>
      <c r="O102" s="12"/>
      <c r="P102" s="12"/>
      <c r="Q102" s="12"/>
      <c r="R102" s="12"/>
      <c r="S102" s="6">
        <f t="shared" si="42"/>
        <v>0</v>
      </c>
      <c r="T102" s="273">
        <f t="shared" si="60"/>
        <v>0</v>
      </c>
      <c r="U102" s="6">
        <f t="shared" si="62"/>
        <v>0</v>
      </c>
      <c r="V102" s="6"/>
      <c r="W102" s="6">
        <f t="shared" si="63"/>
        <v>0</v>
      </c>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X102" s="6"/>
      <c r="AY102" s="6">
        <f>ROUND(AX102/1000/Update!$B$31*Update!$B$27,0)</f>
        <v>0</v>
      </c>
      <c r="BA102" s="6"/>
      <c r="BB102" s="6">
        <f>ROUND(BA102/1000/Update!$B$31,0)</f>
        <v>0</v>
      </c>
      <c r="BC102" s="6"/>
      <c r="BD102" s="29">
        <f t="shared" si="43"/>
        <v>0</v>
      </c>
      <c r="BE102" s="317"/>
      <c r="BF102" s="317"/>
      <c r="BG102" s="317"/>
      <c r="BH102" s="317"/>
      <c r="BI102" s="317"/>
      <c r="BJ102" s="317"/>
      <c r="BK102" s="327">
        <f t="shared" si="52"/>
        <v>0</v>
      </c>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M102" s="1139">
        <v>0</v>
      </c>
      <c r="CN102" s="1139">
        <v>0</v>
      </c>
      <c r="CP102" s="923">
        <f t="shared" si="47"/>
        <v>0</v>
      </c>
      <c r="CZ102" s="330"/>
    </row>
    <row r="103" spans="1:104" ht="38.25" customHeight="1" x14ac:dyDescent="0.25">
      <c r="A103" s="684">
        <f>MAX($A$6:A102)+1</f>
        <v>103</v>
      </c>
      <c r="B103" s="11" t="s">
        <v>42</v>
      </c>
      <c r="C103" s="11" t="str">
        <f t="shared" si="59"/>
        <v>SCF</v>
      </c>
      <c r="D103" s="11"/>
      <c r="E103" s="7" t="s">
        <v>301</v>
      </c>
      <c r="F103" s="15"/>
      <c r="G103" s="1254" t="s">
        <v>301</v>
      </c>
      <c r="H103" s="6">
        <v>0</v>
      </c>
      <c r="I103" s="6">
        <v>0</v>
      </c>
      <c r="J103" s="1257" t="s">
        <v>301</v>
      </c>
      <c r="K103" s="251">
        <f>SUMIF('alb SCF'!$A:$A,$J103,'alb SCF'!$C:$C)</f>
        <v>0</v>
      </c>
      <c r="L103" s="251">
        <f>SUMIF('alb SCF'!$A:$A,$J103,'alb SCF'!$G:$G)</f>
        <v>0</v>
      </c>
      <c r="M103" s="252"/>
      <c r="N103" s="273">
        <f t="shared" si="61"/>
        <v>0</v>
      </c>
      <c r="O103" s="12"/>
      <c r="P103" s="12"/>
      <c r="Q103" s="12"/>
      <c r="R103" s="12"/>
      <c r="S103" s="6">
        <f t="shared" si="42"/>
        <v>0</v>
      </c>
      <c r="T103" s="273">
        <f t="shared" si="60"/>
        <v>0</v>
      </c>
      <c r="U103" s="6">
        <f t="shared" si="62"/>
        <v>0</v>
      </c>
      <c r="V103" s="6"/>
      <c r="W103" s="6">
        <f t="shared" si="63"/>
        <v>0</v>
      </c>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X103" s="6"/>
      <c r="AY103" s="6">
        <f>ROUND(AX103/1000/Update!$B$31*Update!$B$27,0)</f>
        <v>0</v>
      </c>
      <c r="BA103" s="6"/>
      <c r="BB103" s="6">
        <f>ROUND(BA103/1000/Update!$B$31,0)</f>
        <v>0</v>
      </c>
      <c r="BC103" s="6"/>
      <c r="BD103" s="29">
        <f t="shared" si="43"/>
        <v>0</v>
      </c>
      <c r="BE103" s="317"/>
      <c r="BF103" s="317"/>
      <c r="BG103" s="317"/>
      <c r="BH103" s="317"/>
      <c r="BI103" s="317"/>
      <c r="BJ103" s="317"/>
      <c r="BK103" s="327">
        <f t="shared" si="52"/>
        <v>0</v>
      </c>
      <c r="BL103" s="317"/>
      <c r="BM103" s="317"/>
      <c r="BN103" s="317"/>
      <c r="BO103" s="317"/>
      <c r="BP103" s="317"/>
      <c r="BQ103" s="317"/>
      <c r="BR103" s="317"/>
      <c r="BS103" s="317"/>
      <c r="BT103" s="317"/>
      <c r="BU103" s="317"/>
      <c r="BV103" s="317"/>
      <c r="BW103" s="317"/>
      <c r="BX103" s="317"/>
      <c r="BY103" s="317"/>
      <c r="BZ103" s="317"/>
      <c r="CA103" s="317"/>
      <c r="CB103" s="317"/>
      <c r="CC103" s="317"/>
      <c r="CD103" s="317"/>
      <c r="CE103" s="317"/>
      <c r="CF103" s="317"/>
      <c r="CG103" s="317"/>
      <c r="CH103" s="317"/>
      <c r="CI103" s="317"/>
      <c r="CM103" s="1139">
        <v>0</v>
      </c>
      <c r="CN103" s="1139">
        <v>0</v>
      </c>
      <c r="CP103" s="923">
        <f t="shared" si="47"/>
        <v>0</v>
      </c>
      <c r="CZ103" s="330"/>
    </row>
    <row r="104" spans="1:104" ht="51" customHeight="1" x14ac:dyDescent="0.25">
      <c r="A104" s="684">
        <f>MAX($A$6:A103)+1</f>
        <v>104</v>
      </c>
      <c r="B104" s="11" t="s">
        <v>42</v>
      </c>
      <c r="C104" s="11" t="str">
        <f t="shared" si="59"/>
        <v>SCF</v>
      </c>
      <c r="D104" s="11"/>
      <c r="E104" s="7" t="s">
        <v>753</v>
      </c>
      <c r="F104" s="15"/>
      <c r="G104" s="1254" t="s">
        <v>321</v>
      </c>
      <c r="H104" s="6">
        <v>0</v>
      </c>
      <c r="I104" s="6">
        <v>0</v>
      </c>
      <c r="J104" s="1257" t="s">
        <v>753</v>
      </c>
      <c r="K104" s="251">
        <f>SUMIF('alb SCF'!$A:$A,$J104,'alb SCF'!$C:$C)</f>
        <v>0</v>
      </c>
      <c r="L104" s="251">
        <f>SUMIF('alb SCF'!$A:$A,$J104,'alb SCF'!$G:$G)</f>
        <v>0</v>
      </c>
      <c r="M104" s="252"/>
      <c r="N104" s="273">
        <f t="shared" si="61"/>
        <v>0</v>
      </c>
      <c r="O104" s="12"/>
      <c r="P104" s="12"/>
      <c r="Q104" s="12"/>
      <c r="R104" s="12"/>
      <c r="S104" s="6">
        <f t="shared" si="42"/>
        <v>0</v>
      </c>
      <c r="T104" s="273">
        <f t="shared" si="60"/>
        <v>0</v>
      </c>
      <c r="U104" s="6">
        <f t="shared" si="62"/>
        <v>0</v>
      </c>
      <c r="V104" s="6"/>
      <c r="W104" s="6">
        <f t="shared" si="63"/>
        <v>0</v>
      </c>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X104" s="6"/>
      <c r="AY104" s="6">
        <f>ROUND(AX104/1000/Update!$B$31*Update!$B$27,0)</f>
        <v>0</v>
      </c>
      <c r="BA104" s="6"/>
      <c r="BB104" s="6">
        <f>ROUND(BA104/1000/Update!$B$31,0)</f>
        <v>0</v>
      </c>
      <c r="BC104" s="6"/>
      <c r="BD104" s="29">
        <f t="shared" si="43"/>
        <v>0</v>
      </c>
      <c r="BE104" s="317"/>
      <c r="BF104" s="317"/>
      <c r="BG104" s="317"/>
      <c r="BH104" s="317"/>
      <c r="BI104" s="317"/>
      <c r="BJ104" s="317"/>
      <c r="BK104" s="327">
        <f t="shared" si="52"/>
        <v>0</v>
      </c>
      <c r="BL104" s="317"/>
      <c r="BM104" s="317"/>
      <c r="BN104" s="317"/>
      <c r="BO104" s="317"/>
      <c r="BP104" s="317"/>
      <c r="BQ104" s="317"/>
      <c r="BR104" s="317"/>
      <c r="BS104" s="317"/>
      <c r="BT104" s="317"/>
      <c r="BU104" s="317"/>
      <c r="BV104" s="317"/>
      <c r="BW104" s="317"/>
      <c r="BX104" s="317"/>
      <c r="BY104" s="317"/>
      <c r="BZ104" s="317"/>
      <c r="CA104" s="317"/>
      <c r="CB104" s="317"/>
      <c r="CC104" s="317"/>
      <c r="CD104" s="317"/>
      <c r="CE104" s="317"/>
      <c r="CF104" s="317"/>
      <c r="CG104" s="317"/>
      <c r="CH104" s="317"/>
      <c r="CI104" s="317"/>
      <c r="CM104" s="1139">
        <v>0</v>
      </c>
      <c r="CN104" s="1139">
        <v>0</v>
      </c>
      <c r="CP104" s="923">
        <f t="shared" si="47"/>
        <v>0</v>
      </c>
      <c r="CZ104" s="330"/>
    </row>
    <row r="105" spans="1:104" ht="25.5" customHeight="1" x14ac:dyDescent="0.25">
      <c r="A105" s="684">
        <f>MAX($A$6:A104)+1</f>
        <v>105</v>
      </c>
      <c r="B105" s="11" t="s">
        <v>42</v>
      </c>
      <c r="C105" s="11" t="str">
        <f t="shared" si="59"/>
        <v>SCF</v>
      </c>
      <c r="D105" s="11"/>
      <c r="E105" s="7" t="s">
        <v>303</v>
      </c>
      <c r="F105" s="15"/>
      <c r="G105" s="1254" t="s">
        <v>322</v>
      </c>
      <c r="H105" s="6">
        <v>0</v>
      </c>
      <c r="I105" s="6">
        <v>0</v>
      </c>
      <c r="J105" s="1257" t="s">
        <v>303</v>
      </c>
      <c r="K105" s="251">
        <f>SUMIF('alb SCF'!$A:$A,$J105,'alb SCF'!$C:$C)</f>
        <v>0</v>
      </c>
      <c r="L105" s="251">
        <f>SUMIF('alb SCF'!$A:$A,$J105,'alb SCF'!$G:$G)</f>
        <v>0</v>
      </c>
      <c r="M105" s="252"/>
      <c r="N105" s="273">
        <f t="shared" si="61"/>
        <v>0</v>
      </c>
      <c r="O105" s="12"/>
      <c r="P105" s="12"/>
      <c r="Q105" s="12"/>
      <c r="R105" s="12"/>
      <c r="S105" s="6">
        <f t="shared" si="42"/>
        <v>0</v>
      </c>
      <c r="T105" s="273">
        <f t="shared" si="60"/>
        <v>0</v>
      </c>
      <c r="U105" s="6">
        <f t="shared" si="62"/>
        <v>0</v>
      </c>
      <c r="V105" s="6"/>
      <c r="W105" s="6">
        <f t="shared" si="63"/>
        <v>0</v>
      </c>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X105" s="6"/>
      <c r="AY105" s="6">
        <f>ROUND(AX105/1000/Update!$B$31*Update!$B$27,0)</f>
        <v>0</v>
      </c>
      <c r="BA105" s="6"/>
      <c r="BB105" s="6">
        <f>ROUND(BA105/1000/Update!$B$31,0)</f>
        <v>0</v>
      </c>
      <c r="BC105" s="6"/>
      <c r="BD105" s="29">
        <f t="shared" si="43"/>
        <v>0</v>
      </c>
      <c r="BE105" s="317"/>
      <c r="BF105" s="317"/>
      <c r="BG105" s="317"/>
      <c r="BH105" s="317"/>
      <c r="BI105" s="317"/>
      <c r="BJ105" s="317"/>
      <c r="BK105" s="327">
        <f t="shared" si="52"/>
        <v>0</v>
      </c>
      <c r="BL105" s="317"/>
      <c r="BM105" s="317"/>
      <c r="BN105" s="317"/>
      <c r="BO105" s="317"/>
      <c r="BP105" s="317"/>
      <c r="BQ105" s="317"/>
      <c r="BR105" s="317"/>
      <c r="BS105" s="317"/>
      <c r="BT105" s="317"/>
      <c r="BU105" s="317"/>
      <c r="BV105" s="317"/>
      <c r="BW105" s="317"/>
      <c r="BX105" s="317"/>
      <c r="BY105" s="317"/>
      <c r="BZ105" s="317"/>
      <c r="CA105" s="317"/>
      <c r="CB105" s="317"/>
      <c r="CC105" s="317"/>
      <c r="CD105" s="317"/>
      <c r="CE105" s="317"/>
      <c r="CF105" s="317"/>
      <c r="CG105" s="317"/>
      <c r="CH105" s="317"/>
      <c r="CI105" s="317"/>
      <c r="CM105" s="1139">
        <v>0</v>
      </c>
      <c r="CN105" s="1139">
        <v>0</v>
      </c>
      <c r="CP105" s="923">
        <f t="shared" si="47"/>
        <v>0</v>
      </c>
      <c r="CZ105" s="330"/>
    </row>
    <row r="106" spans="1:104" ht="38.25" customHeight="1" x14ac:dyDescent="0.25">
      <c r="A106" s="684">
        <f>MAX($A$6:A105)+1</f>
        <v>106</v>
      </c>
      <c r="B106" s="11" t="s">
        <v>42</v>
      </c>
      <c r="C106" s="11" t="str">
        <f t="shared" si="59"/>
        <v>SCF</v>
      </c>
      <c r="D106" s="11"/>
      <c r="E106" s="7" t="s">
        <v>307</v>
      </c>
      <c r="F106" s="15"/>
      <c r="G106" s="1254" t="s">
        <v>323</v>
      </c>
      <c r="H106" s="6">
        <v>-65537</v>
      </c>
      <c r="I106" s="6">
        <v>0</v>
      </c>
      <c r="J106" s="1257" t="s">
        <v>754</v>
      </c>
      <c r="K106" s="251">
        <f>SUMIF('alb SCF'!$A:$A,$J106,'alb SCF'!$C:$C)</f>
        <v>0</v>
      </c>
      <c r="L106" s="251">
        <f>SUMIF('alb SCF'!$A:$A,$J106,'alb SCF'!$G:$G)</f>
        <v>0</v>
      </c>
      <c r="M106" s="252"/>
      <c r="N106" s="273">
        <f>ROUND(SUM(O106:S106)+SUM(W106:AV106),0)</f>
        <v>15445</v>
      </c>
      <c r="O106" s="12"/>
      <c r="P106" s="12"/>
      <c r="Q106" s="12"/>
      <c r="R106" s="6">
        <f>-R99</f>
        <v>0</v>
      </c>
      <c r="S106" s="1529">
        <f>-S99</f>
        <v>80982</v>
      </c>
      <c r="T106" s="273">
        <f t="shared" si="60"/>
        <v>-65103</v>
      </c>
      <c r="U106" s="1529">
        <f>-U99</f>
        <v>434</v>
      </c>
      <c r="V106" s="6"/>
      <c r="W106" s="6">
        <f t="shared" si="63"/>
        <v>-65537</v>
      </c>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X106" s="6"/>
      <c r="AY106" s="6">
        <f>ROUND(AX106/1000/Update!$B$31*Update!$B$27,0)</f>
        <v>0</v>
      </c>
      <c r="BA106" s="6"/>
      <c r="BB106" s="6">
        <f>ROUND(BA106/1000/Update!$B$31,0)</f>
        <v>0</v>
      </c>
      <c r="BC106" s="6"/>
      <c r="BD106" s="29">
        <f>ROUND(SUM(BE106:BK106),0)</f>
        <v>0</v>
      </c>
      <c r="BE106" s="1191"/>
      <c r="BF106" s="317"/>
      <c r="BG106" s="317"/>
      <c r="BI106" s="317"/>
      <c r="BJ106" s="1527">
        <f>BJ1271</f>
        <v>0</v>
      </c>
      <c r="BK106" s="327">
        <f t="shared" si="52"/>
        <v>0</v>
      </c>
      <c r="BL106" s="317"/>
      <c r="BM106" s="317"/>
      <c r="BN106" s="317"/>
      <c r="BO106" s="317"/>
      <c r="BP106" s="317"/>
      <c r="BQ106" s="317"/>
      <c r="BR106" s="317"/>
      <c r="BS106" s="317"/>
      <c r="BT106" s="317"/>
      <c r="BU106" s="317"/>
      <c r="BV106" s="317"/>
      <c r="BW106" s="317"/>
      <c r="BX106" s="317"/>
      <c r="BY106" s="317"/>
      <c r="BZ106" s="317"/>
      <c r="CA106" s="317"/>
      <c r="CB106" s="317"/>
      <c r="CC106" s="317"/>
      <c r="CD106" s="317"/>
      <c r="CE106" s="317"/>
      <c r="CF106" s="317"/>
      <c r="CG106" s="317"/>
      <c r="CH106" s="317"/>
      <c r="CI106" s="317"/>
      <c r="CM106" s="1139">
        <v>404</v>
      </c>
      <c r="CN106" s="1139">
        <v>63074</v>
      </c>
      <c r="CP106" s="923">
        <f t="shared" si="47"/>
        <v>404</v>
      </c>
      <c r="CZ106" s="330"/>
    </row>
    <row r="107" spans="1:104" ht="30" customHeight="1" x14ac:dyDescent="0.25">
      <c r="A107" s="684">
        <f>MAX($A$6:A106)+1</f>
        <v>107</v>
      </c>
      <c r="B107" s="11" t="s">
        <v>42</v>
      </c>
      <c r="C107" s="11" t="str">
        <f t="shared" si="59"/>
        <v>SCF</v>
      </c>
      <c r="D107" s="11"/>
      <c r="E107" s="7" t="s">
        <v>302</v>
      </c>
      <c r="F107" s="15"/>
      <c r="G107" s="1254" t="s">
        <v>302</v>
      </c>
      <c r="H107" s="6">
        <v>0</v>
      </c>
      <c r="I107" s="6">
        <v>0</v>
      </c>
      <c r="J107" s="1257" t="s">
        <v>302</v>
      </c>
      <c r="K107" s="251">
        <f>SUMIF('alb SCF'!$A:$A,$J107,'alb SCF'!$C:$C)</f>
        <v>0</v>
      </c>
      <c r="L107" s="251">
        <f>SUMIF('alb SCF'!$A:$A,$J107,'alb SCF'!$G:$G)</f>
        <v>0</v>
      </c>
      <c r="M107" s="252"/>
      <c r="N107" s="273">
        <f t="shared" si="61"/>
        <v>0</v>
      </c>
      <c r="O107" s="12"/>
      <c r="P107" s="12"/>
      <c r="Q107" s="12"/>
      <c r="R107" s="12"/>
      <c r="S107" s="6">
        <f t="shared" si="42"/>
        <v>0</v>
      </c>
      <c r="T107" s="273">
        <f t="shared" si="60"/>
        <v>0</v>
      </c>
      <c r="U107" s="6">
        <f t="shared" si="62"/>
        <v>0</v>
      </c>
      <c r="V107" s="6"/>
      <c r="W107" s="6">
        <f t="shared" si="63"/>
        <v>0</v>
      </c>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X107" s="6"/>
      <c r="AY107" s="6">
        <f>ROUND(AX107/1000/Update!$B$31*Update!$B$27,0)</f>
        <v>0</v>
      </c>
      <c r="BA107" s="6"/>
      <c r="BB107" s="6"/>
      <c r="BC107" s="6"/>
      <c r="BD107" s="29">
        <f t="shared" si="43"/>
        <v>0</v>
      </c>
      <c r="BE107" s="317"/>
      <c r="BF107" s="317"/>
      <c r="BG107" s="317"/>
      <c r="BH107" s="317"/>
      <c r="BI107" s="317"/>
      <c r="BJ107" s="317"/>
      <c r="BK107" s="327">
        <f t="shared" si="52"/>
        <v>0</v>
      </c>
      <c r="BL107" s="317"/>
      <c r="BM107" s="317"/>
      <c r="BN107" s="317"/>
      <c r="BO107" s="317"/>
      <c r="BP107" s="317"/>
      <c r="BQ107" s="317"/>
      <c r="BR107" s="317"/>
      <c r="BS107" s="317"/>
      <c r="BT107" s="317"/>
      <c r="BU107" s="317"/>
      <c r="BV107" s="317"/>
      <c r="BW107" s="317"/>
      <c r="BX107" s="317"/>
      <c r="BY107" s="317"/>
      <c r="BZ107" s="317"/>
      <c r="CA107" s="317"/>
      <c r="CB107" s="317"/>
      <c r="CC107" s="317"/>
      <c r="CD107" s="317"/>
      <c r="CE107" s="317"/>
      <c r="CF107" s="317"/>
      <c r="CG107" s="317"/>
      <c r="CH107" s="317"/>
      <c r="CI107" s="317"/>
      <c r="CM107" s="1139">
        <v>0</v>
      </c>
      <c r="CN107" s="1139">
        <v>0</v>
      </c>
      <c r="CP107" s="923">
        <f t="shared" si="47"/>
        <v>0</v>
      </c>
      <c r="CZ107" s="330"/>
    </row>
    <row r="108" spans="1:104" ht="45" customHeight="1" x14ac:dyDescent="0.25">
      <c r="A108" s="684">
        <f>MAX($A$6:A107)+1</f>
        <v>108</v>
      </c>
      <c r="B108" s="11" t="s">
        <v>42</v>
      </c>
      <c r="C108" s="11" t="str">
        <f t="shared" si="59"/>
        <v>SCF</v>
      </c>
      <c r="D108" s="11"/>
      <c r="E108" s="269" t="s">
        <v>305</v>
      </c>
      <c r="F108" s="15"/>
      <c r="G108" s="1276" t="s">
        <v>286</v>
      </c>
      <c r="H108" s="6">
        <v>0</v>
      </c>
      <c r="I108" s="6">
        <v>0</v>
      </c>
      <c r="J108" s="1253" t="s">
        <v>286</v>
      </c>
      <c r="K108" s="251">
        <f>SUMIF('alb SCF'!$A:$A,$J108,'alb SCF'!$C:$C)</f>
        <v>0</v>
      </c>
      <c r="L108" s="251">
        <f>SUMIF('alb SCF'!$A:$A,$J108,'alb SCF'!$G:$G)</f>
        <v>0</v>
      </c>
      <c r="M108" s="252"/>
      <c r="N108" s="273">
        <f t="shared" si="61"/>
        <v>0</v>
      </c>
      <c r="O108" s="12"/>
      <c r="P108" s="12"/>
      <c r="Q108" s="12"/>
      <c r="R108" s="12"/>
      <c r="S108" s="6">
        <f t="shared" si="42"/>
        <v>0</v>
      </c>
      <c r="T108" s="273">
        <f t="shared" si="60"/>
        <v>0</v>
      </c>
      <c r="U108" s="6">
        <f t="shared" si="62"/>
        <v>0</v>
      </c>
      <c r="V108" s="6"/>
      <c r="W108" s="6">
        <f t="shared" si="63"/>
        <v>0</v>
      </c>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X108" s="6"/>
      <c r="AY108" s="6">
        <f>ROUND(AX108/1000/Update!$B$31*Update!$B$27,0)</f>
        <v>0</v>
      </c>
      <c r="BA108" s="6"/>
      <c r="BB108" s="6">
        <f>ROUND(BA108/1000/Update!$B$31,0)</f>
        <v>0</v>
      </c>
      <c r="BC108" s="6"/>
      <c r="BD108" s="29">
        <f t="shared" si="43"/>
        <v>0</v>
      </c>
      <c r="BE108" s="317"/>
      <c r="BF108" s="317"/>
      <c r="BG108" s="317"/>
      <c r="BH108" s="317"/>
      <c r="BI108" s="317"/>
      <c r="BJ108" s="317"/>
      <c r="BK108" s="327">
        <f t="shared" si="52"/>
        <v>0</v>
      </c>
      <c r="BL108" s="317"/>
      <c r="BM108" s="317"/>
      <c r="BN108" s="317"/>
      <c r="BO108" s="317"/>
      <c r="BP108" s="317"/>
      <c r="BQ108" s="317"/>
      <c r="BR108" s="317"/>
      <c r="BS108" s="317"/>
      <c r="BT108" s="317"/>
      <c r="BU108" s="317"/>
      <c r="BV108" s="317"/>
      <c r="BW108" s="317"/>
      <c r="BX108" s="317"/>
      <c r="BY108" s="317"/>
      <c r="BZ108" s="317"/>
      <c r="CA108" s="317"/>
      <c r="CB108" s="317"/>
      <c r="CC108" s="317"/>
      <c r="CD108" s="317"/>
      <c r="CE108" s="317"/>
      <c r="CF108" s="317"/>
      <c r="CG108" s="317"/>
      <c r="CH108" s="317"/>
      <c r="CI108" s="317"/>
      <c r="CM108" s="1139">
        <v>0</v>
      </c>
      <c r="CN108" s="1139">
        <v>0</v>
      </c>
      <c r="CP108" s="923">
        <f t="shared" si="47"/>
        <v>0</v>
      </c>
      <c r="CZ108" s="330"/>
    </row>
    <row r="109" spans="1:104" ht="38.25" customHeight="1" x14ac:dyDescent="0.25">
      <c r="A109" s="684">
        <f>MAX($A$6:A108)+1</f>
        <v>109</v>
      </c>
      <c r="B109" s="11" t="s">
        <v>42</v>
      </c>
      <c r="C109" s="11" t="str">
        <f t="shared" si="59"/>
        <v>SCF</v>
      </c>
      <c r="D109" s="11"/>
      <c r="E109" s="7" t="s">
        <v>306</v>
      </c>
      <c r="F109" s="15"/>
      <c r="G109" s="1254" t="s">
        <v>306</v>
      </c>
      <c r="H109" s="6">
        <v>0</v>
      </c>
      <c r="I109" s="6">
        <v>0</v>
      </c>
      <c r="J109" s="1257" t="s">
        <v>755</v>
      </c>
      <c r="K109" s="251">
        <f>SUMIF('alb SCF'!$A:$A,$J109,'alb SCF'!$C:$C)</f>
        <v>0</v>
      </c>
      <c r="L109" s="251">
        <f>SUMIF('alb SCF'!$A:$A,$J109,'alb SCF'!$G:$G)</f>
        <v>0</v>
      </c>
      <c r="M109" s="252">
        <v>13</v>
      </c>
      <c r="N109" s="273">
        <f t="shared" si="61"/>
        <v>0</v>
      </c>
      <c r="O109" s="12"/>
      <c r="P109" s="12"/>
      <c r="Q109" s="12"/>
      <c r="R109" s="12"/>
      <c r="S109" s="6">
        <f>-IF(ISNUMBER(BD109),BD109,0)</f>
        <v>0</v>
      </c>
      <c r="T109" s="273">
        <f t="shared" si="60"/>
        <v>0</v>
      </c>
      <c r="U109" s="6">
        <f t="shared" si="62"/>
        <v>0</v>
      </c>
      <c r="V109" s="6"/>
      <c r="W109" s="6">
        <f t="shared" si="63"/>
        <v>0</v>
      </c>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X109" s="6"/>
      <c r="AY109" s="6">
        <f>ROUND(AX109/1000/Update!$B$31*Update!$B$27,0)</f>
        <v>0</v>
      </c>
      <c r="BA109" s="6"/>
      <c r="BB109" s="6">
        <f>ROUND(BA109/1000/Update!$B$31,0)</f>
        <v>0</v>
      </c>
      <c r="BC109" s="6"/>
      <c r="BD109" s="29">
        <f t="shared" si="43"/>
        <v>0</v>
      </c>
      <c r="BE109" s="317"/>
      <c r="BF109" s="317"/>
      <c r="BG109" s="317"/>
      <c r="BH109" s="317"/>
      <c r="BI109" s="317"/>
      <c r="BJ109" s="317"/>
      <c r="BK109" s="327">
        <f t="shared" si="52"/>
        <v>0</v>
      </c>
      <c r="BL109" s="317"/>
      <c r="BM109" s="317"/>
      <c r="BN109" s="317"/>
      <c r="BO109" s="317"/>
      <c r="BP109" s="317"/>
      <c r="BQ109" s="317"/>
      <c r="BR109" s="317"/>
      <c r="BS109" s="317"/>
      <c r="BT109" s="317"/>
      <c r="BU109" s="317"/>
      <c r="BV109" s="317"/>
      <c r="BW109" s="317"/>
      <c r="BX109" s="317"/>
      <c r="BY109" s="317"/>
      <c r="BZ109" s="317"/>
      <c r="CA109" s="317"/>
      <c r="CB109" s="317"/>
      <c r="CC109" s="317"/>
      <c r="CD109" s="317"/>
      <c r="CE109" s="317"/>
      <c r="CF109" s="317"/>
      <c r="CG109" s="317"/>
      <c r="CH109" s="317"/>
      <c r="CI109" s="317"/>
      <c r="CM109" s="1139">
        <v>0</v>
      </c>
      <c r="CN109" s="1139">
        <v>-159</v>
      </c>
      <c r="CP109" s="923">
        <f t="shared" si="47"/>
        <v>0</v>
      </c>
      <c r="CZ109" s="330"/>
    </row>
    <row r="110" spans="1:104" ht="38.25" customHeight="1" x14ac:dyDescent="0.25">
      <c r="A110" s="684">
        <f>MAX($A$6:A109)+1</f>
        <v>110</v>
      </c>
      <c r="B110" s="11" t="s">
        <v>42</v>
      </c>
      <c r="C110" s="11" t="str">
        <f t="shared" si="59"/>
        <v>SCF</v>
      </c>
      <c r="D110" s="11"/>
      <c r="E110" s="7" t="s">
        <v>87</v>
      </c>
      <c r="F110" s="15"/>
      <c r="G110" s="1254" t="s">
        <v>87</v>
      </c>
      <c r="H110" s="6">
        <v>0</v>
      </c>
      <c r="I110" s="6">
        <v>0</v>
      </c>
      <c r="J110" s="1257" t="s">
        <v>756</v>
      </c>
      <c r="K110" s="251">
        <f>SUMIF('alb SCF'!$A:$A,$J110,'alb SCF'!$C:$C)</f>
        <v>0</v>
      </c>
      <c r="L110" s="251">
        <f>SUMIF('alb SCF'!$A:$A,$J110,'alb SCF'!$G:$G)</f>
        <v>0</v>
      </c>
      <c r="M110" s="252">
        <v>13</v>
      </c>
      <c r="N110" s="273">
        <f t="shared" si="61"/>
        <v>0</v>
      </c>
      <c r="O110" s="12"/>
      <c r="P110" s="12"/>
      <c r="Q110" s="12"/>
      <c r="R110" s="12"/>
      <c r="S110" s="6">
        <f t="shared" si="42"/>
        <v>0</v>
      </c>
      <c r="T110" s="273">
        <f t="shared" si="60"/>
        <v>0</v>
      </c>
      <c r="U110" s="6">
        <f t="shared" si="62"/>
        <v>0</v>
      </c>
      <c r="V110" s="6"/>
      <c r="W110" s="6">
        <f t="shared" si="63"/>
        <v>0</v>
      </c>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X110" s="6"/>
      <c r="AY110" s="6">
        <f>ROUND(AX110/1000/Update!$B$31*Update!$B$27,0)</f>
        <v>0</v>
      </c>
      <c r="BA110" s="6"/>
      <c r="BB110" s="6">
        <f>ROUND(BA110/1000/Update!$B$31,0)</f>
        <v>0</v>
      </c>
      <c r="BC110" s="6"/>
      <c r="BD110" s="29">
        <f t="shared" si="43"/>
        <v>0</v>
      </c>
      <c r="BE110" s="317"/>
      <c r="BF110" s="317"/>
      <c r="BG110" s="317"/>
      <c r="BH110" s="317"/>
      <c r="BI110" s="317"/>
      <c r="BJ110" s="317"/>
      <c r="BK110" s="327">
        <f t="shared" si="52"/>
        <v>0</v>
      </c>
      <c r="BL110" s="317"/>
      <c r="BM110" s="317"/>
      <c r="BN110" s="317"/>
      <c r="BO110" s="317"/>
      <c r="BP110" s="317"/>
      <c r="BQ110" s="317"/>
      <c r="BR110" s="317"/>
      <c r="BS110" s="317"/>
      <c r="BT110" s="317"/>
      <c r="BU110" s="317"/>
      <c r="BV110" s="317"/>
      <c r="BW110" s="317"/>
      <c r="BX110" s="317"/>
      <c r="BY110" s="317"/>
      <c r="BZ110" s="317"/>
      <c r="CA110" s="317"/>
      <c r="CB110" s="317"/>
      <c r="CC110" s="317"/>
      <c r="CD110" s="317"/>
      <c r="CE110" s="317"/>
      <c r="CF110" s="317"/>
      <c r="CG110" s="317"/>
      <c r="CH110" s="317"/>
      <c r="CI110" s="317"/>
      <c r="CM110" s="1139">
        <v>0</v>
      </c>
      <c r="CN110" s="1139">
        <v>0</v>
      </c>
      <c r="CP110" s="923">
        <f t="shared" si="47"/>
        <v>0</v>
      </c>
      <c r="CZ110" s="330"/>
    </row>
    <row r="111" spans="1:104" ht="30" customHeight="1" x14ac:dyDescent="0.25">
      <c r="A111" s="684">
        <f>MAX($A$6:A110)+1</f>
        <v>111</v>
      </c>
      <c r="B111" s="11" t="s">
        <v>42</v>
      </c>
      <c r="C111" s="11" t="str">
        <f t="shared" si="59"/>
        <v>SCF</v>
      </c>
      <c r="D111" s="11"/>
      <c r="E111" s="7" t="s">
        <v>324</v>
      </c>
      <c r="F111" s="15"/>
      <c r="G111" s="1254" t="s">
        <v>324</v>
      </c>
      <c r="H111" s="6">
        <v>306</v>
      </c>
      <c r="I111" s="6">
        <v>0</v>
      </c>
      <c r="J111" s="1257" t="s">
        <v>324</v>
      </c>
      <c r="K111" s="251">
        <f>SUMIF('alb SCF'!$A:$A,$J111,'alb SCF'!$C:$C)</f>
        <v>0</v>
      </c>
      <c r="L111" s="251">
        <f>SUMIF('alb SCF'!$A:$A,$J111,'alb SCF'!$G:$G)</f>
        <v>0</v>
      </c>
      <c r="M111" s="252"/>
      <c r="N111" s="273">
        <f t="shared" si="61"/>
        <v>306</v>
      </c>
      <c r="O111" s="12"/>
      <c r="P111" s="12"/>
      <c r="Q111" s="12"/>
      <c r="R111" s="12"/>
      <c r="S111" s="6">
        <f t="shared" si="42"/>
        <v>0</v>
      </c>
      <c r="T111" s="273">
        <f t="shared" si="60"/>
        <v>306</v>
      </c>
      <c r="U111" s="6">
        <f t="shared" si="62"/>
        <v>0</v>
      </c>
      <c r="V111" s="6"/>
      <c r="W111" s="6">
        <f t="shared" si="63"/>
        <v>306</v>
      </c>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X111" s="6"/>
      <c r="AY111" s="6">
        <f>ROUND(AX111/1000/Update!$B$31*Update!$B$27,0)</f>
        <v>0</v>
      </c>
      <c r="BA111" s="6"/>
      <c r="BB111" s="6">
        <f>ROUND(BA111/1000/Update!$B$31,0)</f>
        <v>0</v>
      </c>
      <c r="BC111" s="6"/>
      <c r="BD111" s="29">
        <f t="shared" si="43"/>
        <v>0</v>
      </c>
      <c r="BE111" s="317"/>
      <c r="BF111" s="317"/>
      <c r="BG111" s="317"/>
      <c r="BH111" s="317"/>
      <c r="BI111" s="317"/>
      <c r="BJ111" s="317"/>
      <c r="BK111" s="327">
        <f t="shared" si="52"/>
        <v>0</v>
      </c>
      <c r="BL111" s="317"/>
      <c r="BM111" s="317"/>
      <c r="BN111" s="317"/>
      <c r="BO111" s="317"/>
      <c r="BP111" s="317"/>
      <c r="BQ111" s="317"/>
      <c r="BR111" s="317"/>
      <c r="BS111" s="317"/>
      <c r="BT111" s="317"/>
      <c r="BU111" s="317"/>
      <c r="BV111" s="317"/>
      <c r="BW111" s="317"/>
      <c r="BX111" s="317"/>
      <c r="BY111" s="317"/>
      <c r="BZ111" s="317"/>
      <c r="CA111" s="317"/>
      <c r="CB111" s="317"/>
      <c r="CC111" s="317"/>
      <c r="CD111" s="317"/>
      <c r="CE111" s="317"/>
      <c r="CF111" s="317"/>
      <c r="CG111" s="317"/>
      <c r="CH111" s="317"/>
      <c r="CI111" s="317"/>
      <c r="CM111" s="1139">
        <v>0</v>
      </c>
      <c r="CN111" s="1139">
        <v>0</v>
      </c>
      <c r="CP111" s="923">
        <f t="shared" si="47"/>
        <v>0</v>
      </c>
      <c r="CZ111" s="330"/>
    </row>
    <row r="112" spans="1:104" ht="51" customHeight="1" x14ac:dyDescent="0.25">
      <c r="A112" s="684">
        <f>MAX($A$6:A111)+1</f>
        <v>112</v>
      </c>
      <c r="B112" s="11" t="s">
        <v>42</v>
      </c>
      <c r="C112" s="11" t="str">
        <f t="shared" si="59"/>
        <v>SCF</v>
      </c>
      <c r="D112" s="11"/>
      <c r="E112" s="7" t="s">
        <v>304</v>
      </c>
      <c r="F112" s="15"/>
      <c r="G112" s="1254" t="s">
        <v>304</v>
      </c>
      <c r="H112" s="6">
        <v>0</v>
      </c>
      <c r="I112" s="6">
        <v>0</v>
      </c>
      <c r="J112" s="1257" t="s">
        <v>304</v>
      </c>
      <c r="K112" s="251">
        <f>SUMIF('alb SCF'!$A:$A,$J112,'alb SCF'!$C:$C)</f>
        <v>0</v>
      </c>
      <c r="L112" s="251">
        <f>SUMIF('alb SCF'!$A:$A,$J112,'alb SCF'!$G:$G)</f>
        <v>0</v>
      </c>
      <c r="M112" s="252"/>
      <c r="N112" s="273">
        <f t="shared" si="61"/>
        <v>0</v>
      </c>
      <c r="O112" s="12"/>
      <c r="P112" s="12"/>
      <c r="Q112" s="12"/>
      <c r="R112" s="12"/>
      <c r="S112" s="6">
        <f t="shared" si="42"/>
        <v>0</v>
      </c>
      <c r="T112" s="273">
        <f t="shared" si="60"/>
        <v>0</v>
      </c>
      <c r="U112" s="6">
        <f t="shared" si="62"/>
        <v>0</v>
      </c>
      <c r="V112" s="6"/>
      <c r="W112" s="6">
        <f t="shared" si="63"/>
        <v>0</v>
      </c>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X112" s="6"/>
      <c r="AY112" s="6">
        <f>ROUND(AX112/1000/Update!$B$31*Update!$B$27,0)</f>
        <v>0</v>
      </c>
      <c r="BA112" s="6"/>
      <c r="BB112" s="6">
        <f>ROUND(BA112/1000/Update!$B$31,0)</f>
        <v>0</v>
      </c>
      <c r="BC112" s="6"/>
      <c r="BD112" s="29">
        <f t="shared" si="43"/>
        <v>0</v>
      </c>
      <c r="BE112" s="317"/>
      <c r="BF112" s="317"/>
      <c r="BG112" s="317"/>
      <c r="BH112" s="317"/>
      <c r="BI112" s="317"/>
      <c r="BJ112" s="317"/>
      <c r="BK112" s="327">
        <f t="shared" si="52"/>
        <v>0</v>
      </c>
      <c r="BL112" s="317"/>
      <c r="BM112" s="317"/>
      <c r="BN112" s="317"/>
      <c r="BO112" s="317"/>
      <c r="BP112" s="317"/>
      <c r="BQ112" s="317"/>
      <c r="BR112" s="317"/>
      <c r="BS112" s="317"/>
      <c r="BT112" s="317"/>
      <c r="BU112" s="317"/>
      <c r="BV112" s="317"/>
      <c r="BW112" s="317"/>
      <c r="BX112" s="317"/>
      <c r="BY112" s="317"/>
      <c r="BZ112" s="317"/>
      <c r="CA112" s="317"/>
      <c r="CB112" s="317"/>
      <c r="CC112" s="317"/>
      <c r="CD112" s="317"/>
      <c r="CE112" s="317"/>
      <c r="CF112" s="317"/>
      <c r="CG112" s="317"/>
      <c r="CH112" s="317"/>
      <c r="CI112" s="317"/>
      <c r="CM112" s="1139">
        <v>0</v>
      </c>
      <c r="CN112" s="1139">
        <v>0</v>
      </c>
      <c r="CP112" s="923">
        <f t="shared" si="47"/>
        <v>0</v>
      </c>
      <c r="CZ112" s="330"/>
    </row>
    <row r="113" spans="1:104" ht="38.25" customHeight="1" x14ac:dyDescent="0.25">
      <c r="A113" s="684">
        <f>MAX($A$6:A112)+1</f>
        <v>113</v>
      </c>
      <c r="B113" s="11" t="s">
        <v>42</v>
      </c>
      <c r="C113" s="11" t="str">
        <f t="shared" si="59"/>
        <v>SCF</v>
      </c>
      <c r="D113" s="11"/>
      <c r="E113" s="7" t="s">
        <v>2044</v>
      </c>
      <c r="F113" s="15"/>
      <c r="G113" s="1254" t="s">
        <v>88</v>
      </c>
      <c r="H113" s="6">
        <v>0</v>
      </c>
      <c r="I113" s="6">
        <v>0</v>
      </c>
      <c r="J113" s="1254" t="s">
        <v>2044</v>
      </c>
      <c r="K113" s="251">
        <f>SUMIF('alb SCF'!$A:$A,$J113,'alb SCF'!$C:$C)</f>
        <v>0</v>
      </c>
      <c r="L113" s="251">
        <f>SUMIF('alb SCF'!$A:$A,$J113,'alb SCF'!$G:$G)</f>
        <v>0</v>
      </c>
      <c r="M113" s="252">
        <v>13</v>
      </c>
      <c r="N113" s="273">
        <f t="shared" si="61"/>
        <v>0</v>
      </c>
      <c r="O113" s="12"/>
      <c r="P113" s="12"/>
      <c r="Q113" s="12"/>
      <c r="R113" s="12"/>
      <c r="S113" s="6">
        <f t="shared" si="42"/>
        <v>0</v>
      </c>
      <c r="T113" s="273">
        <f t="shared" si="60"/>
        <v>0</v>
      </c>
      <c r="U113" s="6">
        <f t="shared" si="62"/>
        <v>0</v>
      </c>
      <c r="V113" s="6"/>
      <c r="W113" s="6">
        <f t="shared" si="63"/>
        <v>0</v>
      </c>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X113" s="6"/>
      <c r="AY113" s="6">
        <f>ROUND(AX113/1000/Update!$B$31*Update!$B$27,0)</f>
        <v>0</v>
      </c>
      <c r="BA113" s="6"/>
      <c r="BB113" s="6">
        <f>ROUND(BA113/1000/Update!$B$31,0)</f>
        <v>0</v>
      </c>
      <c r="BC113" s="6"/>
      <c r="BD113" s="29">
        <f t="shared" si="43"/>
        <v>0</v>
      </c>
      <c r="BE113" s="317"/>
      <c r="BF113" s="317"/>
      <c r="BG113" s="317"/>
      <c r="BH113" s="317"/>
      <c r="BI113" s="317"/>
      <c r="BJ113" s="317"/>
      <c r="BK113" s="327">
        <f t="shared" si="52"/>
        <v>0</v>
      </c>
      <c r="BL113" s="317"/>
      <c r="BM113" s="317"/>
      <c r="BN113" s="317"/>
      <c r="BO113" s="317"/>
      <c r="BP113" s="317"/>
      <c r="BQ113" s="317"/>
      <c r="BR113" s="317"/>
      <c r="BS113" s="317"/>
      <c r="BT113" s="317"/>
      <c r="BU113" s="317"/>
      <c r="BV113" s="317"/>
      <c r="BW113" s="317"/>
      <c r="BX113" s="317"/>
      <c r="BY113" s="317"/>
      <c r="BZ113" s="317"/>
      <c r="CA113" s="317"/>
      <c r="CB113" s="317"/>
      <c r="CC113" s="317"/>
      <c r="CD113" s="317"/>
      <c r="CE113" s="317"/>
      <c r="CF113" s="317"/>
      <c r="CG113" s="317"/>
      <c r="CH113" s="317"/>
      <c r="CI113" s="317"/>
      <c r="CM113" s="1139">
        <v>0</v>
      </c>
      <c r="CN113" s="1139">
        <v>0</v>
      </c>
      <c r="CP113" s="923">
        <f t="shared" si="47"/>
        <v>0</v>
      </c>
      <c r="CZ113" s="330"/>
    </row>
    <row r="114" spans="1:104" ht="30" customHeight="1" x14ac:dyDescent="0.25">
      <c r="A114" s="684">
        <f>MAX($A$6:A113)+1</f>
        <v>114</v>
      </c>
      <c r="B114" s="11" t="s">
        <v>42</v>
      </c>
      <c r="C114" s="11" t="str">
        <f t="shared" si="59"/>
        <v>SCF</v>
      </c>
      <c r="D114" s="11"/>
      <c r="E114" s="7" t="s">
        <v>89</v>
      </c>
      <c r="F114" s="15"/>
      <c r="G114" s="1254" t="s">
        <v>89</v>
      </c>
      <c r="H114" s="6">
        <v>27203</v>
      </c>
      <c r="I114" s="6">
        <v>0</v>
      </c>
      <c r="J114" s="1253" t="s">
        <v>286</v>
      </c>
      <c r="K114" s="251">
        <f>SUMIF('alb SCF'!$A:$A,$J114,'alb SCF'!$C:$C)</f>
        <v>0</v>
      </c>
      <c r="L114" s="251">
        <f>SUMIF('alb SCF'!$A:$A,$J114,'alb SCF'!$G:$G)</f>
        <v>0</v>
      </c>
      <c r="M114" s="252"/>
      <c r="N114" s="273">
        <f t="shared" si="61"/>
        <v>27203</v>
      </c>
      <c r="O114" s="12"/>
      <c r="P114" s="12"/>
      <c r="Q114" s="12"/>
      <c r="R114" s="12"/>
      <c r="S114" s="6">
        <f t="shared" si="42"/>
        <v>0</v>
      </c>
      <c r="T114" s="273">
        <f t="shared" si="60"/>
        <v>27203</v>
      </c>
      <c r="U114" s="6">
        <f t="shared" si="62"/>
        <v>0</v>
      </c>
      <c r="V114" s="1605"/>
      <c r="W114" s="6">
        <f t="shared" si="63"/>
        <v>27203</v>
      </c>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X114" s="6"/>
      <c r="AY114" s="6">
        <f>ROUND(AX114/1000/Update!$B$31*Update!$B$27,0)</f>
        <v>0</v>
      </c>
      <c r="BA114" s="6"/>
      <c r="BB114" s="6">
        <f>ROUND(BA114/1000/Update!$B$31,0)</f>
        <v>0</v>
      </c>
      <c r="BC114" s="6"/>
      <c r="BD114" s="29">
        <f t="shared" si="43"/>
        <v>0</v>
      </c>
      <c r="BE114" s="317"/>
      <c r="BF114" s="317"/>
      <c r="BG114" s="317"/>
      <c r="BH114" s="317"/>
      <c r="BI114" s="317"/>
      <c r="BJ114" s="317"/>
      <c r="BK114" s="327">
        <f t="shared" si="52"/>
        <v>0</v>
      </c>
      <c r="BL114" s="317"/>
      <c r="BM114" s="317"/>
      <c r="BN114" s="317"/>
      <c r="BO114" s="317"/>
      <c r="BP114" s="317"/>
      <c r="BQ114" s="317"/>
      <c r="BR114" s="317"/>
      <c r="BS114" s="317"/>
      <c r="BT114" s="317"/>
      <c r="BU114" s="317"/>
      <c r="BV114" s="317"/>
      <c r="BW114" s="317"/>
      <c r="BX114" s="317"/>
      <c r="BY114" s="317"/>
      <c r="BZ114" s="317"/>
      <c r="CA114" s="317"/>
      <c r="CB114" s="317"/>
      <c r="CC114" s="317"/>
      <c r="CD114" s="317"/>
      <c r="CE114" s="317"/>
      <c r="CF114" s="317"/>
      <c r="CG114" s="317"/>
      <c r="CH114" s="317"/>
      <c r="CI114" s="317"/>
      <c r="CM114" s="1139">
        <v>0</v>
      </c>
      <c r="CN114" s="1139">
        <v>0</v>
      </c>
      <c r="CP114" s="923">
        <f t="shared" si="47"/>
        <v>0</v>
      </c>
      <c r="CZ114" s="330"/>
    </row>
    <row r="115" spans="1:104" ht="30" customHeight="1" x14ac:dyDescent="0.25">
      <c r="A115" s="684">
        <f>MAX($A$6:A114)+1</f>
        <v>115</v>
      </c>
      <c r="B115" s="11" t="s">
        <v>42</v>
      </c>
      <c r="C115" s="11" t="str">
        <f t="shared" si="59"/>
        <v>SCF</v>
      </c>
      <c r="D115" s="11"/>
      <c r="E115" s="7" t="s">
        <v>90</v>
      </c>
      <c r="F115" s="15"/>
      <c r="G115" s="1254" t="s">
        <v>325</v>
      </c>
      <c r="H115" s="6">
        <v>1419</v>
      </c>
      <c r="I115" s="6">
        <v>0</v>
      </c>
      <c r="J115" s="1253" t="s">
        <v>286</v>
      </c>
      <c r="K115" s="251">
        <f>SUMIF('alb SCF'!$A:$A,$J115,'alb SCF'!$C:$C)</f>
        <v>0</v>
      </c>
      <c r="L115" s="251">
        <f>SUMIF('alb SCF'!$A:$A,$J115,'alb SCF'!$G:$G)</f>
        <v>0</v>
      </c>
      <c r="M115" s="252"/>
      <c r="N115" s="273">
        <f t="shared" si="61"/>
        <v>1419</v>
      </c>
      <c r="O115" s="12"/>
      <c r="P115" s="12"/>
      <c r="Q115" s="12"/>
      <c r="R115" s="12"/>
      <c r="S115" s="6">
        <f t="shared" si="42"/>
        <v>0</v>
      </c>
      <c r="T115" s="273">
        <f t="shared" si="60"/>
        <v>1419</v>
      </c>
      <c r="U115" s="6">
        <f t="shared" si="62"/>
        <v>0</v>
      </c>
      <c r="V115" s="6"/>
      <c r="W115" s="6">
        <f t="shared" si="63"/>
        <v>1419</v>
      </c>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X115" s="6"/>
      <c r="AY115" s="6">
        <f>ROUND(AX115/1000/Update!$B$31*Update!$B$27,0)</f>
        <v>0</v>
      </c>
      <c r="BA115" s="6"/>
      <c r="BB115" s="6">
        <f>ROUND(BA115/1000/Update!$B$31,0)</f>
        <v>0</v>
      </c>
      <c r="BC115" s="6"/>
      <c r="BD115" s="29">
        <f t="shared" si="43"/>
        <v>0</v>
      </c>
      <c r="BE115" s="317"/>
      <c r="BF115" s="317"/>
      <c r="BG115" s="317"/>
      <c r="BH115" s="317"/>
      <c r="BI115" s="317"/>
      <c r="BJ115" s="317"/>
      <c r="BK115" s="327">
        <f t="shared" si="52"/>
        <v>0</v>
      </c>
      <c r="BL115" s="317"/>
      <c r="BM115" s="317"/>
      <c r="BN115" s="317"/>
      <c r="BO115" s="317"/>
      <c r="BP115" s="317"/>
      <c r="BQ115" s="317"/>
      <c r="BR115" s="317"/>
      <c r="BS115" s="317"/>
      <c r="BT115" s="317"/>
      <c r="BU115" s="317"/>
      <c r="BV115" s="317"/>
      <c r="BW115" s="317"/>
      <c r="BX115" s="317"/>
      <c r="BY115" s="317"/>
      <c r="BZ115" s="317"/>
      <c r="CA115" s="317"/>
      <c r="CB115" s="317"/>
      <c r="CC115" s="317"/>
      <c r="CD115" s="317"/>
      <c r="CE115" s="317"/>
      <c r="CF115" s="317"/>
      <c r="CG115" s="317"/>
      <c r="CH115" s="317"/>
      <c r="CI115" s="317"/>
      <c r="CM115" s="1139">
        <v>0</v>
      </c>
      <c r="CN115" s="1139">
        <v>0</v>
      </c>
      <c r="CP115" s="923">
        <f t="shared" si="47"/>
        <v>0</v>
      </c>
      <c r="CZ115" s="330"/>
    </row>
    <row r="116" spans="1:104" ht="15" customHeight="1" x14ac:dyDescent="0.25">
      <c r="A116" s="684">
        <f>MAX($A$6:A115)+1</f>
        <v>116</v>
      </c>
      <c r="B116" s="11" t="s">
        <v>42</v>
      </c>
      <c r="C116" s="11" t="str">
        <f t="shared" si="59"/>
        <v>SCF</v>
      </c>
      <c r="D116" s="11"/>
      <c r="E116" s="7" t="s">
        <v>91</v>
      </c>
      <c r="F116" s="15"/>
      <c r="G116" s="1254" t="s">
        <v>91</v>
      </c>
      <c r="H116" s="6">
        <v>0</v>
      </c>
      <c r="I116" s="6">
        <v>0</v>
      </c>
      <c r="J116" s="1257" t="s">
        <v>91</v>
      </c>
      <c r="K116" s="251">
        <f>SUMIF('alb SCF'!$A:$A,$J116,'alb SCF'!$C:$C)</f>
        <v>0</v>
      </c>
      <c r="L116" s="251">
        <f>SUMIF('alb SCF'!$A:$A,$J116,'alb SCF'!$G:$G)</f>
        <v>0</v>
      </c>
      <c r="M116" s="252">
        <v>14</v>
      </c>
      <c r="N116" s="273">
        <f t="shared" si="61"/>
        <v>0</v>
      </c>
      <c r="O116" s="12"/>
      <c r="P116" s="12"/>
      <c r="Q116" s="12"/>
      <c r="R116" s="12"/>
      <c r="S116" s="6">
        <f t="shared" si="42"/>
        <v>0</v>
      </c>
      <c r="T116" s="273">
        <f t="shared" si="60"/>
        <v>0</v>
      </c>
      <c r="U116" s="6">
        <f t="shared" si="62"/>
        <v>0</v>
      </c>
      <c r="V116" s="6"/>
      <c r="W116" s="6">
        <f t="shared" si="63"/>
        <v>0</v>
      </c>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X116" s="6"/>
      <c r="AY116" s="6">
        <f>ROUND(AX116/1000/Update!$B$31*Update!$B$27,0)</f>
        <v>0</v>
      </c>
      <c r="BA116" s="6"/>
      <c r="BB116" s="6">
        <f>ROUND(BA116/1000/Update!$B$31,0)</f>
        <v>0</v>
      </c>
      <c r="BC116" s="6"/>
      <c r="BD116" s="29">
        <f t="shared" si="43"/>
        <v>0</v>
      </c>
      <c r="BE116" s="317"/>
      <c r="BF116" s="317"/>
      <c r="BG116" s="317"/>
      <c r="BH116" s="317"/>
      <c r="BI116" s="317"/>
      <c r="BJ116" s="317"/>
      <c r="BK116" s="327">
        <f t="shared" si="52"/>
        <v>0</v>
      </c>
      <c r="BL116" s="317"/>
      <c r="BM116" s="317"/>
      <c r="BN116" s="317"/>
      <c r="BO116" s="317"/>
      <c r="BP116" s="317"/>
      <c r="BQ116" s="317"/>
      <c r="BR116" s="317"/>
      <c r="BS116" s="317"/>
      <c r="BT116" s="317"/>
      <c r="BU116" s="317"/>
      <c r="BV116" s="317"/>
      <c r="BW116" s="317"/>
      <c r="BX116" s="317"/>
      <c r="BY116" s="317"/>
      <c r="BZ116" s="317"/>
      <c r="CA116" s="317"/>
      <c r="CB116" s="317"/>
      <c r="CC116" s="317"/>
      <c r="CD116" s="317"/>
      <c r="CE116" s="317"/>
      <c r="CF116" s="317"/>
      <c r="CG116" s="317"/>
      <c r="CH116" s="317"/>
      <c r="CI116" s="317"/>
      <c r="CM116" s="1139">
        <v>0</v>
      </c>
      <c r="CN116" s="1139">
        <v>0</v>
      </c>
      <c r="CP116" s="923">
        <f t="shared" si="47"/>
        <v>0</v>
      </c>
      <c r="CZ116" s="330"/>
    </row>
    <row r="117" spans="1:104" ht="15" customHeight="1" x14ac:dyDescent="0.25">
      <c r="A117" s="684">
        <f>MAX($A$6:A116)+1</f>
        <v>117</v>
      </c>
      <c r="B117" s="11" t="s">
        <v>42</v>
      </c>
      <c r="C117" s="11" t="str">
        <f t="shared" si="59"/>
        <v>SCF</v>
      </c>
      <c r="D117" s="11"/>
      <c r="E117" s="1253" t="s">
        <v>286</v>
      </c>
      <c r="F117" s="15"/>
      <c r="G117" s="1254"/>
      <c r="H117" s="6">
        <v>0</v>
      </c>
      <c r="I117" s="6">
        <v>0</v>
      </c>
      <c r="J117" s="1253" t="s">
        <v>286</v>
      </c>
      <c r="K117" s="251">
        <f>SUMIF('alb SCF'!$A:$A,$J117,'alb SCF'!$C:$C)</f>
        <v>0</v>
      </c>
      <c r="L117" s="251">
        <f>SUMIF('alb SCF'!$A:$A,$J117,'alb SCF'!$G:$G)</f>
        <v>0</v>
      </c>
      <c r="M117" s="252"/>
      <c r="N117" s="273">
        <f t="shared" si="61"/>
        <v>0</v>
      </c>
      <c r="O117" s="12"/>
      <c r="P117" s="12"/>
      <c r="Q117" s="12"/>
      <c r="R117" s="12"/>
      <c r="S117" s="6">
        <f t="shared" si="42"/>
        <v>0</v>
      </c>
      <c r="T117" s="273">
        <f t="shared" si="60"/>
        <v>0</v>
      </c>
      <c r="U117" s="6">
        <f t="shared" si="62"/>
        <v>0</v>
      </c>
      <c r="V117" s="6"/>
      <c r="W117" s="6">
        <f t="shared" si="63"/>
        <v>0</v>
      </c>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X117" s="6"/>
      <c r="AY117" s="6"/>
      <c r="BA117" s="6"/>
      <c r="BB117" s="6"/>
      <c r="BC117" s="6"/>
      <c r="BD117" s="29">
        <f t="shared" si="43"/>
        <v>0</v>
      </c>
      <c r="BE117" s="317"/>
      <c r="BF117" s="317"/>
      <c r="BG117" s="317"/>
      <c r="BH117" s="317"/>
      <c r="BI117" s="317"/>
      <c r="BJ117" s="317"/>
      <c r="BK117" s="327">
        <f t="shared" si="52"/>
        <v>0</v>
      </c>
      <c r="BL117" s="317"/>
      <c r="BM117" s="317"/>
      <c r="BN117" s="317"/>
      <c r="BO117" s="317"/>
      <c r="BP117" s="317"/>
      <c r="BQ117" s="317"/>
      <c r="BR117" s="317"/>
      <c r="BS117" s="317"/>
      <c r="BT117" s="317"/>
      <c r="BU117" s="317"/>
      <c r="BV117" s="317"/>
      <c r="BW117" s="317"/>
      <c r="BX117" s="317"/>
      <c r="BY117" s="317"/>
      <c r="BZ117" s="317"/>
      <c r="CA117" s="317"/>
      <c r="CB117" s="317"/>
      <c r="CC117" s="317"/>
      <c r="CD117" s="317"/>
      <c r="CE117" s="317"/>
      <c r="CF117" s="317"/>
      <c r="CG117" s="317"/>
      <c r="CH117" s="317"/>
      <c r="CI117" s="317"/>
      <c r="CM117" s="1139">
        <v>0</v>
      </c>
      <c r="CN117" s="1139">
        <v>0</v>
      </c>
      <c r="CP117" s="923">
        <f t="shared" si="47"/>
        <v>0</v>
      </c>
      <c r="CZ117" s="330"/>
    </row>
    <row r="118" spans="1:104" ht="15" customHeight="1" x14ac:dyDescent="0.25">
      <c r="A118" s="684">
        <f>MAX($A$6:A117)+1</f>
        <v>118</v>
      </c>
      <c r="B118" s="11" t="s">
        <v>42</v>
      </c>
      <c r="C118" s="11" t="str">
        <f t="shared" si="59"/>
        <v>SCF</v>
      </c>
      <c r="D118" s="11"/>
      <c r="E118" s="7" t="s">
        <v>92</v>
      </c>
      <c r="F118" s="15"/>
      <c r="G118" s="1254" t="s">
        <v>92</v>
      </c>
      <c r="H118" s="6">
        <v>0</v>
      </c>
      <c r="I118" s="6">
        <v>0</v>
      </c>
      <c r="J118" s="1253" t="s">
        <v>286</v>
      </c>
      <c r="K118" s="251">
        <f>SUMIF('alb SCF'!$A:$A,$J118,'alb SCF'!$C:$C)</f>
        <v>0</v>
      </c>
      <c r="L118" s="251">
        <f>SUMIF('alb SCF'!$A:$A,$J118,'alb SCF'!$G:$G)</f>
        <v>0</v>
      </c>
      <c r="M118" s="252"/>
      <c r="N118" s="273">
        <f t="shared" si="61"/>
        <v>0</v>
      </c>
      <c r="O118" s="12"/>
      <c r="P118" s="12"/>
      <c r="Q118" s="12"/>
      <c r="R118" s="12"/>
      <c r="S118" s="6">
        <f t="shared" si="42"/>
        <v>0</v>
      </c>
      <c r="T118" s="273">
        <f t="shared" si="60"/>
        <v>0</v>
      </c>
      <c r="U118" s="6">
        <f t="shared" si="62"/>
        <v>0</v>
      </c>
      <c r="V118" s="6"/>
      <c r="W118" s="6">
        <f t="shared" si="63"/>
        <v>0</v>
      </c>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X118" s="6"/>
      <c r="AY118" s="6">
        <f>ROUND(AX118/1000/Update!$B$31*Update!$B$27,0)</f>
        <v>0</v>
      </c>
      <c r="BA118" s="6"/>
      <c r="BB118" s="6">
        <f>ROUND(BA118/1000/Update!$B$31,0)</f>
        <v>0</v>
      </c>
      <c r="BC118" s="6"/>
      <c r="BD118" s="29">
        <f t="shared" si="43"/>
        <v>0</v>
      </c>
      <c r="BE118" s="317"/>
      <c r="BF118" s="317"/>
      <c r="BG118" s="317"/>
      <c r="BH118" s="317"/>
      <c r="BI118" s="317"/>
      <c r="BJ118" s="317"/>
      <c r="BK118" s="327">
        <f t="shared" si="52"/>
        <v>0</v>
      </c>
      <c r="BL118" s="317"/>
      <c r="BM118" s="317"/>
      <c r="BN118" s="317"/>
      <c r="BO118" s="317"/>
      <c r="BP118" s="317"/>
      <c r="BQ118" s="317"/>
      <c r="BR118" s="317"/>
      <c r="BS118" s="317"/>
      <c r="BT118" s="317"/>
      <c r="BU118" s="317"/>
      <c r="BV118" s="317"/>
      <c r="BW118" s="317"/>
      <c r="BX118" s="317"/>
      <c r="BY118" s="317"/>
      <c r="BZ118" s="317"/>
      <c r="CA118" s="317"/>
      <c r="CB118" s="317"/>
      <c r="CC118" s="317"/>
      <c r="CD118" s="317"/>
      <c r="CE118" s="317"/>
      <c r="CF118" s="317"/>
      <c r="CG118" s="317"/>
      <c r="CH118" s="317"/>
      <c r="CI118" s="317"/>
      <c r="CM118" s="1139">
        <v>0</v>
      </c>
      <c r="CN118" s="1139">
        <v>0</v>
      </c>
      <c r="CP118" s="923">
        <f t="shared" si="47"/>
        <v>0</v>
      </c>
      <c r="CZ118" s="330"/>
    </row>
    <row r="119" spans="1:104" ht="15" customHeight="1" x14ac:dyDescent="0.25">
      <c r="A119" s="701">
        <f>MAX($A$6:A118)+1</f>
        <v>119</v>
      </c>
      <c r="B119" s="18" t="s">
        <v>42</v>
      </c>
      <c r="C119" s="18" t="str">
        <f t="shared" si="59"/>
        <v>SCF</v>
      </c>
      <c r="D119" s="18"/>
      <c r="E119" s="17" t="s">
        <v>93</v>
      </c>
      <c r="F119" s="14"/>
      <c r="G119" s="254"/>
      <c r="H119" s="14">
        <f>SUM(H96:H118)</f>
        <v>-22354</v>
      </c>
      <c r="I119" s="14">
        <f>SUM(I96:I118)</f>
        <v>6054</v>
      </c>
      <c r="J119" s="1258" t="s">
        <v>286</v>
      </c>
      <c r="K119" s="256">
        <f>SUM(K96:K118)</f>
        <v>0</v>
      </c>
      <c r="L119" s="256">
        <f>SUM(L96:L118)</f>
        <v>0</v>
      </c>
      <c r="M119" s="14"/>
      <c r="N119" s="14">
        <f>SUM(N96:N118)</f>
        <v>-22354</v>
      </c>
      <c r="O119" s="14">
        <f>SUM(O96:O118)</f>
        <v>0</v>
      </c>
      <c r="P119" s="14">
        <f>SUM(P96:P118)</f>
        <v>0</v>
      </c>
      <c r="Q119" s="14">
        <f>SUM(Q96:Q118)</f>
        <v>0</v>
      </c>
      <c r="R119" s="14">
        <f>SUM(R96:R118)</f>
        <v>0</v>
      </c>
      <c r="S119" s="14">
        <f t="shared" si="42"/>
        <v>0</v>
      </c>
      <c r="T119" s="14">
        <f>SUM(T96:T118)</f>
        <v>-22354</v>
      </c>
      <c r="U119" s="14">
        <f>SUM(U96:U118)</f>
        <v>0</v>
      </c>
      <c r="V119" s="14">
        <f>SUM(V96:V118)</f>
        <v>0</v>
      </c>
      <c r="W119" s="14">
        <f>SUM(W96:W118)</f>
        <v>-22354</v>
      </c>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2"/>
      <c r="AX119" s="14">
        <f>SUM(AX96:AX118)</f>
        <v>0</v>
      </c>
      <c r="AY119" s="14">
        <f>ROUND(AX119/1000/Update!$B$31*Update!$B$27,0)</f>
        <v>0</v>
      </c>
      <c r="AZ119" s="2"/>
      <c r="BA119" s="14">
        <f>SUM(BA96:BA118)</f>
        <v>0</v>
      </c>
      <c r="BB119" s="14">
        <f>ROUND(BA119/1000/Update!$B$31,0)</f>
        <v>0</v>
      </c>
      <c r="BC119" s="14"/>
      <c r="BD119" s="14">
        <f>SUM(BD96:BD118)</f>
        <v>0</v>
      </c>
      <c r="BE119" s="318">
        <f t="shared" ref="BE119:BI119" si="64">SUM(BE96:BE118)</f>
        <v>0</v>
      </c>
      <c r="BF119" s="318">
        <f t="shared" si="64"/>
        <v>0</v>
      </c>
      <c r="BG119" s="318">
        <f t="shared" si="64"/>
        <v>0</v>
      </c>
      <c r="BH119" s="318">
        <f t="shared" si="64"/>
        <v>0</v>
      </c>
      <c r="BI119" s="318">
        <f t="shared" si="64"/>
        <v>0</v>
      </c>
      <c r="BJ119" s="318"/>
      <c r="BK119" s="14">
        <f>ROUND(SUM(BO119:CI119),0)</f>
        <v>0</v>
      </c>
      <c r="BL119" s="318"/>
      <c r="BM119" s="318"/>
      <c r="BN119" s="318"/>
      <c r="BO119" s="318"/>
      <c r="BP119" s="318"/>
      <c r="BQ119" s="318"/>
      <c r="BR119" s="318"/>
      <c r="BS119" s="318"/>
      <c r="BT119" s="318"/>
      <c r="BU119" s="318"/>
      <c r="BV119" s="318"/>
      <c r="BW119" s="318"/>
      <c r="BX119" s="318"/>
      <c r="BY119" s="318"/>
      <c r="BZ119" s="318"/>
      <c r="CA119" s="318"/>
      <c r="CB119" s="318"/>
      <c r="CC119" s="318"/>
      <c r="CD119" s="318"/>
      <c r="CE119" s="318"/>
      <c r="CF119" s="318"/>
      <c r="CG119" s="318"/>
      <c r="CH119" s="318"/>
      <c r="CI119" s="318"/>
      <c r="CJ119" s="2"/>
      <c r="CK119" s="2"/>
      <c r="CM119" s="1140">
        <v>1</v>
      </c>
      <c r="CN119" s="1140">
        <v>-7521258</v>
      </c>
      <c r="CP119" s="923">
        <f t="shared" si="47"/>
        <v>1</v>
      </c>
      <c r="CZ119" s="330"/>
    </row>
    <row r="120" spans="1:104" ht="15" customHeight="1" x14ac:dyDescent="0.25">
      <c r="A120" s="684">
        <f>MAX($A$6:A119)+1</f>
        <v>120</v>
      </c>
      <c r="B120" s="11" t="s">
        <v>42</v>
      </c>
      <c r="C120" s="11" t="str">
        <f t="shared" si="59"/>
        <v>SCF</v>
      </c>
      <c r="D120" s="11"/>
      <c r="E120" s="13" t="s">
        <v>94</v>
      </c>
      <c r="F120" s="15"/>
      <c r="G120" s="1276" t="s">
        <v>286</v>
      </c>
      <c r="H120" s="6"/>
      <c r="I120" s="6"/>
      <c r="J120" s="1253" t="s">
        <v>286</v>
      </c>
      <c r="K120" s="251">
        <f>SUMIF('alb SCF'!$A:$A,$J120,'alb SCF'!$C:$C)</f>
        <v>0</v>
      </c>
      <c r="L120" s="251">
        <f>SUMIF('alb SCF'!$A:$A,$J120,'alb SCF'!$G:$G)</f>
        <v>0</v>
      </c>
      <c r="M120" s="252"/>
      <c r="N120" s="1243"/>
      <c r="O120" s="12"/>
      <c r="P120" s="12"/>
      <c r="Q120" s="12"/>
      <c r="R120" s="12"/>
      <c r="S120" s="6">
        <f t="shared" si="42"/>
        <v>0</v>
      </c>
      <c r="T120" s="1243"/>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X120" s="6"/>
      <c r="AY120" s="6">
        <f>ROUND(AX120/1000/Update!$B$31*Update!$B$27,0)</f>
        <v>0</v>
      </c>
      <c r="BA120" s="6"/>
      <c r="BB120" s="6">
        <f>ROUND(BA120/1000/Update!$B$31,0)</f>
        <v>0</v>
      </c>
      <c r="BC120" s="6"/>
      <c r="BD120" s="29">
        <f t="shared" si="43"/>
        <v>0</v>
      </c>
      <c r="BE120" s="317"/>
      <c r="BF120" s="317"/>
      <c r="BG120" s="317"/>
      <c r="BH120" s="317"/>
      <c r="BI120" s="317"/>
      <c r="BJ120" s="317"/>
      <c r="BK120" s="327">
        <f t="shared" si="52"/>
        <v>0</v>
      </c>
      <c r="BL120" s="317"/>
      <c r="BM120" s="317"/>
      <c r="BN120" s="317"/>
      <c r="BO120" s="317"/>
      <c r="BP120" s="317"/>
      <c r="BQ120" s="317"/>
      <c r="BR120" s="317"/>
      <c r="BS120" s="317"/>
      <c r="BT120" s="317"/>
      <c r="BU120" s="317"/>
      <c r="BV120" s="317"/>
      <c r="BW120" s="317"/>
      <c r="BX120" s="317"/>
      <c r="BY120" s="317"/>
      <c r="BZ120" s="317"/>
      <c r="CA120" s="317"/>
      <c r="CB120" s="317"/>
      <c r="CC120" s="317"/>
      <c r="CD120" s="317"/>
      <c r="CE120" s="317"/>
      <c r="CF120" s="317"/>
      <c r="CG120" s="317"/>
      <c r="CH120" s="317"/>
      <c r="CI120" s="317"/>
      <c r="CM120" s="1139">
        <v>0</v>
      </c>
      <c r="CN120" s="1139">
        <v>0</v>
      </c>
      <c r="CP120" s="923">
        <f t="shared" si="47"/>
        <v>0</v>
      </c>
      <c r="CZ120" s="330"/>
    </row>
    <row r="121" spans="1:104" ht="25.5" customHeight="1" x14ac:dyDescent="0.25">
      <c r="A121" s="684">
        <f>MAX($A$6:A120)+1</f>
        <v>121</v>
      </c>
      <c r="B121" s="11" t="s">
        <v>42</v>
      </c>
      <c r="C121" s="11" t="str">
        <f t="shared" si="59"/>
        <v>SCF</v>
      </c>
      <c r="D121" s="11"/>
      <c r="E121" s="7" t="s">
        <v>95</v>
      </c>
      <c r="F121" s="15"/>
      <c r="G121" s="1254" t="s">
        <v>95</v>
      </c>
      <c r="H121" s="6">
        <v>0</v>
      </c>
      <c r="I121" s="6">
        <v>0</v>
      </c>
      <c r="J121" s="1257" t="s">
        <v>95</v>
      </c>
      <c r="K121" s="251">
        <f>SUMIF('alb SCF'!$A:$A,$J121,'alb SCF'!$C:$C)</f>
        <v>0</v>
      </c>
      <c r="L121" s="251">
        <f>SUMIF('alb SCF'!$A:$A,$J121,'alb SCF'!$G:$G)</f>
        <v>0</v>
      </c>
      <c r="M121" s="252" t="s">
        <v>2503</v>
      </c>
      <c r="N121" s="273">
        <f t="shared" si="61"/>
        <v>0</v>
      </c>
      <c r="O121" s="12"/>
      <c r="P121" s="12"/>
      <c r="Q121" s="12"/>
      <c r="R121" s="12"/>
      <c r="S121" s="6">
        <f t="shared" si="42"/>
        <v>0</v>
      </c>
      <c r="T121" s="273">
        <f t="shared" ref="T121:T131" si="65">ROUND(SUM(U121:Y121),0)</f>
        <v>0</v>
      </c>
      <c r="U121" s="6">
        <f t="shared" ref="U121:U131" si="66">SUM(BL121:BN121)</f>
        <v>0</v>
      </c>
      <c r="V121" s="6"/>
      <c r="W121" s="6">
        <f t="shared" ref="W121:W131" si="67">+H121</f>
        <v>0</v>
      </c>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X121" s="6"/>
      <c r="AY121" s="6">
        <f>ROUND(AX121/1000/Update!$B$31*Update!$B$27,0)</f>
        <v>0</v>
      </c>
      <c r="BA121" s="6"/>
      <c r="BB121" s="6">
        <f>ROUND(BA121/1000/Update!$B$31,0)</f>
        <v>0</v>
      </c>
      <c r="BC121" s="6"/>
      <c r="BD121" s="29">
        <f t="shared" si="43"/>
        <v>0</v>
      </c>
      <c r="BE121" s="317"/>
      <c r="BF121" s="317"/>
      <c r="BG121" s="317"/>
      <c r="BH121" s="317"/>
      <c r="BI121" s="317"/>
      <c r="BJ121" s="317"/>
      <c r="BK121" s="327">
        <f t="shared" si="52"/>
        <v>0</v>
      </c>
      <c r="BL121" s="317"/>
      <c r="BM121" s="317"/>
      <c r="BN121" s="317"/>
      <c r="BO121" s="317"/>
      <c r="BP121" s="317"/>
      <c r="BQ121" s="317"/>
      <c r="BR121" s="317"/>
      <c r="BS121" s="317"/>
      <c r="BT121" s="317"/>
      <c r="BU121" s="317"/>
      <c r="BV121" s="317"/>
      <c r="BW121" s="317"/>
      <c r="BX121" s="317"/>
      <c r="BY121" s="317"/>
      <c r="BZ121" s="317"/>
      <c r="CA121" s="317"/>
      <c r="CB121" s="317"/>
      <c r="CC121" s="317"/>
      <c r="CD121" s="317"/>
      <c r="CE121" s="317"/>
      <c r="CF121" s="317"/>
      <c r="CG121" s="317"/>
      <c r="CH121" s="317"/>
      <c r="CI121" s="317"/>
      <c r="CM121" s="1139">
        <v>0</v>
      </c>
      <c r="CN121" s="1139">
        <v>159</v>
      </c>
      <c r="CP121" s="923">
        <f t="shared" si="47"/>
        <v>0</v>
      </c>
      <c r="CZ121" s="330"/>
    </row>
    <row r="122" spans="1:104" ht="15" customHeight="1" x14ac:dyDescent="0.25">
      <c r="A122" s="684">
        <f>MAX($A$6:A121)+1</f>
        <v>122</v>
      </c>
      <c r="B122" s="11" t="s">
        <v>42</v>
      </c>
      <c r="C122" s="11" t="str">
        <f t="shared" si="59"/>
        <v>SCF</v>
      </c>
      <c r="D122" s="11"/>
      <c r="E122" s="7" t="s">
        <v>96</v>
      </c>
      <c r="F122" s="15"/>
      <c r="G122" s="1254" t="s">
        <v>96</v>
      </c>
      <c r="H122" s="6">
        <v>0</v>
      </c>
      <c r="I122" s="6">
        <v>0</v>
      </c>
      <c r="J122" s="1257" t="s">
        <v>96</v>
      </c>
      <c r="K122" s="251">
        <f>SUMIF('alb SCF'!$A:$A,$J122,'alb SCF'!$C:$C)</f>
        <v>0</v>
      </c>
      <c r="L122" s="251">
        <f>SUMIF('alb SCF'!$A:$A,$J122,'alb SCF'!$G:$G)</f>
        <v>0</v>
      </c>
      <c r="M122" s="252" t="s">
        <v>2504</v>
      </c>
      <c r="N122" s="273">
        <f t="shared" si="61"/>
        <v>0</v>
      </c>
      <c r="O122" s="12"/>
      <c r="P122" s="12"/>
      <c r="Q122" s="12"/>
      <c r="R122" s="12"/>
      <c r="S122" s="6">
        <f t="shared" si="42"/>
        <v>0</v>
      </c>
      <c r="T122" s="273">
        <f t="shared" si="65"/>
        <v>0</v>
      </c>
      <c r="U122" s="6">
        <f t="shared" si="66"/>
        <v>0</v>
      </c>
      <c r="V122" s="6"/>
      <c r="W122" s="6">
        <f t="shared" si="67"/>
        <v>0</v>
      </c>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X122" s="6"/>
      <c r="AY122" s="6">
        <f>ROUND(AX122/1000/Update!$B$31*Update!$B$27,0)</f>
        <v>0</v>
      </c>
      <c r="BA122" s="6"/>
      <c r="BB122" s="6">
        <f>ROUND(BA122/1000/Update!$B$31,0)</f>
        <v>0</v>
      </c>
      <c r="BC122" s="6"/>
      <c r="BD122" s="29">
        <f t="shared" si="43"/>
        <v>0</v>
      </c>
      <c r="BE122" s="317"/>
      <c r="BF122" s="317"/>
      <c r="BG122" s="317"/>
      <c r="BH122" s="317"/>
      <c r="BI122" s="317"/>
      <c r="BJ122" s="317"/>
      <c r="BK122" s="327">
        <f t="shared" si="52"/>
        <v>0</v>
      </c>
      <c r="BL122" s="317"/>
      <c r="BM122" s="317"/>
      <c r="BN122" s="317"/>
      <c r="BO122" s="317"/>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M122" s="1139">
        <v>0</v>
      </c>
      <c r="CN122" s="1139">
        <v>0</v>
      </c>
      <c r="CP122" s="923">
        <f t="shared" si="47"/>
        <v>0</v>
      </c>
      <c r="CZ122" s="330"/>
    </row>
    <row r="123" spans="1:104" ht="15" customHeight="1" x14ac:dyDescent="0.25">
      <c r="A123" s="684">
        <f>MAX($A$6:A122)+1</f>
        <v>123</v>
      </c>
      <c r="B123" s="11" t="s">
        <v>42</v>
      </c>
      <c r="C123" s="11" t="str">
        <f t="shared" si="59"/>
        <v>SCF</v>
      </c>
      <c r="D123" s="11"/>
      <c r="E123" s="7" t="s">
        <v>97</v>
      </c>
      <c r="F123" s="15"/>
      <c r="G123" s="1254" t="s">
        <v>97</v>
      </c>
      <c r="H123" s="6">
        <v>0</v>
      </c>
      <c r="I123" s="6">
        <v>0</v>
      </c>
      <c r="J123" s="1253" t="s">
        <v>286</v>
      </c>
      <c r="K123" s="251">
        <f>SUMIF('alb SCF'!$A:$A,$J123,'alb SCF'!$C:$C)</f>
        <v>0</v>
      </c>
      <c r="L123" s="251">
        <f>SUMIF('alb SCF'!$A:$A,$J123,'alb SCF'!$G:$G)</f>
        <v>0</v>
      </c>
      <c r="M123" s="252"/>
      <c r="N123" s="273">
        <f t="shared" si="61"/>
        <v>0</v>
      </c>
      <c r="O123" s="12"/>
      <c r="P123" s="12"/>
      <c r="Q123" s="12"/>
      <c r="R123" s="12"/>
      <c r="S123" s="6">
        <f t="shared" si="42"/>
        <v>0</v>
      </c>
      <c r="T123" s="273">
        <f t="shared" si="65"/>
        <v>0</v>
      </c>
      <c r="U123" s="6">
        <f t="shared" si="66"/>
        <v>0</v>
      </c>
      <c r="V123" s="6"/>
      <c r="W123" s="6">
        <f t="shared" si="67"/>
        <v>0</v>
      </c>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X123" s="6"/>
      <c r="AY123" s="6">
        <f>ROUND(AX123/1000/Update!$B$31*Update!$B$27,0)</f>
        <v>0</v>
      </c>
      <c r="BA123" s="6"/>
      <c r="BB123" s="6">
        <f>ROUND(BA123/1000/Update!$B$31,0)</f>
        <v>0</v>
      </c>
      <c r="BC123" s="6"/>
      <c r="BD123" s="29">
        <f t="shared" si="43"/>
        <v>0</v>
      </c>
      <c r="BE123" s="317"/>
      <c r="BF123" s="317"/>
      <c r="BG123" s="317"/>
      <c r="BH123" s="317"/>
      <c r="BI123" s="317"/>
      <c r="BJ123" s="317"/>
      <c r="BK123" s="327">
        <f t="shared" si="52"/>
        <v>0</v>
      </c>
      <c r="BL123" s="317"/>
      <c r="BM123" s="317"/>
      <c r="BN123" s="317"/>
      <c r="BO123" s="317"/>
      <c r="BP123" s="317"/>
      <c r="BQ123" s="317"/>
      <c r="BR123" s="317"/>
      <c r="BS123" s="317"/>
      <c r="BT123" s="317"/>
      <c r="BU123" s="317"/>
      <c r="BV123" s="317"/>
      <c r="BW123" s="317"/>
      <c r="BX123" s="317"/>
      <c r="BY123" s="317"/>
      <c r="BZ123" s="317"/>
      <c r="CA123" s="317"/>
      <c r="CB123" s="317"/>
      <c r="CC123" s="317"/>
      <c r="CD123" s="317"/>
      <c r="CE123" s="317"/>
      <c r="CF123" s="317"/>
      <c r="CG123" s="317"/>
      <c r="CH123" s="317"/>
      <c r="CI123" s="317"/>
      <c r="CM123" s="1139">
        <v>0</v>
      </c>
      <c r="CN123" s="1139">
        <v>0</v>
      </c>
      <c r="CP123" s="923">
        <f t="shared" si="47"/>
        <v>0</v>
      </c>
      <c r="CZ123" s="330"/>
    </row>
    <row r="124" spans="1:104" ht="30" customHeight="1" x14ac:dyDescent="0.25">
      <c r="A124" s="684">
        <f>MAX($A$6:A123)+1</f>
        <v>124</v>
      </c>
      <c r="B124" s="11" t="s">
        <v>42</v>
      </c>
      <c r="C124" s="11" t="str">
        <f t="shared" si="59"/>
        <v>SCF</v>
      </c>
      <c r="D124" s="11"/>
      <c r="E124" s="7" t="s">
        <v>98</v>
      </c>
      <c r="F124" s="15"/>
      <c r="G124" s="1254" t="s">
        <v>98</v>
      </c>
      <c r="H124" s="6">
        <v>0</v>
      </c>
      <c r="I124" s="6">
        <v>0</v>
      </c>
      <c r="J124" s="1257" t="s">
        <v>757</v>
      </c>
      <c r="K124" s="251">
        <f>SUMIF('alb SCF'!$A:$A,$J124,'alb SCF'!$C:$C)</f>
        <v>0</v>
      </c>
      <c r="L124" s="251">
        <f>SUMIF('alb SCF'!$A:$A,$J124,'alb SCF'!$G:$G)</f>
        <v>0</v>
      </c>
      <c r="M124" s="252"/>
      <c r="N124" s="273">
        <f t="shared" si="61"/>
        <v>0</v>
      </c>
      <c r="O124" s="12"/>
      <c r="P124" s="12"/>
      <c r="Q124" s="12"/>
      <c r="R124" s="12"/>
      <c r="S124" s="6">
        <f t="shared" si="42"/>
        <v>0</v>
      </c>
      <c r="T124" s="273">
        <f t="shared" si="65"/>
        <v>0</v>
      </c>
      <c r="U124" s="6">
        <f t="shared" si="66"/>
        <v>0</v>
      </c>
      <c r="V124" s="6"/>
      <c r="W124" s="6">
        <f t="shared" si="67"/>
        <v>0</v>
      </c>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X124" s="6"/>
      <c r="AY124" s="6">
        <f>ROUND(AX124/1000/Update!$B$31*Update!$B$27,0)</f>
        <v>0</v>
      </c>
      <c r="BA124" s="6"/>
      <c r="BB124" s="6">
        <f>ROUND(BA124/1000/Update!$B$31,0)</f>
        <v>0</v>
      </c>
      <c r="BC124" s="6"/>
      <c r="BD124" s="29">
        <f t="shared" si="43"/>
        <v>0</v>
      </c>
      <c r="BE124" s="317"/>
      <c r="BF124" s="317"/>
      <c r="BG124" s="317"/>
      <c r="BH124" s="317"/>
      <c r="BI124" s="317"/>
      <c r="BJ124" s="317"/>
      <c r="BK124" s="327">
        <f t="shared" si="52"/>
        <v>0</v>
      </c>
      <c r="BL124" s="317"/>
      <c r="BM124" s="317"/>
      <c r="BN124" s="317"/>
      <c r="BO124" s="317"/>
      <c r="BP124" s="317"/>
      <c r="BQ124" s="317"/>
      <c r="BR124" s="317"/>
      <c r="BS124" s="317"/>
      <c r="BT124" s="317"/>
      <c r="BU124" s="317"/>
      <c r="BV124" s="317"/>
      <c r="BW124" s="317"/>
      <c r="BX124" s="317"/>
      <c r="BY124" s="317"/>
      <c r="BZ124" s="317"/>
      <c r="CA124" s="317"/>
      <c r="CB124" s="317"/>
      <c r="CC124" s="317"/>
      <c r="CD124" s="317"/>
      <c r="CE124" s="317"/>
      <c r="CF124" s="317"/>
      <c r="CG124" s="317"/>
      <c r="CH124" s="317"/>
      <c r="CI124" s="317"/>
      <c r="CM124" s="1139">
        <v>0</v>
      </c>
      <c r="CN124" s="1139">
        <v>0</v>
      </c>
      <c r="CP124" s="923">
        <f t="shared" si="47"/>
        <v>0</v>
      </c>
      <c r="CZ124" s="330"/>
    </row>
    <row r="125" spans="1:104" ht="25.5" customHeight="1" x14ac:dyDescent="0.25">
      <c r="A125" s="684">
        <f>MAX($A$6:A124)+1</f>
        <v>125</v>
      </c>
      <c r="B125" s="11" t="s">
        <v>42</v>
      </c>
      <c r="C125" s="11" t="str">
        <f t="shared" si="59"/>
        <v>SCF</v>
      </c>
      <c r="D125" s="11"/>
      <c r="E125" s="7" t="s">
        <v>99</v>
      </c>
      <c r="F125" s="15"/>
      <c r="G125" s="1254" t="s">
        <v>99</v>
      </c>
      <c r="H125" s="6">
        <v>0</v>
      </c>
      <c r="I125" s="6">
        <v>0</v>
      </c>
      <c r="J125" s="1257" t="s">
        <v>535</v>
      </c>
      <c r="K125" s="251">
        <f>SUMIF('alb SCF'!$A:$A,$J125,'alb SCF'!$C:$C)</f>
        <v>0</v>
      </c>
      <c r="L125" s="251">
        <f>SUMIF('alb SCF'!$A:$A,$J125,'alb SCF'!$G:$G)</f>
        <v>0</v>
      </c>
      <c r="M125" s="252"/>
      <c r="N125" s="273">
        <f t="shared" si="61"/>
        <v>0</v>
      </c>
      <c r="O125" s="12"/>
      <c r="P125" s="12"/>
      <c r="Q125" s="12"/>
      <c r="R125" s="12"/>
      <c r="S125" s="6">
        <f t="shared" ref="S125:S188" si="68">-IF(ISNUMBER(BD125),BD125,0)</f>
        <v>0</v>
      </c>
      <c r="T125" s="273">
        <f t="shared" si="65"/>
        <v>0</v>
      </c>
      <c r="U125" s="6">
        <f t="shared" si="66"/>
        <v>0</v>
      </c>
      <c r="V125" s="6"/>
      <c r="W125" s="6">
        <f t="shared" si="67"/>
        <v>0</v>
      </c>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X125" s="6"/>
      <c r="AY125" s="6">
        <f>ROUND(AX125/1000/Update!$B$31*Update!$B$27,0)</f>
        <v>0</v>
      </c>
      <c r="BA125" s="6"/>
      <c r="BB125" s="6">
        <f>ROUND(BA125/1000/Update!$B$31,0)</f>
        <v>0</v>
      </c>
      <c r="BC125" s="6"/>
      <c r="BD125" s="29">
        <f t="shared" ref="BD125:BD190" si="69">ROUND(SUM(BE125:BK125),0)</f>
        <v>0</v>
      </c>
      <c r="BE125" s="317"/>
      <c r="BF125" s="317"/>
      <c r="BG125" s="317"/>
      <c r="BH125" s="317"/>
      <c r="BI125" s="317"/>
      <c r="BJ125" s="317"/>
      <c r="BK125" s="327">
        <f t="shared" si="52"/>
        <v>0</v>
      </c>
      <c r="BL125" s="317"/>
      <c r="BM125" s="317"/>
      <c r="BN125" s="317"/>
      <c r="BO125" s="317"/>
      <c r="BP125" s="317"/>
      <c r="BQ125" s="317"/>
      <c r="BR125" s="317"/>
      <c r="BS125" s="317"/>
      <c r="BT125" s="317"/>
      <c r="BU125" s="317"/>
      <c r="BV125" s="317"/>
      <c r="BW125" s="317"/>
      <c r="BX125" s="317"/>
      <c r="BY125" s="317"/>
      <c r="BZ125" s="317"/>
      <c r="CA125" s="317"/>
      <c r="CB125" s="317"/>
      <c r="CC125" s="317"/>
      <c r="CD125" s="317"/>
      <c r="CE125" s="317"/>
      <c r="CF125" s="317"/>
      <c r="CG125" s="317"/>
      <c r="CH125" s="317"/>
      <c r="CI125" s="317"/>
      <c r="CM125" s="1139">
        <v>0</v>
      </c>
      <c r="CN125" s="1139">
        <v>0</v>
      </c>
      <c r="CP125" s="923">
        <f t="shared" si="47"/>
        <v>0</v>
      </c>
      <c r="CZ125" s="330"/>
    </row>
    <row r="126" spans="1:104" ht="30" customHeight="1" x14ac:dyDescent="0.25">
      <c r="A126" s="684">
        <f>MAX($A$6:A125)+1</f>
        <v>126</v>
      </c>
      <c r="B126" s="11" t="s">
        <v>42</v>
      </c>
      <c r="C126" s="11" t="str">
        <f t="shared" si="59"/>
        <v>SCF</v>
      </c>
      <c r="D126" s="11"/>
      <c r="E126" s="7" t="s">
        <v>758</v>
      </c>
      <c r="F126" s="15"/>
      <c r="G126" s="1254" t="s">
        <v>743</v>
      </c>
      <c r="H126" s="6">
        <v>0</v>
      </c>
      <c r="I126" s="6">
        <v>0</v>
      </c>
      <c r="J126" s="1257" t="s">
        <v>758</v>
      </c>
      <c r="K126" s="251">
        <f>SUMIF('alb SCF'!$A:$A,$J126,'alb SCF'!$C:$C)</f>
        <v>0</v>
      </c>
      <c r="L126" s="251">
        <f>SUMIF('alb SCF'!$A:$A,$J126,'alb SCF'!$G:$G)</f>
        <v>0</v>
      </c>
      <c r="M126" s="252"/>
      <c r="N126" s="273">
        <f t="shared" si="61"/>
        <v>0</v>
      </c>
      <c r="O126" s="12"/>
      <c r="P126" s="12"/>
      <c r="Q126" s="12"/>
      <c r="R126" s="12"/>
      <c r="S126" s="6">
        <f t="shared" si="68"/>
        <v>0</v>
      </c>
      <c r="T126" s="273">
        <f t="shared" si="65"/>
        <v>0</v>
      </c>
      <c r="U126" s="6">
        <f t="shared" si="66"/>
        <v>0</v>
      </c>
      <c r="V126" s="6"/>
      <c r="W126" s="6">
        <f t="shared" si="67"/>
        <v>0</v>
      </c>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X126" s="6"/>
      <c r="AY126" s="6">
        <f>ROUND(AX126/1000/Update!$B$31*Update!$B$27,0)</f>
        <v>0</v>
      </c>
      <c r="BA126" s="6"/>
      <c r="BB126" s="6">
        <f>ROUND(BA126/1000/Update!$B$31,0)</f>
        <v>0</v>
      </c>
      <c r="BC126" s="6"/>
      <c r="BD126" s="29">
        <f t="shared" si="69"/>
        <v>0</v>
      </c>
      <c r="BE126" s="317"/>
      <c r="BF126" s="317"/>
      <c r="BG126" s="317"/>
      <c r="BH126" s="317"/>
      <c r="BI126" s="317"/>
      <c r="BJ126" s="317"/>
      <c r="BK126" s="327">
        <f t="shared" si="52"/>
        <v>0</v>
      </c>
      <c r="BL126" s="317"/>
      <c r="BM126" s="317"/>
      <c r="BN126" s="317"/>
      <c r="BO126" s="317"/>
      <c r="BP126" s="317"/>
      <c r="BQ126" s="317"/>
      <c r="BR126" s="317"/>
      <c r="BS126" s="317"/>
      <c r="BT126" s="317"/>
      <c r="BU126" s="317"/>
      <c r="BV126" s="317"/>
      <c r="BW126" s="317"/>
      <c r="BX126" s="317"/>
      <c r="BY126" s="317"/>
      <c r="BZ126" s="317"/>
      <c r="CA126" s="317"/>
      <c r="CB126" s="317"/>
      <c r="CC126" s="317"/>
      <c r="CD126" s="317"/>
      <c r="CE126" s="317"/>
      <c r="CF126" s="317"/>
      <c r="CG126" s="317"/>
      <c r="CH126" s="317"/>
      <c r="CI126" s="317"/>
      <c r="CM126" s="1139">
        <v>0</v>
      </c>
      <c r="CN126" s="1139">
        <v>0</v>
      </c>
      <c r="CP126" s="923">
        <f t="shared" si="47"/>
        <v>0</v>
      </c>
      <c r="CZ126" s="330"/>
    </row>
    <row r="127" spans="1:104" ht="15" customHeight="1" x14ac:dyDescent="0.25">
      <c r="A127" s="684">
        <f>MAX($A$6:A126)+1</f>
        <v>127</v>
      </c>
      <c r="B127" s="11" t="s">
        <v>42</v>
      </c>
      <c r="C127" s="11" t="str">
        <f t="shared" si="59"/>
        <v>SCF</v>
      </c>
      <c r="D127" s="11"/>
      <c r="E127" s="7" t="s">
        <v>100</v>
      </c>
      <c r="F127" s="15"/>
      <c r="G127" s="1254" t="s">
        <v>100</v>
      </c>
      <c r="H127" s="6">
        <v>0</v>
      </c>
      <c r="I127" s="6">
        <v>0</v>
      </c>
      <c r="J127" s="1253" t="s">
        <v>286</v>
      </c>
      <c r="K127" s="251">
        <f>SUMIF('alb SCF'!$A:$A,$J127,'alb SCF'!$C:$C)</f>
        <v>0</v>
      </c>
      <c r="L127" s="251">
        <f>SUMIF('alb SCF'!$A:$A,$J127,'alb SCF'!$G:$G)</f>
        <v>0</v>
      </c>
      <c r="M127" s="252"/>
      <c r="N127" s="273">
        <f t="shared" si="61"/>
        <v>0</v>
      </c>
      <c r="O127" s="12"/>
      <c r="P127" s="12"/>
      <c r="Q127" s="12"/>
      <c r="R127" s="12"/>
      <c r="S127" s="6">
        <f t="shared" si="68"/>
        <v>0</v>
      </c>
      <c r="T127" s="273">
        <f t="shared" si="65"/>
        <v>0</v>
      </c>
      <c r="U127" s="6">
        <f t="shared" si="66"/>
        <v>0</v>
      </c>
      <c r="V127" s="6"/>
      <c r="W127" s="6">
        <f t="shared" si="67"/>
        <v>0</v>
      </c>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X127" s="6"/>
      <c r="AY127" s="6">
        <f>ROUND(AX127/1000/Update!$B$31*Update!$B$27,0)</f>
        <v>0</v>
      </c>
      <c r="BA127" s="6"/>
      <c r="BB127" s="6">
        <f>ROUND(BA127/1000/Update!$B$31,0)</f>
        <v>0</v>
      </c>
      <c r="BC127" s="6"/>
      <c r="BD127" s="29">
        <f t="shared" si="69"/>
        <v>0</v>
      </c>
      <c r="BE127" s="317"/>
      <c r="BF127" s="317"/>
      <c r="BG127" s="317"/>
      <c r="BH127" s="317"/>
      <c r="BI127" s="317"/>
      <c r="BJ127" s="317"/>
      <c r="BK127" s="327">
        <f t="shared" si="52"/>
        <v>0</v>
      </c>
      <c r="BL127" s="317"/>
      <c r="BM127" s="317"/>
      <c r="BN127" s="317"/>
      <c r="BO127" s="317"/>
      <c r="BP127" s="317"/>
      <c r="BQ127" s="317"/>
      <c r="BR127" s="317"/>
      <c r="BS127" s="317"/>
      <c r="BT127" s="317"/>
      <c r="BU127" s="317"/>
      <c r="BV127" s="317"/>
      <c r="BW127" s="317"/>
      <c r="BX127" s="317"/>
      <c r="BY127" s="317"/>
      <c r="BZ127" s="317"/>
      <c r="CA127" s="317"/>
      <c r="CB127" s="317"/>
      <c r="CC127" s="317"/>
      <c r="CD127" s="317"/>
      <c r="CE127" s="317"/>
      <c r="CF127" s="317"/>
      <c r="CG127" s="317"/>
      <c r="CH127" s="317"/>
      <c r="CI127" s="317"/>
      <c r="CM127" s="1139">
        <v>0</v>
      </c>
      <c r="CN127" s="1139">
        <v>0</v>
      </c>
      <c r="CP127" s="923">
        <f t="shared" si="47"/>
        <v>0</v>
      </c>
      <c r="CZ127" s="330"/>
    </row>
    <row r="128" spans="1:104" ht="30" customHeight="1" x14ac:dyDescent="0.25">
      <c r="A128" s="684">
        <f>MAX($A$6:A127)+1</f>
        <v>128</v>
      </c>
      <c r="B128" s="11" t="s">
        <v>42</v>
      </c>
      <c r="C128" s="11" t="str">
        <f t="shared" si="59"/>
        <v>SCF</v>
      </c>
      <c r="D128" s="11"/>
      <c r="E128" s="7" t="s">
        <v>101</v>
      </c>
      <c r="F128" s="15"/>
      <c r="G128" s="1254" t="s">
        <v>101</v>
      </c>
      <c r="H128" s="6">
        <v>0</v>
      </c>
      <c r="I128" s="6">
        <v>0</v>
      </c>
      <c r="J128" s="1253" t="s">
        <v>286</v>
      </c>
      <c r="K128" s="251">
        <f>SUMIF('alb SCF'!$A:$A,$J128,'alb SCF'!$C:$C)</f>
        <v>0</v>
      </c>
      <c r="L128" s="251">
        <f>SUMIF('alb SCF'!$A:$A,$J128,'alb SCF'!$G:$G)</f>
        <v>0</v>
      </c>
      <c r="M128" s="252"/>
      <c r="N128" s="273">
        <f t="shared" si="61"/>
        <v>0</v>
      </c>
      <c r="O128" s="12"/>
      <c r="P128" s="12"/>
      <c r="Q128" s="12"/>
      <c r="R128" s="12"/>
      <c r="S128" s="6">
        <f t="shared" si="68"/>
        <v>0</v>
      </c>
      <c r="T128" s="273">
        <f t="shared" si="65"/>
        <v>0</v>
      </c>
      <c r="U128" s="6">
        <f t="shared" si="66"/>
        <v>0</v>
      </c>
      <c r="V128" s="6"/>
      <c r="W128" s="6">
        <f t="shared" si="67"/>
        <v>0</v>
      </c>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X128" s="6"/>
      <c r="AY128" s="6">
        <f>ROUND(AX128/1000/Update!$B$31*Update!$B$27,0)</f>
        <v>0</v>
      </c>
      <c r="BA128" s="6"/>
      <c r="BB128" s="6">
        <f>ROUND(BA128/1000/Update!$B$31,0)</f>
        <v>0</v>
      </c>
      <c r="BC128" s="6"/>
      <c r="BD128" s="29">
        <f t="shared" si="69"/>
        <v>0</v>
      </c>
      <c r="BE128" s="317"/>
      <c r="BF128" s="317"/>
      <c r="BG128" s="317"/>
      <c r="BH128" s="317"/>
      <c r="BI128" s="317"/>
      <c r="BJ128" s="317"/>
      <c r="BK128" s="327">
        <f t="shared" si="52"/>
        <v>0</v>
      </c>
      <c r="BL128" s="317"/>
      <c r="BM128" s="317"/>
      <c r="BN128" s="317"/>
      <c r="BO128" s="317"/>
      <c r="BP128" s="317"/>
      <c r="BQ128" s="317"/>
      <c r="BR128" s="317"/>
      <c r="BS128" s="317"/>
      <c r="BT128" s="317"/>
      <c r="BU128" s="317"/>
      <c r="BV128" s="317"/>
      <c r="BW128" s="317"/>
      <c r="BX128" s="317"/>
      <c r="BY128" s="317"/>
      <c r="BZ128" s="317"/>
      <c r="CA128" s="317"/>
      <c r="CB128" s="317"/>
      <c r="CC128" s="317"/>
      <c r="CD128" s="317"/>
      <c r="CE128" s="317"/>
      <c r="CF128" s="317"/>
      <c r="CG128" s="317"/>
      <c r="CH128" s="317"/>
      <c r="CI128" s="317"/>
      <c r="CM128" s="1139">
        <v>0</v>
      </c>
      <c r="CN128" s="1139">
        <v>0</v>
      </c>
      <c r="CP128" s="923">
        <f t="shared" si="47"/>
        <v>0</v>
      </c>
      <c r="CZ128" s="330"/>
    </row>
    <row r="129" spans="1:104" ht="25.5" customHeight="1" x14ac:dyDescent="0.25">
      <c r="A129" s="684">
        <f>MAX($A$6:A128)+1</f>
        <v>129</v>
      </c>
      <c r="B129" s="11" t="s">
        <v>42</v>
      </c>
      <c r="C129" s="11" t="str">
        <f t="shared" si="59"/>
        <v>SCF</v>
      </c>
      <c r="D129" s="11"/>
      <c r="E129" s="7" t="s">
        <v>1070</v>
      </c>
      <c r="F129" s="15"/>
      <c r="G129" s="1254" t="s">
        <v>326</v>
      </c>
      <c r="H129" s="6">
        <v>0</v>
      </c>
      <c r="I129" s="6">
        <v>0</v>
      </c>
      <c r="J129" s="1257" t="s">
        <v>1070</v>
      </c>
      <c r="K129" s="251">
        <f>SUMIF('alb SCF'!$A:$A,$J129,'alb SCF'!$C:$C)</f>
        <v>0</v>
      </c>
      <c r="L129" s="251">
        <f>SUMIF('alb SCF'!$A:$A,$J129,'alb SCF'!$G:$G)</f>
        <v>0</v>
      </c>
      <c r="M129" s="252"/>
      <c r="N129" s="273">
        <f t="shared" si="61"/>
        <v>0</v>
      </c>
      <c r="O129" s="12"/>
      <c r="P129" s="12"/>
      <c r="Q129" s="12"/>
      <c r="S129" s="6">
        <f t="shared" si="68"/>
        <v>0</v>
      </c>
      <c r="T129" s="273">
        <f t="shared" si="65"/>
        <v>0</v>
      </c>
      <c r="U129" s="251">
        <f t="shared" si="66"/>
        <v>0</v>
      </c>
      <c r="V129" s="251"/>
      <c r="W129" s="251">
        <f t="shared" si="67"/>
        <v>0</v>
      </c>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X129" s="6"/>
      <c r="AY129" s="6">
        <f>ROUND(AX129/1000/Update!$B$31*Update!$B$27,0)</f>
        <v>0</v>
      </c>
      <c r="BA129" s="6"/>
      <c r="BB129" s="6">
        <f>ROUND(BA129/1000/Update!$B$31,0)</f>
        <v>0</v>
      </c>
      <c r="BC129" s="6"/>
      <c r="BD129" s="29">
        <f t="shared" si="69"/>
        <v>0</v>
      </c>
      <c r="BE129" s="317"/>
      <c r="BF129" s="1191"/>
      <c r="BG129" s="317"/>
      <c r="BH129" s="317"/>
      <c r="BI129" s="317"/>
      <c r="BJ129" s="317"/>
      <c r="BK129" s="327">
        <f t="shared" si="52"/>
        <v>0</v>
      </c>
      <c r="BL129" s="317"/>
      <c r="BM129" s="317"/>
      <c r="BN129" s="317"/>
      <c r="BO129" s="317"/>
      <c r="BP129" s="317"/>
      <c r="BQ129" s="317"/>
      <c r="BR129" s="317"/>
      <c r="BS129" s="317"/>
      <c r="BT129" s="317"/>
      <c r="BU129" s="317"/>
      <c r="BV129" s="317"/>
      <c r="BW129" s="317"/>
      <c r="BX129" s="317"/>
      <c r="BY129" s="317"/>
      <c r="BZ129" s="317"/>
      <c r="CA129" s="317"/>
      <c r="CB129" s="317"/>
      <c r="CC129" s="317"/>
      <c r="CD129" s="317"/>
      <c r="CE129" s="317"/>
      <c r="CF129" s="317"/>
      <c r="CG129" s="317"/>
      <c r="CH129" s="317"/>
      <c r="CI129" s="317"/>
      <c r="CM129" s="1139">
        <v>0</v>
      </c>
      <c r="CN129" s="1139">
        <v>0</v>
      </c>
      <c r="CP129" s="923">
        <f t="shared" si="47"/>
        <v>0</v>
      </c>
      <c r="CZ129" s="330"/>
    </row>
    <row r="130" spans="1:104" ht="25.5" customHeight="1" x14ac:dyDescent="0.25">
      <c r="A130" s="684">
        <f>MAX($A$6:A129)+1</f>
        <v>130</v>
      </c>
      <c r="B130" s="11" t="s">
        <v>42</v>
      </c>
      <c r="C130" s="11" t="str">
        <f t="shared" si="59"/>
        <v>SCF</v>
      </c>
      <c r="D130" s="11"/>
      <c r="E130" s="7" t="s">
        <v>360</v>
      </c>
      <c r="F130" s="15"/>
      <c r="G130" s="1254" t="s">
        <v>360</v>
      </c>
      <c r="H130" s="6">
        <v>0</v>
      </c>
      <c r="I130" s="6">
        <v>0</v>
      </c>
      <c r="J130" s="1257" t="s">
        <v>360</v>
      </c>
      <c r="K130" s="251">
        <f>SUMIF('alb SCF'!$A:$A,$J130,'alb SCF'!$C:$C)</f>
        <v>0</v>
      </c>
      <c r="L130" s="251">
        <f>SUMIF('alb SCF'!$A:$A,$J130,'alb SCF'!$G:$G)</f>
        <v>0</v>
      </c>
      <c r="M130" s="252"/>
      <c r="N130" s="273">
        <f t="shared" si="61"/>
        <v>0</v>
      </c>
      <c r="O130" s="12"/>
      <c r="P130" s="12"/>
      <c r="Q130" s="12"/>
      <c r="S130" s="6">
        <f t="shared" si="68"/>
        <v>0</v>
      </c>
      <c r="T130" s="273">
        <f t="shared" si="65"/>
        <v>0</v>
      </c>
      <c r="U130" s="6">
        <f t="shared" si="66"/>
        <v>0</v>
      </c>
      <c r="V130" s="6"/>
      <c r="W130" s="6">
        <f t="shared" si="67"/>
        <v>0</v>
      </c>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X130" s="6"/>
      <c r="AY130" s="6">
        <f>ROUND(AX130/1000/Update!$B$31*Update!$B$27,0)</f>
        <v>0</v>
      </c>
      <c r="BA130" s="6"/>
      <c r="BB130" s="6">
        <f>ROUND(BA130/1000/Update!$B$31,0)</f>
        <v>0</v>
      </c>
      <c r="BC130" s="6"/>
      <c r="BD130" s="29">
        <f t="shared" si="69"/>
        <v>0</v>
      </c>
      <c r="BE130" s="317"/>
      <c r="BF130" s="317"/>
      <c r="BG130" s="317"/>
      <c r="BH130" s="317"/>
      <c r="BI130" s="317"/>
      <c r="BJ130" s="317"/>
      <c r="BK130" s="327">
        <f t="shared" si="52"/>
        <v>0</v>
      </c>
      <c r="BL130" s="317"/>
      <c r="BM130" s="317"/>
      <c r="BN130" s="317"/>
      <c r="BO130" s="317"/>
      <c r="BP130" s="317"/>
      <c r="BQ130" s="317"/>
      <c r="BR130" s="317"/>
      <c r="BS130" s="317"/>
      <c r="BT130" s="317"/>
      <c r="BU130" s="317"/>
      <c r="BV130" s="317"/>
      <c r="BW130" s="317"/>
      <c r="BX130" s="317"/>
      <c r="BY130" s="317"/>
      <c r="BZ130" s="317"/>
      <c r="CA130" s="317"/>
      <c r="CB130" s="317"/>
      <c r="CC130" s="317"/>
      <c r="CD130" s="317"/>
      <c r="CE130" s="317"/>
      <c r="CF130" s="317"/>
      <c r="CG130" s="317"/>
      <c r="CH130" s="317"/>
      <c r="CI130" s="317"/>
      <c r="CM130" s="1139">
        <v>0</v>
      </c>
      <c r="CN130" s="1139">
        <v>0</v>
      </c>
      <c r="CP130" s="923">
        <f t="shared" si="47"/>
        <v>0</v>
      </c>
      <c r="CZ130" s="330"/>
    </row>
    <row r="131" spans="1:104" ht="15" customHeight="1" x14ac:dyDescent="0.25">
      <c r="A131" s="684">
        <f>MAX($A$6:A130)+1</f>
        <v>131</v>
      </c>
      <c r="B131" s="11" t="s">
        <v>42</v>
      </c>
      <c r="C131" s="11" t="str">
        <f t="shared" si="59"/>
        <v>SCF</v>
      </c>
      <c r="D131" s="11"/>
      <c r="E131" s="7" t="s">
        <v>361</v>
      </c>
      <c r="F131" s="15"/>
      <c r="G131" s="1254" t="s">
        <v>361</v>
      </c>
      <c r="H131" s="6">
        <v>0</v>
      </c>
      <c r="I131" s="6">
        <v>0</v>
      </c>
      <c r="J131" s="1257" t="s">
        <v>361</v>
      </c>
      <c r="K131" s="251">
        <f>SUMIF('alb SCF'!$A:$A,$J131,'alb SCF'!$C:$C)</f>
        <v>0</v>
      </c>
      <c r="L131" s="251">
        <f>SUMIF('alb SCF'!$A:$A,$J131,'alb SCF'!$G:$G)</f>
        <v>0</v>
      </c>
      <c r="M131" s="252"/>
      <c r="N131" s="273">
        <f t="shared" si="61"/>
        <v>0</v>
      </c>
      <c r="O131" s="12"/>
      <c r="P131" s="12"/>
      <c r="Q131" s="12"/>
      <c r="R131" s="12"/>
      <c r="S131" s="6">
        <f t="shared" si="68"/>
        <v>0</v>
      </c>
      <c r="T131" s="273">
        <f t="shared" si="65"/>
        <v>0</v>
      </c>
      <c r="U131" s="6">
        <f t="shared" si="66"/>
        <v>0</v>
      </c>
      <c r="V131" s="6"/>
      <c r="W131" s="6">
        <f t="shared" si="67"/>
        <v>0</v>
      </c>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X131" s="6"/>
      <c r="AY131" s="6">
        <f>ROUND(AX131/1000/Update!$B$31*Update!$B$27,0)</f>
        <v>0</v>
      </c>
      <c r="BA131" s="6"/>
      <c r="BB131" s="6">
        <f>ROUND(BA131/1000/Update!$B$31,0)</f>
        <v>0</v>
      </c>
      <c r="BC131" s="6"/>
      <c r="BD131" s="29">
        <f t="shared" si="69"/>
        <v>0</v>
      </c>
      <c r="BE131" s="317"/>
      <c r="BF131" s="317"/>
      <c r="BG131" s="317"/>
      <c r="BH131" s="317"/>
      <c r="BI131" s="317"/>
      <c r="BJ131" s="317"/>
      <c r="BK131" s="327">
        <f t="shared" si="52"/>
        <v>0</v>
      </c>
      <c r="BL131" s="317"/>
      <c r="BM131" s="317"/>
      <c r="BN131" s="317"/>
      <c r="BO131" s="317"/>
      <c r="BP131" s="317"/>
      <c r="BQ131" s="317"/>
      <c r="BR131" s="317"/>
      <c r="BS131" s="317"/>
      <c r="BT131" s="317"/>
      <c r="BU131" s="317"/>
      <c r="BV131" s="317"/>
      <c r="BW131" s="317"/>
      <c r="BX131" s="317"/>
      <c r="BY131" s="317"/>
      <c r="BZ131" s="317"/>
      <c r="CA131" s="317"/>
      <c r="CB131" s="317"/>
      <c r="CC131" s="317"/>
      <c r="CD131" s="317"/>
      <c r="CE131" s="317"/>
      <c r="CF131" s="317"/>
      <c r="CG131" s="317"/>
      <c r="CH131" s="317"/>
      <c r="CI131" s="317"/>
      <c r="CM131" s="1139">
        <v>0</v>
      </c>
      <c r="CN131" s="1139">
        <v>0</v>
      </c>
      <c r="CP131" s="923">
        <f t="shared" si="47"/>
        <v>0</v>
      </c>
      <c r="CZ131" s="330"/>
    </row>
    <row r="132" spans="1:104" ht="15" customHeight="1" x14ac:dyDescent="0.25">
      <c r="A132" s="701">
        <f>MAX($A$6:A131)+1</f>
        <v>132</v>
      </c>
      <c r="B132" s="18" t="s">
        <v>42</v>
      </c>
      <c r="C132" s="18" t="str">
        <f t="shared" si="59"/>
        <v>SCF</v>
      </c>
      <c r="D132" s="18"/>
      <c r="E132" s="17" t="s">
        <v>102</v>
      </c>
      <c r="F132" s="14"/>
      <c r="G132" s="254"/>
      <c r="H132" s="14">
        <f>SUM(H120:H131)</f>
        <v>0</v>
      </c>
      <c r="I132" s="14">
        <f>SUM(I120:I131)</f>
        <v>0</v>
      </c>
      <c r="J132" s="1258" t="s">
        <v>286</v>
      </c>
      <c r="K132" s="256">
        <f>SUM(K120:K131)</f>
        <v>0</v>
      </c>
      <c r="L132" s="256">
        <f>SUM(L120:L131)</f>
        <v>0</v>
      </c>
      <c r="M132" s="14"/>
      <c r="N132" s="14">
        <f t="shared" ref="N132:V132" si="70">SUM(N120:N131)</f>
        <v>0</v>
      </c>
      <c r="O132" s="14">
        <f t="shared" si="70"/>
        <v>0</v>
      </c>
      <c r="P132" s="14">
        <f t="shared" si="70"/>
        <v>0</v>
      </c>
      <c r="Q132" s="14">
        <f t="shared" si="70"/>
        <v>0</v>
      </c>
      <c r="R132" s="14">
        <f t="shared" si="70"/>
        <v>0</v>
      </c>
      <c r="S132" s="14">
        <f t="shared" si="68"/>
        <v>0</v>
      </c>
      <c r="T132" s="14">
        <f t="shared" si="70"/>
        <v>0</v>
      </c>
      <c r="U132" s="14">
        <f t="shared" si="70"/>
        <v>0</v>
      </c>
      <c r="V132" s="14">
        <f t="shared" si="70"/>
        <v>0</v>
      </c>
      <c r="W132" s="14">
        <f>SUM(W121:W131)</f>
        <v>0</v>
      </c>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2"/>
      <c r="AX132" s="14">
        <f>SUM(AX120:AX131)</f>
        <v>0</v>
      </c>
      <c r="AY132" s="14">
        <f>ROUND(AX132/1000/Update!$B$31*Update!$B$27,0)</f>
        <v>0</v>
      </c>
      <c r="AZ132" s="2"/>
      <c r="BA132" s="14">
        <f>SUM(BA120:BA131)</f>
        <v>0</v>
      </c>
      <c r="BB132" s="14">
        <f>ROUND(BA132/1000/Update!$B$31,0)</f>
        <v>0</v>
      </c>
      <c r="BC132" s="14"/>
      <c r="BD132" s="14">
        <f t="shared" ref="BD132:BJ132" si="71">SUM(BD120:BD131)</f>
        <v>0</v>
      </c>
      <c r="BE132" s="14">
        <f t="shared" si="71"/>
        <v>0</v>
      </c>
      <c r="BF132" s="14">
        <f t="shared" si="71"/>
        <v>0</v>
      </c>
      <c r="BG132" s="14">
        <f t="shared" si="71"/>
        <v>0</v>
      </c>
      <c r="BH132" s="14">
        <f t="shared" si="71"/>
        <v>0</v>
      </c>
      <c r="BI132" s="14">
        <f t="shared" si="71"/>
        <v>0</v>
      </c>
      <c r="BJ132" s="14">
        <f t="shared" si="71"/>
        <v>0</v>
      </c>
      <c r="BK132" s="14">
        <f t="shared" si="52"/>
        <v>0</v>
      </c>
      <c r="BL132" s="318"/>
      <c r="BM132" s="318"/>
      <c r="BN132" s="318"/>
      <c r="BO132" s="318"/>
      <c r="BP132" s="318"/>
      <c r="BQ132" s="318"/>
      <c r="BR132" s="318"/>
      <c r="BS132" s="318"/>
      <c r="BT132" s="318"/>
      <c r="BU132" s="318"/>
      <c r="BV132" s="318"/>
      <c r="BW132" s="318"/>
      <c r="BX132" s="318"/>
      <c r="BY132" s="318"/>
      <c r="BZ132" s="318"/>
      <c r="CA132" s="318"/>
      <c r="CB132" s="318"/>
      <c r="CC132" s="318"/>
      <c r="CD132" s="318"/>
      <c r="CE132" s="318"/>
      <c r="CF132" s="318"/>
      <c r="CG132" s="318"/>
      <c r="CH132" s="318"/>
      <c r="CI132" s="318"/>
      <c r="CJ132" s="2"/>
      <c r="CK132" s="2"/>
      <c r="CM132" s="1140">
        <v>0</v>
      </c>
      <c r="CN132" s="1140">
        <v>159</v>
      </c>
      <c r="CP132" s="923">
        <f t="shared" si="47"/>
        <v>0</v>
      </c>
      <c r="CZ132" s="330"/>
    </row>
    <row r="133" spans="1:104" ht="15" customHeight="1" x14ac:dyDescent="0.25">
      <c r="A133" s="684">
        <f>MAX($A$6:A132)+1</f>
        <v>133</v>
      </c>
      <c r="B133" s="11" t="s">
        <v>42</v>
      </c>
      <c r="C133" s="11" t="str">
        <f t="shared" si="59"/>
        <v>SCF</v>
      </c>
      <c r="D133" s="11"/>
      <c r="E133" s="13" t="s">
        <v>103</v>
      </c>
      <c r="F133" s="15"/>
      <c r="G133" s="26"/>
      <c r="H133" s="6"/>
      <c r="I133" s="6"/>
      <c r="J133" s="1257" t="s">
        <v>286</v>
      </c>
      <c r="K133" s="251">
        <f>SUMIF('alb SCF'!$A:$A,$J133,'alb SCF'!$C:$C)</f>
        <v>0</v>
      </c>
      <c r="L133" s="251">
        <f>SUMIF('alb SCF'!$A:$A,$J133,'alb SCF'!$G:$G)</f>
        <v>0</v>
      </c>
      <c r="M133" s="252"/>
      <c r="N133" s="273">
        <f t="shared" si="61"/>
        <v>0</v>
      </c>
      <c r="O133" s="12"/>
      <c r="P133" s="12"/>
      <c r="Q133" s="12"/>
      <c r="R133" s="12"/>
      <c r="S133" s="6">
        <f t="shared" si="68"/>
        <v>0</v>
      </c>
      <c r="T133" s="273">
        <f t="shared" ref="T133:T138" si="72">ROUND(SUM(U133:Y133),0)</f>
        <v>0</v>
      </c>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X133" s="6"/>
      <c r="AY133" s="6">
        <f>ROUND(AX133/1000/Update!$B$31*Update!$B$27,0)</f>
        <v>0</v>
      </c>
      <c r="BA133" s="6"/>
      <c r="BB133" s="6">
        <f>ROUND(BA133/1000/Update!$B$31,0)</f>
        <v>0</v>
      </c>
      <c r="BC133" s="6"/>
      <c r="BD133" s="29">
        <f t="shared" si="69"/>
        <v>0</v>
      </c>
      <c r="BE133" s="317"/>
      <c r="BF133" s="317"/>
      <c r="BG133" s="317"/>
      <c r="BH133" s="317"/>
      <c r="BI133" s="317"/>
      <c r="BJ133" s="317"/>
      <c r="BK133" s="327">
        <f t="shared" si="52"/>
        <v>0</v>
      </c>
      <c r="BL133" s="317"/>
      <c r="BM133" s="317"/>
      <c r="BN133" s="317"/>
      <c r="BO133" s="317"/>
      <c r="BP133" s="317"/>
      <c r="BQ133" s="317"/>
      <c r="BR133" s="317"/>
      <c r="BS133" s="317"/>
      <c r="BT133" s="317"/>
      <c r="BU133" s="317"/>
      <c r="BV133" s="317"/>
      <c r="BW133" s="317"/>
      <c r="BX133" s="317"/>
      <c r="BY133" s="317"/>
      <c r="BZ133" s="317"/>
      <c r="CA133" s="317"/>
      <c r="CB133" s="317"/>
      <c r="CC133" s="317"/>
      <c r="CD133" s="317"/>
      <c r="CE133" s="317"/>
      <c r="CF133" s="317"/>
      <c r="CG133" s="317"/>
      <c r="CH133" s="317"/>
      <c r="CI133" s="317"/>
      <c r="CM133" s="1139">
        <v>0</v>
      </c>
      <c r="CN133" s="1139">
        <v>0</v>
      </c>
      <c r="CP133" s="923">
        <f t="shared" si="47"/>
        <v>0</v>
      </c>
      <c r="CZ133" s="330"/>
    </row>
    <row r="134" spans="1:104" ht="30" customHeight="1" x14ac:dyDescent="0.25">
      <c r="A134" s="684">
        <f>MAX($A$6:A133)+1</f>
        <v>134</v>
      </c>
      <c r="B134" s="11" t="s">
        <v>42</v>
      </c>
      <c r="C134" s="11" t="str">
        <f t="shared" si="59"/>
        <v>SCF</v>
      </c>
      <c r="D134" s="11"/>
      <c r="E134" s="7" t="s">
        <v>104</v>
      </c>
      <c r="F134" s="15"/>
      <c r="G134" s="1254" t="s">
        <v>104</v>
      </c>
      <c r="H134" s="6">
        <v>0</v>
      </c>
      <c r="I134" s="6">
        <v>0</v>
      </c>
      <c r="J134" s="1253" t="s">
        <v>286</v>
      </c>
      <c r="K134" s="251">
        <f>SUMIF('alb SCF'!$A:$A,$J134,'alb SCF'!$C:$C)</f>
        <v>0</v>
      </c>
      <c r="L134" s="251">
        <f>SUMIF('alb SCF'!$A:$A,$J134,'alb SCF'!$G:$G)</f>
        <v>0</v>
      </c>
      <c r="M134" s="252" t="s">
        <v>105</v>
      </c>
      <c r="N134" s="273">
        <f t="shared" si="61"/>
        <v>0</v>
      </c>
      <c r="O134" s="12"/>
      <c r="P134" s="12"/>
      <c r="Q134" s="12"/>
      <c r="R134" s="1533">
        <f>+V134</f>
        <v>0</v>
      </c>
      <c r="S134" s="6">
        <f t="shared" si="68"/>
        <v>0</v>
      </c>
      <c r="T134" s="273">
        <f t="shared" si="72"/>
        <v>0</v>
      </c>
      <c r="U134" s="6">
        <f>SUM(BL134:BN134)</f>
        <v>0</v>
      </c>
      <c r="V134" s="1533">
        <f>-V179</f>
        <v>0</v>
      </c>
      <c r="W134" s="6">
        <f>+H134</f>
        <v>0</v>
      </c>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X134" s="6"/>
      <c r="AY134" s="6">
        <f>ROUND(AX134/1000/Update!$B$31*Update!$B$27,0)</f>
        <v>0</v>
      </c>
      <c r="BA134" s="6"/>
      <c r="BB134" s="6">
        <f>ROUND(BA134/1000/Update!$B$31,0)</f>
        <v>0</v>
      </c>
      <c r="BC134" s="6"/>
      <c r="BD134" s="29">
        <f t="shared" si="69"/>
        <v>0</v>
      </c>
      <c r="BE134" s="317"/>
      <c r="BF134" s="317"/>
      <c r="BG134" s="317"/>
      <c r="BH134" s="317"/>
      <c r="BI134" s="317"/>
      <c r="BJ134" s="317"/>
      <c r="BK134" s="327">
        <f t="shared" si="52"/>
        <v>0</v>
      </c>
      <c r="BL134" s="317"/>
      <c r="BM134" s="317"/>
      <c r="BN134" s="317"/>
      <c r="BO134" s="317"/>
      <c r="BP134" s="317"/>
      <c r="BQ134" s="317"/>
      <c r="BR134" s="317"/>
      <c r="BS134" s="317"/>
      <c r="BT134" s="317"/>
      <c r="BU134" s="317"/>
      <c r="BV134" s="317"/>
      <c r="BW134" s="317"/>
      <c r="BX134" s="317"/>
      <c r="BY134" s="317"/>
      <c r="BZ134" s="317"/>
      <c r="CA134" s="317"/>
      <c r="CB134" s="317"/>
      <c r="CC134" s="317"/>
      <c r="CD134" s="317"/>
      <c r="CE134" s="317"/>
      <c r="CF134" s="317"/>
      <c r="CG134" s="317"/>
      <c r="CH134" s="317"/>
      <c r="CI134" s="317"/>
      <c r="CM134" s="1139">
        <v>1268199.5</v>
      </c>
      <c r="CN134" s="1139">
        <v>0</v>
      </c>
      <c r="CP134" s="923">
        <f t="shared" si="47"/>
        <v>1268199.5</v>
      </c>
      <c r="CZ134" s="330"/>
    </row>
    <row r="135" spans="1:104" ht="30" customHeight="1" x14ac:dyDescent="0.25">
      <c r="A135" s="684">
        <f>MAX($A$6:A134)+1</f>
        <v>135</v>
      </c>
      <c r="B135" s="11" t="s">
        <v>42</v>
      </c>
      <c r="C135" s="11" t="str">
        <f t="shared" si="59"/>
        <v>SCF</v>
      </c>
      <c r="D135" s="11"/>
      <c r="E135" s="7" t="s">
        <v>106</v>
      </c>
      <c r="F135" s="15"/>
      <c r="G135" s="1254" t="s">
        <v>106</v>
      </c>
      <c r="H135" s="6">
        <v>0</v>
      </c>
      <c r="I135" s="6">
        <v>0</v>
      </c>
      <c r="J135" s="1253" t="s">
        <v>286</v>
      </c>
      <c r="K135" s="251">
        <f>SUMIF('alb SCF'!$A:$A,$J135,'alb SCF'!$C:$C)</f>
        <v>0</v>
      </c>
      <c r="L135" s="251">
        <f>SUMIF('alb SCF'!$A:$A,$J135,'alb SCF'!$G:$G)</f>
        <v>0</v>
      </c>
      <c r="M135" s="252" t="s">
        <v>105</v>
      </c>
      <c r="N135" s="273">
        <f t="shared" si="61"/>
        <v>0</v>
      </c>
      <c r="O135" s="12"/>
      <c r="P135" s="12"/>
      <c r="Q135" s="12"/>
      <c r="R135" s="12"/>
      <c r="S135" s="6">
        <f t="shared" si="68"/>
        <v>0</v>
      </c>
      <c r="T135" s="273">
        <f t="shared" si="72"/>
        <v>0</v>
      </c>
      <c r="U135" s="6">
        <f>SUM(BL135:BN135)</f>
        <v>0</v>
      </c>
      <c r="V135" s="12"/>
      <c r="W135" s="6">
        <f>+H135</f>
        <v>0</v>
      </c>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X135" s="6"/>
      <c r="AY135" s="6">
        <f>ROUND(AX135/1000/Update!$B$31*Update!$B$27,0)</f>
        <v>0</v>
      </c>
      <c r="BA135" s="6"/>
      <c r="BB135" s="6">
        <f>ROUND(BA135/1000/Update!$B$31,0)</f>
        <v>0</v>
      </c>
      <c r="BC135" s="6"/>
      <c r="BD135" s="29">
        <f t="shared" si="69"/>
        <v>0</v>
      </c>
      <c r="BE135" s="317"/>
      <c r="BF135" s="317"/>
      <c r="BG135" s="317"/>
      <c r="BH135" s="317"/>
      <c r="BI135" s="317"/>
      <c r="BJ135" s="317"/>
      <c r="BK135" s="327">
        <f t="shared" si="52"/>
        <v>0</v>
      </c>
      <c r="BL135" s="317"/>
      <c r="BM135" s="317"/>
      <c r="BN135" s="317"/>
      <c r="BO135" s="317"/>
      <c r="BP135" s="317"/>
      <c r="BQ135" s="317"/>
      <c r="BR135" s="317"/>
      <c r="BS135" s="317"/>
      <c r="BT135" s="317"/>
      <c r="BU135" s="317"/>
      <c r="BV135" s="317"/>
      <c r="BW135" s="317"/>
      <c r="BX135" s="317"/>
      <c r="BY135" s="317"/>
      <c r="BZ135" s="317"/>
      <c r="CA135" s="317"/>
      <c r="CB135" s="317"/>
      <c r="CC135" s="317"/>
      <c r="CD135" s="317"/>
      <c r="CE135" s="317"/>
      <c r="CF135" s="317"/>
      <c r="CG135" s="317"/>
      <c r="CH135" s="317"/>
      <c r="CI135" s="317"/>
      <c r="CM135" s="1139">
        <v>0</v>
      </c>
      <c r="CN135" s="1139">
        <v>0</v>
      </c>
      <c r="CP135" s="923">
        <f t="shared" si="47"/>
        <v>0</v>
      </c>
      <c r="CZ135" s="330"/>
    </row>
    <row r="136" spans="1:104" ht="15" customHeight="1" x14ac:dyDescent="0.25">
      <c r="A136" s="684">
        <f>MAX($A$6:A135)+1</f>
        <v>136</v>
      </c>
      <c r="B136" s="11" t="s">
        <v>42</v>
      </c>
      <c r="C136" s="11" t="str">
        <f t="shared" si="59"/>
        <v>SCF</v>
      </c>
      <c r="D136" s="11"/>
      <c r="E136" s="7" t="s">
        <v>759</v>
      </c>
      <c r="F136" s="15"/>
      <c r="G136" s="1254" t="s">
        <v>359</v>
      </c>
      <c r="H136" s="6">
        <v>0</v>
      </c>
      <c r="I136" s="6">
        <v>0</v>
      </c>
      <c r="J136" s="1257" t="s">
        <v>759</v>
      </c>
      <c r="K136" s="251">
        <f>SUMIF('alb SCF'!$A:$A,$J136,'alb SCF'!$C:$C)</f>
        <v>0</v>
      </c>
      <c r="L136" s="251">
        <f>SUMIF('alb SCF'!$A:$A,$J136,'alb SCF'!$G:$G)</f>
        <v>0</v>
      </c>
      <c r="M136" s="252"/>
      <c r="N136" s="273">
        <f t="shared" si="61"/>
        <v>0</v>
      </c>
      <c r="O136" s="12"/>
      <c r="P136" s="12"/>
      <c r="Q136" s="12"/>
      <c r="R136" s="1533">
        <f>+V136</f>
        <v>0</v>
      </c>
      <c r="S136" s="6">
        <f t="shared" si="68"/>
        <v>0</v>
      </c>
      <c r="T136" s="273">
        <f t="shared" si="72"/>
        <v>0</v>
      </c>
      <c r="U136" s="6">
        <f>SUM(BL136:BN136)</f>
        <v>0</v>
      </c>
      <c r="V136" s="1533">
        <f>-V180</f>
        <v>0</v>
      </c>
      <c r="W136" s="6">
        <f>+H136</f>
        <v>0</v>
      </c>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X136" s="6"/>
      <c r="AY136" s="6">
        <f>ROUND(AX136/1000/Update!$B$31*Update!$B$27,0)</f>
        <v>0</v>
      </c>
      <c r="BA136" s="6"/>
      <c r="BB136" s="6">
        <f>ROUND(BA136/1000/Update!$B$31,0)</f>
        <v>0</v>
      </c>
      <c r="BC136" s="6"/>
      <c r="BD136" s="29">
        <f>ROUND(SUM(BE136:BK136),0)</f>
        <v>0</v>
      </c>
      <c r="BE136" s="317"/>
      <c r="BF136" s="317"/>
      <c r="BG136" s="1191"/>
      <c r="BH136" s="1191"/>
      <c r="BI136" s="1522">
        <f>-BI14</f>
        <v>0</v>
      </c>
      <c r="BJ136" s="317"/>
      <c r="BK136" s="327">
        <f t="shared" si="52"/>
        <v>0</v>
      </c>
      <c r="BL136" s="317"/>
      <c r="BM136" s="317"/>
      <c r="BN136" s="317"/>
      <c r="BO136" s="317"/>
      <c r="BP136" s="317"/>
      <c r="BQ136" s="317"/>
      <c r="BR136" s="317"/>
      <c r="BS136" s="317"/>
      <c r="BT136" s="317"/>
      <c r="BU136" s="317"/>
      <c r="BV136" s="317"/>
      <c r="BW136" s="317"/>
      <c r="BX136" s="317"/>
      <c r="BY136" s="317"/>
      <c r="BZ136" s="317"/>
      <c r="CA136" s="317"/>
      <c r="CB136" s="317"/>
      <c r="CC136" s="317"/>
      <c r="CD136" s="317"/>
      <c r="CE136" s="317"/>
      <c r="CF136" s="317"/>
      <c r="CG136" s="317"/>
      <c r="CH136" s="317"/>
      <c r="CI136" s="317"/>
      <c r="CM136" s="1139">
        <v>-1268201.5</v>
      </c>
      <c r="CN136" s="1139">
        <v>7541911</v>
      </c>
      <c r="CP136" s="923">
        <f t="shared" ref="CP136:CP199" si="73">-V136+BL136+BM136+BN136+CM136</f>
        <v>-1268201.5</v>
      </c>
      <c r="CZ136" s="330"/>
    </row>
    <row r="137" spans="1:104" ht="15" customHeight="1" x14ac:dyDescent="0.25">
      <c r="A137" s="684">
        <f>MAX($A$6:A136)+1</f>
        <v>137</v>
      </c>
      <c r="B137" s="11" t="s">
        <v>42</v>
      </c>
      <c r="C137" s="11" t="str">
        <f t="shared" si="59"/>
        <v>SCF</v>
      </c>
      <c r="D137" s="11"/>
      <c r="E137" s="7" t="s">
        <v>2178</v>
      </c>
      <c r="F137" s="15"/>
      <c r="G137" s="1254" t="s">
        <v>2178</v>
      </c>
      <c r="H137" s="6">
        <v>0</v>
      </c>
      <c r="I137" s="6">
        <v>0</v>
      </c>
      <c r="J137" s="1253" t="s">
        <v>286</v>
      </c>
      <c r="K137" s="251">
        <f>SUMIF('alb SCF'!$A:$A,$J137,'alb SCF'!$C:$C)</f>
        <v>0</v>
      </c>
      <c r="L137" s="251">
        <f>SUMIF('alb SCF'!$A:$A,$J137,'alb SCF'!$G:$G)</f>
        <v>0</v>
      </c>
      <c r="M137" s="252"/>
      <c r="N137" s="273">
        <f>ROUND(SUM(O137:S137)+SUM(W137:AV137),0)</f>
        <v>0</v>
      </c>
      <c r="O137" s="12"/>
      <c r="P137" s="12"/>
      <c r="Q137" s="12"/>
      <c r="R137" s="6">
        <f>-R181</f>
        <v>0</v>
      </c>
      <c r="S137" s="6">
        <f>-IF(ISNUMBER(BD137),BD137,0)</f>
        <v>0</v>
      </c>
      <c r="T137" s="273">
        <f>ROUND(SUM(U137:Y137),0)</f>
        <v>0</v>
      </c>
      <c r="U137" s="6">
        <f>SUM(BL137:BN137)</f>
        <v>0</v>
      </c>
      <c r="V137" s="6">
        <f>-V181</f>
        <v>0</v>
      </c>
      <c r="W137" s="6">
        <f>+H137</f>
        <v>0</v>
      </c>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X137" s="6"/>
      <c r="AY137" s="6">
        <f>ROUND(AX137/1000/Update!$B$31*Update!$B$27,0)</f>
        <v>0</v>
      </c>
      <c r="BA137" s="6"/>
      <c r="BB137" s="6">
        <f>ROUND(BA137/1000/Update!$B$31,0)</f>
        <v>0</v>
      </c>
      <c r="BC137" s="6"/>
      <c r="BD137" s="29">
        <f>ROUND(SUM(BE137:BK137),0)</f>
        <v>0</v>
      </c>
      <c r="BE137" s="317"/>
      <c r="BF137" s="317"/>
      <c r="BG137" s="1191"/>
      <c r="BH137" s="1191"/>
      <c r="BI137" s="1191">
        <v>0</v>
      </c>
      <c r="BJ137" s="317"/>
      <c r="BK137" s="327">
        <f>ROUND(SUM(BO137:CI137),0)</f>
        <v>0</v>
      </c>
      <c r="BL137" s="317"/>
      <c r="BM137" s="317"/>
      <c r="BN137" s="317"/>
      <c r="BO137" s="317"/>
      <c r="BP137" s="317"/>
      <c r="BQ137" s="317"/>
      <c r="BR137" s="317"/>
      <c r="BS137" s="317"/>
      <c r="BT137" s="317"/>
      <c r="BU137" s="317"/>
      <c r="BV137" s="317"/>
      <c r="BW137" s="317"/>
      <c r="BX137" s="317"/>
      <c r="BY137" s="317"/>
      <c r="BZ137" s="317"/>
      <c r="CA137" s="317"/>
      <c r="CB137" s="317"/>
      <c r="CC137" s="317"/>
      <c r="CD137" s="317"/>
      <c r="CE137" s="317"/>
      <c r="CF137" s="317"/>
      <c r="CG137" s="317"/>
      <c r="CH137" s="317"/>
      <c r="CI137" s="317"/>
      <c r="CM137" s="1139">
        <v>0</v>
      </c>
      <c r="CN137" s="1139">
        <v>0</v>
      </c>
      <c r="CP137" s="923">
        <f t="shared" si="73"/>
        <v>0</v>
      </c>
      <c r="CZ137" s="330"/>
    </row>
    <row r="138" spans="1:104" ht="72.75" customHeight="1" x14ac:dyDescent="0.25">
      <c r="A138" s="684">
        <f>MAX($A$6:A137)+1</f>
        <v>138</v>
      </c>
      <c r="B138" s="11" t="s">
        <v>42</v>
      </c>
      <c r="C138" s="11" t="str">
        <f t="shared" si="59"/>
        <v>SCF</v>
      </c>
      <c r="D138" s="11"/>
      <c r="E138" s="7" t="s">
        <v>2367</v>
      </c>
      <c r="F138" s="15"/>
      <c r="G138" s="1254" t="s">
        <v>2367</v>
      </c>
      <c r="H138" s="6">
        <v>0</v>
      </c>
      <c r="I138" s="6">
        <v>0</v>
      </c>
      <c r="J138" s="1257" t="s">
        <v>2366</v>
      </c>
      <c r="K138" s="251">
        <f>SUMIF('alb SCF'!$A:$A,$J138,'alb SCF'!$C:$C)</f>
        <v>0</v>
      </c>
      <c r="L138" s="251">
        <f>SUMIF('alb SCF'!$A:$A,$J138,'alb SCF'!$G:$G)</f>
        <v>0</v>
      </c>
      <c r="M138" s="252" t="s">
        <v>105</v>
      </c>
      <c r="N138" s="273">
        <f t="shared" si="61"/>
        <v>0</v>
      </c>
      <c r="O138" s="12"/>
      <c r="P138" s="12"/>
      <c r="Q138" s="12"/>
      <c r="R138" s="12"/>
      <c r="S138" s="6">
        <f t="shared" si="68"/>
        <v>0</v>
      </c>
      <c r="T138" s="273">
        <f t="shared" si="72"/>
        <v>0</v>
      </c>
      <c r="U138" s="6">
        <f>SUM(BL138:BN138)</f>
        <v>0</v>
      </c>
      <c r="V138" s="6"/>
      <c r="W138" s="6">
        <f>+H138</f>
        <v>0</v>
      </c>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X138" s="6"/>
      <c r="AY138" s="6">
        <f>ROUND(AX138/1000/Update!$B$31*Update!$B$27,0)</f>
        <v>0</v>
      </c>
      <c r="BA138" s="6"/>
      <c r="BB138" s="6">
        <f>ROUND(BA138/1000/Update!$B$31,0)</f>
        <v>0</v>
      </c>
      <c r="BC138" s="6"/>
      <c r="BD138" s="29">
        <f t="shared" si="69"/>
        <v>0</v>
      </c>
      <c r="BE138" s="317"/>
      <c r="BF138" s="317"/>
      <c r="BG138" s="317"/>
      <c r="BH138" s="317"/>
      <c r="BI138" s="317"/>
      <c r="BJ138" s="317"/>
      <c r="BK138" s="327">
        <f t="shared" si="52"/>
        <v>0</v>
      </c>
      <c r="BL138" s="317"/>
      <c r="BM138" s="317"/>
      <c r="BN138" s="317"/>
      <c r="BO138" s="317"/>
      <c r="BP138" s="317"/>
      <c r="BQ138" s="317"/>
      <c r="BR138" s="317"/>
      <c r="BS138" s="317"/>
      <c r="BT138" s="317"/>
      <c r="BU138" s="317"/>
      <c r="BV138" s="317"/>
      <c r="BW138" s="317"/>
      <c r="BX138" s="317"/>
      <c r="BY138" s="317"/>
      <c r="BZ138" s="317"/>
      <c r="CA138" s="317"/>
      <c r="CB138" s="317"/>
      <c r="CC138" s="317"/>
      <c r="CD138" s="317"/>
      <c r="CE138" s="317"/>
      <c r="CF138" s="317"/>
      <c r="CG138" s="317"/>
      <c r="CH138" s="317"/>
      <c r="CI138" s="317"/>
      <c r="CM138" s="1139">
        <v>1</v>
      </c>
      <c r="CN138" s="1139">
        <v>0</v>
      </c>
      <c r="CP138" s="923">
        <f t="shared" si="73"/>
        <v>1</v>
      </c>
      <c r="CZ138" s="330"/>
    </row>
    <row r="139" spans="1:104" ht="15" customHeight="1" x14ac:dyDescent="0.25">
      <c r="A139" s="701">
        <f>MAX($A$6:A138)+1</f>
        <v>139</v>
      </c>
      <c r="B139" s="18" t="s">
        <v>42</v>
      </c>
      <c r="C139" s="18" t="str">
        <f t="shared" si="59"/>
        <v>SCF</v>
      </c>
      <c r="D139" s="18"/>
      <c r="E139" s="17" t="s">
        <v>107</v>
      </c>
      <c r="F139" s="14"/>
      <c r="G139" s="1275"/>
      <c r="H139" s="14">
        <f>SUM(H133:H138)</f>
        <v>0</v>
      </c>
      <c r="I139" s="14">
        <f>SUM(I133:I138)</f>
        <v>0</v>
      </c>
      <c r="J139" s="1258" t="s">
        <v>286</v>
      </c>
      <c r="K139" s="256">
        <f>SUM(K133:K138)</f>
        <v>0</v>
      </c>
      <c r="L139" s="256">
        <f>SUM(L133:L138)</f>
        <v>0</v>
      </c>
      <c r="M139" s="14"/>
      <c r="N139" s="14">
        <f>SUM(N133:N138)</f>
        <v>0</v>
      </c>
      <c r="O139" s="14">
        <f>SUM(O133:O138)</f>
        <v>0</v>
      </c>
      <c r="P139" s="14">
        <f>SUM(P133:P138)</f>
        <v>0</v>
      </c>
      <c r="Q139" s="14">
        <f>SUM(Q133:Q138)</f>
        <v>0</v>
      </c>
      <c r="R139" s="14">
        <f>SUM(R133:R138)</f>
        <v>0</v>
      </c>
      <c r="S139" s="14">
        <f t="shared" si="68"/>
        <v>0</v>
      </c>
      <c r="T139" s="14">
        <f>SUM(T133:T138)</f>
        <v>0</v>
      </c>
      <c r="U139" s="14">
        <f>SUM(U133:U138)</f>
        <v>0</v>
      </c>
      <c r="V139" s="14">
        <f>SUM(V133:V138)</f>
        <v>0</v>
      </c>
      <c r="W139" s="14">
        <f>SUM(W134:W138)</f>
        <v>0</v>
      </c>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2"/>
      <c r="AX139" s="14">
        <f>SUM(AX133:AX138)</f>
        <v>0</v>
      </c>
      <c r="AY139" s="14">
        <f>ROUND(AX139/1000/Update!$B$31*Update!$B$27,0)</f>
        <v>0</v>
      </c>
      <c r="AZ139" s="2"/>
      <c r="BA139" s="14">
        <f>SUM(BA133:BA138)</f>
        <v>0</v>
      </c>
      <c r="BB139" s="14">
        <f>ROUND(BA139/1000/Update!$B$31,0)</f>
        <v>0</v>
      </c>
      <c r="BC139" s="14"/>
      <c r="BD139" s="14">
        <f>SUM(BD133:BD138)</f>
        <v>0</v>
      </c>
      <c r="BE139" s="318">
        <f t="shared" ref="BE139:BJ139" si="74">SUM(BE133:BE138)</f>
        <v>0</v>
      </c>
      <c r="BF139" s="318">
        <f t="shared" si="74"/>
        <v>0</v>
      </c>
      <c r="BG139" s="318">
        <f t="shared" si="74"/>
        <v>0</v>
      </c>
      <c r="BH139" s="318">
        <f t="shared" si="74"/>
        <v>0</v>
      </c>
      <c r="BI139" s="318">
        <f t="shared" si="74"/>
        <v>0</v>
      </c>
      <c r="BJ139" s="318">
        <f t="shared" si="74"/>
        <v>0</v>
      </c>
      <c r="BK139" s="14">
        <f t="shared" si="52"/>
        <v>0</v>
      </c>
      <c r="BL139" s="318"/>
      <c r="BM139" s="318"/>
      <c r="BN139" s="318"/>
      <c r="BO139" s="318"/>
      <c r="BP139" s="318"/>
      <c r="BQ139" s="318"/>
      <c r="BR139" s="318"/>
      <c r="BS139" s="318"/>
      <c r="BT139" s="318"/>
      <c r="BU139" s="318"/>
      <c r="BV139" s="318"/>
      <c r="BW139" s="318"/>
      <c r="BX139" s="318"/>
      <c r="BY139" s="318"/>
      <c r="BZ139" s="318"/>
      <c r="CA139" s="318"/>
      <c r="CB139" s="318"/>
      <c r="CC139" s="318"/>
      <c r="CD139" s="318"/>
      <c r="CE139" s="318"/>
      <c r="CF139" s="318"/>
      <c r="CG139" s="318"/>
      <c r="CH139" s="318"/>
      <c r="CI139" s="318"/>
      <c r="CJ139" s="2"/>
      <c r="CK139" s="2"/>
      <c r="CM139" s="1140">
        <v>-1</v>
      </c>
      <c r="CN139" s="1140">
        <v>7541911</v>
      </c>
      <c r="CP139" s="923">
        <f t="shared" si="73"/>
        <v>-1</v>
      </c>
      <c r="CZ139" s="330"/>
    </row>
    <row r="140" spans="1:104" ht="60" customHeight="1" x14ac:dyDescent="0.25">
      <c r="A140" s="701">
        <f>MAX($A$6:A139)+1</f>
        <v>140</v>
      </c>
      <c r="B140" s="18" t="s">
        <v>42</v>
      </c>
      <c r="C140" s="18" t="str">
        <f t="shared" si="59"/>
        <v>SCF</v>
      </c>
      <c r="D140" s="18"/>
      <c r="E140" s="270" t="s">
        <v>275</v>
      </c>
      <c r="F140" s="14"/>
      <c r="G140" s="1275"/>
      <c r="H140" s="14">
        <f>H119+H139+H132</f>
        <v>-22354</v>
      </c>
      <c r="I140" s="14">
        <f>I119+I139+I132</f>
        <v>6054</v>
      </c>
      <c r="J140" s="1258" t="s">
        <v>286</v>
      </c>
      <c r="K140" s="256">
        <f>K119+K139+K132</f>
        <v>0</v>
      </c>
      <c r="L140" s="256">
        <f>L119+L139+L132</f>
        <v>0</v>
      </c>
      <c r="M140" s="14"/>
      <c r="N140" s="14">
        <f>N119+N139+N132</f>
        <v>-22354</v>
      </c>
      <c r="O140" s="14">
        <f>O119+O139+O132</f>
        <v>0</v>
      </c>
      <c r="P140" s="14">
        <f>P119+P139+P132</f>
        <v>0</v>
      </c>
      <c r="Q140" s="14">
        <f>Q119+Q139+Q132</f>
        <v>0</v>
      </c>
      <c r="R140" s="14">
        <f>R119+R139+R132</f>
        <v>0</v>
      </c>
      <c r="S140" s="14"/>
      <c r="T140" s="14">
        <f>T119+T139+T132</f>
        <v>-22354</v>
      </c>
      <c r="U140" s="14">
        <f>U119+U139+U132</f>
        <v>0</v>
      </c>
      <c r="V140" s="14">
        <f>V119+V139+V132</f>
        <v>0</v>
      </c>
      <c r="W140" s="14">
        <f>W119+W139+W132</f>
        <v>-22354</v>
      </c>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2"/>
      <c r="AX140" s="14">
        <f>AX119+AX139+AX132</f>
        <v>0</v>
      </c>
      <c r="AY140" s="14">
        <f>ROUND(AX140/1000/Update!$B$31*Update!$B$27,0)</f>
        <v>0</v>
      </c>
      <c r="AZ140" s="2"/>
      <c r="BA140" s="14">
        <f>BA119+BA139+BA132</f>
        <v>0</v>
      </c>
      <c r="BB140" s="14">
        <f>ROUND(BA140/1000/Update!$B$31,0)</f>
        <v>0</v>
      </c>
      <c r="BC140" s="14"/>
      <c r="BD140" s="14">
        <f>BD119+BD139+BD132</f>
        <v>0</v>
      </c>
      <c r="BE140" s="318">
        <f t="shared" ref="BE140:BJ140" si="75">BE119+BE139+BE132</f>
        <v>0</v>
      </c>
      <c r="BF140" s="318">
        <f t="shared" si="75"/>
        <v>0</v>
      </c>
      <c r="BG140" s="318">
        <f t="shared" si="75"/>
        <v>0</v>
      </c>
      <c r="BH140" s="318">
        <f t="shared" si="75"/>
        <v>0</v>
      </c>
      <c r="BI140" s="318">
        <f t="shared" si="75"/>
        <v>0</v>
      </c>
      <c r="BJ140" s="318">
        <f t="shared" si="75"/>
        <v>0</v>
      </c>
      <c r="BK140" s="14">
        <f t="shared" si="52"/>
        <v>0</v>
      </c>
      <c r="BL140" s="318"/>
      <c r="BM140" s="318"/>
      <c r="BN140" s="318"/>
      <c r="BO140" s="318"/>
      <c r="BP140" s="318"/>
      <c r="BQ140" s="318"/>
      <c r="BR140" s="318"/>
      <c r="BS140" s="318"/>
      <c r="BT140" s="318"/>
      <c r="BU140" s="318"/>
      <c r="BV140" s="318"/>
      <c r="BW140" s="318"/>
      <c r="BX140" s="318"/>
      <c r="BY140" s="318"/>
      <c r="BZ140" s="318"/>
      <c r="CA140" s="318"/>
      <c r="CB140" s="318"/>
      <c r="CC140" s="318"/>
      <c r="CD140" s="318"/>
      <c r="CE140" s="318"/>
      <c r="CF140" s="318"/>
      <c r="CG140" s="14"/>
      <c r="CH140" s="318"/>
      <c r="CI140" s="318"/>
      <c r="CJ140" s="2"/>
      <c r="CK140" s="2"/>
      <c r="CM140" s="1140">
        <v>0</v>
      </c>
      <c r="CN140" s="1140">
        <v>20812</v>
      </c>
      <c r="CP140" s="923">
        <f t="shared" si="73"/>
        <v>0</v>
      </c>
      <c r="CZ140" s="330"/>
    </row>
    <row r="141" spans="1:104" ht="51" customHeight="1" x14ac:dyDescent="0.25">
      <c r="A141" s="684">
        <f>MAX($A$6:A140)+1</f>
        <v>141</v>
      </c>
      <c r="B141" s="11" t="s">
        <v>42</v>
      </c>
      <c r="C141" s="11" t="str">
        <f t="shared" si="59"/>
        <v>SCF</v>
      </c>
      <c r="D141" s="11"/>
      <c r="E141" s="7" t="s">
        <v>276</v>
      </c>
      <c r="F141" s="15"/>
      <c r="G141" s="1254" t="s">
        <v>276</v>
      </c>
      <c r="H141" s="6">
        <v>0</v>
      </c>
      <c r="I141" s="6">
        <v>0</v>
      </c>
      <c r="J141" s="1257" t="s">
        <v>276</v>
      </c>
      <c r="K141" s="251">
        <f>SUMIF('alb SCF'!$A:$A,$J141,'alb SCF'!$C:$C)</f>
        <v>0</v>
      </c>
      <c r="L141" s="251">
        <f>SUMIF('alb SCF'!$A:$A,$J141,'alb SCF'!$G:$G)</f>
        <v>0</v>
      </c>
      <c r="M141" s="252"/>
      <c r="N141" s="273">
        <f>ROUND(SUM(O141:S141)+SUM(W141:AV141),0)</f>
        <v>0</v>
      </c>
      <c r="O141" s="12"/>
      <c r="P141" s="12"/>
      <c r="Q141" s="12"/>
      <c r="R141" s="12"/>
      <c r="S141" s="6">
        <f t="shared" si="68"/>
        <v>0</v>
      </c>
      <c r="T141" s="273">
        <f>ROUND(SUM(U141:Y141),0)</f>
        <v>0</v>
      </c>
      <c r="U141" s="6">
        <f>SUM(BL141:BN141)</f>
        <v>0</v>
      </c>
      <c r="V141" s="6"/>
      <c r="W141" s="6">
        <f>+H141</f>
        <v>0</v>
      </c>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X141" s="6"/>
      <c r="AY141" s="6">
        <f>ROUND(AX141/1000/Update!$B$31*Update!$B$27,0)</f>
        <v>0</v>
      </c>
      <c r="BA141" s="6"/>
      <c r="BB141" s="6">
        <f>ROUND(BA141/1000/Update!$B$31,0)</f>
        <v>0</v>
      </c>
      <c r="BC141" s="6"/>
      <c r="BD141" s="29">
        <f t="shared" si="69"/>
        <v>0</v>
      </c>
      <c r="BE141" s="317"/>
      <c r="BF141" s="317"/>
      <c r="BG141" s="317"/>
      <c r="BH141" s="317"/>
      <c r="BI141" s="317"/>
      <c r="BJ141" s="317"/>
      <c r="BK141" s="327">
        <f t="shared" si="52"/>
        <v>0</v>
      </c>
      <c r="BL141" s="317"/>
      <c r="BM141" s="317"/>
      <c r="BN141" s="317"/>
      <c r="BO141" s="317"/>
      <c r="BP141" s="317"/>
      <c r="BQ141" s="317"/>
      <c r="BR141" s="317"/>
      <c r="BS141" s="317"/>
      <c r="BT141" s="317"/>
      <c r="BU141" s="317"/>
      <c r="BV141" s="317"/>
      <c r="BW141" s="317"/>
      <c r="BX141" s="317"/>
      <c r="BY141" s="317"/>
      <c r="BZ141" s="317"/>
      <c r="CA141" s="317"/>
      <c r="CB141" s="317"/>
      <c r="CC141" s="317"/>
      <c r="CD141" s="317"/>
      <c r="CE141" s="317"/>
      <c r="CF141" s="317"/>
      <c r="CG141" s="317"/>
      <c r="CH141" s="317"/>
      <c r="CI141" s="317"/>
      <c r="CM141" s="1139">
        <v>0</v>
      </c>
      <c r="CN141" s="1139">
        <v>0</v>
      </c>
      <c r="CP141" s="923">
        <f t="shared" si="73"/>
        <v>0</v>
      </c>
      <c r="CZ141" s="330"/>
    </row>
    <row r="142" spans="1:104" ht="30" customHeight="1" x14ac:dyDescent="0.25">
      <c r="A142" s="684">
        <f>MAX($A$6:A141)+1</f>
        <v>142</v>
      </c>
      <c r="B142" s="11" t="s">
        <v>42</v>
      </c>
      <c r="C142" s="11" t="str">
        <f t="shared" si="59"/>
        <v>SCF</v>
      </c>
      <c r="D142" s="11"/>
      <c r="E142" s="7" t="s">
        <v>108</v>
      </c>
      <c r="F142" s="15"/>
      <c r="G142" s="1254" t="s">
        <v>108</v>
      </c>
      <c r="H142" s="6">
        <v>0</v>
      </c>
      <c r="I142" s="6">
        <v>0</v>
      </c>
      <c r="J142" s="1257" t="s">
        <v>108</v>
      </c>
      <c r="K142" s="251">
        <f>SUMIF('alb SCF'!$A:$A,$J142,'alb SCF'!$C:$C)</f>
        <v>0</v>
      </c>
      <c r="L142" s="251">
        <f>SUMIF('alb SCF'!$A:$A,$J142,'alb SCF'!$G:$G)</f>
        <v>0</v>
      </c>
      <c r="M142" s="252"/>
      <c r="N142" s="273">
        <f>ROUND(SUM(O142:S142)+SUM(W142:AV142),0)</f>
        <v>0</v>
      </c>
      <c r="O142" s="12"/>
      <c r="P142" s="12"/>
      <c r="Q142" s="12"/>
      <c r="R142" s="12"/>
      <c r="S142" s="6">
        <f t="shared" si="68"/>
        <v>0</v>
      </c>
      <c r="T142" s="273">
        <f>ROUND(SUM(U142:Y142),0)</f>
        <v>0</v>
      </c>
      <c r="U142" s="6">
        <f>SUM(BL142:BN142)</f>
        <v>0</v>
      </c>
      <c r="V142" s="6"/>
      <c r="W142" s="6">
        <f>+H142</f>
        <v>0</v>
      </c>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X142" s="6"/>
      <c r="AY142" s="6">
        <f>ROUND(AX142/1000/Update!$B$31*Update!$B$27,0)</f>
        <v>0</v>
      </c>
      <c r="BA142" s="6"/>
      <c r="BB142" s="6">
        <f>ROUND(BA142/1000/Update!$B$31,0)</f>
        <v>0</v>
      </c>
      <c r="BC142" s="6"/>
      <c r="BD142" s="29">
        <f t="shared" si="69"/>
        <v>0</v>
      </c>
      <c r="BE142" s="317"/>
      <c r="BF142" s="317"/>
      <c r="BG142" s="317"/>
      <c r="BH142" s="317"/>
      <c r="BI142" s="317"/>
      <c r="BJ142" s="317"/>
      <c r="BK142" s="327">
        <f t="shared" si="52"/>
        <v>0</v>
      </c>
      <c r="BL142" s="317"/>
      <c r="BM142" s="317"/>
      <c r="BN142" s="317"/>
      <c r="BO142" s="317"/>
      <c r="BP142" s="317"/>
      <c r="BQ142" s="317"/>
      <c r="BR142" s="317"/>
      <c r="BS142" s="317"/>
      <c r="BT142" s="317"/>
      <c r="BU142" s="317"/>
      <c r="BV142" s="317"/>
      <c r="BW142" s="317"/>
      <c r="BX142" s="317"/>
      <c r="BY142" s="317"/>
      <c r="BZ142" s="317"/>
      <c r="CA142" s="317"/>
      <c r="CB142" s="317"/>
      <c r="CC142" s="317"/>
      <c r="CD142" s="317"/>
      <c r="CE142" s="317"/>
      <c r="CF142" s="317"/>
      <c r="CG142" s="317"/>
      <c r="CH142" s="317"/>
      <c r="CI142" s="317"/>
      <c r="CM142" s="1139">
        <v>0</v>
      </c>
      <c r="CN142" s="1139">
        <v>0</v>
      </c>
      <c r="CP142" s="923">
        <f t="shared" si="73"/>
        <v>0</v>
      </c>
      <c r="CZ142" s="330"/>
    </row>
    <row r="143" spans="1:104" ht="60" customHeight="1" x14ac:dyDescent="0.25">
      <c r="A143" s="701">
        <f>MAX($A$6:A142)+1</f>
        <v>143</v>
      </c>
      <c r="B143" s="18" t="s">
        <v>42</v>
      </c>
      <c r="C143" s="18" t="str">
        <f t="shared" si="59"/>
        <v>SCF</v>
      </c>
      <c r="D143" s="18"/>
      <c r="E143" s="270" t="s">
        <v>277</v>
      </c>
      <c r="F143" s="14"/>
      <c r="G143" s="254"/>
      <c r="H143" s="14">
        <f>SUM(H140:H142)</f>
        <v>-22354</v>
      </c>
      <c r="I143" s="14">
        <f>SUM(I140:I142)</f>
        <v>6054</v>
      </c>
      <c r="J143" s="1258" t="s">
        <v>286</v>
      </c>
      <c r="K143" s="256">
        <f>SUM(K140:K142)</f>
        <v>0</v>
      </c>
      <c r="L143" s="256">
        <f>SUM(L140:L142)</f>
        <v>0</v>
      </c>
      <c r="M143" s="14"/>
      <c r="N143" s="14">
        <f>SUM(N140:N142)</f>
        <v>-22354</v>
      </c>
      <c r="O143" s="14">
        <f t="shared" ref="O143:W143" si="76">SUM(O140:O142)</f>
        <v>0</v>
      </c>
      <c r="P143" s="14">
        <f t="shared" si="76"/>
        <v>0</v>
      </c>
      <c r="Q143" s="14">
        <f t="shared" si="76"/>
        <v>0</v>
      </c>
      <c r="R143" s="14">
        <f t="shared" si="76"/>
        <v>0</v>
      </c>
      <c r="S143" s="14"/>
      <c r="T143" s="14">
        <f t="shared" si="76"/>
        <v>-22354</v>
      </c>
      <c r="U143" s="14">
        <f t="shared" si="76"/>
        <v>0</v>
      </c>
      <c r="V143" s="14">
        <f t="shared" si="76"/>
        <v>0</v>
      </c>
      <c r="W143" s="14">
        <f t="shared" si="76"/>
        <v>-22354</v>
      </c>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2"/>
      <c r="AX143" s="14">
        <f>SUM(AX140:AX142)</f>
        <v>0</v>
      </c>
      <c r="AY143" s="14">
        <f>ROUND(AX143/1000/Update!$B$31*Update!$B$27,0)</f>
        <v>0</v>
      </c>
      <c r="AZ143" s="2"/>
      <c r="BA143" s="14">
        <f>SUM(BA140:BA142)</f>
        <v>0</v>
      </c>
      <c r="BB143" s="14">
        <f>ROUND(BA143/1000/Update!$B$31,0)</f>
        <v>0</v>
      </c>
      <c r="BC143" s="14"/>
      <c r="BD143" s="14">
        <f>SUM(BD140:BD142)</f>
        <v>0</v>
      </c>
      <c r="BE143" s="14">
        <f t="shared" ref="BE143:BI143" si="77">SUM(BE140:BE142)</f>
        <v>0</v>
      </c>
      <c r="BF143" s="14">
        <f t="shared" si="77"/>
        <v>0</v>
      </c>
      <c r="BG143" s="14">
        <f t="shared" si="77"/>
        <v>0</v>
      </c>
      <c r="BH143" s="14">
        <f t="shared" si="77"/>
        <v>0</v>
      </c>
      <c r="BI143" s="14">
        <f t="shared" si="77"/>
        <v>0</v>
      </c>
      <c r="BJ143" s="14">
        <f>SUM(BJ140:BJ142)</f>
        <v>0</v>
      </c>
      <c r="BK143" s="14">
        <f>ROUND(SUM(BO143:CI143),0)</f>
        <v>0</v>
      </c>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14"/>
      <c r="CH143" s="318"/>
      <c r="CI143" s="318"/>
      <c r="CJ143" s="2"/>
      <c r="CK143" s="2"/>
      <c r="CM143" s="1140">
        <v>0</v>
      </c>
      <c r="CN143" s="1140">
        <v>20812</v>
      </c>
      <c r="CP143" s="923">
        <f t="shared" si="73"/>
        <v>0</v>
      </c>
      <c r="CZ143" s="330"/>
    </row>
    <row r="144" spans="1:104" ht="30" customHeight="1" x14ac:dyDescent="0.25">
      <c r="A144" s="684">
        <f>MAX($A$6:A143)+1</f>
        <v>144</v>
      </c>
      <c r="B144" s="11" t="s">
        <v>42</v>
      </c>
      <c r="C144" s="11" t="str">
        <f t="shared" si="59"/>
        <v>SCF</v>
      </c>
      <c r="D144" s="11"/>
      <c r="E144" s="13" t="s">
        <v>109</v>
      </c>
      <c r="F144" s="271"/>
      <c r="G144" s="1277" t="s">
        <v>109</v>
      </c>
      <c r="H144" s="6">
        <v>-7487</v>
      </c>
      <c r="I144" s="6">
        <v>0</v>
      </c>
      <c r="J144" s="1261" t="s">
        <v>760</v>
      </c>
      <c r="K144" s="251">
        <f>SUMIF('alb SCF'!$A:$A,$J144,'alb SCF'!$C:$C)</f>
        <v>0</v>
      </c>
      <c r="L144" s="251">
        <f>SUMIF('alb SCF'!$A:$A,$J144,'alb SCF'!$G:$G)</f>
        <v>0</v>
      </c>
      <c r="M144" s="272">
        <v>11</v>
      </c>
      <c r="N144" s="273">
        <f>ROUND(SUM(O144:S144)+SUM(W144:AV144),0)</f>
        <v>-7487</v>
      </c>
      <c r="O144" s="274"/>
      <c r="P144" s="274"/>
      <c r="Q144" s="274"/>
      <c r="R144" s="274"/>
      <c r="S144" s="9">
        <f t="shared" si="68"/>
        <v>0</v>
      </c>
      <c r="T144" s="273">
        <f>ROUND(SUM(U144:Y144),0)</f>
        <v>-7487</v>
      </c>
      <c r="U144" s="251">
        <f>SUM(BL144:BN144)</f>
        <v>0</v>
      </c>
      <c r="V144" s="251"/>
      <c r="W144" s="251">
        <f>+H144</f>
        <v>-7487</v>
      </c>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X144" s="9"/>
      <c r="AY144" s="9">
        <f>ROUND(AX144/1000/Update!$B$31*Update!$B$27,0)</f>
        <v>0</v>
      </c>
      <c r="BA144" s="9"/>
      <c r="BB144" s="9">
        <f>ROUND(BA144/1000/Update!$B$31,0)</f>
        <v>0</v>
      </c>
      <c r="BC144" s="9"/>
      <c r="BD144" s="273">
        <f t="shared" si="69"/>
        <v>0</v>
      </c>
      <c r="BE144" s="317"/>
      <c r="BF144" s="317"/>
      <c r="BG144" s="317"/>
      <c r="BH144" s="317"/>
      <c r="BI144" s="317"/>
      <c r="BJ144" s="317"/>
      <c r="BK144" s="327">
        <f t="shared" ref="BK144:BK208" si="78">ROUND(SUM(BO144:CI144),0)</f>
        <v>0</v>
      </c>
      <c r="BL144" s="317"/>
      <c r="BM144" s="317"/>
      <c r="BN144" s="317"/>
      <c r="BO144" s="317"/>
      <c r="BP144" s="317"/>
      <c r="BQ144" s="317"/>
      <c r="BR144" s="317"/>
      <c r="BS144" s="317"/>
      <c r="BT144" s="317"/>
      <c r="BU144" s="317"/>
      <c r="BV144" s="317"/>
      <c r="BW144" s="317"/>
      <c r="BX144" s="317"/>
      <c r="BY144" s="317"/>
      <c r="BZ144" s="317"/>
      <c r="CA144" s="317"/>
      <c r="CB144" s="317"/>
      <c r="CC144" s="317"/>
      <c r="CD144" s="317"/>
      <c r="CE144" s="317"/>
      <c r="CF144" s="317"/>
      <c r="CG144" s="317"/>
      <c r="CH144" s="317"/>
      <c r="CI144" s="317"/>
      <c r="CM144" s="1139">
        <v>0</v>
      </c>
      <c r="CN144" s="1139">
        <v>0</v>
      </c>
      <c r="CP144" s="923">
        <f t="shared" si="73"/>
        <v>0</v>
      </c>
      <c r="CZ144" s="330"/>
    </row>
    <row r="145" spans="1:104" ht="30" customHeight="1" x14ac:dyDescent="0.25">
      <c r="A145" s="684">
        <f>MAX($A$6:A144)+1</f>
        <v>145</v>
      </c>
      <c r="B145" s="11" t="s">
        <v>42</v>
      </c>
      <c r="C145" s="11" t="str">
        <f t="shared" si="59"/>
        <v>SCF</v>
      </c>
      <c r="D145" s="11"/>
      <c r="E145" s="13" t="s">
        <v>110</v>
      </c>
      <c r="F145" s="271"/>
      <c r="G145" s="1277" t="s">
        <v>110</v>
      </c>
      <c r="H145" s="6">
        <v>0</v>
      </c>
      <c r="I145" s="6">
        <v>0</v>
      </c>
      <c r="J145" s="1261" t="s">
        <v>110</v>
      </c>
      <c r="K145" s="275">
        <f>K144+K143</f>
        <v>0</v>
      </c>
      <c r="L145" s="275">
        <f>L144+L143</f>
        <v>0</v>
      </c>
      <c r="M145" s="272">
        <v>11</v>
      </c>
      <c r="N145" s="273">
        <f>ROUND(SUM(O145:S145)+SUM(W145:AV145),0)</f>
        <v>0</v>
      </c>
      <c r="O145" s="274"/>
      <c r="P145" s="274"/>
      <c r="Q145" s="274"/>
      <c r="R145" s="274"/>
      <c r="S145" s="27"/>
      <c r="T145" s="273">
        <f>ROUND(SUM(U145:Y145),0)</f>
        <v>0</v>
      </c>
      <c r="U145" s="9"/>
      <c r="V145" s="9"/>
      <c r="W145" s="9">
        <f>+H145</f>
        <v>0</v>
      </c>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X145" s="27">
        <f>AX144+AX143</f>
        <v>0</v>
      </c>
      <c r="AY145" s="27">
        <f>ROUND(AX145/1000/Update!$B$31*Update!$B$27,0)</f>
        <v>0</v>
      </c>
      <c r="BA145" s="27">
        <f>BA144+BA143</f>
        <v>0</v>
      </c>
      <c r="BB145" s="27">
        <f>ROUND(BA145/1000/Update!$B$31,0)</f>
        <v>0</v>
      </c>
      <c r="BC145" s="27"/>
      <c r="BD145" s="273">
        <f>ROUND(SUM(BE145:BK145),0)</f>
        <v>0</v>
      </c>
      <c r="BE145" s="320">
        <f t="shared" ref="BE145:BJ145" si="79">BE144+BE143</f>
        <v>0</v>
      </c>
      <c r="BF145" s="320">
        <f t="shared" si="79"/>
        <v>0</v>
      </c>
      <c r="BG145" s="320">
        <f t="shared" si="79"/>
        <v>0</v>
      </c>
      <c r="BH145" s="320">
        <f t="shared" si="79"/>
        <v>0</v>
      </c>
      <c r="BI145" s="320">
        <f t="shared" si="79"/>
        <v>0</v>
      </c>
      <c r="BJ145" s="320">
        <f t="shared" si="79"/>
        <v>0</v>
      </c>
      <c r="BK145" s="327">
        <f t="shared" si="78"/>
        <v>0</v>
      </c>
      <c r="BL145" s="320"/>
      <c r="BM145" s="320"/>
      <c r="BN145" s="320"/>
      <c r="BO145" s="320"/>
      <c r="BP145" s="320"/>
      <c r="BQ145" s="320"/>
      <c r="BR145" s="320"/>
      <c r="BS145" s="320"/>
      <c r="BT145" s="320"/>
      <c r="BU145" s="320"/>
      <c r="BV145" s="320"/>
      <c r="BW145" s="320"/>
      <c r="BX145" s="320"/>
      <c r="BY145" s="320"/>
      <c r="BZ145" s="320"/>
      <c r="CA145" s="320"/>
      <c r="CB145" s="320"/>
      <c r="CC145" s="320"/>
      <c r="CD145" s="320"/>
      <c r="CE145" s="320"/>
      <c r="CF145" s="320"/>
      <c r="CG145" s="320"/>
      <c r="CH145" s="320"/>
      <c r="CI145" s="320"/>
      <c r="CM145" s="1494">
        <v>0</v>
      </c>
      <c r="CN145" s="1494">
        <v>26656</v>
      </c>
      <c r="CP145" s="923">
        <f t="shared" si="73"/>
        <v>0</v>
      </c>
      <c r="CZ145" s="330"/>
    </row>
    <row r="146" spans="1:104" ht="15" customHeight="1" x14ac:dyDescent="0.25">
      <c r="A146" s="684">
        <f>MAX($A$6:A145)+1</f>
        <v>146</v>
      </c>
      <c r="B146" s="11" t="s">
        <v>42</v>
      </c>
      <c r="C146" s="11" t="str">
        <f t="shared" si="59"/>
        <v>SCF</v>
      </c>
      <c r="D146" s="11"/>
      <c r="E146" s="7"/>
      <c r="F146" s="15"/>
      <c r="G146" s="26"/>
      <c r="H146" s="6"/>
      <c r="I146" s="6"/>
      <c r="J146" s="1257" t="s">
        <v>286</v>
      </c>
      <c r="K146" s="251">
        <f>SUMIF('alb SoCITE'!$A:$A,$J146,'alb SoCITE'!$C:$C)</f>
        <v>0</v>
      </c>
      <c r="L146" s="251">
        <f>SUMIF('alb SoCITE'!$A:$A,$J146,'alb SoCITE'!$G:$G)</f>
        <v>0</v>
      </c>
      <c r="M146" s="252"/>
      <c r="N146" s="273"/>
      <c r="O146" s="12"/>
      <c r="P146" s="12"/>
      <c r="Q146" s="12"/>
      <c r="R146" s="12"/>
      <c r="S146" s="6">
        <f t="shared" si="68"/>
        <v>0</v>
      </c>
      <c r="T146" s="273"/>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X146" s="6"/>
      <c r="AY146" s="6">
        <f>ROUND(AX146/1000/Update!$B$31*Update!$B$27,0)</f>
        <v>0</v>
      </c>
      <c r="BA146" s="6"/>
      <c r="BB146" s="6">
        <f>ROUND(BA146/1000/Update!$B$31,0)</f>
        <v>0</v>
      </c>
      <c r="BC146" s="6"/>
      <c r="BD146" s="29">
        <f t="shared" si="69"/>
        <v>0</v>
      </c>
      <c r="BE146" s="317"/>
      <c r="BF146" s="317"/>
      <c r="BG146" s="317"/>
      <c r="BH146" s="317"/>
      <c r="BI146" s="317"/>
      <c r="BJ146" s="317"/>
      <c r="BK146" s="327">
        <f t="shared" si="78"/>
        <v>0</v>
      </c>
      <c r="BL146" s="317"/>
      <c r="BM146" s="317"/>
      <c r="BN146" s="317"/>
      <c r="BO146" s="317"/>
      <c r="BP146" s="317"/>
      <c r="BQ146" s="317"/>
      <c r="BR146" s="317"/>
      <c r="BS146" s="317"/>
      <c r="BT146" s="317"/>
      <c r="BU146" s="317"/>
      <c r="BV146" s="317"/>
      <c r="BW146" s="317"/>
      <c r="BX146" s="317"/>
      <c r="BY146" s="317"/>
      <c r="BZ146" s="317"/>
      <c r="CA146" s="317"/>
      <c r="CB146" s="317"/>
      <c r="CC146" s="317"/>
      <c r="CD146" s="317"/>
      <c r="CE146" s="317"/>
      <c r="CF146" s="317"/>
      <c r="CG146" s="317"/>
      <c r="CH146" s="317"/>
      <c r="CI146" s="317"/>
      <c r="CM146" s="1139">
        <v>0</v>
      </c>
      <c r="CN146" s="1139">
        <v>0</v>
      </c>
      <c r="CP146" s="923">
        <f t="shared" si="73"/>
        <v>0</v>
      </c>
      <c r="CZ146" s="330"/>
    </row>
    <row r="147" spans="1:104" ht="18.75" x14ac:dyDescent="0.25">
      <c r="A147" s="694">
        <f>MAX($A$6:A146)+1</f>
        <v>147</v>
      </c>
      <c r="B147" s="696" t="s">
        <v>43</v>
      </c>
      <c r="C147" s="696" t="s">
        <v>43</v>
      </c>
      <c r="D147" s="695"/>
      <c r="E147" s="696" t="str">
        <f>B147&amp;" "&amp;C147</f>
        <v>SoCITE SoCITE</v>
      </c>
      <c r="F147" s="697"/>
      <c r="G147" s="697"/>
      <c r="H147" s="695"/>
      <c r="I147" s="695"/>
      <c r="J147" s="698" t="s">
        <v>286</v>
      </c>
      <c r="K147" s="699">
        <f>SUMIF('alb SoCITE'!$A:$A,$J147,'alb SoCITE'!$C:$C)</f>
        <v>0</v>
      </c>
      <c r="L147" s="699">
        <f>SUMIF('alb SoCITE'!$A:$A,$J147,'alb SoCITE'!$I:$I)</f>
        <v>0</v>
      </c>
      <c r="M147" s="695"/>
      <c r="N147" s="713">
        <f>ROUND(SUM(O147:AU147)-T147,0)</f>
        <v>0</v>
      </c>
      <c r="O147" s="695"/>
      <c r="P147" s="695"/>
      <c r="Q147" s="695"/>
      <c r="R147" s="695"/>
      <c r="S147" s="695">
        <f t="shared" si="68"/>
        <v>0</v>
      </c>
      <c r="T147" s="713">
        <f>ROUND(SUM(U147:Y147),0)</f>
        <v>0</v>
      </c>
      <c r="U147" s="695"/>
      <c r="V147" s="695"/>
      <c r="W147" s="695"/>
      <c r="X147" s="695"/>
      <c r="Y147" s="695"/>
      <c r="Z147" s="695"/>
      <c r="AA147" s="695"/>
      <c r="AB147" s="695"/>
      <c r="AC147" s="695"/>
      <c r="AD147" s="695"/>
      <c r="AE147" s="695"/>
      <c r="AF147" s="695"/>
      <c r="AG147" s="695"/>
      <c r="AH147" s="695"/>
      <c r="AI147" s="695"/>
      <c r="AJ147" s="695"/>
      <c r="AK147" s="695"/>
      <c r="AL147" s="695"/>
      <c r="AM147" s="695"/>
      <c r="AN147" s="695"/>
      <c r="AO147" s="695"/>
      <c r="AP147" s="695"/>
      <c r="AQ147" s="695"/>
      <c r="AR147" s="695"/>
      <c r="AS147" s="695"/>
      <c r="AT147" s="695"/>
      <c r="AU147" s="695"/>
      <c r="AV147" s="695"/>
      <c r="AW147" s="700"/>
      <c r="AX147" s="700"/>
      <c r="AY147" s="700">
        <f>ROUND(AX147/1000/Update!$B$31*Update!$B$27,0)</f>
        <v>0</v>
      </c>
      <c r="AZ147" s="700"/>
      <c r="BA147" s="700"/>
      <c r="BB147" s="700">
        <f>ROUND(BA147/1000/Update!$B$31,0)</f>
        <v>0</v>
      </c>
      <c r="BC147" s="700"/>
      <c r="BD147" s="721">
        <f t="shared" si="69"/>
        <v>0</v>
      </c>
      <c r="BE147" s="700"/>
      <c r="BF147" s="700"/>
      <c r="BG147" s="700"/>
      <c r="BH147" s="700"/>
      <c r="BI147" s="700"/>
      <c r="BJ147" s="700"/>
      <c r="BK147" s="721">
        <f t="shared" si="78"/>
        <v>0</v>
      </c>
      <c r="BL147" s="700"/>
      <c r="BM147" s="700"/>
      <c r="BN147" s="700"/>
      <c r="BO147" s="700"/>
      <c r="BP147" s="700"/>
      <c r="BQ147" s="700"/>
      <c r="BR147" s="700"/>
      <c r="BS147" s="700"/>
      <c r="BT147" s="700"/>
      <c r="BU147" s="700"/>
      <c r="BV147" s="700"/>
      <c r="BW147" s="700"/>
      <c r="BX147" s="700"/>
      <c r="BY147" s="700"/>
      <c r="BZ147" s="700"/>
      <c r="CA147" s="700"/>
      <c r="CB147" s="700"/>
      <c r="CC147" s="700"/>
      <c r="CD147" s="700"/>
      <c r="CE147" s="700"/>
      <c r="CF147" s="700"/>
      <c r="CG147" s="700"/>
      <c r="CH147" s="700"/>
      <c r="CI147" s="700"/>
      <c r="CJ147" s="700"/>
      <c r="CK147" s="700"/>
      <c r="CM147" s="1495">
        <v>0</v>
      </c>
      <c r="CN147" s="1495">
        <v>0</v>
      </c>
      <c r="CP147" s="923">
        <f t="shared" si="73"/>
        <v>0</v>
      </c>
      <c r="CZ147" s="330"/>
    </row>
    <row r="148" spans="1:104" x14ac:dyDescent="0.25">
      <c r="A148" s="684">
        <f>MAX($A$6:A147)+1</f>
        <v>148</v>
      </c>
      <c r="B148" s="11" t="s">
        <v>43</v>
      </c>
      <c r="C148" s="11" t="str">
        <f>$C$147</f>
        <v>SoCITE</v>
      </c>
      <c r="D148" s="11" t="s">
        <v>126</v>
      </c>
      <c r="E148" s="7" t="str">
        <f>"Balance at"&amp;Update!$B$17</f>
        <v>Balance at 31 March 2024</v>
      </c>
      <c r="F148" s="15"/>
      <c r="G148" s="1267" t="str">
        <f>"Balances at"&amp;Update!$B$17</f>
        <v>Balances at 31 March 2024</v>
      </c>
      <c r="H148" s="6">
        <v>0</v>
      </c>
      <c r="I148" s="6">
        <v>0</v>
      </c>
      <c r="J148" s="1257" t="str">
        <f>E148</f>
        <v>Balance at 31 March 2024</v>
      </c>
      <c r="K148" s="251">
        <f>SUMIF('alb SoCITE'!$A:$A,$J148,'alb SoCITE'!$C:$C)</f>
        <v>0</v>
      </c>
      <c r="L148" s="251">
        <f>SUMIF('alb SoCITE'!$A:$A,$J148,'alb SoCITE'!$I:$I)</f>
        <v>0</v>
      </c>
      <c r="M148" s="252"/>
      <c r="N148" s="273">
        <f>ROUND(SUM(O148:S148)+SUM(W148:AV148),0)</f>
        <v>0</v>
      </c>
      <c r="O148" s="12"/>
      <c r="P148" s="12"/>
      <c r="Q148" s="12"/>
      <c r="R148" s="12"/>
      <c r="S148" s="6">
        <f t="shared" si="68"/>
        <v>0</v>
      </c>
      <c r="T148" s="273">
        <f>ROUND(SUM(U148:Y148),0)</f>
        <v>0</v>
      </c>
      <c r="U148" s="6">
        <f>SUM(BL148:BN148)</f>
        <v>0</v>
      </c>
      <c r="V148" s="6"/>
      <c r="W148" s="6">
        <f>+H148</f>
        <v>0</v>
      </c>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X148" s="6"/>
      <c r="AY148" s="6">
        <f>ROUND(AX148/1000/Update!$B$31*Update!$B$27,0)</f>
        <v>0</v>
      </c>
      <c r="BA148" s="6"/>
      <c r="BB148" s="6">
        <f>ROUND(BA148/1000/Update!$B$31,0)</f>
        <v>0</v>
      </c>
      <c r="BC148" s="6"/>
      <c r="BD148" s="29">
        <f t="shared" si="69"/>
        <v>0</v>
      </c>
      <c r="BE148" s="317"/>
      <c r="BF148" s="317"/>
      <c r="BG148" s="317"/>
      <c r="BH148" s="317"/>
      <c r="BI148" s="317"/>
      <c r="BJ148" s="317"/>
      <c r="BK148" s="327">
        <f t="shared" si="78"/>
        <v>0</v>
      </c>
      <c r="BL148" s="317"/>
      <c r="BM148" s="317"/>
      <c r="BN148" s="317"/>
      <c r="BO148" s="317"/>
      <c r="BP148" s="317"/>
      <c r="BQ148" s="317"/>
      <c r="BR148" s="317"/>
      <c r="BS148" s="317"/>
      <c r="BT148" s="317"/>
      <c r="BU148" s="317"/>
      <c r="BV148" s="317"/>
      <c r="BW148" s="317"/>
      <c r="BX148" s="317"/>
      <c r="BY148" s="317"/>
      <c r="BZ148" s="317"/>
      <c r="CA148" s="317"/>
      <c r="CB148" s="317"/>
      <c r="CC148" s="317"/>
      <c r="CD148" s="317"/>
      <c r="CE148" s="317"/>
      <c r="CF148" s="317"/>
      <c r="CG148" s="317"/>
      <c r="CH148" s="317"/>
      <c r="CI148" s="317"/>
      <c r="CM148" s="1139">
        <v>0</v>
      </c>
      <c r="CN148" s="1139">
        <v>0</v>
      </c>
      <c r="CP148" s="923">
        <f t="shared" si="73"/>
        <v>0</v>
      </c>
      <c r="CZ148" s="330"/>
    </row>
    <row r="149" spans="1:104" ht="38.25" x14ac:dyDescent="0.25">
      <c r="A149" s="684">
        <f>MAX($A$6:A148)+1</f>
        <v>149</v>
      </c>
      <c r="B149" s="11" t="s">
        <v>43</v>
      </c>
      <c r="C149" s="11" t="str">
        <f t="shared" ref="C149:C212" si="80">$C$147</f>
        <v>SoCITE</v>
      </c>
      <c r="D149" s="11" t="s">
        <v>126</v>
      </c>
      <c r="E149" s="7" t="s">
        <v>111</v>
      </c>
      <c r="F149" s="15"/>
      <c r="G149" s="1254" t="s">
        <v>328</v>
      </c>
      <c r="H149" s="6">
        <v>0</v>
      </c>
      <c r="I149" s="6">
        <v>0</v>
      </c>
      <c r="J149" s="1254" t="s">
        <v>111</v>
      </c>
      <c r="K149" s="251">
        <f>SUMIF('alb SoCITE'!$A:$A,$J149,'alb SoCITE'!$C:$C)</f>
        <v>0</v>
      </c>
      <c r="L149" s="251">
        <f>SUMIF('alb SoCITE'!$A:$A,$J149,'alb SoCITE'!$I:$I)</f>
        <v>0</v>
      </c>
      <c r="M149" s="252"/>
      <c r="N149" s="273">
        <f>ROUND(SUM(O149:S149)+SUM(W149:AV149),0)</f>
        <v>0</v>
      </c>
      <c r="O149" s="12"/>
      <c r="P149" s="12"/>
      <c r="Q149" s="12"/>
      <c r="R149" s="12"/>
      <c r="S149" s="6">
        <f t="shared" si="68"/>
        <v>0</v>
      </c>
      <c r="T149" s="273">
        <f>ROUND(SUM(U149:Y149),0)</f>
        <v>0</v>
      </c>
      <c r="U149" s="6">
        <f>SUM(BL149:BN149)</f>
        <v>0</v>
      </c>
      <c r="V149" s="6"/>
      <c r="W149" s="6">
        <f>+H149</f>
        <v>0</v>
      </c>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X149" s="6"/>
      <c r="AY149" s="6">
        <f>ROUND(AX149/1000/Update!$B$31*Update!$B$27,0)</f>
        <v>0</v>
      </c>
      <c r="BA149" s="6"/>
      <c r="BB149" s="6">
        <f>ROUND(BA149/1000/Update!$B$31,0)</f>
        <v>0</v>
      </c>
      <c r="BC149" s="6"/>
      <c r="BD149" s="29">
        <f t="shared" si="69"/>
        <v>0</v>
      </c>
      <c r="BE149" s="317"/>
      <c r="BF149" s="317"/>
      <c r="BG149" s="317"/>
      <c r="BH149" s="317"/>
      <c r="BI149" s="317"/>
      <c r="BJ149" s="317"/>
      <c r="BK149" s="327">
        <f t="shared" si="78"/>
        <v>0</v>
      </c>
      <c r="BL149" s="317"/>
      <c r="BM149" s="317"/>
      <c r="BN149" s="317"/>
      <c r="BO149" s="317"/>
      <c r="BP149" s="317"/>
      <c r="BQ149" s="317"/>
      <c r="BR149" s="317"/>
      <c r="BS149" s="317"/>
      <c r="BT149" s="317"/>
      <c r="BU149" s="317"/>
      <c r="BV149" s="317"/>
      <c r="BW149" s="317"/>
      <c r="BX149" s="317"/>
      <c r="BY149" s="317"/>
      <c r="BZ149" s="317"/>
      <c r="CA149" s="317"/>
      <c r="CB149" s="317"/>
      <c r="CC149" s="317"/>
      <c r="CD149" s="317"/>
      <c r="CE149" s="317"/>
      <c r="CF149" s="317"/>
      <c r="CG149" s="317"/>
      <c r="CH149" s="317"/>
      <c r="CI149" s="317"/>
      <c r="CM149" s="1139">
        <v>0</v>
      </c>
      <c r="CN149" s="1139">
        <v>0</v>
      </c>
      <c r="CP149" s="923">
        <f t="shared" si="73"/>
        <v>0</v>
      </c>
      <c r="CZ149" s="330"/>
    </row>
    <row r="150" spans="1:104" x14ac:dyDescent="0.25">
      <c r="A150" s="684">
        <f>MAX($A$6:A149)+1</f>
        <v>150</v>
      </c>
      <c r="B150" s="11" t="s">
        <v>43</v>
      </c>
      <c r="C150" s="11" t="str">
        <f t="shared" si="80"/>
        <v>SoCITE</v>
      </c>
      <c r="D150" s="11" t="s">
        <v>126</v>
      </c>
      <c r="E150" s="7" t="s">
        <v>112</v>
      </c>
      <c r="F150" s="15"/>
      <c r="G150" s="1254" t="s">
        <v>329</v>
      </c>
      <c r="H150" s="6">
        <v>0</v>
      </c>
      <c r="I150" s="6">
        <v>0</v>
      </c>
      <c r="J150" s="1253" t="s">
        <v>286</v>
      </c>
      <c r="K150" s="251">
        <f>SUMIF('alb SoCITE'!$A:$A,$J150,'alb SoCITE'!$C:$C)</f>
        <v>0</v>
      </c>
      <c r="L150" s="251">
        <f>SUMIF('alb SoCITE'!$A:$A,$J150,'alb SoCITE'!$I:$I)</f>
        <v>0</v>
      </c>
      <c r="M150" s="252"/>
      <c r="N150" s="273">
        <f>ROUND(SUM(O150:S150)+SUM(W150:AV150),0)</f>
        <v>0</v>
      </c>
      <c r="O150" s="12"/>
      <c r="Q150" s="12"/>
      <c r="R150" s="12"/>
      <c r="S150" s="6">
        <f t="shared" si="68"/>
        <v>0</v>
      </c>
      <c r="T150" s="273">
        <f>ROUND(SUM(U150:Y150),0)</f>
        <v>0</v>
      </c>
      <c r="U150" s="6">
        <f>SUM(BL150:BN150)</f>
        <v>0</v>
      </c>
      <c r="V150" s="6"/>
      <c r="W150" s="6">
        <f>+H150</f>
        <v>0</v>
      </c>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X150" s="6"/>
      <c r="AY150" s="6">
        <f>ROUND(AX150/1000/Update!$B$31*Update!$B$27,0)</f>
        <v>0</v>
      </c>
      <c r="BA150" s="6"/>
      <c r="BB150" s="6">
        <f>ROUND(BA150/1000/Update!$B$31,0)</f>
        <v>0</v>
      </c>
      <c r="BC150" s="6"/>
      <c r="BD150" s="29">
        <f t="shared" si="69"/>
        <v>0</v>
      </c>
      <c r="BE150" s="317"/>
      <c r="BF150" s="317"/>
      <c r="BG150" s="317"/>
      <c r="BH150" s="317"/>
      <c r="BI150" s="317"/>
      <c r="BJ150" s="317"/>
      <c r="BK150" s="327">
        <f t="shared" si="78"/>
        <v>0</v>
      </c>
      <c r="BL150" s="317"/>
      <c r="BM150" s="317"/>
      <c r="BN150" s="317"/>
      <c r="BO150" s="317"/>
      <c r="BP150" s="317"/>
      <c r="BQ150" s="317"/>
      <c r="BR150" s="317"/>
      <c r="BS150" s="317"/>
      <c r="BT150" s="317"/>
      <c r="BU150" s="317"/>
      <c r="BV150" s="317"/>
      <c r="BW150" s="317"/>
      <c r="BX150" s="317"/>
      <c r="BY150" s="317"/>
      <c r="BZ150" s="317"/>
      <c r="CA150" s="317"/>
      <c r="CB150" s="317"/>
      <c r="CC150" s="317"/>
      <c r="CD150" s="317"/>
      <c r="CE150" s="317"/>
      <c r="CF150" s="317"/>
      <c r="CG150" s="317"/>
      <c r="CH150" s="317"/>
      <c r="CI150" s="317"/>
      <c r="CM150" s="1139">
        <v>0</v>
      </c>
      <c r="CN150" s="1139">
        <v>0</v>
      </c>
      <c r="CP150" s="923">
        <f t="shared" si="73"/>
        <v>0</v>
      </c>
      <c r="CZ150" s="330"/>
    </row>
    <row r="151" spans="1:104" x14ac:dyDescent="0.25">
      <c r="A151" s="701">
        <f>MAX($A$6:A150)+1</f>
        <v>151</v>
      </c>
      <c r="B151" s="18" t="s">
        <v>43</v>
      </c>
      <c r="C151" s="18" t="str">
        <f t="shared" si="80"/>
        <v>SoCITE</v>
      </c>
      <c r="D151" s="18" t="s">
        <v>126</v>
      </c>
      <c r="E151" s="19" t="str">
        <f>"Restated Balances as at"&amp;Update!$B$18</f>
        <v>Restated Balances as at 1 April 2024</v>
      </c>
      <c r="F151" s="20"/>
      <c r="G151" s="28"/>
      <c r="H151" s="14">
        <f>SUM(H148:H150)</f>
        <v>0</v>
      </c>
      <c r="I151" s="14">
        <f>SUM(I148:I150)</f>
        <v>0</v>
      </c>
      <c r="J151" s="1258" t="s">
        <v>286</v>
      </c>
      <c r="K151" s="256">
        <f>SUM(K148:K150)</f>
        <v>0</v>
      </c>
      <c r="L151" s="256">
        <f>SUM(L148:L150)</f>
        <v>0</v>
      </c>
      <c r="M151" s="21"/>
      <c r="N151" s="14">
        <f>SUM(N148:N150)</f>
        <v>0</v>
      </c>
      <c r="O151" s="14">
        <f>SUM(O148:O150)</f>
        <v>0</v>
      </c>
      <c r="P151" s="14">
        <f>SUM(P148:P149)</f>
        <v>0</v>
      </c>
      <c r="Q151" s="14">
        <f>SUM(Q148:Q150)</f>
        <v>0</v>
      </c>
      <c r="R151" s="14">
        <f>SUM(R148:R150)</f>
        <v>0</v>
      </c>
      <c r="S151" s="14">
        <f t="shared" si="68"/>
        <v>0</v>
      </c>
      <c r="T151" s="14">
        <f>SUM(T148:T150)</f>
        <v>0</v>
      </c>
      <c r="U151" s="14">
        <f>SUM(U148:U150)</f>
        <v>0</v>
      </c>
      <c r="V151" s="14">
        <f>SUM(V148:V150)</f>
        <v>0</v>
      </c>
      <c r="W151" s="14">
        <f>SUM(W148:W150)</f>
        <v>0</v>
      </c>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2"/>
      <c r="AX151" s="14">
        <f>SUM(AX148:AX150)</f>
        <v>0</v>
      </c>
      <c r="AY151" s="14">
        <f>ROUND(AX151/1000/Update!$B$31*Update!$B$27,0)</f>
        <v>0</v>
      </c>
      <c r="AZ151" s="2"/>
      <c r="BA151" s="14">
        <f>SUM(BA148:BA150)</f>
        <v>0</v>
      </c>
      <c r="BB151" s="14">
        <f>ROUND(BA151/1000/Update!$B$31,0)</f>
        <v>0</v>
      </c>
      <c r="BC151" s="14"/>
      <c r="BD151" s="14">
        <f t="shared" si="69"/>
        <v>0</v>
      </c>
      <c r="BE151" s="318">
        <f t="shared" ref="BE151:BJ151" si="81">SUM(BE148:BE150)</f>
        <v>0</v>
      </c>
      <c r="BF151" s="318">
        <f t="shared" si="81"/>
        <v>0</v>
      </c>
      <c r="BG151" s="318">
        <f t="shared" si="81"/>
        <v>0</v>
      </c>
      <c r="BH151" s="318">
        <f>SUM(BH148:BH150)</f>
        <v>0</v>
      </c>
      <c r="BI151" s="318">
        <f t="shared" si="81"/>
        <v>0</v>
      </c>
      <c r="BJ151" s="318">
        <f t="shared" si="81"/>
        <v>0</v>
      </c>
      <c r="BK151" s="14">
        <f t="shared" si="78"/>
        <v>0</v>
      </c>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2"/>
      <c r="CK151" s="2"/>
      <c r="CM151" s="1140">
        <v>0</v>
      </c>
      <c r="CN151" s="1140">
        <v>0</v>
      </c>
      <c r="CP151" s="923">
        <f t="shared" si="73"/>
        <v>0</v>
      </c>
      <c r="CZ151" s="330"/>
    </row>
    <row r="152" spans="1:104" x14ac:dyDescent="0.25">
      <c r="A152" s="684">
        <f>MAX($A$6:A151)+1</f>
        <v>152</v>
      </c>
      <c r="B152" s="11" t="s">
        <v>43</v>
      </c>
      <c r="C152" s="11" t="str">
        <f t="shared" si="80"/>
        <v>SoCITE</v>
      </c>
      <c r="D152" s="11" t="s">
        <v>126</v>
      </c>
      <c r="E152" s="7" t="str">
        <f>"Changes in taxpayers’ equity for "&amp;Update!$B$15</f>
        <v>Changes in taxpayers’ equity for 2024-25</v>
      </c>
      <c r="F152" s="15"/>
      <c r="G152" s="26"/>
      <c r="H152" s="6"/>
      <c r="I152" s="6"/>
      <c r="J152" s="1253" t="str">
        <f>E152</f>
        <v>Changes in taxpayers’ equity for 2024-25</v>
      </c>
      <c r="K152" s="251">
        <f>SUMIF('alb SoCITE'!$A:$A,$J152,'alb SoCITE'!$C:$C)</f>
        <v>0</v>
      </c>
      <c r="L152" s="251">
        <f>SUMIF('alb SoCITE'!$A:$A,$J152,'alb SoCITE'!$I:$I)</f>
        <v>0</v>
      </c>
      <c r="M152" s="252"/>
      <c r="N152" s="273">
        <f t="shared" ref="N152:N161" si="82">ROUND(SUM(O152:S152)+SUM(W152:AV152),0)</f>
        <v>0</v>
      </c>
      <c r="O152" s="12"/>
      <c r="P152" s="12"/>
      <c r="Q152" s="12"/>
      <c r="R152" s="12"/>
      <c r="S152" s="6">
        <f t="shared" si="68"/>
        <v>0</v>
      </c>
      <c r="T152" s="273">
        <f t="shared" ref="T152:T161" si="83">ROUND(SUM(U152:Y152),0)</f>
        <v>0</v>
      </c>
      <c r="U152" s="6">
        <f t="shared" ref="U152:U161" si="84">SUM(BL152:BN152)</f>
        <v>0</v>
      </c>
      <c r="V152" s="6"/>
      <c r="W152" s="6">
        <f t="shared" ref="W152:W176" si="85">+H152</f>
        <v>0</v>
      </c>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X152" s="6"/>
      <c r="AY152" s="6">
        <f>ROUND(AX152/1000/Update!$B$31*Update!$B$27,0)</f>
        <v>0</v>
      </c>
      <c r="BA152" s="6"/>
      <c r="BB152" s="6">
        <f>ROUND(BA152/1000/Update!$B$31,0)</f>
        <v>0</v>
      </c>
      <c r="BC152" s="6"/>
      <c r="BD152" s="29">
        <f t="shared" si="69"/>
        <v>0</v>
      </c>
      <c r="BE152" s="317"/>
      <c r="BF152" s="317"/>
      <c r="BG152" s="317"/>
      <c r="BH152" s="317"/>
      <c r="BI152" s="317"/>
      <c r="BJ152" s="317"/>
      <c r="BK152" s="327">
        <f t="shared" si="78"/>
        <v>0</v>
      </c>
      <c r="BL152" s="317"/>
      <c r="BM152" s="317"/>
      <c r="BN152" s="317"/>
      <c r="BO152" s="317"/>
      <c r="BP152" s="317"/>
      <c r="BQ152" s="317"/>
      <c r="BR152" s="317"/>
      <c r="BS152" s="317"/>
      <c r="BT152" s="317"/>
      <c r="BU152" s="317"/>
      <c r="BV152" s="317"/>
      <c r="BW152" s="317"/>
      <c r="BX152" s="317"/>
      <c r="BY152" s="317"/>
      <c r="BZ152" s="317"/>
      <c r="CA152" s="317"/>
      <c r="CB152" s="317"/>
      <c r="CC152" s="317"/>
      <c r="CD152" s="317"/>
      <c r="CE152" s="317"/>
      <c r="CF152" s="317"/>
      <c r="CG152" s="317"/>
      <c r="CH152" s="317"/>
      <c r="CI152" s="317"/>
      <c r="CM152" s="1139">
        <v>0</v>
      </c>
      <c r="CN152" s="1139">
        <v>0</v>
      </c>
      <c r="CP152" s="923">
        <f t="shared" si="73"/>
        <v>0</v>
      </c>
      <c r="CZ152" s="330"/>
    </row>
    <row r="153" spans="1:104" x14ac:dyDescent="0.25">
      <c r="A153" s="684">
        <f>MAX($A$6:A152)+1</f>
        <v>153</v>
      </c>
      <c r="B153" s="11" t="s">
        <v>43</v>
      </c>
      <c r="C153" s="11" t="str">
        <f t="shared" si="80"/>
        <v>SoCITE</v>
      </c>
      <c r="D153" s="11" t="s">
        <v>126</v>
      </c>
      <c r="E153" s="7" t="s">
        <v>761</v>
      </c>
      <c r="F153" s="15"/>
      <c r="G153" s="26"/>
      <c r="H153" s="6">
        <v>0</v>
      </c>
      <c r="I153" s="6">
        <v>0</v>
      </c>
      <c r="J153" s="1257" t="s">
        <v>761</v>
      </c>
      <c r="K153" s="251">
        <f>SUMIF('alb SoCITE'!$A:$A,$J153,'alb SoCITE'!$C:$C)</f>
        <v>0</v>
      </c>
      <c r="L153" s="251">
        <f>SUMIF('alb SoCITE'!$A:$A,$J153,'alb SoCITE'!$I:$I)</f>
        <v>0</v>
      </c>
      <c r="M153" s="252"/>
      <c r="N153" s="273">
        <f>ROUND(SUM(O153:S153)+SUM(W153:AV153),0)</f>
        <v>0</v>
      </c>
      <c r="O153" s="12"/>
      <c r="P153" s="12"/>
      <c r="Q153" s="51"/>
      <c r="R153" s="1533">
        <f>+V153</f>
        <v>0</v>
      </c>
      <c r="S153" s="6">
        <f t="shared" si="68"/>
        <v>0</v>
      </c>
      <c r="T153" s="273">
        <f t="shared" si="83"/>
        <v>0</v>
      </c>
      <c r="U153" s="6">
        <f t="shared" si="84"/>
        <v>0</v>
      </c>
      <c r="V153" s="1522">
        <f>-SUM(W153:Y153)</f>
        <v>0</v>
      </c>
      <c r="W153" s="6">
        <f t="shared" si="85"/>
        <v>0</v>
      </c>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X153" s="6"/>
      <c r="AY153" s="6">
        <f>ROUND(AX153/1000/Update!$B$31*Update!$B$27,0)</f>
        <v>0</v>
      </c>
      <c r="BA153" s="6"/>
      <c r="BB153" s="6">
        <f>ROUND(BA153/1000/Update!$B$31,0)</f>
        <v>0</v>
      </c>
      <c r="BC153" s="6"/>
      <c r="BD153" s="29">
        <f t="shared" si="69"/>
        <v>0</v>
      </c>
      <c r="BE153" s="317"/>
      <c r="BF153" s="317"/>
      <c r="BG153" s="317"/>
      <c r="BH153" s="317"/>
      <c r="BI153" s="1522">
        <f>SUM(Z153:AQ153)</f>
        <v>0</v>
      </c>
      <c r="BJ153" s="317"/>
      <c r="BK153" s="327">
        <f t="shared" si="78"/>
        <v>0</v>
      </c>
      <c r="BL153" s="317"/>
      <c r="BM153" s="317"/>
      <c r="BN153" s="317"/>
      <c r="BO153" s="317"/>
      <c r="BP153" s="317"/>
      <c r="BQ153" s="317"/>
      <c r="BR153" s="317"/>
      <c r="BS153" s="317"/>
      <c r="BT153" s="317"/>
      <c r="BU153" s="317"/>
      <c r="BV153" s="317"/>
      <c r="BW153" s="317"/>
      <c r="BX153" s="317"/>
      <c r="BY153" s="317"/>
      <c r="BZ153" s="317"/>
      <c r="CA153" s="317"/>
      <c r="CB153" s="317"/>
      <c r="CC153" s="317"/>
      <c r="CD153" s="317"/>
      <c r="CE153" s="317"/>
      <c r="CF153" s="317"/>
      <c r="CG153" s="317"/>
      <c r="CH153" s="317"/>
      <c r="CI153" s="317"/>
      <c r="CM153" s="1139">
        <v>-1169722</v>
      </c>
      <c r="CN153" s="1139">
        <v>6868431</v>
      </c>
      <c r="CP153" s="923">
        <f t="shared" si="73"/>
        <v>-1169722</v>
      </c>
      <c r="CZ153" s="330"/>
    </row>
    <row r="154" spans="1:104" ht="30" x14ac:dyDescent="0.25">
      <c r="A154" s="684">
        <f>MAX($A$6:A153)+1</f>
        <v>154</v>
      </c>
      <c r="B154" s="11" t="s">
        <v>43</v>
      </c>
      <c r="C154" s="11" t="str">
        <f t="shared" si="80"/>
        <v>SoCITE</v>
      </c>
      <c r="D154" s="11" t="s">
        <v>126</v>
      </c>
      <c r="E154" s="7" t="s">
        <v>113</v>
      </c>
      <c r="F154" s="15"/>
      <c r="G154" s="1254" t="s">
        <v>330</v>
      </c>
      <c r="H154" s="6">
        <v>6868487</v>
      </c>
      <c r="I154" s="6">
        <v>0</v>
      </c>
      <c r="J154" s="1253" t="s">
        <v>286</v>
      </c>
      <c r="K154" s="251">
        <f>SUMIF('alb SoCITE'!$A:$A,$J154,'alb SoCITE'!$C:$C)</f>
        <v>0</v>
      </c>
      <c r="L154" s="251">
        <f>SUMIF('alb SoCITE'!$A:$A,$J154,'alb SoCITE'!$I:$I)</f>
        <v>0</v>
      </c>
      <c r="M154" s="252"/>
      <c r="N154" s="273">
        <f t="shared" si="82"/>
        <v>6868487</v>
      </c>
      <c r="O154" s="12"/>
      <c r="P154" s="12"/>
      <c r="Q154" s="12"/>
      <c r="R154" s="1533">
        <f>+V154</f>
        <v>0</v>
      </c>
      <c r="S154" s="6">
        <f t="shared" si="68"/>
        <v>0</v>
      </c>
      <c r="T154" s="273">
        <f t="shared" si="83"/>
        <v>6868487</v>
      </c>
      <c r="U154" s="6">
        <f t="shared" si="84"/>
        <v>0</v>
      </c>
      <c r="V154" s="1493">
        <f>-V153</f>
        <v>0</v>
      </c>
      <c r="W154" s="6">
        <f t="shared" si="85"/>
        <v>6868487</v>
      </c>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X154" s="6"/>
      <c r="AY154" s="6">
        <f>ROUND(AX154/1000/Update!$B$31*Update!$B$27,0)</f>
        <v>0</v>
      </c>
      <c r="BA154" s="6"/>
      <c r="BB154" s="6">
        <f>ROUND(BA154/1000/Update!$B$31,0)</f>
        <v>0</v>
      </c>
      <c r="BC154" s="6"/>
      <c r="BD154" s="29">
        <f t="shared" si="69"/>
        <v>0</v>
      </c>
      <c r="BE154" s="317"/>
      <c r="BF154" s="317"/>
      <c r="BG154" s="317"/>
      <c r="BH154" s="317"/>
      <c r="BI154" s="317"/>
      <c r="BJ154" s="317"/>
      <c r="BK154" s="327">
        <f t="shared" si="78"/>
        <v>0</v>
      </c>
      <c r="BL154" s="317"/>
      <c r="BM154" s="317"/>
      <c r="BN154" s="317"/>
      <c r="BO154" s="317"/>
      <c r="BP154" s="317"/>
      <c r="BQ154" s="317"/>
      <c r="BR154" s="317"/>
      <c r="BS154" s="317"/>
      <c r="BT154" s="317"/>
      <c r="BU154" s="317"/>
      <c r="BV154" s="317"/>
      <c r="BW154" s="317"/>
      <c r="BX154" s="317"/>
      <c r="BY154" s="317"/>
      <c r="BZ154" s="317"/>
      <c r="CA154" s="317"/>
      <c r="CB154" s="317"/>
      <c r="CC154" s="317"/>
      <c r="CD154" s="317"/>
      <c r="CE154" s="317"/>
      <c r="CF154" s="317"/>
      <c r="CG154" s="317"/>
      <c r="CH154" s="317"/>
      <c r="CI154" s="317"/>
      <c r="CM154" s="1139">
        <v>1169722</v>
      </c>
      <c r="CN154" s="1139">
        <v>0</v>
      </c>
      <c r="CP154" s="923">
        <f t="shared" si="73"/>
        <v>1169722</v>
      </c>
      <c r="CZ154" s="330"/>
    </row>
    <row r="155" spans="1:104" ht="30" x14ac:dyDescent="0.25">
      <c r="A155" s="684">
        <f>MAX($A$6:A154)+1</f>
        <v>155</v>
      </c>
      <c r="B155" s="11" t="s">
        <v>43</v>
      </c>
      <c r="C155" s="11" t="str">
        <f t="shared" si="80"/>
        <v>SoCITE</v>
      </c>
      <c r="D155" s="11" t="s">
        <v>126</v>
      </c>
      <c r="E155" s="7" t="s">
        <v>114</v>
      </c>
      <c r="F155" s="15"/>
      <c r="G155" s="1254" t="s">
        <v>331</v>
      </c>
      <c r="H155" s="6">
        <v>63074</v>
      </c>
      <c r="I155" s="6">
        <v>0</v>
      </c>
      <c r="J155" s="1253" t="s">
        <v>286</v>
      </c>
      <c r="K155" s="251">
        <f>SUMIF('alb SoCITE'!$A:$A,$J155,'alb SoCITE'!$C:$C)</f>
        <v>0</v>
      </c>
      <c r="L155" s="251">
        <f>SUMIF('alb SoCITE'!$A:$A,$J155,'alb SoCITE'!$I:$I)</f>
        <v>0</v>
      </c>
      <c r="M155" s="252"/>
      <c r="N155" s="273">
        <f t="shared" si="82"/>
        <v>63074</v>
      </c>
      <c r="O155" s="12"/>
      <c r="P155" s="12"/>
      <c r="Q155" s="12"/>
      <c r="R155" s="12"/>
      <c r="S155" s="6">
        <f t="shared" si="68"/>
        <v>0</v>
      </c>
      <c r="T155" s="273">
        <f t="shared" si="83"/>
        <v>63074</v>
      </c>
      <c r="U155" s="6">
        <f t="shared" si="84"/>
        <v>0</v>
      </c>
      <c r="V155" s="6"/>
      <c r="W155" s="6">
        <f t="shared" si="85"/>
        <v>63074</v>
      </c>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X155" s="6"/>
      <c r="AY155" s="6">
        <f>ROUND(AX155/1000/Update!$B$31*Update!$B$27,0)</f>
        <v>0</v>
      </c>
      <c r="BA155" s="6"/>
      <c r="BB155" s="6">
        <f>ROUND(BA155/1000/Update!$B$31,0)</f>
        <v>0</v>
      </c>
      <c r="BC155" s="6"/>
      <c r="BD155" s="29">
        <f t="shared" si="69"/>
        <v>0</v>
      </c>
      <c r="BE155" s="317"/>
      <c r="BF155" s="317"/>
      <c r="BG155" s="317"/>
      <c r="BH155" s="317"/>
      <c r="BI155" s="317"/>
      <c r="BJ155" s="317"/>
      <c r="BK155" s="327">
        <f t="shared" si="78"/>
        <v>0</v>
      </c>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M155" s="1139">
        <v>0</v>
      </c>
      <c r="CN155" s="1139">
        <v>0</v>
      </c>
      <c r="CP155" s="923">
        <f t="shared" si="73"/>
        <v>0</v>
      </c>
      <c r="CZ155" s="330"/>
    </row>
    <row r="156" spans="1:104" ht="25.5" x14ac:dyDescent="0.25">
      <c r="A156" s="684">
        <f>MAX($A$6:A155)+1</f>
        <v>156</v>
      </c>
      <c r="B156" s="11" t="s">
        <v>43</v>
      </c>
      <c r="C156" s="11" t="str">
        <f t="shared" si="80"/>
        <v>SoCITE</v>
      </c>
      <c r="D156" s="11" t="s">
        <v>126</v>
      </c>
      <c r="E156" s="7" t="s">
        <v>115</v>
      </c>
      <c r="F156" s="15"/>
      <c r="G156" s="1254" t="s">
        <v>115</v>
      </c>
      <c r="H156" s="6">
        <v>-27203</v>
      </c>
      <c r="I156" s="6">
        <v>0</v>
      </c>
      <c r="J156" s="1253" t="s">
        <v>286</v>
      </c>
      <c r="K156" s="251">
        <f>SUMIF('alb SoCITE'!$A:$A,$J156,'alb SoCITE'!$C:$C)</f>
        <v>0</v>
      </c>
      <c r="L156" s="251">
        <f>SUMIF('alb SoCITE'!$A:$A,$J156,'alb SoCITE'!$I:$I)</f>
        <v>0</v>
      </c>
      <c r="M156" s="252"/>
      <c r="N156" s="273">
        <f t="shared" si="82"/>
        <v>-27203</v>
      </c>
      <c r="O156" s="12"/>
      <c r="P156" s="12"/>
      <c r="Q156" s="12"/>
      <c r="R156" s="12"/>
      <c r="S156" s="6">
        <f t="shared" si="68"/>
        <v>0</v>
      </c>
      <c r="T156" s="273">
        <f t="shared" si="83"/>
        <v>-27203</v>
      </c>
      <c r="U156" s="6">
        <f t="shared" si="84"/>
        <v>0</v>
      </c>
      <c r="V156" s="6"/>
      <c r="W156" s="6">
        <f t="shared" si="85"/>
        <v>-27203</v>
      </c>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X156" s="6"/>
      <c r="AY156" s="6">
        <f>ROUND(AX156/1000/Update!$B$31*Update!$B$27,0)</f>
        <v>0</v>
      </c>
      <c r="BA156" s="6"/>
      <c r="BB156" s="6">
        <f>ROUND(BA156/1000/Update!$B$31,0)</f>
        <v>0</v>
      </c>
      <c r="BC156" s="6"/>
      <c r="BD156" s="29">
        <f t="shared" si="69"/>
        <v>0</v>
      </c>
      <c r="BE156" s="317"/>
      <c r="BF156" s="317"/>
      <c r="BG156" s="317"/>
      <c r="BH156" s="317"/>
      <c r="BI156" s="317"/>
      <c r="BJ156" s="317"/>
      <c r="BK156" s="327">
        <f t="shared" si="78"/>
        <v>0</v>
      </c>
      <c r="BL156" s="317"/>
      <c r="BM156" s="317"/>
      <c r="BN156" s="317"/>
      <c r="BO156" s="317"/>
      <c r="BP156" s="317"/>
      <c r="BQ156" s="317"/>
      <c r="BR156" s="317"/>
      <c r="BS156" s="317"/>
      <c r="BT156" s="317"/>
      <c r="BU156" s="317"/>
      <c r="BV156" s="317"/>
      <c r="BW156" s="317"/>
      <c r="BX156" s="317"/>
      <c r="BY156" s="317"/>
      <c r="BZ156" s="317"/>
      <c r="CA156" s="317"/>
      <c r="CB156" s="317"/>
      <c r="CC156" s="317"/>
      <c r="CD156" s="317"/>
      <c r="CE156" s="317"/>
      <c r="CF156" s="317"/>
      <c r="CG156" s="317"/>
      <c r="CH156" s="317"/>
      <c r="CI156" s="317"/>
      <c r="CM156" s="1139">
        <v>0</v>
      </c>
      <c r="CN156" s="1139">
        <v>0</v>
      </c>
      <c r="CP156" s="923">
        <f t="shared" si="73"/>
        <v>0</v>
      </c>
      <c r="CZ156" s="330"/>
    </row>
    <row r="157" spans="1:104" ht="25.5" x14ac:dyDescent="0.25">
      <c r="A157" s="684">
        <f>MAX($A$6:A156)+1</f>
        <v>157</v>
      </c>
      <c r="B157" s="11" t="s">
        <v>43</v>
      </c>
      <c r="C157" s="11" t="str">
        <f t="shared" si="80"/>
        <v>SoCITE</v>
      </c>
      <c r="D157" s="11" t="s">
        <v>126</v>
      </c>
      <c r="E157" s="7" t="s">
        <v>116</v>
      </c>
      <c r="F157" s="15"/>
      <c r="G157" s="1254" t="s">
        <v>116</v>
      </c>
      <c r="H157" s="6">
        <v>-373</v>
      </c>
      <c r="I157" s="6">
        <v>0</v>
      </c>
      <c r="J157" s="1253" t="s">
        <v>286</v>
      </c>
      <c r="K157" s="251">
        <f>SUMIF('alb SoCITE'!$A:$A,$J157,'alb SoCITE'!$C:$C)</f>
        <v>0</v>
      </c>
      <c r="L157" s="251">
        <f>SUMIF('alb SoCITE'!$A:$A,$J157,'alb SoCITE'!$I:$I)</f>
        <v>0</v>
      </c>
      <c r="M157" s="252"/>
      <c r="N157" s="273">
        <f t="shared" si="82"/>
        <v>-373</v>
      </c>
      <c r="O157" s="12"/>
      <c r="P157" s="12"/>
      <c r="Q157" s="12"/>
      <c r="R157" s="12"/>
      <c r="S157" s="6">
        <f t="shared" si="68"/>
        <v>0</v>
      </c>
      <c r="T157" s="273">
        <f t="shared" si="83"/>
        <v>-373</v>
      </c>
      <c r="U157" s="6">
        <f t="shared" si="84"/>
        <v>0</v>
      </c>
      <c r="V157" s="6"/>
      <c r="W157" s="6">
        <f t="shared" si="85"/>
        <v>-373</v>
      </c>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X157" s="6"/>
      <c r="AY157" s="6">
        <f>ROUND(AX157/1000/Update!$B$31*Update!$B$27,0)</f>
        <v>0</v>
      </c>
      <c r="BA157" s="6"/>
      <c r="BB157" s="6">
        <f>ROUND(BA157/1000/Update!$B$31,0)</f>
        <v>0</v>
      </c>
      <c r="BC157" s="6"/>
      <c r="BD157" s="29">
        <f t="shared" si="69"/>
        <v>0</v>
      </c>
      <c r="BE157" s="317"/>
      <c r="BF157" s="317"/>
      <c r="BG157" s="317"/>
      <c r="BH157" s="317"/>
      <c r="BI157" s="317"/>
      <c r="BJ157" s="317"/>
      <c r="BK157" s="327">
        <f t="shared" si="78"/>
        <v>0</v>
      </c>
      <c r="BL157" s="317"/>
      <c r="BM157" s="317"/>
      <c r="BN157" s="317"/>
      <c r="BO157" s="317"/>
      <c r="BP157" s="317"/>
      <c r="BQ157" s="317"/>
      <c r="BR157" s="317"/>
      <c r="BS157" s="317"/>
      <c r="BT157" s="317"/>
      <c r="BU157" s="317"/>
      <c r="BV157" s="317"/>
      <c r="BW157" s="317"/>
      <c r="BX157" s="317"/>
      <c r="BY157" s="317"/>
      <c r="BZ157" s="317"/>
      <c r="CA157" s="317"/>
      <c r="CB157" s="317"/>
      <c r="CC157" s="317"/>
      <c r="CD157" s="317"/>
      <c r="CE157" s="317"/>
      <c r="CF157" s="317"/>
      <c r="CG157" s="317"/>
      <c r="CH157" s="317"/>
      <c r="CI157" s="317"/>
      <c r="CM157" s="1139">
        <v>0</v>
      </c>
      <c r="CN157" s="1139">
        <v>0</v>
      </c>
      <c r="CP157" s="923">
        <f t="shared" si="73"/>
        <v>0</v>
      </c>
      <c r="CZ157" s="330"/>
    </row>
    <row r="158" spans="1:104" ht="30" x14ac:dyDescent="0.25">
      <c r="A158" s="684">
        <f>MAX($A$6:A157)+1</f>
        <v>158</v>
      </c>
      <c r="B158" s="11" t="s">
        <v>43</v>
      </c>
      <c r="C158" s="11" t="str">
        <f t="shared" si="80"/>
        <v>SoCITE</v>
      </c>
      <c r="D158" s="11" t="s">
        <v>126</v>
      </c>
      <c r="E158" s="7" t="s">
        <v>332</v>
      </c>
      <c r="F158" s="15"/>
      <c r="G158" s="1254" t="s">
        <v>332</v>
      </c>
      <c r="H158" s="6">
        <v>0</v>
      </c>
      <c r="I158" s="6">
        <v>0</v>
      </c>
      <c r="J158" s="1253" t="s">
        <v>286</v>
      </c>
      <c r="K158" s="251">
        <f>SUMIF('alb SoCITE'!$A:$A,$J158,'alb SoCITE'!$C:$C)</f>
        <v>0</v>
      </c>
      <c r="L158" s="251">
        <f>SUMIF('alb SoCITE'!$A:$A,$J158,'alb SoCITE'!$I:$I)</f>
        <v>0</v>
      </c>
      <c r="M158" s="252"/>
      <c r="N158" s="273">
        <f t="shared" si="82"/>
        <v>0</v>
      </c>
      <c r="O158" s="12"/>
      <c r="P158" s="12"/>
      <c r="Q158" s="12"/>
      <c r="R158" s="12"/>
      <c r="S158" s="6">
        <f t="shared" si="68"/>
        <v>0</v>
      </c>
      <c r="T158" s="273">
        <f t="shared" si="83"/>
        <v>0</v>
      </c>
      <c r="U158" s="6">
        <f t="shared" si="84"/>
        <v>0</v>
      </c>
      <c r="V158" s="6"/>
      <c r="W158" s="6">
        <f t="shared" si="85"/>
        <v>0</v>
      </c>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X158" s="6"/>
      <c r="AY158" s="6">
        <f>ROUND(AX158/1000/Update!$B$31*Update!$B$27,0)</f>
        <v>0</v>
      </c>
      <c r="BA158" s="6"/>
      <c r="BB158" s="6">
        <f>ROUND(BA158/1000/Update!$B$31,0)</f>
        <v>0</v>
      </c>
      <c r="BC158" s="6"/>
      <c r="BD158" s="29">
        <f t="shared" si="69"/>
        <v>0</v>
      </c>
      <c r="BE158" s="317"/>
      <c r="BF158" s="317"/>
      <c r="BG158" s="317"/>
      <c r="BH158" s="317"/>
      <c r="BI158" s="317"/>
      <c r="BJ158" s="317"/>
      <c r="BK158" s="327">
        <f t="shared" si="78"/>
        <v>0</v>
      </c>
      <c r="BL158" s="317"/>
      <c r="BM158" s="317"/>
      <c r="BN158" s="317"/>
      <c r="BO158" s="317"/>
      <c r="BP158" s="317"/>
      <c r="BQ158" s="317"/>
      <c r="BR158" s="317"/>
      <c r="BS158" s="317"/>
      <c r="BT158" s="317"/>
      <c r="BU158" s="317"/>
      <c r="BV158" s="317"/>
      <c r="BW158" s="317"/>
      <c r="BX158" s="317"/>
      <c r="BY158" s="317"/>
      <c r="BZ158" s="317"/>
      <c r="CA158" s="317"/>
      <c r="CB158" s="317"/>
      <c r="CC158" s="317"/>
      <c r="CD158" s="317"/>
      <c r="CE158" s="317"/>
      <c r="CF158" s="317"/>
      <c r="CG158" s="317"/>
      <c r="CH158" s="317"/>
      <c r="CI158" s="317"/>
      <c r="CM158" s="1139">
        <v>0</v>
      </c>
      <c r="CN158" s="1139">
        <v>0</v>
      </c>
      <c r="CP158" s="923">
        <f t="shared" si="73"/>
        <v>0</v>
      </c>
      <c r="CZ158" s="330"/>
    </row>
    <row r="159" spans="1:104" x14ac:dyDescent="0.25">
      <c r="A159" s="684">
        <f>MAX($A$6:A158)+1</f>
        <v>159</v>
      </c>
      <c r="B159" s="11" t="s">
        <v>43</v>
      </c>
      <c r="C159" s="11" t="str">
        <f t="shared" si="80"/>
        <v>SoCITE</v>
      </c>
      <c r="D159" s="11" t="s">
        <v>126</v>
      </c>
      <c r="E159" s="7" t="s">
        <v>333</v>
      </c>
      <c r="F159" s="15"/>
      <c r="G159" s="1254" t="s">
        <v>333</v>
      </c>
      <c r="H159" s="6">
        <v>0</v>
      </c>
      <c r="I159" s="6">
        <v>0</v>
      </c>
      <c r="J159" s="1253" t="s">
        <v>286</v>
      </c>
      <c r="K159" s="251">
        <f>SUMIF('alb SoCITE'!$A:$A,$J159,'alb SoCITE'!$C:$C)</f>
        <v>0</v>
      </c>
      <c r="L159" s="251">
        <f>SUMIF('alb SoCITE'!$A:$A,$J159,'alb SoCITE'!$I:$I)</f>
        <v>0</v>
      </c>
      <c r="M159" s="252"/>
      <c r="N159" s="273">
        <f t="shared" si="82"/>
        <v>0</v>
      </c>
      <c r="O159" s="12"/>
      <c r="P159" s="12"/>
      <c r="Q159" s="12"/>
      <c r="R159" s="12"/>
      <c r="S159" s="6">
        <f t="shared" si="68"/>
        <v>0</v>
      </c>
      <c r="T159" s="273">
        <f t="shared" si="83"/>
        <v>0</v>
      </c>
      <c r="U159" s="6">
        <f t="shared" si="84"/>
        <v>0</v>
      </c>
      <c r="V159" s="6"/>
      <c r="W159" s="6">
        <f t="shared" si="85"/>
        <v>0</v>
      </c>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X159" s="6"/>
      <c r="AY159" s="6">
        <f>ROUND(AX159/1000/Update!$B$31*Update!$B$27,0)</f>
        <v>0</v>
      </c>
      <c r="BA159" s="6"/>
      <c r="BB159" s="6">
        <f>ROUND(BA159/1000/Update!$B$31,0)</f>
        <v>0</v>
      </c>
      <c r="BC159" s="6"/>
      <c r="BD159" s="29">
        <f t="shared" si="69"/>
        <v>0</v>
      </c>
      <c r="BE159" s="317"/>
      <c r="BF159" s="317"/>
      <c r="BG159" s="317"/>
      <c r="BH159" s="317"/>
      <c r="BI159" s="317"/>
      <c r="BJ159" s="317"/>
      <c r="BK159" s="327">
        <f t="shared" si="78"/>
        <v>0</v>
      </c>
      <c r="BL159" s="317"/>
      <c r="BM159" s="317"/>
      <c r="BN159" s="317"/>
      <c r="BO159" s="317"/>
      <c r="BP159" s="317"/>
      <c r="BQ159" s="317"/>
      <c r="BR159" s="317"/>
      <c r="BS159" s="317"/>
      <c r="BT159" s="317"/>
      <c r="BU159" s="317"/>
      <c r="BV159" s="317"/>
      <c r="BW159" s="317"/>
      <c r="BX159" s="317"/>
      <c r="BY159" s="317"/>
      <c r="BZ159" s="317"/>
      <c r="CA159" s="317"/>
      <c r="CB159" s="317"/>
      <c r="CC159" s="317"/>
      <c r="CD159" s="317"/>
      <c r="CE159" s="317"/>
      <c r="CF159" s="317"/>
      <c r="CG159" s="317"/>
      <c r="CH159" s="317"/>
      <c r="CI159" s="317"/>
      <c r="CM159" s="1139">
        <v>0</v>
      </c>
      <c r="CN159" s="1139">
        <v>0</v>
      </c>
      <c r="CP159" s="923">
        <f t="shared" si="73"/>
        <v>0</v>
      </c>
      <c r="CZ159" s="330"/>
    </row>
    <row r="160" spans="1:104" x14ac:dyDescent="0.25">
      <c r="A160" s="684">
        <f>MAX($A$6:A159)+1</f>
        <v>160</v>
      </c>
      <c r="B160" s="11" t="s">
        <v>43</v>
      </c>
      <c r="C160" s="11" t="str">
        <f t="shared" si="80"/>
        <v>SoCITE</v>
      </c>
      <c r="D160" s="11" t="s">
        <v>126</v>
      </c>
      <c r="E160" s="7" t="s">
        <v>2178</v>
      </c>
      <c r="F160" s="15"/>
      <c r="G160" s="1254" t="s">
        <v>2178</v>
      </c>
      <c r="H160" s="6">
        <v>792951</v>
      </c>
      <c r="I160" s="6">
        <v>0</v>
      </c>
      <c r="J160" s="1253" t="s">
        <v>286</v>
      </c>
      <c r="K160" s="251">
        <f>SUMIF('alb SoCITE'!$A:$A,$J160,'alb SoCITE'!$C:$C)</f>
        <v>0</v>
      </c>
      <c r="L160" s="251">
        <f>SUMIF('alb SoCITE'!$A:$A,$J160,'alb SoCITE'!$I:$I)</f>
        <v>0</v>
      </c>
      <c r="M160" s="252"/>
      <c r="N160" s="273">
        <f>ROUND(SUM(O160:S160)+SUM(W160:AV160),0)</f>
        <v>792951</v>
      </c>
      <c r="O160" s="12"/>
      <c r="P160" s="12"/>
      <c r="Q160" s="12"/>
      <c r="R160" s="12"/>
      <c r="S160" s="6">
        <f>-IF(ISNUMBER(BD160),BD160,0)</f>
        <v>0</v>
      </c>
      <c r="T160" s="273">
        <f>ROUND(SUM(U160:Y160),0)</f>
        <v>792951</v>
      </c>
      <c r="U160" s="6">
        <f>SUM(BL160:BN160)</f>
        <v>0</v>
      </c>
      <c r="V160" s="6"/>
      <c r="W160" s="6">
        <f>+H160</f>
        <v>792951</v>
      </c>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X160" s="6"/>
      <c r="AY160" s="6">
        <f>ROUND(AX160/1000/Update!$B$31*Update!$B$27,0)</f>
        <v>0</v>
      </c>
      <c r="BA160" s="6"/>
      <c r="BB160" s="6">
        <f>ROUND(BA160/1000/Update!$B$31,0)</f>
        <v>0</v>
      </c>
      <c r="BC160" s="6"/>
      <c r="BD160" s="29">
        <f>ROUND(SUM(BE160:BK160),0)</f>
        <v>0</v>
      </c>
      <c r="BE160" s="317"/>
      <c r="BF160" s="317"/>
      <c r="BG160" s="317"/>
      <c r="BH160" s="317"/>
      <c r="BI160" s="317"/>
      <c r="BJ160" s="317"/>
      <c r="BK160" s="327">
        <f t="shared" si="78"/>
        <v>0</v>
      </c>
      <c r="BL160" s="317"/>
      <c r="BM160" s="317"/>
      <c r="BN160" s="317"/>
      <c r="BO160" s="317"/>
      <c r="BP160" s="317"/>
      <c r="BQ160" s="317"/>
      <c r="BR160" s="317"/>
      <c r="BS160" s="317"/>
      <c r="BT160" s="317"/>
      <c r="BU160" s="317"/>
      <c r="BV160" s="317"/>
      <c r="BW160" s="317"/>
      <c r="BX160" s="317"/>
      <c r="BY160" s="317"/>
      <c r="BZ160" s="317"/>
      <c r="CA160" s="317"/>
      <c r="CB160" s="317"/>
      <c r="CC160" s="317"/>
      <c r="CD160" s="317"/>
      <c r="CE160" s="317"/>
      <c r="CF160" s="317"/>
      <c r="CG160" s="317"/>
      <c r="CH160" s="317"/>
      <c r="CI160" s="317"/>
      <c r="CM160" s="1139">
        <v>0</v>
      </c>
      <c r="CN160" s="1139">
        <v>0</v>
      </c>
      <c r="CP160" s="923">
        <f t="shared" si="73"/>
        <v>0</v>
      </c>
      <c r="CZ160" s="330"/>
    </row>
    <row r="161" spans="1:104" x14ac:dyDescent="0.25">
      <c r="A161" s="684">
        <f>MAX($A$6:A160)+1</f>
        <v>161</v>
      </c>
      <c r="B161" s="11" t="s">
        <v>43</v>
      </c>
      <c r="C161" s="11" t="str">
        <f t="shared" si="80"/>
        <v>SoCITE</v>
      </c>
      <c r="D161" s="11" t="s">
        <v>126</v>
      </c>
      <c r="E161" s="7" t="s">
        <v>334</v>
      </c>
      <c r="F161" s="15"/>
      <c r="G161" s="1254" t="s">
        <v>334</v>
      </c>
      <c r="H161" s="6">
        <v>0</v>
      </c>
      <c r="I161" s="6">
        <v>0</v>
      </c>
      <c r="J161" s="1253" t="s">
        <v>286</v>
      </c>
      <c r="K161" s="251">
        <f>SUMIF('alb SoCITE'!$A:$A,$J161,'alb SoCITE'!$C:$C)</f>
        <v>0</v>
      </c>
      <c r="L161" s="251">
        <f>SUMIF('alb SoCITE'!$A:$A,$J161,'alb SoCITE'!$I:$I)</f>
        <v>0</v>
      </c>
      <c r="M161" s="252"/>
      <c r="N161" s="273">
        <f t="shared" si="82"/>
        <v>0</v>
      </c>
      <c r="O161" s="12"/>
      <c r="P161" s="12"/>
      <c r="Q161" s="12"/>
      <c r="R161" s="12"/>
      <c r="S161" s="6">
        <f t="shared" si="68"/>
        <v>0</v>
      </c>
      <c r="T161" s="273">
        <f t="shared" si="83"/>
        <v>0</v>
      </c>
      <c r="U161" s="6">
        <f t="shared" si="84"/>
        <v>0</v>
      </c>
      <c r="V161" s="6"/>
      <c r="W161" s="6">
        <f t="shared" si="85"/>
        <v>0</v>
      </c>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X161" s="6"/>
      <c r="AY161" s="6">
        <f>ROUND(AX161/1000/Update!$B$31*Update!$B$27,0)</f>
        <v>0</v>
      </c>
      <c r="BA161" s="6"/>
      <c r="BB161" s="6">
        <f>ROUND(BA161/1000/Update!$B$31,0)</f>
        <v>0</v>
      </c>
      <c r="BC161" s="6"/>
      <c r="BD161" s="29">
        <f t="shared" si="69"/>
        <v>0</v>
      </c>
      <c r="BE161" s="317"/>
      <c r="BF161" s="317"/>
      <c r="BG161" s="317"/>
      <c r="BH161" s="317"/>
      <c r="BI161" s="317"/>
      <c r="BJ161" s="317"/>
      <c r="BK161" s="327">
        <f t="shared" si="78"/>
        <v>0</v>
      </c>
      <c r="BL161" s="317"/>
      <c r="BM161" s="317"/>
      <c r="BN161" s="317"/>
      <c r="BO161" s="317"/>
      <c r="BP161" s="317"/>
      <c r="BQ161" s="317"/>
      <c r="BR161" s="317"/>
      <c r="BS161" s="317"/>
      <c r="BT161" s="317"/>
      <c r="BU161" s="317"/>
      <c r="BV161" s="317"/>
      <c r="BW161" s="317"/>
      <c r="BX161" s="317"/>
      <c r="BY161" s="317"/>
      <c r="BZ161" s="317"/>
      <c r="CA161" s="317"/>
      <c r="CB161" s="317"/>
      <c r="CC161" s="317"/>
      <c r="CD161" s="317"/>
      <c r="CE161" s="317"/>
      <c r="CF161" s="317"/>
      <c r="CG161" s="317"/>
      <c r="CH161" s="317"/>
      <c r="CI161" s="317"/>
      <c r="CM161" s="1139">
        <v>0</v>
      </c>
      <c r="CN161" s="1139">
        <v>0</v>
      </c>
      <c r="CP161" s="923">
        <f t="shared" si="73"/>
        <v>0</v>
      </c>
      <c r="CZ161" s="330"/>
    </row>
    <row r="162" spans="1:104" x14ac:dyDescent="0.25">
      <c r="A162" s="701">
        <f>MAX($A$6:A161)+1</f>
        <v>162</v>
      </c>
      <c r="B162" s="18" t="s">
        <v>43</v>
      </c>
      <c r="C162" s="18" t="str">
        <f t="shared" si="80"/>
        <v>SoCITE</v>
      </c>
      <c r="D162" s="18" t="s">
        <v>126</v>
      </c>
      <c r="E162" s="19" t="s">
        <v>2179</v>
      </c>
      <c r="F162" s="20"/>
      <c r="G162" s="28"/>
      <c r="H162" s="14">
        <f>SUM(H152:H161)</f>
        <v>7696936</v>
      </c>
      <c r="I162" s="14">
        <f>SUM(I152:I161)</f>
        <v>0</v>
      </c>
      <c r="J162" s="1258" t="s">
        <v>286</v>
      </c>
      <c r="K162" s="256">
        <f>SUM(K152:K161)</f>
        <v>0</v>
      </c>
      <c r="L162" s="256">
        <f>SUM(L152:L161)</f>
        <v>0</v>
      </c>
      <c r="M162" s="21"/>
      <c r="N162" s="14">
        <f>SUM(N152:N161)</f>
        <v>7696936</v>
      </c>
      <c r="O162" s="14">
        <f t="shared" ref="O162:V162" si="86">SUM(O152:O161)</f>
        <v>0</v>
      </c>
      <c r="P162" s="14">
        <f t="shared" si="86"/>
        <v>0</v>
      </c>
      <c r="Q162" s="14">
        <f t="shared" si="86"/>
        <v>0</v>
      </c>
      <c r="R162" s="14">
        <f t="shared" si="86"/>
        <v>0</v>
      </c>
      <c r="S162" s="14">
        <f t="shared" si="68"/>
        <v>0</v>
      </c>
      <c r="T162" s="14">
        <f t="shared" si="86"/>
        <v>7696936</v>
      </c>
      <c r="U162" s="14">
        <f t="shared" si="86"/>
        <v>0</v>
      </c>
      <c r="V162" s="14">
        <f t="shared" si="86"/>
        <v>0</v>
      </c>
      <c r="W162" s="14">
        <f>SUM(W152:W161)</f>
        <v>7696936</v>
      </c>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2"/>
      <c r="AX162" s="14">
        <f>SUM(AX152:AX161)</f>
        <v>0</v>
      </c>
      <c r="AY162" s="14">
        <f>ROUND(AX162/1000/Update!$B$31*Update!$B$27,0)</f>
        <v>0</v>
      </c>
      <c r="AZ162" s="2"/>
      <c r="BA162" s="14">
        <f>SUM(BA152:BA161)</f>
        <v>0</v>
      </c>
      <c r="BB162" s="14">
        <f>ROUND(BA162/1000/Update!$B$31,0)</f>
        <v>0</v>
      </c>
      <c r="BC162" s="14"/>
      <c r="BD162" s="14">
        <f t="shared" si="69"/>
        <v>0</v>
      </c>
      <c r="BE162" s="318">
        <f t="shared" ref="BE162:BJ162" si="87">SUM(BE152:BE161)</f>
        <v>0</v>
      </c>
      <c r="BF162" s="318">
        <f t="shared" si="87"/>
        <v>0</v>
      </c>
      <c r="BG162" s="318">
        <f t="shared" si="87"/>
        <v>0</v>
      </c>
      <c r="BH162" s="318">
        <f t="shared" si="87"/>
        <v>0</v>
      </c>
      <c r="BI162" s="318">
        <f t="shared" si="87"/>
        <v>0</v>
      </c>
      <c r="BJ162" s="318">
        <f t="shared" si="87"/>
        <v>0</v>
      </c>
      <c r="BK162" s="14">
        <f t="shared" si="78"/>
        <v>0</v>
      </c>
      <c r="BL162" s="318"/>
      <c r="BM162" s="318"/>
      <c r="BN162" s="318"/>
      <c r="BO162" s="318"/>
      <c r="BP162" s="318"/>
      <c r="BQ162" s="318"/>
      <c r="BR162" s="318"/>
      <c r="BS162" s="318"/>
      <c r="BT162" s="318"/>
      <c r="BU162" s="318"/>
      <c r="BV162" s="318"/>
      <c r="BW162" s="318"/>
      <c r="BX162" s="318"/>
      <c r="BY162" s="318"/>
      <c r="BZ162" s="318"/>
      <c r="CA162" s="318"/>
      <c r="CB162" s="318"/>
      <c r="CC162" s="318"/>
      <c r="CD162" s="318"/>
      <c r="CE162" s="318"/>
      <c r="CF162" s="318"/>
      <c r="CG162" s="318"/>
      <c r="CH162" s="318"/>
      <c r="CI162" s="318"/>
      <c r="CJ162" s="2"/>
      <c r="CK162" s="2"/>
      <c r="CM162" s="1140">
        <v>0</v>
      </c>
      <c r="CN162" s="1140">
        <v>6868431</v>
      </c>
      <c r="CP162" s="923">
        <f t="shared" si="73"/>
        <v>0</v>
      </c>
      <c r="CZ162" s="330"/>
    </row>
    <row r="163" spans="1:104" ht="25.5" x14ac:dyDescent="0.25">
      <c r="A163" s="684">
        <f>MAX($A$6:A162)+1</f>
        <v>163</v>
      </c>
      <c r="B163" s="11" t="s">
        <v>43</v>
      </c>
      <c r="C163" s="11" t="str">
        <f t="shared" si="80"/>
        <v>SoCITE</v>
      </c>
      <c r="D163" s="11" t="s">
        <v>126</v>
      </c>
      <c r="E163" s="7" t="s">
        <v>118</v>
      </c>
      <c r="F163" s="15"/>
      <c r="G163" s="1254" t="s">
        <v>335</v>
      </c>
      <c r="H163" s="6">
        <v>-7695398</v>
      </c>
      <c r="I163" s="6">
        <v>0</v>
      </c>
      <c r="J163" s="1257" t="s">
        <v>762</v>
      </c>
      <c r="K163" s="251">
        <f>SUMIF('alb SoCITE'!$A:$A,$J163,'alb SoCITE'!$C:$C)</f>
        <v>0</v>
      </c>
      <c r="L163" s="251">
        <f>SUMIF('alb SoCITE'!$A:$A,$J163,'alb SoCITE'!$I:$I)</f>
        <v>0</v>
      </c>
      <c r="M163" s="252"/>
      <c r="N163" s="273">
        <f t="shared" ref="N163:N176" si="88">ROUND(SUM(O163:S163)+SUM(W163:AV163),0)</f>
        <v>-7695398</v>
      </c>
      <c r="O163" s="12"/>
      <c r="P163" s="12"/>
      <c r="Q163" s="12"/>
      <c r="R163" s="12"/>
      <c r="S163" s="6">
        <f t="shared" si="68"/>
        <v>0</v>
      </c>
      <c r="T163" s="273">
        <f t="shared" ref="T163:T176" si="89">ROUND(SUM(U163:Y163),0)</f>
        <v>-7695398</v>
      </c>
      <c r="U163" s="251">
        <f t="shared" ref="U163:U176" si="90">SUM(BL163:BN163)</f>
        <v>0</v>
      </c>
      <c r="V163" s="12"/>
      <c r="W163" s="251">
        <f t="shared" si="85"/>
        <v>-7695398</v>
      </c>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X163" s="6"/>
      <c r="AY163" s="6">
        <f>ROUND(AX163/1000/Update!$B$31*Update!$B$27,0)</f>
        <v>0</v>
      </c>
      <c r="BA163" s="6"/>
      <c r="BB163" s="6">
        <f>ROUND(BA163/1000/Update!$B$31,0)</f>
        <v>0</v>
      </c>
      <c r="BC163" s="6"/>
      <c r="BD163" s="29">
        <f t="shared" si="69"/>
        <v>0</v>
      </c>
      <c r="BE163" s="317"/>
      <c r="BF163" s="317"/>
      <c r="BG163" s="317"/>
      <c r="BH163" s="317"/>
      <c r="BI163" s="1522">
        <f>-BI153</f>
        <v>0</v>
      </c>
      <c r="BJ163" s="317"/>
      <c r="BK163" s="29">
        <f t="shared" si="78"/>
        <v>0</v>
      </c>
      <c r="BL163" s="317"/>
      <c r="BM163" s="317"/>
      <c r="BN163" s="317"/>
      <c r="BO163" s="317"/>
      <c r="BP163" s="317"/>
      <c r="BQ163" s="317"/>
      <c r="BR163" s="317"/>
      <c r="BS163" s="317"/>
      <c r="BT163" s="317"/>
      <c r="BU163" s="317"/>
      <c r="BV163" s="317"/>
      <c r="BW163" s="317"/>
      <c r="BX163" s="317"/>
      <c r="BY163" s="317"/>
      <c r="BZ163" s="317"/>
      <c r="CA163" s="317"/>
      <c r="CB163" s="317"/>
      <c r="CC163" s="317"/>
      <c r="CD163" s="317"/>
      <c r="CE163" s="317"/>
      <c r="CF163" s="317"/>
      <c r="CG163" s="317"/>
      <c r="CH163" s="317"/>
      <c r="CI163" s="317"/>
      <c r="CM163" s="1139">
        <v>0</v>
      </c>
      <c r="CN163" s="1139">
        <v>-6868431</v>
      </c>
      <c r="CP163" s="923">
        <f t="shared" si="73"/>
        <v>0</v>
      </c>
      <c r="CZ163" s="330"/>
    </row>
    <row r="164" spans="1:104" x14ac:dyDescent="0.25">
      <c r="A164" s="684">
        <f>MAX($A$6:A163)+1</f>
        <v>164</v>
      </c>
      <c r="B164" s="11" t="s">
        <v>43</v>
      </c>
      <c r="C164" s="11" t="str">
        <f t="shared" si="80"/>
        <v>SoCITE</v>
      </c>
      <c r="D164" s="11" t="s">
        <v>126</v>
      </c>
      <c r="E164" s="7" t="s">
        <v>903</v>
      </c>
      <c r="F164" s="15"/>
      <c r="G164" s="1254"/>
      <c r="H164" s="6"/>
      <c r="I164" s="6"/>
      <c r="J164" s="1257" t="s">
        <v>903</v>
      </c>
      <c r="K164" s="251">
        <f>SUMIF('alb SoCITE'!$A:$A,$J164,'alb SoCITE'!$C:$C)</f>
        <v>0</v>
      </c>
      <c r="L164" s="251">
        <f>SUMIF('alb SoCITE'!$A:$A,$J164,'alb SoCITE'!$I:$I)</f>
        <v>0</v>
      </c>
      <c r="M164" s="252"/>
      <c r="N164" s="273">
        <f t="shared" si="88"/>
        <v>0</v>
      </c>
      <c r="O164" s="12"/>
      <c r="P164" s="12"/>
      <c r="Q164" s="12"/>
      <c r="R164" s="12"/>
      <c r="S164" s="6">
        <f t="shared" si="68"/>
        <v>0</v>
      </c>
      <c r="T164" s="273">
        <f t="shared" si="89"/>
        <v>0</v>
      </c>
      <c r="U164" s="6">
        <f t="shared" si="90"/>
        <v>0</v>
      </c>
      <c r="V164" s="6"/>
      <c r="W164" s="6">
        <f t="shared" si="85"/>
        <v>0</v>
      </c>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X164" s="6"/>
      <c r="AY164" s="6"/>
      <c r="BA164" s="6"/>
      <c r="BB164" s="6"/>
      <c r="BC164" s="6"/>
      <c r="BD164" s="29">
        <f t="shared" si="69"/>
        <v>0</v>
      </c>
      <c r="BE164" s="317"/>
      <c r="BF164" s="317"/>
      <c r="BG164" s="317"/>
      <c r="BH164" s="317"/>
      <c r="BI164" s="317"/>
      <c r="BJ164" s="317"/>
      <c r="BK164" s="29">
        <f t="shared" si="78"/>
        <v>0</v>
      </c>
      <c r="BL164" s="317"/>
      <c r="BM164" s="317"/>
      <c r="BN164" s="317"/>
      <c r="BO164" s="317"/>
      <c r="BP164" s="317"/>
      <c r="BQ164" s="317"/>
      <c r="BR164" s="317"/>
      <c r="BS164" s="317"/>
      <c r="BT164" s="317"/>
      <c r="BU164" s="317"/>
      <c r="BV164" s="317"/>
      <c r="BW164" s="317"/>
      <c r="BX164" s="317"/>
      <c r="BY164" s="317"/>
      <c r="BZ164" s="317"/>
      <c r="CA164" s="317"/>
      <c r="CB164" s="317"/>
      <c r="CC164" s="317"/>
      <c r="CD164" s="317"/>
      <c r="CE164" s="317"/>
      <c r="CF164" s="317"/>
      <c r="CG164" s="317"/>
      <c r="CH164" s="317"/>
      <c r="CI164" s="317"/>
      <c r="CM164" s="1139">
        <v>0</v>
      </c>
      <c r="CN164" s="1139">
        <v>0</v>
      </c>
      <c r="CP164" s="923">
        <f t="shared" si="73"/>
        <v>0</v>
      </c>
      <c r="CZ164" s="330"/>
    </row>
    <row r="165" spans="1:104" x14ac:dyDescent="0.25">
      <c r="A165" s="684">
        <f>MAX($A$6:A164)+1</f>
        <v>165</v>
      </c>
      <c r="B165" s="11" t="s">
        <v>43</v>
      </c>
      <c r="C165" s="11" t="str">
        <f t="shared" si="80"/>
        <v>SoCITE</v>
      </c>
      <c r="D165" s="11" t="s">
        <v>126</v>
      </c>
      <c r="E165" s="269" t="s">
        <v>119</v>
      </c>
      <c r="F165" s="15"/>
      <c r="G165" s="1276" t="s">
        <v>286</v>
      </c>
      <c r="H165" s="6">
        <v>0</v>
      </c>
      <c r="I165" s="6">
        <v>0</v>
      </c>
      <c r="J165" s="1253" t="s">
        <v>286</v>
      </c>
      <c r="K165" s="251">
        <f>SUMIF('alb SoCITE'!$A:$A,$J165,'alb SoCITE'!$C:$C)</f>
        <v>0</v>
      </c>
      <c r="L165" s="251">
        <f>SUMIF('alb SoCITE'!$A:$A,$J165,'alb SoCITE'!$I:$I)</f>
        <v>0</v>
      </c>
      <c r="M165" s="252"/>
      <c r="N165" s="273">
        <f t="shared" si="88"/>
        <v>0</v>
      </c>
      <c r="O165" s="12"/>
      <c r="P165" s="12"/>
      <c r="Q165" s="12"/>
      <c r="R165" s="12"/>
      <c r="S165" s="6">
        <f t="shared" si="68"/>
        <v>0</v>
      </c>
      <c r="T165" s="273">
        <f t="shared" si="89"/>
        <v>0</v>
      </c>
      <c r="U165" s="6">
        <f t="shared" si="90"/>
        <v>0</v>
      </c>
      <c r="V165" s="6"/>
      <c r="W165" s="6">
        <f t="shared" si="85"/>
        <v>0</v>
      </c>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X165" s="6"/>
      <c r="AY165" s="6">
        <f>ROUND(AX165/1000/Update!$B$31*Update!$B$27,0)</f>
        <v>0</v>
      </c>
      <c r="BA165" s="6"/>
      <c r="BB165" s="6">
        <f>ROUND(BA165/1000/Update!$B$31,0)</f>
        <v>0</v>
      </c>
      <c r="BC165" s="6"/>
      <c r="BD165" s="29">
        <f t="shared" si="69"/>
        <v>0</v>
      </c>
      <c r="BE165" s="317"/>
      <c r="BF165" s="317"/>
      <c r="BG165" s="317"/>
      <c r="BH165" s="317"/>
      <c r="BI165" s="317"/>
      <c r="BJ165" s="317"/>
      <c r="BK165" s="29">
        <f t="shared" si="78"/>
        <v>0</v>
      </c>
      <c r="BL165" s="317"/>
      <c r="BM165" s="317"/>
      <c r="BN165" s="317"/>
      <c r="BO165" s="317"/>
      <c r="BP165" s="317"/>
      <c r="BQ165" s="317"/>
      <c r="BR165" s="317"/>
      <c r="BS165" s="317"/>
      <c r="BT165" s="317"/>
      <c r="BU165" s="317"/>
      <c r="BV165" s="317"/>
      <c r="BW165" s="317"/>
      <c r="BX165" s="317"/>
      <c r="BY165" s="317"/>
      <c r="BZ165" s="317"/>
      <c r="CA165" s="317"/>
      <c r="CB165" s="317"/>
      <c r="CC165" s="317"/>
      <c r="CD165" s="317"/>
      <c r="CE165" s="317"/>
      <c r="CF165" s="317"/>
      <c r="CG165" s="317"/>
      <c r="CH165" s="317"/>
      <c r="CI165" s="317"/>
      <c r="CM165" s="1139">
        <v>0</v>
      </c>
      <c r="CN165" s="1139">
        <v>0</v>
      </c>
      <c r="CP165" s="923">
        <f t="shared" si="73"/>
        <v>0</v>
      </c>
      <c r="CZ165" s="330"/>
    </row>
    <row r="166" spans="1:104" ht="30" x14ac:dyDescent="0.25">
      <c r="A166" s="684">
        <f>MAX($A$6:A165)+1</f>
        <v>166</v>
      </c>
      <c r="B166" s="11" t="s">
        <v>43</v>
      </c>
      <c r="C166" s="11" t="str">
        <f t="shared" si="80"/>
        <v>SoCITE</v>
      </c>
      <c r="D166" s="11" t="s">
        <v>126</v>
      </c>
      <c r="E166" s="7" t="s">
        <v>120</v>
      </c>
      <c r="F166" s="15"/>
      <c r="G166" s="1254" t="s">
        <v>120</v>
      </c>
      <c r="H166" s="6">
        <v>182</v>
      </c>
      <c r="I166" s="6">
        <v>0</v>
      </c>
      <c r="J166" s="1257" t="s">
        <v>763</v>
      </c>
      <c r="K166" s="251">
        <f>SUMIF('alb SoCITE'!$A:$A,$J166,'alb SoCITE'!$C:$C)</f>
        <v>0</v>
      </c>
      <c r="L166" s="251">
        <f>SUMIF('alb SoCITE'!$A:$A,$J166,'alb SoCITE'!$I:$I)</f>
        <v>0</v>
      </c>
      <c r="M166" s="252" t="s">
        <v>121</v>
      </c>
      <c r="N166" s="273">
        <f t="shared" si="88"/>
        <v>182</v>
      </c>
      <c r="O166" s="12"/>
      <c r="P166" s="12"/>
      <c r="Q166" s="12"/>
      <c r="R166" s="12"/>
      <c r="S166" s="6">
        <f t="shared" si="68"/>
        <v>0</v>
      </c>
      <c r="T166" s="273">
        <f t="shared" si="89"/>
        <v>182</v>
      </c>
      <c r="U166" s="6">
        <f t="shared" si="90"/>
        <v>0</v>
      </c>
      <c r="V166" s="6"/>
      <c r="W166" s="6">
        <f t="shared" si="85"/>
        <v>182</v>
      </c>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X166" s="6"/>
      <c r="AY166" s="6">
        <f>ROUND(AX166/1000/Update!$B$31*Update!$B$27,0)</f>
        <v>0</v>
      </c>
      <c r="BA166" s="6"/>
      <c r="BB166" s="6">
        <f>ROUND(BA166/1000/Update!$B$31,0)</f>
        <v>0</v>
      </c>
      <c r="BC166" s="6"/>
      <c r="BD166" s="29">
        <f t="shared" si="69"/>
        <v>0</v>
      </c>
      <c r="BE166" s="317"/>
      <c r="BF166" s="317"/>
      <c r="BG166" s="317"/>
      <c r="BH166" s="317"/>
      <c r="BI166" s="317"/>
      <c r="BJ166" s="317"/>
      <c r="BK166" s="29">
        <f t="shared" si="78"/>
        <v>0</v>
      </c>
      <c r="BL166" s="317"/>
      <c r="BM166" s="317"/>
      <c r="BN166" s="317"/>
      <c r="BO166" s="317"/>
      <c r="BP166" s="317"/>
      <c r="BQ166" s="317"/>
      <c r="BR166" s="317"/>
      <c r="BS166" s="317"/>
      <c r="BT166" s="317"/>
      <c r="BU166" s="317"/>
      <c r="BV166" s="317"/>
      <c r="BW166" s="317"/>
      <c r="BX166" s="317"/>
      <c r="BY166" s="317"/>
      <c r="BZ166" s="317"/>
      <c r="CA166" s="317"/>
      <c r="CB166" s="317"/>
      <c r="CC166" s="317"/>
      <c r="CD166" s="317"/>
      <c r="CE166" s="317"/>
      <c r="CF166" s="317"/>
      <c r="CG166" s="317"/>
      <c r="CH166" s="317"/>
      <c r="CI166" s="317"/>
      <c r="CM166" s="1139">
        <v>0</v>
      </c>
      <c r="CN166" s="1139">
        <v>0</v>
      </c>
      <c r="CP166" s="923">
        <f t="shared" si="73"/>
        <v>0</v>
      </c>
      <c r="CZ166" s="330"/>
    </row>
    <row r="167" spans="1:104" x14ac:dyDescent="0.25">
      <c r="A167" s="684">
        <f>MAX($A$6:A166)+1</f>
        <v>167</v>
      </c>
      <c r="B167" s="11" t="s">
        <v>43</v>
      </c>
      <c r="C167" s="11" t="str">
        <f t="shared" si="80"/>
        <v>SoCITE</v>
      </c>
      <c r="D167" s="11" t="s">
        <v>126</v>
      </c>
      <c r="E167" s="7" t="s">
        <v>122</v>
      </c>
      <c r="F167" s="15"/>
      <c r="G167" s="1254" t="s">
        <v>122</v>
      </c>
      <c r="H167" s="6">
        <v>6318</v>
      </c>
      <c r="I167" s="6">
        <v>0</v>
      </c>
      <c r="J167" s="1266" t="s">
        <v>2076</v>
      </c>
      <c r="K167" s="251">
        <f>SUMIF('alb SoCITE'!$A:$A,$J167,'alb SoCITE'!$C:$C)</f>
        <v>0</v>
      </c>
      <c r="L167" s="251">
        <f>SUMIF('alb SoCITE'!$A:$A,$J167,'alb SoCITE'!$I:$I)</f>
        <v>0</v>
      </c>
      <c r="M167" s="252" t="s">
        <v>121</v>
      </c>
      <c r="N167" s="273">
        <f t="shared" si="88"/>
        <v>6318</v>
      </c>
      <c r="O167" s="12"/>
      <c r="P167" s="12"/>
      <c r="Q167" s="12"/>
      <c r="R167" s="12"/>
      <c r="S167" s="6">
        <f t="shared" si="68"/>
        <v>0</v>
      </c>
      <c r="T167" s="273">
        <f t="shared" si="89"/>
        <v>6318</v>
      </c>
      <c r="U167" s="6">
        <f t="shared" si="90"/>
        <v>0</v>
      </c>
      <c r="V167" s="6"/>
      <c r="W167" s="6">
        <f t="shared" si="85"/>
        <v>6318</v>
      </c>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X167" s="6"/>
      <c r="AY167" s="6">
        <f>ROUND(AX167/1000/Update!$B$31*Update!$B$27,0)</f>
        <v>0</v>
      </c>
      <c r="BA167" s="6"/>
      <c r="BB167" s="6">
        <f>ROUND(BA167/1000/Update!$B$31,0)</f>
        <v>0</v>
      </c>
      <c r="BC167" s="6"/>
      <c r="BD167" s="29">
        <f t="shared" si="69"/>
        <v>0</v>
      </c>
      <c r="BE167" s="317"/>
      <c r="BF167" s="317"/>
      <c r="BG167" s="317"/>
      <c r="BH167" s="317"/>
      <c r="BI167" s="317"/>
      <c r="BJ167" s="317"/>
      <c r="BK167" s="29">
        <f t="shared" si="78"/>
        <v>0</v>
      </c>
      <c r="BL167" s="317"/>
      <c r="BM167" s="317"/>
      <c r="BN167" s="317"/>
      <c r="BO167" s="317"/>
      <c r="BP167" s="317"/>
      <c r="BQ167" s="317"/>
      <c r="BR167" s="317"/>
      <c r="BS167" s="317"/>
      <c r="BT167" s="317"/>
      <c r="BU167" s="317"/>
      <c r="BV167" s="317"/>
      <c r="BW167" s="317"/>
      <c r="BX167" s="317"/>
      <c r="BY167" s="317"/>
      <c r="BZ167" s="317"/>
      <c r="CA167" s="317"/>
      <c r="CB167" s="317"/>
      <c r="CC167" s="317"/>
      <c r="CD167" s="317"/>
      <c r="CE167" s="317"/>
      <c r="CF167" s="317"/>
      <c r="CG167" s="317"/>
      <c r="CH167" s="317"/>
      <c r="CI167" s="317"/>
      <c r="CM167" s="1139">
        <v>0</v>
      </c>
      <c r="CN167" s="1139">
        <v>0</v>
      </c>
      <c r="CP167" s="923">
        <f t="shared" si="73"/>
        <v>0</v>
      </c>
      <c r="CZ167" s="330"/>
    </row>
    <row r="168" spans="1:104" x14ac:dyDescent="0.25">
      <c r="A168" s="684">
        <f>MAX($A$6:A167)+1</f>
        <v>168</v>
      </c>
      <c r="B168" s="11" t="s">
        <v>43</v>
      </c>
      <c r="C168" s="11" t="str">
        <f t="shared" si="80"/>
        <v>SoCITE</v>
      </c>
      <c r="D168" s="11" t="s">
        <v>126</v>
      </c>
      <c r="E168" s="269" t="s">
        <v>123</v>
      </c>
      <c r="F168" s="15"/>
      <c r="G168" s="1276" t="s">
        <v>286</v>
      </c>
      <c r="H168" s="6">
        <v>0</v>
      </c>
      <c r="I168" s="6">
        <v>0</v>
      </c>
      <c r="J168" s="1253" t="s">
        <v>286</v>
      </c>
      <c r="K168" s="251">
        <f>SUMIF('alb SoCITE'!$A:$A,$J168,'alb SoCITE'!$C:$C)</f>
        <v>0</v>
      </c>
      <c r="L168" s="251">
        <f>SUMIF('alb SoCITE'!$A:$A,$J168,'alb SoCITE'!$I:$I)</f>
        <v>0</v>
      </c>
      <c r="M168" s="252"/>
      <c r="N168" s="273">
        <f t="shared" si="88"/>
        <v>0</v>
      </c>
      <c r="O168" s="12"/>
      <c r="P168" s="12"/>
      <c r="Q168" s="12"/>
      <c r="R168" s="12"/>
      <c r="S168" s="6">
        <f t="shared" si="68"/>
        <v>0</v>
      </c>
      <c r="T168" s="273">
        <f t="shared" si="89"/>
        <v>0</v>
      </c>
      <c r="U168" s="6">
        <f t="shared" si="90"/>
        <v>0</v>
      </c>
      <c r="V168" s="6"/>
      <c r="W168" s="6">
        <f t="shared" si="85"/>
        <v>0</v>
      </c>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X168" s="6"/>
      <c r="AY168" s="6">
        <f>ROUND(AX168/1000/Update!$B$31*Update!$B$27,0)</f>
        <v>0</v>
      </c>
      <c r="BA168" s="6"/>
      <c r="BB168" s="6">
        <f>ROUND(BA168/1000/Update!$B$31,0)</f>
        <v>0</v>
      </c>
      <c r="BC168" s="6"/>
      <c r="BD168" s="29">
        <f t="shared" si="69"/>
        <v>0</v>
      </c>
      <c r="BE168" s="317"/>
      <c r="BF168" s="317"/>
      <c r="BG168" s="317"/>
      <c r="BH168" s="317"/>
      <c r="BI168" s="317"/>
      <c r="BJ168" s="317"/>
      <c r="BK168" s="29">
        <f t="shared" si="78"/>
        <v>0</v>
      </c>
      <c r="BL168" s="317"/>
      <c r="BM168" s="317"/>
      <c r="BN168" s="317"/>
      <c r="BO168" s="317"/>
      <c r="BP168" s="317"/>
      <c r="BQ168" s="317"/>
      <c r="BR168" s="317"/>
      <c r="BS168" s="317"/>
      <c r="BT168" s="317"/>
      <c r="BU168" s="317"/>
      <c r="BV168" s="317"/>
      <c r="BW168" s="317"/>
      <c r="BX168" s="317"/>
      <c r="BY168" s="317"/>
      <c r="BZ168" s="317"/>
      <c r="CA168" s="317"/>
      <c r="CB168" s="317"/>
      <c r="CC168" s="317"/>
      <c r="CD168" s="317"/>
      <c r="CE168" s="317"/>
      <c r="CF168" s="317"/>
      <c r="CG168" s="317"/>
      <c r="CH168" s="317"/>
      <c r="CI168" s="317"/>
      <c r="CM168" s="1139">
        <v>0</v>
      </c>
      <c r="CN168" s="1139">
        <v>0</v>
      </c>
      <c r="CP168" s="923">
        <f t="shared" si="73"/>
        <v>0</v>
      </c>
      <c r="CZ168" s="330"/>
    </row>
    <row r="169" spans="1:104" x14ac:dyDescent="0.25">
      <c r="A169" s="684">
        <f>MAX($A$6:A168)+1</f>
        <v>169</v>
      </c>
      <c r="B169" s="11" t="s">
        <v>43</v>
      </c>
      <c r="C169" s="11" t="str">
        <f t="shared" si="80"/>
        <v>SoCITE</v>
      </c>
      <c r="D169" s="11" t="s">
        <v>126</v>
      </c>
      <c r="E169" s="7" t="s">
        <v>124</v>
      </c>
      <c r="F169" s="15"/>
      <c r="G169" s="1254" t="s">
        <v>124</v>
      </c>
      <c r="H169" s="6">
        <v>0</v>
      </c>
      <c r="I169" s="6">
        <v>0</v>
      </c>
      <c r="J169" s="1257" t="s">
        <v>124</v>
      </c>
      <c r="K169" s="251">
        <f>SUMIF('alb SoCITE'!$A:$A,$J169,'alb SoCITE'!$C:$C)</f>
        <v>0</v>
      </c>
      <c r="L169" s="251">
        <f>SUMIF('alb SoCITE'!$A:$A,$J169,'alb SoCITE'!$I:$I)</f>
        <v>0</v>
      </c>
      <c r="M169" s="252"/>
      <c r="N169" s="273">
        <f t="shared" si="88"/>
        <v>0</v>
      </c>
      <c r="O169" s="12"/>
      <c r="P169" s="12"/>
      <c r="Q169" s="12"/>
      <c r="R169" s="12"/>
      <c r="S169" s="6">
        <f t="shared" si="68"/>
        <v>0</v>
      </c>
      <c r="T169" s="273">
        <f t="shared" si="89"/>
        <v>0</v>
      </c>
      <c r="U169" s="6">
        <f t="shared" si="90"/>
        <v>0</v>
      </c>
      <c r="V169" s="6"/>
      <c r="W169" s="6">
        <f t="shared" si="85"/>
        <v>0</v>
      </c>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X169" s="6"/>
      <c r="AY169" s="6">
        <f>ROUND(AX169/1000/Update!$B$31*Update!$B$27,0)</f>
        <v>0</v>
      </c>
      <c r="BA169" s="6"/>
      <c r="BB169" s="6">
        <f>ROUND(BA169/1000/Update!$B$31,0)</f>
        <v>0</v>
      </c>
      <c r="BC169" s="6"/>
      <c r="BD169" s="29">
        <f t="shared" si="69"/>
        <v>0</v>
      </c>
      <c r="BE169" s="317"/>
      <c r="BF169" s="317"/>
      <c r="BG169" s="317"/>
      <c r="BH169" s="317"/>
      <c r="BI169" s="317"/>
      <c r="BJ169" s="317"/>
      <c r="BK169" s="29">
        <f t="shared" si="78"/>
        <v>0</v>
      </c>
      <c r="BL169" s="317"/>
      <c r="BM169" s="317"/>
      <c r="BN169" s="317"/>
      <c r="BO169" s="317"/>
      <c r="BP169" s="317"/>
      <c r="BQ169" s="317"/>
      <c r="BR169" s="317"/>
      <c r="BS169" s="317"/>
      <c r="BT169" s="317"/>
      <c r="BU169" s="317"/>
      <c r="BV169" s="317"/>
      <c r="BW169" s="317"/>
      <c r="BX169" s="317"/>
      <c r="BY169" s="317"/>
      <c r="BZ169" s="317"/>
      <c r="CA169" s="317"/>
      <c r="CB169" s="317"/>
      <c r="CC169" s="317"/>
      <c r="CD169" s="317"/>
      <c r="CE169" s="317"/>
      <c r="CF169" s="317"/>
      <c r="CG169" s="317"/>
      <c r="CH169" s="317"/>
      <c r="CI169" s="317"/>
      <c r="CM169" s="1139">
        <v>0</v>
      </c>
      <c r="CN169" s="1139">
        <v>0</v>
      </c>
      <c r="CP169" s="923">
        <f t="shared" si="73"/>
        <v>0</v>
      </c>
      <c r="CZ169" s="330"/>
    </row>
    <row r="170" spans="1:104" ht="30" x14ac:dyDescent="0.25">
      <c r="A170" s="684">
        <f>MAX($A$6:A169)+1</f>
        <v>170</v>
      </c>
      <c r="B170" s="11" t="s">
        <v>43</v>
      </c>
      <c r="C170" s="11" t="str">
        <f t="shared" si="80"/>
        <v>SoCITE</v>
      </c>
      <c r="D170" s="11" t="s">
        <v>126</v>
      </c>
      <c r="E170" s="7" t="s">
        <v>339</v>
      </c>
      <c r="F170" s="15"/>
      <c r="G170" s="1254" t="s">
        <v>339</v>
      </c>
      <c r="H170" s="6">
        <v>147</v>
      </c>
      <c r="I170" s="6">
        <v>0</v>
      </c>
      <c r="J170" s="1257" t="s">
        <v>339</v>
      </c>
      <c r="K170" s="251">
        <f>SUMIF('alb SoCITE'!$A:$A,$J170,'alb SoCITE'!$C:$C)</f>
        <v>0</v>
      </c>
      <c r="L170" s="251">
        <f>SUMIF('alb SoCITE'!$A:$A,$J170,'alb SoCITE'!$I:$I)</f>
        <v>0</v>
      </c>
      <c r="M170" s="252"/>
      <c r="N170" s="273">
        <f t="shared" si="88"/>
        <v>147</v>
      </c>
      <c r="O170" s="12"/>
      <c r="P170" s="12"/>
      <c r="Q170" s="12"/>
      <c r="R170" s="12"/>
      <c r="S170" s="6">
        <f t="shared" si="68"/>
        <v>0</v>
      </c>
      <c r="T170" s="273">
        <f t="shared" si="89"/>
        <v>147</v>
      </c>
      <c r="U170" s="6">
        <f t="shared" si="90"/>
        <v>0</v>
      </c>
      <c r="V170" s="12"/>
      <c r="W170" s="6">
        <f t="shared" si="85"/>
        <v>147</v>
      </c>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X170" s="6"/>
      <c r="AY170" s="6">
        <f>ROUND(AX170/1000/Update!$B$31*Update!$B$27,0)</f>
        <v>0</v>
      </c>
      <c r="BA170" s="6"/>
      <c r="BB170" s="6">
        <f>ROUND(BA170/1000/Update!$B$31,0)</f>
        <v>0</v>
      </c>
      <c r="BC170" s="6"/>
      <c r="BD170" s="29">
        <f t="shared" si="69"/>
        <v>0</v>
      </c>
      <c r="BE170" s="317"/>
      <c r="BF170" s="317"/>
      <c r="BG170" s="317"/>
      <c r="BH170" s="317"/>
      <c r="BI170" s="317"/>
      <c r="BJ170" s="317"/>
      <c r="BK170" s="29">
        <f t="shared" si="78"/>
        <v>0</v>
      </c>
      <c r="BL170" s="317"/>
      <c r="BM170" s="317"/>
      <c r="BN170" s="317"/>
      <c r="BO170" s="317"/>
      <c r="BP170" s="317"/>
      <c r="BQ170" s="317"/>
      <c r="BR170" s="317"/>
      <c r="BS170" s="317"/>
      <c r="BT170" s="317"/>
      <c r="BU170" s="317"/>
      <c r="BV170" s="317"/>
      <c r="BW170" s="317"/>
      <c r="BX170" s="317"/>
      <c r="BY170" s="317"/>
      <c r="BZ170" s="317"/>
      <c r="CA170" s="317"/>
      <c r="CB170" s="317"/>
      <c r="CC170" s="317"/>
      <c r="CD170" s="317"/>
      <c r="CE170" s="317"/>
      <c r="CF170" s="317"/>
      <c r="CG170" s="317"/>
      <c r="CH170" s="317"/>
      <c r="CI170" s="317"/>
      <c r="CM170" s="1139">
        <v>0</v>
      </c>
      <c r="CN170" s="1139">
        <v>0</v>
      </c>
      <c r="CP170" s="923">
        <f t="shared" si="73"/>
        <v>0</v>
      </c>
      <c r="CZ170" s="330"/>
    </row>
    <row r="171" spans="1:104" x14ac:dyDescent="0.25">
      <c r="A171" s="684">
        <f>MAX($A$6:A170)+1</f>
        <v>171</v>
      </c>
      <c r="B171" s="11" t="s">
        <v>43</v>
      </c>
      <c r="C171" s="11" t="str">
        <f t="shared" si="80"/>
        <v>SoCITE</v>
      </c>
      <c r="D171" s="11" t="s">
        <v>126</v>
      </c>
      <c r="E171" s="7" t="s">
        <v>185</v>
      </c>
      <c r="F171" s="15"/>
      <c r="G171" s="1254" t="s">
        <v>185</v>
      </c>
      <c r="H171" s="6">
        <v>0</v>
      </c>
      <c r="I171" s="6">
        <v>0</v>
      </c>
      <c r="J171" s="1253" t="s">
        <v>286</v>
      </c>
      <c r="K171" s="251">
        <f>SUMIF('alb SoCITE'!$A:$A,$J171,'alb SoCITE'!$C:$C)</f>
        <v>0</v>
      </c>
      <c r="L171" s="251">
        <f>SUMIF('alb SoCITE'!$A:$A,$J171,'alb SoCITE'!$I:$I)</f>
        <v>0</v>
      </c>
      <c r="M171" s="252"/>
      <c r="N171" s="273">
        <f t="shared" si="88"/>
        <v>0</v>
      </c>
      <c r="O171" s="12"/>
      <c r="P171" s="12"/>
      <c r="Q171" s="12"/>
      <c r="R171" s="12"/>
      <c r="S171" s="6">
        <f t="shared" si="68"/>
        <v>0</v>
      </c>
      <c r="T171" s="273">
        <f t="shared" si="89"/>
        <v>0</v>
      </c>
      <c r="U171" s="6">
        <f t="shared" si="90"/>
        <v>0</v>
      </c>
      <c r="V171" s="6"/>
      <c r="W171" s="6">
        <f t="shared" si="85"/>
        <v>0</v>
      </c>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X171" s="6"/>
      <c r="AY171" s="6">
        <f>ROUND(AX171/1000/Update!$B$31*Update!$B$27,0)</f>
        <v>0</v>
      </c>
      <c r="BA171" s="6"/>
      <c r="BB171" s="6">
        <f>ROUND(BA171/1000/Update!$B$31,0)</f>
        <v>0</v>
      </c>
      <c r="BC171" s="6"/>
      <c r="BD171" s="29">
        <f t="shared" si="69"/>
        <v>0</v>
      </c>
      <c r="BE171" s="317"/>
      <c r="BF171" s="317"/>
      <c r="BG171" s="317"/>
      <c r="BH171" s="317"/>
      <c r="BI171" s="317"/>
      <c r="BJ171" s="317"/>
      <c r="BK171" s="29">
        <f t="shared" si="78"/>
        <v>0</v>
      </c>
      <c r="BL171" s="317"/>
      <c r="BM171" s="317"/>
      <c r="BN171" s="317"/>
      <c r="BO171" s="317"/>
      <c r="BP171" s="317"/>
      <c r="BQ171" s="317"/>
      <c r="BR171" s="317"/>
      <c r="BS171" s="317"/>
      <c r="BT171" s="317"/>
      <c r="BU171" s="317"/>
      <c r="BV171" s="317"/>
      <c r="BW171" s="317"/>
      <c r="BX171" s="317"/>
      <c r="BY171" s="317"/>
      <c r="BZ171" s="317"/>
      <c r="CA171" s="317"/>
      <c r="CB171" s="317"/>
      <c r="CC171" s="317"/>
      <c r="CD171" s="317"/>
      <c r="CE171" s="317"/>
      <c r="CF171" s="317"/>
      <c r="CG171" s="317"/>
      <c r="CH171" s="317"/>
      <c r="CI171" s="317"/>
      <c r="CM171" s="1139">
        <v>0</v>
      </c>
      <c r="CN171" s="1139">
        <v>0</v>
      </c>
      <c r="CP171" s="923">
        <f t="shared" si="73"/>
        <v>0</v>
      </c>
      <c r="CZ171" s="330"/>
    </row>
    <row r="172" spans="1:104" ht="30" x14ac:dyDescent="0.25">
      <c r="A172" s="684">
        <f>MAX($A$6:A171)+1</f>
        <v>172</v>
      </c>
      <c r="B172" s="11" t="s">
        <v>43</v>
      </c>
      <c r="C172" s="11" t="str">
        <f t="shared" si="80"/>
        <v>SoCITE</v>
      </c>
      <c r="D172" s="11" t="s">
        <v>126</v>
      </c>
      <c r="E172" s="7" t="s">
        <v>336</v>
      </c>
      <c r="F172" s="15"/>
      <c r="G172" s="1254" t="s">
        <v>336</v>
      </c>
      <c r="H172" s="6">
        <v>0</v>
      </c>
      <c r="I172" s="6">
        <v>0</v>
      </c>
      <c r="J172" s="1253" t="s">
        <v>286</v>
      </c>
      <c r="K172" s="251">
        <f>SUMIF('alb SoCITE'!$A:$A,$J172,'alb SoCITE'!$C:$C)</f>
        <v>0</v>
      </c>
      <c r="L172" s="251">
        <f>SUMIF('alb SoCITE'!$A:$A,$J172,'alb SoCITE'!$I:$I)</f>
        <v>0</v>
      </c>
      <c r="M172" s="252"/>
      <c r="N172" s="273">
        <f t="shared" si="88"/>
        <v>0</v>
      </c>
      <c r="O172" s="12"/>
      <c r="P172" s="12"/>
      <c r="Q172" s="12"/>
      <c r="R172" s="12"/>
      <c r="S172" s="6">
        <f t="shared" si="68"/>
        <v>0</v>
      </c>
      <c r="T172" s="273">
        <f t="shared" si="89"/>
        <v>0</v>
      </c>
      <c r="U172" s="6">
        <f t="shared" si="90"/>
        <v>0</v>
      </c>
      <c r="V172" s="6"/>
      <c r="W172" s="6">
        <f t="shared" si="85"/>
        <v>0</v>
      </c>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X172" s="6"/>
      <c r="AY172" s="6">
        <f>ROUND(AX172/1000/Update!$B$31*Update!$B$27,0)</f>
        <v>0</v>
      </c>
      <c r="BA172" s="6"/>
      <c r="BB172" s="6">
        <f>ROUND(BA172/1000/Update!$B$31,0)</f>
        <v>0</v>
      </c>
      <c r="BC172" s="6"/>
      <c r="BD172" s="29">
        <f t="shared" si="69"/>
        <v>0</v>
      </c>
      <c r="BE172" s="317"/>
      <c r="BF172" s="317"/>
      <c r="BG172" s="317"/>
      <c r="BH172" s="317"/>
      <c r="BI172" s="317"/>
      <c r="BJ172" s="317"/>
      <c r="BK172" s="29">
        <f t="shared" si="78"/>
        <v>0</v>
      </c>
      <c r="BL172" s="317"/>
      <c r="BM172" s="317"/>
      <c r="BN172" s="317"/>
      <c r="BO172" s="317"/>
      <c r="BP172" s="317"/>
      <c r="BQ172" s="317"/>
      <c r="BR172" s="317"/>
      <c r="BS172" s="317"/>
      <c r="BT172" s="317"/>
      <c r="BU172" s="317"/>
      <c r="BV172" s="317"/>
      <c r="BW172" s="317"/>
      <c r="BX172" s="317"/>
      <c r="BY172" s="317"/>
      <c r="BZ172" s="317"/>
      <c r="CA172" s="317"/>
      <c r="CB172" s="317"/>
      <c r="CC172" s="317"/>
      <c r="CD172" s="317"/>
      <c r="CE172" s="317"/>
      <c r="CF172" s="317"/>
      <c r="CG172" s="317"/>
      <c r="CH172" s="317"/>
      <c r="CI172" s="317"/>
      <c r="CM172" s="1139">
        <v>0</v>
      </c>
      <c r="CN172" s="1139">
        <v>0</v>
      </c>
      <c r="CP172" s="923">
        <f t="shared" si="73"/>
        <v>0</v>
      </c>
      <c r="CZ172" s="330"/>
    </row>
    <row r="173" spans="1:104" x14ac:dyDescent="0.25">
      <c r="A173" s="684">
        <f>MAX($A$6:A172)+1</f>
        <v>173</v>
      </c>
      <c r="B173" s="11" t="s">
        <v>43</v>
      </c>
      <c r="C173" s="11" t="str">
        <f t="shared" si="80"/>
        <v>SoCITE</v>
      </c>
      <c r="D173" s="11" t="s">
        <v>126</v>
      </c>
      <c r="E173" s="7" t="s">
        <v>337</v>
      </c>
      <c r="F173" s="15"/>
      <c r="G173" s="1254" t="s">
        <v>337</v>
      </c>
      <c r="H173" s="6">
        <v>0</v>
      </c>
      <c r="I173" s="6">
        <v>0</v>
      </c>
      <c r="J173" s="1253" t="s">
        <v>286</v>
      </c>
      <c r="K173" s="251">
        <f>SUMIF('alb SoCITE'!$A:$A,$J173,'alb SoCITE'!$C:$C)</f>
        <v>0</v>
      </c>
      <c r="L173" s="251">
        <f>SUMIF('alb SoCITE'!$A:$A,$J173,'alb SoCITE'!$I:$I)</f>
        <v>0</v>
      </c>
      <c r="M173" s="252"/>
      <c r="N173" s="273">
        <f t="shared" si="88"/>
        <v>0</v>
      </c>
      <c r="O173" s="12"/>
      <c r="P173" s="12"/>
      <c r="Q173" s="12"/>
      <c r="R173" s="12"/>
      <c r="S173" s="6">
        <f t="shared" si="68"/>
        <v>0</v>
      </c>
      <c r="T173" s="273">
        <f t="shared" si="89"/>
        <v>0</v>
      </c>
      <c r="U173" s="6">
        <f t="shared" si="90"/>
        <v>0</v>
      </c>
      <c r="V173" s="6"/>
      <c r="W173" s="6">
        <f t="shared" si="85"/>
        <v>0</v>
      </c>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X173" s="6"/>
      <c r="AY173" s="6">
        <f>ROUND(AX173/1000/Update!$B$31*Update!$B$27,0)</f>
        <v>0</v>
      </c>
      <c r="BA173" s="6"/>
      <c r="BB173" s="6">
        <f>ROUND(BA173/1000/Update!$B$31,0)</f>
        <v>0</v>
      </c>
      <c r="BC173" s="6"/>
      <c r="BD173" s="29">
        <f t="shared" si="69"/>
        <v>0</v>
      </c>
      <c r="BE173" s="317"/>
      <c r="BF173" s="317"/>
      <c r="BG173" s="317"/>
      <c r="BH173" s="317"/>
      <c r="BI173" s="317"/>
      <c r="BJ173" s="317"/>
      <c r="BK173" s="29">
        <f t="shared" si="78"/>
        <v>0</v>
      </c>
      <c r="BL173" s="317"/>
      <c r="BM173" s="317"/>
      <c r="BN173" s="317"/>
      <c r="BO173" s="317"/>
      <c r="BP173" s="317"/>
      <c r="BQ173" s="317"/>
      <c r="BR173" s="317"/>
      <c r="BS173" s="317"/>
      <c r="BT173" s="317"/>
      <c r="BU173" s="317"/>
      <c r="BV173" s="317"/>
      <c r="BW173" s="317"/>
      <c r="BX173" s="317"/>
      <c r="BY173" s="317"/>
      <c r="BZ173" s="317"/>
      <c r="CA173" s="317"/>
      <c r="CB173" s="317"/>
      <c r="CC173" s="317"/>
      <c r="CD173" s="317"/>
      <c r="CE173" s="317"/>
      <c r="CF173" s="317"/>
      <c r="CG173" s="317"/>
      <c r="CH173" s="317"/>
      <c r="CI173" s="317"/>
      <c r="CM173" s="1139">
        <v>0</v>
      </c>
      <c r="CN173" s="1139">
        <v>0</v>
      </c>
      <c r="CP173" s="923">
        <f t="shared" si="73"/>
        <v>0</v>
      </c>
      <c r="CZ173" s="330"/>
    </row>
    <row r="174" spans="1:104" ht="30" x14ac:dyDescent="0.25">
      <c r="A174" s="684">
        <f>MAX($A$6:A173)+1</f>
        <v>174</v>
      </c>
      <c r="B174" s="11" t="s">
        <v>43</v>
      </c>
      <c r="C174" s="11" t="str">
        <f t="shared" si="80"/>
        <v>SoCITE</v>
      </c>
      <c r="D174" s="11" t="s">
        <v>126</v>
      </c>
      <c r="E174" s="7" t="s">
        <v>338</v>
      </c>
      <c r="F174" s="15"/>
      <c r="G174" s="1254" t="s">
        <v>338</v>
      </c>
      <c r="H174" s="6">
        <v>0</v>
      </c>
      <c r="I174" s="6">
        <v>0</v>
      </c>
      <c r="J174" s="1253" t="s">
        <v>286</v>
      </c>
      <c r="K174" s="251">
        <f>SUMIF('alb SoCITE'!$A:$A,$J174,'alb SoCITE'!$C:$C)</f>
        <v>0</v>
      </c>
      <c r="L174" s="251">
        <f>SUMIF('alb SoCITE'!$A:$A,$J174,'alb SoCITE'!$I:$I)</f>
        <v>0</v>
      </c>
      <c r="M174" s="252"/>
      <c r="N174" s="273">
        <f t="shared" si="88"/>
        <v>0</v>
      </c>
      <c r="O174" s="12"/>
      <c r="P174" s="12"/>
      <c r="Q174" s="12"/>
      <c r="R174" s="12"/>
      <c r="S174" s="6">
        <f t="shared" si="68"/>
        <v>0</v>
      </c>
      <c r="T174" s="273">
        <f t="shared" si="89"/>
        <v>0</v>
      </c>
      <c r="U174" s="6">
        <f t="shared" si="90"/>
        <v>0</v>
      </c>
      <c r="V174" s="6"/>
      <c r="W174" s="6">
        <f t="shared" si="85"/>
        <v>0</v>
      </c>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X174" s="6"/>
      <c r="AY174" s="6">
        <f>ROUND(AX174/1000/Update!$B$31*Update!$B$27,0)</f>
        <v>0</v>
      </c>
      <c r="BA174" s="6"/>
      <c r="BB174" s="6">
        <f>ROUND(BA174/1000/Update!$B$31,0)</f>
        <v>0</v>
      </c>
      <c r="BC174" s="6"/>
      <c r="BD174" s="29">
        <f t="shared" si="69"/>
        <v>0</v>
      </c>
      <c r="BE174" s="317"/>
      <c r="BF174" s="317"/>
      <c r="BG174" s="317"/>
      <c r="BH174" s="317"/>
      <c r="BI174" s="317"/>
      <c r="BJ174" s="317"/>
      <c r="BK174" s="29">
        <f t="shared" si="78"/>
        <v>0</v>
      </c>
      <c r="BL174" s="317"/>
      <c r="BM174" s="317"/>
      <c r="BN174" s="317"/>
      <c r="BO174" s="317"/>
      <c r="BP174" s="317"/>
      <c r="BQ174" s="317"/>
      <c r="BR174" s="317"/>
      <c r="BS174" s="317"/>
      <c r="BT174" s="317"/>
      <c r="BU174" s="317"/>
      <c r="BV174" s="317"/>
      <c r="BW174" s="317"/>
      <c r="BX174" s="317"/>
      <c r="BY174" s="317"/>
      <c r="BZ174" s="317"/>
      <c r="CA174" s="317"/>
      <c r="CB174" s="317"/>
      <c r="CC174" s="317"/>
      <c r="CD174" s="317"/>
      <c r="CE174" s="317"/>
      <c r="CF174" s="317"/>
      <c r="CG174" s="317"/>
      <c r="CH174" s="317"/>
      <c r="CI174" s="317"/>
      <c r="CM174" s="1139">
        <v>0</v>
      </c>
      <c r="CN174" s="1139">
        <v>0</v>
      </c>
      <c r="CP174" s="923">
        <f t="shared" si="73"/>
        <v>0</v>
      </c>
      <c r="CZ174" s="330"/>
    </row>
    <row r="175" spans="1:104" x14ac:dyDescent="0.25">
      <c r="A175" s="684">
        <f>MAX($A$6:A174)+1</f>
        <v>175</v>
      </c>
      <c r="B175" s="11" t="s">
        <v>43</v>
      </c>
      <c r="C175" s="11" t="str">
        <f t="shared" si="80"/>
        <v>SoCITE</v>
      </c>
      <c r="D175" s="11" t="s">
        <v>126</v>
      </c>
      <c r="E175" s="7" t="s">
        <v>2074</v>
      </c>
      <c r="F175" s="15"/>
      <c r="G175" s="1254" t="s">
        <v>286</v>
      </c>
      <c r="H175" s="6">
        <v>0</v>
      </c>
      <c r="I175" s="6">
        <v>0</v>
      </c>
      <c r="J175" s="1253" t="s">
        <v>286</v>
      </c>
      <c r="K175" s="251">
        <f>SUMIF('alb SoCITE'!$A:$A,$J175,'alb SoCITE'!$C:$C)</f>
        <v>0</v>
      </c>
      <c r="L175" s="251">
        <f>SUMIF('alb SoCITE'!$A:$A,$J175,'alb SoCITE'!$I:$I)</f>
        <v>0</v>
      </c>
      <c r="M175" s="252"/>
      <c r="N175" s="273">
        <f t="shared" si="88"/>
        <v>-2009000</v>
      </c>
      <c r="O175" s="12"/>
      <c r="P175" s="12"/>
      <c r="Q175" s="12"/>
      <c r="R175" s="12"/>
      <c r="S175" s="6">
        <f t="shared" si="68"/>
        <v>-2009000</v>
      </c>
      <c r="T175" s="273">
        <f t="shared" si="89"/>
        <v>0</v>
      </c>
      <c r="U175" s="6">
        <f t="shared" si="90"/>
        <v>0</v>
      </c>
      <c r="V175" s="6"/>
      <c r="W175" s="6">
        <f t="shared" si="85"/>
        <v>0</v>
      </c>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X175" s="6"/>
      <c r="AY175" s="6">
        <f>ROUND(AX175/1000/Update!$B$31*Update!$B$27,0)</f>
        <v>0</v>
      </c>
      <c r="BA175" s="6"/>
      <c r="BB175" s="6">
        <f>ROUND(BA175/1000/Update!$B$31,0)</f>
        <v>0</v>
      </c>
      <c r="BC175" s="6"/>
      <c r="BD175" s="29">
        <f t="shared" si="69"/>
        <v>2009000</v>
      </c>
      <c r="BE175" s="1191"/>
      <c r="BF175" s="317"/>
      <c r="BG175" s="317"/>
      <c r="BH175" s="1528">
        <f>+BH1178</f>
        <v>2009000</v>
      </c>
      <c r="BI175" s="317"/>
      <c r="BJ175" s="317"/>
      <c r="BK175" s="29">
        <f t="shared" si="78"/>
        <v>0</v>
      </c>
      <c r="BL175" s="317"/>
      <c r="BM175" s="317"/>
      <c r="BN175" s="317"/>
      <c r="BO175" s="317"/>
      <c r="BP175" s="317"/>
      <c r="BQ175" s="317"/>
      <c r="BR175" s="317"/>
      <c r="BS175" s="317"/>
      <c r="BT175" s="317"/>
      <c r="BU175" s="317"/>
      <c r="BV175" s="317"/>
      <c r="BW175" s="317"/>
      <c r="BX175" s="317"/>
      <c r="BY175" s="317"/>
      <c r="BZ175" s="317"/>
      <c r="CA175" s="317"/>
      <c r="CB175" s="317"/>
      <c r="CC175" s="317"/>
      <c r="CD175" s="317"/>
      <c r="CE175" s="317"/>
      <c r="CF175" s="317"/>
      <c r="CG175" s="317"/>
      <c r="CH175" s="317"/>
      <c r="CI175" s="317"/>
      <c r="CM175" s="1139">
        <v>0</v>
      </c>
      <c r="CN175" s="1139">
        <v>2009000</v>
      </c>
      <c r="CP175" s="923">
        <f t="shared" si="73"/>
        <v>0</v>
      </c>
      <c r="CZ175" s="330"/>
    </row>
    <row r="176" spans="1:104" x14ac:dyDescent="0.25">
      <c r="A176" s="684">
        <f>MAX($A$6:A175)+1</f>
        <v>176</v>
      </c>
      <c r="B176" s="11" t="s">
        <v>43</v>
      </c>
      <c r="C176" s="11" t="str">
        <f t="shared" si="80"/>
        <v>SoCITE</v>
      </c>
      <c r="D176" s="11" t="s">
        <v>126</v>
      </c>
      <c r="E176" s="7" t="s">
        <v>1025</v>
      </c>
      <c r="F176" s="15"/>
      <c r="G176" s="1254" t="s">
        <v>340</v>
      </c>
      <c r="H176" s="6">
        <v>0</v>
      </c>
      <c r="I176" s="6">
        <v>0</v>
      </c>
      <c r="J176" s="1253" t="s">
        <v>286</v>
      </c>
      <c r="K176" s="251">
        <f>SUMIF('alb SoCITE'!$A:$A,$J176,'alb SoCITE'!$C:$C)</f>
        <v>0</v>
      </c>
      <c r="L176" s="251">
        <f>SUMIF('alb SoCITE'!$A:$A,$J176,'alb SoCITE'!$I:$I)</f>
        <v>0</v>
      </c>
      <c r="M176" s="252"/>
      <c r="N176" s="273">
        <f t="shared" si="88"/>
        <v>0</v>
      </c>
      <c r="O176" s="12"/>
      <c r="P176" s="12"/>
      <c r="Q176" s="12"/>
      <c r="R176" s="12"/>
      <c r="S176" s="6">
        <f t="shared" si="68"/>
        <v>0</v>
      </c>
      <c r="T176" s="273">
        <f t="shared" si="89"/>
        <v>0</v>
      </c>
      <c r="U176" s="6">
        <f t="shared" si="90"/>
        <v>0</v>
      </c>
      <c r="V176" s="6"/>
      <c r="W176" s="6">
        <f t="shared" si="85"/>
        <v>0</v>
      </c>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X176" s="6"/>
      <c r="AY176" s="6">
        <f>ROUND(AX176/1000/Update!$B$31*Update!$B$27,0)</f>
        <v>0</v>
      </c>
      <c r="BA176" s="6"/>
      <c r="BB176" s="6">
        <f>ROUND(BA176/1000/Update!$B$31,0)</f>
        <v>0</v>
      </c>
      <c r="BC176" s="6"/>
      <c r="BD176" s="29">
        <f t="shared" si="69"/>
        <v>0</v>
      </c>
      <c r="BE176" s="317"/>
      <c r="BF176" s="317"/>
      <c r="BG176" s="317"/>
      <c r="BH176" s="317"/>
      <c r="BI176" s="317"/>
      <c r="BJ176" s="317"/>
      <c r="BK176" s="29">
        <f t="shared" si="78"/>
        <v>0</v>
      </c>
      <c r="BL176" s="317"/>
      <c r="BM176" s="317"/>
      <c r="BN176" s="317"/>
      <c r="BO176" s="317"/>
      <c r="BP176" s="317"/>
      <c r="BQ176" s="317"/>
      <c r="BR176" s="317"/>
      <c r="BS176" s="317"/>
      <c r="BT176" s="317"/>
      <c r="BU176" s="317"/>
      <c r="BV176" s="317"/>
      <c r="BW176" s="317"/>
      <c r="BX176" s="317"/>
      <c r="BY176" s="317"/>
      <c r="BZ176" s="317"/>
      <c r="CA176" s="317"/>
      <c r="CB176" s="317"/>
      <c r="CC176" s="317"/>
      <c r="CD176" s="317"/>
      <c r="CE176" s="317"/>
      <c r="CF176" s="317"/>
      <c r="CG176" s="317"/>
      <c r="CH176" s="317"/>
      <c r="CI176" s="317"/>
      <c r="CM176" s="1139">
        <v>0</v>
      </c>
      <c r="CN176" s="1139">
        <v>0</v>
      </c>
      <c r="CP176" s="923">
        <f t="shared" si="73"/>
        <v>0</v>
      </c>
      <c r="CZ176" s="330"/>
    </row>
    <row r="177" spans="1:104" ht="15" customHeight="1" x14ac:dyDescent="0.25">
      <c r="A177" s="701">
        <f>MAX($A$6:A176)+1</f>
        <v>177</v>
      </c>
      <c r="B177" s="18" t="s">
        <v>43</v>
      </c>
      <c r="C177" s="18" t="str">
        <f t="shared" si="80"/>
        <v>SoCITE</v>
      </c>
      <c r="D177" s="18" t="s">
        <v>126</v>
      </c>
      <c r="E177" s="19" t="str">
        <f>"Balances at "&amp;Update!$B$24</f>
        <v>Balances at  31 March 2025</v>
      </c>
      <c r="F177" s="20"/>
      <c r="G177" s="28"/>
      <c r="H177" s="14">
        <f>SUM(H163:H176)+H162+H151</f>
        <v>8185</v>
      </c>
      <c r="I177" s="14">
        <f>SUM(I163:I176)+I162+I151</f>
        <v>0</v>
      </c>
      <c r="J177" s="1258" t="s">
        <v>286</v>
      </c>
      <c r="K177" s="256">
        <f>SUM(K163:K176)+K162+K151</f>
        <v>0</v>
      </c>
      <c r="L177" s="256">
        <f>SUM(L163:L176)+L162+L151</f>
        <v>0</v>
      </c>
      <c r="M177" s="21"/>
      <c r="N177" s="14">
        <f>SUM(N163:N176)+N162+N151</f>
        <v>-2000815</v>
      </c>
      <c r="O177" s="14">
        <f>SUM(O163:O176)+O162+O151</f>
        <v>0</v>
      </c>
      <c r="P177" s="14">
        <f>SUM(P163:P176)+P162+P151</f>
        <v>0</v>
      </c>
      <c r="Q177" s="14">
        <f>SUM(Q163:Q176)+Q162+Q151</f>
        <v>0</v>
      </c>
      <c r="R177" s="14">
        <f>SUM(R163:R176)+R162+R151</f>
        <v>0</v>
      </c>
      <c r="S177" s="14">
        <f t="shared" si="68"/>
        <v>-2009000</v>
      </c>
      <c r="T177" s="14">
        <f>SUM(T163:T176)+T162+T151</f>
        <v>8185</v>
      </c>
      <c r="U177" s="14">
        <f>SUM(U163:U176)+U162+U151</f>
        <v>0</v>
      </c>
      <c r="V177" s="14">
        <f>SUM(V163:V176)+V162+V151</f>
        <v>0</v>
      </c>
      <c r="W177" s="14">
        <f>SUM(W163:W176)+W162+W151</f>
        <v>8185</v>
      </c>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2"/>
      <c r="AX177" s="14">
        <f>SUM(AX163:AX176)+AX162+AX151</f>
        <v>0</v>
      </c>
      <c r="AY177" s="14">
        <f>ROUND(AX177/1000/Update!$B$31*Update!$B$27,0)</f>
        <v>0</v>
      </c>
      <c r="AZ177" s="2"/>
      <c r="BA177" s="14">
        <f>SUM(BA163:BA176)+BA162+BA151</f>
        <v>0</v>
      </c>
      <c r="BB177" s="14">
        <f>ROUND(BA177/1000/Update!$B$31,0)</f>
        <v>0</v>
      </c>
      <c r="BC177" s="14"/>
      <c r="BD177" s="14">
        <f t="shared" si="69"/>
        <v>2009000</v>
      </c>
      <c r="BE177" s="318">
        <f t="shared" ref="BE177:BJ177" si="91">SUM(BE163:BE176)+BE162+BE151</f>
        <v>0</v>
      </c>
      <c r="BF177" s="318">
        <f t="shared" si="91"/>
        <v>0</v>
      </c>
      <c r="BG177" s="318">
        <f t="shared" si="91"/>
        <v>0</v>
      </c>
      <c r="BH177" s="318">
        <f t="shared" si="91"/>
        <v>2009000</v>
      </c>
      <c r="BI177" s="318">
        <f t="shared" si="91"/>
        <v>0</v>
      </c>
      <c r="BJ177" s="318">
        <f t="shared" si="91"/>
        <v>0</v>
      </c>
      <c r="BK177" s="14">
        <f t="shared" si="78"/>
        <v>0</v>
      </c>
      <c r="BL177" s="318"/>
      <c r="BM177" s="318"/>
      <c r="BN177" s="318"/>
      <c r="BO177" s="318"/>
      <c r="BP177" s="318"/>
      <c r="BQ177" s="318"/>
      <c r="BR177" s="318"/>
      <c r="BS177" s="318"/>
      <c r="BT177" s="318"/>
      <c r="BU177" s="318"/>
      <c r="BV177" s="318"/>
      <c r="BW177" s="318"/>
      <c r="BX177" s="318"/>
      <c r="BY177" s="318"/>
      <c r="BZ177" s="318"/>
      <c r="CA177" s="318"/>
      <c r="CB177" s="318"/>
      <c r="CC177" s="318"/>
      <c r="CD177" s="318"/>
      <c r="CE177" s="318"/>
      <c r="CF177" s="318"/>
      <c r="CG177" s="318"/>
      <c r="CH177" s="318"/>
      <c r="CI177" s="318"/>
      <c r="CJ177" s="2"/>
      <c r="CK177" s="2"/>
      <c r="CM177" s="1140">
        <v>0</v>
      </c>
      <c r="CN177" s="1140">
        <v>2009000</v>
      </c>
      <c r="CP177" s="923">
        <f t="shared" si="73"/>
        <v>0</v>
      </c>
      <c r="CZ177" s="330"/>
    </row>
    <row r="178" spans="1:104" ht="15" customHeight="1" x14ac:dyDescent="0.25">
      <c r="A178" s="684">
        <f>MAX($A$6:A177)+1</f>
        <v>178</v>
      </c>
      <c r="B178" s="11" t="s">
        <v>43</v>
      </c>
      <c r="C178" s="11" t="str">
        <f t="shared" si="80"/>
        <v>SoCITE</v>
      </c>
      <c r="D178" s="11" t="s">
        <v>126</v>
      </c>
      <c r="E178" s="13" t="str">
        <f>"Changes in taxpayers’ equity for "&amp;Update!$B$13</f>
        <v>Changes in taxpayers’ equity for 2025-26</v>
      </c>
      <c r="F178" s="15"/>
      <c r="G178" s="26"/>
      <c r="H178" s="6"/>
      <c r="I178" s="6"/>
      <c r="J178" s="1253" t="str">
        <f>E178</f>
        <v>Changes in taxpayers’ equity for 2025-26</v>
      </c>
      <c r="K178" s="251">
        <f>SUMIF('alb SoCITE'!$A:$A,$J178,'alb SoCITE'!$C:$C)</f>
        <v>0</v>
      </c>
      <c r="L178" s="251">
        <f>SUMIF('alb SoCITE'!$A:$A,$J178,'alb SoCITE'!$I:$I)</f>
        <v>0</v>
      </c>
      <c r="M178" s="252"/>
      <c r="N178" s="273">
        <f t="shared" ref="N178:N186" si="92">ROUND(SUM(O178:S178)+SUM(W178:AV178),0)</f>
        <v>0</v>
      </c>
      <c r="O178" s="12"/>
      <c r="P178" s="12"/>
      <c r="Q178" s="12"/>
      <c r="R178" s="12"/>
      <c r="S178" s="6">
        <f t="shared" si="68"/>
        <v>0</v>
      </c>
      <c r="T178" s="273">
        <f t="shared" ref="T178:T186" si="93">ROUND(SUM(U178:Y178),0)</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X178" s="6"/>
      <c r="AY178" s="6">
        <f>ROUND(AX178/1000/Update!$B$31*Update!$B$27,0)</f>
        <v>0</v>
      </c>
      <c r="BA178" s="6"/>
      <c r="BB178" s="6">
        <f>ROUND(BA178/1000/Update!$B$31,0)</f>
        <v>0</v>
      </c>
      <c r="BC178" s="6"/>
      <c r="BD178" s="29">
        <f t="shared" si="69"/>
        <v>0</v>
      </c>
      <c r="BE178" s="317"/>
      <c r="BF178" s="317"/>
      <c r="BG178" s="317"/>
      <c r="BH178" s="317"/>
      <c r="BI178" s="317"/>
      <c r="BJ178" s="317"/>
      <c r="BK178" s="29">
        <f t="shared" si="78"/>
        <v>0</v>
      </c>
      <c r="BL178" s="317"/>
      <c r="BM178" s="317"/>
      <c r="BN178" s="317"/>
      <c r="BO178" s="317"/>
      <c r="BP178" s="317"/>
      <c r="BQ178" s="317"/>
      <c r="BR178" s="317"/>
      <c r="BS178" s="317"/>
      <c r="BT178" s="317"/>
      <c r="BU178" s="317"/>
      <c r="BV178" s="317"/>
      <c r="BW178" s="317"/>
      <c r="BX178" s="317"/>
      <c r="BY178" s="317"/>
      <c r="BZ178" s="317"/>
      <c r="CA178" s="317"/>
      <c r="CB178" s="317"/>
      <c r="CC178" s="317"/>
      <c r="CD178" s="317"/>
      <c r="CE178" s="317"/>
      <c r="CF178" s="317"/>
      <c r="CG178" s="317"/>
      <c r="CH178" s="317"/>
      <c r="CI178" s="317"/>
      <c r="CM178" s="1139">
        <v>0</v>
      </c>
      <c r="CN178" s="1139">
        <v>0</v>
      </c>
      <c r="CP178" s="923">
        <f t="shared" si="73"/>
        <v>0</v>
      </c>
      <c r="CZ178" s="330"/>
    </row>
    <row r="179" spans="1:104" ht="15" customHeight="1" x14ac:dyDescent="0.25">
      <c r="A179" s="684">
        <f>MAX($A$6:A178)+1</f>
        <v>179</v>
      </c>
      <c r="B179" s="11" t="s">
        <v>43</v>
      </c>
      <c r="C179" s="11" t="str">
        <f t="shared" si="80"/>
        <v>SoCITE</v>
      </c>
      <c r="D179" s="11" t="s">
        <v>126</v>
      </c>
      <c r="E179" s="7" t="s">
        <v>854</v>
      </c>
      <c r="F179" s="15"/>
      <c r="G179" s="1254" t="s">
        <v>731</v>
      </c>
      <c r="H179" s="6">
        <v>0</v>
      </c>
      <c r="I179" s="6">
        <v>0</v>
      </c>
      <c r="J179" s="1257" t="s">
        <v>854</v>
      </c>
      <c r="K179" s="251">
        <f>SUMIF('alb SoCITE'!$A:$A,$J179,'alb SoCITE'!$C:$C)</f>
        <v>0</v>
      </c>
      <c r="L179" s="251">
        <f>SUMIF('alb SoCITE'!$A:$A,$J179,'alb SoCITE'!$I:$I)</f>
        <v>0</v>
      </c>
      <c r="M179" s="252"/>
      <c r="N179" s="273">
        <f t="shared" si="92"/>
        <v>0</v>
      </c>
      <c r="O179" s="12"/>
      <c r="P179" s="12"/>
      <c r="Q179" s="12"/>
      <c r="R179" s="1533">
        <f>+V179</f>
        <v>0</v>
      </c>
      <c r="S179" s="6">
        <f>-IF(ISNUMBER(BD179),BD179,0)</f>
        <v>0</v>
      </c>
      <c r="T179" s="273">
        <f t="shared" si="93"/>
        <v>0</v>
      </c>
      <c r="U179" s="6">
        <f t="shared" ref="U179:U186" si="94">SUM(BL179:BN179)</f>
        <v>0</v>
      </c>
      <c r="V179" s="1522">
        <f>-SUM(W179:Y179)</f>
        <v>0</v>
      </c>
      <c r="W179" s="6">
        <f t="shared" ref="W179:W200" si="95">+H179</f>
        <v>0</v>
      </c>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X179" s="6"/>
      <c r="AY179" s="6">
        <f>ROUND(AX179/1000/Update!$B$31*Update!$B$27,0)</f>
        <v>0</v>
      </c>
      <c r="BA179" s="6"/>
      <c r="BB179" s="6">
        <f>ROUND(BA179/1000/Update!$B$31,0)</f>
        <v>0</v>
      </c>
      <c r="BC179" s="6"/>
      <c r="BD179" s="29">
        <f t="shared" si="69"/>
        <v>0</v>
      </c>
      <c r="BE179" s="317"/>
      <c r="BF179" s="317"/>
      <c r="BG179" s="1191">
        <f>-BG14</f>
        <v>0</v>
      </c>
      <c r="BH179" s="1191">
        <f>-BH14</f>
        <v>0</v>
      </c>
      <c r="BI179" s="1522">
        <f>SUM(Z179:AQ179)</f>
        <v>0</v>
      </c>
      <c r="BJ179" s="317"/>
      <c r="BK179" s="29">
        <f t="shared" si="78"/>
        <v>0</v>
      </c>
      <c r="BL179" s="317"/>
      <c r="BM179" s="317"/>
      <c r="BN179" s="317"/>
      <c r="BO179" s="317"/>
      <c r="BP179" s="317"/>
      <c r="BQ179" s="317"/>
      <c r="BR179" s="317"/>
      <c r="BS179" s="317"/>
      <c r="BT179" s="317"/>
      <c r="BU179" s="317"/>
      <c r="BV179" s="317"/>
      <c r="BW179" s="317"/>
      <c r="BX179" s="317"/>
      <c r="BY179" s="317"/>
      <c r="BZ179" s="317"/>
      <c r="CA179" s="317"/>
      <c r="CB179" s="317"/>
      <c r="CC179" s="317"/>
      <c r="CD179" s="317"/>
      <c r="CE179" s="317"/>
      <c r="CF179" s="317"/>
      <c r="CG179" s="317"/>
      <c r="CH179" s="317"/>
      <c r="CI179" s="317"/>
      <c r="CM179" s="1139">
        <v>-1268201.5</v>
      </c>
      <c r="CN179" s="1139">
        <v>7541911</v>
      </c>
      <c r="CP179" s="923">
        <f t="shared" si="73"/>
        <v>-1268201.5</v>
      </c>
      <c r="CZ179" s="330"/>
    </row>
    <row r="180" spans="1:104" ht="30" customHeight="1" x14ac:dyDescent="0.25">
      <c r="A180" s="684">
        <f>MAX($A$6:A179)+1</f>
        <v>180</v>
      </c>
      <c r="B180" s="11" t="s">
        <v>43</v>
      </c>
      <c r="C180" s="11" t="str">
        <f t="shared" si="80"/>
        <v>SoCITE</v>
      </c>
      <c r="D180" s="11" t="s">
        <v>126</v>
      </c>
      <c r="E180" s="7" t="s">
        <v>1026</v>
      </c>
      <c r="F180" s="15"/>
      <c r="G180" s="1254" t="s">
        <v>330</v>
      </c>
      <c r="H180" s="6">
        <v>0</v>
      </c>
      <c r="I180" s="6">
        <v>0</v>
      </c>
      <c r="J180" s="1253" t="s">
        <v>286</v>
      </c>
      <c r="K180" s="251">
        <f>SUMIF('alb SoCITE'!$A:$A,$J180,'alb SoCITE'!$C:$C)</f>
        <v>0</v>
      </c>
      <c r="L180" s="251">
        <f>SUMIF('alb SoCITE'!$A:$A,$J180,'alb SoCITE'!$I:$I)</f>
        <v>0</v>
      </c>
      <c r="M180" s="252"/>
      <c r="N180" s="273">
        <f t="shared" si="92"/>
        <v>0</v>
      </c>
      <c r="O180" s="12"/>
      <c r="P180" s="12"/>
      <c r="Q180" s="12"/>
      <c r="R180" s="1533">
        <f>+V180</f>
        <v>0</v>
      </c>
      <c r="S180" s="6">
        <f t="shared" si="68"/>
        <v>0</v>
      </c>
      <c r="T180" s="273">
        <f t="shared" si="93"/>
        <v>0</v>
      </c>
      <c r="U180" s="6">
        <f t="shared" si="94"/>
        <v>0</v>
      </c>
      <c r="V180" s="1533">
        <f>-V179</f>
        <v>0</v>
      </c>
      <c r="W180" s="6">
        <f t="shared" si="95"/>
        <v>0</v>
      </c>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X180" s="6"/>
      <c r="AY180" s="6">
        <f>ROUND(AX180/1000/Update!$B$31*Update!$B$27,0)</f>
        <v>0</v>
      </c>
      <c r="BA180" s="6"/>
      <c r="BB180" s="6">
        <f>ROUND(BA180/1000/Update!$B$31,0)</f>
        <v>0</v>
      </c>
      <c r="BC180" s="6"/>
      <c r="BD180" s="29">
        <f t="shared" si="69"/>
        <v>0</v>
      </c>
      <c r="BE180" s="317"/>
      <c r="BF180" s="317"/>
      <c r="BG180" s="317"/>
      <c r="BH180" s="317"/>
      <c r="BI180" s="317"/>
      <c r="BJ180" s="317"/>
      <c r="BK180" s="29">
        <f t="shared" si="78"/>
        <v>0</v>
      </c>
      <c r="BL180" s="317"/>
      <c r="BM180" s="317"/>
      <c r="BN180" s="317"/>
      <c r="BO180" s="317"/>
      <c r="BP180" s="317"/>
      <c r="BQ180" s="317"/>
      <c r="BR180" s="317"/>
      <c r="BS180" s="317"/>
      <c r="BT180" s="317"/>
      <c r="BU180" s="317"/>
      <c r="BV180" s="317"/>
      <c r="BW180" s="317"/>
      <c r="BX180" s="317"/>
      <c r="BY180" s="317"/>
      <c r="BZ180" s="317"/>
      <c r="CA180" s="317"/>
      <c r="CB180" s="317"/>
      <c r="CC180" s="317"/>
      <c r="CD180" s="317"/>
      <c r="CE180" s="317"/>
      <c r="CF180" s="317"/>
      <c r="CG180" s="317"/>
      <c r="CH180" s="317"/>
      <c r="CI180" s="317"/>
      <c r="CM180" s="1139">
        <v>1268199.5</v>
      </c>
      <c r="CN180" s="1139">
        <v>0</v>
      </c>
      <c r="CP180" s="923">
        <f t="shared" si="73"/>
        <v>1268199.5</v>
      </c>
      <c r="CZ180" s="330"/>
    </row>
    <row r="181" spans="1:104" ht="30" customHeight="1" x14ac:dyDescent="0.25">
      <c r="A181" s="684">
        <f>MAX($A$6:A180)+1</f>
        <v>181</v>
      </c>
      <c r="B181" s="11" t="s">
        <v>43</v>
      </c>
      <c r="C181" s="11" t="str">
        <f t="shared" si="80"/>
        <v>SoCITE</v>
      </c>
      <c r="D181" s="11" t="s">
        <v>126</v>
      </c>
      <c r="E181" s="7" t="s">
        <v>1027</v>
      </c>
      <c r="F181" s="15"/>
      <c r="G181" s="1254" t="s">
        <v>331</v>
      </c>
      <c r="H181" s="6">
        <v>0</v>
      </c>
      <c r="I181" s="6">
        <v>0</v>
      </c>
      <c r="J181" s="1253" t="s">
        <v>286</v>
      </c>
      <c r="K181" s="251">
        <f>SUMIF('alb SoCITE'!$A:$A,$J181,'alb SoCITE'!$C:$C)</f>
        <v>0</v>
      </c>
      <c r="L181" s="251">
        <f>SUMIF('alb SoCITE'!$A:$A,$J181,'alb SoCITE'!$I:$I)</f>
        <v>0</v>
      </c>
      <c r="M181" s="252"/>
      <c r="N181" s="273">
        <f t="shared" si="92"/>
        <v>0</v>
      </c>
      <c r="O181" s="12"/>
      <c r="P181" s="12"/>
      <c r="Q181" s="12"/>
      <c r="R181" s="12"/>
      <c r="S181" s="6">
        <f t="shared" si="68"/>
        <v>0</v>
      </c>
      <c r="T181" s="273">
        <f t="shared" si="93"/>
        <v>0</v>
      </c>
      <c r="U181" s="6">
        <f t="shared" si="94"/>
        <v>0</v>
      </c>
      <c r="V181" s="6"/>
      <c r="W181" s="6">
        <f t="shared" si="95"/>
        <v>0</v>
      </c>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X181" s="6"/>
      <c r="AY181" s="6">
        <f>ROUND(AX181/1000/Update!$B$31*Update!$B$27,0)</f>
        <v>0</v>
      </c>
      <c r="BA181" s="6"/>
      <c r="BB181" s="6">
        <f>ROUND(BA181/1000/Update!$B$31,0)</f>
        <v>0</v>
      </c>
      <c r="BC181" s="6"/>
      <c r="BD181" s="29">
        <f t="shared" si="69"/>
        <v>0</v>
      </c>
      <c r="BE181" s="317"/>
      <c r="BF181" s="317"/>
      <c r="BG181" s="317"/>
      <c r="BH181" s="317"/>
      <c r="BI181" s="317"/>
      <c r="BJ181" s="317"/>
      <c r="BK181" s="29">
        <f t="shared" si="78"/>
        <v>0</v>
      </c>
      <c r="BL181" s="317"/>
      <c r="BM181" s="317"/>
      <c r="BN181" s="317"/>
      <c r="BO181" s="317"/>
      <c r="BP181" s="317"/>
      <c r="BQ181" s="317"/>
      <c r="BR181" s="317"/>
      <c r="BS181" s="317"/>
      <c r="BT181" s="317"/>
      <c r="BU181" s="317"/>
      <c r="BV181" s="317"/>
      <c r="BW181" s="317"/>
      <c r="BX181" s="317"/>
      <c r="BY181" s="317"/>
      <c r="BZ181" s="317"/>
      <c r="CA181" s="317"/>
      <c r="CB181" s="317"/>
      <c r="CC181" s="317"/>
      <c r="CD181" s="317"/>
      <c r="CE181" s="317"/>
      <c r="CF181" s="317"/>
      <c r="CG181" s="317"/>
      <c r="CH181" s="317"/>
      <c r="CI181" s="317"/>
      <c r="CM181" s="1139">
        <v>0</v>
      </c>
      <c r="CN181" s="1139">
        <v>0</v>
      </c>
      <c r="CP181" s="923">
        <f t="shared" si="73"/>
        <v>0</v>
      </c>
      <c r="CZ181" s="330"/>
    </row>
    <row r="182" spans="1:104" ht="25.5" customHeight="1" x14ac:dyDescent="0.25">
      <c r="A182" s="684">
        <f>MAX($A$6:A181)+1</f>
        <v>182</v>
      </c>
      <c r="B182" s="11" t="s">
        <v>43</v>
      </c>
      <c r="C182" s="11" t="str">
        <f t="shared" si="80"/>
        <v>SoCITE</v>
      </c>
      <c r="D182" s="11" t="s">
        <v>126</v>
      </c>
      <c r="E182" s="7" t="s">
        <v>1015</v>
      </c>
      <c r="F182" s="15"/>
      <c r="G182" s="1254" t="s">
        <v>115</v>
      </c>
      <c r="H182" s="6">
        <v>0</v>
      </c>
      <c r="I182" s="6">
        <v>0</v>
      </c>
      <c r="J182" s="1253" t="s">
        <v>286</v>
      </c>
      <c r="K182" s="251">
        <f>SUMIF('alb SoCITE'!$A:$A,$J182,'alb SoCITE'!$C:$C)</f>
        <v>0</v>
      </c>
      <c r="L182" s="251">
        <f>SUMIF('alb SoCITE'!$A:$A,$J182,'alb SoCITE'!$I:$I)</f>
        <v>0</v>
      </c>
      <c r="M182" s="252"/>
      <c r="N182" s="273">
        <f t="shared" si="92"/>
        <v>0</v>
      </c>
      <c r="O182" s="12"/>
      <c r="P182" s="12"/>
      <c r="Q182" s="12"/>
      <c r="R182" s="12"/>
      <c r="S182" s="6">
        <f t="shared" si="68"/>
        <v>0</v>
      </c>
      <c r="T182" s="273">
        <f t="shared" si="93"/>
        <v>0</v>
      </c>
      <c r="U182" s="6">
        <f t="shared" si="94"/>
        <v>0</v>
      </c>
      <c r="V182" s="6"/>
      <c r="W182" s="6">
        <f t="shared" si="95"/>
        <v>0</v>
      </c>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X182" s="6"/>
      <c r="AY182" s="6">
        <f>ROUND(AX182/1000/Update!$B$31*Update!$B$27,0)</f>
        <v>0</v>
      </c>
      <c r="BA182" s="6"/>
      <c r="BB182" s="6">
        <f>ROUND(BA182/1000/Update!$B$31,0)</f>
        <v>0</v>
      </c>
      <c r="BC182" s="6"/>
      <c r="BD182" s="29">
        <f t="shared" si="69"/>
        <v>0</v>
      </c>
      <c r="BE182" s="317"/>
      <c r="BF182" s="317"/>
      <c r="BG182" s="317"/>
      <c r="BH182" s="317"/>
      <c r="BI182" s="317"/>
      <c r="BJ182" s="317"/>
      <c r="BK182" s="29">
        <f t="shared" si="78"/>
        <v>0</v>
      </c>
      <c r="BL182" s="317"/>
      <c r="BM182" s="317"/>
      <c r="BN182" s="317"/>
      <c r="BO182" s="317"/>
      <c r="BP182" s="317"/>
      <c r="BQ182" s="317"/>
      <c r="BR182" s="317"/>
      <c r="BS182" s="317"/>
      <c r="BT182" s="317"/>
      <c r="BU182" s="317"/>
      <c r="BV182" s="317"/>
      <c r="BW182" s="317"/>
      <c r="BX182" s="317"/>
      <c r="BY182" s="317"/>
      <c r="BZ182" s="317"/>
      <c r="CA182" s="317"/>
      <c r="CB182" s="317"/>
      <c r="CC182" s="317"/>
      <c r="CD182" s="317"/>
      <c r="CE182" s="317"/>
      <c r="CF182" s="317"/>
      <c r="CG182" s="317"/>
      <c r="CH182" s="317"/>
      <c r="CI182" s="317"/>
      <c r="CM182" s="1139">
        <v>0</v>
      </c>
      <c r="CN182" s="1139">
        <v>0</v>
      </c>
      <c r="CP182" s="923">
        <f t="shared" si="73"/>
        <v>0</v>
      </c>
      <c r="CZ182" s="330"/>
    </row>
    <row r="183" spans="1:104" ht="25.5" customHeight="1" x14ac:dyDescent="0.25">
      <c r="A183" s="684">
        <f>MAX($A$6:A182)+1</f>
        <v>183</v>
      </c>
      <c r="B183" s="11" t="s">
        <v>43</v>
      </c>
      <c r="C183" s="11" t="str">
        <f t="shared" si="80"/>
        <v>SoCITE</v>
      </c>
      <c r="D183" s="11" t="s">
        <v>126</v>
      </c>
      <c r="E183" s="7" t="s">
        <v>1017</v>
      </c>
      <c r="F183" s="15"/>
      <c r="G183" s="1254" t="s">
        <v>116</v>
      </c>
      <c r="H183" s="6">
        <v>0</v>
      </c>
      <c r="I183" s="6">
        <v>0</v>
      </c>
      <c r="J183" s="1253" t="s">
        <v>286</v>
      </c>
      <c r="K183" s="251">
        <f>SUMIF('alb SoCITE'!$A:$A,$J183,'alb SoCITE'!$C:$C)</f>
        <v>0</v>
      </c>
      <c r="L183" s="251">
        <f>SUMIF('alb SoCITE'!$A:$A,$J183,'alb SoCITE'!$I:$I)</f>
        <v>0</v>
      </c>
      <c r="M183" s="252"/>
      <c r="N183" s="273">
        <f t="shared" si="92"/>
        <v>0</v>
      </c>
      <c r="O183" s="12"/>
      <c r="P183" s="12"/>
      <c r="Q183" s="12"/>
      <c r="R183" s="12"/>
      <c r="S183" s="6">
        <f t="shared" si="68"/>
        <v>0</v>
      </c>
      <c r="T183" s="273">
        <f t="shared" si="93"/>
        <v>0</v>
      </c>
      <c r="U183" s="6">
        <f t="shared" si="94"/>
        <v>0</v>
      </c>
      <c r="V183" s="6"/>
      <c r="W183" s="6">
        <f t="shared" si="95"/>
        <v>0</v>
      </c>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X183" s="6"/>
      <c r="AY183" s="6">
        <f>ROUND(AX183/1000/Update!$B$31*Update!$B$27,0)</f>
        <v>0</v>
      </c>
      <c r="BA183" s="6"/>
      <c r="BB183" s="6">
        <f>ROUND(BA183/1000/Update!$B$31,0)</f>
        <v>0</v>
      </c>
      <c r="BC183" s="6"/>
      <c r="BD183" s="29">
        <f t="shared" si="69"/>
        <v>0</v>
      </c>
      <c r="BE183" s="317"/>
      <c r="BF183" s="317"/>
      <c r="BG183" s="317"/>
      <c r="BH183" s="317"/>
      <c r="BI183" s="317"/>
      <c r="BJ183" s="317"/>
      <c r="BK183" s="29">
        <f t="shared" si="78"/>
        <v>0</v>
      </c>
      <c r="BL183" s="317"/>
      <c r="BM183" s="317"/>
      <c r="BN183" s="317"/>
      <c r="BO183" s="317"/>
      <c r="BP183" s="317"/>
      <c r="BQ183" s="317"/>
      <c r="BR183" s="317"/>
      <c r="BS183" s="317"/>
      <c r="BT183" s="317"/>
      <c r="BU183" s="317"/>
      <c r="BV183" s="317"/>
      <c r="BW183" s="317"/>
      <c r="BX183" s="317"/>
      <c r="BY183" s="317"/>
      <c r="BZ183" s="317"/>
      <c r="CA183" s="317"/>
      <c r="CB183" s="317"/>
      <c r="CC183" s="317"/>
      <c r="CD183" s="317"/>
      <c r="CE183" s="317"/>
      <c r="CF183" s="317"/>
      <c r="CG183" s="317"/>
      <c r="CH183" s="317"/>
      <c r="CI183" s="317"/>
      <c r="CM183" s="1139">
        <v>0</v>
      </c>
      <c r="CN183" s="1139">
        <v>0</v>
      </c>
      <c r="CP183" s="923">
        <f t="shared" si="73"/>
        <v>0</v>
      </c>
      <c r="CZ183" s="330"/>
    </row>
    <row r="184" spans="1:104" ht="25.5" customHeight="1" x14ac:dyDescent="0.25">
      <c r="A184" s="684">
        <f>MAX($A$6:A183)+1</f>
        <v>184</v>
      </c>
      <c r="B184" s="11" t="s">
        <v>43</v>
      </c>
      <c r="C184" s="11" t="str">
        <f t="shared" si="80"/>
        <v>SoCITE</v>
      </c>
      <c r="D184" s="11" t="s">
        <v>126</v>
      </c>
      <c r="E184" s="7" t="s">
        <v>1013</v>
      </c>
      <c r="F184" s="15"/>
      <c r="G184" s="1254" t="s">
        <v>332</v>
      </c>
      <c r="H184" s="6">
        <v>0</v>
      </c>
      <c r="I184" s="6">
        <v>0</v>
      </c>
      <c r="J184" s="1253" t="s">
        <v>286</v>
      </c>
      <c r="K184" s="251">
        <f>SUMIF('alb SoCITE'!$A:$A,$J184,'alb SoCITE'!$C:$C)</f>
        <v>0</v>
      </c>
      <c r="L184" s="251">
        <f>SUMIF('alb SoCITE'!$A:$A,$J184,'alb SoCITE'!$I:$I)</f>
        <v>0</v>
      </c>
      <c r="M184" s="252"/>
      <c r="N184" s="273">
        <f t="shared" si="92"/>
        <v>0</v>
      </c>
      <c r="O184" s="12"/>
      <c r="P184" s="12"/>
      <c r="Q184" s="12"/>
      <c r="R184" s="12"/>
      <c r="S184" s="6">
        <f t="shared" si="68"/>
        <v>0</v>
      </c>
      <c r="T184" s="273">
        <f t="shared" si="93"/>
        <v>0</v>
      </c>
      <c r="U184" s="6">
        <f t="shared" si="94"/>
        <v>0</v>
      </c>
      <c r="V184" s="6"/>
      <c r="W184" s="6">
        <f t="shared" si="95"/>
        <v>0</v>
      </c>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X184" s="6"/>
      <c r="AY184" s="6">
        <f>ROUND(AX184/1000/Update!$B$31*Update!$B$27,0)</f>
        <v>0</v>
      </c>
      <c r="BA184" s="6"/>
      <c r="BB184" s="6">
        <f>ROUND(BA184/1000/Update!$B$31,0)</f>
        <v>0</v>
      </c>
      <c r="BC184" s="6"/>
      <c r="BD184" s="29">
        <f t="shared" si="69"/>
        <v>0</v>
      </c>
      <c r="BE184" s="317"/>
      <c r="BF184" s="317"/>
      <c r="BG184" s="317"/>
      <c r="BH184" s="317"/>
      <c r="BI184" s="317"/>
      <c r="BJ184" s="317"/>
      <c r="BK184" s="29">
        <f t="shared" si="78"/>
        <v>0</v>
      </c>
      <c r="BL184" s="317"/>
      <c r="BM184" s="317"/>
      <c r="BN184" s="317"/>
      <c r="BO184" s="317"/>
      <c r="BP184" s="317"/>
      <c r="BQ184" s="317"/>
      <c r="BR184" s="317"/>
      <c r="BS184" s="317"/>
      <c r="BT184" s="317"/>
      <c r="BU184" s="317"/>
      <c r="BV184" s="317"/>
      <c r="BW184" s="317"/>
      <c r="BX184" s="317"/>
      <c r="BY184" s="317"/>
      <c r="BZ184" s="317"/>
      <c r="CA184" s="317"/>
      <c r="CB184" s="317"/>
      <c r="CC184" s="317"/>
      <c r="CD184" s="317"/>
      <c r="CE184" s="317"/>
      <c r="CF184" s="317"/>
      <c r="CG184" s="317"/>
      <c r="CH184" s="317"/>
      <c r="CI184" s="317"/>
      <c r="CM184" s="1139">
        <v>0</v>
      </c>
      <c r="CN184" s="1139">
        <v>0</v>
      </c>
      <c r="CP184" s="923">
        <f t="shared" si="73"/>
        <v>0</v>
      </c>
      <c r="CZ184" s="330"/>
    </row>
    <row r="185" spans="1:104" ht="25.5" customHeight="1" x14ac:dyDescent="0.25">
      <c r="A185" s="684">
        <f>MAX($A$6:A184)+1</f>
        <v>185</v>
      </c>
      <c r="B185" s="11" t="s">
        <v>43</v>
      </c>
      <c r="C185" s="11" t="str">
        <f t="shared" si="80"/>
        <v>SoCITE</v>
      </c>
      <c r="D185" s="11" t="s">
        <v>126</v>
      </c>
      <c r="E185" s="51" t="s">
        <v>1973</v>
      </c>
      <c r="F185" s="15"/>
      <c r="G185" s="1254" t="s">
        <v>333</v>
      </c>
      <c r="H185" s="6">
        <v>0</v>
      </c>
      <c r="I185" s="6">
        <v>0</v>
      </c>
      <c r="J185" s="1253" t="s">
        <v>286</v>
      </c>
      <c r="K185" s="251">
        <f>SUMIF('alb SoCITE'!$A:$A,$J185,'alb SoCITE'!$C:$C)</f>
        <v>0</v>
      </c>
      <c r="L185" s="251">
        <f>SUMIF('alb SoCITE'!$A:$A,$J185,'alb SoCITE'!$I:$I)</f>
        <v>0</v>
      </c>
      <c r="M185" s="252"/>
      <c r="N185" s="273">
        <f t="shared" si="92"/>
        <v>0</v>
      </c>
      <c r="O185" s="12"/>
      <c r="P185" s="12"/>
      <c r="Q185" s="12"/>
      <c r="R185" s="12"/>
      <c r="S185" s="6">
        <f t="shared" si="68"/>
        <v>0</v>
      </c>
      <c r="T185" s="273">
        <f t="shared" si="93"/>
        <v>0</v>
      </c>
      <c r="U185" s="6">
        <f t="shared" si="94"/>
        <v>0</v>
      </c>
      <c r="V185" s="6"/>
      <c r="W185" s="6">
        <f t="shared" si="95"/>
        <v>0</v>
      </c>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X185" s="6"/>
      <c r="AY185" s="6">
        <f>ROUND(AX185/1000/Update!$B$31*Update!$B$27,0)</f>
        <v>0</v>
      </c>
      <c r="BA185" s="6"/>
      <c r="BB185" s="6">
        <f>ROUND(BA185/1000/Update!$B$31,0)</f>
        <v>0</v>
      </c>
      <c r="BC185" s="6"/>
      <c r="BD185" s="29">
        <f t="shared" si="69"/>
        <v>0</v>
      </c>
      <c r="BE185" s="317"/>
      <c r="BF185" s="317"/>
      <c r="BG185" s="317"/>
      <c r="BH185" s="317"/>
      <c r="BI185" s="317"/>
      <c r="BJ185" s="317"/>
      <c r="BK185" s="29">
        <f t="shared" si="78"/>
        <v>0</v>
      </c>
      <c r="BL185" s="317"/>
      <c r="BM185" s="317"/>
      <c r="BN185" s="317"/>
      <c r="BO185" s="317"/>
      <c r="BP185" s="317"/>
      <c r="BQ185" s="317"/>
      <c r="BR185" s="317"/>
      <c r="BS185" s="317"/>
      <c r="BT185" s="317"/>
      <c r="BU185" s="317"/>
      <c r="BV185" s="317"/>
      <c r="BW185" s="317"/>
      <c r="BX185" s="317"/>
      <c r="BY185" s="317"/>
      <c r="BZ185" s="317"/>
      <c r="CA185" s="317"/>
      <c r="CB185" s="317"/>
      <c r="CC185" s="317"/>
      <c r="CD185" s="317"/>
      <c r="CE185" s="317"/>
      <c r="CF185" s="317"/>
      <c r="CG185" s="317"/>
      <c r="CH185" s="317"/>
      <c r="CI185" s="317"/>
      <c r="CM185" s="1139">
        <v>0</v>
      </c>
      <c r="CN185" s="1139">
        <v>0</v>
      </c>
      <c r="CP185" s="923">
        <f t="shared" si="73"/>
        <v>0</v>
      </c>
      <c r="CZ185" s="330"/>
    </row>
    <row r="186" spans="1:104" ht="15" customHeight="1" x14ac:dyDescent="0.25">
      <c r="A186" s="684">
        <f>MAX($A$6:A185)+1</f>
        <v>186</v>
      </c>
      <c r="B186" s="11" t="s">
        <v>43</v>
      </c>
      <c r="C186" s="11" t="str">
        <f t="shared" si="80"/>
        <v>SoCITE</v>
      </c>
      <c r="D186" s="11" t="s">
        <v>126</v>
      </c>
      <c r="E186" s="7" t="s">
        <v>2180</v>
      </c>
      <c r="F186" s="15"/>
      <c r="G186" s="1254" t="s">
        <v>2178</v>
      </c>
      <c r="H186" s="6">
        <v>0</v>
      </c>
      <c r="I186" s="6">
        <v>0</v>
      </c>
      <c r="J186" s="1253" t="s">
        <v>286</v>
      </c>
      <c r="K186" s="251">
        <f>SUMIF('alb SoCITE'!$A:$A,$J186,'alb SoCITE'!$C:$C)</f>
        <v>0</v>
      </c>
      <c r="L186" s="251">
        <f>SUMIF('alb SoCITE'!$A:$A,$J186,'alb SoCITE'!$I:$I)</f>
        <v>0</v>
      </c>
      <c r="M186" s="252"/>
      <c r="N186" s="273">
        <f t="shared" si="92"/>
        <v>0</v>
      </c>
      <c r="O186" s="12"/>
      <c r="P186" s="12"/>
      <c r="Q186" s="12"/>
      <c r="R186" s="12"/>
      <c r="S186" s="6">
        <f t="shared" si="68"/>
        <v>0</v>
      </c>
      <c r="T186" s="273">
        <f t="shared" si="93"/>
        <v>0</v>
      </c>
      <c r="U186" s="6">
        <f t="shared" si="94"/>
        <v>0</v>
      </c>
      <c r="V186" s="6"/>
      <c r="W186" s="6">
        <f t="shared" si="95"/>
        <v>0</v>
      </c>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X186" s="6"/>
      <c r="AY186" s="6">
        <f>ROUND(AX186/1000/Update!$B$31*Update!$B$27,0)</f>
        <v>0</v>
      </c>
      <c r="BA186" s="6"/>
      <c r="BB186" s="6">
        <f>ROUND(BA186/1000/Update!$B$31,0)</f>
        <v>0</v>
      </c>
      <c r="BC186" s="6"/>
      <c r="BD186" s="29">
        <f t="shared" si="69"/>
        <v>0</v>
      </c>
      <c r="BE186" s="317"/>
      <c r="BF186" s="317"/>
      <c r="BG186" s="317"/>
      <c r="BH186" s="317"/>
      <c r="BI186" s="317"/>
      <c r="BJ186" s="317"/>
      <c r="BK186" s="29">
        <f t="shared" si="78"/>
        <v>0</v>
      </c>
      <c r="BL186" s="317"/>
      <c r="BM186" s="317"/>
      <c r="BN186" s="317"/>
      <c r="BO186" s="317"/>
      <c r="BP186" s="317"/>
      <c r="BQ186" s="317"/>
      <c r="BR186" s="317"/>
      <c r="BS186" s="317"/>
      <c r="BT186" s="317"/>
      <c r="BU186" s="317"/>
      <c r="BV186" s="317"/>
      <c r="BW186" s="317"/>
      <c r="BX186" s="317"/>
      <c r="BY186" s="317"/>
      <c r="BZ186" s="317"/>
      <c r="CA186" s="317"/>
      <c r="CB186" s="317"/>
      <c r="CC186" s="317"/>
      <c r="CD186" s="317"/>
      <c r="CE186" s="317"/>
      <c r="CF186" s="317"/>
      <c r="CG186" s="317"/>
      <c r="CH186" s="317"/>
      <c r="CI186" s="317"/>
      <c r="CM186" s="1139">
        <v>0</v>
      </c>
      <c r="CN186" s="1139">
        <v>0</v>
      </c>
      <c r="CP186" s="923">
        <f t="shared" si="73"/>
        <v>0</v>
      </c>
      <c r="CZ186" s="330"/>
    </row>
    <row r="187" spans="1:104" ht="15" customHeight="1" x14ac:dyDescent="0.25">
      <c r="A187" s="701">
        <f>MAX($A$6:A186)+1</f>
        <v>187</v>
      </c>
      <c r="B187" s="18" t="s">
        <v>43</v>
      </c>
      <c r="C187" s="18" t="str">
        <f t="shared" si="80"/>
        <v>SoCITE</v>
      </c>
      <c r="D187" s="18" t="s">
        <v>126</v>
      </c>
      <c r="E187" s="19" t="s">
        <v>2179</v>
      </c>
      <c r="F187" s="20"/>
      <c r="G187" s="28"/>
      <c r="H187" s="14">
        <f>SUM(H178:H186)</f>
        <v>0</v>
      </c>
      <c r="I187" s="14">
        <f>SUM(I178:I186)</f>
        <v>0</v>
      </c>
      <c r="J187" s="1258" t="s">
        <v>286</v>
      </c>
      <c r="K187" s="256">
        <f>SUM(K178:K186)</f>
        <v>0</v>
      </c>
      <c r="L187" s="256">
        <f>SUM(L178:L186)</f>
        <v>0</v>
      </c>
      <c r="M187" s="21"/>
      <c r="N187" s="14">
        <f t="shared" ref="N187:W187" si="96">SUM(N178:N186)</f>
        <v>0</v>
      </c>
      <c r="O187" s="14">
        <f t="shared" si="96"/>
        <v>0</v>
      </c>
      <c r="P187" s="14">
        <f t="shared" si="96"/>
        <v>0</v>
      </c>
      <c r="Q187" s="14">
        <f t="shared" si="96"/>
        <v>0</v>
      </c>
      <c r="R187" s="14">
        <f t="shared" si="96"/>
        <v>0</v>
      </c>
      <c r="S187" s="14">
        <f t="shared" si="68"/>
        <v>0</v>
      </c>
      <c r="T187" s="14">
        <f t="shared" si="96"/>
        <v>0</v>
      </c>
      <c r="U187" s="14">
        <f t="shared" si="96"/>
        <v>0</v>
      </c>
      <c r="V187" s="14">
        <f t="shared" si="96"/>
        <v>0</v>
      </c>
      <c r="W187" s="14">
        <f t="shared" si="96"/>
        <v>0</v>
      </c>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2"/>
      <c r="AX187" s="14">
        <f>SUM(AX178:AX186)</f>
        <v>0</v>
      </c>
      <c r="AY187" s="14">
        <f>ROUND(AX187/1000/Update!$B$31*Update!$B$27,0)</f>
        <v>0</v>
      </c>
      <c r="AZ187" s="2"/>
      <c r="BA187" s="14">
        <f>SUM(BA178:BA186)</f>
        <v>0</v>
      </c>
      <c r="BB187" s="14">
        <f>ROUND(BA187/1000/Update!$B$31,0)</f>
        <v>0</v>
      </c>
      <c r="BC187" s="14"/>
      <c r="BD187" s="14">
        <f t="shared" si="69"/>
        <v>0</v>
      </c>
      <c r="BE187" s="318">
        <f t="shared" ref="BE187:BJ187" si="97">SUM(BE178:BE186)</f>
        <v>0</v>
      </c>
      <c r="BF187" s="318">
        <f t="shared" si="97"/>
        <v>0</v>
      </c>
      <c r="BG187" s="318">
        <f t="shared" si="97"/>
        <v>0</v>
      </c>
      <c r="BH187" s="318">
        <f t="shared" si="97"/>
        <v>0</v>
      </c>
      <c r="BI187" s="318">
        <f t="shared" si="97"/>
        <v>0</v>
      </c>
      <c r="BJ187" s="318">
        <f t="shared" si="97"/>
        <v>0</v>
      </c>
      <c r="BK187" s="14">
        <f t="shared" si="78"/>
        <v>0</v>
      </c>
      <c r="BL187" s="318"/>
      <c r="BM187" s="318"/>
      <c r="BN187" s="318"/>
      <c r="BO187" s="318"/>
      <c r="BP187" s="318"/>
      <c r="BQ187" s="318"/>
      <c r="BR187" s="318"/>
      <c r="BS187" s="318"/>
      <c r="BT187" s="318"/>
      <c r="BU187" s="318"/>
      <c r="BV187" s="318"/>
      <c r="BW187" s="318"/>
      <c r="BX187" s="318"/>
      <c r="BY187" s="318"/>
      <c r="BZ187" s="318"/>
      <c r="CA187" s="318"/>
      <c r="CB187" s="318"/>
      <c r="CC187" s="318"/>
      <c r="CD187" s="318"/>
      <c r="CE187" s="318"/>
      <c r="CF187" s="318"/>
      <c r="CG187" s="318"/>
      <c r="CH187" s="318"/>
      <c r="CI187" s="318"/>
      <c r="CJ187" s="2"/>
      <c r="CK187" s="2"/>
      <c r="CM187" s="1140">
        <v>-2</v>
      </c>
      <c r="CN187" s="1140">
        <v>7541911</v>
      </c>
      <c r="CP187" s="923">
        <f t="shared" si="73"/>
        <v>-2</v>
      </c>
      <c r="CZ187" s="330"/>
    </row>
    <row r="188" spans="1:104" ht="25.5" customHeight="1" x14ac:dyDescent="0.25">
      <c r="A188" s="684">
        <f>MAX($A$6:A187)+1</f>
        <v>188</v>
      </c>
      <c r="B188" s="11" t="s">
        <v>43</v>
      </c>
      <c r="C188" s="11" t="str">
        <f t="shared" si="80"/>
        <v>SoCITE</v>
      </c>
      <c r="D188" s="11" t="s">
        <v>126</v>
      </c>
      <c r="E188" s="7" t="s">
        <v>1028</v>
      </c>
      <c r="F188" s="15"/>
      <c r="G188" s="1254" t="s">
        <v>335</v>
      </c>
      <c r="H188" s="6">
        <v>0</v>
      </c>
      <c r="I188" s="6">
        <v>-6054</v>
      </c>
      <c r="J188" s="1257" t="s">
        <v>855</v>
      </c>
      <c r="K188" s="251">
        <f>SUMIF('alb SoCITE'!$A:$A,$J188,'alb SoCITE'!$C:$C)</f>
        <v>0</v>
      </c>
      <c r="L188" s="251">
        <f>SUMIF('alb SoCITE'!$A:$A,$J188,'alb SoCITE'!$I:$I)</f>
        <v>0</v>
      </c>
      <c r="M188" s="252"/>
      <c r="N188" s="273">
        <f t="shared" ref="N188:N200" si="98">ROUND(SUM(O188:S188)+SUM(W188:AV188),0)</f>
        <v>0</v>
      </c>
      <c r="O188" s="12"/>
      <c r="P188" s="12"/>
      <c r="Q188" s="12"/>
      <c r="R188" s="12"/>
      <c r="S188" s="6">
        <f t="shared" si="68"/>
        <v>0</v>
      </c>
      <c r="T188" s="273">
        <f t="shared" ref="T188:T200" si="99">ROUND(SUM(U188:Y188),0)</f>
        <v>0</v>
      </c>
      <c r="U188" s="6">
        <f>SUM(BL188:BN188)</f>
        <v>0</v>
      </c>
      <c r="V188" s="1523"/>
      <c r="W188" s="251">
        <f t="shared" si="95"/>
        <v>0</v>
      </c>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X188" s="6"/>
      <c r="AY188" s="6">
        <f>ROUND(AX188/1000/Update!$B$31*Update!$B$27,0)</f>
        <v>0</v>
      </c>
      <c r="BA188" s="6"/>
      <c r="BB188" s="6">
        <f>ROUND(BA188/1000/Update!$B$31,0)</f>
        <v>0</v>
      </c>
      <c r="BC188" s="6"/>
      <c r="BD188" s="29">
        <f t="shared" si="69"/>
        <v>0</v>
      </c>
      <c r="BE188" s="317"/>
      <c r="BF188" s="317"/>
      <c r="BG188" s="1191">
        <f>BG20</f>
        <v>0</v>
      </c>
      <c r="BH188" s="1191">
        <f>BH20</f>
        <v>0</v>
      </c>
      <c r="BI188" s="1522">
        <f>-BI179</f>
        <v>0</v>
      </c>
      <c r="BJ188" s="1524">
        <f>-BK188</f>
        <v>0</v>
      </c>
      <c r="BK188" s="1524">
        <f>ROUND(SUM(BO188:CI188),0)</f>
        <v>0</v>
      </c>
      <c r="BL188" s="317"/>
      <c r="BM188" s="317"/>
      <c r="BN188" s="317"/>
      <c r="BO188" s="317"/>
      <c r="BP188" s="317"/>
      <c r="BQ188" s="317"/>
      <c r="BR188" s="317"/>
      <c r="BS188" s="317"/>
      <c r="BT188" s="317"/>
      <c r="BU188" s="317"/>
      <c r="BV188" s="317"/>
      <c r="BW188" s="317"/>
      <c r="BX188" s="317"/>
      <c r="BY188" s="317"/>
      <c r="BZ188" s="317"/>
      <c r="CA188" s="317"/>
      <c r="CB188" s="317"/>
      <c r="CC188" s="317"/>
      <c r="CD188" s="317"/>
      <c r="CE188" s="317"/>
      <c r="CF188" s="317"/>
      <c r="CG188" s="317"/>
      <c r="CH188" s="317"/>
      <c r="CI188" s="317"/>
      <c r="CM188" s="1139">
        <v>0</v>
      </c>
      <c r="CN188" s="1139">
        <v>-7541911</v>
      </c>
      <c r="CP188" s="923">
        <f t="shared" si="73"/>
        <v>0</v>
      </c>
      <c r="CZ188" s="330"/>
    </row>
    <row r="189" spans="1:104" ht="15" customHeight="1" x14ac:dyDescent="0.25">
      <c r="A189" s="684">
        <f>MAX($A$6:A188)+1</f>
        <v>189</v>
      </c>
      <c r="B189" s="11" t="s">
        <v>43</v>
      </c>
      <c r="C189" s="11" t="str">
        <f t="shared" si="80"/>
        <v>SoCITE</v>
      </c>
      <c r="D189" s="11" t="s">
        <v>126</v>
      </c>
      <c r="E189" s="7" t="s">
        <v>904</v>
      </c>
      <c r="F189" s="15"/>
      <c r="G189" s="1254"/>
      <c r="H189" s="6">
        <v>0</v>
      </c>
      <c r="I189" s="6">
        <v>0</v>
      </c>
      <c r="J189" s="1257" t="s">
        <v>904</v>
      </c>
      <c r="K189" s="251">
        <f>SUMIF('alb SoCITE'!$A:$A,$J189,'alb SoCITE'!$C:$C)</f>
        <v>0</v>
      </c>
      <c r="L189" s="251">
        <f>SUMIF('alb SoCITE'!$A:$A,$J189,'alb SoCITE'!$I:$I)</f>
        <v>0</v>
      </c>
      <c r="M189" s="252"/>
      <c r="N189" s="273">
        <f t="shared" si="98"/>
        <v>0</v>
      </c>
      <c r="O189" s="12"/>
      <c r="P189" s="12"/>
      <c r="Q189" s="12"/>
      <c r="R189" s="12"/>
      <c r="S189" s="6">
        <f t="shared" ref="S189:S251" si="100">-IF(ISNUMBER(BD189),BD189,0)</f>
        <v>0</v>
      </c>
      <c r="T189" s="273">
        <f t="shared" si="99"/>
        <v>0</v>
      </c>
      <c r="U189" s="6">
        <f t="shared" ref="U189:U200" si="101">SUM(BL189:BN189)</f>
        <v>0</v>
      </c>
      <c r="V189" s="6"/>
      <c r="W189" s="6">
        <f t="shared" si="95"/>
        <v>0</v>
      </c>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X189" s="6"/>
      <c r="AY189" s="6"/>
      <c r="BA189" s="6"/>
      <c r="BB189" s="6"/>
      <c r="BC189" s="6"/>
      <c r="BD189" s="29">
        <f t="shared" si="69"/>
        <v>0</v>
      </c>
      <c r="BE189" s="317"/>
      <c r="BF189" s="317"/>
      <c r="BG189" s="317"/>
      <c r="BH189" s="317"/>
      <c r="BI189" s="317"/>
      <c r="BJ189" s="317"/>
      <c r="BK189" s="29">
        <f t="shared" si="78"/>
        <v>0</v>
      </c>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M189" s="1139">
        <v>0</v>
      </c>
      <c r="CN189" s="1139">
        <v>0</v>
      </c>
      <c r="CP189" s="923">
        <f t="shared" si="73"/>
        <v>0</v>
      </c>
      <c r="CZ189" s="330"/>
    </row>
    <row r="190" spans="1:104" ht="15" customHeight="1" x14ac:dyDescent="0.25">
      <c r="A190" s="684">
        <f>MAX($A$6:A189)+1</f>
        <v>190</v>
      </c>
      <c r="B190" s="11" t="s">
        <v>43</v>
      </c>
      <c r="C190" s="11" t="str">
        <f t="shared" si="80"/>
        <v>SoCITE</v>
      </c>
      <c r="D190" s="11" t="s">
        <v>126</v>
      </c>
      <c r="E190" s="269" t="s">
        <v>119</v>
      </c>
      <c r="F190" s="15"/>
      <c r="G190" s="1276" t="s">
        <v>286</v>
      </c>
      <c r="H190" s="6">
        <v>0</v>
      </c>
      <c r="I190" s="6">
        <v>0</v>
      </c>
      <c r="J190" s="1253" t="s">
        <v>286</v>
      </c>
      <c r="K190" s="251">
        <f>SUMIF('alb SoCITE'!$A:$A,$J190,'alb SoCITE'!$C:$C)</f>
        <v>0</v>
      </c>
      <c r="L190" s="251">
        <f>SUMIF('alb SoCITE'!$A:$A,$J190,'alb SoCITE'!$I:$I)</f>
        <v>0</v>
      </c>
      <c r="M190" s="252"/>
      <c r="N190" s="273">
        <f t="shared" si="98"/>
        <v>0</v>
      </c>
      <c r="O190" s="12"/>
      <c r="P190" s="12"/>
      <c r="Q190" s="12"/>
      <c r="R190" s="12"/>
      <c r="S190" s="6">
        <f t="shared" si="100"/>
        <v>0</v>
      </c>
      <c r="T190" s="273">
        <f t="shared" si="99"/>
        <v>0</v>
      </c>
      <c r="U190" s="6">
        <f t="shared" si="101"/>
        <v>0</v>
      </c>
      <c r="V190" s="6"/>
      <c r="W190" s="6">
        <f t="shared" si="95"/>
        <v>0</v>
      </c>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X190" s="6"/>
      <c r="AY190" s="6">
        <f>ROUND(AX190/1000/Update!$B$31*Update!$B$27,0)</f>
        <v>0</v>
      </c>
      <c r="BA190" s="6"/>
      <c r="BB190" s="6">
        <f>ROUND(BA190/1000/Update!$B$31,0)</f>
        <v>0</v>
      </c>
      <c r="BC190" s="6"/>
      <c r="BD190" s="29">
        <f t="shared" si="69"/>
        <v>0</v>
      </c>
      <c r="BE190" s="317"/>
      <c r="BF190" s="317"/>
      <c r="BG190" s="317"/>
      <c r="BH190" s="317"/>
      <c r="BI190" s="317"/>
      <c r="BJ190" s="317"/>
      <c r="BK190" s="29">
        <f t="shared" si="78"/>
        <v>0</v>
      </c>
      <c r="BL190" s="317"/>
      <c r="BM190" s="317"/>
      <c r="BN190" s="317"/>
      <c r="BO190" s="317"/>
      <c r="BP190" s="317"/>
      <c r="BQ190" s="317"/>
      <c r="BR190" s="317"/>
      <c r="BS190" s="317"/>
      <c r="BT190" s="317"/>
      <c r="BU190" s="317"/>
      <c r="BV190" s="317"/>
      <c r="BW190" s="317"/>
      <c r="BX190" s="317"/>
      <c r="BY190" s="317"/>
      <c r="BZ190" s="317"/>
      <c r="CA190" s="317"/>
      <c r="CB190" s="317"/>
      <c r="CC190" s="317"/>
      <c r="CD190" s="317"/>
      <c r="CE190" s="317"/>
      <c r="CF190" s="317"/>
      <c r="CG190" s="317"/>
      <c r="CH190" s="317"/>
      <c r="CI190" s="317"/>
      <c r="CM190" s="1139">
        <v>0</v>
      </c>
      <c r="CN190" s="1139">
        <v>0</v>
      </c>
      <c r="CP190" s="923">
        <f t="shared" si="73"/>
        <v>0</v>
      </c>
      <c r="CZ190" s="330"/>
    </row>
    <row r="191" spans="1:104" ht="30" customHeight="1" x14ac:dyDescent="0.25">
      <c r="A191" s="684">
        <f>MAX($A$6:A190)+1</f>
        <v>191</v>
      </c>
      <c r="B191" s="11" t="s">
        <v>43</v>
      </c>
      <c r="C191" s="11" t="str">
        <f t="shared" si="80"/>
        <v>SoCITE</v>
      </c>
      <c r="D191" s="11" t="s">
        <v>126</v>
      </c>
      <c r="E191" s="7" t="s">
        <v>1018</v>
      </c>
      <c r="F191" s="15"/>
      <c r="G191" s="1254" t="s">
        <v>120</v>
      </c>
      <c r="H191" s="6">
        <v>0</v>
      </c>
      <c r="I191" s="6">
        <v>0</v>
      </c>
      <c r="J191" s="1257" t="s">
        <v>856</v>
      </c>
      <c r="K191" s="251">
        <f>SUMIF('alb SoCITE'!$A:$A,$J191,'alb SoCITE'!$C:$C)</f>
        <v>0</v>
      </c>
      <c r="L191" s="251">
        <f>SUMIF('alb SoCITE'!$A:$A,$J191,'alb SoCITE'!$I:$I)</f>
        <v>0</v>
      </c>
      <c r="M191" s="252" t="s">
        <v>121</v>
      </c>
      <c r="N191" s="273">
        <f t="shared" si="98"/>
        <v>0</v>
      </c>
      <c r="O191" s="12"/>
      <c r="P191" s="12"/>
      <c r="Q191" s="12"/>
      <c r="R191" s="12"/>
      <c r="S191" s="6">
        <f t="shared" si="100"/>
        <v>0</v>
      </c>
      <c r="T191" s="273">
        <f t="shared" si="99"/>
        <v>0</v>
      </c>
      <c r="U191" s="6">
        <f t="shared" si="101"/>
        <v>0</v>
      </c>
      <c r="V191" s="6"/>
      <c r="W191" s="6">
        <f t="shared" si="95"/>
        <v>0</v>
      </c>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X191" s="6"/>
      <c r="AY191" s="6">
        <f>ROUND(AX191/1000/Update!$B$31*Update!$B$27,0)</f>
        <v>0</v>
      </c>
      <c r="BA191" s="6"/>
      <c r="BB191" s="6">
        <f>ROUND(BA191/1000/Update!$B$31,0)</f>
        <v>0</v>
      </c>
      <c r="BC191" s="6"/>
      <c r="BD191" s="29">
        <f t="shared" ref="BD191:BD254" si="102">ROUND(SUM(BE191:BK191),0)</f>
        <v>0</v>
      </c>
      <c r="BE191" s="317"/>
      <c r="BF191" s="317"/>
      <c r="BG191" s="317"/>
      <c r="BH191" s="317"/>
      <c r="BI191" s="317"/>
      <c r="BJ191" s="317"/>
      <c r="BK191" s="29">
        <f t="shared" si="78"/>
        <v>0</v>
      </c>
      <c r="BL191" s="317"/>
      <c r="BM191" s="317"/>
      <c r="BN191" s="317"/>
      <c r="BO191" s="317"/>
      <c r="BP191" s="317"/>
      <c r="BQ191" s="317"/>
      <c r="BR191" s="317"/>
      <c r="BS191" s="317"/>
      <c r="BT191" s="317"/>
      <c r="BU191" s="317"/>
      <c r="BV191" s="317"/>
      <c r="BW191" s="317"/>
      <c r="BX191" s="317"/>
      <c r="BY191" s="317"/>
      <c r="BZ191" s="317"/>
      <c r="CA191" s="317"/>
      <c r="CB191" s="317"/>
      <c r="CC191" s="317"/>
      <c r="CD191" s="317"/>
      <c r="CE191" s="317"/>
      <c r="CF191" s="317"/>
      <c r="CG191" s="317"/>
      <c r="CH191" s="317"/>
      <c r="CI191" s="317"/>
      <c r="CM191" s="1139">
        <v>0</v>
      </c>
      <c r="CN191" s="1139">
        <v>0</v>
      </c>
      <c r="CP191" s="923">
        <f t="shared" si="73"/>
        <v>0</v>
      </c>
      <c r="CZ191" s="330"/>
    </row>
    <row r="192" spans="1:104" ht="15" customHeight="1" x14ac:dyDescent="0.25">
      <c r="A192" s="684">
        <f>MAX($A$6:A191)+1</f>
        <v>192</v>
      </c>
      <c r="B192" s="11" t="s">
        <v>43</v>
      </c>
      <c r="C192" s="11" t="str">
        <f t="shared" si="80"/>
        <v>SoCITE</v>
      </c>
      <c r="D192" s="11" t="s">
        <v>126</v>
      </c>
      <c r="E192" s="7" t="s">
        <v>1019</v>
      </c>
      <c r="F192" s="15"/>
      <c r="G192" s="1254" t="s">
        <v>122</v>
      </c>
      <c r="H192" s="6">
        <v>0</v>
      </c>
      <c r="I192" s="6">
        <v>0</v>
      </c>
      <c r="J192" s="1266" t="s">
        <v>2075</v>
      </c>
      <c r="K192" s="251">
        <f>SUMIF('alb SoCITE'!$A:$A,$J192,'alb SoCITE'!$C:$C)</f>
        <v>0</v>
      </c>
      <c r="L192" s="251">
        <f>SUMIF('alb SoCITE'!$A:$A,$J192,'alb SoCITE'!$I:$I)</f>
        <v>0</v>
      </c>
      <c r="M192" s="252" t="s">
        <v>121</v>
      </c>
      <c r="N192" s="273">
        <f t="shared" si="98"/>
        <v>0</v>
      </c>
      <c r="O192" s="12"/>
      <c r="P192" s="12"/>
      <c r="Q192" s="12"/>
      <c r="R192" s="12"/>
      <c r="S192" s="6">
        <f t="shared" si="100"/>
        <v>0</v>
      </c>
      <c r="T192" s="273">
        <f t="shared" si="99"/>
        <v>0</v>
      </c>
      <c r="U192" s="6">
        <f t="shared" si="101"/>
        <v>0</v>
      </c>
      <c r="V192" s="6"/>
      <c r="W192" s="6">
        <f t="shared" si="95"/>
        <v>0</v>
      </c>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X192" s="6"/>
      <c r="AY192" s="6">
        <f>ROUND(AX192/1000/Update!$B$31*Update!$B$27,0)</f>
        <v>0</v>
      </c>
      <c r="BA192" s="6"/>
      <c r="BB192" s="6">
        <f>ROUND(BA192/1000/Update!$B$31,0)</f>
        <v>0</v>
      </c>
      <c r="BC192" s="6"/>
      <c r="BD192" s="29">
        <f t="shared" si="102"/>
        <v>0</v>
      </c>
      <c r="BE192" s="317"/>
      <c r="BF192" s="317"/>
      <c r="BG192" s="317"/>
      <c r="BH192" s="317"/>
      <c r="BI192" s="317"/>
      <c r="BJ192" s="317"/>
      <c r="BK192" s="29">
        <f t="shared" si="78"/>
        <v>0</v>
      </c>
      <c r="BL192" s="317"/>
      <c r="BM192" s="317"/>
      <c r="BN192" s="317"/>
      <c r="BO192" s="317"/>
      <c r="BP192" s="317"/>
      <c r="BQ192" s="317"/>
      <c r="BR192" s="317"/>
      <c r="BS192" s="317"/>
      <c r="BT192" s="317"/>
      <c r="BU192" s="317"/>
      <c r="BV192" s="317"/>
      <c r="BW192" s="317"/>
      <c r="BX192" s="317"/>
      <c r="BY192" s="317"/>
      <c r="BZ192" s="317"/>
      <c r="CA192" s="317"/>
      <c r="CB192" s="317"/>
      <c r="CC192" s="317"/>
      <c r="CD192" s="317"/>
      <c r="CE192" s="317"/>
      <c r="CF192" s="317"/>
      <c r="CG192" s="317"/>
      <c r="CH192" s="317"/>
      <c r="CI192" s="317"/>
      <c r="CM192" s="1139">
        <v>0</v>
      </c>
      <c r="CN192" s="1139">
        <v>0</v>
      </c>
      <c r="CP192" s="923">
        <f t="shared" si="73"/>
        <v>0</v>
      </c>
      <c r="CZ192" s="330"/>
    </row>
    <row r="193" spans="1:104" ht="15" customHeight="1" x14ac:dyDescent="0.25">
      <c r="A193" s="684">
        <f>MAX($A$6:A192)+1</f>
        <v>193</v>
      </c>
      <c r="B193" s="11" t="s">
        <v>43</v>
      </c>
      <c r="C193" s="11" t="str">
        <f t="shared" si="80"/>
        <v>SoCITE</v>
      </c>
      <c r="D193" s="11" t="s">
        <v>126</v>
      </c>
      <c r="E193" s="269" t="s">
        <v>123</v>
      </c>
      <c r="F193" s="15"/>
      <c r="G193" s="1276" t="s">
        <v>286</v>
      </c>
      <c r="H193" s="6">
        <v>0</v>
      </c>
      <c r="I193" s="6">
        <v>0</v>
      </c>
      <c r="J193" s="1253" t="s">
        <v>286</v>
      </c>
      <c r="K193" s="251">
        <f>SUMIF('alb SoCITE'!$A:$A,$J193,'alb SoCITE'!$C:$C)</f>
        <v>0</v>
      </c>
      <c r="L193" s="251">
        <f>SUMIF('alb SoCITE'!$A:$A,$J193,'alb SoCITE'!$I:$I)</f>
        <v>0</v>
      </c>
      <c r="M193" s="252"/>
      <c r="N193" s="273">
        <f t="shared" si="98"/>
        <v>0</v>
      </c>
      <c r="O193" s="12"/>
      <c r="P193" s="12"/>
      <c r="Q193" s="12"/>
      <c r="R193" s="12"/>
      <c r="S193" s="6">
        <f t="shared" si="100"/>
        <v>0</v>
      </c>
      <c r="T193" s="273">
        <f t="shared" si="99"/>
        <v>0</v>
      </c>
      <c r="U193" s="6">
        <f t="shared" si="101"/>
        <v>0</v>
      </c>
      <c r="V193" s="6"/>
      <c r="W193" s="6">
        <f t="shared" si="95"/>
        <v>0</v>
      </c>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X193" s="6"/>
      <c r="AY193" s="6">
        <f>ROUND(AX193/1000/Update!$B$31*Update!$B$27,0)</f>
        <v>0</v>
      </c>
      <c r="BA193" s="6"/>
      <c r="BB193" s="6">
        <f>ROUND(BA193/1000/Update!$B$31,0)</f>
        <v>0</v>
      </c>
      <c r="BC193" s="6"/>
      <c r="BD193" s="29">
        <f t="shared" si="102"/>
        <v>0</v>
      </c>
      <c r="BE193" s="317"/>
      <c r="BF193" s="317"/>
      <c r="BG193" s="317"/>
      <c r="BH193" s="317"/>
      <c r="BI193" s="317"/>
      <c r="BJ193" s="317"/>
      <c r="BK193" s="29">
        <f t="shared" si="78"/>
        <v>0</v>
      </c>
      <c r="BL193" s="317"/>
      <c r="BM193" s="317"/>
      <c r="BN193" s="317"/>
      <c r="BO193" s="317"/>
      <c r="BP193" s="317"/>
      <c r="BQ193" s="317"/>
      <c r="BR193" s="317"/>
      <c r="BS193" s="317"/>
      <c r="BT193" s="317"/>
      <c r="BU193" s="317"/>
      <c r="BV193" s="317"/>
      <c r="BW193" s="317"/>
      <c r="BX193" s="317"/>
      <c r="BY193" s="317"/>
      <c r="BZ193" s="317"/>
      <c r="CA193" s="317"/>
      <c r="CB193" s="317"/>
      <c r="CC193" s="317"/>
      <c r="CD193" s="317"/>
      <c r="CE193" s="317"/>
      <c r="CF193" s="317"/>
      <c r="CG193" s="317"/>
      <c r="CH193" s="317"/>
      <c r="CI193" s="317"/>
      <c r="CM193" s="1139">
        <v>0</v>
      </c>
      <c r="CN193" s="1139">
        <v>0</v>
      </c>
      <c r="CP193" s="923">
        <f t="shared" si="73"/>
        <v>0</v>
      </c>
      <c r="CZ193" s="330"/>
    </row>
    <row r="194" spans="1:104" ht="15" customHeight="1" x14ac:dyDescent="0.25">
      <c r="A194" s="684">
        <f>MAX($A$6:A193)+1</f>
        <v>194</v>
      </c>
      <c r="B194" s="11" t="s">
        <v>43</v>
      </c>
      <c r="C194" s="11" t="str">
        <f t="shared" si="80"/>
        <v>SoCITE</v>
      </c>
      <c r="D194" s="11" t="s">
        <v>126</v>
      </c>
      <c r="E194" s="7" t="s">
        <v>857</v>
      </c>
      <c r="F194" s="15"/>
      <c r="G194" s="1254" t="s">
        <v>124</v>
      </c>
      <c r="H194" s="6">
        <v>0</v>
      </c>
      <c r="I194" s="6">
        <v>0</v>
      </c>
      <c r="J194" s="1257" t="s">
        <v>857</v>
      </c>
      <c r="K194" s="251">
        <f>SUMIF('alb SoCITE'!$A:$A,$J194,'alb SoCITE'!$C:$C)</f>
        <v>0</v>
      </c>
      <c r="L194" s="251">
        <f>SUMIF('alb SoCITE'!$A:$A,$J194,'alb SoCITE'!$I:$I)</f>
        <v>0</v>
      </c>
      <c r="M194" s="252"/>
      <c r="N194" s="273">
        <f t="shared" si="98"/>
        <v>0</v>
      </c>
      <c r="O194" s="12"/>
      <c r="P194" s="12"/>
      <c r="Q194" s="12"/>
      <c r="R194" s="12"/>
      <c r="S194" s="6">
        <f t="shared" si="100"/>
        <v>0</v>
      </c>
      <c r="T194" s="273">
        <f t="shared" si="99"/>
        <v>0</v>
      </c>
      <c r="U194" s="6">
        <f t="shared" si="101"/>
        <v>0</v>
      </c>
      <c r="V194" s="6"/>
      <c r="W194" s="6">
        <f t="shared" si="95"/>
        <v>0</v>
      </c>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X194" s="6"/>
      <c r="AY194" s="6">
        <f>ROUND(AX194/1000/Update!$B$31*Update!$B$27,0)</f>
        <v>0</v>
      </c>
      <c r="BA194" s="6"/>
      <c r="BB194" s="6">
        <f>ROUND(BA194/1000/Update!$B$31,0)</f>
        <v>0</v>
      </c>
      <c r="BC194" s="6"/>
      <c r="BD194" s="29">
        <f t="shared" si="102"/>
        <v>0</v>
      </c>
      <c r="BE194" s="317"/>
      <c r="BF194" s="317"/>
      <c r="BG194" s="317"/>
      <c r="BH194" s="317"/>
      <c r="BI194" s="317"/>
      <c r="BJ194" s="317"/>
      <c r="BK194" s="29">
        <f t="shared" si="78"/>
        <v>0</v>
      </c>
      <c r="BL194" s="317"/>
      <c r="BM194" s="317"/>
      <c r="BN194" s="317"/>
      <c r="BO194" s="317"/>
      <c r="BP194" s="317"/>
      <c r="BQ194" s="317"/>
      <c r="BR194" s="317"/>
      <c r="BS194" s="317"/>
      <c r="BT194" s="317"/>
      <c r="BU194" s="317"/>
      <c r="BV194" s="317"/>
      <c r="BW194" s="317"/>
      <c r="BX194" s="317"/>
      <c r="BY194" s="317"/>
      <c r="BZ194" s="317"/>
      <c r="CA194" s="317"/>
      <c r="CB194" s="317"/>
      <c r="CC194" s="317"/>
      <c r="CD194" s="317"/>
      <c r="CE194" s="317"/>
      <c r="CF194" s="317"/>
      <c r="CG194" s="317"/>
      <c r="CH194" s="317"/>
      <c r="CI194" s="317"/>
      <c r="CM194" s="1139">
        <v>0</v>
      </c>
      <c r="CN194" s="1139">
        <v>0</v>
      </c>
      <c r="CP194" s="923">
        <f t="shared" si="73"/>
        <v>0</v>
      </c>
      <c r="CZ194" s="330"/>
    </row>
    <row r="195" spans="1:104" ht="30" customHeight="1" x14ac:dyDescent="0.25">
      <c r="A195" s="684">
        <f>MAX($A$6:A194)+1</f>
        <v>195</v>
      </c>
      <c r="B195" s="11" t="s">
        <v>43</v>
      </c>
      <c r="C195" s="11" t="str">
        <f t="shared" si="80"/>
        <v>SoCITE</v>
      </c>
      <c r="D195" s="11" t="s">
        <v>126</v>
      </c>
      <c r="E195" s="7" t="s">
        <v>858</v>
      </c>
      <c r="F195" s="15"/>
      <c r="G195" s="1254" t="s">
        <v>339</v>
      </c>
      <c r="H195" s="6">
        <v>0</v>
      </c>
      <c r="I195" s="6">
        <v>0</v>
      </c>
      <c r="J195" s="1257" t="s">
        <v>858</v>
      </c>
      <c r="K195" s="251">
        <f>SUMIF('alb SoCITE'!$A:$A,$J195,'alb SoCITE'!$C:$C)</f>
        <v>0</v>
      </c>
      <c r="L195" s="251">
        <f>SUMIF('alb SoCITE'!$A:$A,$J195,'alb SoCITE'!$I:$I)</f>
        <v>0</v>
      </c>
      <c r="M195" s="252"/>
      <c r="N195" s="273">
        <f t="shared" si="98"/>
        <v>0</v>
      </c>
      <c r="O195" s="12"/>
      <c r="P195" s="12"/>
      <c r="Q195" s="12"/>
      <c r="R195" s="12"/>
      <c r="S195" s="6">
        <f t="shared" si="100"/>
        <v>0</v>
      </c>
      <c r="T195" s="273">
        <f t="shared" si="99"/>
        <v>0</v>
      </c>
      <c r="U195" s="6">
        <f t="shared" si="101"/>
        <v>0</v>
      </c>
      <c r="V195" s="6"/>
      <c r="W195" s="6">
        <f t="shared" si="95"/>
        <v>0</v>
      </c>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X195" s="6"/>
      <c r="AY195" s="6">
        <f>ROUND(AX195/1000/Update!$B$31*Update!$B$27,0)</f>
        <v>0</v>
      </c>
      <c r="BA195" s="6"/>
      <c r="BB195" s="6">
        <f>ROUND(BA195/1000/Update!$B$31,0)</f>
        <v>0</v>
      </c>
      <c r="BC195" s="6"/>
      <c r="BD195" s="29">
        <f t="shared" si="102"/>
        <v>0</v>
      </c>
      <c r="BE195" s="317"/>
      <c r="BF195" s="317"/>
      <c r="BG195" s="317"/>
      <c r="BH195" s="317"/>
      <c r="BI195" s="317"/>
      <c r="BJ195" s="317"/>
      <c r="BK195" s="29">
        <f t="shared" si="78"/>
        <v>0</v>
      </c>
      <c r="BL195" s="317"/>
      <c r="BM195" s="317"/>
      <c r="BN195" s="317"/>
      <c r="BO195" s="317"/>
      <c r="BP195" s="317"/>
      <c r="BQ195" s="317"/>
      <c r="BR195" s="317"/>
      <c r="BS195" s="317"/>
      <c r="BT195" s="317"/>
      <c r="BU195" s="317"/>
      <c r="BV195" s="317"/>
      <c r="BW195" s="317"/>
      <c r="BX195" s="317"/>
      <c r="BY195" s="317"/>
      <c r="BZ195" s="317"/>
      <c r="CA195" s="317"/>
      <c r="CB195" s="317"/>
      <c r="CC195" s="317"/>
      <c r="CD195" s="317"/>
      <c r="CE195" s="317"/>
      <c r="CF195" s="317"/>
      <c r="CG195" s="317"/>
      <c r="CH195" s="317"/>
      <c r="CI195" s="317"/>
      <c r="CM195" s="1139">
        <v>2</v>
      </c>
      <c r="CN195" s="1139">
        <v>0</v>
      </c>
      <c r="CP195" s="923">
        <f t="shared" si="73"/>
        <v>2</v>
      </c>
      <c r="CZ195" s="330"/>
    </row>
    <row r="196" spans="1:104" ht="15" customHeight="1" x14ac:dyDescent="0.25">
      <c r="A196" s="684">
        <f>MAX($A$6:A195)+1</f>
        <v>196</v>
      </c>
      <c r="B196" s="11" t="s">
        <v>43</v>
      </c>
      <c r="C196" s="11" t="str">
        <f t="shared" si="80"/>
        <v>SoCITE</v>
      </c>
      <c r="D196" s="11" t="s">
        <v>126</v>
      </c>
      <c r="E196" s="7" t="s">
        <v>1456</v>
      </c>
      <c r="F196" s="15"/>
      <c r="G196" s="1254" t="s">
        <v>286</v>
      </c>
      <c r="H196" s="6">
        <v>0</v>
      </c>
      <c r="I196" s="6">
        <v>0</v>
      </c>
      <c r="J196" s="1253" t="s">
        <v>286</v>
      </c>
      <c r="K196" s="251">
        <f>SUMIF('alb SoCITE'!$A:$A,$J196,'alb SoCITE'!$C:$C)</f>
        <v>0</v>
      </c>
      <c r="L196" s="251">
        <f>SUMIF('alb SoCITE'!$A:$A,$J196,'alb SoCITE'!$I:$I)</f>
        <v>0</v>
      </c>
      <c r="M196" s="252"/>
      <c r="N196" s="273">
        <f t="shared" si="98"/>
        <v>0</v>
      </c>
      <c r="O196" s="12"/>
      <c r="P196" s="12"/>
      <c r="Q196" s="12"/>
      <c r="R196" s="12"/>
      <c r="S196" s="6">
        <f t="shared" si="100"/>
        <v>0</v>
      </c>
      <c r="T196" s="273">
        <f t="shared" si="99"/>
        <v>0</v>
      </c>
      <c r="U196" s="6">
        <f t="shared" si="101"/>
        <v>0</v>
      </c>
      <c r="V196" s="6"/>
      <c r="W196" s="6">
        <f t="shared" si="95"/>
        <v>0</v>
      </c>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X196" s="6"/>
      <c r="AY196" s="6">
        <f>ROUND(AX196/1000/Update!$B$31*Update!$B$27,0)</f>
        <v>0</v>
      </c>
      <c r="BA196" s="6"/>
      <c r="BB196" s="6">
        <f>ROUND(BA196/1000/Update!$B$31,0)</f>
        <v>0</v>
      </c>
      <c r="BC196" s="6"/>
      <c r="BD196" s="29">
        <f t="shared" si="102"/>
        <v>0</v>
      </c>
      <c r="BE196" s="1191"/>
      <c r="BF196" s="317"/>
      <c r="BG196" s="317"/>
      <c r="BH196" s="317"/>
      <c r="BI196" s="317"/>
      <c r="BJ196" s="317"/>
      <c r="BK196" s="29">
        <f t="shared" si="78"/>
        <v>0</v>
      </c>
      <c r="BL196" s="317"/>
      <c r="BM196" s="317"/>
      <c r="BN196" s="317"/>
      <c r="BO196" s="317"/>
      <c r="BP196" s="317"/>
      <c r="BQ196" s="317"/>
      <c r="BR196" s="317"/>
      <c r="BS196" s="317"/>
      <c r="BT196" s="317"/>
      <c r="BU196" s="317"/>
      <c r="BV196" s="317"/>
      <c r="BW196" s="317"/>
      <c r="BX196" s="317"/>
      <c r="BY196" s="317"/>
      <c r="BZ196" s="317"/>
      <c r="CA196" s="317"/>
      <c r="CB196" s="317"/>
      <c r="CC196" s="317"/>
      <c r="CD196" s="317"/>
      <c r="CE196" s="317"/>
      <c r="CF196" s="317"/>
      <c r="CG196" s="317"/>
      <c r="CH196" s="317"/>
      <c r="CI196" s="317"/>
      <c r="CM196" s="1139">
        <v>0</v>
      </c>
      <c r="CN196" s="1139">
        <v>0</v>
      </c>
      <c r="CP196" s="923">
        <f t="shared" si="73"/>
        <v>0</v>
      </c>
      <c r="CZ196" s="330"/>
    </row>
    <row r="197" spans="1:104" ht="25.5" customHeight="1" x14ac:dyDescent="0.25">
      <c r="A197" s="684">
        <f>MAX($A$6:A196)+1</f>
        <v>197</v>
      </c>
      <c r="B197" s="11" t="s">
        <v>43</v>
      </c>
      <c r="C197" s="11" t="str">
        <f t="shared" si="80"/>
        <v>SoCITE</v>
      </c>
      <c r="D197" s="11" t="s">
        <v>126</v>
      </c>
      <c r="E197" s="1253" t="s">
        <v>286</v>
      </c>
      <c r="F197" s="15"/>
      <c r="G197" s="1254" t="s">
        <v>336</v>
      </c>
      <c r="H197" s="6">
        <v>0</v>
      </c>
      <c r="I197" s="6">
        <v>0</v>
      </c>
      <c r="J197" s="1253" t="s">
        <v>286</v>
      </c>
      <c r="K197" s="251">
        <f>SUMIF('alb SoCITE'!$A:$A,$J197,'alb SoCITE'!$C:$C)</f>
        <v>0</v>
      </c>
      <c r="L197" s="251">
        <f>SUMIF('alb SoCITE'!$A:$A,$J197,'alb SoCITE'!$I:$I)</f>
        <v>0</v>
      </c>
      <c r="M197" s="252"/>
      <c r="N197" s="273">
        <f t="shared" si="98"/>
        <v>0</v>
      </c>
      <c r="O197" s="12"/>
      <c r="P197" s="12"/>
      <c r="Q197" s="12"/>
      <c r="R197" s="12"/>
      <c r="S197" s="6">
        <f t="shared" si="100"/>
        <v>0</v>
      </c>
      <c r="T197" s="273">
        <f t="shared" si="99"/>
        <v>0</v>
      </c>
      <c r="U197" s="6">
        <f t="shared" si="101"/>
        <v>0</v>
      </c>
      <c r="V197" s="6"/>
      <c r="W197" s="6">
        <f t="shared" si="95"/>
        <v>0</v>
      </c>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X197" s="6"/>
      <c r="AY197" s="6">
        <f>ROUND(AX197/1000/Update!$B$31*Update!$B$27,0)</f>
        <v>0</v>
      </c>
      <c r="BA197" s="6"/>
      <c r="BB197" s="6">
        <f>ROUND(BA197/1000/Update!$B$31,0)</f>
        <v>0</v>
      </c>
      <c r="BC197" s="6"/>
      <c r="BD197" s="29">
        <f t="shared" si="102"/>
        <v>0</v>
      </c>
      <c r="BE197" s="317"/>
      <c r="BF197" s="317"/>
      <c r="BG197" s="317"/>
      <c r="BH197" s="317"/>
      <c r="BI197" s="317"/>
      <c r="BJ197" s="317"/>
      <c r="BK197" s="29">
        <f t="shared" si="78"/>
        <v>0</v>
      </c>
      <c r="BL197" s="317"/>
      <c r="BM197" s="317"/>
      <c r="BN197" s="317"/>
      <c r="BO197" s="317"/>
      <c r="BP197" s="317"/>
      <c r="BQ197" s="317"/>
      <c r="BR197" s="317"/>
      <c r="BS197" s="317"/>
      <c r="BT197" s="317"/>
      <c r="BU197" s="317"/>
      <c r="BV197" s="317"/>
      <c r="BW197" s="317"/>
      <c r="BX197" s="317"/>
      <c r="BY197" s="317"/>
      <c r="BZ197" s="317"/>
      <c r="CA197" s="317"/>
      <c r="CB197" s="317"/>
      <c r="CC197" s="317"/>
      <c r="CD197" s="317"/>
      <c r="CE197" s="317"/>
      <c r="CF197" s="317"/>
      <c r="CG197" s="317"/>
      <c r="CH197" s="317"/>
      <c r="CI197" s="317"/>
      <c r="CM197" s="1139">
        <v>0</v>
      </c>
      <c r="CN197" s="1139">
        <v>0</v>
      </c>
      <c r="CP197" s="923">
        <f t="shared" si="73"/>
        <v>0</v>
      </c>
      <c r="CZ197" s="330"/>
    </row>
    <row r="198" spans="1:104" ht="15" customHeight="1" x14ac:dyDescent="0.25">
      <c r="A198" s="684">
        <f>MAX($A$6:A197)+1</f>
        <v>198</v>
      </c>
      <c r="B198" s="11" t="s">
        <v>43</v>
      </c>
      <c r="C198" s="11" t="str">
        <f t="shared" si="80"/>
        <v>SoCITE</v>
      </c>
      <c r="D198" s="11" t="s">
        <v>126</v>
      </c>
      <c r="E198" s="1253" t="s">
        <v>286</v>
      </c>
      <c r="F198" s="15"/>
      <c r="G198" s="1254" t="s">
        <v>337</v>
      </c>
      <c r="H198" s="6">
        <v>0</v>
      </c>
      <c r="I198" s="6">
        <v>0</v>
      </c>
      <c r="J198" s="1253" t="s">
        <v>286</v>
      </c>
      <c r="K198" s="251">
        <f>SUMIF('alb SoCITE'!$A:$A,$J198,'alb SoCITE'!$C:$C)</f>
        <v>0</v>
      </c>
      <c r="L198" s="251">
        <f>SUMIF('alb SoCITE'!$A:$A,$J198,'alb SoCITE'!$I:$I)</f>
        <v>0</v>
      </c>
      <c r="M198" s="252"/>
      <c r="N198" s="273">
        <f t="shared" si="98"/>
        <v>0</v>
      </c>
      <c r="O198" s="12"/>
      <c r="P198" s="12"/>
      <c r="Q198" s="12"/>
      <c r="R198" s="12"/>
      <c r="S198" s="6">
        <f t="shared" si="100"/>
        <v>0</v>
      </c>
      <c r="T198" s="273">
        <f t="shared" si="99"/>
        <v>0</v>
      </c>
      <c r="U198" s="6">
        <f t="shared" si="101"/>
        <v>0</v>
      </c>
      <c r="V198" s="6"/>
      <c r="W198" s="6">
        <f t="shared" si="95"/>
        <v>0</v>
      </c>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X198" s="6"/>
      <c r="AY198" s="6">
        <f>ROUND(AX198/1000/Update!$B$31*Update!$B$27,0)</f>
        <v>0</v>
      </c>
      <c r="BA198" s="6"/>
      <c r="BB198" s="6">
        <f>ROUND(BA198/1000/Update!$B$31,0)</f>
        <v>0</v>
      </c>
      <c r="BC198" s="6"/>
      <c r="BD198" s="29">
        <f t="shared" si="102"/>
        <v>0</v>
      </c>
      <c r="BE198" s="317"/>
      <c r="BF198" s="317"/>
      <c r="BG198" s="317"/>
      <c r="BH198" s="317"/>
      <c r="BI198" s="317"/>
      <c r="BJ198" s="317"/>
      <c r="BK198" s="29">
        <f t="shared" si="78"/>
        <v>0</v>
      </c>
      <c r="BL198" s="317"/>
      <c r="BM198" s="317"/>
      <c r="BN198" s="317"/>
      <c r="BO198" s="317"/>
      <c r="BP198" s="317"/>
      <c r="BQ198" s="317"/>
      <c r="BR198" s="317"/>
      <c r="BS198" s="317"/>
      <c r="BT198" s="317"/>
      <c r="BU198" s="317"/>
      <c r="BV198" s="317"/>
      <c r="BW198" s="317"/>
      <c r="BX198" s="317"/>
      <c r="BY198" s="317"/>
      <c r="BZ198" s="317"/>
      <c r="CA198" s="317"/>
      <c r="CB198" s="317"/>
      <c r="CC198" s="317"/>
      <c r="CD198" s="317"/>
      <c r="CE198" s="317"/>
      <c r="CF198" s="317"/>
      <c r="CG198" s="317"/>
      <c r="CH198" s="317"/>
      <c r="CI198" s="317"/>
      <c r="CM198" s="1139">
        <v>0</v>
      </c>
      <c r="CN198" s="1139">
        <v>0</v>
      </c>
      <c r="CP198" s="923">
        <f t="shared" si="73"/>
        <v>0</v>
      </c>
      <c r="CZ198" s="330"/>
    </row>
    <row r="199" spans="1:104" ht="25.5" customHeight="1" x14ac:dyDescent="0.25">
      <c r="A199" s="684">
        <f>MAX($A$6:A198)+1</f>
        <v>199</v>
      </c>
      <c r="B199" s="11" t="s">
        <v>43</v>
      </c>
      <c r="C199" s="11" t="str">
        <f t="shared" si="80"/>
        <v>SoCITE</v>
      </c>
      <c r="D199" s="11" t="s">
        <v>126</v>
      </c>
      <c r="E199" s="1253" t="s">
        <v>286</v>
      </c>
      <c r="F199" s="15"/>
      <c r="G199" s="1254" t="s">
        <v>338</v>
      </c>
      <c r="H199" s="6">
        <v>0</v>
      </c>
      <c r="I199" s="6">
        <v>0</v>
      </c>
      <c r="J199" s="1253" t="s">
        <v>286</v>
      </c>
      <c r="K199" s="251">
        <f>SUMIF('alb SoCITE'!$A:$A,$J199,'alb SoCITE'!$C:$C)</f>
        <v>0</v>
      </c>
      <c r="L199" s="251">
        <f>SUMIF('alb SoCITE'!$A:$A,$J199,'alb SoCITE'!$I:$I)</f>
        <v>0</v>
      </c>
      <c r="M199" s="252"/>
      <c r="N199" s="273">
        <f t="shared" si="98"/>
        <v>0</v>
      </c>
      <c r="O199" s="12"/>
      <c r="P199" s="12"/>
      <c r="Q199" s="12"/>
      <c r="R199" s="12"/>
      <c r="S199" s="6">
        <f t="shared" si="100"/>
        <v>0</v>
      </c>
      <c r="T199" s="273">
        <f t="shared" si="99"/>
        <v>0</v>
      </c>
      <c r="U199" s="6">
        <f t="shared" si="101"/>
        <v>0</v>
      </c>
      <c r="V199" s="6"/>
      <c r="W199" s="6">
        <f t="shared" si="95"/>
        <v>0</v>
      </c>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X199" s="6"/>
      <c r="AY199" s="6">
        <f>ROUND(AX199/1000/Update!$B$31*Update!$B$27,0)</f>
        <v>0</v>
      </c>
      <c r="BA199" s="6"/>
      <c r="BB199" s="6">
        <f>ROUND(BA199/1000/Update!$B$31,0)</f>
        <v>0</v>
      </c>
      <c r="BC199" s="6"/>
      <c r="BD199" s="29">
        <f t="shared" si="102"/>
        <v>0</v>
      </c>
      <c r="BE199" s="317"/>
      <c r="BF199" s="317"/>
      <c r="BG199" s="317"/>
      <c r="BH199" s="317"/>
      <c r="BI199" s="317"/>
      <c r="BJ199" s="317"/>
      <c r="BK199" s="29">
        <f t="shared" si="78"/>
        <v>0</v>
      </c>
      <c r="BL199" s="317"/>
      <c r="BM199" s="317"/>
      <c r="BN199" s="317"/>
      <c r="BO199" s="317"/>
      <c r="BP199" s="317"/>
      <c r="BQ199" s="317"/>
      <c r="BR199" s="317"/>
      <c r="BS199" s="317"/>
      <c r="BT199" s="317"/>
      <c r="BU199" s="317"/>
      <c r="BV199" s="317"/>
      <c r="BW199" s="317"/>
      <c r="BX199" s="317"/>
      <c r="BY199" s="317"/>
      <c r="BZ199" s="317"/>
      <c r="CA199" s="317"/>
      <c r="CB199" s="317"/>
      <c r="CC199" s="317"/>
      <c r="CD199" s="317"/>
      <c r="CE199" s="317"/>
      <c r="CF199" s="317"/>
      <c r="CG199" s="317"/>
      <c r="CH199" s="317"/>
      <c r="CI199" s="317"/>
      <c r="CM199" s="1139">
        <v>0</v>
      </c>
      <c r="CN199" s="1139">
        <v>0</v>
      </c>
      <c r="CP199" s="923">
        <f t="shared" si="73"/>
        <v>0</v>
      </c>
      <c r="CZ199" s="330"/>
    </row>
    <row r="200" spans="1:104" ht="25.5" customHeight="1" x14ac:dyDescent="0.25">
      <c r="A200" s="684">
        <f>MAX($A$6:A199)+1</f>
        <v>200</v>
      </c>
      <c r="B200" s="11" t="s">
        <v>43</v>
      </c>
      <c r="C200" s="11" t="str">
        <f t="shared" si="80"/>
        <v>SoCITE</v>
      </c>
      <c r="D200" s="11" t="s">
        <v>126</v>
      </c>
      <c r="E200" s="1254" t="s">
        <v>340</v>
      </c>
      <c r="F200" s="15"/>
      <c r="G200" s="1254" t="s">
        <v>340</v>
      </c>
      <c r="H200" s="6">
        <v>0</v>
      </c>
      <c r="I200" s="6">
        <v>0</v>
      </c>
      <c r="J200" s="1253" t="s">
        <v>286</v>
      </c>
      <c r="K200" s="251">
        <f>SUMIF('alb SoCITE'!$A:$A,$J200,'alb SoCITE'!$C:$C)</f>
        <v>0</v>
      </c>
      <c r="L200" s="251">
        <f>SUMIF('alb SoCITE'!$A:$A,$J200,'alb SoCITE'!$I:$I)</f>
        <v>0</v>
      </c>
      <c r="M200" s="252"/>
      <c r="N200" s="273">
        <f t="shared" si="98"/>
        <v>0</v>
      </c>
      <c r="O200" s="12"/>
      <c r="P200" s="12"/>
      <c r="Q200" s="12"/>
      <c r="R200" s="12"/>
      <c r="S200" s="6">
        <f t="shared" si="100"/>
        <v>0</v>
      </c>
      <c r="T200" s="273">
        <f t="shared" si="99"/>
        <v>0</v>
      </c>
      <c r="U200" s="6">
        <f t="shared" si="101"/>
        <v>0</v>
      </c>
      <c r="V200" s="6"/>
      <c r="W200" s="6">
        <f t="shared" si="95"/>
        <v>0</v>
      </c>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X200" s="6"/>
      <c r="AY200" s="6">
        <f>ROUND(AX200/1000/Update!$B$31*Update!$B$27,0)</f>
        <v>0</v>
      </c>
      <c r="BA200" s="6"/>
      <c r="BB200" s="6">
        <f>ROUND(BA200/1000/Update!$B$31,0)</f>
        <v>0</v>
      </c>
      <c r="BC200" s="6"/>
      <c r="BD200" s="29">
        <f t="shared" si="102"/>
        <v>0</v>
      </c>
      <c r="BE200" s="317"/>
      <c r="BF200" s="317"/>
      <c r="BG200" s="317"/>
      <c r="BH200" s="317"/>
      <c r="BI200" s="317"/>
      <c r="BJ200" s="317"/>
      <c r="BK200" s="29">
        <f t="shared" si="78"/>
        <v>0</v>
      </c>
      <c r="BL200" s="317"/>
      <c r="BM200" s="317"/>
      <c r="BN200" s="317"/>
      <c r="BO200" s="317"/>
      <c r="BP200" s="317"/>
      <c r="BQ200" s="317"/>
      <c r="BR200" s="317"/>
      <c r="BS200" s="317"/>
      <c r="BT200" s="317"/>
      <c r="BU200" s="317"/>
      <c r="BV200" s="317"/>
      <c r="BW200" s="317"/>
      <c r="BX200" s="317"/>
      <c r="BY200" s="317"/>
      <c r="BZ200" s="317"/>
      <c r="CA200" s="317"/>
      <c r="CB200" s="317"/>
      <c r="CC200" s="317"/>
      <c r="CD200" s="317"/>
      <c r="CE200" s="317"/>
      <c r="CF200" s="317"/>
      <c r="CG200" s="317"/>
      <c r="CH200" s="317"/>
      <c r="CI200" s="317"/>
      <c r="CM200" s="1139">
        <v>0</v>
      </c>
      <c r="CN200" s="1139">
        <v>0</v>
      </c>
      <c r="CP200" s="923">
        <f t="shared" ref="CP200:CP263" si="103">-V200+BL200+BM200+BN200+CM200</f>
        <v>0</v>
      </c>
      <c r="CZ200" s="330"/>
    </row>
    <row r="201" spans="1:104" x14ac:dyDescent="0.25">
      <c r="A201" s="701">
        <f>MAX($A$6:A200)+1</f>
        <v>201</v>
      </c>
      <c r="B201" s="18" t="s">
        <v>43</v>
      </c>
      <c r="C201" s="18" t="str">
        <f t="shared" si="80"/>
        <v>SoCITE</v>
      </c>
      <c r="D201" s="18" t="s">
        <v>126</v>
      </c>
      <c r="E201" s="19" t="str">
        <f>"Balances at "&amp;Update!$B$22</f>
        <v>Balances at  31 March 2026</v>
      </c>
      <c r="F201" s="20"/>
      <c r="G201" s="28"/>
      <c r="H201" s="14">
        <f>SUM(H188:H200)+H187+H177</f>
        <v>8185</v>
      </c>
      <c r="I201" s="14">
        <f>SUM(I188:I200)+I187+I177</f>
        <v>-6054</v>
      </c>
      <c r="J201" s="1258" t="s">
        <v>286</v>
      </c>
      <c r="K201" s="256">
        <f>SUM(K188:K200)+K187+K177</f>
        <v>0</v>
      </c>
      <c r="L201" s="256">
        <f>SUM(L188:L200)+L187+L177</f>
        <v>0</v>
      </c>
      <c r="M201" s="21"/>
      <c r="N201" s="14">
        <f>SUM(N188:N200)+N187+N177</f>
        <v>-2000815</v>
      </c>
      <c r="O201" s="14">
        <f>SUM(O188:O200)+O187+O177</f>
        <v>0</v>
      </c>
      <c r="P201" s="14">
        <f>SUM(P188:P200)+P187+P177</f>
        <v>0</v>
      </c>
      <c r="Q201" s="14">
        <f>SUM(Q188:Q200)+Q187+Q177</f>
        <v>0</v>
      </c>
      <c r="R201" s="14">
        <f>SUM(R188:R200)+R187+R177</f>
        <v>0</v>
      </c>
      <c r="S201" s="14">
        <f t="shared" si="100"/>
        <v>-2009000</v>
      </c>
      <c r="T201" s="14">
        <f>SUM(T188:T200)+T187+T177</f>
        <v>8185</v>
      </c>
      <c r="U201" s="14">
        <f>SUM(U188:U200)+U187+U177</f>
        <v>0</v>
      </c>
      <c r="V201" s="14">
        <f>SUM(V188:V200)+V187+V177</f>
        <v>0</v>
      </c>
      <c r="W201" s="14">
        <f>SUM(W188:W200)+W187+W177</f>
        <v>8185</v>
      </c>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2"/>
      <c r="AX201" s="14">
        <f>SUM(AX188:AX200)+AX187+AX177</f>
        <v>0</v>
      </c>
      <c r="AY201" s="14">
        <f>ROUND(AX201/1000/Update!$B$31*Update!$B$27,0)</f>
        <v>0</v>
      </c>
      <c r="AZ201" s="2"/>
      <c r="BA201" s="14">
        <f>SUM(BA188:BA200)+BA187+BA177</f>
        <v>0</v>
      </c>
      <c r="BB201" s="14">
        <f>ROUND(BA201/1000/Update!$B$31,0)</f>
        <v>0</v>
      </c>
      <c r="BC201" s="14"/>
      <c r="BD201" s="14">
        <f t="shared" si="102"/>
        <v>2009000</v>
      </c>
      <c r="BE201" s="318">
        <f t="shared" ref="BE201:BJ201" si="104">SUM(BE188:BE200)+BE187+BE177</f>
        <v>0</v>
      </c>
      <c r="BF201" s="318">
        <f t="shared" si="104"/>
        <v>0</v>
      </c>
      <c r="BG201" s="318">
        <f t="shared" si="104"/>
        <v>0</v>
      </c>
      <c r="BH201" s="318">
        <f t="shared" si="104"/>
        <v>2009000</v>
      </c>
      <c r="BI201" s="318">
        <f t="shared" si="104"/>
        <v>0</v>
      </c>
      <c r="BJ201" s="318">
        <f t="shared" si="104"/>
        <v>0</v>
      </c>
      <c r="BK201" s="14">
        <f t="shared" si="78"/>
        <v>0</v>
      </c>
      <c r="BL201" s="318"/>
      <c r="BM201" s="318"/>
      <c r="BN201" s="318"/>
      <c r="BO201" s="318"/>
      <c r="BP201" s="318"/>
      <c r="BQ201" s="318"/>
      <c r="BR201" s="318"/>
      <c r="BS201" s="318"/>
      <c r="BT201" s="318"/>
      <c r="BU201" s="318"/>
      <c r="BV201" s="318"/>
      <c r="BW201" s="318"/>
      <c r="BX201" s="318"/>
      <c r="BY201" s="318"/>
      <c r="BZ201" s="318"/>
      <c r="CA201" s="318"/>
      <c r="CB201" s="318"/>
      <c r="CC201" s="318"/>
      <c r="CD201" s="318"/>
      <c r="CE201" s="318"/>
      <c r="CF201" s="318"/>
      <c r="CG201" s="318"/>
      <c r="CH201" s="318"/>
      <c r="CI201" s="318"/>
      <c r="CJ201" s="2"/>
      <c r="CK201" s="2"/>
      <c r="CM201" s="1140">
        <v>0</v>
      </c>
      <c r="CN201" s="1140">
        <v>2009000</v>
      </c>
      <c r="CP201" s="923">
        <f t="shared" si="103"/>
        <v>0</v>
      </c>
      <c r="CZ201" s="330"/>
    </row>
    <row r="202" spans="1:104" x14ac:dyDescent="0.25">
      <c r="A202" s="684">
        <f>MAX($A$6:A201)+1</f>
        <v>202</v>
      </c>
      <c r="B202" s="11" t="s">
        <v>43</v>
      </c>
      <c r="C202" s="11" t="str">
        <f t="shared" si="80"/>
        <v>SoCITE</v>
      </c>
      <c r="D202" s="11" t="s">
        <v>127</v>
      </c>
      <c r="E202" s="7"/>
      <c r="F202" s="15"/>
      <c r="G202" s="26"/>
      <c r="H202" s="6"/>
      <c r="I202" s="6"/>
      <c r="J202" s="1253" t="s">
        <v>286</v>
      </c>
      <c r="K202" s="251">
        <f>SUMIF('alb SoCITE'!$A:$A,$J202,'alb SoCITE'!$D:$D)</f>
        <v>0</v>
      </c>
      <c r="L202" s="251">
        <f>SUMIF('alb SoCITE'!$A:$A,$J202,'alb SoCITE'!$J:$J)</f>
        <v>0</v>
      </c>
      <c r="M202" s="252"/>
      <c r="N202" s="273">
        <f>ROUND(SUM(O202:S202)+SUM(W202:AV202),0)</f>
        <v>0</v>
      </c>
      <c r="O202" s="12"/>
      <c r="P202" s="12"/>
      <c r="Q202" s="12"/>
      <c r="R202" s="12"/>
      <c r="S202" s="6">
        <f t="shared" si="100"/>
        <v>0</v>
      </c>
      <c r="T202" s="273">
        <f>ROUND(SUM(U202:Y202),0)</f>
        <v>0</v>
      </c>
      <c r="U202" s="6">
        <f>SUM(BM202:BN202)-BL202</f>
        <v>0</v>
      </c>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X202" s="6"/>
      <c r="AY202" s="6">
        <f>ROUND(AX202/1000/Update!$B$31*Update!$B$27,0)</f>
        <v>0</v>
      </c>
      <c r="BA202" s="6"/>
      <c r="BB202" s="6">
        <f>ROUND(BA202/1000/Update!$B$31,0)</f>
        <v>0</v>
      </c>
      <c r="BC202" s="6"/>
      <c r="BD202" s="29">
        <f t="shared" si="102"/>
        <v>0</v>
      </c>
      <c r="BE202" s="317"/>
      <c r="BF202" s="317"/>
      <c r="BG202" s="317"/>
      <c r="BH202" s="317"/>
      <c r="BI202" s="317"/>
      <c r="BJ202" s="317"/>
      <c r="BK202" s="29">
        <f t="shared" si="78"/>
        <v>0</v>
      </c>
      <c r="BL202" s="317"/>
      <c r="BM202" s="317"/>
      <c r="BN202" s="317"/>
      <c r="BO202" s="317"/>
      <c r="BP202" s="317"/>
      <c r="BQ202" s="317"/>
      <c r="BR202" s="317"/>
      <c r="BS202" s="317"/>
      <c r="BT202" s="317"/>
      <c r="BU202" s="317"/>
      <c r="BV202" s="317"/>
      <c r="BW202" s="317"/>
      <c r="BX202" s="317"/>
      <c r="BY202" s="317"/>
      <c r="BZ202" s="317"/>
      <c r="CA202" s="317"/>
      <c r="CB202" s="317"/>
      <c r="CC202" s="317"/>
      <c r="CD202" s="317"/>
      <c r="CE202" s="317"/>
      <c r="CF202" s="317"/>
      <c r="CG202" s="317"/>
      <c r="CH202" s="317"/>
      <c r="CI202" s="317"/>
      <c r="CM202" s="1139">
        <v>0</v>
      </c>
      <c r="CN202" s="1139">
        <v>0</v>
      </c>
      <c r="CP202" s="923">
        <f t="shared" si="103"/>
        <v>0</v>
      </c>
      <c r="CZ202" s="330"/>
    </row>
    <row r="203" spans="1:104" x14ac:dyDescent="0.25">
      <c r="A203" s="684">
        <f>MAX($A$6:A202)+1</f>
        <v>203</v>
      </c>
      <c r="B203" s="11" t="s">
        <v>43</v>
      </c>
      <c r="C203" s="11" t="str">
        <f t="shared" si="80"/>
        <v>SoCITE</v>
      </c>
      <c r="D203" s="11" t="s">
        <v>127</v>
      </c>
      <c r="E203" s="7" t="str">
        <f>"Balance at"&amp;Update!$B$17</f>
        <v>Balance at 31 March 2024</v>
      </c>
      <c r="F203" s="15"/>
      <c r="G203" s="7" t="str">
        <f>"Balances at"&amp;Update!$B$17</f>
        <v>Balances at 31 March 2024</v>
      </c>
      <c r="H203" s="6">
        <v>0</v>
      </c>
      <c r="I203" s="6">
        <v>0</v>
      </c>
      <c r="J203" s="1257" t="str">
        <f>E203</f>
        <v>Balance at 31 March 2024</v>
      </c>
      <c r="K203" s="251">
        <f>SUMIF('alb SoCITE'!$A:$A,$J203,'alb SoCITE'!$D:$D)</f>
        <v>0</v>
      </c>
      <c r="L203" s="251">
        <f>SUMIF('alb SoCITE'!$A:$A,$J203,'alb SoCITE'!$J:$J)</f>
        <v>0</v>
      </c>
      <c r="M203" s="252"/>
      <c r="N203" s="273">
        <f>ROUND(SUM(O203:S203)+SUM(W203:AV203),0)</f>
        <v>0</v>
      </c>
      <c r="O203" s="12"/>
      <c r="P203" s="12"/>
      <c r="Q203" s="12"/>
      <c r="R203" s="12"/>
      <c r="S203" s="6">
        <f t="shared" si="100"/>
        <v>0</v>
      </c>
      <c r="T203" s="273">
        <f>ROUND(SUM(U203:Y203),0)</f>
        <v>0</v>
      </c>
      <c r="U203" s="6">
        <f>SUM(BL203:BN203)</f>
        <v>0</v>
      </c>
      <c r="V203" s="6"/>
      <c r="W203" s="6">
        <f>+H203</f>
        <v>0</v>
      </c>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X203" s="6"/>
      <c r="AY203" s="6">
        <f>ROUND(AX203/1000/Update!$B$31*Update!$B$27,0)</f>
        <v>0</v>
      </c>
      <c r="BA203" s="6"/>
      <c r="BB203" s="6">
        <f>ROUND(BA203/1000/Update!$B$31,0)</f>
        <v>0</v>
      </c>
      <c r="BC203" s="6"/>
      <c r="BD203" s="29">
        <f t="shared" si="102"/>
        <v>0</v>
      </c>
      <c r="BE203" s="317"/>
      <c r="BF203" s="317"/>
      <c r="BG203" s="317"/>
      <c r="BH203" s="317"/>
      <c r="BI203" s="317"/>
      <c r="BJ203" s="317"/>
      <c r="BK203" s="29">
        <f t="shared" si="78"/>
        <v>0</v>
      </c>
      <c r="BL203" s="317"/>
      <c r="BM203" s="317"/>
      <c r="BN203" s="317"/>
      <c r="BO203" s="317"/>
      <c r="BP203" s="317"/>
      <c r="BQ203" s="317"/>
      <c r="BR203" s="317"/>
      <c r="BS203" s="317"/>
      <c r="BT203" s="317"/>
      <c r="BU203" s="317"/>
      <c r="BV203" s="317"/>
      <c r="BW203" s="317"/>
      <c r="BX203" s="317"/>
      <c r="BY203" s="317"/>
      <c r="BZ203" s="317"/>
      <c r="CA203" s="317"/>
      <c r="CB203" s="317"/>
      <c r="CC203" s="317"/>
      <c r="CD203" s="317"/>
      <c r="CE203" s="317"/>
      <c r="CF203" s="317"/>
      <c r="CG203" s="317"/>
      <c r="CH203" s="317"/>
      <c r="CI203" s="317"/>
      <c r="CM203" s="1139">
        <v>0</v>
      </c>
      <c r="CN203" s="1139">
        <v>0</v>
      </c>
      <c r="CP203" s="923">
        <f t="shared" si="103"/>
        <v>0</v>
      </c>
      <c r="CZ203" s="330"/>
    </row>
    <row r="204" spans="1:104" ht="38.25" x14ac:dyDescent="0.25">
      <c r="A204" s="684">
        <f>MAX($A$6:A203)+1</f>
        <v>204</v>
      </c>
      <c r="B204" s="11" t="s">
        <v>43</v>
      </c>
      <c r="C204" s="11" t="str">
        <f t="shared" si="80"/>
        <v>SoCITE</v>
      </c>
      <c r="D204" s="11" t="s">
        <v>127</v>
      </c>
      <c r="E204" s="7" t="s">
        <v>111</v>
      </c>
      <c r="F204" s="15"/>
      <c r="G204" s="1254" t="s">
        <v>328</v>
      </c>
      <c r="H204" s="6">
        <v>0</v>
      </c>
      <c r="I204" s="6">
        <v>0</v>
      </c>
      <c r="J204" s="1254" t="s">
        <v>111</v>
      </c>
      <c r="K204" s="251">
        <f>SUMIF('alb SoCITE'!$A:$A,$J204,'alb SoCITE'!$D:$D)</f>
        <v>0</v>
      </c>
      <c r="L204" s="251">
        <f>SUMIF('alb SoCITE'!$A:$A,$J204,'alb SoCITE'!$J:$J)</f>
        <v>0</v>
      </c>
      <c r="M204" s="252"/>
      <c r="N204" s="273">
        <f>ROUND(SUM(O204:S204)+SUM(W204:AV204),0)</f>
        <v>0</v>
      </c>
      <c r="O204" s="12"/>
      <c r="P204" s="12"/>
      <c r="Q204" s="12"/>
      <c r="R204" s="12"/>
      <c r="S204" s="6">
        <f t="shared" si="100"/>
        <v>0</v>
      </c>
      <c r="T204" s="273">
        <f>ROUND(SUM(U204:Y204),0)</f>
        <v>0</v>
      </c>
      <c r="U204" s="6">
        <f>SUM(BL204:BN204)</f>
        <v>0</v>
      </c>
      <c r="V204" s="6"/>
      <c r="W204" s="6">
        <f>+H204</f>
        <v>0</v>
      </c>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X204" s="6"/>
      <c r="AY204" s="6">
        <f>ROUND(AX204/1000/Update!$B$31*Update!$B$27,0)</f>
        <v>0</v>
      </c>
      <c r="BA204" s="6"/>
      <c r="BB204" s="6">
        <f>ROUND(BA204/1000/Update!$B$31,0)</f>
        <v>0</v>
      </c>
      <c r="BC204" s="6"/>
      <c r="BD204" s="29">
        <f t="shared" si="102"/>
        <v>0</v>
      </c>
      <c r="BE204" s="317"/>
      <c r="BF204" s="317"/>
      <c r="BG204" s="317"/>
      <c r="BH204" s="317"/>
      <c r="BI204" s="317"/>
      <c r="BJ204" s="317"/>
      <c r="BK204" s="29">
        <f t="shared" si="78"/>
        <v>0</v>
      </c>
      <c r="BL204" s="317"/>
      <c r="BM204" s="317"/>
      <c r="BN204" s="317"/>
      <c r="BO204" s="317"/>
      <c r="BP204" s="317"/>
      <c r="BQ204" s="317"/>
      <c r="BR204" s="317"/>
      <c r="BS204" s="317"/>
      <c r="BT204" s="317"/>
      <c r="BU204" s="317"/>
      <c r="BV204" s="317"/>
      <c r="BW204" s="317"/>
      <c r="BX204" s="317"/>
      <c r="BY204" s="317"/>
      <c r="BZ204" s="317"/>
      <c r="CA204" s="317"/>
      <c r="CB204" s="317"/>
      <c r="CC204" s="317"/>
      <c r="CD204" s="317"/>
      <c r="CE204" s="317"/>
      <c r="CF204" s="317"/>
      <c r="CG204" s="317"/>
      <c r="CH204" s="317"/>
      <c r="CI204" s="317"/>
      <c r="CM204" s="1139">
        <v>0</v>
      </c>
      <c r="CN204" s="1139">
        <v>0</v>
      </c>
      <c r="CP204" s="923">
        <f t="shared" si="103"/>
        <v>0</v>
      </c>
      <c r="CZ204" s="330"/>
    </row>
    <row r="205" spans="1:104" x14ac:dyDescent="0.25">
      <c r="A205" s="684">
        <f>MAX($A$6:A204)+1</f>
        <v>205</v>
      </c>
      <c r="B205" s="11" t="s">
        <v>43</v>
      </c>
      <c r="C205" s="11" t="str">
        <f t="shared" si="80"/>
        <v>SoCITE</v>
      </c>
      <c r="D205" s="11" t="s">
        <v>127</v>
      </c>
      <c r="E205" s="7" t="s">
        <v>112</v>
      </c>
      <c r="F205" s="15"/>
      <c r="G205" s="1254" t="s">
        <v>329</v>
      </c>
      <c r="H205" s="6">
        <v>0</v>
      </c>
      <c r="I205" s="6">
        <v>0</v>
      </c>
      <c r="J205" s="1261" t="s">
        <v>286</v>
      </c>
      <c r="K205" s="251">
        <f>SUMIF('alb SoCITE'!$A:$A,$J205,'alb SoCITE'!$D:$D)</f>
        <v>0</v>
      </c>
      <c r="L205" s="251">
        <f>SUMIF('alb SoCITE'!$A:$A,$J205,'alb SoCITE'!$J:$J)</f>
        <v>0</v>
      </c>
      <c r="M205" s="252"/>
      <c r="N205" s="273">
        <f>ROUND(SUM(O205:S205)+SUM(W205:AV205),0)</f>
        <v>0</v>
      </c>
      <c r="O205" s="12"/>
      <c r="P205" s="12"/>
      <c r="Q205" s="12"/>
      <c r="R205" s="12"/>
      <c r="S205" s="6">
        <f t="shared" si="100"/>
        <v>0</v>
      </c>
      <c r="T205" s="273">
        <f>ROUND(SUM(U205:Y205),0)</f>
        <v>0</v>
      </c>
      <c r="U205" s="6">
        <f>SUM(BL205:BN205)</f>
        <v>0</v>
      </c>
      <c r="V205" s="6"/>
      <c r="W205" s="6">
        <f>+H205</f>
        <v>0</v>
      </c>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X205" s="6"/>
      <c r="AY205" s="6">
        <f>ROUND(AX205/1000/Update!$B$31*Update!$B$27,0)</f>
        <v>0</v>
      </c>
      <c r="BA205" s="6"/>
      <c r="BB205" s="6">
        <f>ROUND(BA205/1000/Update!$B$31,0)</f>
        <v>0</v>
      </c>
      <c r="BC205" s="6"/>
      <c r="BD205" s="29">
        <f t="shared" si="102"/>
        <v>0</v>
      </c>
      <c r="BE205" s="317"/>
      <c r="BF205" s="317"/>
      <c r="BG205" s="317"/>
      <c r="BH205" s="317"/>
      <c r="BI205" s="317"/>
      <c r="BJ205" s="317"/>
      <c r="BK205" s="29">
        <f t="shared" si="78"/>
        <v>0</v>
      </c>
      <c r="BL205" s="317"/>
      <c r="BM205" s="317"/>
      <c r="BN205" s="317"/>
      <c r="BO205" s="317"/>
      <c r="BP205" s="317"/>
      <c r="BQ205" s="317"/>
      <c r="BR205" s="317"/>
      <c r="BS205" s="317"/>
      <c r="BT205" s="317"/>
      <c r="BU205" s="317"/>
      <c r="BV205" s="317"/>
      <c r="BW205" s="317"/>
      <c r="BX205" s="317"/>
      <c r="BY205" s="317"/>
      <c r="BZ205" s="317"/>
      <c r="CA205" s="317"/>
      <c r="CB205" s="317"/>
      <c r="CC205" s="317"/>
      <c r="CD205" s="317"/>
      <c r="CE205" s="317"/>
      <c r="CF205" s="317"/>
      <c r="CG205" s="317"/>
      <c r="CH205" s="317"/>
      <c r="CI205" s="317"/>
      <c r="CM205" s="1139">
        <v>0</v>
      </c>
      <c r="CN205" s="1139">
        <v>0</v>
      </c>
      <c r="CP205" s="923">
        <f t="shared" si="103"/>
        <v>0</v>
      </c>
      <c r="CZ205" s="330"/>
    </row>
    <row r="206" spans="1:104" x14ac:dyDescent="0.25">
      <c r="A206" s="701">
        <f>MAX($A$6:A205)+1</f>
        <v>206</v>
      </c>
      <c r="B206" s="18" t="s">
        <v>43</v>
      </c>
      <c r="C206" s="18" t="str">
        <f t="shared" si="80"/>
        <v>SoCITE</v>
      </c>
      <c r="D206" s="18" t="s">
        <v>127</v>
      </c>
      <c r="E206" s="19" t="str">
        <f>"Restated balances at"&amp;Update!$B$18</f>
        <v>Restated balances at 1 April 2024</v>
      </c>
      <c r="F206" s="20"/>
      <c r="G206" s="28"/>
      <c r="H206" s="14">
        <f>SUM(H202:H205)</f>
        <v>0</v>
      </c>
      <c r="I206" s="14">
        <f>SUM(I202:I205)</f>
        <v>0</v>
      </c>
      <c r="J206" s="1258" t="s">
        <v>286</v>
      </c>
      <c r="K206" s="256">
        <f>SUM(K202:K205)</f>
        <v>0</v>
      </c>
      <c r="L206" s="256">
        <f>SUM(L202:L205)</f>
        <v>0</v>
      </c>
      <c r="M206" s="21"/>
      <c r="N206" s="14">
        <f t="shared" ref="N206:W206" si="105">SUM(N202:N205)</f>
        <v>0</v>
      </c>
      <c r="O206" s="14">
        <f t="shared" si="105"/>
        <v>0</v>
      </c>
      <c r="P206" s="14">
        <f t="shared" si="105"/>
        <v>0</v>
      </c>
      <c r="Q206" s="14">
        <f t="shared" si="105"/>
        <v>0</v>
      </c>
      <c r="R206" s="14">
        <f t="shared" si="105"/>
        <v>0</v>
      </c>
      <c r="S206" s="14">
        <f t="shared" si="100"/>
        <v>0</v>
      </c>
      <c r="T206" s="14">
        <f t="shared" si="105"/>
        <v>0</v>
      </c>
      <c r="U206" s="14">
        <f t="shared" si="105"/>
        <v>0</v>
      </c>
      <c r="V206" s="14">
        <f t="shared" si="105"/>
        <v>0</v>
      </c>
      <c r="W206" s="14">
        <f t="shared" si="105"/>
        <v>0</v>
      </c>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2"/>
      <c r="AX206" s="14">
        <f>SUM(AX202:AX205)</f>
        <v>0</v>
      </c>
      <c r="AY206" s="14">
        <f>ROUND(AX206/1000/Update!$B$31*Update!$B$27,0)</f>
        <v>0</v>
      </c>
      <c r="AZ206" s="2"/>
      <c r="BA206" s="14">
        <f>SUM(BA202:BA205)</f>
        <v>0</v>
      </c>
      <c r="BB206" s="14">
        <f>ROUND(BA206/1000/Update!$B$31,0)</f>
        <v>0</v>
      </c>
      <c r="BC206" s="14"/>
      <c r="BD206" s="14">
        <f t="shared" si="102"/>
        <v>0</v>
      </c>
      <c r="BE206" s="318">
        <f t="shared" ref="BE206:BJ206" si="106">SUM(BE202:BE205)</f>
        <v>0</v>
      </c>
      <c r="BF206" s="318">
        <f t="shared" si="106"/>
        <v>0</v>
      </c>
      <c r="BG206" s="318">
        <f t="shared" si="106"/>
        <v>0</v>
      </c>
      <c r="BH206" s="318">
        <f t="shared" si="106"/>
        <v>0</v>
      </c>
      <c r="BI206" s="318">
        <f t="shared" si="106"/>
        <v>0</v>
      </c>
      <c r="BJ206" s="318">
        <f t="shared" si="106"/>
        <v>0</v>
      </c>
      <c r="BK206" s="14">
        <f t="shared" si="78"/>
        <v>0</v>
      </c>
      <c r="BL206" s="318"/>
      <c r="BM206" s="318"/>
      <c r="BN206" s="318"/>
      <c r="BO206" s="318"/>
      <c r="BP206" s="318"/>
      <c r="BQ206" s="318"/>
      <c r="BR206" s="318"/>
      <c r="BS206" s="318"/>
      <c r="BT206" s="318"/>
      <c r="BU206" s="318"/>
      <c r="BV206" s="318"/>
      <c r="BW206" s="318"/>
      <c r="BX206" s="318"/>
      <c r="BY206" s="318"/>
      <c r="BZ206" s="318"/>
      <c r="CA206" s="318"/>
      <c r="CB206" s="318"/>
      <c r="CC206" s="318"/>
      <c r="CD206" s="318"/>
      <c r="CE206" s="318"/>
      <c r="CF206" s="318"/>
      <c r="CG206" s="318"/>
      <c r="CH206" s="318"/>
      <c r="CI206" s="318"/>
      <c r="CJ206" s="2"/>
      <c r="CK206" s="2"/>
      <c r="CM206" s="1140">
        <v>0</v>
      </c>
      <c r="CN206" s="1140">
        <v>0</v>
      </c>
      <c r="CP206" s="923">
        <f t="shared" si="103"/>
        <v>0</v>
      </c>
      <c r="CZ206" s="330"/>
    </row>
    <row r="207" spans="1:104" x14ac:dyDescent="0.25">
      <c r="A207" s="684">
        <f>MAX($A$6:A206)+1</f>
        <v>207</v>
      </c>
      <c r="B207" s="11" t="s">
        <v>43</v>
      </c>
      <c r="C207" s="11" t="str">
        <f t="shared" si="80"/>
        <v>SoCITE</v>
      </c>
      <c r="D207" s="11" t="s">
        <v>127</v>
      </c>
      <c r="E207" s="13" t="str">
        <f>"Changes in taxpayers’ equity for "&amp;Update!$B$15</f>
        <v>Changes in taxpayers’ equity for 2024-25</v>
      </c>
      <c r="F207" s="15"/>
      <c r="G207" s="26"/>
      <c r="H207" s="6"/>
      <c r="I207" s="6"/>
      <c r="J207" s="1253" t="s">
        <v>859</v>
      </c>
      <c r="K207" s="251">
        <f>SUMIF('alb SoCITE'!$A:$A,$J207,'alb SoCITE'!$D:$D)</f>
        <v>0</v>
      </c>
      <c r="L207" s="251">
        <f>SUMIF('alb SoCITE'!$A:$A,$J207,'alb SoCITE'!$J:$J)</f>
        <v>0</v>
      </c>
      <c r="M207" s="252"/>
      <c r="N207" s="273">
        <f t="shared" ref="N207:N214" si="107">ROUND(SUM(O207:S207)+SUM(W207:AV207),0)</f>
        <v>0</v>
      </c>
      <c r="O207" s="12"/>
      <c r="P207" s="12"/>
      <c r="Q207" s="12"/>
      <c r="R207" s="12"/>
      <c r="S207" s="6">
        <f t="shared" si="100"/>
        <v>0</v>
      </c>
      <c r="T207" s="273">
        <f t="shared" ref="T207:T214" si="108">ROUND(SUM(U207:Y207),0)</f>
        <v>0</v>
      </c>
      <c r="U207" s="6">
        <f t="shared" ref="U207:U214" si="109">SUM(BL207:BN207)</f>
        <v>0</v>
      </c>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X207" s="6"/>
      <c r="AY207" s="6">
        <f>ROUND(AX207/1000/Update!$B$31*Update!$B$27,0)</f>
        <v>0</v>
      </c>
      <c r="BA207" s="6"/>
      <c r="BB207" s="6">
        <f>ROUND(BA207/1000/Update!$B$31,0)</f>
        <v>0</v>
      </c>
      <c r="BC207" s="6"/>
      <c r="BD207" s="29">
        <f t="shared" si="102"/>
        <v>0</v>
      </c>
      <c r="BE207" s="317"/>
      <c r="BF207" s="317"/>
      <c r="BG207" s="317"/>
      <c r="BH207" s="317"/>
      <c r="BI207" s="317"/>
      <c r="BJ207" s="317"/>
      <c r="BK207" s="29">
        <f t="shared" si="78"/>
        <v>0</v>
      </c>
      <c r="BL207" s="317"/>
      <c r="BM207" s="317"/>
      <c r="BN207" s="317"/>
      <c r="BO207" s="317"/>
      <c r="BP207" s="317"/>
      <c r="BQ207" s="317"/>
      <c r="BR207" s="317"/>
      <c r="BS207" s="317"/>
      <c r="BT207" s="317"/>
      <c r="BU207" s="317"/>
      <c r="BV207" s="317"/>
      <c r="BW207" s="317"/>
      <c r="BX207" s="317"/>
      <c r="BY207" s="317"/>
      <c r="BZ207" s="317"/>
      <c r="CA207" s="317"/>
      <c r="CB207" s="317"/>
      <c r="CC207" s="317"/>
      <c r="CD207" s="317"/>
      <c r="CE207" s="317"/>
      <c r="CF207" s="317"/>
      <c r="CG207" s="317"/>
      <c r="CH207" s="317"/>
      <c r="CI207" s="317"/>
      <c r="CM207" s="1139">
        <v>0</v>
      </c>
      <c r="CN207" s="1139">
        <v>0</v>
      </c>
      <c r="CP207" s="923">
        <f t="shared" si="103"/>
        <v>0</v>
      </c>
      <c r="CZ207" s="330"/>
    </row>
    <row r="208" spans="1:104" ht="30" x14ac:dyDescent="0.25">
      <c r="A208" s="684">
        <f>MAX($A$6:A207)+1</f>
        <v>208</v>
      </c>
      <c r="B208" s="11" t="s">
        <v>43</v>
      </c>
      <c r="C208" s="11" t="str">
        <f t="shared" si="80"/>
        <v>SoCITE</v>
      </c>
      <c r="D208" s="11" t="s">
        <v>127</v>
      </c>
      <c r="E208" s="7" t="s">
        <v>113</v>
      </c>
      <c r="F208" s="15"/>
      <c r="G208" s="1254" t="s">
        <v>330</v>
      </c>
      <c r="H208" s="6">
        <v>0</v>
      </c>
      <c r="I208" s="6">
        <v>0</v>
      </c>
      <c r="J208" s="1253" t="s">
        <v>286</v>
      </c>
      <c r="K208" s="251">
        <f>SUMIF('alb SoCITE'!$A:$A,$J208,'alb SoCITE'!$D:$D)</f>
        <v>0</v>
      </c>
      <c r="L208" s="251">
        <f>SUMIF('alb SoCITE'!$A:$A,$J208,'alb SoCITE'!$J:$J)</f>
        <v>0</v>
      </c>
      <c r="M208" s="252"/>
      <c r="N208" s="273">
        <f t="shared" si="107"/>
        <v>0</v>
      </c>
      <c r="O208" s="12"/>
      <c r="P208" s="12"/>
      <c r="Q208" s="12"/>
      <c r="R208" s="12"/>
      <c r="S208" s="6">
        <f t="shared" si="100"/>
        <v>0</v>
      </c>
      <c r="T208" s="273">
        <f t="shared" si="108"/>
        <v>0</v>
      </c>
      <c r="U208" s="6">
        <f t="shared" si="109"/>
        <v>0</v>
      </c>
      <c r="V208" s="6"/>
      <c r="W208" s="6">
        <f t="shared" ref="W208:W271" si="110">+H208</f>
        <v>0</v>
      </c>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X208" s="6"/>
      <c r="AY208" s="6">
        <f>ROUND(AX208/1000/Update!$B$31*Update!$B$27,0)</f>
        <v>0</v>
      </c>
      <c r="BA208" s="6"/>
      <c r="BB208" s="6">
        <f>ROUND(BA208/1000/Update!$B$31,0)</f>
        <v>0</v>
      </c>
      <c r="BC208" s="6"/>
      <c r="BD208" s="29">
        <f t="shared" si="102"/>
        <v>0</v>
      </c>
      <c r="BE208" s="317"/>
      <c r="BF208" s="317"/>
      <c r="BG208" s="317"/>
      <c r="BH208" s="317"/>
      <c r="BI208" s="317"/>
      <c r="BJ208" s="317"/>
      <c r="BK208" s="29">
        <f t="shared" si="78"/>
        <v>0</v>
      </c>
      <c r="BL208" s="317"/>
      <c r="BM208" s="317"/>
      <c r="BN208" s="317"/>
      <c r="BO208" s="317"/>
      <c r="BP208" s="317"/>
      <c r="BQ208" s="317"/>
      <c r="BR208" s="317"/>
      <c r="BS208" s="317"/>
      <c r="BT208" s="317"/>
      <c r="BU208" s="317"/>
      <c r="BV208" s="317"/>
      <c r="BW208" s="317"/>
      <c r="BX208" s="317"/>
      <c r="BY208" s="317"/>
      <c r="BZ208" s="317"/>
      <c r="CA208" s="317"/>
      <c r="CB208" s="317"/>
      <c r="CC208" s="317"/>
      <c r="CD208" s="317"/>
      <c r="CE208" s="317"/>
      <c r="CF208" s="317"/>
      <c r="CG208" s="317"/>
      <c r="CH208" s="317"/>
      <c r="CI208" s="317"/>
      <c r="CM208" s="1139">
        <v>0</v>
      </c>
      <c r="CN208" s="1139">
        <v>0</v>
      </c>
      <c r="CP208" s="923">
        <f t="shared" si="103"/>
        <v>0</v>
      </c>
      <c r="CZ208" s="330"/>
    </row>
    <row r="209" spans="1:104" ht="30" x14ac:dyDescent="0.25">
      <c r="A209" s="684">
        <f>MAX($A$6:A208)+1</f>
        <v>209</v>
      </c>
      <c r="B209" s="11" t="s">
        <v>43</v>
      </c>
      <c r="C209" s="11" t="str">
        <f t="shared" si="80"/>
        <v>SoCITE</v>
      </c>
      <c r="D209" s="11" t="s">
        <v>127</v>
      </c>
      <c r="E209" s="7" t="s">
        <v>114</v>
      </c>
      <c r="F209" s="15"/>
      <c r="G209" s="1254" t="s">
        <v>331</v>
      </c>
      <c r="H209" s="6">
        <v>0</v>
      </c>
      <c r="I209" s="6">
        <v>0</v>
      </c>
      <c r="J209" s="1253" t="s">
        <v>286</v>
      </c>
      <c r="K209" s="251">
        <f>SUMIF('alb SoCITE'!$A:$A,$J209,'alb SoCITE'!$D:$D)</f>
        <v>0</v>
      </c>
      <c r="L209" s="251">
        <f>SUMIF('alb SoCITE'!$A:$A,$J209,'alb SoCITE'!$J:$J)</f>
        <v>0</v>
      </c>
      <c r="M209" s="252"/>
      <c r="N209" s="273">
        <f t="shared" si="107"/>
        <v>0</v>
      </c>
      <c r="O209" s="12"/>
      <c r="P209" s="12"/>
      <c r="Q209" s="12"/>
      <c r="R209" s="12"/>
      <c r="S209" s="6">
        <f t="shared" si="100"/>
        <v>0</v>
      </c>
      <c r="T209" s="273">
        <f t="shared" si="108"/>
        <v>0</v>
      </c>
      <c r="U209" s="6">
        <f t="shared" si="109"/>
        <v>0</v>
      </c>
      <c r="V209" s="6"/>
      <c r="W209" s="6">
        <f t="shared" si="110"/>
        <v>0</v>
      </c>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X209" s="6"/>
      <c r="AY209" s="6">
        <f>ROUND(AX209/1000/Update!$B$31*Update!$B$27,0)</f>
        <v>0</v>
      </c>
      <c r="BA209" s="6"/>
      <c r="BB209" s="6">
        <f>ROUND(BA209/1000/Update!$B$31,0)</f>
        <v>0</v>
      </c>
      <c r="BC209" s="6"/>
      <c r="BD209" s="29">
        <f t="shared" si="102"/>
        <v>0</v>
      </c>
      <c r="BE209" s="317"/>
      <c r="BF209" s="317"/>
      <c r="BG209" s="317"/>
      <c r="BH209" s="317"/>
      <c r="BI209" s="317"/>
      <c r="BJ209" s="317"/>
      <c r="BK209" s="29">
        <f t="shared" ref="BK209:BK272" si="111">ROUND(SUM(BO209:CI209),0)</f>
        <v>0</v>
      </c>
      <c r="BL209" s="317"/>
      <c r="BM209" s="317"/>
      <c r="BN209" s="317"/>
      <c r="BO209" s="317"/>
      <c r="BP209" s="317"/>
      <c r="BQ209" s="317"/>
      <c r="BR209" s="317"/>
      <c r="BS209" s="317"/>
      <c r="BT209" s="317"/>
      <c r="BU209" s="317"/>
      <c r="BV209" s="317"/>
      <c r="BW209" s="317"/>
      <c r="BX209" s="317"/>
      <c r="BY209" s="317"/>
      <c r="BZ209" s="317"/>
      <c r="CA209" s="317"/>
      <c r="CB209" s="317"/>
      <c r="CC209" s="317"/>
      <c r="CD209" s="317"/>
      <c r="CE209" s="317"/>
      <c r="CF209" s="317"/>
      <c r="CG209" s="317"/>
      <c r="CH209" s="317"/>
      <c r="CI209" s="317"/>
      <c r="CM209" s="1139">
        <v>0</v>
      </c>
      <c r="CN209" s="1139">
        <v>0</v>
      </c>
      <c r="CP209" s="923">
        <f t="shared" si="103"/>
        <v>0</v>
      </c>
      <c r="CZ209" s="330"/>
    </row>
    <row r="210" spans="1:104" ht="25.5" x14ac:dyDescent="0.25">
      <c r="A210" s="684">
        <f>MAX($A$6:A209)+1</f>
        <v>210</v>
      </c>
      <c r="B210" s="11" t="s">
        <v>43</v>
      </c>
      <c r="C210" s="11" t="str">
        <f t="shared" si="80"/>
        <v>SoCITE</v>
      </c>
      <c r="D210" s="11" t="s">
        <v>127</v>
      </c>
      <c r="E210" s="7" t="s">
        <v>115</v>
      </c>
      <c r="F210" s="15"/>
      <c r="G210" s="1254" t="s">
        <v>115</v>
      </c>
      <c r="H210" s="6">
        <v>0</v>
      </c>
      <c r="I210" s="6">
        <v>0</v>
      </c>
      <c r="J210" s="1253" t="s">
        <v>286</v>
      </c>
      <c r="K210" s="251">
        <f>SUMIF('alb SoCITE'!$A:$A,$J210,'alb SoCITE'!$D:$D)</f>
        <v>0</v>
      </c>
      <c r="L210" s="251">
        <f>SUMIF('alb SoCITE'!$A:$A,$J210,'alb SoCITE'!$J:$J)</f>
        <v>0</v>
      </c>
      <c r="M210" s="252"/>
      <c r="N210" s="273">
        <f t="shared" si="107"/>
        <v>0</v>
      </c>
      <c r="O210" s="12"/>
      <c r="P210" s="12"/>
      <c r="Q210" s="12"/>
      <c r="R210" s="12"/>
      <c r="S210" s="6">
        <f t="shared" si="100"/>
        <v>0</v>
      </c>
      <c r="T210" s="273">
        <f t="shared" si="108"/>
        <v>0</v>
      </c>
      <c r="U210" s="6">
        <f t="shared" si="109"/>
        <v>0</v>
      </c>
      <c r="V210" s="6"/>
      <c r="W210" s="6">
        <f t="shared" si="110"/>
        <v>0</v>
      </c>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X210" s="6"/>
      <c r="AY210" s="6">
        <f>ROUND(AX210/1000/Update!$B$31*Update!$B$27,0)</f>
        <v>0</v>
      </c>
      <c r="BA210" s="6"/>
      <c r="BB210" s="6">
        <f>ROUND(BA210/1000/Update!$B$31,0)</f>
        <v>0</v>
      </c>
      <c r="BC210" s="6"/>
      <c r="BD210" s="29">
        <f t="shared" si="102"/>
        <v>0</v>
      </c>
      <c r="BE210" s="317"/>
      <c r="BF210" s="317"/>
      <c r="BG210" s="317"/>
      <c r="BH210" s="317"/>
      <c r="BI210" s="317"/>
      <c r="BJ210" s="317"/>
      <c r="BK210" s="29">
        <f t="shared" si="111"/>
        <v>0</v>
      </c>
      <c r="BL210" s="317"/>
      <c r="BM210" s="317"/>
      <c r="BN210" s="317"/>
      <c r="BO210" s="317"/>
      <c r="BP210" s="317"/>
      <c r="BQ210" s="317"/>
      <c r="BR210" s="317"/>
      <c r="BS210" s="317"/>
      <c r="BT210" s="317"/>
      <c r="BU210" s="317"/>
      <c r="BV210" s="317"/>
      <c r="BW210" s="317"/>
      <c r="BX210" s="317"/>
      <c r="BY210" s="317"/>
      <c r="BZ210" s="317"/>
      <c r="CA210" s="317"/>
      <c r="CB210" s="317"/>
      <c r="CC210" s="317"/>
      <c r="CD210" s="317"/>
      <c r="CE210" s="317"/>
      <c r="CF210" s="317"/>
      <c r="CG210" s="317"/>
      <c r="CH210" s="317"/>
      <c r="CI210" s="317"/>
      <c r="CM210" s="1139">
        <v>0</v>
      </c>
      <c r="CN210" s="1139">
        <v>0</v>
      </c>
      <c r="CP210" s="923">
        <f t="shared" si="103"/>
        <v>0</v>
      </c>
      <c r="CZ210" s="330"/>
    </row>
    <row r="211" spans="1:104" ht="25.5" x14ac:dyDescent="0.25">
      <c r="A211" s="684">
        <f>MAX($A$6:A210)+1</f>
        <v>211</v>
      </c>
      <c r="B211" s="11" t="s">
        <v>43</v>
      </c>
      <c r="C211" s="11" t="str">
        <f t="shared" si="80"/>
        <v>SoCITE</v>
      </c>
      <c r="D211" s="11" t="s">
        <v>127</v>
      </c>
      <c r="E211" s="7" t="s">
        <v>116</v>
      </c>
      <c r="F211" s="15"/>
      <c r="G211" s="1254" t="s">
        <v>116</v>
      </c>
      <c r="H211" s="6">
        <v>0</v>
      </c>
      <c r="I211" s="6">
        <v>0</v>
      </c>
      <c r="J211" s="1253" t="s">
        <v>286</v>
      </c>
      <c r="K211" s="251">
        <f>SUMIF('alb SoCITE'!$A:$A,$J211,'alb SoCITE'!$D:$D)</f>
        <v>0</v>
      </c>
      <c r="L211" s="251">
        <f>SUMIF('alb SoCITE'!$A:$A,$J211,'alb SoCITE'!$J:$J)</f>
        <v>0</v>
      </c>
      <c r="M211" s="252"/>
      <c r="N211" s="273">
        <f t="shared" si="107"/>
        <v>0</v>
      </c>
      <c r="O211" s="12"/>
      <c r="P211" s="12"/>
      <c r="Q211" s="12"/>
      <c r="R211" s="12"/>
      <c r="S211" s="6">
        <f t="shared" si="100"/>
        <v>0</v>
      </c>
      <c r="T211" s="273">
        <f t="shared" si="108"/>
        <v>0</v>
      </c>
      <c r="U211" s="6">
        <f t="shared" si="109"/>
        <v>0</v>
      </c>
      <c r="V211" s="6"/>
      <c r="W211" s="6">
        <f t="shared" si="110"/>
        <v>0</v>
      </c>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X211" s="6"/>
      <c r="AY211" s="6">
        <f>ROUND(AX211/1000/Update!$B$31*Update!$B$27,0)</f>
        <v>0</v>
      </c>
      <c r="BA211" s="6"/>
      <c r="BB211" s="6">
        <f>ROUND(BA211/1000/Update!$B$31,0)</f>
        <v>0</v>
      </c>
      <c r="BC211" s="6"/>
      <c r="BD211" s="29">
        <f t="shared" si="102"/>
        <v>0</v>
      </c>
      <c r="BE211" s="317"/>
      <c r="BF211" s="317"/>
      <c r="BG211" s="317"/>
      <c r="BH211" s="317"/>
      <c r="BI211" s="317"/>
      <c r="BJ211" s="317"/>
      <c r="BK211" s="29">
        <f t="shared" si="111"/>
        <v>0</v>
      </c>
      <c r="BL211" s="317"/>
      <c r="BM211" s="317"/>
      <c r="BN211" s="317"/>
      <c r="BO211" s="317"/>
      <c r="BP211" s="317"/>
      <c r="BQ211" s="317"/>
      <c r="BR211" s="317"/>
      <c r="BS211" s="317"/>
      <c r="BT211" s="317"/>
      <c r="BU211" s="317"/>
      <c r="BV211" s="317"/>
      <c r="BW211" s="317"/>
      <c r="BX211" s="317"/>
      <c r="BY211" s="317"/>
      <c r="BZ211" s="317"/>
      <c r="CA211" s="317"/>
      <c r="CB211" s="317"/>
      <c r="CC211" s="317"/>
      <c r="CD211" s="317"/>
      <c r="CE211" s="317"/>
      <c r="CF211" s="317"/>
      <c r="CG211" s="317"/>
      <c r="CH211" s="317"/>
      <c r="CI211" s="317"/>
      <c r="CM211" s="1139">
        <v>0</v>
      </c>
      <c r="CN211" s="1139">
        <v>0</v>
      </c>
      <c r="CP211" s="923">
        <f t="shared" si="103"/>
        <v>0</v>
      </c>
      <c r="CZ211" s="330"/>
    </row>
    <row r="212" spans="1:104" ht="25.5" x14ac:dyDescent="0.25">
      <c r="A212" s="684">
        <f>MAX($A$6:A211)+1</f>
        <v>212</v>
      </c>
      <c r="B212" s="11" t="s">
        <v>43</v>
      </c>
      <c r="C212" s="11" t="str">
        <f t="shared" si="80"/>
        <v>SoCITE</v>
      </c>
      <c r="D212" s="11" t="s">
        <v>127</v>
      </c>
      <c r="E212" s="7" t="s">
        <v>286</v>
      </c>
      <c r="F212" s="15"/>
      <c r="G212" s="1254" t="s">
        <v>332</v>
      </c>
      <c r="H212" s="6">
        <v>0</v>
      </c>
      <c r="I212" s="6">
        <v>0</v>
      </c>
      <c r="J212" s="1253" t="s">
        <v>286</v>
      </c>
      <c r="K212" s="251">
        <f>SUMIF('alb SoCITE'!$A:$A,$J212,'alb SoCITE'!$D:$D)</f>
        <v>0</v>
      </c>
      <c r="L212" s="251">
        <f>SUMIF('alb SoCITE'!$A:$A,$J212,'alb SoCITE'!$J:$J)</f>
        <v>0</v>
      </c>
      <c r="M212" s="252"/>
      <c r="N212" s="273">
        <f t="shared" si="107"/>
        <v>0</v>
      </c>
      <c r="O212" s="12"/>
      <c r="P212" s="12"/>
      <c r="Q212" s="12"/>
      <c r="R212" s="12"/>
      <c r="S212" s="6">
        <f t="shared" si="100"/>
        <v>0</v>
      </c>
      <c r="T212" s="273">
        <f t="shared" si="108"/>
        <v>0</v>
      </c>
      <c r="U212" s="6">
        <f t="shared" si="109"/>
        <v>0</v>
      </c>
      <c r="V212" s="6"/>
      <c r="W212" s="6">
        <f t="shared" si="110"/>
        <v>0</v>
      </c>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X212" s="6"/>
      <c r="AY212" s="6">
        <f>ROUND(AX212/1000/Update!$B$31*Update!$B$27,0)</f>
        <v>0</v>
      </c>
      <c r="BA212" s="6"/>
      <c r="BB212" s="6">
        <f>ROUND(BA212/1000/Update!$B$31,0)</f>
        <v>0</v>
      </c>
      <c r="BC212" s="6"/>
      <c r="BD212" s="29">
        <f t="shared" si="102"/>
        <v>0</v>
      </c>
      <c r="BE212" s="317"/>
      <c r="BF212" s="317"/>
      <c r="BG212" s="317"/>
      <c r="BH212" s="317"/>
      <c r="BI212" s="317"/>
      <c r="BJ212" s="317"/>
      <c r="BK212" s="29">
        <f t="shared" si="111"/>
        <v>0</v>
      </c>
      <c r="BL212" s="317"/>
      <c r="BM212" s="317"/>
      <c r="BN212" s="317"/>
      <c r="BO212" s="317"/>
      <c r="BP212" s="317"/>
      <c r="BQ212" s="317"/>
      <c r="BR212" s="317"/>
      <c r="BS212" s="317"/>
      <c r="BT212" s="317"/>
      <c r="BU212" s="317"/>
      <c r="BV212" s="317"/>
      <c r="BW212" s="317"/>
      <c r="BX212" s="317"/>
      <c r="BY212" s="317"/>
      <c r="BZ212" s="317"/>
      <c r="CA212" s="317"/>
      <c r="CB212" s="317"/>
      <c r="CC212" s="317"/>
      <c r="CD212" s="317"/>
      <c r="CE212" s="317"/>
      <c r="CF212" s="317"/>
      <c r="CG212" s="317"/>
      <c r="CH212" s="317"/>
      <c r="CI212" s="317"/>
      <c r="CM212" s="1139">
        <v>0</v>
      </c>
      <c r="CN212" s="1139">
        <v>0</v>
      </c>
      <c r="CP212" s="923">
        <f t="shared" si="103"/>
        <v>0</v>
      </c>
      <c r="CZ212" s="330"/>
    </row>
    <row r="213" spans="1:104" x14ac:dyDescent="0.25">
      <c r="A213" s="684">
        <f>MAX($A$6:A212)+1</f>
        <v>213</v>
      </c>
      <c r="B213" s="11" t="s">
        <v>43</v>
      </c>
      <c r="C213" s="11" t="str">
        <f t="shared" ref="C213:C270" si="112">$C$147</f>
        <v>SoCITE</v>
      </c>
      <c r="D213" s="11" t="s">
        <v>127</v>
      </c>
      <c r="E213" s="7" t="s">
        <v>286</v>
      </c>
      <c r="F213" s="15"/>
      <c r="G213" s="1254" t="s">
        <v>333</v>
      </c>
      <c r="H213" s="6">
        <v>0</v>
      </c>
      <c r="I213" s="6">
        <v>0</v>
      </c>
      <c r="J213" s="1253" t="s">
        <v>286</v>
      </c>
      <c r="K213" s="251">
        <f>SUMIF('alb SoCITE'!$A:$A,$J213,'alb SoCITE'!$D:$D)</f>
        <v>0</v>
      </c>
      <c r="L213" s="251">
        <f>SUMIF('alb SoCITE'!$A:$A,$J213,'alb SoCITE'!$J:$J)</f>
        <v>0</v>
      </c>
      <c r="M213" s="252"/>
      <c r="N213" s="273">
        <f t="shared" si="107"/>
        <v>0</v>
      </c>
      <c r="O213" s="12"/>
      <c r="P213" s="12"/>
      <c r="Q213" s="12"/>
      <c r="R213" s="12"/>
      <c r="S213" s="6">
        <f t="shared" si="100"/>
        <v>0</v>
      </c>
      <c r="T213" s="273">
        <f t="shared" si="108"/>
        <v>0</v>
      </c>
      <c r="U213" s="6">
        <f t="shared" si="109"/>
        <v>0</v>
      </c>
      <c r="V213" s="6"/>
      <c r="W213" s="6">
        <f t="shared" si="110"/>
        <v>0</v>
      </c>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X213" s="6"/>
      <c r="AY213" s="6">
        <f>ROUND(AX213/1000/Update!$B$31*Update!$B$27,0)</f>
        <v>0</v>
      </c>
      <c r="BA213" s="6"/>
      <c r="BB213" s="6">
        <f>ROUND(BA213/1000/Update!$B$31,0)</f>
        <v>0</v>
      </c>
      <c r="BC213" s="6"/>
      <c r="BD213" s="29">
        <f t="shared" si="102"/>
        <v>0</v>
      </c>
      <c r="BE213" s="317"/>
      <c r="BF213" s="317"/>
      <c r="BG213" s="317"/>
      <c r="BH213" s="317"/>
      <c r="BI213" s="317"/>
      <c r="BJ213" s="317"/>
      <c r="BK213" s="29">
        <f t="shared" si="111"/>
        <v>0</v>
      </c>
      <c r="BL213" s="317"/>
      <c r="BM213" s="317"/>
      <c r="BN213" s="317"/>
      <c r="BO213" s="317"/>
      <c r="BP213" s="317"/>
      <c r="BQ213" s="317"/>
      <c r="BR213" s="317"/>
      <c r="BS213" s="317"/>
      <c r="BT213" s="317"/>
      <c r="BU213" s="317"/>
      <c r="BV213" s="317"/>
      <c r="BW213" s="317"/>
      <c r="BX213" s="317"/>
      <c r="BY213" s="317"/>
      <c r="BZ213" s="317"/>
      <c r="CA213" s="317"/>
      <c r="CB213" s="317"/>
      <c r="CC213" s="317"/>
      <c r="CD213" s="317"/>
      <c r="CE213" s="317"/>
      <c r="CF213" s="317"/>
      <c r="CG213" s="317"/>
      <c r="CH213" s="317"/>
      <c r="CI213" s="317"/>
      <c r="CM213" s="1139">
        <v>0</v>
      </c>
      <c r="CN213" s="1139">
        <v>0</v>
      </c>
      <c r="CP213" s="923">
        <f t="shared" si="103"/>
        <v>0</v>
      </c>
      <c r="CZ213" s="330"/>
    </row>
    <row r="214" spans="1:104" x14ac:dyDescent="0.25">
      <c r="A214" s="684">
        <f>MAX($A$6:A213)+1</f>
        <v>214</v>
      </c>
      <c r="B214" s="11" t="s">
        <v>43</v>
      </c>
      <c r="C214" s="11" t="str">
        <f t="shared" si="112"/>
        <v>SoCITE</v>
      </c>
      <c r="D214" s="11" t="s">
        <v>127</v>
      </c>
      <c r="E214" s="7" t="s">
        <v>286</v>
      </c>
      <c r="F214" s="15"/>
      <c r="G214" s="1254" t="s">
        <v>334</v>
      </c>
      <c r="H214" s="6">
        <v>0</v>
      </c>
      <c r="I214" s="6">
        <v>0</v>
      </c>
      <c r="J214" s="1253" t="s">
        <v>286</v>
      </c>
      <c r="K214" s="251">
        <f>SUMIF('alb SoCITE'!$A:$A,$J214,'alb SoCITE'!$D:$D)</f>
        <v>0</v>
      </c>
      <c r="L214" s="251">
        <f>SUMIF('alb SoCITE'!$A:$A,$J214,'alb SoCITE'!$J:$J)</f>
        <v>0</v>
      </c>
      <c r="M214" s="252"/>
      <c r="N214" s="273">
        <f t="shared" si="107"/>
        <v>0</v>
      </c>
      <c r="O214" s="12"/>
      <c r="P214" s="12"/>
      <c r="Q214" s="12"/>
      <c r="R214" s="12"/>
      <c r="S214" s="6">
        <f t="shared" si="100"/>
        <v>0</v>
      </c>
      <c r="T214" s="273">
        <f t="shared" si="108"/>
        <v>0</v>
      </c>
      <c r="U214" s="6">
        <f t="shared" si="109"/>
        <v>0</v>
      </c>
      <c r="V214" s="6"/>
      <c r="W214" s="6">
        <f t="shared" si="110"/>
        <v>0</v>
      </c>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X214" s="6"/>
      <c r="AY214" s="6">
        <f>ROUND(AX214/1000/Update!$B$31*Update!$B$27,0)</f>
        <v>0</v>
      </c>
      <c r="BA214" s="6"/>
      <c r="BB214" s="6">
        <f>ROUND(BA214/1000/Update!$B$31,0)</f>
        <v>0</v>
      </c>
      <c r="BC214" s="6"/>
      <c r="BD214" s="29">
        <f t="shared" si="102"/>
        <v>0</v>
      </c>
      <c r="BE214" s="317"/>
      <c r="BF214" s="317"/>
      <c r="BG214" s="317"/>
      <c r="BH214" s="317"/>
      <c r="BI214" s="317"/>
      <c r="BJ214" s="317"/>
      <c r="BK214" s="29">
        <f t="shared" si="111"/>
        <v>0</v>
      </c>
      <c r="BL214" s="317"/>
      <c r="BM214" s="317"/>
      <c r="BN214" s="317"/>
      <c r="BO214" s="317"/>
      <c r="BP214" s="317"/>
      <c r="BQ214" s="317"/>
      <c r="BR214" s="317"/>
      <c r="BS214" s="317"/>
      <c r="BT214" s="317"/>
      <c r="BU214" s="317"/>
      <c r="BV214" s="317"/>
      <c r="BW214" s="317"/>
      <c r="BX214" s="317"/>
      <c r="BY214" s="317"/>
      <c r="BZ214" s="317"/>
      <c r="CA214" s="317"/>
      <c r="CB214" s="317"/>
      <c r="CC214" s="317"/>
      <c r="CD214" s="317"/>
      <c r="CE214" s="317"/>
      <c r="CF214" s="317"/>
      <c r="CG214" s="317"/>
      <c r="CH214" s="317"/>
      <c r="CI214" s="317"/>
      <c r="CM214" s="1139">
        <v>0</v>
      </c>
      <c r="CN214" s="1139">
        <v>0</v>
      </c>
      <c r="CP214" s="923">
        <f t="shared" si="103"/>
        <v>0</v>
      </c>
      <c r="CZ214" s="330"/>
    </row>
    <row r="215" spans="1:104" x14ac:dyDescent="0.25">
      <c r="A215" s="701">
        <f>MAX($A$6:A214)+1</f>
        <v>215</v>
      </c>
      <c r="B215" s="18" t="s">
        <v>43</v>
      </c>
      <c r="C215" s="18" t="str">
        <f t="shared" si="112"/>
        <v>SoCITE</v>
      </c>
      <c r="D215" s="18" t="s">
        <v>127</v>
      </c>
      <c r="E215" s="19" t="s">
        <v>117</v>
      </c>
      <c r="F215" s="20"/>
      <c r="G215" s="28"/>
      <c r="H215" s="14">
        <f>SUM(H207:H214)</f>
        <v>0</v>
      </c>
      <c r="I215" s="14">
        <f>SUM(I207:I214)</f>
        <v>0</v>
      </c>
      <c r="J215" s="1258" t="s">
        <v>286</v>
      </c>
      <c r="K215" s="256">
        <f>SUM(K207:K214)</f>
        <v>0</v>
      </c>
      <c r="L215" s="256">
        <f>SUM(L207:L214)</f>
        <v>0</v>
      </c>
      <c r="M215" s="21"/>
      <c r="N215" s="14">
        <f t="shared" ref="N215:W215" si="113">SUM(N207:N214)</f>
        <v>0</v>
      </c>
      <c r="O215" s="14">
        <f t="shared" si="113"/>
        <v>0</v>
      </c>
      <c r="P215" s="14">
        <f t="shared" si="113"/>
        <v>0</v>
      </c>
      <c r="Q215" s="14">
        <f t="shared" si="113"/>
        <v>0</v>
      </c>
      <c r="R215" s="14">
        <f t="shared" si="113"/>
        <v>0</v>
      </c>
      <c r="S215" s="14">
        <f t="shared" si="100"/>
        <v>0</v>
      </c>
      <c r="T215" s="14">
        <f t="shared" si="113"/>
        <v>0</v>
      </c>
      <c r="U215" s="14">
        <f t="shared" si="113"/>
        <v>0</v>
      </c>
      <c r="V215" s="14">
        <f t="shared" si="113"/>
        <v>0</v>
      </c>
      <c r="W215" s="14">
        <f t="shared" si="113"/>
        <v>0</v>
      </c>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2"/>
      <c r="AX215" s="14">
        <f>SUM(AX207:AX214)</f>
        <v>0</v>
      </c>
      <c r="AY215" s="14">
        <f>ROUND(AX215/1000/Update!$B$31*Update!$B$27,0)</f>
        <v>0</v>
      </c>
      <c r="AZ215" s="2"/>
      <c r="BA215" s="14">
        <f>SUM(BA207:BA214)</f>
        <v>0</v>
      </c>
      <c r="BB215" s="14">
        <f>ROUND(BA215/1000/Update!$B$31,0)</f>
        <v>0</v>
      </c>
      <c r="BC215" s="14"/>
      <c r="BD215" s="14">
        <f t="shared" si="102"/>
        <v>0</v>
      </c>
      <c r="BE215" s="318">
        <f t="shared" ref="BE215:BJ215" si="114">SUM(BE207:BE214)</f>
        <v>0</v>
      </c>
      <c r="BF215" s="318">
        <f t="shared" si="114"/>
        <v>0</v>
      </c>
      <c r="BG215" s="318">
        <f t="shared" si="114"/>
        <v>0</v>
      </c>
      <c r="BH215" s="318">
        <f t="shared" si="114"/>
        <v>0</v>
      </c>
      <c r="BI215" s="318">
        <f t="shared" si="114"/>
        <v>0</v>
      </c>
      <c r="BJ215" s="318">
        <f t="shared" si="114"/>
        <v>0</v>
      </c>
      <c r="BK215" s="14">
        <f t="shared" si="111"/>
        <v>0</v>
      </c>
      <c r="BL215" s="318"/>
      <c r="BM215" s="318"/>
      <c r="BN215" s="318"/>
      <c r="BO215" s="318"/>
      <c r="BP215" s="318"/>
      <c r="BQ215" s="318"/>
      <c r="BR215" s="318"/>
      <c r="BS215" s="318"/>
      <c r="BT215" s="318"/>
      <c r="BU215" s="318"/>
      <c r="BV215" s="318"/>
      <c r="BW215" s="318"/>
      <c r="BX215" s="318"/>
      <c r="BY215" s="318"/>
      <c r="BZ215" s="318"/>
      <c r="CA215" s="318"/>
      <c r="CB215" s="318"/>
      <c r="CC215" s="318"/>
      <c r="CD215" s="318"/>
      <c r="CE215" s="318"/>
      <c r="CF215" s="318"/>
      <c r="CG215" s="318"/>
      <c r="CH215" s="318"/>
      <c r="CI215" s="318"/>
      <c r="CJ215" s="2"/>
      <c r="CK215" s="2"/>
      <c r="CM215" s="1140">
        <v>0</v>
      </c>
      <c r="CN215" s="1140">
        <v>0</v>
      </c>
      <c r="CP215" s="923">
        <f t="shared" si="103"/>
        <v>0</v>
      </c>
      <c r="CZ215" s="330"/>
    </row>
    <row r="216" spans="1:104" ht="25.5" x14ac:dyDescent="0.25">
      <c r="A216" s="684">
        <f>MAX($A$6:A215)+1</f>
        <v>216</v>
      </c>
      <c r="B216" s="11" t="s">
        <v>43</v>
      </c>
      <c r="C216" s="11" t="str">
        <f t="shared" si="112"/>
        <v>SoCITE</v>
      </c>
      <c r="D216" s="11" t="s">
        <v>127</v>
      </c>
      <c r="E216" s="7" t="s">
        <v>118</v>
      </c>
      <c r="F216" s="15"/>
      <c r="G216" s="1254" t="s">
        <v>335</v>
      </c>
      <c r="H216" s="6">
        <v>2046</v>
      </c>
      <c r="I216" s="6">
        <v>0</v>
      </c>
      <c r="J216" s="1257" t="s">
        <v>762</v>
      </c>
      <c r="K216" s="251">
        <f>SUMIF('alb SoCITE'!$A:$A,$J216,'alb SoCITE'!$D:$D)</f>
        <v>0</v>
      </c>
      <c r="L216" s="251">
        <f>SUMIF('alb SoCITE'!$A:$A,$J216,'alb SoCITE'!$J:$J)</f>
        <v>0</v>
      </c>
      <c r="M216" s="252"/>
      <c r="N216" s="273">
        <f t="shared" ref="N216:N227" si="115">ROUND(SUM(O216:S216)+SUM(W216:AV216),0)</f>
        <v>2046</v>
      </c>
      <c r="O216" s="12"/>
      <c r="P216" s="12"/>
      <c r="Q216" s="12"/>
      <c r="R216" s="12"/>
      <c r="S216" s="6">
        <f t="shared" si="100"/>
        <v>0</v>
      </c>
      <c r="T216" s="273">
        <f t="shared" ref="T216:T227" si="116">ROUND(SUM(U216:Y216),0)</f>
        <v>2046</v>
      </c>
      <c r="U216" s="6">
        <f t="shared" ref="U216:U227" si="117">SUM(BL216:BN216)</f>
        <v>0</v>
      </c>
      <c r="V216" s="6"/>
      <c r="W216" s="6">
        <f t="shared" si="110"/>
        <v>2046</v>
      </c>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X216" s="6"/>
      <c r="AY216" s="6">
        <f>ROUND(AX216/1000/Update!$B$31*Update!$B$27,0)</f>
        <v>0</v>
      </c>
      <c r="BA216" s="6"/>
      <c r="BB216" s="6">
        <f>ROUND(BA216/1000/Update!$B$31,0)</f>
        <v>0</v>
      </c>
      <c r="BC216" s="6"/>
      <c r="BD216" s="29">
        <f t="shared" si="102"/>
        <v>0</v>
      </c>
      <c r="BE216" s="317"/>
      <c r="BF216" s="317"/>
      <c r="BG216" s="317"/>
      <c r="BH216" s="317"/>
      <c r="BI216" s="317"/>
      <c r="BJ216" s="317"/>
      <c r="BK216" s="29">
        <f t="shared" si="111"/>
        <v>0</v>
      </c>
      <c r="BL216" s="317"/>
      <c r="BM216" s="317"/>
      <c r="BN216" s="317"/>
      <c r="BO216" s="317"/>
      <c r="BP216" s="317"/>
      <c r="BQ216" s="317"/>
      <c r="BR216" s="317"/>
      <c r="BS216" s="317"/>
      <c r="BT216" s="317"/>
      <c r="BU216" s="317"/>
      <c r="BV216" s="317"/>
      <c r="BW216" s="317"/>
      <c r="BX216" s="317"/>
      <c r="BY216" s="317"/>
      <c r="BZ216" s="317"/>
      <c r="CA216" s="317"/>
      <c r="CB216" s="317"/>
      <c r="CC216" s="317"/>
      <c r="CD216" s="317"/>
      <c r="CE216" s="317"/>
      <c r="CF216" s="317"/>
      <c r="CG216" s="317"/>
      <c r="CH216" s="317"/>
      <c r="CI216" s="317"/>
      <c r="CM216" s="1139">
        <v>0</v>
      </c>
      <c r="CN216" s="1139">
        <v>0</v>
      </c>
      <c r="CP216" s="923">
        <f t="shared" si="103"/>
        <v>0</v>
      </c>
      <c r="CZ216" s="330"/>
    </row>
    <row r="217" spans="1:104" x14ac:dyDescent="0.25">
      <c r="A217" s="684">
        <f>MAX($A$6:A216)+1</f>
        <v>217</v>
      </c>
      <c r="B217" s="11" t="s">
        <v>43</v>
      </c>
      <c r="C217" s="11" t="str">
        <f t="shared" si="112"/>
        <v>SoCITE</v>
      </c>
      <c r="D217" s="11" t="s">
        <v>127</v>
      </c>
      <c r="E217" s="269" t="s">
        <v>119</v>
      </c>
      <c r="F217" s="15"/>
      <c r="G217" s="1254" t="s">
        <v>286</v>
      </c>
      <c r="H217" s="6">
        <v>0</v>
      </c>
      <c r="I217" s="6">
        <v>0</v>
      </c>
      <c r="J217" s="1253" t="s">
        <v>286</v>
      </c>
      <c r="K217" s="251">
        <f>SUMIF('alb SoCITE'!$A:$A,$J217,'alb SoCITE'!$D:$D)</f>
        <v>0</v>
      </c>
      <c r="L217" s="251">
        <f>SUMIF('alb SoCITE'!$A:$A,$J217,'alb SoCITE'!$J:$J)</f>
        <v>0</v>
      </c>
      <c r="M217" s="252"/>
      <c r="N217" s="273">
        <f t="shared" si="115"/>
        <v>0</v>
      </c>
      <c r="O217" s="12"/>
      <c r="P217" s="12"/>
      <c r="Q217" s="12"/>
      <c r="R217" s="12"/>
      <c r="S217" s="6">
        <f t="shared" si="100"/>
        <v>0</v>
      </c>
      <c r="T217" s="273">
        <f t="shared" si="116"/>
        <v>0</v>
      </c>
      <c r="U217" s="6">
        <f t="shared" si="117"/>
        <v>0</v>
      </c>
      <c r="V217" s="6"/>
      <c r="W217" s="6">
        <f t="shared" si="110"/>
        <v>0</v>
      </c>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X217" s="6"/>
      <c r="AY217" s="6">
        <f>ROUND(AX217/1000/Update!$B$31*Update!$B$27,0)</f>
        <v>0</v>
      </c>
      <c r="BA217" s="6"/>
      <c r="BB217" s="6">
        <f>ROUND(BA217/1000/Update!$B$31,0)</f>
        <v>0</v>
      </c>
      <c r="BC217" s="6"/>
      <c r="BD217" s="29">
        <f t="shared" si="102"/>
        <v>0</v>
      </c>
      <c r="BE217" s="317"/>
      <c r="BF217" s="317"/>
      <c r="BG217" s="317"/>
      <c r="BH217" s="317"/>
      <c r="BI217" s="317"/>
      <c r="BJ217" s="317"/>
      <c r="BK217" s="29">
        <f t="shared" si="111"/>
        <v>0</v>
      </c>
      <c r="BL217" s="317"/>
      <c r="BM217" s="317"/>
      <c r="BN217" s="317"/>
      <c r="BO217" s="317"/>
      <c r="BP217" s="317"/>
      <c r="BQ217" s="317"/>
      <c r="BR217" s="317"/>
      <c r="BS217" s="317"/>
      <c r="BT217" s="317"/>
      <c r="BU217" s="317"/>
      <c r="BV217" s="317"/>
      <c r="BW217" s="317"/>
      <c r="BX217" s="317"/>
      <c r="BY217" s="317"/>
      <c r="BZ217" s="317"/>
      <c r="CA217" s="317"/>
      <c r="CB217" s="317"/>
      <c r="CC217" s="317"/>
      <c r="CD217" s="317"/>
      <c r="CE217" s="317"/>
      <c r="CF217" s="317"/>
      <c r="CG217" s="317"/>
      <c r="CH217" s="317"/>
      <c r="CI217" s="317"/>
      <c r="CM217" s="1139">
        <v>0</v>
      </c>
      <c r="CN217" s="1139">
        <v>0</v>
      </c>
      <c r="CP217" s="923">
        <f t="shared" si="103"/>
        <v>0</v>
      </c>
      <c r="CZ217" s="330"/>
    </row>
    <row r="218" spans="1:104" ht="30" x14ac:dyDescent="0.25">
      <c r="A218" s="684">
        <f>MAX($A$6:A217)+1</f>
        <v>218</v>
      </c>
      <c r="B218" s="11" t="s">
        <v>43</v>
      </c>
      <c r="C218" s="11" t="str">
        <f t="shared" si="112"/>
        <v>SoCITE</v>
      </c>
      <c r="D218" s="11" t="s">
        <v>127</v>
      </c>
      <c r="E218" s="7" t="s">
        <v>120</v>
      </c>
      <c r="F218" s="15"/>
      <c r="G218" s="1254" t="s">
        <v>120</v>
      </c>
      <c r="H218" s="6">
        <v>0</v>
      </c>
      <c r="I218" s="6">
        <v>0</v>
      </c>
      <c r="J218" s="1257" t="s">
        <v>120</v>
      </c>
      <c r="K218" s="251">
        <f>SUMIF('alb SoCITE'!$A:$A,$J218,'alb SoCITE'!$D:$D)</f>
        <v>0</v>
      </c>
      <c r="L218" s="251">
        <f>SUMIF('alb SoCITE'!$A:$A,$J218,'alb SoCITE'!$J:$J)</f>
        <v>0</v>
      </c>
      <c r="M218" s="252"/>
      <c r="N218" s="273">
        <f t="shared" si="115"/>
        <v>0</v>
      </c>
      <c r="O218" s="12"/>
      <c r="P218" s="12"/>
      <c r="Q218" s="12"/>
      <c r="R218" s="12"/>
      <c r="S218" s="6">
        <f t="shared" si="100"/>
        <v>0</v>
      </c>
      <c r="T218" s="273">
        <f t="shared" si="116"/>
        <v>0</v>
      </c>
      <c r="U218" s="6">
        <f t="shared" si="117"/>
        <v>0</v>
      </c>
      <c r="V218" s="6"/>
      <c r="W218" s="6">
        <f t="shared" si="110"/>
        <v>0</v>
      </c>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X218" s="6"/>
      <c r="AY218" s="6">
        <f>ROUND(AX218/1000/Update!$B$31*Update!$B$27,0)</f>
        <v>0</v>
      </c>
      <c r="BA218" s="6"/>
      <c r="BB218" s="6">
        <f>ROUND(BA218/1000/Update!$B$31,0)</f>
        <v>0</v>
      </c>
      <c r="BC218" s="6"/>
      <c r="BD218" s="29">
        <f t="shared" si="102"/>
        <v>0</v>
      </c>
      <c r="BE218" s="317"/>
      <c r="BF218" s="317"/>
      <c r="BG218" s="317"/>
      <c r="BH218" s="317"/>
      <c r="BI218" s="317"/>
      <c r="BJ218" s="317"/>
      <c r="BK218" s="29">
        <f t="shared" si="111"/>
        <v>0</v>
      </c>
      <c r="BL218" s="317"/>
      <c r="BM218" s="317"/>
      <c r="BN218" s="317"/>
      <c r="BO218" s="317"/>
      <c r="BP218" s="317"/>
      <c r="BQ218" s="317"/>
      <c r="BR218" s="317"/>
      <c r="BS218" s="317"/>
      <c r="BT218" s="317"/>
      <c r="BU218" s="317"/>
      <c r="BV218" s="317"/>
      <c r="BW218" s="317"/>
      <c r="BX218" s="317"/>
      <c r="BY218" s="317"/>
      <c r="BZ218" s="317"/>
      <c r="CA218" s="317"/>
      <c r="CB218" s="317"/>
      <c r="CC218" s="317"/>
      <c r="CD218" s="317"/>
      <c r="CE218" s="317"/>
      <c r="CF218" s="317"/>
      <c r="CG218" s="317"/>
      <c r="CH218" s="317"/>
      <c r="CI218" s="317"/>
      <c r="CM218" s="1139">
        <v>0</v>
      </c>
      <c r="CN218" s="1139">
        <v>0</v>
      </c>
      <c r="CP218" s="923">
        <f t="shared" si="103"/>
        <v>0</v>
      </c>
      <c r="CZ218" s="330"/>
    </row>
    <row r="219" spans="1:104" x14ac:dyDescent="0.25">
      <c r="A219" s="684">
        <f>MAX($A$6:A218)+1</f>
        <v>219</v>
      </c>
      <c r="B219" s="11" t="s">
        <v>43</v>
      </c>
      <c r="C219" s="11" t="str">
        <f t="shared" si="112"/>
        <v>SoCITE</v>
      </c>
      <c r="D219" s="11" t="s">
        <v>127</v>
      </c>
      <c r="E219" s="7" t="s">
        <v>122</v>
      </c>
      <c r="F219" s="15"/>
      <c r="G219" s="1254" t="s">
        <v>122</v>
      </c>
      <c r="H219" s="6">
        <v>0</v>
      </c>
      <c r="I219" s="6">
        <v>0</v>
      </c>
      <c r="J219" s="1261" t="s">
        <v>286</v>
      </c>
      <c r="K219" s="251">
        <f>SUMIF('alb SoCITE'!$A:$A,$J219,'alb SoCITE'!$D:$D)</f>
        <v>0</v>
      </c>
      <c r="L219" s="251">
        <f>SUMIF('alb SoCITE'!$A:$A,$J219,'alb SoCITE'!$J:$J)</f>
        <v>0</v>
      </c>
      <c r="M219" s="252"/>
      <c r="N219" s="273">
        <f t="shared" si="115"/>
        <v>0</v>
      </c>
      <c r="O219" s="12"/>
      <c r="P219" s="12"/>
      <c r="Q219" s="12"/>
      <c r="R219" s="12"/>
      <c r="S219" s="6">
        <f t="shared" si="100"/>
        <v>0</v>
      </c>
      <c r="T219" s="273">
        <f t="shared" si="116"/>
        <v>0</v>
      </c>
      <c r="U219" s="6">
        <f t="shared" si="117"/>
        <v>0</v>
      </c>
      <c r="V219" s="6"/>
      <c r="W219" s="6">
        <f t="shared" si="110"/>
        <v>0</v>
      </c>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X219" s="6"/>
      <c r="AY219" s="6">
        <f>ROUND(AX219/1000/Update!$B$31*Update!$B$27,0)</f>
        <v>0</v>
      </c>
      <c r="BA219" s="6"/>
      <c r="BB219" s="6">
        <f>ROUND(BA219/1000/Update!$B$31,0)</f>
        <v>0</v>
      </c>
      <c r="BC219" s="6"/>
      <c r="BD219" s="29">
        <f t="shared" si="102"/>
        <v>0</v>
      </c>
      <c r="BE219" s="317"/>
      <c r="BF219" s="317"/>
      <c r="BG219" s="317"/>
      <c r="BH219" s="317"/>
      <c r="BI219" s="317"/>
      <c r="BJ219" s="317"/>
      <c r="BK219" s="29">
        <f t="shared" si="111"/>
        <v>0</v>
      </c>
      <c r="BL219" s="317"/>
      <c r="BM219" s="317"/>
      <c r="BN219" s="317"/>
      <c r="BO219" s="317"/>
      <c r="BP219" s="317"/>
      <c r="BQ219" s="317"/>
      <c r="BR219" s="317"/>
      <c r="BS219" s="317"/>
      <c r="BT219" s="317"/>
      <c r="BU219" s="317"/>
      <c r="BV219" s="317"/>
      <c r="BW219" s="317"/>
      <c r="BX219" s="317"/>
      <c r="BY219" s="317"/>
      <c r="BZ219" s="317"/>
      <c r="CA219" s="317"/>
      <c r="CB219" s="317"/>
      <c r="CC219" s="317"/>
      <c r="CD219" s="317"/>
      <c r="CE219" s="317"/>
      <c r="CF219" s="317"/>
      <c r="CG219" s="317"/>
      <c r="CH219" s="317"/>
      <c r="CI219" s="317"/>
      <c r="CM219" s="1139">
        <v>0</v>
      </c>
      <c r="CN219" s="1139">
        <v>0</v>
      </c>
      <c r="CP219" s="923">
        <f t="shared" si="103"/>
        <v>0</v>
      </c>
      <c r="CZ219" s="330"/>
    </row>
    <row r="220" spans="1:104" x14ac:dyDescent="0.25">
      <c r="A220" s="684">
        <f>MAX($A$6:A219)+1</f>
        <v>220</v>
      </c>
      <c r="B220" s="11" t="s">
        <v>43</v>
      </c>
      <c r="C220" s="11" t="str">
        <f t="shared" si="112"/>
        <v>SoCITE</v>
      </c>
      <c r="D220" s="11" t="s">
        <v>127</v>
      </c>
      <c r="E220" s="269" t="s">
        <v>123</v>
      </c>
      <c r="F220" s="15"/>
      <c r="G220" s="1254" t="s">
        <v>286</v>
      </c>
      <c r="H220" s="6">
        <v>0</v>
      </c>
      <c r="I220" s="6">
        <v>0</v>
      </c>
      <c r="J220" s="1253" t="s">
        <v>286</v>
      </c>
      <c r="K220" s="251">
        <f>SUMIF('alb SoCITE'!$A:$A,$J220,'alb SoCITE'!$D:$D)</f>
        <v>0</v>
      </c>
      <c r="L220" s="251">
        <f>SUMIF('alb SoCITE'!$A:$A,$J220,'alb SoCITE'!$J:$J)</f>
        <v>0</v>
      </c>
      <c r="M220" s="252"/>
      <c r="N220" s="273">
        <f t="shared" si="115"/>
        <v>0</v>
      </c>
      <c r="O220" s="12"/>
      <c r="P220" s="12"/>
      <c r="Q220" s="12"/>
      <c r="R220" s="12"/>
      <c r="S220" s="6">
        <f t="shared" si="100"/>
        <v>0</v>
      </c>
      <c r="T220" s="273">
        <f t="shared" si="116"/>
        <v>0</v>
      </c>
      <c r="U220" s="6">
        <f t="shared" si="117"/>
        <v>0</v>
      </c>
      <c r="V220" s="6"/>
      <c r="W220" s="6">
        <f t="shared" si="110"/>
        <v>0</v>
      </c>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X220" s="6"/>
      <c r="AY220" s="6">
        <f>ROUND(AX220/1000/Update!$B$31*Update!$B$27,0)</f>
        <v>0</v>
      </c>
      <c r="BA220" s="6"/>
      <c r="BB220" s="6">
        <f>ROUND(BA220/1000/Update!$B$31,0)</f>
        <v>0</v>
      </c>
      <c r="BC220" s="6"/>
      <c r="BD220" s="29">
        <f t="shared" si="102"/>
        <v>0</v>
      </c>
      <c r="BE220" s="317"/>
      <c r="BF220" s="317"/>
      <c r="BG220" s="317"/>
      <c r="BH220" s="317"/>
      <c r="BI220" s="317"/>
      <c r="BJ220" s="317"/>
      <c r="BK220" s="29">
        <f t="shared" si="111"/>
        <v>0</v>
      </c>
      <c r="BL220" s="317"/>
      <c r="BM220" s="317"/>
      <c r="BN220" s="317"/>
      <c r="BO220" s="317"/>
      <c r="BP220" s="317"/>
      <c r="BQ220" s="317"/>
      <c r="BR220" s="317"/>
      <c r="BS220" s="317"/>
      <c r="BT220" s="317"/>
      <c r="BU220" s="317"/>
      <c r="BV220" s="317"/>
      <c r="BW220" s="317"/>
      <c r="BX220" s="317"/>
      <c r="BY220" s="317"/>
      <c r="BZ220" s="317"/>
      <c r="CA220" s="317"/>
      <c r="CB220" s="317"/>
      <c r="CC220" s="317"/>
      <c r="CD220" s="317"/>
      <c r="CE220" s="317"/>
      <c r="CF220" s="317"/>
      <c r="CG220" s="317"/>
      <c r="CH220" s="317"/>
      <c r="CI220" s="317"/>
      <c r="CM220" s="1139">
        <v>0</v>
      </c>
      <c r="CN220" s="1139">
        <v>0</v>
      </c>
      <c r="CP220" s="923">
        <f t="shared" si="103"/>
        <v>0</v>
      </c>
      <c r="CZ220" s="330"/>
    </row>
    <row r="221" spans="1:104" x14ac:dyDescent="0.25">
      <c r="A221" s="684">
        <f>MAX($A$6:A220)+1</f>
        <v>221</v>
      </c>
      <c r="B221" s="11" t="s">
        <v>43</v>
      </c>
      <c r="C221" s="11" t="str">
        <f t="shared" si="112"/>
        <v>SoCITE</v>
      </c>
      <c r="D221" s="11" t="s">
        <v>127</v>
      </c>
      <c r="E221" s="7" t="s">
        <v>124</v>
      </c>
      <c r="F221" s="15"/>
      <c r="G221" s="1254" t="s">
        <v>124</v>
      </c>
      <c r="H221" s="6">
        <v>0</v>
      </c>
      <c r="I221" s="6">
        <v>0</v>
      </c>
      <c r="J221" s="1257" t="s">
        <v>124</v>
      </c>
      <c r="K221" s="251">
        <f>SUMIF('alb SoCITE'!$A:$A,$J221,'alb SoCITE'!$D:$D)</f>
        <v>0</v>
      </c>
      <c r="L221" s="251">
        <f>SUMIF('alb SoCITE'!$A:$A,$J221,'alb SoCITE'!$J:$J)</f>
        <v>0</v>
      </c>
      <c r="M221" s="252"/>
      <c r="N221" s="273">
        <f t="shared" si="115"/>
        <v>0</v>
      </c>
      <c r="O221" s="12"/>
      <c r="P221" s="12"/>
      <c r="Q221" s="12"/>
      <c r="R221" s="12"/>
      <c r="S221" s="6">
        <f t="shared" si="100"/>
        <v>0</v>
      </c>
      <c r="T221" s="273">
        <f t="shared" si="116"/>
        <v>0</v>
      </c>
      <c r="U221" s="6">
        <f t="shared" si="117"/>
        <v>0</v>
      </c>
      <c r="V221" s="6"/>
      <c r="W221" s="6">
        <f t="shared" si="110"/>
        <v>0</v>
      </c>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X221" s="6"/>
      <c r="AY221" s="6">
        <f>ROUND(AX221/1000/Update!$B$31*Update!$B$27,0)</f>
        <v>0</v>
      </c>
      <c r="BA221" s="6"/>
      <c r="BB221" s="6">
        <f>ROUND(BA221/1000/Update!$B$31,0)</f>
        <v>0</v>
      </c>
      <c r="BC221" s="6"/>
      <c r="BD221" s="29">
        <f t="shared" si="102"/>
        <v>0</v>
      </c>
      <c r="BE221" s="317"/>
      <c r="BF221" s="317"/>
      <c r="BG221" s="317"/>
      <c r="BH221" s="317"/>
      <c r="BI221" s="317"/>
      <c r="BJ221" s="317"/>
      <c r="BK221" s="29">
        <f t="shared" si="111"/>
        <v>0</v>
      </c>
      <c r="BL221" s="317"/>
      <c r="BM221" s="317"/>
      <c r="BN221" s="317"/>
      <c r="BO221" s="317"/>
      <c r="BP221" s="317"/>
      <c r="BQ221" s="317"/>
      <c r="BR221" s="317"/>
      <c r="BS221" s="317"/>
      <c r="BT221" s="317"/>
      <c r="BU221" s="317"/>
      <c r="BV221" s="317"/>
      <c r="BW221" s="317"/>
      <c r="BX221" s="317"/>
      <c r="BY221" s="317"/>
      <c r="BZ221" s="317"/>
      <c r="CA221" s="317"/>
      <c r="CB221" s="317"/>
      <c r="CC221" s="317"/>
      <c r="CD221" s="317"/>
      <c r="CE221" s="317"/>
      <c r="CF221" s="317"/>
      <c r="CG221" s="317"/>
      <c r="CH221" s="317"/>
      <c r="CI221" s="317"/>
      <c r="CM221" s="1139">
        <v>0</v>
      </c>
      <c r="CN221" s="1139">
        <v>0</v>
      </c>
      <c r="CP221" s="923">
        <f t="shared" si="103"/>
        <v>0</v>
      </c>
      <c r="CZ221" s="330"/>
    </row>
    <row r="222" spans="1:104" ht="30" x14ac:dyDescent="0.25">
      <c r="A222" s="684">
        <f>MAX($A$6:A221)+1</f>
        <v>222</v>
      </c>
      <c r="B222" s="11" t="s">
        <v>43</v>
      </c>
      <c r="C222" s="11" t="str">
        <f t="shared" si="112"/>
        <v>SoCITE</v>
      </c>
      <c r="D222" s="11" t="s">
        <v>127</v>
      </c>
      <c r="E222" s="7" t="s">
        <v>339</v>
      </c>
      <c r="F222" s="15"/>
      <c r="G222" s="1254" t="s">
        <v>339</v>
      </c>
      <c r="H222" s="6">
        <v>-147</v>
      </c>
      <c r="I222" s="6">
        <v>0</v>
      </c>
      <c r="J222" s="1257" t="s">
        <v>339</v>
      </c>
      <c r="K222" s="251">
        <f>SUMIF('alb SoCITE'!$A:$A,$J222,'alb SoCITE'!$D:$D)</f>
        <v>0</v>
      </c>
      <c r="L222" s="251">
        <f>SUMIF('alb SoCITE'!$A:$A,$J222,'alb SoCITE'!$J:$J)</f>
        <v>0</v>
      </c>
      <c r="M222" s="252"/>
      <c r="N222" s="273">
        <f t="shared" si="115"/>
        <v>-147</v>
      </c>
      <c r="O222" s="12"/>
      <c r="P222" s="12"/>
      <c r="Q222" s="12"/>
      <c r="R222" s="12"/>
      <c r="S222" s="6">
        <f t="shared" si="100"/>
        <v>0</v>
      </c>
      <c r="T222" s="273">
        <f t="shared" si="116"/>
        <v>-147</v>
      </c>
      <c r="U222" s="6">
        <f t="shared" si="117"/>
        <v>0</v>
      </c>
      <c r="V222" s="6"/>
      <c r="W222" s="6">
        <f t="shared" si="110"/>
        <v>-147</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X222" s="6"/>
      <c r="AY222" s="6">
        <f>ROUND(AX222/1000/Update!$B$31*Update!$B$27,0)</f>
        <v>0</v>
      </c>
      <c r="BA222" s="6"/>
      <c r="BB222" s="6">
        <f>ROUND(BA222/1000/Update!$B$31,0)</f>
        <v>0</v>
      </c>
      <c r="BC222" s="6"/>
      <c r="BD222" s="29">
        <f t="shared" si="102"/>
        <v>0</v>
      </c>
      <c r="BE222" s="317"/>
      <c r="BF222" s="317"/>
      <c r="BG222" s="317"/>
      <c r="BH222" s="317"/>
      <c r="BI222" s="317"/>
      <c r="BJ222" s="317"/>
      <c r="BK222" s="29">
        <f t="shared" si="111"/>
        <v>0</v>
      </c>
      <c r="BL222" s="317"/>
      <c r="BM222" s="317"/>
      <c r="BN222" s="317"/>
      <c r="BO222" s="317"/>
      <c r="BP222" s="317"/>
      <c r="BQ222" s="317"/>
      <c r="BR222" s="317"/>
      <c r="BS222" s="317"/>
      <c r="BT222" s="317"/>
      <c r="BU222" s="317"/>
      <c r="BV222" s="317"/>
      <c r="BW222" s="317"/>
      <c r="BX222" s="317"/>
      <c r="BY222" s="317"/>
      <c r="BZ222" s="317"/>
      <c r="CA222" s="317"/>
      <c r="CB222" s="317"/>
      <c r="CC222" s="317"/>
      <c r="CD222" s="317"/>
      <c r="CE222" s="317"/>
      <c r="CF222" s="317"/>
      <c r="CG222" s="317"/>
      <c r="CH222" s="317"/>
      <c r="CI222" s="317"/>
      <c r="CM222" s="1139">
        <v>0</v>
      </c>
      <c r="CN222" s="1139">
        <v>0</v>
      </c>
      <c r="CP222" s="923">
        <f t="shared" si="103"/>
        <v>0</v>
      </c>
      <c r="CZ222" s="330"/>
    </row>
    <row r="223" spans="1:104" x14ac:dyDescent="0.25">
      <c r="A223" s="684">
        <f>MAX($A$6:A222)+1</f>
        <v>223</v>
      </c>
      <c r="B223" s="11" t="s">
        <v>43</v>
      </c>
      <c r="C223" s="11" t="str">
        <f t="shared" si="112"/>
        <v>SoCITE</v>
      </c>
      <c r="D223" s="11" t="s">
        <v>127</v>
      </c>
      <c r="E223" s="7" t="s">
        <v>286</v>
      </c>
      <c r="F223" s="15"/>
      <c r="G223" s="1254" t="s">
        <v>185</v>
      </c>
      <c r="H223" s="6">
        <v>0</v>
      </c>
      <c r="I223" s="6">
        <v>0</v>
      </c>
      <c r="J223" s="1253" t="s">
        <v>286</v>
      </c>
      <c r="K223" s="251">
        <f>SUMIF('alb SoCITE'!$A:$A,$J223,'alb SoCITE'!$D:$D)</f>
        <v>0</v>
      </c>
      <c r="L223" s="251">
        <f>SUMIF('alb SoCITE'!$A:$A,$J223,'alb SoCITE'!$J:$J)</f>
        <v>0</v>
      </c>
      <c r="M223" s="252"/>
      <c r="N223" s="273">
        <f t="shared" si="115"/>
        <v>0</v>
      </c>
      <c r="O223" s="12"/>
      <c r="P223" s="12"/>
      <c r="Q223" s="12"/>
      <c r="R223" s="12"/>
      <c r="S223" s="6">
        <f t="shared" si="100"/>
        <v>0</v>
      </c>
      <c r="T223" s="273">
        <f t="shared" si="116"/>
        <v>0</v>
      </c>
      <c r="U223" s="6">
        <f t="shared" si="117"/>
        <v>0</v>
      </c>
      <c r="V223" s="6"/>
      <c r="W223" s="6">
        <f t="shared" si="110"/>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X223" s="6"/>
      <c r="AY223" s="6">
        <f>ROUND(AX223/1000/Update!$B$31*Update!$B$27,0)</f>
        <v>0</v>
      </c>
      <c r="BA223" s="6"/>
      <c r="BB223" s="6">
        <f>ROUND(BA223/1000/Update!$B$31,0)</f>
        <v>0</v>
      </c>
      <c r="BC223" s="6"/>
      <c r="BD223" s="29">
        <f t="shared" si="102"/>
        <v>0</v>
      </c>
      <c r="BE223" s="317"/>
      <c r="BF223" s="317"/>
      <c r="BG223" s="317"/>
      <c r="BH223" s="317"/>
      <c r="BI223" s="317"/>
      <c r="BJ223" s="317"/>
      <c r="BK223" s="29">
        <f t="shared" si="111"/>
        <v>0</v>
      </c>
      <c r="BL223" s="317"/>
      <c r="BM223" s="317"/>
      <c r="BN223" s="317"/>
      <c r="BO223" s="317"/>
      <c r="BP223" s="317"/>
      <c r="BQ223" s="317"/>
      <c r="BR223" s="317"/>
      <c r="BS223" s="317"/>
      <c r="BT223" s="317"/>
      <c r="BU223" s="317"/>
      <c r="BV223" s="317"/>
      <c r="BW223" s="317"/>
      <c r="BX223" s="317"/>
      <c r="BY223" s="317"/>
      <c r="BZ223" s="317"/>
      <c r="CA223" s="317"/>
      <c r="CB223" s="317"/>
      <c r="CC223" s="317"/>
      <c r="CD223" s="317"/>
      <c r="CE223" s="317"/>
      <c r="CF223" s="317"/>
      <c r="CG223" s="317"/>
      <c r="CH223" s="317"/>
      <c r="CI223" s="317"/>
      <c r="CM223" s="1139">
        <v>0</v>
      </c>
      <c r="CN223" s="1139">
        <v>0</v>
      </c>
      <c r="CP223" s="923">
        <f t="shared" si="103"/>
        <v>0</v>
      </c>
      <c r="CZ223" s="330"/>
    </row>
    <row r="224" spans="1:104" ht="25.5" x14ac:dyDescent="0.25">
      <c r="A224" s="684">
        <f>MAX($A$6:A223)+1</f>
        <v>224</v>
      </c>
      <c r="B224" s="11" t="s">
        <v>43</v>
      </c>
      <c r="C224" s="11" t="str">
        <f t="shared" si="112"/>
        <v>SoCITE</v>
      </c>
      <c r="D224" s="11" t="s">
        <v>127</v>
      </c>
      <c r="E224" s="7" t="s">
        <v>286</v>
      </c>
      <c r="F224" s="15"/>
      <c r="G224" s="1254" t="s">
        <v>336</v>
      </c>
      <c r="H224" s="6">
        <v>0</v>
      </c>
      <c r="I224" s="6">
        <v>0</v>
      </c>
      <c r="J224" s="1253" t="s">
        <v>286</v>
      </c>
      <c r="K224" s="251">
        <f>SUMIF('alb SoCITE'!$A:$A,$J224,'alb SoCITE'!$D:$D)</f>
        <v>0</v>
      </c>
      <c r="L224" s="251">
        <f>SUMIF('alb SoCITE'!$A:$A,$J224,'alb SoCITE'!$J:$J)</f>
        <v>0</v>
      </c>
      <c r="M224" s="252"/>
      <c r="N224" s="273">
        <f t="shared" si="115"/>
        <v>0</v>
      </c>
      <c r="O224" s="12"/>
      <c r="P224" s="12"/>
      <c r="Q224" s="12"/>
      <c r="R224" s="12"/>
      <c r="S224" s="6">
        <f t="shared" si="100"/>
        <v>0</v>
      </c>
      <c r="T224" s="273">
        <f t="shared" si="116"/>
        <v>0</v>
      </c>
      <c r="U224" s="6">
        <f t="shared" si="117"/>
        <v>0</v>
      </c>
      <c r="V224" s="6"/>
      <c r="W224" s="6">
        <f t="shared" si="110"/>
        <v>0</v>
      </c>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X224" s="6"/>
      <c r="AY224" s="6">
        <f>ROUND(AX224/1000/Update!$B$31*Update!$B$27,0)</f>
        <v>0</v>
      </c>
      <c r="BA224" s="6"/>
      <c r="BB224" s="6">
        <f>ROUND(BA224/1000/Update!$B$31,0)</f>
        <v>0</v>
      </c>
      <c r="BC224" s="6"/>
      <c r="BD224" s="29">
        <f t="shared" si="102"/>
        <v>0</v>
      </c>
      <c r="BE224" s="317"/>
      <c r="BF224" s="317"/>
      <c r="BG224" s="317"/>
      <c r="BH224" s="317"/>
      <c r="BI224" s="317"/>
      <c r="BJ224" s="317"/>
      <c r="BK224" s="29">
        <f t="shared" si="111"/>
        <v>0</v>
      </c>
      <c r="BL224" s="317"/>
      <c r="BM224" s="317"/>
      <c r="BN224" s="317"/>
      <c r="BO224" s="317"/>
      <c r="BP224" s="317"/>
      <c r="BQ224" s="317"/>
      <c r="BR224" s="317"/>
      <c r="BS224" s="317"/>
      <c r="BT224" s="317"/>
      <c r="BU224" s="317"/>
      <c r="BV224" s="317"/>
      <c r="BW224" s="317"/>
      <c r="BX224" s="317"/>
      <c r="BY224" s="317"/>
      <c r="BZ224" s="317"/>
      <c r="CA224" s="317"/>
      <c r="CB224" s="317"/>
      <c r="CC224" s="317"/>
      <c r="CD224" s="317"/>
      <c r="CE224" s="317"/>
      <c r="CF224" s="317"/>
      <c r="CG224" s="317"/>
      <c r="CH224" s="317"/>
      <c r="CI224" s="317"/>
      <c r="CM224" s="1139">
        <v>0</v>
      </c>
      <c r="CN224" s="1139">
        <v>0</v>
      </c>
      <c r="CP224" s="923">
        <f t="shared" si="103"/>
        <v>0</v>
      </c>
      <c r="CZ224" s="330"/>
    </row>
    <row r="225" spans="1:104" x14ac:dyDescent="0.25">
      <c r="A225" s="684">
        <f>MAX($A$6:A224)+1</f>
        <v>225</v>
      </c>
      <c r="B225" s="11" t="s">
        <v>43</v>
      </c>
      <c r="C225" s="11" t="str">
        <f t="shared" si="112"/>
        <v>SoCITE</v>
      </c>
      <c r="D225" s="11" t="s">
        <v>127</v>
      </c>
      <c r="E225" s="7" t="s">
        <v>286</v>
      </c>
      <c r="F225" s="15"/>
      <c r="G225" s="1254" t="s">
        <v>337</v>
      </c>
      <c r="H225" s="6">
        <v>0</v>
      </c>
      <c r="I225" s="6">
        <v>0</v>
      </c>
      <c r="J225" s="1253" t="s">
        <v>286</v>
      </c>
      <c r="K225" s="251">
        <f>SUMIF('alb SoCITE'!$A:$A,$J225,'alb SoCITE'!$D:$D)</f>
        <v>0</v>
      </c>
      <c r="L225" s="251">
        <f>SUMIF('alb SoCITE'!$A:$A,$J225,'alb SoCITE'!$J:$J)</f>
        <v>0</v>
      </c>
      <c r="M225" s="252"/>
      <c r="N225" s="273">
        <f t="shared" si="115"/>
        <v>0</v>
      </c>
      <c r="O225" s="12"/>
      <c r="P225" s="12"/>
      <c r="Q225" s="12"/>
      <c r="R225" s="12"/>
      <c r="S225" s="6">
        <f t="shared" si="100"/>
        <v>0</v>
      </c>
      <c r="T225" s="273">
        <f t="shared" si="116"/>
        <v>0</v>
      </c>
      <c r="U225" s="6">
        <f t="shared" si="117"/>
        <v>0</v>
      </c>
      <c r="V225" s="6"/>
      <c r="W225" s="6">
        <f t="shared" si="110"/>
        <v>0</v>
      </c>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X225" s="6"/>
      <c r="AY225" s="6">
        <f>ROUND(AX225/1000/Update!$B$31*Update!$B$27,0)</f>
        <v>0</v>
      </c>
      <c r="BA225" s="6"/>
      <c r="BB225" s="6">
        <f>ROUND(BA225/1000/Update!$B$31,0)</f>
        <v>0</v>
      </c>
      <c r="BC225" s="6"/>
      <c r="BD225" s="29">
        <f t="shared" si="102"/>
        <v>0</v>
      </c>
      <c r="BE225" s="317"/>
      <c r="BF225" s="317"/>
      <c r="BG225" s="317"/>
      <c r="BH225" s="317"/>
      <c r="BI225" s="317"/>
      <c r="BJ225" s="317"/>
      <c r="BK225" s="29">
        <f t="shared" si="111"/>
        <v>0</v>
      </c>
      <c r="BL225" s="317"/>
      <c r="BM225" s="317"/>
      <c r="BN225" s="317"/>
      <c r="BO225" s="317"/>
      <c r="BP225" s="317"/>
      <c r="BQ225" s="317"/>
      <c r="BR225" s="317"/>
      <c r="BS225" s="317"/>
      <c r="BT225" s="317"/>
      <c r="BU225" s="317"/>
      <c r="BV225" s="317"/>
      <c r="BW225" s="317"/>
      <c r="BX225" s="317"/>
      <c r="BY225" s="317"/>
      <c r="BZ225" s="317"/>
      <c r="CA225" s="317"/>
      <c r="CB225" s="317"/>
      <c r="CC225" s="317"/>
      <c r="CD225" s="317"/>
      <c r="CE225" s="317"/>
      <c r="CF225" s="317"/>
      <c r="CG225" s="317"/>
      <c r="CH225" s="317"/>
      <c r="CI225" s="317"/>
      <c r="CM225" s="1139">
        <v>0</v>
      </c>
      <c r="CN225" s="1139">
        <v>0</v>
      </c>
      <c r="CP225" s="923">
        <f t="shared" si="103"/>
        <v>0</v>
      </c>
      <c r="CZ225" s="330"/>
    </row>
    <row r="226" spans="1:104" ht="25.5" x14ac:dyDescent="0.25">
      <c r="A226" s="684">
        <f>MAX($A$6:A225)+1</f>
        <v>226</v>
      </c>
      <c r="B226" s="11" t="s">
        <v>43</v>
      </c>
      <c r="C226" s="11" t="str">
        <f t="shared" si="112"/>
        <v>SoCITE</v>
      </c>
      <c r="D226" s="11" t="s">
        <v>127</v>
      </c>
      <c r="E226" s="7" t="s">
        <v>286</v>
      </c>
      <c r="F226" s="15"/>
      <c r="G226" s="1254" t="s">
        <v>338</v>
      </c>
      <c r="H226" s="6">
        <v>0</v>
      </c>
      <c r="I226" s="6">
        <v>0</v>
      </c>
      <c r="J226" s="1253" t="s">
        <v>286</v>
      </c>
      <c r="K226" s="251">
        <f>SUMIF('alb SoCITE'!$A:$A,$J226,'alb SoCITE'!$D:$D)</f>
        <v>0</v>
      </c>
      <c r="L226" s="251">
        <f>SUMIF('alb SoCITE'!$A:$A,$J226,'alb SoCITE'!$J:$J)</f>
        <v>0</v>
      </c>
      <c r="M226" s="252"/>
      <c r="N226" s="273">
        <f t="shared" si="115"/>
        <v>0</v>
      </c>
      <c r="O226" s="12"/>
      <c r="P226" s="12"/>
      <c r="Q226" s="12"/>
      <c r="R226" s="12"/>
      <c r="S226" s="6">
        <f t="shared" si="100"/>
        <v>0</v>
      </c>
      <c r="T226" s="273">
        <f t="shared" si="116"/>
        <v>0</v>
      </c>
      <c r="U226" s="6">
        <f t="shared" si="117"/>
        <v>0</v>
      </c>
      <c r="V226" s="6"/>
      <c r="W226" s="6">
        <f t="shared" si="110"/>
        <v>0</v>
      </c>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X226" s="6"/>
      <c r="AY226" s="6">
        <f>ROUND(AX226/1000/Update!$B$31*Update!$B$27,0)</f>
        <v>0</v>
      </c>
      <c r="BA226" s="6"/>
      <c r="BB226" s="6">
        <f>ROUND(BA226/1000/Update!$B$31,0)</f>
        <v>0</v>
      </c>
      <c r="BC226" s="6"/>
      <c r="BD226" s="29">
        <f t="shared" si="102"/>
        <v>0</v>
      </c>
      <c r="BE226" s="317"/>
      <c r="BF226" s="317"/>
      <c r="BG226" s="317"/>
      <c r="BH226" s="317"/>
      <c r="BI226" s="317"/>
      <c r="BJ226" s="317"/>
      <c r="BK226" s="29">
        <f t="shared" si="111"/>
        <v>0</v>
      </c>
      <c r="BL226" s="317"/>
      <c r="BM226" s="317"/>
      <c r="BN226" s="317"/>
      <c r="BO226" s="317"/>
      <c r="BP226" s="317"/>
      <c r="BQ226" s="317"/>
      <c r="BR226" s="317"/>
      <c r="BS226" s="317"/>
      <c r="BT226" s="317"/>
      <c r="BU226" s="317"/>
      <c r="BV226" s="317"/>
      <c r="BW226" s="317"/>
      <c r="BX226" s="317"/>
      <c r="BY226" s="317"/>
      <c r="BZ226" s="317"/>
      <c r="CA226" s="317"/>
      <c r="CB226" s="317"/>
      <c r="CC226" s="317"/>
      <c r="CD226" s="317"/>
      <c r="CE226" s="317"/>
      <c r="CF226" s="317"/>
      <c r="CG226" s="317"/>
      <c r="CH226" s="317"/>
      <c r="CI226" s="317"/>
      <c r="CM226" s="1139">
        <v>0</v>
      </c>
      <c r="CN226" s="1139">
        <v>0</v>
      </c>
      <c r="CP226" s="923">
        <f t="shared" si="103"/>
        <v>0</v>
      </c>
      <c r="CZ226" s="330"/>
    </row>
    <row r="227" spans="1:104" x14ac:dyDescent="0.25">
      <c r="A227" s="684">
        <f>MAX($A$6:A226)+1</f>
        <v>227</v>
      </c>
      <c r="B227" s="11" t="s">
        <v>43</v>
      </c>
      <c r="C227" s="11" t="str">
        <f t="shared" si="112"/>
        <v>SoCITE</v>
      </c>
      <c r="D227" s="11" t="s">
        <v>127</v>
      </c>
      <c r="E227" s="7" t="s">
        <v>286</v>
      </c>
      <c r="F227" s="15"/>
      <c r="G227" s="1254" t="s">
        <v>340</v>
      </c>
      <c r="H227" s="6">
        <v>0</v>
      </c>
      <c r="I227" s="6">
        <v>0</v>
      </c>
      <c r="J227" s="1253" t="s">
        <v>286</v>
      </c>
      <c r="K227" s="251">
        <f>SUMIF('alb SoCITE'!$A:$A,$J227,'alb SoCITE'!$D:$D)</f>
        <v>0</v>
      </c>
      <c r="L227" s="251">
        <f>SUMIF('alb SoCITE'!$A:$A,$J227,'alb SoCITE'!$J:$J)</f>
        <v>0</v>
      </c>
      <c r="M227" s="252"/>
      <c r="N227" s="273">
        <f t="shared" si="115"/>
        <v>0</v>
      </c>
      <c r="O227" s="12"/>
      <c r="P227" s="12"/>
      <c r="Q227" s="12"/>
      <c r="R227" s="12"/>
      <c r="S227" s="6">
        <f t="shared" si="100"/>
        <v>0</v>
      </c>
      <c r="T227" s="273">
        <f t="shared" si="116"/>
        <v>0</v>
      </c>
      <c r="U227" s="6">
        <f t="shared" si="117"/>
        <v>0</v>
      </c>
      <c r="V227" s="6"/>
      <c r="W227" s="6">
        <f t="shared" si="110"/>
        <v>0</v>
      </c>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X227" s="6"/>
      <c r="AY227" s="6">
        <f>ROUND(AX227/1000/Update!$B$31*Update!$B$27,0)</f>
        <v>0</v>
      </c>
      <c r="BA227" s="6"/>
      <c r="BB227" s="6">
        <f>ROUND(BA227/1000/Update!$B$31,0)</f>
        <v>0</v>
      </c>
      <c r="BC227" s="6"/>
      <c r="BD227" s="29">
        <f t="shared" si="102"/>
        <v>0</v>
      </c>
      <c r="BE227" s="317"/>
      <c r="BF227" s="317"/>
      <c r="BG227" s="317"/>
      <c r="BH227" s="317"/>
      <c r="BI227" s="317"/>
      <c r="BJ227" s="317"/>
      <c r="BK227" s="29">
        <f t="shared" si="111"/>
        <v>0</v>
      </c>
      <c r="BL227" s="317"/>
      <c r="BM227" s="317"/>
      <c r="BN227" s="317"/>
      <c r="BO227" s="317"/>
      <c r="BP227" s="317"/>
      <c r="BQ227" s="317"/>
      <c r="BR227" s="317"/>
      <c r="BS227" s="317"/>
      <c r="BT227" s="317"/>
      <c r="BU227" s="317"/>
      <c r="BV227" s="317"/>
      <c r="BW227" s="317"/>
      <c r="BX227" s="317"/>
      <c r="BY227" s="317"/>
      <c r="BZ227" s="317"/>
      <c r="CA227" s="317"/>
      <c r="CB227" s="317"/>
      <c r="CC227" s="317"/>
      <c r="CD227" s="317"/>
      <c r="CE227" s="317"/>
      <c r="CF227" s="317"/>
      <c r="CG227" s="317"/>
      <c r="CH227" s="317"/>
      <c r="CI227" s="317"/>
      <c r="CM227" s="1139">
        <v>0</v>
      </c>
      <c r="CN227" s="1139">
        <v>0</v>
      </c>
      <c r="CP227" s="923">
        <f t="shared" si="103"/>
        <v>0</v>
      </c>
      <c r="CZ227" s="330"/>
    </row>
    <row r="228" spans="1:104" x14ac:dyDescent="0.25">
      <c r="A228" s="701">
        <f>MAX($A$6:A227)+1</f>
        <v>228</v>
      </c>
      <c r="B228" s="18" t="s">
        <v>43</v>
      </c>
      <c r="C228" s="18" t="str">
        <f t="shared" si="112"/>
        <v>SoCITE</v>
      </c>
      <c r="D228" s="18" t="s">
        <v>127</v>
      </c>
      <c r="E228" s="19" t="str">
        <f>"Balances at 31 March"&amp;Update!$B$24</f>
        <v>Balances at 31 March 31 March 2025</v>
      </c>
      <c r="F228" s="20"/>
      <c r="G228" s="28"/>
      <c r="H228" s="14">
        <f>SUM(H216:H227)+H215+H206</f>
        <v>1899</v>
      </c>
      <c r="I228" s="14">
        <f>SUM(I216:I227)+I215+I206</f>
        <v>0</v>
      </c>
      <c r="J228" s="1258" t="s">
        <v>286</v>
      </c>
      <c r="K228" s="256">
        <f>SUM(K216:K227)+K215+K206</f>
        <v>0</v>
      </c>
      <c r="L228" s="256">
        <f>SUM(L216:L227)+L215+L206</f>
        <v>0</v>
      </c>
      <c r="M228" s="21"/>
      <c r="N228" s="14">
        <f t="shared" ref="N228:W228" si="118">SUM(N216:N227)+N215+N206</f>
        <v>1899</v>
      </c>
      <c r="O228" s="14">
        <f t="shared" si="118"/>
        <v>0</v>
      </c>
      <c r="P228" s="14">
        <f t="shared" si="118"/>
        <v>0</v>
      </c>
      <c r="Q228" s="14">
        <f t="shared" si="118"/>
        <v>0</v>
      </c>
      <c r="R228" s="14">
        <f t="shared" si="118"/>
        <v>0</v>
      </c>
      <c r="S228" s="14">
        <f t="shared" si="100"/>
        <v>0</v>
      </c>
      <c r="T228" s="14">
        <f t="shared" si="118"/>
        <v>1899</v>
      </c>
      <c r="U228" s="14">
        <f t="shared" si="118"/>
        <v>0</v>
      </c>
      <c r="V228" s="14">
        <f>SUM(V216:V227)+V215+V206</f>
        <v>0</v>
      </c>
      <c r="W228" s="14">
        <f t="shared" si="118"/>
        <v>1899</v>
      </c>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2"/>
      <c r="AX228" s="14">
        <f>SUM(AX216:AX227)+AX215+AX206</f>
        <v>0</v>
      </c>
      <c r="AY228" s="14">
        <f>ROUND(AX228/1000/Update!$B$31*Update!$B$27,0)</f>
        <v>0</v>
      </c>
      <c r="AZ228" s="2"/>
      <c r="BA228" s="14">
        <f>SUM(BA216:BA227)+BA215+BA206</f>
        <v>0</v>
      </c>
      <c r="BB228" s="14">
        <f>ROUND(BA228/1000/Update!$B$31,0)</f>
        <v>0</v>
      </c>
      <c r="BC228" s="14"/>
      <c r="BD228" s="14">
        <f t="shared" si="102"/>
        <v>0</v>
      </c>
      <c r="BE228" s="318">
        <f t="shared" ref="BE228:BJ228" si="119">SUM(BE216:BE227)+BE215+BE206</f>
        <v>0</v>
      </c>
      <c r="BF228" s="318">
        <f t="shared" si="119"/>
        <v>0</v>
      </c>
      <c r="BG228" s="318">
        <f t="shared" si="119"/>
        <v>0</v>
      </c>
      <c r="BH228" s="318">
        <f t="shared" si="119"/>
        <v>0</v>
      </c>
      <c r="BI228" s="318">
        <f t="shared" si="119"/>
        <v>0</v>
      </c>
      <c r="BJ228" s="318">
        <f t="shared" si="119"/>
        <v>0</v>
      </c>
      <c r="BK228" s="14">
        <f t="shared" si="111"/>
        <v>0</v>
      </c>
      <c r="BL228" s="318"/>
      <c r="BM228" s="318"/>
      <c r="BN228" s="318"/>
      <c r="BO228" s="318"/>
      <c r="BP228" s="318"/>
      <c r="BQ228" s="318"/>
      <c r="BR228" s="318"/>
      <c r="BS228" s="318"/>
      <c r="BT228" s="318"/>
      <c r="BU228" s="318"/>
      <c r="BV228" s="318"/>
      <c r="BW228" s="318"/>
      <c r="BX228" s="318"/>
      <c r="BY228" s="318"/>
      <c r="BZ228" s="318"/>
      <c r="CA228" s="318"/>
      <c r="CB228" s="318"/>
      <c r="CC228" s="318"/>
      <c r="CD228" s="318"/>
      <c r="CE228" s="318"/>
      <c r="CF228" s="318"/>
      <c r="CG228" s="318"/>
      <c r="CH228" s="318"/>
      <c r="CI228" s="318"/>
      <c r="CJ228" s="2"/>
      <c r="CK228" s="2"/>
      <c r="CM228" s="1140">
        <v>0</v>
      </c>
      <c r="CN228" s="1140">
        <v>0</v>
      </c>
      <c r="CP228" s="923">
        <f t="shared" si="103"/>
        <v>0</v>
      </c>
      <c r="CZ228" s="330"/>
    </row>
    <row r="229" spans="1:104" ht="15" customHeight="1" x14ac:dyDescent="0.25">
      <c r="A229" s="684">
        <f>MAX($A$6:A228)+1</f>
        <v>229</v>
      </c>
      <c r="B229" s="11" t="s">
        <v>43</v>
      </c>
      <c r="C229" s="11" t="str">
        <f t="shared" si="112"/>
        <v>SoCITE</v>
      </c>
      <c r="D229" s="11" t="s">
        <v>127</v>
      </c>
      <c r="E229" s="13" t="str">
        <f>"Changes in taxpayers’ equity for "&amp;Update!$B$13</f>
        <v>Changes in taxpayers’ equity for 2025-26</v>
      </c>
      <c r="F229" s="15"/>
      <c r="G229" s="26"/>
      <c r="H229" s="6">
        <v>0</v>
      </c>
      <c r="I229" s="6">
        <v>0</v>
      </c>
      <c r="J229" s="1253" t="s">
        <v>860</v>
      </c>
      <c r="K229" s="251">
        <f>SUMIF('alb SoCITE'!$A:$A,$J229,'alb SoCITE'!$D:$D)</f>
        <v>0</v>
      </c>
      <c r="L229" s="251">
        <f>SUMIF('alb SoCITE'!$A:$A,$J229,'alb SoCITE'!$J:$J)</f>
        <v>0</v>
      </c>
      <c r="M229" s="252"/>
      <c r="N229" s="273">
        <f t="shared" ref="N229:N236" si="120">ROUND(SUM(O229:S229)+SUM(W229:AV229),0)</f>
        <v>0</v>
      </c>
      <c r="O229" s="12"/>
      <c r="P229" s="12"/>
      <c r="Q229" s="12"/>
      <c r="R229" s="12"/>
      <c r="S229" s="6">
        <f t="shared" si="100"/>
        <v>0</v>
      </c>
      <c r="T229" s="273">
        <f t="shared" ref="T229:T236" si="121">ROUND(SUM(U229:Y229),0)</f>
        <v>0</v>
      </c>
      <c r="U229" s="6">
        <f t="shared" ref="U229:U236" si="122">SUM(BL229:BN229)</f>
        <v>0</v>
      </c>
      <c r="V229" s="6"/>
      <c r="W229" s="6">
        <f t="shared" si="110"/>
        <v>0</v>
      </c>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X229" s="6"/>
      <c r="AY229" s="6">
        <f>ROUND(AX229/1000/Update!$B$31*Update!$B$27,0)</f>
        <v>0</v>
      </c>
      <c r="BA229" s="6"/>
      <c r="BB229" s="6">
        <f>ROUND(BA229/1000/Update!$B$31,0)</f>
        <v>0</v>
      </c>
      <c r="BC229" s="6"/>
      <c r="BD229" s="29">
        <f t="shared" si="102"/>
        <v>0</v>
      </c>
      <c r="BE229" s="317"/>
      <c r="BF229" s="317"/>
      <c r="BG229" s="317"/>
      <c r="BH229" s="317"/>
      <c r="BI229" s="317"/>
      <c r="BJ229" s="317"/>
      <c r="BK229" s="29">
        <f t="shared" si="111"/>
        <v>0</v>
      </c>
      <c r="BL229" s="317"/>
      <c r="BM229" s="317"/>
      <c r="BN229" s="317"/>
      <c r="BO229" s="317"/>
      <c r="BP229" s="317"/>
      <c r="BQ229" s="317"/>
      <c r="BR229" s="317"/>
      <c r="BS229" s="317"/>
      <c r="BT229" s="317"/>
      <c r="BU229" s="317"/>
      <c r="BV229" s="317"/>
      <c r="BW229" s="317"/>
      <c r="BX229" s="317"/>
      <c r="BY229" s="317"/>
      <c r="BZ229" s="317"/>
      <c r="CA229" s="317"/>
      <c r="CB229" s="317"/>
      <c r="CC229" s="317"/>
      <c r="CD229" s="317"/>
      <c r="CE229" s="317"/>
      <c r="CF229" s="317"/>
      <c r="CG229" s="317"/>
      <c r="CH229" s="317"/>
      <c r="CI229" s="317"/>
      <c r="CM229" s="1139">
        <v>0</v>
      </c>
      <c r="CN229" s="1139">
        <v>0</v>
      </c>
      <c r="CP229" s="923">
        <f t="shared" si="103"/>
        <v>0</v>
      </c>
      <c r="CZ229" s="330"/>
    </row>
    <row r="230" spans="1:104" ht="30" customHeight="1" x14ac:dyDescent="0.25">
      <c r="A230" s="684">
        <f>MAX($A$6:A229)+1</f>
        <v>230</v>
      </c>
      <c r="B230" s="11" t="s">
        <v>43</v>
      </c>
      <c r="C230" s="11" t="str">
        <f t="shared" si="112"/>
        <v>SoCITE</v>
      </c>
      <c r="D230" s="11" t="s">
        <v>127</v>
      </c>
      <c r="E230" s="7" t="s">
        <v>113</v>
      </c>
      <c r="F230" s="15"/>
      <c r="G230" s="1254" t="s">
        <v>330</v>
      </c>
      <c r="H230" s="6">
        <v>0</v>
      </c>
      <c r="I230" s="6">
        <v>0</v>
      </c>
      <c r="J230" s="1253" t="s">
        <v>286</v>
      </c>
      <c r="K230" s="251">
        <f>SUMIF('alb SoCITE'!$A:$A,$J230,'alb SoCITE'!$D:$D)</f>
        <v>0</v>
      </c>
      <c r="L230" s="251">
        <f>SUMIF('alb SoCITE'!$A:$A,$J230,'alb SoCITE'!$J:$J)</f>
        <v>0</v>
      </c>
      <c r="M230" s="252"/>
      <c r="N230" s="273">
        <f t="shared" si="120"/>
        <v>0</v>
      </c>
      <c r="O230" s="12"/>
      <c r="P230" s="12"/>
      <c r="Q230" s="12"/>
      <c r="R230" s="12"/>
      <c r="S230" s="6">
        <f t="shared" si="100"/>
        <v>0</v>
      </c>
      <c r="T230" s="273">
        <f t="shared" si="121"/>
        <v>0</v>
      </c>
      <c r="U230" s="6">
        <f t="shared" si="122"/>
        <v>0</v>
      </c>
      <c r="V230" s="6"/>
      <c r="W230" s="6">
        <f t="shared" si="110"/>
        <v>0</v>
      </c>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X230" s="6"/>
      <c r="AY230" s="6">
        <f>ROUND(AX230/1000/Update!$B$31*Update!$B$27,0)</f>
        <v>0</v>
      </c>
      <c r="BA230" s="6"/>
      <c r="BB230" s="6">
        <f>ROUND(BA230/1000/Update!$B$31,0)</f>
        <v>0</v>
      </c>
      <c r="BC230" s="6"/>
      <c r="BD230" s="29">
        <f t="shared" si="102"/>
        <v>0</v>
      </c>
      <c r="BE230" s="317"/>
      <c r="BF230" s="317"/>
      <c r="BG230" s="317"/>
      <c r="BH230" s="317"/>
      <c r="BI230" s="317"/>
      <c r="BJ230" s="317"/>
      <c r="BK230" s="29">
        <f t="shared" si="111"/>
        <v>0</v>
      </c>
      <c r="BL230" s="317"/>
      <c r="BM230" s="317"/>
      <c r="BN230" s="317"/>
      <c r="BO230" s="317"/>
      <c r="BP230" s="317"/>
      <c r="BQ230" s="317"/>
      <c r="BR230" s="317"/>
      <c r="BS230" s="317"/>
      <c r="BT230" s="317"/>
      <c r="BU230" s="317"/>
      <c r="BV230" s="317"/>
      <c r="BW230" s="317"/>
      <c r="BX230" s="317"/>
      <c r="BY230" s="317"/>
      <c r="BZ230" s="317"/>
      <c r="CA230" s="317"/>
      <c r="CB230" s="317"/>
      <c r="CC230" s="317"/>
      <c r="CD230" s="317"/>
      <c r="CE230" s="317"/>
      <c r="CF230" s="317"/>
      <c r="CG230" s="317"/>
      <c r="CH230" s="317"/>
      <c r="CI230" s="317"/>
      <c r="CM230" s="1139">
        <v>0</v>
      </c>
      <c r="CN230" s="1139">
        <v>0</v>
      </c>
      <c r="CP230" s="923">
        <f t="shared" si="103"/>
        <v>0</v>
      </c>
      <c r="CZ230" s="330"/>
    </row>
    <row r="231" spans="1:104" ht="30" customHeight="1" x14ac:dyDescent="0.25">
      <c r="A231" s="684">
        <f>MAX($A$6:A230)+1</f>
        <v>231</v>
      </c>
      <c r="B231" s="11" t="s">
        <v>43</v>
      </c>
      <c r="C231" s="11" t="str">
        <f t="shared" si="112"/>
        <v>SoCITE</v>
      </c>
      <c r="D231" s="11" t="s">
        <v>127</v>
      </c>
      <c r="E231" s="7" t="s">
        <v>114</v>
      </c>
      <c r="F231" s="15"/>
      <c r="G231" s="1254" t="s">
        <v>331</v>
      </c>
      <c r="H231" s="6">
        <v>0</v>
      </c>
      <c r="I231" s="6">
        <v>0</v>
      </c>
      <c r="J231" s="1253" t="s">
        <v>286</v>
      </c>
      <c r="K231" s="251">
        <f>SUMIF('alb SoCITE'!$A:$A,$J231,'alb SoCITE'!$D:$D)</f>
        <v>0</v>
      </c>
      <c r="L231" s="251">
        <f>SUMIF('alb SoCITE'!$A:$A,$J231,'alb SoCITE'!$J:$J)</f>
        <v>0</v>
      </c>
      <c r="M231" s="252"/>
      <c r="N231" s="273">
        <f t="shared" si="120"/>
        <v>0</v>
      </c>
      <c r="O231" s="12"/>
      <c r="P231" s="12"/>
      <c r="Q231" s="12"/>
      <c r="R231" s="12"/>
      <c r="S231" s="6">
        <f t="shared" si="100"/>
        <v>0</v>
      </c>
      <c r="T231" s="273">
        <f t="shared" si="121"/>
        <v>0</v>
      </c>
      <c r="U231" s="6">
        <f t="shared" si="122"/>
        <v>0</v>
      </c>
      <c r="V231" s="6"/>
      <c r="W231" s="6">
        <f t="shared" si="110"/>
        <v>0</v>
      </c>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X231" s="6"/>
      <c r="AY231" s="6">
        <f>ROUND(AX231/1000/Update!$B$31*Update!$B$27,0)</f>
        <v>0</v>
      </c>
      <c r="BA231" s="6"/>
      <c r="BB231" s="6">
        <f>ROUND(BA231/1000/Update!$B$31,0)</f>
        <v>0</v>
      </c>
      <c r="BC231" s="6"/>
      <c r="BD231" s="29">
        <f t="shared" si="102"/>
        <v>0</v>
      </c>
      <c r="BE231" s="317"/>
      <c r="BF231" s="317"/>
      <c r="BG231" s="317"/>
      <c r="BH231" s="317"/>
      <c r="BI231" s="317"/>
      <c r="BJ231" s="317"/>
      <c r="BK231" s="29">
        <f t="shared" si="111"/>
        <v>0</v>
      </c>
      <c r="BL231" s="317"/>
      <c r="BM231" s="317"/>
      <c r="BN231" s="317"/>
      <c r="BO231" s="317"/>
      <c r="BP231" s="317"/>
      <c r="BQ231" s="317"/>
      <c r="BR231" s="317"/>
      <c r="BS231" s="317"/>
      <c r="BT231" s="317"/>
      <c r="BU231" s="317"/>
      <c r="BV231" s="317"/>
      <c r="BW231" s="317"/>
      <c r="BX231" s="317"/>
      <c r="BY231" s="317"/>
      <c r="BZ231" s="317"/>
      <c r="CA231" s="317"/>
      <c r="CB231" s="317"/>
      <c r="CC231" s="317"/>
      <c r="CD231" s="317"/>
      <c r="CE231" s="317"/>
      <c r="CF231" s="317"/>
      <c r="CG231" s="317"/>
      <c r="CH231" s="317"/>
      <c r="CI231" s="317"/>
      <c r="CM231" s="1139">
        <v>0</v>
      </c>
      <c r="CN231" s="1139">
        <v>0</v>
      </c>
      <c r="CP231" s="923">
        <f t="shared" si="103"/>
        <v>0</v>
      </c>
      <c r="CZ231" s="330"/>
    </row>
    <row r="232" spans="1:104" ht="25.5" customHeight="1" x14ac:dyDescent="0.25">
      <c r="A232" s="684">
        <f>MAX($A$6:A231)+1</f>
        <v>232</v>
      </c>
      <c r="B232" s="11" t="s">
        <v>43</v>
      </c>
      <c r="C232" s="11" t="str">
        <f t="shared" si="112"/>
        <v>SoCITE</v>
      </c>
      <c r="D232" s="11" t="s">
        <v>127</v>
      </c>
      <c r="E232" s="7" t="s">
        <v>115</v>
      </c>
      <c r="F232" s="15"/>
      <c r="G232" s="1254" t="s">
        <v>115</v>
      </c>
      <c r="H232" s="6">
        <v>0</v>
      </c>
      <c r="I232" s="6">
        <v>0</v>
      </c>
      <c r="J232" s="1253" t="s">
        <v>286</v>
      </c>
      <c r="K232" s="251">
        <f>SUMIF('alb SoCITE'!$A:$A,$J232,'alb SoCITE'!$D:$D)</f>
        <v>0</v>
      </c>
      <c r="L232" s="251">
        <f>SUMIF('alb SoCITE'!$A:$A,$J232,'alb SoCITE'!$J:$J)</f>
        <v>0</v>
      </c>
      <c r="M232" s="252"/>
      <c r="N232" s="273">
        <f t="shared" si="120"/>
        <v>0</v>
      </c>
      <c r="O232" s="12"/>
      <c r="P232" s="12"/>
      <c r="Q232" s="12"/>
      <c r="R232" s="12"/>
      <c r="S232" s="6">
        <f t="shared" si="100"/>
        <v>0</v>
      </c>
      <c r="T232" s="273">
        <f t="shared" si="121"/>
        <v>0</v>
      </c>
      <c r="U232" s="6">
        <f t="shared" si="122"/>
        <v>0</v>
      </c>
      <c r="V232" s="6"/>
      <c r="W232" s="6">
        <f t="shared" si="110"/>
        <v>0</v>
      </c>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X232" s="6"/>
      <c r="AY232" s="6">
        <f>ROUND(AX232/1000/Update!$B$31*Update!$B$27,0)</f>
        <v>0</v>
      </c>
      <c r="BA232" s="6"/>
      <c r="BB232" s="6">
        <f>ROUND(BA232/1000/Update!$B$31,0)</f>
        <v>0</v>
      </c>
      <c r="BC232" s="6"/>
      <c r="BD232" s="29">
        <f t="shared" si="102"/>
        <v>0</v>
      </c>
      <c r="BE232" s="317"/>
      <c r="BF232" s="317"/>
      <c r="BG232" s="317"/>
      <c r="BH232" s="317"/>
      <c r="BI232" s="317"/>
      <c r="BJ232" s="317"/>
      <c r="BK232" s="29">
        <f t="shared" si="111"/>
        <v>0</v>
      </c>
      <c r="BL232" s="317"/>
      <c r="BM232" s="317"/>
      <c r="BN232" s="317"/>
      <c r="BO232" s="317"/>
      <c r="BP232" s="317"/>
      <c r="BQ232" s="317"/>
      <c r="BR232" s="317"/>
      <c r="BS232" s="317"/>
      <c r="BT232" s="317"/>
      <c r="BU232" s="317"/>
      <c r="BV232" s="317"/>
      <c r="BW232" s="317"/>
      <c r="BX232" s="317"/>
      <c r="BY232" s="317"/>
      <c r="BZ232" s="317"/>
      <c r="CA232" s="317"/>
      <c r="CB232" s="317"/>
      <c r="CC232" s="317"/>
      <c r="CD232" s="317"/>
      <c r="CE232" s="317"/>
      <c r="CF232" s="317"/>
      <c r="CG232" s="317"/>
      <c r="CH232" s="317"/>
      <c r="CI232" s="317"/>
      <c r="CM232" s="1139">
        <v>0</v>
      </c>
      <c r="CN232" s="1139">
        <v>0</v>
      </c>
      <c r="CP232" s="923">
        <f t="shared" si="103"/>
        <v>0</v>
      </c>
      <c r="CZ232" s="330"/>
    </row>
    <row r="233" spans="1:104" ht="25.5" customHeight="1" x14ac:dyDescent="0.25">
      <c r="A233" s="684">
        <f>MAX($A$6:A232)+1</f>
        <v>233</v>
      </c>
      <c r="B233" s="11" t="s">
        <v>43</v>
      </c>
      <c r="C233" s="11" t="str">
        <f t="shared" si="112"/>
        <v>SoCITE</v>
      </c>
      <c r="D233" s="11" t="s">
        <v>127</v>
      </c>
      <c r="E233" s="7" t="s">
        <v>116</v>
      </c>
      <c r="F233" s="15"/>
      <c r="G233" s="1254" t="s">
        <v>116</v>
      </c>
      <c r="H233" s="6">
        <v>0</v>
      </c>
      <c r="I233" s="6">
        <v>0</v>
      </c>
      <c r="J233" s="1253" t="s">
        <v>286</v>
      </c>
      <c r="K233" s="251">
        <f>SUMIF('alb SoCITE'!$A:$A,$J233,'alb SoCITE'!$D:$D)</f>
        <v>0</v>
      </c>
      <c r="L233" s="251">
        <f>SUMIF('alb SoCITE'!$A:$A,$J233,'alb SoCITE'!$J:$J)</f>
        <v>0</v>
      </c>
      <c r="M233" s="252"/>
      <c r="N233" s="273">
        <f t="shared" si="120"/>
        <v>0</v>
      </c>
      <c r="O233" s="12"/>
      <c r="P233" s="12"/>
      <c r="Q233" s="12"/>
      <c r="R233" s="12"/>
      <c r="S233" s="6">
        <f t="shared" si="100"/>
        <v>0</v>
      </c>
      <c r="T233" s="273">
        <f t="shared" si="121"/>
        <v>0</v>
      </c>
      <c r="U233" s="6">
        <f t="shared" si="122"/>
        <v>0</v>
      </c>
      <c r="V233" s="6"/>
      <c r="W233" s="6">
        <f t="shared" si="110"/>
        <v>0</v>
      </c>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X233" s="6"/>
      <c r="AY233" s="6">
        <f>ROUND(AX233/1000/Update!$B$31*Update!$B$27,0)</f>
        <v>0</v>
      </c>
      <c r="BA233" s="6"/>
      <c r="BB233" s="6">
        <f>ROUND(BA233/1000/Update!$B$31,0)</f>
        <v>0</v>
      </c>
      <c r="BC233" s="6"/>
      <c r="BD233" s="29">
        <f t="shared" si="102"/>
        <v>0</v>
      </c>
      <c r="BE233" s="317"/>
      <c r="BF233" s="317"/>
      <c r="BG233" s="317"/>
      <c r="BH233" s="317"/>
      <c r="BI233" s="317"/>
      <c r="BJ233" s="317"/>
      <c r="BK233" s="29">
        <f t="shared" si="111"/>
        <v>0</v>
      </c>
      <c r="BL233" s="317"/>
      <c r="BM233" s="317"/>
      <c r="BN233" s="317"/>
      <c r="BO233" s="317"/>
      <c r="BP233" s="317"/>
      <c r="BQ233" s="317"/>
      <c r="BR233" s="317"/>
      <c r="BS233" s="317"/>
      <c r="BT233" s="317"/>
      <c r="BU233" s="317"/>
      <c r="BV233" s="317"/>
      <c r="BW233" s="317"/>
      <c r="BX233" s="317"/>
      <c r="BY233" s="317"/>
      <c r="BZ233" s="317"/>
      <c r="CA233" s="317"/>
      <c r="CB233" s="317"/>
      <c r="CC233" s="317"/>
      <c r="CD233" s="317"/>
      <c r="CE233" s="317"/>
      <c r="CF233" s="317"/>
      <c r="CG233" s="317"/>
      <c r="CH233" s="317"/>
      <c r="CI233" s="317"/>
      <c r="CM233" s="1139">
        <v>0</v>
      </c>
      <c r="CN233" s="1139">
        <v>0</v>
      </c>
      <c r="CP233" s="923">
        <f t="shared" si="103"/>
        <v>0</v>
      </c>
      <c r="CZ233" s="330"/>
    </row>
    <row r="234" spans="1:104" ht="25.5" customHeight="1" x14ac:dyDescent="0.25">
      <c r="A234" s="684">
        <f>MAX($A$6:A233)+1</f>
        <v>234</v>
      </c>
      <c r="B234" s="11" t="s">
        <v>43</v>
      </c>
      <c r="C234" s="11" t="str">
        <f t="shared" si="112"/>
        <v>SoCITE</v>
      </c>
      <c r="D234" s="11" t="s">
        <v>127</v>
      </c>
      <c r="E234" s="7" t="s">
        <v>286</v>
      </c>
      <c r="F234" s="15"/>
      <c r="G234" s="1254" t="s">
        <v>332</v>
      </c>
      <c r="H234" s="6">
        <v>0</v>
      </c>
      <c r="I234" s="6">
        <v>0</v>
      </c>
      <c r="J234" s="1253" t="s">
        <v>286</v>
      </c>
      <c r="K234" s="251">
        <f>SUMIF('alb SoCITE'!$A:$A,$J234,'alb SoCITE'!$D:$D)</f>
        <v>0</v>
      </c>
      <c r="L234" s="251">
        <f>SUMIF('alb SoCITE'!$A:$A,$J234,'alb SoCITE'!$J:$J)</f>
        <v>0</v>
      </c>
      <c r="M234" s="252"/>
      <c r="N234" s="273">
        <f t="shared" si="120"/>
        <v>0</v>
      </c>
      <c r="O234" s="12"/>
      <c r="P234" s="12"/>
      <c r="Q234" s="12"/>
      <c r="R234" s="12"/>
      <c r="S234" s="6">
        <f t="shared" si="100"/>
        <v>0</v>
      </c>
      <c r="T234" s="273">
        <f t="shared" si="121"/>
        <v>0</v>
      </c>
      <c r="U234" s="6">
        <f t="shared" si="122"/>
        <v>0</v>
      </c>
      <c r="V234" s="6"/>
      <c r="W234" s="6">
        <f t="shared" si="110"/>
        <v>0</v>
      </c>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X234" s="6"/>
      <c r="AY234" s="6">
        <f>ROUND(AX234/1000/Update!$B$31*Update!$B$27,0)</f>
        <v>0</v>
      </c>
      <c r="BA234" s="6"/>
      <c r="BB234" s="6">
        <f>ROUND(BA234/1000/Update!$B$31,0)</f>
        <v>0</v>
      </c>
      <c r="BC234" s="6"/>
      <c r="BD234" s="29">
        <f t="shared" si="102"/>
        <v>0</v>
      </c>
      <c r="BE234" s="317"/>
      <c r="BF234" s="317"/>
      <c r="BG234" s="317"/>
      <c r="BH234" s="317"/>
      <c r="BI234" s="317"/>
      <c r="BJ234" s="317"/>
      <c r="BK234" s="29">
        <f t="shared" si="111"/>
        <v>0</v>
      </c>
      <c r="BL234" s="317"/>
      <c r="BM234" s="317"/>
      <c r="BN234" s="317"/>
      <c r="BO234" s="317"/>
      <c r="BP234" s="317"/>
      <c r="BQ234" s="317"/>
      <c r="BR234" s="317"/>
      <c r="BS234" s="317"/>
      <c r="BT234" s="317"/>
      <c r="BU234" s="317"/>
      <c r="BV234" s="317"/>
      <c r="BW234" s="317"/>
      <c r="BX234" s="317"/>
      <c r="BY234" s="317"/>
      <c r="BZ234" s="317"/>
      <c r="CA234" s="317"/>
      <c r="CB234" s="317"/>
      <c r="CC234" s="317"/>
      <c r="CD234" s="317"/>
      <c r="CE234" s="317"/>
      <c r="CF234" s="317"/>
      <c r="CG234" s="317"/>
      <c r="CH234" s="317"/>
      <c r="CI234" s="317"/>
      <c r="CM234" s="1139">
        <v>0</v>
      </c>
      <c r="CN234" s="1139">
        <v>0</v>
      </c>
      <c r="CP234" s="923">
        <f t="shared" si="103"/>
        <v>0</v>
      </c>
      <c r="CZ234" s="330"/>
    </row>
    <row r="235" spans="1:104" ht="25.5" customHeight="1" x14ac:dyDescent="0.25">
      <c r="A235" s="684">
        <f>MAX($A$6:A234)+1</f>
        <v>235</v>
      </c>
      <c r="B235" s="11" t="s">
        <v>43</v>
      </c>
      <c r="C235" s="11" t="str">
        <f t="shared" si="112"/>
        <v>SoCITE</v>
      </c>
      <c r="D235" s="11" t="s">
        <v>127</v>
      </c>
      <c r="E235" s="7" t="s">
        <v>286</v>
      </c>
      <c r="F235" s="15"/>
      <c r="G235" s="1254" t="s">
        <v>333</v>
      </c>
      <c r="H235" s="6">
        <v>0</v>
      </c>
      <c r="I235" s="6">
        <v>0</v>
      </c>
      <c r="J235" s="1253" t="s">
        <v>286</v>
      </c>
      <c r="K235" s="251">
        <f>SUMIF('alb SoCITE'!$A:$A,$J235,'alb SoCITE'!$D:$D)</f>
        <v>0</v>
      </c>
      <c r="L235" s="251">
        <f>SUMIF('alb SoCITE'!$A:$A,$J235,'alb SoCITE'!$J:$J)</f>
        <v>0</v>
      </c>
      <c r="M235" s="252"/>
      <c r="N235" s="273">
        <f t="shared" si="120"/>
        <v>0</v>
      </c>
      <c r="O235" s="12"/>
      <c r="P235" s="12"/>
      <c r="Q235" s="12"/>
      <c r="R235" s="12"/>
      <c r="S235" s="6">
        <f t="shared" si="100"/>
        <v>0</v>
      </c>
      <c r="T235" s="273">
        <f t="shared" si="121"/>
        <v>0</v>
      </c>
      <c r="U235" s="6">
        <f t="shared" si="122"/>
        <v>0</v>
      </c>
      <c r="V235" s="6"/>
      <c r="W235" s="6">
        <f t="shared" si="110"/>
        <v>0</v>
      </c>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X235" s="6"/>
      <c r="AY235" s="6">
        <f>ROUND(AX235/1000/Update!$B$31*Update!$B$27,0)</f>
        <v>0</v>
      </c>
      <c r="BA235" s="6"/>
      <c r="BB235" s="6">
        <f>ROUND(BA235/1000/Update!$B$31,0)</f>
        <v>0</v>
      </c>
      <c r="BC235" s="6"/>
      <c r="BD235" s="29">
        <f t="shared" si="102"/>
        <v>0</v>
      </c>
      <c r="BE235" s="317"/>
      <c r="BF235" s="317"/>
      <c r="BG235" s="317"/>
      <c r="BH235" s="317"/>
      <c r="BI235" s="317"/>
      <c r="BJ235" s="317"/>
      <c r="BK235" s="29">
        <f t="shared" si="111"/>
        <v>0</v>
      </c>
      <c r="BL235" s="317"/>
      <c r="BM235" s="317"/>
      <c r="BN235" s="317"/>
      <c r="BO235" s="317"/>
      <c r="BP235" s="317"/>
      <c r="BQ235" s="317"/>
      <c r="BR235" s="317"/>
      <c r="BS235" s="317"/>
      <c r="BT235" s="317"/>
      <c r="BU235" s="317"/>
      <c r="BV235" s="317"/>
      <c r="BW235" s="317"/>
      <c r="BX235" s="317"/>
      <c r="BY235" s="317"/>
      <c r="BZ235" s="317"/>
      <c r="CA235" s="317"/>
      <c r="CB235" s="317"/>
      <c r="CC235" s="317"/>
      <c r="CD235" s="317"/>
      <c r="CE235" s="317"/>
      <c r="CF235" s="317"/>
      <c r="CG235" s="317"/>
      <c r="CH235" s="317"/>
      <c r="CI235" s="317"/>
      <c r="CM235" s="1139">
        <v>0</v>
      </c>
      <c r="CN235" s="1139">
        <v>0</v>
      </c>
      <c r="CP235" s="923">
        <f t="shared" si="103"/>
        <v>0</v>
      </c>
      <c r="CZ235" s="330"/>
    </row>
    <row r="236" spans="1:104" ht="15" customHeight="1" x14ac:dyDescent="0.25">
      <c r="A236" s="684">
        <f>MAX($A$6:A235)+1</f>
        <v>236</v>
      </c>
      <c r="B236" s="11" t="s">
        <v>43</v>
      </c>
      <c r="C236" s="11" t="str">
        <f t="shared" si="112"/>
        <v>SoCITE</v>
      </c>
      <c r="D236" s="11" t="s">
        <v>127</v>
      </c>
      <c r="E236" s="7" t="s">
        <v>286</v>
      </c>
      <c r="F236" s="15"/>
      <c r="G236" s="1254" t="s">
        <v>334</v>
      </c>
      <c r="H236" s="6">
        <v>0</v>
      </c>
      <c r="I236" s="6">
        <v>0</v>
      </c>
      <c r="J236" s="1253" t="s">
        <v>286</v>
      </c>
      <c r="K236" s="251">
        <f>SUMIF('alb SoCITE'!$A:$A,$J236,'alb SoCITE'!$D:$D)</f>
        <v>0</v>
      </c>
      <c r="L236" s="251">
        <f>SUMIF('alb SoCITE'!$A:$A,$J236,'alb SoCITE'!$J:$J)</f>
        <v>0</v>
      </c>
      <c r="M236" s="252"/>
      <c r="N236" s="273">
        <f t="shared" si="120"/>
        <v>0</v>
      </c>
      <c r="O236" s="12"/>
      <c r="P236" s="12"/>
      <c r="Q236" s="12"/>
      <c r="R236" s="12"/>
      <c r="S236" s="6">
        <f t="shared" si="100"/>
        <v>0</v>
      </c>
      <c r="T236" s="273">
        <f t="shared" si="121"/>
        <v>0</v>
      </c>
      <c r="U236" s="6">
        <f t="shared" si="122"/>
        <v>0</v>
      </c>
      <c r="V236" s="6"/>
      <c r="W236" s="6">
        <f t="shared" si="110"/>
        <v>0</v>
      </c>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X236" s="6"/>
      <c r="AY236" s="6">
        <f>ROUND(AX236/1000/Update!$B$31*Update!$B$27,0)</f>
        <v>0</v>
      </c>
      <c r="BA236" s="6"/>
      <c r="BB236" s="6">
        <f>ROUND(BA236/1000/Update!$B$31,0)</f>
        <v>0</v>
      </c>
      <c r="BC236" s="6"/>
      <c r="BD236" s="29">
        <f t="shared" si="102"/>
        <v>0</v>
      </c>
      <c r="BE236" s="317"/>
      <c r="BF236" s="317"/>
      <c r="BG236" s="317"/>
      <c r="BH236" s="317"/>
      <c r="BI236" s="317"/>
      <c r="BJ236" s="317"/>
      <c r="BK236" s="29">
        <f t="shared" si="111"/>
        <v>0</v>
      </c>
      <c r="BL236" s="317"/>
      <c r="BM236" s="317"/>
      <c r="BN236" s="317"/>
      <c r="BO236" s="317"/>
      <c r="BP236" s="317"/>
      <c r="BQ236" s="317"/>
      <c r="BR236" s="317"/>
      <c r="BS236" s="317"/>
      <c r="BT236" s="317"/>
      <c r="BU236" s="317"/>
      <c r="BV236" s="317"/>
      <c r="BW236" s="317"/>
      <c r="BX236" s="317"/>
      <c r="BY236" s="317"/>
      <c r="BZ236" s="317"/>
      <c r="CA236" s="317"/>
      <c r="CB236" s="317"/>
      <c r="CC236" s="317"/>
      <c r="CD236" s="317"/>
      <c r="CE236" s="317"/>
      <c r="CF236" s="317"/>
      <c r="CG236" s="317"/>
      <c r="CH236" s="317"/>
      <c r="CI236" s="317"/>
      <c r="CM236" s="1139">
        <v>0</v>
      </c>
      <c r="CN236" s="1139">
        <v>0</v>
      </c>
      <c r="CP236" s="923">
        <f t="shared" si="103"/>
        <v>0</v>
      </c>
      <c r="CZ236" s="330"/>
    </row>
    <row r="237" spans="1:104" ht="15" customHeight="1" x14ac:dyDescent="0.25">
      <c r="A237" s="701">
        <f>MAX($A$6:A236)+1</f>
        <v>237</v>
      </c>
      <c r="B237" s="18" t="s">
        <v>43</v>
      </c>
      <c r="C237" s="18" t="str">
        <f t="shared" si="112"/>
        <v>SoCITE</v>
      </c>
      <c r="D237" s="18" t="s">
        <v>127</v>
      </c>
      <c r="E237" s="19" t="s">
        <v>117</v>
      </c>
      <c r="F237" s="20"/>
      <c r="G237" s="28"/>
      <c r="H237" s="14">
        <f>SUM(H229:H236)</f>
        <v>0</v>
      </c>
      <c r="I237" s="14">
        <f>SUM(I229:I236)</f>
        <v>0</v>
      </c>
      <c r="J237" s="1258" t="s">
        <v>286</v>
      </c>
      <c r="K237" s="256">
        <f>SUM(K229:K236)</f>
        <v>0</v>
      </c>
      <c r="L237" s="256">
        <f>SUM(L229:L236)</f>
        <v>0</v>
      </c>
      <c r="M237" s="21"/>
      <c r="N237" s="14">
        <f t="shared" ref="N237:W237" si="123">SUM(N229:N236)</f>
        <v>0</v>
      </c>
      <c r="O237" s="14">
        <f t="shared" si="123"/>
        <v>0</v>
      </c>
      <c r="P237" s="14">
        <f t="shared" si="123"/>
        <v>0</v>
      </c>
      <c r="Q237" s="14">
        <f t="shared" si="123"/>
        <v>0</v>
      </c>
      <c r="R237" s="14">
        <f t="shared" si="123"/>
        <v>0</v>
      </c>
      <c r="S237" s="14">
        <f t="shared" si="100"/>
        <v>0</v>
      </c>
      <c r="T237" s="14">
        <f t="shared" si="123"/>
        <v>0</v>
      </c>
      <c r="U237" s="14">
        <f t="shared" si="123"/>
        <v>0</v>
      </c>
      <c r="V237" s="14">
        <f t="shared" si="123"/>
        <v>0</v>
      </c>
      <c r="W237" s="14">
        <f t="shared" si="123"/>
        <v>0</v>
      </c>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2"/>
      <c r="AX237" s="14">
        <f>SUM(AX229:AX236)</f>
        <v>0</v>
      </c>
      <c r="AY237" s="14">
        <f>ROUND(AX237/1000/Update!$B$31*Update!$B$27,0)</f>
        <v>0</v>
      </c>
      <c r="AZ237" s="2"/>
      <c r="BA237" s="14">
        <f>SUM(BA229:BA236)</f>
        <v>0</v>
      </c>
      <c r="BB237" s="14">
        <f>ROUND(BA237/1000/Update!$B$31,0)</f>
        <v>0</v>
      </c>
      <c r="BC237" s="14"/>
      <c r="BD237" s="14">
        <f t="shared" si="102"/>
        <v>0</v>
      </c>
      <c r="BE237" s="318">
        <f t="shared" ref="BE237:BJ237" si="124">SUM(BE229:BE236)</f>
        <v>0</v>
      </c>
      <c r="BF237" s="318">
        <f t="shared" si="124"/>
        <v>0</v>
      </c>
      <c r="BG237" s="318">
        <f t="shared" si="124"/>
        <v>0</v>
      </c>
      <c r="BH237" s="318">
        <f t="shared" si="124"/>
        <v>0</v>
      </c>
      <c r="BI237" s="318">
        <f t="shared" si="124"/>
        <v>0</v>
      </c>
      <c r="BJ237" s="318">
        <f t="shared" si="124"/>
        <v>0</v>
      </c>
      <c r="BK237" s="14">
        <f t="shared" si="111"/>
        <v>0</v>
      </c>
      <c r="BL237" s="318"/>
      <c r="BM237" s="318"/>
      <c r="BN237" s="318"/>
      <c r="BO237" s="318"/>
      <c r="BP237" s="318"/>
      <c r="BQ237" s="318"/>
      <c r="BR237" s="318"/>
      <c r="BS237" s="318"/>
      <c r="BT237" s="318"/>
      <c r="BU237" s="318"/>
      <c r="BV237" s="318"/>
      <c r="BW237" s="318"/>
      <c r="BX237" s="318"/>
      <c r="BY237" s="318"/>
      <c r="BZ237" s="318"/>
      <c r="CA237" s="318"/>
      <c r="CB237" s="318"/>
      <c r="CC237" s="318"/>
      <c r="CD237" s="318"/>
      <c r="CE237" s="318"/>
      <c r="CF237" s="318"/>
      <c r="CG237" s="318"/>
      <c r="CH237" s="318"/>
      <c r="CI237" s="318"/>
      <c r="CJ237" s="2"/>
      <c r="CK237" s="2"/>
      <c r="CM237" s="1140">
        <v>0</v>
      </c>
      <c r="CN237" s="1140">
        <v>0</v>
      </c>
      <c r="CP237" s="923">
        <f t="shared" si="103"/>
        <v>0</v>
      </c>
      <c r="CZ237" s="330"/>
    </row>
    <row r="238" spans="1:104" ht="25.5" customHeight="1" x14ac:dyDescent="0.25">
      <c r="A238" s="684">
        <f>MAX($A$6:A237)+1</f>
        <v>238</v>
      </c>
      <c r="B238" s="11" t="s">
        <v>43</v>
      </c>
      <c r="C238" s="11" t="str">
        <f t="shared" si="112"/>
        <v>SoCITE</v>
      </c>
      <c r="D238" s="11" t="s">
        <v>127</v>
      </c>
      <c r="E238" s="7" t="s">
        <v>1028</v>
      </c>
      <c r="F238" s="15"/>
      <c r="G238" s="26" t="s">
        <v>335</v>
      </c>
      <c r="H238" s="6">
        <v>0</v>
      </c>
      <c r="I238" s="6">
        <v>0</v>
      </c>
      <c r="J238" s="1257" t="s">
        <v>855</v>
      </c>
      <c r="K238" s="251">
        <f>SUMIF('alb SoCITE'!$A:$A,$J238,'alb SoCITE'!$D:$D)</f>
        <v>0</v>
      </c>
      <c r="L238" s="251">
        <f>SUMIF('alb SoCITE'!$A:$A,$J238,'alb SoCITE'!$J:$J)</f>
        <v>0</v>
      </c>
      <c r="M238" s="252"/>
      <c r="N238" s="273">
        <f t="shared" ref="N238:N249" si="125">ROUND(SUM(O238:S238)+SUM(W238:AV238),0)</f>
        <v>0</v>
      </c>
      <c r="O238" s="12"/>
      <c r="P238" s="12"/>
      <c r="Q238" s="12"/>
      <c r="R238" s="12"/>
      <c r="S238" s="6">
        <f t="shared" si="100"/>
        <v>0</v>
      </c>
      <c r="T238" s="273">
        <f t="shared" ref="T238:T249" si="126">ROUND(SUM(U238:Y238),0)</f>
        <v>0</v>
      </c>
      <c r="U238" s="6">
        <f t="shared" ref="U238:U249" si="127">SUM(BL238:BN238)</f>
        <v>0</v>
      </c>
      <c r="V238" s="6"/>
      <c r="W238" s="6">
        <f t="shared" si="110"/>
        <v>0</v>
      </c>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X238" s="6"/>
      <c r="AY238" s="6">
        <f>ROUND(AX238/1000/Update!$B$31*Update!$B$27,0)</f>
        <v>0</v>
      </c>
      <c r="BA238" s="6"/>
      <c r="BB238" s="6">
        <f>ROUND(BA238/1000/Update!$B$31,0)</f>
        <v>0</v>
      </c>
      <c r="BC238" s="6"/>
      <c r="BD238" s="29">
        <f t="shared" si="102"/>
        <v>0</v>
      </c>
      <c r="BE238" s="317"/>
      <c r="BF238" s="317"/>
      <c r="BG238" s="317"/>
      <c r="BH238" s="317"/>
      <c r="BI238" s="317"/>
      <c r="BJ238" s="317"/>
      <c r="BK238" s="29">
        <f t="shared" si="111"/>
        <v>0</v>
      </c>
      <c r="BL238" s="317"/>
      <c r="BM238" s="317"/>
      <c r="BN238" s="317"/>
      <c r="BO238" s="317"/>
      <c r="BP238" s="317"/>
      <c r="BQ238" s="317"/>
      <c r="BR238" s="317"/>
      <c r="BS238" s="317"/>
      <c r="BT238" s="317"/>
      <c r="BU238" s="317"/>
      <c r="BV238" s="317"/>
      <c r="BW238" s="317"/>
      <c r="BX238" s="317"/>
      <c r="BY238" s="317"/>
      <c r="BZ238" s="317"/>
      <c r="CA238" s="317"/>
      <c r="CB238" s="317"/>
      <c r="CC238" s="317"/>
      <c r="CD238" s="317"/>
      <c r="CE238" s="317"/>
      <c r="CF238" s="317"/>
      <c r="CG238" s="317"/>
      <c r="CH238" s="317"/>
      <c r="CI238" s="317"/>
      <c r="CM238" s="1139">
        <v>-1</v>
      </c>
      <c r="CN238" s="1139">
        <v>0</v>
      </c>
      <c r="CP238" s="923">
        <f t="shared" si="103"/>
        <v>-1</v>
      </c>
      <c r="CZ238" s="330"/>
    </row>
    <row r="239" spans="1:104" ht="15" customHeight="1" x14ac:dyDescent="0.25">
      <c r="A239" s="684">
        <f>MAX($A$6:A238)+1</f>
        <v>239</v>
      </c>
      <c r="B239" s="11" t="s">
        <v>43</v>
      </c>
      <c r="C239" s="11" t="str">
        <f t="shared" si="112"/>
        <v>SoCITE</v>
      </c>
      <c r="D239" s="11" t="s">
        <v>127</v>
      </c>
      <c r="E239" s="269" t="s">
        <v>119</v>
      </c>
      <c r="F239" s="15"/>
      <c r="G239" s="26" t="s">
        <v>286</v>
      </c>
      <c r="H239" s="6">
        <v>0</v>
      </c>
      <c r="I239" s="6">
        <v>0</v>
      </c>
      <c r="J239" s="1257" t="s">
        <v>286</v>
      </c>
      <c r="K239" s="251">
        <f>SUMIF('alb SoCITE'!$A:$A,$J239,'alb SoCITE'!$D:$D)</f>
        <v>0</v>
      </c>
      <c r="L239" s="251">
        <f>SUMIF('alb SoCITE'!$A:$A,$J239,'alb SoCITE'!$J:$J)</f>
        <v>0</v>
      </c>
      <c r="M239" s="252"/>
      <c r="N239" s="273">
        <f t="shared" si="125"/>
        <v>0</v>
      </c>
      <c r="O239" s="12"/>
      <c r="P239" s="12"/>
      <c r="Q239" s="12"/>
      <c r="R239" s="12"/>
      <c r="S239" s="6">
        <f t="shared" si="100"/>
        <v>0</v>
      </c>
      <c r="T239" s="273">
        <f t="shared" si="126"/>
        <v>0</v>
      </c>
      <c r="U239" s="6">
        <f t="shared" si="127"/>
        <v>0</v>
      </c>
      <c r="V239" s="6"/>
      <c r="W239" s="6">
        <f t="shared" si="110"/>
        <v>0</v>
      </c>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X239" s="6"/>
      <c r="AY239" s="6">
        <f>ROUND(AX239/1000/Update!$B$31*Update!$B$27,0)</f>
        <v>0</v>
      </c>
      <c r="BA239" s="6"/>
      <c r="BB239" s="6">
        <f>ROUND(BA239/1000/Update!$B$31,0)</f>
        <v>0</v>
      </c>
      <c r="BC239" s="6"/>
      <c r="BD239" s="29">
        <f t="shared" si="102"/>
        <v>0</v>
      </c>
      <c r="BE239" s="317"/>
      <c r="BF239" s="317"/>
      <c r="BG239" s="317"/>
      <c r="BH239" s="317"/>
      <c r="BI239" s="317"/>
      <c r="BJ239" s="317"/>
      <c r="BK239" s="29">
        <f t="shared" si="111"/>
        <v>0</v>
      </c>
      <c r="BL239" s="317"/>
      <c r="BM239" s="317"/>
      <c r="BN239" s="317"/>
      <c r="BO239" s="317"/>
      <c r="BP239" s="317"/>
      <c r="BQ239" s="317"/>
      <c r="BR239" s="317"/>
      <c r="BS239" s="317"/>
      <c r="BT239" s="317"/>
      <c r="BU239" s="317"/>
      <c r="BV239" s="317"/>
      <c r="BW239" s="317"/>
      <c r="BX239" s="317"/>
      <c r="BY239" s="317"/>
      <c r="BZ239" s="317"/>
      <c r="CA239" s="317"/>
      <c r="CB239" s="317"/>
      <c r="CC239" s="317"/>
      <c r="CD239" s="317"/>
      <c r="CE239" s="317"/>
      <c r="CF239" s="317"/>
      <c r="CG239" s="317"/>
      <c r="CH239" s="317"/>
      <c r="CI239" s="317"/>
      <c r="CM239" s="1139">
        <v>0</v>
      </c>
      <c r="CN239" s="1139">
        <v>0</v>
      </c>
      <c r="CP239" s="923">
        <f t="shared" si="103"/>
        <v>0</v>
      </c>
      <c r="CZ239" s="330"/>
    </row>
    <row r="240" spans="1:104" ht="30" customHeight="1" x14ac:dyDescent="0.25">
      <c r="A240" s="684">
        <f>MAX($A$6:A239)+1</f>
        <v>240</v>
      </c>
      <c r="B240" s="11" t="s">
        <v>43</v>
      </c>
      <c r="C240" s="11" t="str">
        <f t="shared" si="112"/>
        <v>SoCITE</v>
      </c>
      <c r="D240" s="11" t="s">
        <v>127</v>
      </c>
      <c r="E240" s="7" t="s">
        <v>120</v>
      </c>
      <c r="F240" s="15"/>
      <c r="G240" s="26" t="s">
        <v>120</v>
      </c>
      <c r="H240" s="6">
        <v>0</v>
      </c>
      <c r="I240" s="6">
        <v>0</v>
      </c>
      <c r="J240" s="1257" t="s">
        <v>856</v>
      </c>
      <c r="K240" s="251">
        <f>SUMIF('alb SoCITE'!$A:$A,$J240,'alb SoCITE'!$D:$D)</f>
        <v>0</v>
      </c>
      <c r="L240" s="251">
        <f>SUMIF('alb SoCITE'!$A:$A,$J240,'alb SoCITE'!$J:$J)</f>
        <v>0</v>
      </c>
      <c r="M240" s="252"/>
      <c r="N240" s="273">
        <f t="shared" si="125"/>
        <v>0</v>
      </c>
      <c r="O240" s="12"/>
      <c r="P240" s="12"/>
      <c r="Q240" s="12"/>
      <c r="R240" s="12"/>
      <c r="S240" s="6">
        <f t="shared" si="100"/>
        <v>0</v>
      </c>
      <c r="T240" s="273">
        <f t="shared" si="126"/>
        <v>0</v>
      </c>
      <c r="U240" s="6">
        <f t="shared" si="127"/>
        <v>0</v>
      </c>
      <c r="V240" s="6"/>
      <c r="W240" s="6">
        <f t="shared" si="110"/>
        <v>0</v>
      </c>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X240" s="6"/>
      <c r="AY240" s="6">
        <f>ROUND(AX240/1000/Update!$B$31*Update!$B$27,0)</f>
        <v>0</v>
      </c>
      <c r="BA240" s="6"/>
      <c r="BB240" s="6">
        <f>ROUND(BA240/1000/Update!$B$31,0)</f>
        <v>0</v>
      </c>
      <c r="BC240" s="6"/>
      <c r="BD240" s="29">
        <f t="shared" si="102"/>
        <v>0</v>
      </c>
      <c r="BE240" s="317"/>
      <c r="BF240" s="317"/>
      <c r="BG240" s="317"/>
      <c r="BH240" s="317"/>
      <c r="BI240" s="317"/>
      <c r="BJ240" s="317"/>
      <c r="BK240" s="29">
        <f t="shared" si="111"/>
        <v>0</v>
      </c>
      <c r="BL240" s="317"/>
      <c r="BM240" s="317"/>
      <c r="BN240" s="317"/>
      <c r="BO240" s="317"/>
      <c r="BP240" s="317"/>
      <c r="BQ240" s="317"/>
      <c r="BR240" s="317"/>
      <c r="BS240" s="317"/>
      <c r="BT240" s="317"/>
      <c r="BU240" s="317"/>
      <c r="BV240" s="317"/>
      <c r="BW240" s="317"/>
      <c r="BX240" s="317"/>
      <c r="BY240" s="317"/>
      <c r="BZ240" s="317"/>
      <c r="CA240" s="317"/>
      <c r="CB240" s="317"/>
      <c r="CC240" s="317"/>
      <c r="CD240" s="317"/>
      <c r="CE240" s="317"/>
      <c r="CF240" s="317"/>
      <c r="CG240" s="317"/>
      <c r="CH240" s="317"/>
      <c r="CI240" s="317"/>
      <c r="CM240" s="1139">
        <v>0</v>
      </c>
      <c r="CN240" s="1139">
        <v>0</v>
      </c>
      <c r="CP240" s="923">
        <f t="shared" si="103"/>
        <v>0</v>
      </c>
      <c r="CZ240" s="330"/>
    </row>
    <row r="241" spans="1:104" ht="15" customHeight="1" x14ac:dyDescent="0.25">
      <c r="A241" s="684">
        <f>MAX($A$6:A240)+1</f>
        <v>241</v>
      </c>
      <c r="B241" s="11" t="s">
        <v>43</v>
      </c>
      <c r="C241" s="11" t="str">
        <f t="shared" si="112"/>
        <v>SoCITE</v>
      </c>
      <c r="D241" s="11" t="s">
        <v>127</v>
      </c>
      <c r="E241" s="7" t="s">
        <v>122</v>
      </c>
      <c r="F241" s="15"/>
      <c r="G241" s="26" t="s">
        <v>122</v>
      </c>
      <c r="H241" s="6">
        <v>0</v>
      </c>
      <c r="I241" s="6">
        <v>0</v>
      </c>
      <c r="J241" s="1261" t="s">
        <v>286</v>
      </c>
      <c r="K241" s="251">
        <f>SUMIF('alb SoCITE'!$A:$A,$J241,'alb SoCITE'!$D:$D)</f>
        <v>0</v>
      </c>
      <c r="L241" s="251">
        <f>SUMIF('alb SoCITE'!$A:$A,$J241,'alb SoCITE'!$J:$J)</f>
        <v>0</v>
      </c>
      <c r="M241" s="252"/>
      <c r="N241" s="273">
        <f t="shared" si="125"/>
        <v>0</v>
      </c>
      <c r="O241" s="12"/>
      <c r="P241" s="12"/>
      <c r="Q241" s="12"/>
      <c r="R241" s="12"/>
      <c r="S241" s="6">
        <f t="shared" si="100"/>
        <v>0</v>
      </c>
      <c r="T241" s="273">
        <f t="shared" si="126"/>
        <v>0</v>
      </c>
      <c r="U241" s="6">
        <f t="shared" si="127"/>
        <v>0</v>
      </c>
      <c r="V241" s="6"/>
      <c r="W241" s="6">
        <f t="shared" si="110"/>
        <v>0</v>
      </c>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X241" s="6"/>
      <c r="AY241" s="6">
        <f>ROUND(AX241/1000/Update!$B$31*Update!$B$27,0)</f>
        <v>0</v>
      </c>
      <c r="BA241" s="6"/>
      <c r="BB241" s="6">
        <f>ROUND(BA241/1000/Update!$B$31,0)</f>
        <v>0</v>
      </c>
      <c r="BC241" s="6"/>
      <c r="BD241" s="29">
        <f t="shared" si="102"/>
        <v>0</v>
      </c>
      <c r="BE241" s="317"/>
      <c r="BF241" s="317"/>
      <c r="BG241" s="317"/>
      <c r="BH241" s="317"/>
      <c r="BI241" s="317"/>
      <c r="BJ241" s="317"/>
      <c r="BK241" s="29">
        <f t="shared" si="111"/>
        <v>0</v>
      </c>
      <c r="BL241" s="317"/>
      <c r="BM241" s="317"/>
      <c r="BN241" s="317"/>
      <c r="BO241" s="317"/>
      <c r="BP241" s="317"/>
      <c r="BQ241" s="317"/>
      <c r="BR241" s="317"/>
      <c r="BS241" s="317"/>
      <c r="BT241" s="317"/>
      <c r="BU241" s="317"/>
      <c r="BV241" s="317"/>
      <c r="BW241" s="317"/>
      <c r="BX241" s="317"/>
      <c r="BY241" s="317"/>
      <c r="BZ241" s="317"/>
      <c r="CA241" s="317"/>
      <c r="CB241" s="317"/>
      <c r="CC241" s="317"/>
      <c r="CD241" s="317"/>
      <c r="CE241" s="317"/>
      <c r="CF241" s="317"/>
      <c r="CG241" s="317"/>
      <c r="CH241" s="317"/>
      <c r="CI241" s="317"/>
      <c r="CM241" s="1139">
        <v>0</v>
      </c>
      <c r="CN241" s="1139">
        <v>0</v>
      </c>
      <c r="CP241" s="923">
        <f t="shared" si="103"/>
        <v>0</v>
      </c>
      <c r="CZ241" s="330"/>
    </row>
    <row r="242" spans="1:104" ht="15" customHeight="1" x14ac:dyDescent="0.25">
      <c r="A242" s="684">
        <f>MAX($A$6:A241)+1</f>
        <v>242</v>
      </c>
      <c r="B242" s="11" t="s">
        <v>43</v>
      </c>
      <c r="C242" s="11" t="str">
        <f t="shared" si="112"/>
        <v>SoCITE</v>
      </c>
      <c r="D242" s="11" t="s">
        <v>127</v>
      </c>
      <c r="E242" s="269" t="s">
        <v>123</v>
      </c>
      <c r="F242" s="15"/>
      <c r="G242" s="26" t="s">
        <v>286</v>
      </c>
      <c r="H242" s="6">
        <v>0</v>
      </c>
      <c r="I242" s="6">
        <v>0</v>
      </c>
      <c r="J242" s="1253" t="s">
        <v>286</v>
      </c>
      <c r="K242" s="251">
        <f>SUMIF('alb SoCITE'!$A:$A,$J242,'alb SoCITE'!$D:$D)</f>
        <v>0</v>
      </c>
      <c r="L242" s="251">
        <f>SUMIF('alb SoCITE'!$A:$A,$J242,'alb SoCITE'!$J:$J)</f>
        <v>0</v>
      </c>
      <c r="M242" s="252"/>
      <c r="N242" s="273">
        <f t="shared" si="125"/>
        <v>0</v>
      </c>
      <c r="O242" s="12"/>
      <c r="P242" s="12"/>
      <c r="Q242" s="12"/>
      <c r="R242" s="12"/>
      <c r="S242" s="6">
        <f t="shared" si="100"/>
        <v>0</v>
      </c>
      <c r="T242" s="273">
        <f t="shared" si="126"/>
        <v>0</v>
      </c>
      <c r="U242" s="6">
        <f t="shared" si="127"/>
        <v>0</v>
      </c>
      <c r="V242" s="6"/>
      <c r="W242" s="6">
        <f t="shared" si="110"/>
        <v>0</v>
      </c>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X242" s="6"/>
      <c r="AY242" s="6">
        <f>ROUND(AX242/1000/Update!$B$31*Update!$B$27,0)</f>
        <v>0</v>
      </c>
      <c r="BA242" s="6"/>
      <c r="BB242" s="6">
        <f>ROUND(BA242/1000/Update!$B$31,0)</f>
        <v>0</v>
      </c>
      <c r="BC242" s="6"/>
      <c r="BD242" s="29">
        <f t="shared" si="102"/>
        <v>0</v>
      </c>
      <c r="BE242" s="317"/>
      <c r="BF242" s="317"/>
      <c r="BG242" s="317"/>
      <c r="BH242" s="317"/>
      <c r="BI242" s="317"/>
      <c r="BJ242" s="317"/>
      <c r="BK242" s="29">
        <f t="shared" si="111"/>
        <v>0</v>
      </c>
      <c r="BL242" s="317"/>
      <c r="BM242" s="317"/>
      <c r="BN242" s="317"/>
      <c r="BO242" s="317"/>
      <c r="BP242" s="317"/>
      <c r="BQ242" s="317"/>
      <c r="BR242" s="317"/>
      <c r="BS242" s="317"/>
      <c r="BT242" s="317"/>
      <c r="BU242" s="317"/>
      <c r="BV242" s="317"/>
      <c r="BW242" s="317"/>
      <c r="BX242" s="317"/>
      <c r="BY242" s="317"/>
      <c r="BZ242" s="317"/>
      <c r="CA242" s="317"/>
      <c r="CB242" s="317"/>
      <c r="CC242" s="317"/>
      <c r="CD242" s="317"/>
      <c r="CE242" s="317"/>
      <c r="CF242" s="317"/>
      <c r="CG242" s="317"/>
      <c r="CH242" s="317"/>
      <c r="CI242" s="317"/>
      <c r="CM242" s="1139">
        <v>0</v>
      </c>
      <c r="CN242" s="1139">
        <v>0</v>
      </c>
      <c r="CP242" s="923">
        <f t="shared" si="103"/>
        <v>0</v>
      </c>
      <c r="CZ242" s="330"/>
    </row>
    <row r="243" spans="1:104" ht="15" customHeight="1" x14ac:dyDescent="0.25">
      <c r="A243" s="684">
        <f>MAX($A$6:A242)+1</f>
        <v>243</v>
      </c>
      <c r="B243" s="11" t="s">
        <v>43</v>
      </c>
      <c r="C243" s="11" t="str">
        <f t="shared" si="112"/>
        <v>SoCITE</v>
      </c>
      <c r="D243" s="11" t="s">
        <v>127</v>
      </c>
      <c r="E243" s="7" t="s">
        <v>857</v>
      </c>
      <c r="F243" s="15"/>
      <c r="G243" s="26" t="s">
        <v>124</v>
      </c>
      <c r="H243" s="6">
        <v>0</v>
      </c>
      <c r="I243" s="6">
        <v>0</v>
      </c>
      <c r="J243" s="1257" t="s">
        <v>857</v>
      </c>
      <c r="K243" s="251">
        <f>SUMIF('alb SoCITE'!$A:$A,$J243,'alb SoCITE'!$D:$D)</f>
        <v>0</v>
      </c>
      <c r="L243" s="251">
        <f>SUMIF('alb SoCITE'!$A:$A,$J243,'alb SoCITE'!$J:$J)</f>
        <v>0</v>
      </c>
      <c r="M243" s="252"/>
      <c r="N243" s="273">
        <f t="shared" si="125"/>
        <v>0</v>
      </c>
      <c r="O243" s="12"/>
      <c r="P243" s="12"/>
      <c r="Q243" s="12"/>
      <c r="R243" s="12"/>
      <c r="S243" s="6">
        <f t="shared" si="100"/>
        <v>0</v>
      </c>
      <c r="T243" s="273">
        <f t="shared" si="126"/>
        <v>0</v>
      </c>
      <c r="U243" s="6">
        <f t="shared" si="127"/>
        <v>0</v>
      </c>
      <c r="V243" s="6"/>
      <c r="W243" s="6">
        <f t="shared" si="110"/>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X243" s="6"/>
      <c r="AY243" s="6">
        <f>ROUND(AX243/1000/Update!$B$31*Update!$B$27,0)</f>
        <v>0</v>
      </c>
      <c r="BA243" s="6"/>
      <c r="BB243" s="6">
        <f>ROUND(BA243/1000/Update!$B$31,0)</f>
        <v>0</v>
      </c>
      <c r="BC243" s="6"/>
      <c r="BD243" s="29">
        <f t="shared" si="102"/>
        <v>0</v>
      </c>
      <c r="BE243" s="317"/>
      <c r="BF243" s="317"/>
      <c r="BG243" s="317"/>
      <c r="BH243" s="317"/>
      <c r="BI243" s="317"/>
      <c r="BJ243" s="317"/>
      <c r="BK243" s="29">
        <f t="shared" si="111"/>
        <v>0</v>
      </c>
      <c r="BL243" s="317"/>
      <c r="BM243" s="317"/>
      <c r="BN243" s="317"/>
      <c r="BO243" s="317"/>
      <c r="BP243" s="317"/>
      <c r="BQ243" s="317"/>
      <c r="BR243" s="317"/>
      <c r="BS243" s="317"/>
      <c r="BT243" s="317"/>
      <c r="BU243" s="317"/>
      <c r="BV243" s="317"/>
      <c r="BW243" s="317"/>
      <c r="BX243" s="317"/>
      <c r="BY243" s="317"/>
      <c r="BZ243" s="317"/>
      <c r="CA243" s="317"/>
      <c r="CB243" s="317"/>
      <c r="CC243" s="317"/>
      <c r="CD243" s="317"/>
      <c r="CE243" s="317"/>
      <c r="CF243" s="317"/>
      <c r="CG243" s="317"/>
      <c r="CH243" s="317"/>
      <c r="CI243" s="317"/>
      <c r="CM243" s="1139">
        <v>0</v>
      </c>
      <c r="CN243" s="1139">
        <v>0</v>
      </c>
      <c r="CP243" s="923">
        <f t="shared" si="103"/>
        <v>0</v>
      </c>
      <c r="CZ243" s="330"/>
    </row>
    <row r="244" spans="1:104" ht="30" customHeight="1" x14ac:dyDescent="0.25">
      <c r="A244" s="684">
        <f>MAX($A$6:A243)+1</f>
        <v>244</v>
      </c>
      <c r="B244" s="11" t="s">
        <v>43</v>
      </c>
      <c r="C244" s="11" t="str">
        <f t="shared" si="112"/>
        <v>SoCITE</v>
      </c>
      <c r="D244" s="11" t="s">
        <v>127</v>
      </c>
      <c r="E244" s="7" t="s">
        <v>858</v>
      </c>
      <c r="F244" s="15"/>
      <c r="G244" s="26" t="s">
        <v>339</v>
      </c>
      <c r="H244" s="6">
        <v>0</v>
      </c>
      <c r="I244" s="6">
        <v>0</v>
      </c>
      <c r="J244" s="1257" t="s">
        <v>858</v>
      </c>
      <c r="K244" s="251">
        <f>SUMIF('alb SoCITE'!$A:$A,$J244,'alb SoCITE'!$D:$D)</f>
        <v>0</v>
      </c>
      <c r="L244" s="251">
        <f>SUMIF('alb SoCITE'!$A:$A,$J244,'alb SoCITE'!$J:$J)</f>
        <v>0</v>
      </c>
      <c r="M244" s="252"/>
      <c r="N244" s="273">
        <f t="shared" si="125"/>
        <v>0</v>
      </c>
      <c r="O244" s="12"/>
      <c r="P244" s="12"/>
      <c r="Q244" s="12"/>
      <c r="R244" s="12"/>
      <c r="S244" s="6">
        <f t="shared" si="100"/>
        <v>0</v>
      </c>
      <c r="T244" s="273">
        <f t="shared" si="126"/>
        <v>0</v>
      </c>
      <c r="U244" s="6">
        <f t="shared" si="127"/>
        <v>0</v>
      </c>
      <c r="V244" s="6"/>
      <c r="W244" s="6">
        <f t="shared" si="110"/>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X244" s="6"/>
      <c r="AY244" s="6">
        <f>ROUND(AX244/1000/Update!$B$31*Update!$B$27,0)</f>
        <v>0</v>
      </c>
      <c r="BA244" s="6"/>
      <c r="BB244" s="6">
        <f>ROUND(BA244/1000/Update!$B$31,0)</f>
        <v>0</v>
      </c>
      <c r="BC244" s="6"/>
      <c r="BD244" s="29">
        <f t="shared" si="102"/>
        <v>0</v>
      </c>
      <c r="BE244" s="317"/>
      <c r="BF244" s="317"/>
      <c r="BG244" s="317"/>
      <c r="BH244" s="317"/>
      <c r="BI244" s="317"/>
      <c r="BJ244" s="317"/>
      <c r="BK244" s="29">
        <f t="shared" si="111"/>
        <v>0</v>
      </c>
      <c r="BL244" s="317"/>
      <c r="BM244" s="317"/>
      <c r="BN244" s="317"/>
      <c r="BO244" s="317"/>
      <c r="BP244" s="317"/>
      <c r="BQ244" s="317"/>
      <c r="BR244" s="317"/>
      <c r="BS244" s="317"/>
      <c r="BT244" s="317"/>
      <c r="BU244" s="317"/>
      <c r="BV244" s="317"/>
      <c r="BW244" s="317"/>
      <c r="BX244" s="317"/>
      <c r="BY244" s="317"/>
      <c r="BZ244" s="317"/>
      <c r="CA244" s="317"/>
      <c r="CB244" s="317"/>
      <c r="CC244" s="317"/>
      <c r="CD244" s="317"/>
      <c r="CE244" s="317"/>
      <c r="CF244" s="317"/>
      <c r="CG244" s="317"/>
      <c r="CH244" s="317"/>
      <c r="CI244" s="317"/>
      <c r="CM244" s="1139">
        <v>1</v>
      </c>
      <c r="CN244" s="1139">
        <v>0</v>
      </c>
      <c r="CP244" s="923">
        <f t="shared" si="103"/>
        <v>1</v>
      </c>
      <c r="CZ244" s="330"/>
    </row>
    <row r="245" spans="1:104" ht="15" customHeight="1" x14ac:dyDescent="0.25">
      <c r="A245" s="684">
        <f>MAX($A$6:A244)+1</f>
        <v>245</v>
      </c>
      <c r="B245" s="11" t="s">
        <v>43</v>
      </c>
      <c r="C245" s="11" t="str">
        <f t="shared" si="112"/>
        <v>SoCITE</v>
      </c>
      <c r="D245" s="11" t="s">
        <v>127</v>
      </c>
      <c r="E245" s="7" t="s">
        <v>286</v>
      </c>
      <c r="F245" s="15"/>
      <c r="G245" s="26" t="s">
        <v>185</v>
      </c>
      <c r="H245" s="6">
        <v>0</v>
      </c>
      <c r="I245" s="6">
        <v>0</v>
      </c>
      <c r="J245" s="1253" t="s">
        <v>286</v>
      </c>
      <c r="K245" s="251">
        <f>SUMIF('alb SoCITE'!$A:$A,$J245,'alb SoCITE'!$D:$D)</f>
        <v>0</v>
      </c>
      <c r="L245" s="251">
        <f>SUMIF('alb SoCITE'!$A:$A,$J245,'alb SoCITE'!$J:$J)</f>
        <v>0</v>
      </c>
      <c r="M245" s="252"/>
      <c r="N245" s="273">
        <f t="shared" si="125"/>
        <v>0</v>
      </c>
      <c r="O245" s="12"/>
      <c r="P245" s="12"/>
      <c r="Q245" s="12"/>
      <c r="R245" s="12"/>
      <c r="S245" s="6">
        <f t="shared" si="100"/>
        <v>0</v>
      </c>
      <c r="T245" s="273">
        <f t="shared" si="126"/>
        <v>0</v>
      </c>
      <c r="U245" s="6">
        <f t="shared" si="127"/>
        <v>0</v>
      </c>
      <c r="V245" s="6"/>
      <c r="W245" s="6">
        <f t="shared" si="110"/>
        <v>0</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X245" s="6"/>
      <c r="AY245" s="6">
        <f>ROUND(AX245/1000/Update!$B$31*Update!$B$27,0)</f>
        <v>0</v>
      </c>
      <c r="BA245" s="6"/>
      <c r="BB245" s="6">
        <f>ROUND(BA245/1000/Update!$B$31,0)</f>
        <v>0</v>
      </c>
      <c r="BC245" s="6"/>
      <c r="BD245" s="29">
        <f t="shared" si="102"/>
        <v>0</v>
      </c>
      <c r="BE245" s="317"/>
      <c r="BF245" s="317"/>
      <c r="BG245" s="317"/>
      <c r="BH245" s="317"/>
      <c r="BI245" s="317"/>
      <c r="BJ245" s="317"/>
      <c r="BK245" s="29">
        <f t="shared" si="111"/>
        <v>0</v>
      </c>
      <c r="BL245" s="317"/>
      <c r="BM245" s="317"/>
      <c r="BN245" s="317"/>
      <c r="BO245" s="317"/>
      <c r="BP245" s="317"/>
      <c r="BQ245" s="317"/>
      <c r="BR245" s="317"/>
      <c r="BS245" s="317"/>
      <c r="BT245" s="317"/>
      <c r="BU245" s="317"/>
      <c r="BV245" s="317"/>
      <c r="BW245" s="317"/>
      <c r="BX245" s="317"/>
      <c r="BY245" s="317"/>
      <c r="BZ245" s="317"/>
      <c r="CA245" s="317"/>
      <c r="CB245" s="317"/>
      <c r="CC245" s="317"/>
      <c r="CD245" s="317"/>
      <c r="CE245" s="317"/>
      <c r="CF245" s="317"/>
      <c r="CG245" s="317"/>
      <c r="CH245" s="317"/>
      <c r="CI245" s="317"/>
      <c r="CM245" s="1139">
        <v>0</v>
      </c>
      <c r="CN245" s="1139">
        <v>0</v>
      </c>
      <c r="CP245" s="923">
        <f t="shared" si="103"/>
        <v>0</v>
      </c>
      <c r="CZ245" s="330"/>
    </row>
    <row r="246" spans="1:104" ht="25.5" customHeight="1" x14ac:dyDescent="0.25">
      <c r="A246" s="684">
        <f>MAX($A$6:A245)+1</f>
        <v>246</v>
      </c>
      <c r="B246" s="11" t="s">
        <v>43</v>
      </c>
      <c r="C246" s="11" t="str">
        <f t="shared" si="112"/>
        <v>SoCITE</v>
      </c>
      <c r="D246" s="11" t="s">
        <v>127</v>
      </c>
      <c r="E246" s="7" t="s">
        <v>286</v>
      </c>
      <c r="F246" s="15"/>
      <c r="G246" s="26" t="s">
        <v>336</v>
      </c>
      <c r="H246" s="6">
        <v>0</v>
      </c>
      <c r="I246" s="6">
        <v>0</v>
      </c>
      <c r="J246" s="1253" t="s">
        <v>286</v>
      </c>
      <c r="K246" s="251">
        <f>SUMIF('alb SoCITE'!$A:$A,$J246,'alb SoCITE'!$D:$D)</f>
        <v>0</v>
      </c>
      <c r="L246" s="251">
        <f>SUMIF('alb SoCITE'!$A:$A,$J246,'alb SoCITE'!$J:$J)</f>
        <v>0</v>
      </c>
      <c r="M246" s="252"/>
      <c r="N246" s="273">
        <f t="shared" si="125"/>
        <v>0</v>
      </c>
      <c r="O246" s="12"/>
      <c r="P246" s="12"/>
      <c r="Q246" s="12"/>
      <c r="R246" s="12"/>
      <c r="S246" s="6">
        <f t="shared" si="100"/>
        <v>0</v>
      </c>
      <c r="T246" s="273">
        <f t="shared" si="126"/>
        <v>0</v>
      </c>
      <c r="U246" s="6">
        <f t="shared" si="127"/>
        <v>0</v>
      </c>
      <c r="V246" s="6"/>
      <c r="W246" s="6">
        <f t="shared" si="110"/>
        <v>0</v>
      </c>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X246" s="6"/>
      <c r="AY246" s="6">
        <f>ROUND(AX246/1000/Update!$B$31*Update!$B$27,0)</f>
        <v>0</v>
      </c>
      <c r="BA246" s="6"/>
      <c r="BB246" s="6">
        <f>ROUND(BA246/1000/Update!$B$31,0)</f>
        <v>0</v>
      </c>
      <c r="BC246" s="6"/>
      <c r="BD246" s="29">
        <f t="shared" si="102"/>
        <v>0</v>
      </c>
      <c r="BE246" s="317"/>
      <c r="BF246" s="317"/>
      <c r="BG246" s="317"/>
      <c r="BH246" s="317"/>
      <c r="BI246" s="317"/>
      <c r="BJ246" s="317"/>
      <c r="BK246" s="29">
        <f t="shared" si="111"/>
        <v>0</v>
      </c>
      <c r="BL246" s="317"/>
      <c r="BM246" s="317"/>
      <c r="BN246" s="317"/>
      <c r="BO246" s="317"/>
      <c r="BP246" s="317"/>
      <c r="BQ246" s="317"/>
      <c r="BR246" s="317"/>
      <c r="BS246" s="317"/>
      <c r="BT246" s="317"/>
      <c r="BU246" s="317"/>
      <c r="BV246" s="317"/>
      <c r="BW246" s="317"/>
      <c r="BX246" s="317"/>
      <c r="BY246" s="317"/>
      <c r="BZ246" s="317"/>
      <c r="CA246" s="317"/>
      <c r="CB246" s="317"/>
      <c r="CC246" s="317"/>
      <c r="CD246" s="317"/>
      <c r="CE246" s="317"/>
      <c r="CF246" s="317"/>
      <c r="CG246" s="317"/>
      <c r="CH246" s="317"/>
      <c r="CI246" s="317"/>
      <c r="CM246" s="1139">
        <v>0</v>
      </c>
      <c r="CN246" s="1139">
        <v>0</v>
      </c>
      <c r="CP246" s="923">
        <f t="shared" si="103"/>
        <v>0</v>
      </c>
      <c r="CZ246" s="330"/>
    </row>
    <row r="247" spans="1:104" ht="15" customHeight="1" x14ac:dyDescent="0.25">
      <c r="A247" s="684">
        <f>MAX($A$6:A246)+1</f>
        <v>247</v>
      </c>
      <c r="B247" s="11" t="s">
        <v>43</v>
      </c>
      <c r="C247" s="11" t="str">
        <f t="shared" si="112"/>
        <v>SoCITE</v>
      </c>
      <c r="D247" s="11" t="s">
        <v>127</v>
      </c>
      <c r="E247" s="7" t="s">
        <v>286</v>
      </c>
      <c r="F247" s="15"/>
      <c r="G247" s="26" t="s">
        <v>337</v>
      </c>
      <c r="H247" s="6">
        <v>0</v>
      </c>
      <c r="I247" s="6">
        <v>0</v>
      </c>
      <c r="J247" s="1253" t="s">
        <v>286</v>
      </c>
      <c r="K247" s="251">
        <f>SUMIF('alb SoCITE'!$A:$A,$J247,'alb SoCITE'!$D:$D)</f>
        <v>0</v>
      </c>
      <c r="L247" s="251">
        <f>SUMIF('alb SoCITE'!$A:$A,$J247,'alb SoCITE'!$J:$J)</f>
        <v>0</v>
      </c>
      <c r="M247" s="252"/>
      <c r="N247" s="273">
        <f t="shared" si="125"/>
        <v>0</v>
      </c>
      <c r="O247" s="12"/>
      <c r="P247" s="12"/>
      <c r="Q247" s="12"/>
      <c r="R247" s="12"/>
      <c r="S247" s="6">
        <f t="shared" si="100"/>
        <v>0</v>
      </c>
      <c r="T247" s="273">
        <f t="shared" si="126"/>
        <v>0</v>
      </c>
      <c r="U247" s="6">
        <f t="shared" si="127"/>
        <v>0</v>
      </c>
      <c r="V247" s="6"/>
      <c r="W247" s="6">
        <f t="shared" si="110"/>
        <v>0</v>
      </c>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X247" s="6"/>
      <c r="AY247" s="6">
        <f>ROUND(AX247/1000/Update!$B$31*Update!$B$27,0)</f>
        <v>0</v>
      </c>
      <c r="BA247" s="6"/>
      <c r="BB247" s="6">
        <f>ROUND(BA247/1000/Update!$B$31,0)</f>
        <v>0</v>
      </c>
      <c r="BC247" s="6"/>
      <c r="BD247" s="29">
        <f t="shared" si="102"/>
        <v>0</v>
      </c>
      <c r="BE247" s="317"/>
      <c r="BF247" s="317"/>
      <c r="BG247" s="317"/>
      <c r="BH247" s="317"/>
      <c r="BI247" s="317"/>
      <c r="BJ247" s="317"/>
      <c r="BK247" s="29">
        <f t="shared" si="111"/>
        <v>0</v>
      </c>
      <c r="BL247" s="317"/>
      <c r="BM247" s="317"/>
      <c r="BN247" s="317"/>
      <c r="BO247" s="317"/>
      <c r="BP247" s="317"/>
      <c r="BQ247" s="317"/>
      <c r="BR247" s="317"/>
      <c r="BS247" s="317"/>
      <c r="BT247" s="317"/>
      <c r="BU247" s="317"/>
      <c r="BV247" s="317"/>
      <c r="BW247" s="317"/>
      <c r="BX247" s="317"/>
      <c r="BY247" s="317"/>
      <c r="BZ247" s="317"/>
      <c r="CA247" s="317"/>
      <c r="CB247" s="317"/>
      <c r="CC247" s="317"/>
      <c r="CD247" s="317"/>
      <c r="CE247" s="317"/>
      <c r="CF247" s="317"/>
      <c r="CG247" s="317"/>
      <c r="CH247" s="317"/>
      <c r="CI247" s="317"/>
      <c r="CM247" s="1139">
        <v>0</v>
      </c>
      <c r="CN247" s="1139">
        <v>0</v>
      </c>
      <c r="CP247" s="923">
        <f t="shared" si="103"/>
        <v>0</v>
      </c>
      <c r="CZ247" s="330"/>
    </row>
    <row r="248" spans="1:104" ht="25.5" customHeight="1" x14ac:dyDescent="0.25">
      <c r="A248" s="684">
        <f>MAX($A$6:A247)+1</f>
        <v>248</v>
      </c>
      <c r="B248" s="11" t="s">
        <v>43</v>
      </c>
      <c r="C248" s="11" t="str">
        <f t="shared" si="112"/>
        <v>SoCITE</v>
      </c>
      <c r="D248" s="11" t="s">
        <v>127</v>
      </c>
      <c r="E248" s="7" t="s">
        <v>286</v>
      </c>
      <c r="F248" s="15"/>
      <c r="G248" s="26" t="s">
        <v>338</v>
      </c>
      <c r="H248" s="6">
        <v>0</v>
      </c>
      <c r="I248" s="6">
        <v>0</v>
      </c>
      <c r="J248" s="1253" t="s">
        <v>286</v>
      </c>
      <c r="K248" s="251">
        <f>SUMIF('alb SoCITE'!$A:$A,$J248,'alb SoCITE'!$D:$D)</f>
        <v>0</v>
      </c>
      <c r="L248" s="251">
        <f>SUMIF('alb SoCITE'!$A:$A,$J248,'alb SoCITE'!$J:$J)</f>
        <v>0</v>
      </c>
      <c r="M248" s="252"/>
      <c r="N248" s="273">
        <f t="shared" si="125"/>
        <v>0</v>
      </c>
      <c r="O248" s="12"/>
      <c r="P248" s="12"/>
      <c r="Q248" s="12"/>
      <c r="R248" s="12"/>
      <c r="S248" s="6">
        <f t="shared" si="100"/>
        <v>0</v>
      </c>
      <c r="T248" s="273">
        <f t="shared" si="126"/>
        <v>0</v>
      </c>
      <c r="U248" s="6">
        <f t="shared" si="127"/>
        <v>0</v>
      </c>
      <c r="V248" s="6"/>
      <c r="W248" s="6">
        <f t="shared" si="110"/>
        <v>0</v>
      </c>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X248" s="6"/>
      <c r="AY248" s="6">
        <f>ROUND(AX248/1000/Update!$B$31*Update!$B$27,0)</f>
        <v>0</v>
      </c>
      <c r="BA248" s="6"/>
      <c r="BB248" s="6">
        <f>ROUND(BA248/1000/Update!$B$31,0)</f>
        <v>0</v>
      </c>
      <c r="BC248" s="6"/>
      <c r="BD248" s="29">
        <f t="shared" si="102"/>
        <v>0</v>
      </c>
      <c r="BE248" s="317"/>
      <c r="BF248" s="317"/>
      <c r="BG248" s="317"/>
      <c r="BH248" s="317"/>
      <c r="BI248" s="317"/>
      <c r="BJ248" s="317"/>
      <c r="BK248" s="29">
        <f t="shared" si="111"/>
        <v>0</v>
      </c>
      <c r="BL248" s="317"/>
      <c r="BM248" s="317"/>
      <c r="BN248" s="317"/>
      <c r="BO248" s="317"/>
      <c r="BP248" s="317"/>
      <c r="BQ248" s="317"/>
      <c r="BR248" s="317"/>
      <c r="BS248" s="317"/>
      <c r="BT248" s="317"/>
      <c r="BU248" s="317"/>
      <c r="BV248" s="317"/>
      <c r="BW248" s="317"/>
      <c r="BX248" s="317"/>
      <c r="BY248" s="317"/>
      <c r="BZ248" s="317"/>
      <c r="CA248" s="317"/>
      <c r="CB248" s="317"/>
      <c r="CC248" s="317"/>
      <c r="CD248" s="317"/>
      <c r="CE248" s="317"/>
      <c r="CF248" s="317"/>
      <c r="CG248" s="317"/>
      <c r="CH248" s="317"/>
      <c r="CI248" s="317"/>
      <c r="CM248" s="1139">
        <v>0</v>
      </c>
      <c r="CN248" s="1139">
        <v>0</v>
      </c>
      <c r="CP248" s="923">
        <f t="shared" si="103"/>
        <v>0</v>
      </c>
      <c r="CZ248" s="330"/>
    </row>
    <row r="249" spans="1:104" ht="25.5" customHeight="1" x14ac:dyDescent="0.25">
      <c r="A249" s="684">
        <f>MAX($A$6:A248)+1</f>
        <v>249</v>
      </c>
      <c r="B249" s="11" t="s">
        <v>43</v>
      </c>
      <c r="C249" s="11" t="str">
        <f t="shared" si="112"/>
        <v>SoCITE</v>
      </c>
      <c r="D249" s="11" t="s">
        <v>127</v>
      </c>
      <c r="E249" s="7" t="s">
        <v>286</v>
      </c>
      <c r="F249" s="15"/>
      <c r="G249" s="26" t="s">
        <v>340</v>
      </c>
      <c r="H249" s="6">
        <v>0</v>
      </c>
      <c r="I249" s="6">
        <v>0</v>
      </c>
      <c r="J249" s="1253" t="s">
        <v>286</v>
      </c>
      <c r="K249" s="251">
        <f>SUMIF('alb SoCITE'!$A:$A,$J249,'alb SoCITE'!$D:$D)</f>
        <v>0</v>
      </c>
      <c r="L249" s="251">
        <f>SUMIF('alb SoCITE'!$A:$A,$J249,'alb SoCITE'!$J:$J)</f>
        <v>0</v>
      </c>
      <c r="M249" s="252"/>
      <c r="N249" s="273">
        <f t="shared" si="125"/>
        <v>0</v>
      </c>
      <c r="O249" s="12"/>
      <c r="P249" s="12"/>
      <c r="Q249" s="12"/>
      <c r="R249" s="12"/>
      <c r="S249" s="6">
        <f t="shared" si="100"/>
        <v>0</v>
      </c>
      <c r="T249" s="273">
        <f t="shared" si="126"/>
        <v>0</v>
      </c>
      <c r="U249" s="6">
        <f t="shared" si="127"/>
        <v>0</v>
      </c>
      <c r="V249" s="6"/>
      <c r="W249" s="6">
        <f t="shared" si="110"/>
        <v>0</v>
      </c>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X249" s="6"/>
      <c r="AY249" s="6">
        <f>ROUND(AX249/1000/Update!$B$31*Update!$B$27,0)</f>
        <v>0</v>
      </c>
      <c r="BA249" s="6"/>
      <c r="BB249" s="6">
        <f>ROUND(BA249/1000/Update!$B$31,0)</f>
        <v>0</v>
      </c>
      <c r="BC249" s="6"/>
      <c r="BD249" s="29">
        <f t="shared" si="102"/>
        <v>0</v>
      </c>
      <c r="BE249" s="317"/>
      <c r="BF249" s="317"/>
      <c r="BG249" s="317"/>
      <c r="BH249" s="317"/>
      <c r="BI249" s="317"/>
      <c r="BJ249" s="317"/>
      <c r="BK249" s="29">
        <f t="shared" si="111"/>
        <v>0</v>
      </c>
      <c r="BL249" s="317"/>
      <c r="BM249" s="317"/>
      <c r="BN249" s="317"/>
      <c r="BO249" s="317"/>
      <c r="BP249" s="317"/>
      <c r="BQ249" s="317"/>
      <c r="BR249" s="317"/>
      <c r="BS249" s="317"/>
      <c r="BT249" s="317"/>
      <c r="BU249" s="317"/>
      <c r="BV249" s="317"/>
      <c r="BW249" s="317"/>
      <c r="BX249" s="317"/>
      <c r="BY249" s="317"/>
      <c r="BZ249" s="317"/>
      <c r="CA249" s="317"/>
      <c r="CB249" s="317"/>
      <c r="CC249" s="317"/>
      <c r="CD249" s="317"/>
      <c r="CE249" s="317"/>
      <c r="CF249" s="317"/>
      <c r="CG249" s="317"/>
      <c r="CH249" s="317"/>
      <c r="CI249" s="317"/>
      <c r="CM249" s="1139">
        <v>0</v>
      </c>
      <c r="CN249" s="1139">
        <v>0</v>
      </c>
      <c r="CP249" s="923">
        <f t="shared" si="103"/>
        <v>0</v>
      </c>
      <c r="CZ249" s="330"/>
    </row>
    <row r="250" spans="1:104" x14ac:dyDescent="0.25">
      <c r="A250" s="701">
        <f>MAX($A$6:A249)+1</f>
        <v>250</v>
      </c>
      <c r="B250" s="18" t="s">
        <v>43</v>
      </c>
      <c r="C250" s="18" t="str">
        <f t="shared" si="112"/>
        <v>SoCITE</v>
      </c>
      <c r="D250" s="18" t="s">
        <v>127</v>
      </c>
      <c r="E250" s="19" t="str">
        <f>"Balances at "&amp;Update!$B$22</f>
        <v>Balances at  31 March 2026</v>
      </c>
      <c r="F250" s="20"/>
      <c r="G250" s="28"/>
      <c r="H250" s="14">
        <f>SUM(H238:H249)+H237+H228</f>
        <v>1899</v>
      </c>
      <c r="I250" s="14">
        <f>SUM(I238:I249)+I237+I228</f>
        <v>0</v>
      </c>
      <c r="J250" s="1258" t="s">
        <v>286</v>
      </c>
      <c r="K250" s="256">
        <f>SUM(K238:K249)+K237+K228</f>
        <v>0</v>
      </c>
      <c r="L250" s="256">
        <f>SUM(L238:L249)+L237+L228</f>
        <v>0</v>
      </c>
      <c r="M250" s="21"/>
      <c r="N250" s="14">
        <f t="shared" ref="N250:W250" si="128">SUM(N238:N249)+N237+N228</f>
        <v>1899</v>
      </c>
      <c r="O250" s="14">
        <f t="shared" si="128"/>
        <v>0</v>
      </c>
      <c r="P250" s="14">
        <f t="shared" si="128"/>
        <v>0</v>
      </c>
      <c r="Q250" s="14">
        <f t="shared" si="128"/>
        <v>0</v>
      </c>
      <c r="R250" s="14">
        <f t="shared" si="128"/>
        <v>0</v>
      </c>
      <c r="S250" s="14">
        <f t="shared" si="100"/>
        <v>0</v>
      </c>
      <c r="T250" s="14">
        <f t="shared" si="128"/>
        <v>1899</v>
      </c>
      <c r="U250" s="14">
        <f t="shared" si="128"/>
        <v>0</v>
      </c>
      <c r="V250" s="14">
        <f t="shared" si="128"/>
        <v>0</v>
      </c>
      <c r="W250" s="14">
        <f t="shared" si="128"/>
        <v>1899</v>
      </c>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2"/>
      <c r="AX250" s="14">
        <f>SUM(AX238:AX249)+AX237+AX228</f>
        <v>0</v>
      </c>
      <c r="AY250" s="14">
        <f>ROUND(AX250/1000/Update!$B$31*Update!$B$27,0)</f>
        <v>0</v>
      </c>
      <c r="AZ250" s="2"/>
      <c r="BA250" s="14">
        <f>SUM(BA238:BA249)+BA237+BA228</f>
        <v>0</v>
      </c>
      <c r="BB250" s="14">
        <f>ROUND(BA250/1000/Update!$B$31,0)</f>
        <v>0</v>
      </c>
      <c r="BC250" s="14"/>
      <c r="BD250" s="14">
        <f t="shared" si="102"/>
        <v>0</v>
      </c>
      <c r="BE250" s="318">
        <f t="shared" ref="BE250:BJ250" si="129">SUM(BE238:BE249)+BE237+BE228</f>
        <v>0</v>
      </c>
      <c r="BF250" s="318">
        <f t="shared" si="129"/>
        <v>0</v>
      </c>
      <c r="BG250" s="318">
        <f t="shared" si="129"/>
        <v>0</v>
      </c>
      <c r="BH250" s="318">
        <f t="shared" si="129"/>
        <v>0</v>
      </c>
      <c r="BI250" s="318">
        <f t="shared" si="129"/>
        <v>0</v>
      </c>
      <c r="BJ250" s="318">
        <f t="shared" si="129"/>
        <v>0</v>
      </c>
      <c r="BK250" s="14">
        <f t="shared" si="111"/>
        <v>0</v>
      </c>
      <c r="BL250" s="318"/>
      <c r="BM250" s="318"/>
      <c r="BN250" s="318"/>
      <c r="BO250" s="318"/>
      <c r="BP250" s="318"/>
      <c r="BQ250" s="318"/>
      <c r="BR250" s="318"/>
      <c r="BS250" s="318"/>
      <c r="BT250" s="318"/>
      <c r="BU250" s="318"/>
      <c r="BV250" s="318"/>
      <c r="BW250" s="318"/>
      <c r="BX250" s="318"/>
      <c r="BY250" s="318"/>
      <c r="BZ250" s="318"/>
      <c r="CA250" s="318"/>
      <c r="CB250" s="318"/>
      <c r="CC250" s="318"/>
      <c r="CD250" s="318"/>
      <c r="CE250" s="318"/>
      <c r="CF250" s="318"/>
      <c r="CG250" s="318"/>
      <c r="CH250" s="318"/>
      <c r="CI250" s="318"/>
      <c r="CJ250" s="2"/>
      <c r="CK250" s="2"/>
      <c r="CM250" s="1140">
        <v>0</v>
      </c>
      <c r="CN250" s="1140">
        <v>0</v>
      </c>
      <c r="CP250" s="923">
        <f t="shared" si="103"/>
        <v>0</v>
      </c>
      <c r="CZ250" s="330"/>
    </row>
    <row r="251" spans="1:104" x14ac:dyDescent="0.25">
      <c r="A251" s="684">
        <f>MAX($A$6:A250)+1</f>
        <v>251</v>
      </c>
      <c r="B251" s="11" t="s">
        <v>43</v>
      </c>
      <c r="C251" s="11" t="str">
        <f t="shared" si="112"/>
        <v>SoCITE</v>
      </c>
      <c r="D251" s="11" t="s">
        <v>809</v>
      </c>
      <c r="E251" s="7" t="str">
        <f>"Balance at"&amp;Update!$B$17</f>
        <v>Balance at 31 March 2024</v>
      </c>
      <c r="F251" s="15"/>
      <c r="G251" s="1253" t="s">
        <v>286</v>
      </c>
      <c r="H251" s="6"/>
      <c r="I251" s="6"/>
      <c r="J251" s="1257" t="str">
        <f>E251</f>
        <v>Balance at 31 March 2024</v>
      </c>
      <c r="K251" s="251">
        <f>SUMIF('alb SoCITE'!$A:$A,$J251,'alb SoCITE'!$E:$E)</f>
        <v>0</v>
      </c>
      <c r="L251" s="251">
        <f>SUMIF('alb SoCITE'!$A:$A,$J251,'alb SoCITE'!$K:$K)</f>
        <v>0</v>
      </c>
      <c r="M251" s="252"/>
      <c r="N251" s="273">
        <f>ROUND(SUM(O251:S251)+SUM(W251:AV251),0)</f>
        <v>0</v>
      </c>
      <c r="O251" s="12"/>
      <c r="P251" s="12"/>
      <c r="Q251" s="12"/>
      <c r="R251" s="12"/>
      <c r="S251" s="6">
        <f t="shared" si="100"/>
        <v>0</v>
      </c>
      <c r="T251" s="273">
        <f>ROUND(SUM(U251:Y251),0)</f>
        <v>0</v>
      </c>
      <c r="U251" s="6">
        <f>SUM(BL251:BN251)</f>
        <v>0</v>
      </c>
      <c r="V251" s="6"/>
      <c r="W251" s="6">
        <f t="shared" si="110"/>
        <v>0</v>
      </c>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X251" s="6"/>
      <c r="AY251" s="6">
        <f>ROUND(AX251/1000/Update!$B$31*Update!$B$27,0)</f>
        <v>0</v>
      </c>
      <c r="BA251" s="6"/>
      <c r="BB251" s="6">
        <f>ROUND(BA251/1000/Update!$B$31,0)</f>
        <v>0</v>
      </c>
      <c r="BC251" s="6"/>
      <c r="BD251" s="29">
        <f t="shared" si="102"/>
        <v>0</v>
      </c>
      <c r="BE251" s="317"/>
      <c r="BF251" s="317"/>
      <c r="BG251" s="317"/>
      <c r="BH251" s="317"/>
      <c r="BI251" s="317"/>
      <c r="BJ251" s="317"/>
      <c r="BK251" s="29">
        <f t="shared" si="111"/>
        <v>0</v>
      </c>
      <c r="BL251" s="317"/>
      <c r="BM251" s="317"/>
      <c r="BN251" s="317"/>
      <c r="BO251" s="317"/>
      <c r="BP251" s="317"/>
      <c r="BQ251" s="317"/>
      <c r="BR251" s="317"/>
      <c r="BS251" s="317"/>
      <c r="BT251" s="317"/>
      <c r="BU251" s="317"/>
      <c r="BV251" s="317"/>
      <c r="BW251" s="317"/>
      <c r="BX251" s="317"/>
      <c r="BY251" s="317"/>
      <c r="BZ251" s="317"/>
      <c r="CA251" s="317"/>
      <c r="CB251" s="317"/>
      <c r="CC251" s="317"/>
      <c r="CD251" s="317"/>
      <c r="CE251" s="317"/>
      <c r="CF251" s="317"/>
      <c r="CG251" s="317"/>
      <c r="CH251" s="317"/>
      <c r="CI251" s="317"/>
      <c r="CM251" s="1139">
        <v>0</v>
      </c>
      <c r="CN251" s="1139">
        <v>0</v>
      </c>
      <c r="CP251" s="923">
        <f t="shared" si="103"/>
        <v>0</v>
      </c>
      <c r="CZ251" s="330"/>
    </row>
    <row r="252" spans="1:104" x14ac:dyDescent="0.25">
      <c r="A252" s="684">
        <f>MAX($A$6:A251)+1</f>
        <v>252</v>
      </c>
      <c r="B252" s="11" t="s">
        <v>43</v>
      </c>
      <c r="C252" s="11" t="str">
        <f t="shared" si="112"/>
        <v>SoCITE</v>
      </c>
      <c r="D252" s="11" t="s">
        <v>809</v>
      </c>
      <c r="E252" s="7" t="s">
        <v>111</v>
      </c>
      <c r="F252" s="15"/>
      <c r="G252" s="1253" t="s">
        <v>286</v>
      </c>
      <c r="H252" s="6"/>
      <c r="I252" s="6"/>
      <c r="J252" s="1257" t="s">
        <v>111</v>
      </c>
      <c r="K252" s="251">
        <f>SUMIF('alb SoCITE'!$A:$A,$J252,'alb SoCITE'!$E:$E)</f>
        <v>0</v>
      </c>
      <c r="L252" s="251">
        <f>SUMIF('alb SoCITE'!$A:$A,$J252,'alb SoCITE'!$K:$K)</f>
        <v>0</v>
      </c>
      <c r="M252" s="252"/>
      <c r="N252" s="273">
        <f>ROUND(SUM(O252:S252)+SUM(W252:AV252),0)</f>
        <v>0</v>
      </c>
      <c r="O252" s="12"/>
      <c r="P252" s="12"/>
      <c r="Q252" s="12"/>
      <c r="R252" s="12"/>
      <c r="S252" s="6">
        <f t="shared" ref="S252:S302" si="130">-IF(ISNUMBER(BD252),BD252,0)</f>
        <v>0</v>
      </c>
      <c r="T252" s="273">
        <f>ROUND(SUM(U252:Y252),0)</f>
        <v>0</v>
      </c>
      <c r="U252" s="6">
        <f>SUM(BL252:BN252)</f>
        <v>0</v>
      </c>
      <c r="V252" s="6"/>
      <c r="W252" s="6">
        <f t="shared" si="110"/>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X252" s="6"/>
      <c r="AY252" s="6">
        <f>ROUND(AX252/1000/Update!$B$31*Update!$B$27,0)</f>
        <v>0</v>
      </c>
      <c r="BA252" s="6"/>
      <c r="BB252" s="6">
        <f>ROUND(BA252/1000/Update!$B$31,0)</f>
        <v>0</v>
      </c>
      <c r="BC252" s="6"/>
      <c r="BD252" s="29">
        <f t="shared" si="102"/>
        <v>0</v>
      </c>
      <c r="BE252" s="317"/>
      <c r="BF252" s="317"/>
      <c r="BG252" s="317"/>
      <c r="BH252" s="317"/>
      <c r="BI252" s="317"/>
      <c r="BJ252" s="317"/>
      <c r="BK252" s="29">
        <f t="shared" si="111"/>
        <v>0</v>
      </c>
      <c r="BL252" s="317"/>
      <c r="BM252" s="317"/>
      <c r="BN252" s="317"/>
      <c r="BO252" s="317"/>
      <c r="BP252" s="317"/>
      <c r="BQ252" s="317"/>
      <c r="BR252" s="317"/>
      <c r="BS252" s="317"/>
      <c r="BT252" s="317"/>
      <c r="BU252" s="317"/>
      <c r="BV252" s="317"/>
      <c r="BW252" s="317"/>
      <c r="BX252" s="317"/>
      <c r="BY252" s="317"/>
      <c r="BZ252" s="317"/>
      <c r="CA252" s="317"/>
      <c r="CB252" s="317"/>
      <c r="CC252" s="317"/>
      <c r="CD252" s="317"/>
      <c r="CE252" s="317"/>
      <c r="CF252" s="317"/>
      <c r="CG252" s="317"/>
      <c r="CH252" s="317"/>
      <c r="CI252" s="317"/>
      <c r="CM252" s="1139">
        <v>0</v>
      </c>
      <c r="CN252" s="1139">
        <v>0</v>
      </c>
      <c r="CP252" s="923">
        <f t="shared" si="103"/>
        <v>0</v>
      </c>
      <c r="CZ252" s="330"/>
    </row>
    <row r="253" spans="1:104" x14ac:dyDescent="0.25">
      <c r="A253" s="684">
        <f>MAX($A$6:A252)+1</f>
        <v>253</v>
      </c>
      <c r="B253" s="11" t="s">
        <v>43</v>
      </c>
      <c r="C253" s="11" t="str">
        <f t="shared" si="112"/>
        <v>SoCITE</v>
      </c>
      <c r="D253" s="11" t="s">
        <v>809</v>
      </c>
      <c r="E253" s="7" t="s">
        <v>112</v>
      </c>
      <c r="F253" s="15"/>
      <c r="G253" s="1253" t="s">
        <v>286</v>
      </c>
      <c r="H253" s="6"/>
      <c r="I253" s="6"/>
      <c r="J253" s="1261" t="s">
        <v>286</v>
      </c>
      <c r="K253" s="251">
        <f>SUMIF('alb SoCITE'!$A:$A,$J253,'alb SoCITE'!$E:$E)</f>
        <v>0</v>
      </c>
      <c r="L253" s="251">
        <f>SUMIF('alb SoCITE'!$A:$A,$J253,'alb SoCITE'!$K:$K)</f>
        <v>0</v>
      </c>
      <c r="M253" s="252"/>
      <c r="N253" s="273">
        <f>ROUND(SUM(O253:S253)+SUM(W253:AV253),0)</f>
        <v>0</v>
      </c>
      <c r="O253" s="12"/>
      <c r="P253" s="12"/>
      <c r="Q253" s="12"/>
      <c r="R253" s="12"/>
      <c r="S253" s="6">
        <f t="shared" si="130"/>
        <v>0</v>
      </c>
      <c r="T253" s="273">
        <f>ROUND(SUM(U253:Y253),0)</f>
        <v>0</v>
      </c>
      <c r="U253" s="6">
        <f>SUM(BL253:BN253)</f>
        <v>0</v>
      </c>
      <c r="V253" s="6"/>
      <c r="W253" s="6">
        <f t="shared" si="110"/>
        <v>0</v>
      </c>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X253" s="6"/>
      <c r="AY253" s="6">
        <f>ROUND(AX253/1000/Update!$B$31*Update!$B$27,0)</f>
        <v>0</v>
      </c>
      <c r="BA253" s="6"/>
      <c r="BB253" s="6">
        <f>ROUND(BA253/1000/Update!$B$31,0)</f>
        <v>0</v>
      </c>
      <c r="BC253" s="6"/>
      <c r="BD253" s="29">
        <f t="shared" si="102"/>
        <v>0</v>
      </c>
      <c r="BE253" s="317"/>
      <c r="BF253" s="317"/>
      <c r="BG253" s="317"/>
      <c r="BH253" s="317"/>
      <c r="BI253" s="317"/>
      <c r="BJ253" s="317"/>
      <c r="BK253" s="29">
        <f t="shared" si="111"/>
        <v>0</v>
      </c>
      <c r="BL253" s="317"/>
      <c r="BM253" s="317"/>
      <c r="BN253" s="317"/>
      <c r="BO253" s="317"/>
      <c r="BP253" s="317"/>
      <c r="BQ253" s="317"/>
      <c r="BR253" s="317"/>
      <c r="BS253" s="317"/>
      <c r="BT253" s="317"/>
      <c r="BU253" s="317"/>
      <c r="BV253" s="317"/>
      <c r="BW253" s="317"/>
      <c r="BX253" s="317"/>
      <c r="BY253" s="317"/>
      <c r="BZ253" s="317"/>
      <c r="CA253" s="317"/>
      <c r="CB253" s="317"/>
      <c r="CC253" s="317"/>
      <c r="CD253" s="317"/>
      <c r="CE253" s="317"/>
      <c r="CF253" s="317"/>
      <c r="CG253" s="317"/>
      <c r="CH253" s="317"/>
      <c r="CI253" s="317"/>
      <c r="CM253" s="1139">
        <v>0</v>
      </c>
      <c r="CN253" s="1139">
        <v>0</v>
      </c>
      <c r="CP253" s="923">
        <f t="shared" si="103"/>
        <v>0</v>
      </c>
      <c r="CZ253" s="330"/>
    </row>
    <row r="254" spans="1:104" x14ac:dyDescent="0.25">
      <c r="A254" s="701">
        <f>MAX($A$6:A253)+1</f>
        <v>254</v>
      </c>
      <c r="B254" s="18" t="s">
        <v>43</v>
      </c>
      <c r="C254" s="18" t="str">
        <f t="shared" si="112"/>
        <v>SoCITE</v>
      </c>
      <c r="D254" s="18" t="s">
        <v>809</v>
      </c>
      <c r="E254" s="19" t="str">
        <f>"Restated balances at"&amp;Update!$B$18</f>
        <v>Restated balances at 1 April 2024</v>
      </c>
      <c r="F254" s="20"/>
      <c r="G254" s="1278"/>
      <c r="H254" s="14"/>
      <c r="I254" s="14"/>
      <c r="J254" s="1258" t="s">
        <v>286</v>
      </c>
      <c r="K254" s="256">
        <f>SUM(K251:K253)</f>
        <v>0</v>
      </c>
      <c r="L254" s="256">
        <f>SUM(L251:L253)</f>
        <v>0</v>
      </c>
      <c r="M254" s="14">
        <f>SUM(M251:M253)</f>
        <v>0</v>
      </c>
      <c r="N254" s="14">
        <f t="shared" ref="N254:W254" si="131">SUM(N251:N253)</f>
        <v>0</v>
      </c>
      <c r="O254" s="14">
        <f t="shared" si="131"/>
        <v>0</v>
      </c>
      <c r="P254" s="14">
        <f t="shared" si="131"/>
        <v>0</v>
      </c>
      <c r="Q254" s="14">
        <f t="shared" si="131"/>
        <v>0</v>
      </c>
      <c r="R254" s="14">
        <f t="shared" si="131"/>
        <v>0</v>
      </c>
      <c r="S254" s="14">
        <f t="shared" si="130"/>
        <v>0</v>
      </c>
      <c r="T254" s="14">
        <f t="shared" si="131"/>
        <v>0</v>
      </c>
      <c r="U254" s="14">
        <f t="shared" si="131"/>
        <v>0</v>
      </c>
      <c r="V254" s="14">
        <f t="shared" si="131"/>
        <v>0</v>
      </c>
      <c r="W254" s="14">
        <f t="shared" si="131"/>
        <v>0</v>
      </c>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2"/>
      <c r="AX254" s="14">
        <f>SUM(AX251:AX253)</f>
        <v>0</v>
      </c>
      <c r="AY254" s="14">
        <f>ROUND(AX254/1000/Update!$B$31*Update!$B$27,0)</f>
        <v>0</v>
      </c>
      <c r="AZ254" s="2"/>
      <c r="BA254" s="14">
        <f>SUM(BA251:BA253)</f>
        <v>0</v>
      </c>
      <c r="BB254" s="14">
        <f>ROUND(BA254/1000/Update!$B$31,0)</f>
        <v>0</v>
      </c>
      <c r="BC254" s="14"/>
      <c r="BD254" s="14">
        <f t="shared" si="102"/>
        <v>0</v>
      </c>
      <c r="BE254" s="318">
        <f t="shared" ref="BE254:BJ254" si="132">SUM(BE251:BE253)</f>
        <v>0</v>
      </c>
      <c r="BF254" s="318">
        <f t="shared" si="132"/>
        <v>0</v>
      </c>
      <c r="BG254" s="318">
        <f t="shared" si="132"/>
        <v>0</v>
      </c>
      <c r="BH254" s="318">
        <f t="shared" si="132"/>
        <v>0</v>
      </c>
      <c r="BI254" s="318">
        <f t="shared" si="132"/>
        <v>0</v>
      </c>
      <c r="BJ254" s="318">
        <f t="shared" si="132"/>
        <v>0</v>
      </c>
      <c r="BK254" s="14">
        <f t="shared" si="111"/>
        <v>0</v>
      </c>
      <c r="BL254" s="318"/>
      <c r="BM254" s="318"/>
      <c r="BN254" s="318"/>
      <c r="BO254" s="318"/>
      <c r="BP254" s="318"/>
      <c r="BQ254" s="318"/>
      <c r="BR254" s="318"/>
      <c r="BS254" s="318"/>
      <c r="BT254" s="318"/>
      <c r="BU254" s="318"/>
      <c r="BV254" s="318"/>
      <c r="BW254" s="318"/>
      <c r="BX254" s="318"/>
      <c r="BY254" s="318"/>
      <c r="BZ254" s="318"/>
      <c r="CA254" s="318"/>
      <c r="CB254" s="318"/>
      <c r="CC254" s="318"/>
      <c r="CD254" s="318"/>
      <c r="CE254" s="318"/>
      <c r="CF254" s="318"/>
      <c r="CG254" s="318"/>
      <c r="CH254" s="318"/>
      <c r="CI254" s="318"/>
      <c r="CJ254" s="2"/>
      <c r="CK254" s="2"/>
      <c r="CM254" s="1140">
        <v>0</v>
      </c>
      <c r="CN254" s="1140">
        <v>0</v>
      </c>
      <c r="CP254" s="923">
        <f t="shared" si="103"/>
        <v>0</v>
      </c>
      <c r="CZ254" s="330"/>
    </row>
    <row r="255" spans="1:104" x14ac:dyDescent="0.25">
      <c r="A255" s="684">
        <f>MAX($A$6:A254)+1</f>
        <v>255</v>
      </c>
      <c r="B255" s="11" t="s">
        <v>43</v>
      </c>
      <c r="C255" s="11" t="str">
        <f t="shared" si="112"/>
        <v>SoCITE</v>
      </c>
      <c r="D255" s="11" t="s">
        <v>809</v>
      </c>
      <c r="E255" s="13" t="str">
        <f>"Changes in taxpayers’ equity for "&amp;Update!$B$15</f>
        <v>Changes in taxpayers’ equity for 2024-25</v>
      </c>
      <c r="F255" s="15"/>
      <c r="G255" s="1253" t="s">
        <v>286</v>
      </c>
      <c r="H255" s="6"/>
      <c r="I255" s="6"/>
      <c r="J255" s="1253" t="s">
        <v>859</v>
      </c>
      <c r="K255" s="251">
        <f>SUMIF('alb SoCITE'!$A:$A,$J255,'alb SoCITE'!$E:$E)</f>
        <v>0</v>
      </c>
      <c r="L255" s="251">
        <f>SUMIF('alb SoCITE'!$A:$A,$J255,'alb SoCITE'!$K:$K)</f>
        <v>0</v>
      </c>
      <c r="M255" s="252"/>
      <c r="N255" s="273">
        <f t="shared" ref="N255:N260" si="133">ROUND(SUM(O255:S255)+SUM(W255:AV255),0)</f>
        <v>0</v>
      </c>
      <c r="O255" s="12"/>
      <c r="P255" s="12"/>
      <c r="Q255" s="12"/>
      <c r="R255" s="12"/>
      <c r="S255" s="6">
        <f t="shared" si="130"/>
        <v>0</v>
      </c>
      <c r="T255" s="273">
        <f t="shared" ref="T255:T260" si="134">ROUND(SUM(U255:Y255),0)</f>
        <v>0</v>
      </c>
      <c r="U255" s="6">
        <f t="shared" ref="U255:U260" si="135">SUM(BL255:BN255)</f>
        <v>0</v>
      </c>
      <c r="V255" s="6"/>
      <c r="W255" s="6">
        <f t="shared" si="110"/>
        <v>0</v>
      </c>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X255" s="6"/>
      <c r="AY255" s="6">
        <f>ROUND(AX255/1000/Update!$B$31*Update!$B$27,0)</f>
        <v>0</v>
      </c>
      <c r="BA255" s="6"/>
      <c r="BB255" s="6">
        <f>ROUND(BA255/1000/Update!$B$31,0)</f>
        <v>0</v>
      </c>
      <c r="BC255" s="6"/>
      <c r="BD255" s="29">
        <f t="shared" ref="BD255:BD318" si="136">ROUND(SUM(BE255:BK255),0)</f>
        <v>0</v>
      </c>
      <c r="BE255" s="317"/>
      <c r="BF255" s="317"/>
      <c r="BG255" s="317"/>
      <c r="BH255" s="317"/>
      <c r="BI255" s="317"/>
      <c r="BJ255" s="317"/>
      <c r="BK255" s="29">
        <f t="shared" si="111"/>
        <v>0</v>
      </c>
      <c r="BL255" s="317"/>
      <c r="BM255" s="317"/>
      <c r="BN255" s="317"/>
      <c r="BO255" s="317"/>
      <c r="BP255" s="317"/>
      <c r="BQ255" s="317"/>
      <c r="BR255" s="317"/>
      <c r="BS255" s="317"/>
      <c r="BT255" s="317"/>
      <c r="BU255" s="317"/>
      <c r="BV255" s="317"/>
      <c r="BW255" s="317"/>
      <c r="BX255" s="317"/>
      <c r="BY255" s="317"/>
      <c r="BZ255" s="317"/>
      <c r="CA255" s="317"/>
      <c r="CB255" s="317"/>
      <c r="CC255" s="317"/>
      <c r="CD255" s="317"/>
      <c r="CE255" s="317"/>
      <c r="CF255" s="317"/>
      <c r="CG255" s="317"/>
      <c r="CH255" s="317"/>
      <c r="CI255" s="317"/>
      <c r="CM255" s="1139">
        <v>0</v>
      </c>
      <c r="CN255" s="1139">
        <v>0</v>
      </c>
      <c r="CP255" s="923">
        <f t="shared" si="103"/>
        <v>0</v>
      </c>
      <c r="CZ255" s="330"/>
    </row>
    <row r="256" spans="1:104" ht="30" x14ac:dyDescent="0.25">
      <c r="A256" s="684">
        <f>MAX($A$6:A255)+1</f>
        <v>256</v>
      </c>
      <c r="B256" s="11" t="s">
        <v>43</v>
      </c>
      <c r="C256" s="11" t="str">
        <f t="shared" si="112"/>
        <v>SoCITE</v>
      </c>
      <c r="D256" s="11" t="s">
        <v>809</v>
      </c>
      <c r="E256" s="7" t="s">
        <v>113</v>
      </c>
      <c r="F256" s="15"/>
      <c r="G256" s="1253" t="s">
        <v>286</v>
      </c>
      <c r="H256" s="6"/>
      <c r="I256" s="6"/>
      <c r="J256" s="1253" t="s">
        <v>286</v>
      </c>
      <c r="K256" s="251">
        <f>SUMIF('alb SoCITE'!$A:$A,$J256,'alb SoCITE'!$E:$E)</f>
        <v>0</v>
      </c>
      <c r="L256" s="251">
        <f>SUMIF('alb SoCITE'!$A:$A,$J256,'alb SoCITE'!$K:$K)</f>
        <v>0</v>
      </c>
      <c r="M256" s="252"/>
      <c r="N256" s="273">
        <f t="shared" si="133"/>
        <v>0</v>
      </c>
      <c r="O256" s="12"/>
      <c r="P256" s="12"/>
      <c r="Q256" s="12"/>
      <c r="R256" s="12"/>
      <c r="S256" s="6">
        <f t="shared" si="130"/>
        <v>0</v>
      </c>
      <c r="T256" s="273">
        <f t="shared" si="134"/>
        <v>0</v>
      </c>
      <c r="U256" s="6">
        <f t="shared" si="135"/>
        <v>0</v>
      </c>
      <c r="V256" s="6"/>
      <c r="W256" s="6">
        <f t="shared" si="110"/>
        <v>0</v>
      </c>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X256" s="6"/>
      <c r="AY256" s="6">
        <f>ROUND(AX256/1000/Update!$B$31*Update!$B$27,0)</f>
        <v>0</v>
      </c>
      <c r="BA256" s="6"/>
      <c r="BB256" s="6">
        <f>ROUND(BA256/1000/Update!$B$31,0)</f>
        <v>0</v>
      </c>
      <c r="BC256" s="6"/>
      <c r="BD256" s="29">
        <f t="shared" si="136"/>
        <v>0</v>
      </c>
      <c r="BE256" s="317"/>
      <c r="BF256" s="317"/>
      <c r="BG256" s="317"/>
      <c r="BH256" s="317"/>
      <c r="BI256" s="317"/>
      <c r="BJ256" s="317"/>
      <c r="BK256" s="29">
        <f t="shared" si="111"/>
        <v>0</v>
      </c>
      <c r="BL256" s="317"/>
      <c r="BM256" s="317"/>
      <c r="BN256" s="317"/>
      <c r="BO256" s="317"/>
      <c r="BP256" s="317"/>
      <c r="BQ256" s="317"/>
      <c r="BR256" s="317"/>
      <c r="BS256" s="317"/>
      <c r="BT256" s="317"/>
      <c r="BU256" s="317"/>
      <c r="BV256" s="317"/>
      <c r="BW256" s="317"/>
      <c r="BX256" s="317"/>
      <c r="BY256" s="317"/>
      <c r="BZ256" s="317"/>
      <c r="CA256" s="317"/>
      <c r="CB256" s="317"/>
      <c r="CC256" s="317"/>
      <c r="CD256" s="317"/>
      <c r="CE256" s="317"/>
      <c r="CF256" s="317"/>
      <c r="CG256" s="317"/>
      <c r="CH256" s="317"/>
      <c r="CI256" s="317"/>
      <c r="CM256" s="1139">
        <v>0</v>
      </c>
      <c r="CN256" s="1139">
        <v>0</v>
      </c>
      <c r="CP256" s="923">
        <f t="shared" si="103"/>
        <v>0</v>
      </c>
      <c r="CZ256" s="330"/>
    </row>
    <row r="257" spans="1:104" ht="30" x14ac:dyDescent="0.25">
      <c r="A257" s="684">
        <f>MAX($A$6:A256)+1</f>
        <v>257</v>
      </c>
      <c r="B257" s="11" t="s">
        <v>43</v>
      </c>
      <c r="C257" s="11" t="str">
        <f t="shared" si="112"/>
        <v>SoCITE</v>
      </c>
      <c r="D257" s="11" t="s">
        <v>809</v>
      </c>
      <c r="E257" s="7" t="s">
        <v>114</v>
      </c>
      <c r="F257" s="15"/>
      <c r="G257" s="1253" t="s">
        <v>286</v>
      </c>
      <c r="H257" s="6"/>
      <c r="I257" s="6"/>
      <c r="J257" s="1253" t="s">
        <v>286</v>
      </c>
      <c r="K257" s="251">
        <f>SUMIF('alb SoCITE'!$A:$A,$J257,'alb SoCITE'!$E:$E)</f>
        <v>0</v>
      </c>
      <c r="L257" s="251">
        <f>SUMIF('alb SoCITE'!$A:$A,$J257,'alb SoCITE'!$K:$K)</f>
        <v>0</v>
      </c>
      <c r="M257" s="252"/>
      <c r="N257" s="273">
        <f t="shared" si="133"/>
        <v>0</v>
      </c>
      <c r="O257" s="12"/>
      <c r="P257" s="12"/>
      <c r="Q257" s="12"/>
      <c r="R257" s="12"/>
      <c r="S257" s="6">
        <f t="shared" si="130"/>
        <v>0</v>
      </c>
      <c r="T257" s="273">
        <f t="shared" si="134"/>
        <v>0</v>
      </c>
      <c r="U257" s="6">
        <f t="shared" si="135"/>
        <v>0</v>
      </c>
      <c r="V257" s="6"/>
      <c r="W257" s="6">
        <f t="shared" si="110"/>
        <v>0</v>
      </c>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X257" s="6"/>
      <c r="AY257" s="6">
        <f>ROUND(AX257/1000/Update!$B$31*Update!$B$27,0)</f>
        <v>0</v>
      </c>
      <c r="BA257" s="6"/>
      <c r="BB257" s="6">
        <f>ROUND(BA257/1000/Update!$B$31,0)</f>
        <v>0</v>
      </c>
      <c r="BC257" s="6"/>
      <c r="BD257" s="29">
        <f t="shared" si="136"/>
        <v>0</v>
      </c>
      <c r="BE257" s="317"/>
      <c r="BF257" s="317"/>
      <c r="BG257" s="317"/>
      <c r="BH257" s="317"/>
      <c r="BI257" s="317"/>
      <c r="BJ257" s="317"/>
      <c r="BK257" s="29">
        <f t="shared" si="111"/>
        <v>0</v>
      </c>
      <c r="BL257" s="317"/>
      <c r="BM257" s="317"/>
      <c r="BN257" s="317"/>
      <c r="BO257" s="317"/>
      <c r="BP257" s="317"/>
      <c r="BQ257" s="317"/>
      <c r="BR257" s="317"/>
      <c r="BS257" s="317"/>
      <c r="BT257" s="317"/>
      <c r="BU257" s="317"/>
      <c r="BV257" s="317"/>
      <c r="BW257" s="317"/>
      <c r="BX257" s="317"/>
      <c r="BY257" s="317"/>
      <c r="BZ257" s="317"/>
      <c r="CA257" s="317"/>
      <c r="CB257" s="317"/>
      <c r="CC257" s="317"/>
      <c r="CD257" s="317"/>
      <c r="CE257" s="317"/>
      <c r="CF257" s="317"/>
      <c r="CG257" s="317"/>
      <c r="CH257" s="317"/>
      <c r="CI257" s="317"/>
      <c r="CM257" s="1139">
        <v>0</v>
      </c>
      <c r="CN257" s="1139">
        <v>0</v>
      </c>
      <c r="CP257" s="923">
        <f t="shared" si="103"/>
        <v>0</v>
      </c>
      <c r="CZ257" s="330"/>
    </row>
    <row r="258" spans="1:104" x14ac:dyDescent="0.25">
      <c r="A258" s="684">
        <f>MAX($A$6:A257)+1</f>
        <v>258</v>
      </c>
      <c r="B258" s="11" t="s">
        <v>43</v>
      </c>
      <c r="C258" s="11" t="str">
        <f t="shared" si="112"/>
        <v>SoCITE</v>
      </c>
      <c r="D258" s="11" t="s">
        <v>809</v>
      </c>
      <c r="E258" s="7" t="s">
        <v>115</v>
      </c>
      <c r="F258" s="15"/>
      <c r="G258" s="1253" t="s">
        <v>286</v>
      </c>
      <c r="H258" s="6"/>
      <c r="I258" s="6"/>
      <c r="J258" s="1253" t="s">
        <v>286</v>
      </c>
      <c r="K258" s="251">
        <f>SUMIF('alb SoCITE'!$A:$A,$J258,'alb SoCITE'!$E:$E)</f>
        <v>0</v>
      </c>
      <c r="L258" s="251">
        <f>SUMIF('alb SoCITE'!$A:$A,$J258,'alb SoCITE'!$K:$K)</f>
        <v>0</v>
      </c>
      <c r="M258" s="252"/>
      <c r="N258" s="273">
        <f t="shared" si="133"/>
        <v>0</v>
      </c>
      <c r="O258" s="12"/>
      <c r="P258" s="12"/>
      <c r="Q258" s="12"/>
      <c r="R258" s="12"/>
      <c r="S258" s="6">
        <f t="shared" si="130"/>
        <v>0</v>
      </c>
      <c r="T258" s="273">
        <f t="shared" si="134"/>
        <v>0</v>
      </c>
      <c r="U258" s="6">
        <f t="shared" si="135"/>
        <v>0</v>
      </c>
      <c r="V258" s="1605"/>
      <c r="W258" s="6">
        <f t="shared" si="110"/>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X258" s="6"/>
      <c r="AY258" s="6">
        <f>ROUND(AX258/1000/Update!$B$31*Update!$B$27,0)</f>
        <v>0</v>
      </c>
      <c r="BA258" s="6"/>
      <c r="BB258" s="6">
        <f>ROUND(BA258/1000/Update!$B$31,0)</f>
        <v>0</v>
      </c>
      <c r="BC258" s="6"/>
      <c r="BD258" s="29">
        <f t="shared" si="136"/>
        <v>0</v>
      </c>
      <c r="BE258" s="317"/>
      <c r="BF258" s="317"/>
      <c r="BG258" s="317"/>
      <c r="BH258" s="317"/>
      <c r="BI258" s="317"/>
      <c r="BJ258" s="317"/>
      <c r="BK258" s="29">
        <f t="shared" si="111"/>
        <v>0</v>
      </c>
      <c r="BL258" s="317"/>
      <c r="BM258" s="317"/>
      <c r="BN258" s="317"/>
      <c r="BO258" s="317"/>
      <c r="BP258" s="317"/>
      <c r="BQ258" s="317"/>
      <c r="BR258" s="317"/>
      <c r="BS258" s="317"/>
      <c r="BT258" s="317"/>
      <c r="BU258" s="317"/>
      <c r="BV258" s="317"/>
      <c r="BW258" s="317"/>
      <c r="BX258" s="317"/>
      <c r="BY258" s="317"/>
      <c r="BZ258" s="317"/>
      <c r="CA258" s="317"/>
      <c r="CB258" s="317"/>
      <c r="CC258" s="317"/>
      <c r="CD258" s="317"/>
      <c r="CE258" s="317"/>
      <c r="CF258" s="317"/>
      <c r="CG258" s="317"/>
      <c r="CH258" s="317"/>
      <c r="CI258" s="317"/>
      <c r="CM258" s="1139">
        <v>0</v>
      </c>
      <c r="CN258" s="1139">
        <v>0</v>
      </c>
      <c r="CP258" s="923">
        <f t="shared" si="103"/>
        <v>0</v>
      </c>
      <c r="CZ258" s="330"/>
    </row>
    <row r="259" spans="1:104" x14ac:dyDescent="0.25">
      <c r="A259" s="684">
        <f>MAX($A$6:A258)+1</f>
        <v>259</v>
      </c>
      <c r="B259" s="11" t="s">
        <v>43</v>
      </c>
      <c r="C259" s="11" t="str">
        <f t="shared" si="112"/>
        <v>SoCITE</v>
      </c>
      <c r="D259" s="11" t="s">
        <v>809</v>
      </c>
      <c r="E259" s="7" t="s">
        <v>116</v>
      </c>
      <c r="F259" s="15"/>
      <c r="G259" s="1253" t="s">
        <v>286</v>
      </c>
      <c r="H259" s="6"/>
      <c r="I259" s="6"/>
      <c r="J259" s="1253" t="s">
        <v>286</v>
      </c>
      <c r="K259" s="251">
        <f>SUMIF('alb SoCITE'!$A:$A,$J259,'alb SoCITE'!$E:$E)</f>
        <v>0</v>
      </c>
      <c r="L259" s="251">
        <f>SUMIF('alb SoCITE'!$A:$A,$J259,'alb SoCITE'!$K:$K)</f>
        <v>0</v>
      </c>
      <c r="M259" s="252"/>
      <c r="N259" s="273">
        <f t="shared" si="133"/>
        <v>0</v>
      </c>
      <c r="O259" s="12"/>
      <c r="P259" s="12"/>
      <c r="Q259" s="12"/>
      <c r="R259" s="12"/>
      <c r="S259" s="6">
        <f t="shared" si="130"/>
        <v>0</v>
      </c>
      <c r="T259" s="273">
        <f t="shared" si="134"/>
        <v>0</v>
      </c>
      <c r="U259" s="6">
        <f t="shared" si="135"/>
        <v>0</v>
      </c>
      <c r="V259" s="6"/>
      <c r="W259" s="6">
        <f t="shared" si="110"/>
        <v>0</v>
      </c>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X259" s="6"/>
      <c r="AY259" s="6">
        <f>ROUND(AX259/1000/Update!$B$31*Update!$B$27,0)</f>
        <v>0</v>
      </c>
      <c r="BA259" s="6"/>
      <c r="BB259" s="6">
        <f>ROUND(BA259/1000/Update!$B$31,0)</f>
        <v>0</v>
      </c>
      <c r="BC259" s="6"/>
      <c r="BD259" s="29">
        <f t="shared" si="136"/>
        <v>0</v>
      </c>
      <c r="BE259" s="317"/>
      <c r="BF259" s="317"/>
      <c r="BG259" s="317"/>
      <c r="BH259" s="317"/>
      <c r="BI259" s="317"/>
      <c r="BJ259" s="317"/>
      <c r="BK259" s="29">
        <f t="shared" si="111"/>
        <v>0</v>
      </c>
      <c r="BL259" s="317"/>
      <c r="BM259" s="317"/>
      <c r="BN259" s="317"/>
      <c r="BO259" s="317"/>
      <c r="BP259" s="317"/>
      <c r="BQ259" s="317"/>
      <c r="BR259" s="317"/>
      <c r="BS259" s="317"/>
      <c r="BT259" s="317"/>
      <c r="BU259" s="317"/>
      <c r="BV259" s="317"/>
      <c r="BW259" s="317"/>
      <c r="BX259" s="317"/>
      <c r="BY259" s="317"/>
      <c r="BZ259" s="317"/>
      <c r="CA259" s="317"/>
      <c r="CB259" s="317"/>
      <c r="CC259" s="317"/>
      <c r="CD259" s="317"/>
      <c r="CE259" s="317"/>
      <c r="CF259" s="317"/>
      <c r="CG259" s="317"/>
      <c r="CH259" s="317"/>
      <c r="CI259" s="317"/>
      <c r="CM259" s="1139">
        <v>0</v>
      </c>
      <c r="CN259" s="1139">
        <v>0</v>
      </c>
      <c r="CP259" s="923">
        <f t="shared" si="103"/>
        <v>0</v>
      </c>
      <c r="CZ259" s="330"/>
    </row>
    <row r="260" spans="1:104" x14ac:dyDescent="0.25">
      <c r="A260" s="684">
        <f>MAX($A$6:A259)+1</f>
        <v>260</v>
      </c>
      <c r="B260" s="11" t="s">
        <v>43</v>
      </c>
      <c r="C260" s="11" t="str">
        <f t="shared" si="112"/>
        <v>SoCITE</v>
      </c>
      <c r="D260" s="11" t="s">
        <v>809</v>
      </c>
      <c r="E260" s="7" t="s">
        <v>286</v>
      </c>
      <c r="F260" s="15"/>
      <c r="G260" s="1253" t="s">
        <v>286</v>
      </c>
      <c r="H260" s="6"/>
      <c r="I260" s="6"/>
      <c r="J260" s="1253" t="s">
        <v>286</v>
      </c>
      <c r="K260" s="251">
        <f>SUMIF('alb SoCITE'!$A:$A,$J260,'alb SoCITE'!$E:$E)</f>
        <v>0</v>
      </c>
      <c r="L260" s="251">
        <f>SUMIF('alb SoCITE'!$A:$A,$J260,'alb SoCITE'!$K:$K)</f>
        <v>0</v>
      </c>
      <c r="M260" s="252"/>
      <c r="N260" s="273">
        <f t="shared" si="133"/>
        <v>0</v>
      </c>
      <c r="O260" s="12"/>
      <c r="P260" s="12"/>
      <c r="Q260" s="12"/>
      <c r="R260" s="12"/>
      <c r="S260" s="6">
        <f t="shared" si="130"/>
        <v>0</v>
      </c>
      <c r="T260" s="273">
        <f t="shared" si="134"/>
        <v>0</v>
      </c>
      <c r="U260" s="6">
        <f t="shared" si="135"/>
        <v>0</v>
      </c>
      <c r="V260" s="6"/>
      <c r="W260" s="6">
        <f t="shared" si="110"/>
        <v>0</v>
      </c>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X260" s="6"/>
      <c r="AY260" s="6">
        <f>ROUND(AX260/1000/Update!$B$31*Update!$B$27,0)</f>
        <v>0</v>
      </c>
      <c r="BA260" s="6"/>
      <c r="BB260" s="6">
        <f>ROUND(BA260/1000/Update!$B$31,0)</f>
        <v>0</v>
      </c>
      <c r="BC260" s="6"/>
      <c r="BD260" s="29">
        <f t="shared" si="136"/>
        <v>0</v>
      </c>
      <c r="BE260" s="317"/>
      <c r="BF260" s="317"/>
      <c r="BG260" s="317"/>
      <c r="BH260" s="317"/>
      <c r="BI260" s="317"/>
      <c r="BJ260" s="317"/>
      <c r="BK260" s="29">
        <f t="shared" si="111"/>
        <v>0</v>
      </c>
      <c r="BL260" s="317"/>
      <c r="BM260" s="317"/>
      <c r="BN260" s="317"/>
      <c r="BO260" s="317"/>
      <c r="BP260" s="317"/>
      <c r="BQ260" s="317"/>
      <c r="BR260" s="317"/>
      <c r="BS260" s="317"/>
      <c r="BT260" s="317"/>
      <c r="BU260" s="317"/>
      <c r="BV260" s="317"/>
      <c r="BW260" s="317"/>
      <c r="BX260" s="317"/>
      <c r="BY260" s="317"/>
      <c r="BZ260" s="317"/>
      <c r="CA260" s="317"/>
      <c r="CB260" s="317"/>
      <c r="CC260" s="317"/>
      <c r="CD260" s="317"/>
      <c r="CE260" s="317"/>
      <c r="CF260" s="317"/>
      <c r="CG260" s="317"/>
      <c r="CH260" s="317"/>
      <c r="CI260" s="317"/>
      <c r="CM260" s="1139">
        <v>0</v>
      </c>
      <c r="CN260" s="1139">
        <v>0</v>
      </c>
      <c r="CP260" s="923">
        <f t="shared" si="103"/>
        <v>0</v>
      </c>
      <c r="CZ260" s="330"/>
    </row>
    <row r="261" spans="1:104" x14ac:dyDescent="0.25">
      <c r="A261" s="701">
        <f>MAX($A$6:A260)+1</f>
        <v>261</v>
      </c>
      <c r="B261" s="18" t="s">
        <v>43</v>
      </c>
      <c r="C261" s="18" t="str">
        <f t="shared" si="112"/>
        <v>SoCITE</v>
      </c>
      <c r="D261" s="18" t="s">
        <v>809</v>
      </c>
      <c r="E261" s="19" t="s">
        <v>117</v>
      </c>
      <c r="F261" s="20"/>
      <c r="G261" s="1278"/>
      <c r="H261" s="14"/>
      <c r="I261" s="14"/>
      <c r="J261" s="1258" t="s">
        <v>286</v>
      </c>
      <c r="K261" s="256">
        <f>SUM(K254:K260)</f>
        <v>0</v>
      </c>
      <c r="L261" s="256">
        <f>SUM(L254:L260)</f>
        <v>0</v>
      </c>
      <c r="M261" s="14">
        <f>SUM(M254:M260)</f>
        <v>0</v>
      </c>
      <c r="N261" s="14">
        <f>SUM(O261:AU261)-T261</f>
        <v>0</v>
      </c>
      <c r="O261" s="14">
        <f>SUM(O254:O260)</f>
        <v>0</v>
      </c>
      <c r="P261" s="14">
        <f>SUM(P254:P260)</f>
        <v>0</v>
      </c>
      <c r="Q261" s="14">
        <f>SUM(Q254:Q260)</f>
        <v>0</v>
      </c>
      <c r="R261" s="14">
        <f>SUM(R254:R260)</f>
        <v>0</v>
      </c>
      <c r="S261" s="14">
        <f t="shared" si="130"/>
        <v>0</v>
      </c>
      <c r="T261" s="14">
        <f>SUM(T254:T260)</f>
        <v>0</v>
      </c>
      <c r="U261" s="14">
        <f>SUM(U254:U260)</f>
        <v>0</v>
      </c>
      <c r="V261" s="14">
        <f>SUM(V254:V260)</f>
        <v>0</v>
      </c>
      <c r="W261" s="14">
        <f>SUM(W254:W260)</f>
        <v>0</v>
      </c>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2"/>
      <c r="AX261" s="14">
        <f>SUM(AX254:AX260)</f>
        <v>0</v>
      </c>
      <c r="AY261" s="14">
        <f>ROUND(AX261/1000/Update!$B$31*Update!$B$27,0)</f>
        <v>0</v>
      </c>
      <c r="AZ261" s="2"/>
      <c r="BA261" s="14">
        <f>SUM(BA254:BA260)</f>
        <v>0</v>
      </c>
      <c r="BB261" s="14">
        <f>ROUND(BA261/1000/Update!$B$31,0)</f>
        <v>0</v>
      </c>
      <c r="BC261" s="14"/>
      <c r="BD261" s="14">
        <f t="shared" si="136"/>
        <v>0</v>
      </c>
      <c r="BE261" s="318">
        <f t="shared" ref="BE261:BJ261" si="137">SUM(BE254:BE260)</f>
        <v>0</v>
      </c>
      <c r="BF261" s="318">
        <f t="shared" si="137"/>
        <v>0</v>
      </c>
      <c r="BG261" s="318">
        <f t="shared" si="137"/>
        <v>0</v>
      </c>
      <c r="BH261" s="318">
        <f t="shared" si="137"/>
        <v>0</v>
      </c>
      <c r="BI261" s="318">
        <f t="shared" si="137"/>
        <v>0</v>
      </c>
      <c r="BJ261" s="318">
        <f t="shared" si="137"/>
        <v>0</v>
      </c>
      <c r="BK261" s="14">
        <f t="shared" si="111"/>
        <v>0</v>
      </c>
      <c r="BL261" s="318"/>
      <c r="BM261" s="318"/>
      <c r="BN261" s="318"/>
      <c r="BO261" s="318"/>
      <c r="BP261" s="318"/>
      <c r="BQ261" s="318"/>
      <c r="BR261" s="318"/>
      <c r="BS261" s="318"/>
      <c r="BT261" s="318"/>
      <c r="BU261" s="318"/>
      <c r="BV261" s="318"/>
      <c r="BW261" s="318"/>
      <c r="BX261" s="318"/>
      <c r="BY261" s="318"/>
      <c r="BZ261" s="318"/>
      <c r="CA261" s="318"/>
      <c r="CB261" s="318"/>
      <c r="CC261" s="318"/>
      <c r="CD261" s="318"/>
      <c r="CE261" s="318"/>
      <c r="CF261" s="318"/>
      <c r="CG261" s="318"/>
      <c r="CH261" s="318"/>
      <c r="CI261" s="318"/>
      <c r="CJ261" s="2"/>
      <c r="CK261" s="2"/>
      <c r="CM261" s="1140">
        <v>0</v>
      </c>
      <c r="CN261" s="1140">
        <v>0</v>
      </c>
      <c r="CP261" s="923">
        <f t="shared" si="103"/>
        <v>0</v>
      </c>
      <c r="CZ261" s="330"/>
    </row>
    <row r="262" spans="1:104" x14ac:dyDescent="0.25">
      <c r="A262" s="684">
        <f>MAX($A$6:A261)+1</f>
        <v>262</v>
      </c>
      <c r="B262" s="11" t="s">
        <v>43</v>
      </c>
      <c r="C262" s="11" t="str">
        <f t="shared" si="112"/>
        <v>SoCITE</v>
      </c>
      <c r="D262" s="11" t="s">
        <v>809</v>
      </c>
      <c r="E262" s="7" t="s">
        <v>118</v>
      </c>
      <c r="F262" s="15"/>
      <c r="G262" s="1253" t="s">
        <v>286</v>
      </c>
      <c r="H262" s="6"/>
      <c r="I262" s="6"/>
      <c r="J262" s="1257" t="s">
        <v>762</v>
      </c>
      <c r="K262" s="251">
        <f>SUMIF('alb SoCITE'!$A:$A,$J262,'alb SoCITE'!$E:$E)</f>
        <v>0</v>
      </c>
      <c r="L262" s="251">
        <f>SUMIF('alb SoCITE'!$A:$A,$J262,'alb SoCITE'!$K:$K)</f>
        <v>0</v>
      </c>
      <c r="M262" s="252"/>
      <c r="N262" s="273">
        <f t="shared" ref="N262:N269" si="138">ROUND(SUM(O262:S262)+SUM(W262:AV262),0)</f>
        <v>0</v>
      </c>
      <c r="O262" s="12"/>
      <c r="P262" s="12"/>
      <c r="Q262" s="12"/>
      <c r="R262" s="12"/>
      <c r="S262" s="6">
        <f t="shared" si="130"/>
        <v>0</v>
      </c>
      <c r="T262" s="273">
        <f t="shared" ref="T262:T269" si="139">ROUND(SUM(U262:Y262),0)</f>
        <v>0</v>
      </c>
      <c r="U262" s="6">
        <f t="shared" ref="U262:U269" si="140">SUM(BL262:BN262)</f>
        <v>0</v>
      </c>
      <c r="V262" s="6"/>
      <c r="W262" s="6">
        <f t="shared" si="110"/>
        <v>0</v>
      </c>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X262" s="6"/>
      <c r="AY262" s="6">
        <f>ROUND(AX262/1000/Update!$B$31*Update!$B$27,0)</f>
        <v>0</v>
      </c>
      <c r="BA262" s="6"/>
      <c r="BB262" s="6">
        <f>ROUND(BA262/1000/Update!$B$31,0)</f>
        <v>0</v>
      </c>
      <c r="BC262" s="6"/>
      <c r="BD262" s="29">
        <f t="shared" si="136"/>
        <v>0</v>
      </c>
      <c r="BE262" s="317"/>
      <c r="BF262" s="317"/>
      <c r="BG262" s="317"/>
      <c r="BH262" s="317"/>
      <c r="BI262" s="317"/>
      <c r="BJ262" s="317"/>
      <c r="BK262" s="29">
        <f t="shared" si="111"/>
        <v>0</v>
      </c>
      <c r="BL262" s="317"/>
      <c r="BM262" s="317"/>
      <c r="BN262" s="317"/>
      <c r="BO262" s="317"/>
      <c r="BP262" s="317"/>
      <c r="BQ262" s="317"/>
      <c r="BR262" s="317"/>
      <c r="BS262" s="317"/>
      <c r="BT262" s="317"/>
      <c r="BU262" s="317"/>
      <c r="BV262" s="317"/>
      <c r="BW262" s="317"/>
      <c r="BX262" s="317"/>
      <c r="BY262" s="317"/>
      <c r="BZ262" s="317"/>
      <c r="CA262" s="317"/>
      <c r="CB262" s="317"/>
      <c r="CC262" s="317"/>
      <c r="CD262" s="317"/>
      <c r="CE262" s="317"/>
      <c r="CF262" s="317"/>
      <c r="CG262" s="317"/>
      <c r="CH262" s="317"/>
      <c r="CI262" s="317"/>
      <c r="CM262" s="1139">
        <v>0</v>
      </c>
      <c r="CN262" s="1139">
        <v>0</v>
      </c>
      <c r="CP262" s="923">
        <f t="shared" si="103"/>
        <v>0</v>
      </c>
      <c r="CZ262" s="330"/>
    </row>
    <row r="263" spans="1:104" x14ac:dyDescent="0.25">
      <c r="A263" s="684">
        <f>MAX($A$6:A262)+1</f>
        <v>263</v>
      </c>
      <c r="B263" s="11" t="s">
        <v>43</v>
      </c>
      <c r="C263" s="11" t="str">
        <f t="shared" si="112"/>
        <v>SoCITE</v>
      </c>
      <c r="D263" s="11" t="s">
        <v>809</v>
      </c>
      <c r="E263" s="269" t="s">
        <v>119</v>
      </c>
      <c r="F263" s="15"/>
      <c r="G263" s="1253" t="s">
        <v>286</v>
      </c>
      <c r="H263" s="6"/>
      <c r="I263" s="6"/>
      <c r="J263" s="1257" t="s">
        <v>286</v>
      </c>
      <c r="K263" s="251">
        <f>SUMIF('alb SoCITE'!$A:$A,$J263,'alb SoCITE'!$E:$E)</f>
        <v>0</v>
      </c>
      <c r="L263" s="251">
        <f>SUMIF('alb SoCITE'!$A:$A,$J263,'alb SoCITE'!$K:$K)</f>
        <v>0</v>
      </c>
      <c r="M263" s="252"/>
      <c r="N263" s="273">
        <f t="shared" si="138"/>
        <v>0</v>
      </c>
      <c r="O263" s="12"/>
      <c r="P263" s="12"/>
      <c r="Q263" s="12"/>
      <c r="R263" s="12"/>
      <c r="S263" s="6">
        <f t="shared" si="130"/>
        <v>0</v>
      </c>
      <c r="T263" s="273">
        <f t="shared" si="139"/>
        <v>0</v>
      </c>
      <c r="U263" s="6">
        <f t="shared" si="140"/>
        <v>0</v>
      </c>
      <c r="V263" s="6"/>
      <c r="W263" s="6">
        <f t="shared" si="110"/>
        <v>0</v>
      </c>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X263" s="6"/>
      <c r="AY263" s="6">
        <f>ROUND(AX263/1000/Update!$B$31*Update!$B$27,0)</f>
        <v>0</v>
      </c>
      <c r="BA263" s="6"/>
      <c r="BB263" s="6">
        <f>ROUND(BA263/1000/Update!$B$31,0)</f>
        <v>0</v>
      </c>
      <c r="BC263" s="6"/>
      <c r="BD263" s="29">
        <f t="shared" si="136"/>
        <v>0</v>
      </c>
      <c r="BE263" s="317"/>
      <c r="BF263" s="317"/>
      <c r="BG263" s="317"/>
      <c r="BH263" s="317"/>
      <c r="BI263" s="317"/>
      <c r="BJ263" s="317"/>
      <c r="BK263" s="29">
        <f t="shared" si="111"/>
        <v>0</v>
      </c>
      <c r="BL263" s="317"/>
      <c r="BM263" s="317"/>
      <c r="BN263" s="317"/>
      <c r="BO263" s="317"/>
      <c r="BP263" s="317"/>
      <c r="BQ263" s="317"/>
      <c r="BR263" s="317"/>
      <c r="BS263" s="317"/>
      <c r="BT263" s="317"/>
      <c r="BU263" s="317"/>
      <c r="BV263" s="317"/>
      <c r="BW263" s="317"/>
      <c r="BX263" s="317"/>
      <c r="BY263" s="317"/>
      <c r="BZ263" s="317"/>
      <c r="CA263" s="317"/>
      <c r="CB263" s="317"/>
      <c r="CC263" s="317"/>
      <c r="CD263" s="317"/>
      <c r="CE263" s="317"/>
      <c r="CF263" s="317"/>
      <c r="CG263" s="317"/>
      <c r="CH263" s="317"/>
      <c r="CI263" s="317"/>
      <c r="CM263" s="1139">
        <v>0</v>
      </c>
      <c r="CN263" s="1139">
        <v>0</v>
      </c>
      <c r="CP263" s="923">
        <f t="shared" si="103"/>
        <v>0</v>
      </c>
      <c r="CZ263" s="330"/>
    </row>
    <row r="264" spans="1:104" ht="30" x14ac:dyDescent="0.25">
      <c r="A264" s="684">
        <f>MAX($A$6:A263)+1</f>
        <v>264</v>
      </c>
      <c r="B264" s="11" t="s">
        <v>43</v>
      </c>
      <c r="C264" s="11" t="str">
        <f t="shared" si="112"/>
        <v>SoCITE</v>
      </c>
      <c r="D264" s="11" t="s">
        <v>809</v>
      </c>
      <c r="E264" s="7" t="s">
        <v>120</v>
      </c>
      <c r="F264" s="15"/>
      <c r="G264" s="1253" t="s">
        <v>286</v>
      </c>
      <c r="H264" s="6"/>
      <c r="I264" s="6"/>
      <c r="J264" s="1257" t="s">
        <v>120</v>
      </c>
      <c r="K264" s="251">
        <f>SUMIF('alb SoCITE'!$A:$A,$J264,'alb SoCITE'!$E:$E)</f>
        <v>0</v>
      </c>
      <c r="L264" s="251">
        <f>SUMIF('alb SoCITE'!$A:$A,$J264,'alb SoCITE'!$K:$K)</f>
        <v>0</v>
      </c>
      <c r="M264" s="252"/>
      <c r="N264" s="273">
        <f t="shared" si="138"/>
        <v>0</v>
      </c>
      <c r="O264" s="12"/>
      <c r="P264" s="12"/>
      <c r="Q264" s="12"/>
      <c r="R264" s="12"/>
      <c r="S264" s="6">
        <f t="shared" si="130"/>
        <v>0</v>
      </c>
      <c r="T264" s="273">
        <f t="shared" si="139"/>
        <v>0</v>
      </c>
      <c r="U264" s="6">
        <f t="shared" si="140"/>
        <v>0</v>
      </c>
      <c r="V264" s="6"/>
      <c r="W264" s="6">
        <f t="shared" si="110"/>
        <v>0</v>
      </c>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X264" s="6"/>
      <c r="AY264" s="6">
        <f>ROUND(AX264/1000/Update!$B$31*Update!$B$27,0)</f>
        <v>0</v>
      </c>
      <c r="BA264" s="6"/>
      <c r="BB264" s="6">
        <f>ROUND(BA264/1000/Update!$B$31,0)</f>
        <v>0</v>
      </c>
      <c r="BC264" s="6"/>
      <c r="BD264" s="29">
        <f t="shared" si="136"/>
        <v>0</v>
      </c>
      <c r="BE264" s="317"/>
      <c r="BF264" s="317"/>
      <c r="BG264" s="317"/>
      <c r="BH264" s="317"/>
      <c r="BI264" s="317"/>
      <c r="BJ264" s="317"/>
      <c r="BK264" s="29">
        <f t="shared" si="111"/>
        <v>0</v>
      </c>
      <c r="BL264" s="317"/>
      <c r="BM264" s="317"/>
      <c r="BN264" s="317"/>
      <c r="BO264" s="317"/>
      <c r="BP264" s="317"/>
      <c r="BQ264" s="317"/>
      <c r="BR264" s="317"/>
      <c r="BS264" s="317"/>
      <c r="BT264" s="317"/>
      <c r="BU264" s="317"/>
      <c r="BV264" s="317"/>
      <c r="BW264" s="317"/>
      <c r="BX264" s="317"/>
      <c r="BY264" s="317"/>
      <c r="BZ264" s="317"/>
      <c r="CA264" s="317"/>
      <c r="CB264" s="317"/>
      <c r="CC264" s="317"/>
      <c r="CD264" s="317"/>
      <c r="CE264" s="317"/>
      <c r="CF264" s="317"/>
      <c r="CG264" s="317"/>
      <c r="CH264" s="317"/>
      <c r="CI264" s="317"/>
      <c r="CM264" s="1139">
        <v>0</v>
      </c>
      <c r="CN264" s="1139">
        <v>0</v>
      </c>
      <c r="CP264" s="923">
        <f t="shared" ref="CP264:CP327" si="141">-V264+BL264+BM264+BN264+CM264</f>
        <v>0</v>
      </c>
      <c r="CZ264" s="330"/>
    </row>
    <row r="265" spans="1:104" x14ac:dyDescent="0.25">
      <c r="A265" s="684">
        <f>MAX($A$6:A264)+1</f>
        <v>265</v>
      </c>
      <c r="B265" s="11" t="s">
        <v>43</v>
      </c>
      <c r="C265" s="11" t="str">
        <f t="shared" si="112"/>
        <v>SoCITE</v>
      </c>
      <c r="D265" s="11" t="s">
        <v>809</v>
      </c>
      <c r="E265" s="7" t="s">
        <v>122</v>
      </c>
      <c r="F265" s="15"/>
      <c r="G265" s="1253" t="s">
        <v>286</v>
      </c>
      <c r="H265" s="6"/>
      <c r="I265" s="6"/>
      <c r="J265" s="1261" t="s">
        <v>286</v>
      </c>
      <c r="K265" s="251">
        <f>SUMIF('alb SoCITE'!$A:$A,$J265,'alb SoCITE'!$E:$E)</f>
        <v>0</v>
      </c>
      <c r="L265" s="251">
        <f>SUMIF('alb SoCITE'!$A:$A,$J265,'alb SoCITE'!$K:$K)</f>
        <v>0</v>
      </c>
      <c r="M265" s="252"/>
      <c r="N265" s="273">
        <f t="shared" si="138"/>
        <v>0</v>
      </c>
      <c r="O265" s="12"/>
      <c r="P265" s="12"/>
      <c r="Q265" s="12"/>
      <c r="R265" s="12"/>
      <c r="S265" s="6">
        <f t="shared" si="130"/>
        <v>0</v>
      </c>
      <c r="T265" s="273">
        <f t="shared" si="139"/>
        <v>0</v>
      </c>
      <c r="U265" s="6">
        <f t="shared" si="140"/>
        <v>0</v>
      </c>
      <c r="V265" s="6"/>
      <c r="W265" s="6">
        <f t="shared" si="110"/>
        <v>0</v>
      </c>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X265" s="6"/>
      <c r="AY265" s="6">
        <f>ROUND(AX265/1000/Update!$B$31*Update!$B$27,0)</f>
        <v>0</v>
      </c>
      <c r="BA265" s="6"/>
      <c r="BB265" s="6">
        <f>ROUND(BA265/1000/Update!$B$31,0)</f>
        <v>0</v>
      </c>
      <c r="BC265" s="6"/>
      <c r="BD265" s="29">
        <f t="shared" si="136"/>
        <v>0</v>
      </c>
      <c r="BE265" s="317"/>
      <c r="BF265" s="317"/>
      <c r="BG265" s="317"/>
      <c r="BH265" s="317"/>
      <c r="BI265" s="317"/>
      <c r="BJ265" s="317"/>
      <c r="BK265" s="29">
        <f t="shared" si="111"/>
        <v>0</v>
      </c>
      <c r="BL265" s="317"/>
      <c r="BM265" s="317"/>
      <c r="BN265" s="317"/>
      <c r="BO265" s="317"/>
      <c r="BP265" s="317"/>
      <c r="BQ265" s="317"/>
      <c r="BR265" s="317"/>
      <c r="BS265" s="317"/>
      <c r="BT265" s="317"/>
      <c r="BU265" s="317"/>
      <c r="BV265" s="317"/>
      <c r="BW265" s="317"/>
      <c r="BX265" s="317"/>
      <c r="BY265" s="317"/>
      <c r="BZ265" s="317"/>
      <c r="CA265" s="317"/>
      <c r="CB265" s="317"/>
      <c r="CC265" s="317"/>
      <c r="CD265" s="317"/>
      <c r="CE265" s="317"/>
      <c r="CF265" s="317"/>
      <c r="CG265" s="317"/>
      <c r="CH265" s="317"/>
      <c r="CI265" s="317"/>
      <c r="CM265" s="1139">
        <v>0</v>
      </c>
      <c r="CN265" s="1139">
        <v>0</v>
      </c>
      <c r="CP265" s="923">
        <f t="shared" si="141"/>
        <v>0</v>
      </c>
      <c r="CZ265" s="330"/>
    </row>
    <row r="266" spans="1:104" x14ac:dyDescent="0.25">
      <c r="A266" s="684">
        <f>MAX($A$6:A265)+1</f>
        <v>266</v>
      </c>
      <c r="B266" s="11" t="s">
        <v>43</v>
      </c>
      <c r="C266" s="11" t="str">
        <f t="shared" si="112"/>
        <v>SoCITE</v>
      </c>
      <c r="D266" s="11" t="s">
        <v>809</v>
      </c>
      <c r="E266" s="269" t="s">
        <v>123</v>
      </c>
      <c r="F266" s="15"/>
      <c r="G266" s="1253" t="s">
        <v>286</v>
      </c>
      <c r="H266" s="6"/>
      <c r="I266" s="6"/>
      <c r="J266" s="1257" t="s">
        <v>286</v>
      </c>
      <c r="K266" s="251">
        <f>SUMIF('alb SoCITE'!$A:$A,$J266,'alb SoCITE'!$E:$E)</f>
        <v>0</v>
      </c>
      <c r="L266" s="251">
        <f>SUMIF('alb SoCITE'!$A:$A,$J266,'alb SoCITE'!$K:$K)</f>
        <v>0</v>
      </c>
      <c r="M266" s="252"/>
      <c r="N266" s="273">
        <f t="shared" si="138"/>
        <v>0</v>
      </c>
      <c r="O266" s="12"/>
      <c r="P266" s="12"/>
      <c r="Q266" s="12"/>
      <c r="R266" s="12"/>
      <c r="S266" s="6">
        <f t="shared" si="130"/>
        <v>0</v>
      </c>
      <c r="T266" s="273">
        <f t="shared" si="139"/>
        <v>0</v>
      </c>
      <c r="U266" s="6">
        <f t="shared" si="140"/>
        <v>0</v>
      </c>
      <c r="V266" s="6"/>
      <c r="W266" s="6">
        <f t="shared" si="110"/>
        <v>0</v>
      </c>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X266" s="6"/>
      <c r="AY266" s="6">
        <f>ROUND(AX266/1000/Update!$B$31*Update!$B$27,0)</f>
        <v>0</v>
      </c>
      <c r="BA266" s="6"/>
      <c r="BB266" s="6">
        <f>ROUND(BA266/1000/Update!$B$31,0)</f>
        <v>0</v>
      </c>
      <c r="BC266" s="6"/>
      <c r="BD266" s="29">
        <f t="shared" si="136"/>
        <v>0</v>
      </c>
      <c r="BE266" s="317"/>
      <c r="BF266" s="317"/>
      <c r="BG266" s="317"/>
      <c r="BH266" s="317"/>
      <c r="BI266" s="317"/>
      <c r="BJ266" s="317"/>
      <c r="BK266" s="29">
        <f t="shared" si="111"/>
        <v>0</v>
      </c>
      <c r="BL266" s="317"/>
      <c r="BM266" s="317"/>
      <c r="BN266" s="317"/>
      <c r="BO266" s="317"/>
      <c r="BP266" s="317"/>
      <c r="BQ266" s="317"/>
      <c r="BR266" s="317"/>
      <c r="BS266" s="317"/>
      <c r="BT266" s="317"/>
      <c r="BU266" s="317"/>
      <c r="BV266" s="317"/>
      <c r="BW266" s="317"/>
      <c r="BX266" s="317"/>
      <c r="BY266" s="317"/>
      <c r="BZ266" s="317"/>
      <c r="CA266" s="317"/>
      <c r="CB266" s="317"/>
      <c r="CC266" s="317"/>
      <c r="CD266" s="317"/>
      <c r="CE266" s="317"/>
      <c r="CF266" s="317"/>
      <c r="CG266" s="317"/>
      <c r="CH266" s="317"/>
      <c r="CI266" s="317"/>
      <c r="CM266" s="1139">
        <v>0</v>
      </c>
      <c r="CN266" s="1139">
        <v>0</v>
      </c>
      <c r="CP266" s="923">
        <f t="shared" si="141"/>
        <v>0</v>
      </c>
      <c r="CZ266" s="330"/>
    </row>
    <row r="267" spans="1:104" x14ac:dyDescent="0.25">
      <c r="A267" s="684">
        <f>MAX($A$6:A266)+1</f>
        <v>267</v>
      </c>
      <c r="B267" s="11" t="s">
        <v>43</v>
      </c>
      <c r="C267" s="11" t="str">
        <f t="shared" si="112"/>
        <v>SoCITE</v>
      </c>
      <c r="D267" s="11" t="s">
        <v>809</v>
      </c>
      <c r="E267" s="7" t="s">
        <v>124</v>
      </c>
      <c r="F267" s="15"/>
      <c r="G267" s="1253" t="s">
        <v>286</v>
      </c>
      <c r="H267" s="6"/>
      <c r="I267" s="6"/>
      <c r="J267" s="1257" t="s">
        <v>124</v>
      </c>
      <c r="K267" s="251">
        <f>SUMIF('alb SoCITE'!$A:$A,$J267,'alb SoCITE'!$E:$E)</f>
        <v>0</v>
      </c>
      <c r="L267" s="251">
        <f>SUMIF('alb SoCITE'!$A:$A,$J267,'alb SoCITE'!$K:$K)</f>
        <v>0</v>
      </c>
      <c r="M267" s="252"/>
      <c r="N267" s="273">
        <f t="shared" si="138"/>
        <v>0</v>
      </c>
      <c r="O267" s="12"/>
      <c r="P267" s="12"/>
      <c r="Q267" s="12"/>
      <c r="R267" s="12"/>
      <c r="S267" s="6">
        <f t="shared" si="130"/>
        <v>0</v>
      </c>
      <c r="T267" s="273">
        <f t="shared" si="139"/>
        <v>0</v>
      </c>
      <c r="U267" s="6">
        <f t="shared" si="140"/>
        <v>0</v>
      </c>
      <c r="V267" s="6"/>
      <c r="W267" s="6">
        <f t="shared" si="110"/>
        <v>0</v>
      </c>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X267" s="6"/>
      <c r="AY267" s="6">
        <f>ROUND(AX267/1000/Update!$B$31*Update!$B$27,0)</f>
        <v>0</v>
      </c>
      <c r="BA267" s="6"/>
      <c r="BB267" s="6">
        <f>ROUND(BA267/1000/Update!$B$31,0)</f>
        <v>0</v>
      </c>
      <c r="BC267" s="6"/>
      <c r="BD267" s="29">
        <f t="shared" si="136"/>
        <v>0</v>
      </c>
      <c r="BE267" s="317"/>
      <c r="BF267" s="317"/>
      <c r="BG267" s="317"/>
      <c r="BH267" s="317"/>
      <c r="BI267" s="317"/>
      <c r="BJ267" s="317"/>
      <c r="BK267" s="29">
        <f t="shared" si="111"/>
        <v>0</v>
      </c>
      <c r="BL267" s="317"/>
      <c r="BM267" s="317"/>
      <c r="BN267" s="317"/>
      <c r="BO267" s="317"/>
      <c r="BP267" s="317"/>
      <c r="BQ267" s="317"/>
      <c r="BR267" s="317"/>
      <c r="BS267" s="317"/>
      <c r="BT267" s="317"/>
      <c r="BU267" s="317"/>
      <c r="BV267" s="317"/>
      <c r="BW267" s="317"/>
      <c r="BX267" s="317"/>
      <c r="BY267" s="317"/>
      <c r="BZ267" s="317"/>
      <c r="CA267" s="317"/>
      <c r="CB267" s="317"/>
      <c r="CC267" s="317"/>
      <c r="CD267" s="317"/>
      <c r="CE267" s="317"/>
      <c r="CF267" s="317"/>
      <c r="CG267" s="317"/>
      <c r="CH267" s="317"/>
      <c r="CI267" s="317"/>
      <c r="CM267" s="1139">
        <v>0</v>
      </c>
      <c r="CN267" s="1139">
        <v>0</v>
      </c>
      <c r="CP267" s="923">
        <f t="shared" si="141"/>
        <v>0</v>
      </c>
      <c r="CZ267" s="330"/>
    </row>
    <row r="268" spans="1:104" ht="30" x14ac:dyDescent="0.25">
      <c r="A268" s="684">
        <f>MAX($A$6:A267)+1</f>
        <v>268</v>
      </c>
      <c r="B268" s="11" t="s">
        <v>43</v>
      </c>
      <c r="C268" s="11" t="str">
        <f t="shared" si="112"/>
        <v>SoCITE</v>
      </c>
      <c r="D268" s="11" t="s">
        <v>809</v>
      </c>
      <c r="E268" s="7" t="s">
        <v>339</v>
      </c>
      <c r="F268" s="15"/>
      <c r="G268" s="1253" t="s">
        <v>286</v>
      </c>
      <c r="H268" s="6"/>
      <c r="I268" s="6"/>
      <c r="J268" s="1257" t="s">
        <v>339</v>
      </c>
      <c r="K268" s="251">
        <f>SUMIF('alb SoCITE'!$A:$A,$J268,'alb SoCITE'!$E:$E)</f>
        <v>0</v>
      </c>
      <c r="L268" s="251">
        <f>SUMIF('alb SoCITE'!$A:$A,$J268,'alb SoCITE'!$K:$K)</f>
        <v>0</v>
      </c>
      <c r="M268" s="252"/>
      <c r="N268" s="273">
        <f t="shared" si="138"/>
        <v>0</v>
      </c>
      <c r="O268" s="12"/>
      <c r="P268" s="12"/>
      <c r="Q268" s="12"/>
      <c r="R268" s="12"/>
      <c r="S268" s="6">
        <f t="shared" si="130"/>
        <v>0</v>
      </c>
      <c r="T268" s="273">
        <f t="shared" si="139"/>
        <v>0</v>
      </c>
      <c r="U268" s="6">
        <f t="shared" si="140"/>
        <v>0</v>
      </c>
      <c r="V268" s="6"/>
      <c r="W268" s="6">
        <f t="shared" si="110"/>
        <v>0</v>
      </c>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X268" s="6"/>
      <c r="AY268" s="6">
        <f>ROUND(AX268/1000/Update!$B$31*Update!$B$27,0)</f>
        <v>0</v>
      </c>
      <c r="BA268" s="6"/>
      <c r="BB268" s="6">
        <f>ROUND(BA268/1000/Update!$B$31,0)</f>
        <v>0</v>
      </c>
      <c r="BC268" s="6"/>
      <c r="BD268" s="29">
        <f t="shared" si="136"/>
        <v>0</v>
      </c>
      <c r="BE268" s="317"/>
      <c r="BF268" s="317"/>
      <c r="BG268" s="317"/>
      <c r="BH268" s="317"/>
      <c r="BI268" s="317"/>
      <c r="BJ268" s="317"/>
      <c r="BK268" s="29">
        <f t="shared" si="111"/>
        <v>0</v>
      </c>
      <c r="BL268" s="317"/>
      <c r="BM268" s="317"/>
      <c r="BN268" s="317"/>
      <c r="BO268" s="317"/>
      <c r="BP268" s="317"/>
      <c r="BQ268" s="317"/>
      <c r="BR268" s="317"/>
      <c r="BS268" s="317"/>
      <c r="BT268" s="317"/>
      <c r="BU268" s="317"/>
      <c r="BV268" s="317"/>
      <c r="BW268" s="317"/>
      <c r="BX268" s="317"/>
      <c r="BY268" s="317"/>
      <c r="BZ268" s="317"/>
      <c r="CA268" s="317"/>
      <c r="CB268" s="317"/>
      <c r="CC268" s="317"/>
      <c r="CD268" s="317"/>
      <c r="CE268" s="317"/>
      <c r="CF268" s="317"/>
      <c r="CG268" s="317"/>
      <c r="CH268" s="317"/>
      <c r="CI268" s="317"/>
      <c r="CM268" s="1139">
        <v>0</v>
      </c>
      <c r="CN268" s="1139">
        <v>0</v>
      </c>
      <c r="CP268" s="923">
        <f t="shared" si="141"/>
        <v>0</v>
      </c>
      <c r="CZ268" s="330"/>
    </row>
    <row r="269" spans="1:104" x14ac:dyDescent="0.25">
      <c r="A269" s="684">
        <f>MAX($A$6:A268)+1</f>
        <v>269</v>
      </c>
      <c r="B269" s="11" t="s">
        <v>43</v>
      </c>
      <c r="C269" s="11" t="str">
        <f t="shared" si="112"/>
        <v>SoCITE</v>
      </c>
      <c r="D269" s="11" t="s">
        <v>809</v>
      </c>
      <c r="E269" s="7" t="s">
        <v>286</v>
      </c>
      <c r="F269" s="15"/>
      <c r="G269" s="1253" t="s">
        <v>286</v>
      </c>
      <c r="H269" s="6"/>
      <c r="I269" s="6"/>
      <c r="J269" s="1253" t="s">
        <v>286</v>
      </c>
      <c r="K269" s="251">
        <f>SUMIF('alb SoCITE'!$A:$A,$J269,'alb SoCITE'!$E:$E)</f>
        <v>0</v>
      </c>
      <c r="L269" s="251">
        <f>SUMIF('alb SoCITE'!$A:$A,$J269,'alb SoCITE'!$K:$K)</f>
        <v>0</v>
      </c>
      <c r="M269" s="252"/>
      <c r="N269" s="273">
        <f t="shared" si="138"/>
        <v>0</v>
      </c>
      <c r="O269" s="12"/>
      <c r="P269" s="12"/>
      <c r="Q269" s="12"/>
      <c r="R269" s="12"/>
      <c r="S269" s="6">
        <f t="shared" si="130"/>
        <v>0</v>
      </c>
      <c r="T269" s="273">
        <f t="shared" si="139"/>
        <v>0</v>
      </c>
      <c r="U269" s="6">
        <f t="shared" si="140"/>
        <v>0</v>
      </c>
      <c r="V269" s="6"/>
      <c r="W269" s="6">
        <f t="shared" si="110"/>
        <v>0</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X269" s="6"/>
      <c r="AY269" s="6">
        <f>ROUND(AX269/1000/Update!$B$31*Update!$B$27,0)</f>
        <v>0</v>
      </c>
      <c r="BA269" s="6"/>
      <c r="BB269" s="6">
        <f>ROUND(BA269/1000/Update!$B$31,0)</f>
        <v>0</v>
      </c>
      <c r="BC269" s="6"/>
      <c r="BD269" s="29">
        <f t="shared" si="136"/>
        <v>0</v>
      </c>
      <c r="BE269" s="317"/>
      <c r="BF269" s="317"/>
      <c r="BG269" s="317"/>
      <c r="BH269" s="317"/>
      <c r="BI269" s="317"/>
      <c r="BJ269" s="317"/>
      <c r="BK269" s="29">
        <f t="shared" si="111"/>
        <v>0</v>
      </c>
      <c r="BL269" s="317"/>
      <c r="BM269" s="317"/>
      <c r="BN269" s="317"/>
      <c r="BO269" s="317"/>
      <c r="BP269" s="317"/>
      <c r="BQ269" s="317"/>
      <c r="BR269" s="317"/>
      <c r="BS269" s="317"/>
      <c r="BT269" s="317"/>
      <c r="BU269" s="317"/>
      <c r="BV269" s="317"/>
      <c r="BW269" s="317"/>
      <c r="BX269" s="317"/>
      <c r="BY269" s="317"/>
      <c r="BZ269" s="317"/>
      <c r="CA269" s="317"/>
      <c r="CB269" s="317"/>
      <c r="CC269" s="317"/>
      <c r="CD269" s="317"/>
      <c r="CE269" s="317"/>
      <c r="CF269" s="317"/>
      <c r="CG269" s="317"/>
      <c r="CH269" s="317"/>
      <c r="CI269" s="317"/>
      <c r="CM269" s="1139">
        <v>0</v>
      </c>
      <c r="CN269" s="1139">
        <v>0</v>
      </c>
      <c r="CP269" s="923">
        <f t="shared" si="141"/>
        <v>0</v>
      </c>
      <c r="CZ269" s="330"/>
    </row>
    <row r="270" spans="1:104" x14ac:dyDescent="0.25">
      <c r="A270" s="701">
        <f>MAX($A$6:A269)+1</f>
        <v>270</v>
      </c>
      <c r="B270" s="18" t="s">
        <v>43</v>
      </c>
      <c r="C270" s="18" t="str">
        <f t="shared" si="112"/>
        <v>SoCITE</v>
      </c>
      <c r="D270" s="18" t="s">
        <v>809</v>
      </c>
      <c r="E270" s="19" t="str">
        <f>"Balances at 31 March"&amp;Update!$B$24</f>
        <v>Balances at 31 March 31 March 2025</v>
      </c>
      <c r="F270" s="20"/>
      <c r="G270" s="1278"/>
      <c r="H270" s="14"/>
      <c r="I270" s="14"/>
      <c r="J270" s="1258" t="s">
        <v>286</v>
      </c>
      <c r="K270" s="256">
        <f t="shared" ref="K270:R270" si="142">SUM(K261:K269)</f>
        <v>0</v>
      </c>
      <c r="L270" s="256">
        <f t="shared" si="142"/>
        <v>0</v>
      </c>
      <c r="M270" s="14">
        <f t="shared" si="142"/>
        <v>0</v>
      </c>
      <c r="N270" s="14">
        <f>SUM(N261:N269)</f>
        <v>0</v>
      </c>
      <c r="O270" s="14">
        <f t="shared" si="142"/>
        <v>0</v>
      </c>
      <c r="P270" s="14">
        <f t="shared" si="142"/>
        <v>0</v>
      </c>
      <c r="Q270" s="14">
        <f t="shared" si="142"/>
        <v>0</v>
      </c>
      <c r="R270" s="14">
        <f t="shared" si="142"/>
        <v>0</v>
      </c>
      <c r="S270" s="14">
        <f t="shared" si="130"/>
        <v>0</v>
      </c>
      <c r="T270" s="14">
        <f>SUM(T261:T269)</f>
        <v>0</v>
      </c>
      <c r="U270" s="14">
        <f>SUM(U261:U269)</f>
        <v>0</v>
      </c>
      <c r="V270" s="14">
        <f>SUM(V261:V269)</f>
        <v>0</v>
      </c>
      <c r="W270" s="14">
        <f>SUM(W261:W269)</f>
        <v>0</v>
      </c>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2"/>
      <c r="AX270" s="14">
        <f>SUM(AX261:AX269)</f>
        <v>0</v>
      </c>
      <c r="AY270" s="14">
        <f>ROUND(AX270/1000/Update!$B$31*Update!$B$27,0)</f>
        <v>0</v>
      </c>
      <c r="AZ270" s="2"/>
      <c r="BA270" s="14">
        <f>SUM(BA261:BA269)</f>
        <v>0</v>
      </c>
      <c r="BB270" s="14">
        <f>ROUND(BA270/1000/Update!$B$31,0)</f>
        <v>0</v>
      </c>
      <c r="BC270" s="14"/>
      <c r="BD270" s="14">
        <f t="shared" si="136"/>
        <v>0</v>
      </c>
      <c r="BE270" s="318">
        <f t="shared" ref="BE270:BJ270" si="143">SUM(BE261:BE269)</f>
        <v>0</v>
      </c>
      <c r="BF270" s="318">
        <f t="shared" si="143"/>
        <v>0</v>
      </c>
      <c r="BG270" s="318">
        <f t="shared" si="143"/>
        <v>0</v>
      </c>
      <c r="BH270" s="318">
        <f t="shared" si="143"/>
        <v>0</v>
      </c>
      <c r="BI270" s="318">
        <f t="shared" si="143"/>
        <v>0</v>
      </c>
      <c r="BJ270" s="318">
        <f t="shared" si="143"/>
        <v>0</v>
      </c>
      <c r="BK270" s="14">
        <f t="shared" si="111"/>
        <v>0</v>
      </c>
      <c r="BL270" s="318"/>
      <c r="BM270" s="318"/>
      <c r="BN270" s="318"/>
      <c r="BO270" s="318"/>
      <c r="BP270" s="318"/>
      <c r="BQ270" s="318"/>
      <c r="BR270" s="318"/>
      <c r="BS270" s="318"/>
      <c r="BT270" s="318"/>
      <c r="BU270" s="318"/>
      <c r="BV270" s="318"/>
      <c r="BW270" s="318"/>
      <c r="BX270" s="318"/>
      <c r="BY270" s="318"/>
      <c r="BZ270" s="318"/>
      <c r="CA270" s="318"/>
      <c r="CB270" s="318"/>
      <c r="CC270" s="318"/>
      <c r="CD270" s="318"/>
      <c r="CE270" s="318"/>
      <c r="CF270" s="318"/>
      <c r="CG270" s="318"/>
      <c r="CH270" s="318"/>
      <c r="CI270" s="318"/>
      <c r="CJ270" s="2"/>
      <c r="CK270" s="2"/>
      <c r="CM270" s="1140">
        <v>0</v>
      </c>
      <c r="CN270" s="1140">
        <v>0</v>
      </c>
      <c r="CP270" s="923">
        <f t="shared" si="141"/>
        <v>0</v>
      </c>
      <c r="CZ270" s="330"/>
    </row>
    <row r="271" spans="1:104" ht="15" customHeight="1" x14ac:dyDescent="0.25">
      <c r="A271" s="684">
        <f>MAX($A$6:A270)+1</f>
        <v>271</v>
      </c>
      <c r="B271" s="11" t="s">
        <v>43</v>
      </c>
      <c r="C271" s="11" t="str">
        <f t="shared" ref="C271:C286" si="144">$C$147</f>
        <v>SoCITE</v>
      </c>
      <c r="D271" s="11" t="s">
        <v>809</v>
      </c>
      <c r="E271" s="13" t="str">
        <f>"Changes in taxpayers’ equity for "&amp;Update!$B$13</f>
        <v>Changes in taxpayers’ equity for 2025-26</v>
      </c>
      <c r="F271" s="15"/>
      <c r="G271" s="1253" t="s">
        <v>286</v>
      </c>
      <c r="H271" s="6"/>
      <c r="I271" s="6"/>
      <c r="J271" s="1253" t="s">
        <v>860</v>
      </c>
      <c r="K271" s="251">
        <f>SUMIF('alb SoCITE'!$A:$A,$J271,'alb SoCITE'!$E:$E)</f>
        <v>0</v>
      </c>
      <c r="L271" s="251">
        <f>SUMIF('alb SoCITE'!$A:$A,$J271,'alb SoCITE'!$K:$K)</f>
        <v>0</v>
      </c>
      <c r="M271" s="252"/>
      <c r="N271" s="273">
        <f t="shared" ref="N271:N276" si="145">ROUND(SUM(O271:S271)+SUM(W271:AV271),0)</f>
        <v>0</v>
      </c>
      <c r="O271" s="12"/>
      <c r="P271" s="12"/>
      <c r="Q271" s="12"/>
      <c r="R271" s="12"/>
      <c r="S271" s="6">
        <f t="shared" si="130"/>
        <v>0</v>
      </c>
      <c r="T271" s="273">
        <f t="shared" ref="T271:T276" si="146">ROUND(SUM(U271:Y271),0)</f>
        <v>0</v>
      </c>
      <c r="U271" s="6">
        <f t="shared" ref="U271:U276" si="147">SUM(BL271:BN271)</f>
        <v>0</v>
      </c>
      <c r="V271" s="6"/>
      <c r="W271" s="6">
        <f t="shared" si="110"/>
        <v>0</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X271" s="6"/>
      <c r="AY271" s="6">
        <f>ROUND(AX271/1000/Update!$B$31*Update!$B$27,0)</f>
        <v>0</v>
      </c>
      <c r="BA271" s="6"/>
      <c r="BB271" s="6">
        <f>ROUND(BA271/1000/Update!$B$31,0)</f>
        <v>0</v>
      </c>
      <c r="BC271" s="6"/>
      <c r="BD271" s="29">
        <f t="shared" si="136"/>
        <v>0</v>
      </c>
      <c r="BE271" s="317"/>
      <c r="BF271" s="317"/>
      <c r="BG271" s="317"/>
      <c r="BH271" s="317"/>
      <c r="BI271" s="317"/>
      <c r="BJ271" s="317"/>
      <c r="BK271" s="29">
        <f t="shared" si="111"/>
        <v>0</v>
      </c>
      <c r="BL271" s="317"/>
      <c r="BM271" s="317"/>
      <c r="BN271" s="317"/>
      <c r="BO271" s="317"/>
      <c r="BP271" s="317"/>
      <c r="BQ271" s="317"/>
      <c r="BR271" s="317"/>
      <c r="BS271" s="317"/>
      <c r="BT271" s="317"/>
      <c r="BU271" s="317"/>
      <c r="BV271" s="317"/>
      <c r="BW271" s="317"/>
      <c r="BX271" s="317"/>
      <c r="BY271" s="317"/>
      <c r="BZ271" s="317"/>
      <c r="CA271" s="317"/>
      <c r="CB271" s="317"/>
      <c r="CC271" s="317"/>
      <c r="CD271" s="317"/>
      <c r="CE271" s="317"/>
      <c r="CF271" s="317"/>
      <c r="CG271" s="317"/>
      <c r="CH271" s="317"/>
      <c r="CI271" s="317"/>
      <c r="CM271" s="1139">
        <v>0</v>
      </c>
      <c r="CN271" s="1139">
        <v>0</v>
      </c>
      <c r="CP271" s="923">
        <f t="shared" si="141"/>
        <v>0</v>
      </c>
      <c r="CZ271" s="330"/>
    </row>
    <row r="272" spans="1:104" ht="30" customHeight="1" x14ac:dyDescent="0.25">
      <c r="A272" s="684">
        <f>MAX($A$6:A271)+1</f>
        <v>272</v>
      </c>
      <c r="B272" s="11" t="s">
        <v>43</v>
      </c>
      <c r="C272" s="11" t="str">
        <f t="shared" si="144"/>
        <v>SoCITE</v>
      </c>
      <c r="D272" s="11" t="s">
        <v>809</v>
      </c>
      <c r="E272" s="7" t="s">
        <v>113</v>
      </c>
      <c r="F272" s="15"/>
      <c r="G272" s="1253" t="s">
        <v>286</v>
      </c>
      <c r="H272" s="6"/>
      <c r="I272" s="6"/>
      <c r="J272" s="1253" t="s">
        <v>286</v>
      </c>
      <c r="K272" s="251">
        <f>SUMIF('alb SoCITE'!$A:$A,$J272,'alb SoCITE'!$E:$E)</f>
        <v>0</v>
      </c>
      <c r="L272" s="251">
        <f>SUMIF('alb SoCITE'!$A:$A,$J272,'alb SoCITE'!$K:$K)</f>
        <v>0</v>
      </c>
      <c r="M272" s="252"/>
      <c r="N272" s="273">
        <f t="shared" si="145"/>
        <v>0</v>
      </c>
      <c r="O272" s="12"/>
      <c r="P272" s="12"/>
      <c r="Q272" s="12"/>
      <c r="R272" s="12"/>
      <c r="S272" s="6">
        <f t="shared" si="130"/>
        <v>0</v>
      </c>
      <c r="T272" s="273">
        <f t="shared" si="146"/>
        <v>0</v>
      </c>
      <c r="U272" s="6">
        <f t="shared" si="147"/>
        <v>0</v>
      </c>
      <c r="V272" s="6"/>
      <c r="W272" s="6">
        <f t="shared" ref="W272:W285" si="148">+H272</f>
        <v>0</v>
      </c>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X272" s="6"/>
      <c r="AY272" s="6">
        <f>ROUND(AX272/1000/Update!$B$31*Update!$B$27,0)</f>
        <v>0</v>
      </c>
      <c r="BA272" s="6"/>
      <c r="BB272" s="6">
        <f>ROUND(BA272/1000/Update!$B$31,0)</f>
        <v>0</v>
      </c>
      <c r="BC272" s="6"/>
      <c r="BD272" s="29">
        <f t="shared" si="136"/>
        <v>0</v>
      </c>
      <c r="BE272" s="317"/>
      <c r="BF272" s="317"/>
      <c r="BG272" s="317"/>
      <c r="BH272" s="317"/>
      <c r="BI272" s="317"/>
      <c r="BJ272" s="317"/>
      <c r="BK272" s="29">
        <f t="shared" si="111"/>
        <v>0</v>
      </c>
      <c r="BL272" s="317"/>
      <c r="BM272" s="317"/>
      <c r="BN272" s="317"/>
      <c r="BO272" s="317"/>
      <c r="BP272" s="317"/>
      <c r="BQ272" s="317"/>
      <c r="BR272" s="317"/>
      <c r="BS272" s="317"/>
      <c r="BT272" s="317"/>
      <c r="BU272" s="317"/>
      <c r="BV272" s="317"/>
      <c r="BW272" s="317"/>
      <c r="BX272" s="317"/>
      <c r="BY272" s="317"/>
      <c r="BZ272" s="317"/>
      <c r="CA272" s="317"/>
      <c r="CB272" s="317"/>
      <c r="CC272" s="317"/>
      <c r="CD272" s="317"/>
      <c r="CE272" s="317"/>
      <c r="CF272" s="317"/>
      <c r="CG272" s="317"/>
      <c r="CH272" s="317"/>
      <c r="CI272" s="317"/>
      <c r="CM272" s="1139">
        <v>0</v>
      </c>
      <c r="CN272" s="1139">
        <v>0</v>
      </c>
      <c r="CP272" s="923">
        <f t="shared" si="141"/>
        <v>0</v>
      </c>
      <c r="CZ272" s="330"/>
    </row>
    <row r="273" spans="1:104" ht="30" customHeight="1" x14ac:dyDescent="0.25">
      <c r="A273" s="684">
        <f>MAX($A$6:A272)+1</f>
        <v>273</v>
      </c>
      <c r="B273" s="11" t="s">
        <v>43</v>
      </c>
      <c r="C273" s="11" t="str">
        <f t="shared" si="144"/>
        <v>SoCITE</v>
      </c>
      <c r="D273" s="11" t="s">
        <v>809</v>
      </c>
      <c r="E273" s="7" t="s">
        <v>114</v>
      </c>
      <c r="F273" s="15"/>
      <c r="G273" s="1253" t="s">
        <v>286</v>
      </c>
      <c r="H273" s="6"/>
      <c r="I273" s="6"/>
      <c r="J273" s="1253" t="s">
        <v>286</v>
      </c>
      <c r="K273" s="251">
        <f>SUMIF('alb SoCITE'!$A:$A,$J273,'alb SoCITE'!$E:$E)</f>
        <v>0</v>
      </c>
      <c r="L273" s="251">
        <f>SUMIF('alb SoCITE'!$A:$A,$J273,'alb SoCITE'!$K:$K)</f>
        <v>0</v>
      </c>
      <c r="M273" s="252"/>
      <c r="N273" s="273">
        <f t="shared" si="145"/>
        <v>0</v>
      </c>
      <c r="O273" s="12"/>
      <c r="P273" s="12"/>
      <c r="Q273" s="12"/>
      <c r="R273" s="12"/>
      <c r="S273" s="6">
        <f t="shared" si="130"/>
        <v>0</v>
      </c>
      <c r="T273" s="273">
        <f t="shared" si="146"/>
        <v>0</v>
      </c>
      <c r="U273" s="6">
        <f t="shared" si="147"/>
        <v>0</v>
      </c>
      <c r="V273" s="6"/>
      <c r="W273" s="6">
        <f t="shared" si="148"/>
        <v>0</v>
      </c>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X273" s="6"/>
      <c r="AY273" s="6">
        <f>ROUND(AX273/1000/Update!$B$31*Update!$B$27,0)</f>
        <v>0</v>
      </c>
      <c r="BA273" s="6"/>
      <c r="BB273" s="6">
        <f>ROUND(BA273/1000/Update!$B$31,0)</f>
        <v>0</v>
      </c>
      <c r="BC273" s="6"/>
      <c r="BD273" s="29">
        <f t="shared" si="136"/>
        <v>0</v>
      </c>
      <c r="BE273" s="317"/>
      <c r="BF273" s="317"/>
      <c r="BG273" s="317"/>
      <c r="BH273" s="317"/>
      <c r="BI273" s="317"/>
      <c r="BJ273" s="317"/>
      <c r="BK273" s="29">
        <f t="shared" ref="BK273:BK336" si="149">ROUND(SUM(BO273:CI273),0)</f>
        <v>0</v>
      </c>
      <c r="BL273" s="317"/>
      <c r="BM273" s="317"/>
      <c r="BN273" s="317"/>
      <c r="BO273" s="317"/>
      <c r="BP273" s="317"/>
      <c r="BQ273" s="317"/>
      <c r="BR273" s="317"/>
      <c r="BS273" s="317"/>
      <c r="BT273" s="317"/>
      <c r="BU273" s="317"/>
      <c r="BV273" s="317"/>
      <c r="BW273" s="317"/>
      <c r="BX273" s="317"/>
      <c r="BY273" s="317"/>
      <c r="BZ273" s="317"/>
      <c r="CA273" s="317"/>
      <c r="CB273" s="317"/>
      <c r="CC273" s="317"/>
      <c r="CD273" s="317"/>
      <c r="CE273" s="317"/>
      <c r="CF273" s="317"/>
      <c r="CG273" s="317"/>
      <c r="CH273" s="317"/>
      <c r="CI273" s="317"/>
      <c r="CM273" s="1139">
        <v>0</v>
      </c>
      <c r="CN273" s="1139">
        <v>0</v>
      </c>
      <c r="CP273" s="923">
        <f t="shared" si="141"/>
        <v>0</v>
      </c>
      <c r="CZ273" s="330"/>
    </row>
    <row r="274" spans="1:104" ht="15" customHeight="1" x14ac:dyDescent="0.25">
      <c r="A274" s="684">
        <f>MAX($A$6:A273)+1</f>
        <v>274</v>
      </c>
      <c r="B274" s="11" t="s">
        <v>43</v>
      </c>
      <c r="C274" s="11" t="str">
        <f t="shared" si="144"/>
        <v>SoCITE</v>
      </c>
      <c r="D274" s="11" t="s">
        <v>809</v>
      </c>
      <c r="E274" s="7" t="s">
        <v>115</v>
      </c>
      <c r="F274" s="15"/>
      <c r="G274" s="1253" t="s">
        <v>286</v>
      </c>
      <c r="H274" s="6"/>
      <c r="I274" s="6"/>
      <c r="J274" s="1253" t="s">
        <v>286</v>
      </c>
      <c r="K274" s="251">
        <f>SUMIF('alb SoCITE'!$A:$A,$J274,'alb SoCITE'!$E:$E)</f>
        <v>0</v>
      </c>
      <c r="L274" s="251">
        <f>SUMIF('alb SoCITE'!$A:$A,$J274,'alb SoCITE'!$K:$K)</f>
        <v>0</v>
      </c>
      <c r="M274" s="252"/>
      <c r="N274" s="273">
        <f t="shared" si="145"/>
        <v>0</v>
      </c>
      <c r="O274" s="12"/>
      <c r="P274" s="12"/>
      <c r="Q274" s="12"/>
      <c r="R274" s="12"/>
      <c r="S274" s="6">
        <f t="shared" si="130"/>
        <v>0</v>
      </c>
      <c r="T274" s="273">
        <f t="shared" si="146"/>
        <v>0</v>
      </c>
      <c r="U274" s="6">
        <f t="shared" si="147"/>
        <v>0</v>
      </c>
      <c r="V274" s="6"/>
      <c r="W274" s="6">
        <f t="shared" si="148"/>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X274" s="6"/>
      <c r="AY274" s="6">
        <f>ROUND(AX274/1000/Update!$B$31*Update!$B$27,0)</f>
        <v>0</v>
      </c>
      <c r="BA274" s="6"/>
      <c r="BB274" s="6">
        <f>ROUND(BA274/1000/Update!$B$31,0)</f>
        <v>0</v>
      </c>
      <c r="BC274" s="6"/>
      <c r="BD274" s="29">
        <f t="shared" si="136"/>
        <v>0</v>
      </c>
      <c r="BE274" s="317"/>
      <c r="BF274" s="317"/>
      <c r="BG274" s="317"/>
      <c r="BH274" s="317"/>
      <c r="BI274" s="317"/>
      <c r="BJ274" s="317"/>
      <c r="BK274" s="29">
        <f t="shared" si="149"/>
        <v>0</v>
      </c>
      <c r="BL274" s="317"/>
      <c r="BM274" s="317"/>
      <c r="BN274" s="317"/>
      <c r="BO274" s="317"/>
      <c r="BP274" s="317"/>
      <c r="BQ274" s="317"/>
      <c r="BR274" s="317"/>
      <c r="BS274" s="317"/>
      <c r="BT274" s="317"/>
      <c r="BU274" s="317"/>
      <c r="BV274" s="317"/>
      <c r="BW274" s="317"/>
      <c r="BX274" s="317"/>
      <c r="BY274" s="317"/>
      <c r="BZ274" s="317"/>
      <c r="CA274" s="317"/>
      <c r="CB274" s="317"/>
      <c r="CC274" s="317"/>
      <c r="CD274" s="317"/>
      <c r="CE274" s="317"/>
      <c r="CF274" s="317"/>
      <c r="CG274" s="317"/>
      <c r="CH274" s="317"/>
      <c r="CI274" s="317"/>
      <c r="CM274" s="1139">
        <v>0</v>
      </c>
      <c r="CN274" s="1139">
        <v>0</v>
      </c>
      <c r="CP274" s="923">
        <f t="shared" si="141"/>
        <v>0</v>
      </c>
      <c r="CZ274" s="330"/>
    </row>
    <row r="275" spans="1:104" ht="15" customHeight="1" x14ac:dyDescent="0.25">
      <c r="A275" s="684">
        <f>MAX($A$6:A274)+1</f>
        <v>275</v>
      </c>
      <c r="B275" s="11" t="s">
        <v>43</v>
      </c>
      <c r="C275" s="11" t="str">
        <f t="shared" si="144"/>
        <v>SoCITE</v>
      </c>
      <c r="D275" s="11" t="s">
        <v>809</v>
      </c>
      <c r="E275" s="7" t="s">
        <v>116</v>
      </c>
      <c r="F275" s="15"/>
      <c r="G275" s="1253" t="s">
        <v>286</v>
      </c>
      <c r="H275" s="6"/>
      <c r="I275" s="6"/>
      <c r="J275" s="1253" t="s">
        <v>286</v>
      </c>
      <c r="K275" s="251">
        <f>SUMIF('alb SoCITE'!$A:$A,$J275,'alb SoCITE'!$E:$E)</f>
        <v>0</v>
      </c>
      <c r="L275" s="251">
        <f>SUMIF('alb SoCITE'!$A:$A,$J275,'alb SoCITE'!$K:$K)</f>
        <v>0</v>
      </c>
      <c r="M275" s="252"/>
      <c r="N275" s="273">
        <f t="shared" si="145"/>
        <v>0</v>
      </c>
      <c r="O275" s="12"/>
      <c r="P275" s="12"/>
      <c r="Q275" s="12"/>
      <c r="R275" s="12"/>
      <c r="S275" s="6">
        <f t="shared" si="130"/>
        <v>0</v>
      </c>
      <c r="T275" s="273">
        <f t="shared" si="146"/>
        <v>0</v>
      </c>
      <c r="U275" s="6">
        <f t="shared" si="147"/>
        <v>0</v>
      </c>
      <c r="V275" s="6"/>
      <c r="W275" s="6">
        <f t="shared" si="148"/>
        <v>0</v>
      </c>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X275" s="6"/>
      <c r="AY275" s="6">
        <f>ROUND(AX275/1000/Update!$B$31*Update!$B$27,0)</f>
        <v>0</v>
      </c>
      <c r="BA275" s="6"/>
      <c r="BB275" s="6">
        <f>ROUND(BA275/1000/Update!$B$31,0)</f>
        <v>0</v>
      </c>
      <c r="BC275" s="6"/>
      <c r="BD275" s="29">
        <f t="shared" si="136"/>
        <v>0</v>
      </c>
      <c r="BE275" s="317"/>
      <c r="BF275" s="317"/>
      <c r="BG275" s="317"/>
      <c r="BH275" s="317"/>
      <c r="BI275" s="317"/>
      <c r="BJ275" s="317"/>
      <c r="BK275" s="29">
        <f t="shared" si="149"/>
        <v>0</v>
      </c>
      <c r="BL275" s="317"/>
      <c r="BM275" s="317"/>
      <c r="BN275" s="317"/>
      <c r="BO275" s="317"/>
      <c r="BP275" s="317"/>
      <c r="BQ275" s="317"/>
      <c r="BR275" s="317"/>
      <c r="BS275" s="317"/>
      <c r="BT275" s="317"/>
      <c r="BU275" s="317"/>
      <c r="BV275" s="317"/>
      <c r="BW275" s="317"/>
      <c r="BX275" s="317"/>
      <c r="BY275" s="317"/>
      <c r="BZ275" s="317"/>
      <c r="CA275" s="317"/>
      <c r="CB275" s="317"/>
      <c r="CC275" s="317"/>
      <c r="CD275" s="317"/>
      <c r="CE275" s="317"/>
      <c r="CF275" s="317"/>
      <c r="CG275" s="317"/>
      <c r="CH275" s="317"/>
      <c r="CI275" s="317"/>
      <c r="CM275" s="1139">
        <v>0</v>
      </c>
      <c r="CN275" s="1139">
        <v>0</v>
      </c>
      <c r="CP275" s="923">
        <f t="shared" si="141"/>
        <v>0</v>
      </c>
      <c r="CZ275" s="330"/>
    </row>
    <row r="276" spans="1:104" ht="15" customHeight="1" x14ac:dyDescent="0.25">
      <c r="A276" s="684">
        <f>MAX($A$6:A275)+1</f>
        <v>276</v>
      </c>
      <c r="B276" s="11" t="s">
        <v>43</v>
      </c>
      <c r="C276" s="11" t="str">
        <f t="shared" si="144"/>
        <v>SoCITE</v>
      </c>
      <c r="D276" s="11" t="s">
        <v>809</v>
      </c>
      <c r="E276" s="7" t="s">
        <v>286</v>
      </c>
      <c r="F276" s="15"/>
      <c r="G276" s="1253" t="s">
        <v>286</v>
      </c>
      <c r="H276" s="6"/>
      <c r="I276" s="6"/>
      <c r="J276" s="1253" t="s">
        <v>286</v>
      </c>
      <c r="K276" s="251">
        <f>SUMIF('alb SoCITE'!$A:$A,$J276,'alb SoCITE'!$E:$E)</f>
        <v>0</v>
      </c>
      <c r="L276" s="251">
        <f>SUMIF('alb SoCITE'!$A:$A,$J276,'alb SoCITE'!$K:$K)</f>
        <v>0</v>
      </c>
      <c r="M276" s="252"/>
      <c r="N276" s="273">
        <f t="shared" si="145"/>
        <v>0</v>
      </c>
      <c r="O276" s="12"/>
      <c r="P276" s="12"/>
      <c r="Q276" s="12"/>
      <c r="R276" s="12"/>
      <c r="S276" s="6">
        <f t="shared" si="130"/>
        <v>0</v>
      </c>
      <c r="T276" s="273">
        <f t="shared" si="146"/>
        <v>0</v>
      </c>
      <c r="U276" s="6">
        <f t="shared" si="147"/>
        <v>0</v>
      </c>
      <c r="V276" s="6"/>
      <c r="W276" s="6">
        <f t="shared" si="148"/>
        <v>0</v>
      </c>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X276" s="6"/>
      <c r="AY276" s="6">
        <f>ROUND(AX276/1000/Update!$B$31*Update!$B$27,0)</f>
        <v>0</v>
      </c>
      <c r="BA276" s="6"/>
      <c r="BB276" s="6">
        <f>ROUND(BA276/1000/Update!$B$31,0)</f>
        <v>0</v>
      </c>
      <c r="BC276" s="6"/>
      <c r="BD276" s="29">
        <f t="shared" si="136"/>
        <v>0</v>
      </c>
      <c r="BE276" s="317"/>
      <c r="BF276" s="317"/>
      <c r="BG276" s="317"/>
      <c r="BH276" s="317"/>
      <c r="BI276" s="317"/>
      <c r="BJ276" s="317"/>
      <c r="BK276" s="29">
        <f t="shared" si="149"/>
        <v>0</v>
      </c>
      <c r="BL276" s="317"/>
      <c r="BM276" s="317"/>
      <c r="BN276" s="317"/>
      <c r="BO276" s="317"/>
      <c r="BP276" s="317"/>
      <c r="BQ276" s="317"/>
      <c r="BR276" s="317"/>
      <c r="BS276" s="317"/>
      <c r="BT276" s="317"/>
      <c r="BU276" s="317"/>
      <c r="BV276" s="317"/>
      <c r="BW276" s="317"/>
      <c r="BX276" s="317"/>
      <c r="BY276" s="317"/>
      <c r="BZ276" s="317"/>
      <c r="CA276" s="317"/>
      <c r="CB276" s="317"/>
      <c r="CC276" s="317"/>
      <c r="CD276" s="317"/>
      <c r="CE276" s="317"/>
      <c r="CF276" s="317"/>
      <c r="CG276" s="317"/>
      <c r="CH276" s="317"/>
      <c r="CI276" s="317"/>
      <c r="CM276" s="1139">
        <v>0</v>
      </c>
      <c r="CN276" s="1139">
        <v>0</v>
      </c>
      <c r="CP276" s="923">
        <f t="shared" si="141"/>
        <v>0</v>
      </c>
      <c r="CZ276" s="330"/>
    </row>
    <row r="277" spans="1:104" ht="15" customHeight="1" x14ac:dyDescent="0.25">
      <c r="A277" s="701">
        <f>MAX($A$6:A276)+1</f>
        <v>277</v>
      </c>
      <c r="B277" s="18" t="s">
        <v>43</v>
      </c>
      <c r="C277" s="18" t="str">
        <f t="shared" si="144"/>
        <v>SoCITE</v>
      </c>
      <c r="D277" s="18" t="s">
        <v>809</v>
      </c>
      <c r="E277" s="19" t="s">
        <v>117</v>
      </c>
      <c r="F277" s="20"/>
      <c r="G277" s="1278"/>
      <c r="H277" s="14"/>
      <c r="I277" s="14"/>
      <c r="J277" s="1258" t="s">
        <v>286</v>
      </c>
      <c r="K277" s="256">
        <f t="shared" ref="K277:R277" si="150">SUM(K271:K276)</f>
        <v>0</v>
      </c>
      <c r="L277" s="256">
        <f t="shared" si="150"/>
        <v>0</v>
      </c>
      <c r="M277" s="14">
        <f t="shared" si="150"/>
        <v>0</v>
      </c>
      <c r="N277" s="14">
        <f t="shared" si="150"/>
        <v>0</v>
      </c>
      <c r="O277" s="14">
        <f t="shared" si="150"/>
        <v>0</v>
      </c>
      <c r="P277" s="14">
        <f t="shared" si="150"/>
        <v>0</v>
      </c>
      <c r="Q277" s="14">
        <f t="shared" si="150"/>
        <v>0</v>
      </c>
      <c r="R277" s="14">
        <f t="shared" si="150"/>
        <v>0</v>
      </c>
      <c r="S277" s="14">
        <f t="shared" si="130"/>
        <v>0</v>
      </c>
      <c r="T277" s="14">
        <f>SUM(T271:T276)</f>
        <v>0</v>
      </c>
      <c r="U277" s="14">
        <f>SUM(U271:U276)</f>
        <v>0</v>
      </c>
      <c r="V277" s="14">
        <f>SUM(V271:V276)</f>
        <v>0</v>
      </c>
      <c r="W277" s="14">
        <f>SUM(W271:W276)</f>
        <v>0</v>
      </c>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2"/>
      <c r="AX277" s="14">
        <f>SUM(AX271:AX276)</f>
        <v>0</v>
      </c>
      <c r="AY277" s="14">
        <f>ROUND(AX277/1000/Update!$B$31*Update!$B$27,0)</f>
        <v>0</v>
      </c>
      <c r="AZ277" s="2"/>
      <c r="BA277" s="14">
        <f>SUM(BA271:BA276)</f>
        <v>0</v>
      </c>
      <c r="BB277" s="14">
        <f>ROUND(BA277/1000/Update!$B$31,0)</f>
        <v>0</v>
      </c>
      <c r="BC277" s="14"/>
      <c r="BD277" s="14">
        <f t="shared" si="136"/>
        <v>0</v>
      </c>
      <c r="BE277" s="318">
        <f t="shared" ref="BE277:BJ277" si="151">SUM(BE271:BE276)</f>
        <v>0</v>
      </c>
      <c r="BF277" s="318">
        <f t="shared" si="151"/>
        <v>0</v>
      </c>
      <c r="BG277" s="318">
        <f t="shared" si="151"/>
        <v>0</v>
      </c>
      <c r="BH277" s="318">
        <f t="shared" si="151"/>
        <v>0</v>
      </c>
      <c r="BI277" s="318">
        <f t="shared" si="151"/>
        <v>0</v>
      </c>
      <c r="BJ277" s="318">
        <f t="shared" si="151"/>
        <v>0</v>
      </c>
      <c r="BK277" s="14">
        <f t="shared" si="149"/>
        <v>0</v>
      </c>
      <c r="BL277" s="318"/>
      <c r="BM277" s="318"/>
      <c r="BN277" s="318"/>
      <c r="BO277" s="318"/>
      <c r="BP277" s="318"/>
      <c r="BQ277" s="318"/>
      <c r="BR277" s="318"/>
      <c r="BS277" s="318"/>
      <c r="BT277" s="318"/>
      <c r="BU277" s="318"/>
      <c r="BV277" s="318"/>
      <c r="BW277" s="318"/>
      <c r="BX277" s="318"/>
      <c r="BY277" s="318"/>
      <c r="BZ277" s="318"/>
      <c r="CA277" s="318"/>
      <c r="CB277" s="318"/>
      <c r="CC277" s="318"/>
      <c r="CD277" s="318"/>
      <c r="CE277" s="318"/>
      <c r="CF277" s="318"/>
      <c r="CG277" s="318"/>
      <c r="CH277" s="318"/>
      <c r="CI277" s="318"/>
      <c r="CJ277" s="2"/>
      <c r="CK277" s="2"/>
      <c r="CM277" s="1140">
        <v>0</v>
      </c>
      <c r="CN277" s="1140">
        <v>0</v>
      </c>
      <c r="CP277" s="923">
        <f t="shared" si="141"/>
        <v>0</v>
      </c>
      <c r="CZ277" s="330"/>
    </row>
    <row r="278" spans="1:104" ht="15" customHeight="1" x14ac:dyDescent="0.25">
      <c r="A278" s="684">
        <f>MAX($A$6:A277)+1</f>
        <v>278</v>
      </c>
      <c r="B278" s="11" t="s">
        <v>43</v>
      </c>
      <c r="C278" s="11" t="str">
        <f t="shared" si="144"/>
        <v>SoCITE</v>
      </c>
      <c r="D278" s="11" t="s">
        <v>809</v>
      </c>
      <c r="E278" s="7" t="s">
        <v>1028</v>
      </c>
      <c r="F278" s="15"/>
      <c r="G278" s="1253" t="s">
        <v>286</v>
      </c>
      <c r="H278" s="6"/>
      <c r="I278" s="6"/>
      <c r="J278" s="1257" t="s">
        <v>855</v>
      </c>
      <c r="K278" s="251">
        <f>SUMIF('alb SoCITE'!$A:$A,$J278,'alb SoCITE'!$E:$E)</f>
        <v>0</v>
      </c>
      <c r="L278" s="251">
        <f>SUMIF('alb SoCITE'!$A:$A,$J278,'alb SoCITE'!$K:$K)</f>
        <v>0</v>
      </c>
      <c r="M278" s="252"/>
      <c r="N278" s="273">
        <f t="shared" ref="N278:N285" si="152">ROUND(SUM(O278:S278)+SUM(W278:AV278),0)</f>
        <v>0</v>
      </c>
      <c r="O278" s="12"/>
      <c r="P278" s="12"/>
      <c r="Q278" s="12"/>
      <c r="R278" s="12"/>
      <c r="S278" s="6">
        <f t="shared" si="130"/>
        <v>0</v>
      </c>
      <c r="T278" s="273">
        <f t="shared" ref="T278:T285" si="153">ROUND(SUM(U278:Y278),0)</f>
        <v>0</v>
      </c>
      <c r="U278" s="6">
        <f t="shared" ref="U278:U285" si="154">SUM(BL278:BN278)</f>
        <v>0</v>
      </c>
      <c r="V278" s="6"/>
      <c r="W278" s="6">
        <f t="shared" si="148"/>
        <v>0</v>
      </c>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X278" s="6"/>
      <c r="AY278" s="6">
        <f>ROUND(AX278/1000/Update!$B$31*Update!$B$27,0)</f>
        <v>0</v>
      </c>
      <c r="BA278" s="6"/>
      <c r="BB278" s="6">
        <f>ROUND(BA278/1000/Update!$B$31,0)</f>
        <v>0</v>
      </c>
      <c r="BC278" s="6"/>
      <c r="BD278" s="29">
        <f t="shared" si="136"/>
        <v>0</v>
      </c>
      <c r="BE278" s="317"/>
      <c r="BF278" s="317"/>
      <c r="BG278" s="317"/>
      <c r="BH278" s="317"/>
      <c r="BI278" s="317"/>
      <c r="BJ278" s="317"/>
      <c r="BK278" s="29">
        <f t="shared" si="149"/>
        <v>0</v>
      </c>
      <c r="BL278" s="317"/>
      <c r="BM278" s="317"/>
      <c r="BN278" s="317"/>
      <c r="BO278" s="317"/>
      <c r="BP278" s="317"/>
      <c r="BQ278" s="317"/>
      <c r="BR278" s="317"/>
      <c r="BS278" s="317"/>
      <c r="BT278" s="317"/>
      <c r="BU278" s="317"/>
      <c r="BV278" s="317"/>
      <c r="BW278" s="317"/>
      <c r="BX278" s="317"/>
      <c r="BY278" s="317"/>
      <c r="BZ278" s="317"/>
      <c r="CA278" s="317"/>
      <c r="CB278" s="317"/>
      <c r="CC278" s="317"/>
      <c r="CD278" s="317"/>
      <c r="CE278" s="317"/>
      <c r="CF278" s="317"/>
      <c r="CG278" s="317"/>
      <c r="CH278" s="317"/>
      <c r="CI278" s="317"/>
      <c r="CM278" s="1139">
        <v>0</v>
      </c>
      <c r="CN278" s="1139">
        <v>0</v>
      </c>
      <c r="CP278" s="923">
        <f t="shared" si="141"/>
        <v>0</v>
      </c>
      <c r="CZ278" s="330"/>
    </row>
    <row r="279" spans="1:104" ht="15" customHeight="1" x14ac:dyDescent="0.25">
      <c r="A279" s="684">
        <f>MAX($A$6:A278)+1</f>
        <v>279</v>
      </c>
      <c r="B279" s="11" t="s">
        <v>43</v>
      </c>
      <c r="C279" s="11" t="str">
        <f t="shared" si="144"/>
        <v>SoCITE</v>
      </c>
      <c r="D279" s="11" t="s">
        <v>809</v>
      </c>
      <c r="E279" s="269" t="s">
        <v>119</v>
      </c>
      <c r="F279" s="15"/>
      <c r="G279" s="1253" t="s">
        <v>286</v>
      </c>
      <c r="H279" s="6"/>
      <c r="I279" s="6"/>
      <c r="J279" s="1261" t="s">
        <v>286</v>
      </c>
      <c r="K279" s="251">
        <f>SUMIF('alb SoCITE'!$A:$A,$J279,'alb SoCITE'!$E:$E)</f>
        <v>0</v>
      </c>
      <c r="L279" s="251">
        <f>SUMIF('alb SoCITE'!$A:$A,$J279,'alb SoCITE'!$K:$K)</f>
        <v>0</v>
      </c>
      <c r="M279" s="252"/>
      <c r="N279" s="273">
        <f t="shared" si="152"/>
        <v>0</v>
      </c>
      <c r="O279" s="12"/>
      <c r="P279" s="12"/>
      <c r="Q279" s="12"/>
      <c r="R279" s="12"/>
      <c r="S279" s="6">
        <f t="shared" si="130"/>
        <v>0</v>
      </c>
      <c r="T279" s="273">
        <f t="shared" si="153"/>
        <v>0</v>
      </c>
      <c r="U279" s="6">
        <f t="shared" si="154"/>
        <v>0</v>
      </c>
      <c r="V279" s="6"/>
      <c r="W279" s="6">
        <f t="shared" si="148"/>
        <v>0</v>
      </c>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X279" s="6"/>
      <c r="AY279" s="6">
        <f>ROUND(AX279/1000/Update!$B$31*Update!$B$27,0)</f>
        <v>0</v>
      </c>
      <c r="BA279" s="6"/>
      <c r="BB279" s="6">
        <f>ROUND(BA279/1000/Update!$B$31,0)</f>
        <v>0</v>
      </c>
      <c r="BC279" s="6"/>
      <c r="BD279" s="29">
        <f t="shared" si="136"/>
        <v>0</v>
      </c>
      <c r="BE279" s="317"/>
      <c r="BF279" s="317"/>
      <c r="BG279" s="317"/>
      <c r="BH279" s="317"/>
      <c r="BI279" s="317"/>
      <c r="BJ279" s="317"/>
      <c r="BK279" s="29">
        <f t="shared" si="149"/>
        <v>0</v>
      </c>
      <c r="BL279" s="317"/>
      <c r="BM279" s="317"/>
      <c r="BN279" s="317"/>
      <c r="BO279" s="317"/>
      <c r="BP279" s="317"/>
      <c r="BQ279" s="317"/>
      <c r="BR279" s="317"/>
      <c r="BS279" s="317"/>
      <c r="BT279" s="317"/>
      <c r="BU279" s="317"/>
      <c r="BV279" s="317"/>
      <c r="BW279" s="317"/>
      <c r="BX279" s="317"/>
      <c r="BY279" s="317"/>
      <c r="BZ279" s="317"/>
      <c r="CA279" s="317"/>
      <c r="CB279" s="317"/>
      <c r="CC279" s="317"/>
      <c r="CD279" s="317"/>
      <c r="CE279" s="317"/>
      <c r="CF279" s="317"/>
      <c r="CG279" s="317"/>
      <c r="CH279" s="317"/>
      <c r="CI279" s="317"/>
      <c r="CM279" s="1139">
        <v>0</v>
      </c>
      <c r="CN279" s="1139">
        <v>0</v>
      </c>
      <c r="CP279" s="923">
        <f t="shared" si="141"/>
        <v>0</v>
      </c>
      <c r="CZ279" s="330"/>
    </row>
    <row r="280" spans="1:104" ht="30" customHeight="1" x14ac:dyDescent="0.25">
      <c r="A280" s="684">
        <f>MAX($A$6:A279)+1</f>
        <v>280</v>
      </c>
      <c r="B280" s="11" t="s">
        <v>43</v>
      </c>
      <c r="C280" s="11" t="str">
        <f t="shared" si="144"/>
        <v>SoCITE</v>
      </c>
      <c r="D280" s="11" t="s">
        <v>809</v>
      </c>
      <c r="E280" s="7" t="s">
        <v>120</v>
      </c>
      <c r="F280" s="15"/>
      <c r="G280" s="1253" t="s">
        <v>286</v>
      </c>
      <c r="H280" s="6"/>
      <c r="I280" s="6"/>
      <c r="J280" s="1257" t="s">
        <v>856</v>
      </c>
      <c r="K280" s="251">
        <f>SUMIF('alb SoCITE'!$A:$A,$J280,'alb SoCITE'!$E:$E)</f>
        <v>0</v>
      </c>
      <c r="L280" s="251">
        <f>SUMIF('alb SoCITE'!$A:$A,$J280,'alb SoCITE'!$K:$K)</f>
        <v>0</v>
      </c>
      <c r="M280" s="252"/>
      <c r="N280" s="273">
        <f t="shared" si="152"/>
        <v>0</v>
      </c>
      <c r="O280" s="12"/>
      <c r="P280" s="12"/>
      <c r="Q280" s="12"/>
      <c r="R280" s="12"/>
      <c r="S280" s="6">
        <f t="shared" si="130"/>
        <v>0</v>
      </c>
      <c r="T280" s="273">
        <f t="shared" si="153"/>
        <v>0</v>
      </c>
      <c r="U280" s="6">
        <f t="shared" si="154"/>
        <v>0</v>
      </c>
      <c r="V280" s="6"/>
      <c r="W280" s="6">
        <f t="shared" si="148"/>
        <v>0</v>
      </c>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X280" s="6"/>
      <c r="AY280" s="6">
        <f>ROUND(AX280/1000/Update!$B$31*Update!$B$27,0)</f>
        <v>0</v>
      </c>
      <c r="BA280" s="6"/>
      <c r="BB280" s="6">
        <f>ROUND(BA280/1000/Update!$B$31,0)</f>
        <v>0</v>
      </c>
      <c r="BC280" s="6"/>
      <c r="BD280" s="29">
        <f t="shared" si="136"/>
        <v>0</v>
      </c>
      <c r="BE280" s="317"/>
      <c r="BF280" s="317"/>
      <c r="BG280" s="317"/>
      <c r="BH280" s="317"/>
      <c r="BI280" s="317"/>
      <c r="BJ280" s="317"/>
      <c r="BK280" s="29">
        <f t="shared" si="149"/>
        <v>0</v>
      </c>
      <c r="BL280" s="317"/>
      <c r="BM280" s="317"/>
      <c r="BN280" s="317"/>
      <c r="BO280" s="317"/>
      <c r="BP280" s="317"/>
      <c r="BQ280" s="317"/>
      <c r="BR280" s="317"/>
      <c r="BS280" s="317"/>
      <c r="BT280" s="317"/>
      <c r="BU280" s="317"/>
      <c r="BV280" s="317"/>
      <c r="BW280" s="317"/>
      <c r="BX280" s="317"/>
      <c r="BY280" s="317"/>
      <c r="BZ280" s="317"/>
      <c r="CA280" s="317"/>
      <c r="CB280" s="317"/>
      <c r="CC280" s="317"/>
      <c r="CD280" s="317"/>
      <c r="CE280" s="317"/>
      <c r="CF280" s="317"/>
      <c r="CG280" s="317"/>
      <c r="CH280" s="317"/>
      <c r="CI280" s="317"/>
      <c r="CM280" s="1139">
        <v>0</v>
      </c>
      <c r="CN280" s="1139">
        <v>0</v>
      </c>
      <c r="CP280" s="923">
        <f t="shared" si="141"/>
        <v>0</v>
      </c>
      <c r="CZ280" s="330"/>
    </row>
    <row r="281" spans="1:104" ht="15" customHeight="1" x14ac:dyDescent="0.25">
      <c r="A281" s="684">
        <f>MAX($A$6:A280)+1</f>
        <v>281</v>
      </c>
      <c r="B281" s="11" t="s">
        <v>43</v>
      </c>
      <c r="C281" s="11" t="str">
        <f t="shared" si="144"/>
        <v>SoCITE</v>
      </c>
      <c r="D281" s="11" t="s">
        <v>809</v>
      </c>
      <c r="E281" s="7" t="s">
        <v>122</v>
      </c>
      <c r="F281" s="15"/>
      <c r="G281" s="1253" t="s">
        <v>286</v>
      </c>
      <c r="H281" s="6"/>
      <c r="I281" s="6"/>
      <c r="J281" s="1261" t="s">
        <v>286</v>
      </c>
      <c r="K281" s="251">
        <f>SUMIF('alb SoCITE'!$A:$A,$J281,'alb SoCITE'!$E:$E)</f>
        <v>0</v>
      </c>
      <c r="L281" s="251">
        <f>SUMIF('alb SoCITE'!$A:$A,$J281,'alb SoCITE'!$K:$K)</f>
        <v>0</v>
      </c>
      <c r="M281" s="252"/>
      <c r="N281" s="273">
        <f t="shared" si="152"/>
        <v>0</v>
      </c>
      <c r="O281" s="12"/>
      <c r="P281" s="12"/>
      <c r="Q281" s="12"/>
      <c r="R281" s="12"/>
      <c r="S281" s="6">
        <f t="shared" si="130"/>
        <v>0</v>
      </c>
      <c r="T281" s="273">
        <f t="shared" si="153"/>
        <v>0</v>
      </c>
      <c r="U281" s="6">
        <f t="shared" si="154"/>
        <v>0</v>
      </c>
      <c r="V281" s="6"/>
      <c r="W281" s="6">
        <f t="shared" si="148"/>
        <v>0</v>
      </c>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X281" s="6"/>
      <c r="AY281" s="6">
        <f>ROUND(AX281/1000/Update!$B$31*Update!$B$27,0)</f>
        <v>0</v>
      </c>
      <c r="BA281" s="6"/>
      <c r="BB281" s="6">
        <f>ROUND(BA281/1000/Update!$B$31,0)</f>
        <v>0</v>
      </c>
      <c r="BC281" s="6"/>
      <c r="BD281" s="29">
        <f t="shared" si="136"/>
        <v>0</v>
      </c>
      <c r="BE281" s="317"/>
      <c r="BF281" s="317"/>
      <c r="BG281" s="317"/>
      <c r="BH281" s="317"/>
      <c r="BI281" s="317"/>
      <c r="BJ281" s="317"/>
      <c r="BK281" s="29">
        <f t="shared" si="149"/>
        <v>0</v>
      </c>
      <c r="BL281" s="317"/>
      <c r="BM281" s="317"/>
      <c r="BN281" s="317"/>
      <c r="BO281" s="317"/>
      <c r="BP281" s="317"/>
      <c r="BQ281" s="317"/>
      <c r="BR281" s="317"/>
      <c r="BS281" s="317"/>
      <c r="BT281" s="317"/>
      <c r="BU281" s="317"/>
      <c r="BV281" s="317"/>
      <c r="BW281" s="317"/>
      <c r="BX281" s="317"/>
      <c r="BY281" s="317"/>
      <c r="BZ281" s="317"/>
      <c r="CA281" s="317"/>
      <c r="CB281" s="317"/>
      <c r="CC281" s="317"/>
      <c r="CD281" s="317"/>
      <c r="CE281" s="317"/>
      <c r="CF281" s="317"/>
      <c r="CG281" s="317"/>
      <c r="CH281" s="317"/>
      <c r="CI281" s="317"/>
      <c r="CM281" s="1139">
        <v>0</v>
      </c>
      <c r="CN281" s="1139">
        <v>0</v>
      </c>
      <c r="CP281" s="923">
        <f t="shared" si="141"/>
        <v>0</v>
      </c>
      <c r="CZ281" s="330"/>
    </row>
    <row r="282" spans="1:104" ht="15" customHeight="1" x14ac:dyDescent="0.25">
      <c r="A282" s="684">
        <f>MAX($A$6:A281)+1</f>
        <v>282</v>
      </c>
      <c r="B282" s="11" t="s">
        <v>43</v>
      </c>
      <c r="C282" s="11" t="str">
        <f t="shared" si="144"/>
        <v>SoCITE</v>
      </c>
      <c r="D282" s="11" t="s">
        <v>809</v>
      </c>
      <c r="E282" s="269" t="s">
        <v>123</v>
      </c>
      <c r="F282" s="15"/>
      <c r="G282" s="1253" t="s">
        <v>286</v>
      </c>
      <c r="H282" s="6"/>
      <c r="I282" s="6"/>
      <c r="J282" s="1261" t="s">
        <v>286</v>
      </c>
      <c r="K282" s="251">
        <f>SUMIF('alb SoCITE'!$A:$A,$J282,'alb SoCITE'!$E:$E)</f>
        <v>0</v>
      </c>
      <c r="L282" s="251">
        <f>SUMIF('alb SoCITE'!$A:$A,$J282,'alb SoCITE'!$K:$K)</f>
        <v>0</v>
      </c>
      <c r="M282" s="252"/>
      <c r="N282" s="273">
        <f t="shared" si="152"/>
        <v>0</v>
      </c>
      <c r="O282" s="12"/>
      <c r="P282" s="12"/>
      <c r="Q282" s="12"/>
      <c r="R282" s="12"/>
      <c r="S282" s="6">
        <f t="shared" si="130"/>
        <v>0</v>
      </c>
      <c r="T282" s="273">
        <f>ROUND(SUM(U282:Y282),0)</f>
        <v>0</v>
      </c>
      <c r="U282" s="6">
        <f t="shared" si="154"/>
        <v>0</v>
      </c>
      <c r="V282" s="6"/>
      <c r="W282" s="6">
        <f t="shared" si="148"/>
        <v>0</v>
      </c>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X282" s="6"/>
      <c r="AY282" s="6">
        <f>ROUND(AX282/1000/Update!$B$31*Update!$B$27,0)</f>
        <v>0</v>
      </c>
      <c r="BA282" s="6"/>
      <c r="BB282" s="6">
        <f>ROUND(BA282/1000/Update!$B$31,0)</f>
        <v>0</v>
      </c>
      <c r="BC282" s="6"/>
      <c r="BD282" s="29">
        <f t="shared" si="136"/>
        <v>0</v>
      </c>
      <c r="BE282" s="317"/>
      <c r="BF282" s="317"/>
      <c r="BG282" s="317"/>
      <c r="BH282" s="317"/>
      <c r="BI282" s="317"/>
      <c r="BJ282" s="317"/>
      <c r="BK282" s="29">
        <f t="shared" si="149"/>
        <v>0</v>
      </c>
      <c r="BL282" s="317"/>
      <c r="BM282" s="317"/>
      <c r="BN282" s="317"/>
      <c r="BO282" s="317"/>
      <c r="BP282" s="317"/>
      <c r="BQ282" s="317"/>
      <c r="BR282" s="317"/>
      <c r="BS282" s="317"/>
      <c r="BT282" s="317"/>
      <c r="BU282" s="317"/>
      <c r="BV282" s="317"/>
      <c r="BW282" s="317"/>
      <c r="BX282" s="317"/>
      <c r="BY282" s="317"/>
      <c r="BZ282" s="317"/>
      <c r="CA282" s="317"/>
      <c r="CB282" s="317"/>
      <c r="CC282" s="317"/>
      <c r="CD282" s="317"/>
      <c r="CE282" s="317"/>
      <c r="CF282" s="317"/>
      <c r="CG282" s="317"/>
      <c r="CH282" s="317"/>
      <c r="CI282" s="317"/>
      <c r="CM282" s="1139">
        <v>0</v>
      </c>
      <c r="CN282" s="1139">
        <v>0</v>
      </c>
      <c r="CP282" s="923">
        <f t="shared" si="141"/>
        <v>0</v>
      </c>
      <c r="CZ282" s="330"/>
    </row>
    <row r="283" spans="1:104" ht="15" customHeight="1" x14ac:dyDescent="0.25">
      <c r="A283" s="684">
        <f>MAX($A$6:A282)+1</f>
        <v>283</v>
      </c>
      <c r="B283" s="11" t="s">
        <v>43</v>
      </c>
      <c r="C283" s="11" t="str">
        <f t="shared" si="144"/>
        <v>SoCITE</v>
      </c>
      <c r="D283" s="11" t="s">
        <v>809</v>
      </c>
      <c r="E283" s="7" t="s">
        <v>124</v>
      </c>
      <c r="F283" s="15"/>
      <c r="G283" s="1253" t="s">
        <v>286</v>
      </c>
      <c r="H283" s="6"/>
      <c r="I283" s="6"/>
      <c r="J283" s="1257" t="s">
        <v>857</v>
      </c>
      <c r="K283" s="251">
        <f>SUMIF('alb SoCITE'!$A:$A,$J283,'alb SoCITE'!$E:$E)</f>
        <v>0</v>
      </c>
      <c r="L283" s="251">
        <f>SUMIF('alb SoCITE'!$A:$A,$J283,'alb SoCITE'!$K:$K)</f>
        <v>0</v>
      </c>
      <c r="M283" s="252"/>
      <c r="N283" s="273">
        <f>ROUND(SUM(O283:S283)+SUM(W283:AV283),0)</f>
        <v>0</v>
      </c>
      <c r="O283" s="12"/>
      <c r="P283" s="12"/>
      <c r="Q283" s="12"/>
      <c r="R283" s="12"/>
      <c r="S283" s="6">
        <f t="shared" si="130"/>
        <v>0</v>
      </c>
      <c r="T283" s="273">
        <f t="shared" si="153"/>
        <v>0</v>
      </c>
      <c r="U283" s="6">
        <f t="shared" si="154"/>
        <v>0</v>
      </c>
      <c r="V283" s="6"/>
      <c r="W283" s="6">
        <f t="shared" si="148"/>
        <v>0</v>
      </c>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X283" s="6"/>
      <c r="AY283" s="6">
        <f>ROUND(AX283/1000/Update!$B$31*Update!$B$27,0)</f>
        <v>0</v>
      </c>
      <c r="BA283" s="6"/>
      <c r="BB283" s="6">
        <f>ROUND(BA283/1000/Update!$B$31,0)</f>
        <v>0</v>
      </c>
      <c r="BC283" s="6"/>
      <c r="BD283" s="29">
        <f t="shared" si="136"/>
        <v>0</v>
      </c>
      <c r="BE283" s="317"/>
      <c r="BF283" s="317"/>
      <c r="BG283" s="317"/>
      <c r="BH283" s="317"/>
      <c r="BI283" s="317"/>
      <c r="BJ283" s="317"/>
      <c r="BK283" s="29">
        <f t="shared" si="149"/>
        <v>0</v>
      </c>
      <c r="BL283" s="317"/>
      <c r="BM283" s="317"/>
      <c r="BN283" s="317"/>
      <c r="BO283" s="317"/>
      <c r="BP283" s="317"/>
      <c r="BQ283" s="317"/>
      <c r="BR283" s="317"/>
      <c r="BS283" s="317"/>
      <c r="BT283" s="317"/>
      <c r="BU283" s="317"/>
      <c r="BV283" s="317"/>
      <c r="BW283" s="317"/>
      <c r="BX283" s="317"/>
      <c r="BY283" s="317"/>
      <c r="BZ283" s="317"/>
      <c r="CA283" s="317"/>
      <c r="CB283" s="317"/>
      <c r="CC283" s="317"/>
      <c r="CD283" s="317"/>
      <c r="CE283" s="317"/>
      <c r="CF283" s="317"/>
      <c r="CG283" s="317"/>
      <c r="CH283" s="317"/>
      <c r="CI283" s="317"/>
      <c r="CM283" s="1139">
        <v>0</v>
      </c>
      <c r="CN283" s="1139">
        <v>0</v>
      </c>
      <c r="CP283" s="923">
        <f t="shared" si="141"/>
        <v>0</v>
      </c>
      <c r="CZ283" s="330"/>
    </row>
    <row r="284" spans="1:104" ht="15" customHeight="1" x14ac:dyDescent="0.25">
      <c r="A284" s="684">
        <f>MAX($A$6:A283)+1</f>
        <v>284</v>
      </c>
      <c r="B284" s="11" t="s">
        <v>43</v>
      </c>
      <c r="C284" s="11" t="str">
        <f t="shared" si="144"/>
        <v>SoCITE</v>
      </c>
      <c r="D284" s="11" t="s">
        <v>809</v>
      </c>
      <c r="E284" s="7" t="s">
        <v>858</v>
      </c>
      <c r="F284" s="15"/>
      <c r="G284" s="1253" t="s">
        <v>286</v>
      </c>
      <c r="H284" s="6"/>
      <c r="I284" s="6"/>
      <c r="J284" s="1257" t="s">
        <v>858</v>
      </c>
      <c r="K284" s="251">
        <f>SUMIF('alb SoCITE'!$A:$A,$J284,'alb SoCITE'!$E:$E)</f>
        <v>0</v>
      </c>
      <c r="L284" s="251">
        <f>SUMIF('alb SoCITE'!$A:$A,$J284,'alb SoCITE'!$K:$K)</f>
        <v>0</v>
      </c>
      <c r="M284" s="252"/>
      <c r="N284" s="273">
        <f t="shared" si="152"/>
        <v>0</v>
      </c>
      <c r="O284" s="12"/>
      <c r="P284" s="12"/>
      <c r="Q284" s="12"/>
      <c r="R284" s="12"/>
      <c r="S284" s="6">
        <f t="shared" si="130"/>
        <v>0</v>
      </c>
      <c r="T284" s="273">
        <f t="shared" si="153"/>
        <v>0</v>
      </c>
      <c r="U284" s="6">
        <f t="shared" si="154"/>
        <v>0</v>
      </c>
      <c r="V284" s="6"/>
      <c r="W284" s="6">
        <f t="shared" si="148"/>
        <v>0</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X284" s="6"/>
      <c r="AY284" s="6">
        <f>ROUND(AX284/1000/Update!$B$31*Update!$B$27,0)</f>
        <v>0</v>
      </c>
      <c r="BA284" s="6"/>
      <c r="BB284" s="6">
        <f>ROUND(BA284/1000/Update!$B$31,0)</f>
        <v>0</v>
      </c>
      <c r="BC284" s="6"/>
      <c r="BD284" s="29">
        <f t="shared" si="136"/>
        <v>0</v>
      </c>
      <c r="BE284" s="317"/>
      <c r="BF284" s="317"/>
      <c r="BG284" s="317"/>
      <c r="BH284" s="317"/>
      <c r="BI284" s="317"/>
      <c r="BJ284" s="317"/>
      <c r="BK284" s="29">
        <f t="shared" si="149"/>
        <v>0</v>
      </c>
      <c r="BL284" s="317"/>
      <c r="BM284" s="317"/>
      <c r="BN284" s="317"/>
      <c r="BO284" s="317"/>
      <c r="BP284" s="317"/>
      <c r="BQ284" s="317"/>
      <c r="BR284" s="317"/>
      <c r="BS284" s="317"/>
      <c r="BT284" s="317"/>
      <c r="BU284" s="317"/>
      <c r="BV284" s="317"/>
      <c r="BW284" s="317"/>
      <c r="BX284" s="317"/>
      <c r="BY284" s="317"/>
      <c r="BZ284" s="317"/>
      <c r="CA284" s="317"/>
      <c r="CB284" s="317"/>
      <c r="CC284" s="317"/>
      <c r="CD284" s="317"/>
      <c r="CE284" s="317"/>
      <c r="CF284" s="317"/>
      <c r="CG284" s="317"/>
      <c r="CH284" s="317"/>
      <c r="CI284" s="317"/>
      <c r="CM284" s="1139">
        <v>0</v>
      </c>
      <c r="CN284" s="1139">
        <v>0</v>
      </c>
      <c r="CP284" s="923">
        <f t="shared" si="141"/>
        <v>0</v>
      </c>
      <c r="CZ284" s="330"/>
    </row>
    <row r="285" spans="1:104" ht="15" customHeight="1" x14ac:dyDescent="0.25">
      <c r="A285" s="684">
        <f>MAX($A$6:A284)+1</f>
        <v>285</v>
      </c>
      <c r="B285" s="11" t="s">
        <v>43</v>
      </c>
      <c r="C285" s="11" t="str">
        <f t="shared" si="144"/>
        <v>SoCITE</v>
      </c>
      <c r="D285" s="11" t="s">
        <v>809</v>
      </c>
      <c r="E285" s="7" t="s">
        <v>286</v>
      </c>
      <c r="F285" s="15"/>
      <c r="G285" s="1253" t="s">
        <v>286</v>
      </c>
      <c r="H285" s="6"/>
      <c r="I285" s="6"/>
      <c r="J285" s="1253" t="s">
        <v>286</v>
      </c>
      <c r="K285" s="251">
        <f>SUMIF('alb SoCITE'!$A:$A,$J285,'alb SoCITE'!$E:$E)</f>
        <v>0</v>
      </c>
      <c r="L285" s="251">
        <f>SUMIF('alb SoCITE'!$A:$A,$J285,'alb SoCITE'!$K:$K)</f>
        <v>0</v>
      </c>
      <c r="M285" s="252"/>
      <c r="N285" s="273">
        <f t="shared" si="152"/>
        <v>0</v>
      </c>
      <c r="O285" s="12"/>
      <c r="P285" s="12"/>
      <c r="Q285" s="12"/>
      <c r="R285" s="12"/>
      <c r="S285" s="6">
        <f t="shared" si="130"/>
        <v>0</v>
      </c>
      <c r="T285" s="273">
        <f t="shared" si="153"/>
        <v>0</v>
      </c>
      <c r="U285" s="6">
        <f t="shared" si="154"/>
        <v>0</v>
      </c>
      <c r="V285" s="6"/>
      <c r="W285" s="6">
        <f t="shared" si="148"/>
        <v>0</v>
      </c>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X285" s="6"/>
      <c r="AY285" s="6">
        <f>ROUND(AX285/1000/Update!$B$31*Update!$B$27,0)</f>
        <v>0</v>
      </c>
      <c r="BA285" s="6"/>
      <c r="BB285" s="6">
        <f>ROUND(BA285/1000/Update!$B$31,0)</f>
        <v>0</v>
      </c>
      <c r="BC285" s="6"/>
      <c r="BD285" s="29">
        <f t="shared" si="136"/>
        <v>0</v>
      </c>
      <c r="BE285" s="317"/>
      <c r="BF285" s="317"/>
      <c r="BG285" s="317"/>
      <c r="BH285" s="317"/>
      <c r="BI285" s="317"/>
      <c r="BJ285" s="317"/>
      <c r="BK285" s="29">
        <f t="shared" si="149"/>
        <v>0</v>
      </c>
      <c r="BL285" s="317"/>
      <c r="BM285" s="317"/>
      <c r="BN285" s="317"/>
      <c r="BO285" s="317"/>
      <c r="BP285" s="317"/>
      <c r="BQ285" s="317"/>
      <c r="BR285" s="317"/>
      <c r="BS285" s="317"/>
      <c r="BT285" s="317"/>
      <c r="BU285" s="317"/>
      <c r="BV285" s="317"/>
      <c r="BW285" s="317"/>
      <c r="BX285" s="317"/>
      <c r="BY285" s="317"/>
      <c r="BZ285" s="317"/>
      <c r="CA285" s="317"/>
      <c r="CB285" s="317"/>
      <c r="CC285" s="317"/>
      <c r="CD285" s="317"/>
      <c r="CE285" s="317"/>
      <c r="CF285" s="317"/>
      <c r="CG285" s="317"/>
      <c r="CH285" s="317"/>
      <c r="CI285" s="317"/>
      <c r="CM285" s="1139">
        <v>0</v>
      </c>
      <c r="CN285" s="1139">
        <v>0</v>
      </c>
      <c r="CP285" s="923">
        <f t="shared" si="141"/>
        <v>0</v>
      </c>
      <c r="CZ285" s="330"/>
    </row>
    <row r="286" spans="1:104" ht="15" customHeight="1" x14ac:dyDescent="0.25">
      <c r="A286" s="701">
        <f>MAX($A$6:A285)+1</f>
        <v>286</v>
      </c>
      <c r="B286" s="18" t="s">
        <v>43</v>
      </c>
      <c r="C286" s="18" t="str">
        <f t="shared" si="144"/>
        <v>SoCITE</v>
      </c>
      <c r="D286" s="18" t="s">
        <v>809</v>
      </c>
      <c r="E286" s="19" t="str">
        <f>"Balances at "&amp;Update!$B$22</f>
        <v>Balances at  31 March 2026</v>
      </c>
      <c r="F286" s="20"/>
      <c r="G286" s="28"/>
      <c r="H286" s="14"/>
      <c r="I286" s="14"/>
      <c r="J286" s="1258" t="s">
        <v>286</v>
      </c>
      <c r="K286" s="256">
        <f t="shared" ref="K286:R286" si="155">SUM(K278:K285)+K277+K270</f>
        <v>0</v>
      </c>
      <c r="L286" s="256">
        <f t="shared" si="155"/>
        <v>0</v>
      </c>
      <c r="M286" s="14">
        <f t="shared" si="155"/>
        <v>0</v>
      </c>
      <c r="N286" s="14">
        <f t="shared" si="155"/>
        <v>0</v>
      </c>
      <c r="O286" s="14">
        <f t="shared" si="155"/>
        <v>0</v>
      </c>
      <c r="P286" s="14">
        <f t="shared" si="155"/>
        <v>0</v>
      </c>
      <c r="Q286" s="14">
        <f t="shared" si="155"/>
        <v>0</v>
      </c>
      <c r="R286" s="14">
        <f t="shared" si="155"/>
        <v>0</v>
      </c>
      <c r="S286" s="14">
        <f t="shared" si="130"/>
        <v>0</v>
      </c>
      <c r="T286" s="14">
        <f>SUM(T278:T285)+T277+T270</f>
        <v>0</v>
      </c>
      <c r="U286" s="14">
        <f>SUM(U278:U285)+U277+U270</f>
        <v>0</v>
      </c>
      <c r="V286" s="14">
        <f>SUM(V278:V285)+V277+V270</f>
        <v>0</v>
      </c>
      <c r="W286" s="14">
        <f>SUM(W278:W285)+W277+W270</f>
        <v>0</v>
      </c>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2"/>
      <c r="AX286" s="14">
        <f>SUM(AX278:AX285)+AX277+AX270</f>
        <v>0</v>
      </c>
      <c r="AY286" s="14">
        <f>ROUND(AX286/1000/Update!$B$31*Update!$B$27,0)</f>
        <v>0</v>
      </c>
      <c r="AZ286" s="2"/>
      <c r="BA286" s="14">
        <f>SUM(BA278:BA285)+BA277+BA270</f>
        <v>0</v>
      </c>
      <c r="BB286" s="14">
        <f>ROUND(BA286/1000/Update!$B$31,0)</f>
        <v>0</v>
      </c>
      <c r="BC286" s="14"/>
      <c r="BD286" s="14">
        <f t="shared" si="136"/>
        <v>0</v>
      </c>
      <c r="BE286" s="318">
        <f t="shared" ref="BE286:BJ286" si="156">SUM(BE278:BE285)+BE277+BE270</f>
        <v>0</v>
      </c>
      <c r="BF286" s="318">
        <f t="shared" si="156"/>
        <v>0</v>
      </c>
      <c r="BG286" s="318">
        <f t="shared" si="156"/>
        <v>0</v>
      </c>
      <c r="BH286" s="318">
        <f t="shared" si="156"/>
        <v>0</v>
      </c>
      <c r="BI286" s="318">
        <f t="shared" si="156"/>
        <v>0</v>
      </c>
      <c r="BJ286" s="318">
        <f t="shared" si="156"/>
        <v>0</v>
      </c>
      <c r="BK286" s="14">
        <f t="shared" si="149"/>
        <v>0</v>
      </c>
      <c r="BL286" s="318"/>
      <c r="BM286" s="318"/>
      <c r="BN286" s="318"/>
      <c r="BO286" s="318"/>
      <c r="BP286" s="318"/>
      <c r="BQ286" s="318"/>
      <c r="BR286" s="318"/>
      <c r="BS286" s="318"/>
      <c r="BT286" s="318"/>
      <c r="BU286" s="318"/>
      <c r="BV286" s="318"/>
      <c r="BW286" s="318"/>
      <c r="BX286" s="318"/>
      <c r="BY286" s="318"/>
      <c r="BZ286" s="318"/>
      <c r="CA286" s="318"/>
      <c r="CB286" s="318"/>
      <c r="CC286" s="318"/>
      <c r="CD286" s="318"/>
      <c r="CE286" s="318"/>
      <c r="CF286" s="318"/>
      <c r="CG286" s="318"/>
      <c r="CH286" s="318"/>
      <c r="CI286" s="318"/>
      <c r="CJ286" s="2"/>
      <c r="CK286" s="2"/>
      <c r="CM286" s="1140">
        <v>0</v>
      </c>
      <c r="CN286" s="1140">
        <v>0</v>
      </c>
      <c r="CP286" s="923">
        <f t="shared" si="141"/>
        <v>0</v>
      </c>
      <c r="CZ286" s="330"/>
    </row>
    <row r="287" spans="1:104" ht="18.75" customHeight="1" x14ac:dyDescent="0.25">
      <c r="A287" s="694">
        <f>MAX($A$6:A286)+1</f>
        <v>287</v>
      </c>
      <c r="B287" s="1299">
        <f>SUMIF(Update!$B$33:$B$106,C287,Update!$A$33:$A$106)</f>
        <v>1</v>
      </c>
      <c r="C287" s="696" t="s">
        <v>841</v>
      </c>
      <c r="D287" s="695"/>
      <c r="E287" s="696" t="str">
        <f>B287&amp;" "&amp;C287</f>
        <v>1 Accounting Policies</v>
      </c>
      <c r="F287" s="697"/>
      <c r="G287" s="697"/>
      <c r="H287" s="695"/>
      <c r="I287" s="695"/>
      <c r="J287" s="698" t="s">
        <v>286</v>
      </c>
      <c r="K287" s="699">
        <v>0</v>
      </c>
      <c r="L287" s="699">
        <f>SUMIF('alb SoCITE'!$A:$A,$J287,'alb SoCITE'!$K:$K)</f>
        <v>0</v>
      </c>
      <c r="M287" s="695"/>
      <c r="N287" s="713"/>
      <c r="O287" s="695"/>
      <c r="P287" s="695"/>
      <c r="Q287" s="695"/>
      <c r="R287" s="695"/>
      <c r="S287" s="695">
        <f t="shared" si="130"/>
        <v>0</v>
      </c>
      <c r="T287" s="713">
        <f>ROUND(SUM(U287:Y287),0)</f>
        <v>0</v>
      </c>
      <c r="U287" s="695"/>
      <c r="V287" s="695"/>
      <c r="W287" s="695"/>
      <c r="X287" s="695"/>
      <c r="Y287" s="695"/>
      <c r="Z287" s="695"/>
      <c r="AA287" s="695"/>
      <c r="AB287" s="695"/>
      <c r="AC287" s="695"/>
      <c r="AD287" s="695"/>
      <c r="AE287" s="695"/>
      <c r="AF287" s="695"/>
      <c r="AG287" s="695"/>
      <c r="AH287" s="695"/>
      <c r="AI287" s="695"/>
      <c r="AJ287" s="695"/>
      <c r="AK287" s="695"/>
      <c r="AL287" s="695"/>
      <c r="AM287" s="695"/>
      <c r="AN287" s="695"/>
      <c r="AO287" s="695"/>
      <c r="AP287" s="695"/>
      <c r="AQ287" s="695"/>
      <c r="AR287" s="695"/>
      <c r="AS287" s="695"/>
      <c r="AT287" s="695"/>
      <c r="AU287" s="695"/>
      <c r="AV287" s="695"/>
      <c r="AW287" s="700"/>
      <c r="AX287" s="700"/>
      <c r="AY287" s="700">
        <f>ROUND(AX287/1000/Update!$B$31*Update!$B$27,0)</f>
        <v>0</v>
      </c>
      <c r="AZ287" s="700"/>
      <c r="BA287" s="700"/>
      <c r="BB287" s="700">
        <f>ROUND(BA287/1000/Update!$B$31,0)</f>
        <v>0</v>
      </c>
      <c r="BC287" s="700"/>
      <c r="BD287" s="721">
        <f t="shared" si="136"/>
        <v>0</v>
      </c>
      <c r="BE287" s="700"/>
      <c r="BF287" s="700"/>
      <c r="BG287" s="700"/>
      <c r="BH287" s="700"/>
      <c r="BI287" s="700"/>
      <c r="BJ287" s="700"/>
      <c r="BK287" s="721">
        <f t="shared" si="149"/>
        <v>0</v>
      </c>
      <c r="BL287" s="700"/>
      <c r="BM287" s="700"/>
      <c r="BN287" s="700"/>
      <c r="BO287" s="700"/>
      <c r="BP287" s="700"/>
      <c r="BQ287" s="700"/>
      <c r="BR287" s="700"/>
      <c r="BS287" s="700"/>
      <c r="BT287" s="700"/>
      <c r="BU287" s="700"/>
      <c r="BV287" s="700"/>
      <c r="BW287" s="700"/>
      <c r="BX287" s="700"/>
      <c r="BY287" s="700"/>
      <c r="BZ287" s="700"/>
      <c r="CA287" s="700"/>
      <c r="CB287" s="700"/>
      <c r="CC287" s="700"/>
      <c r="CD287" s="700"/>
      <c r="CE287" s="700"/>
      <c r="CF287" s="700"/>
      <c r="CG287" s="700"/>
      <c r="CH287" s="700"/>
      <c r="CI287" s="700"/>
      <c r="CJ287" s="700"/>
      <c r="CK287" s="700"/>
      <c r="CM287" s="700">
        <v>0</v>
      </c>
      <c r="CN287" s="700">
        <v>0</v>
      </c>
      <c r="CP287" s="923">
        <f t="shared" si="141"/>
        <v>0</v>
      </c>
      <c r="CZ287" s="330"/>
    </row>
    <row r="288" spans="1:104" ht="15" customHeight="1" x14ac:dyDescent="0.25">
      <c r="A288" s="684">
        <f>MAX($A$6:A287)+1</f>
        <v>288</v>
      </c>
      <c r="B288" s="3">
        <f t="shared" ref="B288:C292" si="157">B287</f>
        <v>1</v>
      </c>
      <c r="C288" s="11" t="str">
        <f t="shared" si="157"/>
        <v>Accounting Policies</v>
      </c>
      <c r="D288" s="11" t="s">
        <v>133</v>
      </c>
      <c r="E288" s="7" t="s">
        <v>128</v>
      </c>
      <c r="F288" s="15"/>
      <c r="G288" s="1253" t="s">
        <v>286</v>
      </c>
      <c r="H288" s="6"/>
      <c r="I288" s="6"/>
      <c r="J288" s="1257" t="s">
        <v>286</v>
      </c>
      <c r="K288" s="251">
        <v>0</v>
      </c>
      <c r="L288" s="251">
        <v>0</v>
      </c>
      <c r="M288" s="10" t="s">
        <v>287</v>
      </c>
      <c r="N288" s="273"/>
      <c r="O288" s="12"/>
      <c r="P288" s="12"/>
      <c r="Q288" s="12"/>
      <c r="R288" s="12"/>
      <c r="S288" s="6">
        <f t="shared" si="130"/>
        <v>0</v>
      </c>
      <c r="T288" s="273">
        <f t="shared" ref="T288:T292" si="158">ROUND(SUM(U288:Y288),0)</f>
        <v>0</v>
      </c>
      <c r="U288" s="6">
        <f>SUM(BM288:BN288)-BL288</f>
        <v>0</v>
      </c>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X288" s="6"/>
      <c r="AY288" s="6">
        <f>ROUND(AX288/1000/Update!$B$31*Update!$B$27,0)</f>
        <v>0</v>
      </c>
      <c r="BA288" s="6"/>
      <c r="BB288" s="6">
        <f>ROUND(BA288/1000/Update!$B$31,0)</f>
        <v>0</v>
      </c>
      <c r="BC288" s="6"/>
      <c r="BD288" s="29">
        <f t="shared" si="136"/>
        <v>0</v>
      </c>
      <c r="BE288" s="317"/>
      <c r="BF288" s="317"/>
      <c r="BG288" s="317"/>
      <c r="BH288" s="317"/>
      <c r="BI288" s="317"/>
      <c r="BJ288" s="317"/>
      <c r="BK288" s="29">
        <f t="shared" si="149"/>
        <v>0</v>
      </c>
      <c r="BL288" s="317"/>
      <c r="BM288" s="317"/>
      <c r="BN288" s="317"/>
      <c r="BO288" s="317"/>
      <c r="BP288" s="317"/>
      <c r="BQ288" s="317"/>
      <c r="BR288" s="317"/>
      <c r="BS288" s="317"/>
      <c r="BT288" s="321"/>
      <c r="BU288" s="317"/>
      <c r="BV288" s="317"/>
      <c r="BW288" s="317"/>
      <c r="BX288" s="317"/>
      <c r="BY288" s="317"/>
      <c r="BZ288" s="317"/>
      <c r="CA288" s="317"/>
      <c r="CB288" s="317"/>
      <c r="CC288" s="317"/>
      <c r="CD288" s="317"/>
      <c r="CE288" s="317"/>
      <c r="CF288" s="317"/>
      <c r="CG288" s="317"/>
      <c r="CH288" s="317"/>
      <c r="CI288" s="317"/>
      <c r="CM288" s="1139">
        <v>0</v>
      </c>
      <c r="CN288" s="1139">
        <v>0</v>
      </c>
      <c r="CP288" s="923">
        <f t="shared" si="141"/>
        <v>0</v>
      </c>
      <c r="CZ288" s="330"/>
    </row>
    <row r="289" spans="1:104" ht="15" customHeight="1" x14ac:dyDescent="0.25">
      <c r="A289" s="684">
        <f>MAX($A$6:A288)+1</f>
        <v>289</v>
      </c>
      <c r="B289" s="3">
        <f t="shared" si="157"/>
        <v>1</v>
      </c>
      <c r="C289" s="11" t="str">
        <f t="shared" si="157"/>
        <v>Accounting Policies</v>
      </c>
      <c r="D289" s="11" t="s">
        <v>133</v>
      </c>
      <c r="E289" s="7" t="s">
        <v>129</v>
      </c>
      <c r="F289" s="15"/>
      <c r="G289" s="1253" t="s">
        <v>286</v>
      </c>
      <c r="H289" s="6"/>
      <c r="I289" s="6"/>
      <c r="J289" s="1257" t="s">
        <v>286</v>
      </c>
      <c r="K289" s="251">
        <v>0</v>
      </c>
      <c r="L289" s="251">
        <v>0</v>
      </c>
      <c r="M289" s="10" t="s">
        <v>287</v>
      </c>
      <c r="N289" s="273"/>
      <c r="O289" s="12"/>
      <c r="P289" s="12"/>
      <c r="Q289" s="12"/>
      <c r="R289" s="12"/>
      <c r="S289" s="6">
        <f t="shared" si="130"/>
        <v>0</v>
      </c>
      <c r="T289" s="273">
        <f t="shared" si="158"/>
        <v>0</v>
      </c>
      <c r="U289" s="6">
        <f>SUM(BM289:BN289)-BL289</f>
        <v>0</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X289" s="6"/>
      <c r="AY289" s="6">
        <f>ROUND(AX289/1000/Update!$B$31*Update!$B$27,0)</f>
        <v>0</v>
      </c>
      <c r="BA289" s="6"/>
      <c r="BB289" s="6">
        <f>ROUND(BA289/1000/Update!$B$31,0)</f>
        <v>0</v>
      </c>
      <c r="BC289" s="6"/>
      <c r="BD289" s="29">
        <f t="shared" si="136"/>
        <v>0</v>
      </c>
      <c r="BE289" s="317"/>
      <c r="BF289" s="317"/>
      <c r="BG289" s="317"/>
      <c r="BH289" s="317"/>
      <c r="BI289" s="317"/>
      <c r="BJ289" s="317"/>
      <c r="BK289" s="29">
        <f t="shared" si="149"/>
        <v>0</v>
      </c>
      <c r="BL289" s="317"/>
      <c r="BM289" s="317"/>
      <c r="BN289" s="317"/>
      <c r="BO289" s="317"/>
      <c r="BP289" s="317"/>
      <c r="BQ289" s="317"/>
      <c r="BR289" s="317"/>
      <c r="BS289" s="317"/>
      <c r="BT289" s="321"/>
      <c r="BU289" s="317"/>
      <c r="BV289" s="317"/>
      <c r="BW289" s="317"/>
      <c r="BX289" s="317"/>
      <c r="BY289" s="317"/>
      <c r="BZ289" s="317"/>
      <c r="CA289" s="317"/>
      <c r="CB289" s="317"/>
      <c r="CC289" s="317"/>
      <c r="CD289" s="317"/>
      <c r="CE289" s="317"/>
      <c r="CF289" s="317"/>
      <c r="CG289" s="317"/>
      <c r="CH289" s="317"/>
      <c r="CI289" s="317"/>
      <c r="CM289" s="1139">
        <v>0</v>
      </c>
      <c r="CN289" s="1139">
        <v>0</v>
      </c>
      <c r="CP289" s="923">
        <f t="shared" si="141"/>
        <v>0</v>
      </c>
      <c r="CZ289" s="330"/>
    </row>
    <row r="290" spans="1:104" ht="15" customHeight="1" x14ac:dyDescent="0.25">
      <c r="A290" s="684">
        <f>MAX($A$6:A289)+1</f>
        <v>290</v>
      </c>
      <c r="B290" s="3">
        <f t="shared" si="157"/>
        <v>1</v>
      </c>
      <c r="C290" s="11" t="str">
        <f t="shared" si="157"/>
        <v>Accounting Policies</v>
      </c>
      <c r="D290" s="11" t="s">
        <v>133</v>
      </c>
      <c r="E290" s="7" t="s">
        <v>130</v>
      </c>
      <c r="F290" s="15"/>
      <c r="G290" s="1253" t="s">
        <v>286</v>
      </c>
      <c r="H290" s="6"/>
      <c r="I290" s="6"/>
      <c r="J290" s="1257" t="s">
        <v>286</v>
      </c>
      <c r="K290" s="251">
        <v>0</v>
      </c>
      <c r="L290" s="251">
        <v>0</v>
      </c>
      <c r="M290" s="10" t="s">
        <v>287</v>
      </c>
      <c r="N290" s="273"/>
      <c r="O290" s="12"/>
      <c r="P290" s="12"/>
      <c r="Q290" s="12"/>
      <c r="R290" s="12"/>
      <c r="S290" s="6">
        <f t="shared" si="130"/>
        <v>0</v>
      </c>
      <c r="T290" s="273">
        <f t="shared" si="158"/>
        <v>0</v>
      </c>
      <c r="U290" s="6">
        <f>SUM(BM290:BN290)-BL290</f>
        <v>0</v>
      </c>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X290" s="6"/>
      <c r="AY290" s="6">
        <f>ROUND(AX290/1000/Update!$B$31*Update!$B$27,0)</f>
        <v>0</v>
      </c>
      <c r="BA290" s="6"/>
      <c r="BB290" s="6">
        <f>ROUND(BA290/1000/Update!$B$31,0)</f>
        <v>0</v>
      </c>
      <c r="BC290" s="6"/>
      <c r="BD290" s="29">
        <f t="shared" si="136"/>
        <v>0</v>
      </c>
      <c r="BE290" s="317"/>
      <c r="BF290" s="317"/>
      <c r="BG290" s="317"/>
      <c r="BH290" s="317"/>
      <c r="BI290" s="317"/>
      <c r="BJ290" s="317"/>
      <c r="BK290" s="29">
        <f t="shared" si="149"/>
        <v>0</v>
      </c>
      <c r="BL290" s="317"/>
      <c r="BM290" s="317"/>
      <c r="BN290" s="317"/>
      <c r="BO290" s="317"/>
      <c r="BP290" s="317"/>
      <c r="BQ290" s="317"/>
      <c r="BR290" s="317"/>
      <c r="BS290" s="317"/>
      <c r="BT290" s="321"/>
      <c r="BU290" s="317"/>
      <c r="BV290" s="317"/>
      <c r="BW290" s="317"/>
      <c r="BX290" s="317"/>
      <c r="BY290" s="317"/>
      <c r="BZ290" s="317"/>
      <c r="CA290" s="317"/>
      <c r="CB290" s="317"/>
      <c r="CC290" s="317"/>
      <c r="CD290" s="317"/>
      <c r="CE290" s="317"/>
      <c r="CF290" s="317"/>
      <c r="CG290" s="317"/>
      <c r="CH290" s="317"/>
      <c r="CI290" s="317"/>
      <c r="CM290" s="1139">
        <v>0</v>
      </c>
      <c r="CN290" s="1139">
        <v>0</v>
      </c>
      <c r="CP290" s="923">
        <f t="shared" si="141"/>
        <v>0</v>
      </c>
      <c r="CZ290" s="330"/>
    </row>
    <row r="291" spans="1:104" ht="15" customHeight="1" x14ac:dyDescent="0.25">
      <c r="A291" s="684">
        <f>MAX($A$6:A290)+1</f>
        <v>291</v>
      </c>
      <c r="B291" s="3">
        <f t="shared" si="157"/>
        <v>1</v>
      </c>
      <c r="C291" s="11" t="str">
        <f t="shared" si="157"/>
        <v>Accounting Policies</v>
      </c>
      <c r="D291" s="11" t="s">
        <v>133</v>
      </c>
      <c r="E291" s="7" t="s">
        <v>131</v>
      </c>
      <c r="F291" s="15"/>
      <c r="G291" s="1253" t="s">
        <v>286</v>
      </c>
      <c r="H291" s="6"/>
      <c r="I291" s="6"/>
      <c r="J291" s="1257" t="s">
        <v>286</v>
      </c>
      <c r="K291" s="251">
        <v>0</v>
      </c>
      <c r="L291" s="251">
        <v>0</v>
      </c>
      <c r="M291" s="10" t="s">
        <v>287</v>
      </c>
      <c r="N291" s="273"/>
      <c r="O291" s="12"/>
      <c r="P291" s="12"/>
      <c r="Q291" s="12"/>
      <c r="R291" s="12"/>
      <c r="S291" s="6">
        <f t="shared" si="130"/>
        <v>0</v>
      </c>
      <c r="T291" s="273">
        <f t="shared" si="158"/>
        <v>0</v>
      </c>
      <c r="U291" s="6">
        <f>SUM(BM291:BN291)-BL291</f>
        <v>0</v>
      </c>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X291" s="6"/>
      <c r="AY291" s="6">
        <f>ROUND(AX291/1000/Update!$B$31*Update!$B$27,0)</f>
        <v>0</v>
      </c>
      <c r="BA291" s="6"/>
      <c r="BB291" s="6">
        <f>ROUND(BA291/1000/Update!$B$31,0)</f>
        <v>0</v>
      </c>
      <c r="BC291" s="6"/>
      <c r="BD291" s="29">
        <f t="shared" si="136"/>
        <v>0</v>
      </c>
      <c r="BE291" s="317"/>
      <c r="BF291" s="317"/>
      <c r="BG291" s="317"/>
      <c r="BH291" s="317"/>
      <c r="BI291" s="317"/>
      <c r="BJ291" s="317"/>
      <c r="BK291" s="29">
        <f t="shared" si="149"/>
        <v>0</v>
      </c>
      <c r="BL291" s="317"/>
      <c r="BM291" s="317"/>
      <c r="BN291" s="317"/>
      <c r="BO291" s="317"/>
      <c r="BP291" s="317"/>
      <c r="BQ291" s="317"/>
      <c r="BR291" s="317"/>
      <c r="BS291" s="317"/>
      <c r="BT291" s="321"/>
      <c r="BU291" s="317"/>
      <c r="BV291" s="317"/>
      <c r="BW291" s="317"/>
      <c r="BX291" s="317"/>
      <c r="BY291" s="317"/>
      <c r="BZ291" s="317"/>
      <c r="CA291" s="317"/>
      <c r="CB291" s="317"/>
      <c r="CC291" s="317"/>
      <c r="CD291" s="317"/>
      <c r="CE291" s="317"/>
      <c r="CF291" s="317"/>
      <c r="CG291" s="317"/>
      <c r="CH291" s="317"/>
      <c r="CI291" s="317"/>
      <c r="CM291" s="1139">
        <v>0</v>
      </c>
      <c r="CN291" s="1139">
        <v>0</v>
      </c>
      <c r="CP291" s="923">
        <f t="shared" si="141"/>
        <v>0</v>
      </c>
      <c r="CZ291" s="330"/>
    </row>
    <row r="292" spans="1:104" ht="15" customHeight="1" x14ac:dyDescent="0.25">
      <c r="A292" s="684">
        <f>MAX($A$6:A291)+1</f>
        <v>292</v>
      </c>
      <c r="B292" s="3">
        <f t="shared" si="157"/>
        <v>1</v>
      </c>
      <c r="C292" s="11" t="str">
        <f t="shared" si="157"/>
        <v>Accounting Policies</v>
      </c>
      <c r="D292" s="11" t="s">
        <v>133</v>
      </c>
      <c r="E292" s="7" t="s">
        <v>132</v>
      </c>
      <c r="F292" s="15"/>
      <c r="G292" s="1253" t="s">
        <v>286</v>
      </c>
      <c r="H292" s="6"/>
      <c r="I292" s="6"/>
      <c r="J292" s="1257" t="s">
        <v>286</v>
      </c>
      <c r="K292" s="251">
        <v>0</v>
      </c>
      <c r="L292" s="251">
        <v>0</v>
      </c>
      <c r="M292" s="10" t="s">
        <v>287</v>
      </c>
      <c r="N292" s="273"/>
      <c r="O292" s="12"/>
      <c r="P292" s="12"/>
      <c r="Q292" s="12"/>
      <c r="R292" s="12"/>
      <c r="S292" s="6">
        <f t="shared" si="130"/>
        <v>0</v>
      </c>
      <c r="T292" s="273">
        <f t="shared" si="158"/>
        <v>0</v>
      </c>
      <c r="U292" s="6">
        <f>SUM(BM292:BN292)-BL292</f>
        <v>0</v>
      </c>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X292" s="6"/>
      <c r="AY292" s="6">
        <f>ROUND(AX292/1000/Update!$B$31*Update!$B$27,0)</f>
        <v>0</v>
      </c>
      <c r="BA292" s="6"/>
      <c r="BB292" s="6">
        <f>ROUND(BA292/1000/Update!$B$31,0)</f>
        <v>0</v>
      </c>
      <c r="BC292" s="6"/>
      <c r="BD292" s="29">
        <f t="shared" si="136"/>
        <v>0</v>
      </c>
      <c r="BE292" s="317"/>
      <c r="BF292" s="317"/>
      <c r="BG292" s="317"/>
      <c r="BH292" s="317"/>
      <c r="BI292" s="317"/>
      <c r="BJ292" s="317"/>
      <c r="BK292" s="29">
        <f t="shared" si="149"/>
        <v>0</v>
      </c>
      <c r="BL292" s="317"/>
      <c r="BM292" s="317"/>
      <c r="BN292" s="317"/>
      <c r="BO292" s="317"/>
      <c r="BP292" s="317"/>
      <c r="BQ292" s="317"/>
      <c r="BR292" s="317"/>
      <c r="BS292" s="317"/>
      <c r="BT292" s="321"/>
      <c r="BU292" s="317"/>
      <c r="BV292" s="317"/>
      <c r="BW292" s="317"/>
      <c r="BX292" s="317"/>
      <c r="BY292" s="317"/>
      <c r="BZ292" s="317"/>
      <c r="CA292" s="317"/>
      <c r="CB292" s="317"/>
      <c r="CC292" s="317"/>
      <c r="CD292" s="317"/>
      <c r="CE292" s="317"/>
      <c r="CF292" s="317"/>
      <c r="CG292" s="317"/>
      <c r="CH292" s="317"/>
      <c r="CI292" s="317"/>
      <c r="CM292" s="1139">
        <v>0</v>
      </c>
      <c r="CN292" s="1139">
        <v>0</v>
      </c>
      <c r="CP292" s="923">
        <f t="shared" si="141"/>
        <v>0</v>
      </c>
      <c r="CZ292" s="330"/>
    </row>
    <row r="293" spans="1:104" ht="18.75" customHeight="1" x14ac:dyDescent="0.25">
      <c r="A293" s="694">
        <f>MAX($A$6:A292)+1</f>
        <v>293</v>
      </c>
      <c r="B293" s="1299">
        <f>SUMIF(Update!$B$33:$B$106,C293,Update!$A$33:$A$106)</f>
        <v>2</v>
      </c>
      <c r="C293" s="696" t="s">
        <v>558</v>
      </c>
      <c r="D293" s="695"/>
      <c r="E293" s="696" t="str">
        <f>B293&amp;" "&amp;C293</f>
        <v>2 Statement of Operating Costs by Operating Segment</v>
      </c>
      <c r="F293" s="697"/>
      <c r="G293" s="697"/>
      <c r="H293" s="695"/>
      <c r="I293" s="695"/>
      <c r="J293" s="698" t="s">
        <v>286</v>
      </c>
      <c r="K293" s="699">
        <v>0</v>
      </c>
      <c r="L293" s="699">
        <v>0</v>
      </c>
      <c r="M293" s="695"/>
      <c r="N293" s="713">
        <f>ROUND(SUM(O293:AU293)-T293,0)</f>
        <v>0</v>
      </c>
      <c r="O293" s="695"/>
      <c r="P293" s="695"/>
      <c r="Q293" s="695"/>
      <c r="R293" s="695"/>
      <c r="S293" s="695">
        <f t="shared" si="130"/>
        <v>0</v>
      </c>
      <c r="T293" s="713">
        <f>ROUND(SUM(U293:Y293),0)</f>
        <v>0</v>
      </c>
      <c r="U293" s="695"/>
      <c r="V293" s="695"/>
      <c r="W293" s="695"/>
      <c r="X293" s="695"/>
      <c r="Y293" s="695"/>
      <c r="Z293" s="695"/>
      <c r="AA293" s="695"/>
      <c r="AB293" s="695"/>
      <c r="AC293" s="695"/>
      <c r="AD293" s="695"/>
      <c r="AE293" s="695"/>
      <c r="AF293" s="695"/>
      <c r="AG293" s="695"/>
      <c r="AH293" s="695"/>
      <c r="AI293" s="695"/>
      <c r="AJ293" s="695"/>
      <c r="AK293" s="695"/>
      <c r="AL293" s="695"/>
      <c r="AM293" s="695"/>
      <c r="AN293" s="695"/>
      <c r="AO293" s="695"/>
      <c r="AP293" s="695"/>
      <c r="AQ293" s="695"/>
      <c r="AR293" s="695"/>
      <c r="AS293" s="695"/>
      <c r="AT293" s="695"/>
      <c r="AU293" s="695"/>
      <c r="AV293" s="695"/>
      <c r="AW293" s="700"/>
      <c r="AX293" s="700"/>
      <c r="AY293" s="700">
        <f>ROUND(AX293/1000/Update!$B$31*Update!$B$27,0)</f>
        <v>0</v>
      </c>
      <c r="AZ293" s="700"/>
      <c r="BA293" s="700"/>
      <c r="BB293" s="700">
        <f>ROUND(BA293/1000/Update!$B$31,0)</f>
        <v>0</v>
      </c>
      <c r="BC293" s="700"/>
      <c r="BD293" s="721">
        <f t="shared" si="136"/>
        <v>0</v>
      </c>
      <c r="BE293" s="700"/>
      <c r="BF293" s="700"/>
      <c r="BG293" s="700"/>
      <c r="BH293" s="700"/>
      <c r="BI293" s="700"/>
      <c r="BJ293" s="700"/>
      <c r="BK293" s="721">
        <f t="shared" si="149"/>
        <v>0</v>
      </c>
      <c r="BL293" s="700"/>
      <c r="BM293" s="700"/>
      <c r="BN293" s="700"/>
      <c r="BO293" s="700"/>
      <c r="BP293" s="700"/>
      <c r="BQ293" s="700"/>
      <c r="BR293" s="700"/>
      <c r="BS293" s="700"/>
      <c r="BT293" s="700"/>
      <c r="BU293" s="700"/>
      <c r="BV293" s="700"/>
      <c r="BW293" s="700"/>
      <c r="BX293" s="700"/>
      <c r="BY293" s="700"/>
      <c r="BZ293" s="700"/>
      <c r="CA293" s="700"/>
      <c r="CB293" s="700"/>
      <c r="CC293" s="700"/>
      <c r="CD293" s="700"/>
      <c r="CE293" s="700"/>
      <c r="CF293" s="700"/>
      <c r="CG293" s="700"/>
      <c r="CH293" s="700"/>
      <c r="CI293" s="700"/>
      <c r="CJ293" s="700"/>
      <c r="CK293" s="700"/>
      <c r="CM293" s="700">
        <v>0</v>
      </c>
      <c r="CN293" s="700">
        <v>0</v>
      </c>
      <c r="CP293" s="923">
        <f t="shared" si="141"/>
        <v>0</v>
      </c>
      <c r="CZ293" s="330"/>
    </row>
    <row r="294" spans="1:104" ht="15" customHeight="1" x14ac:dyDescent="0.25">
      <c r="A294" s="684">
        <f>MAX($A$6:A293)+1</f>
        <v>294</v>
      </c>
      <c r="B294" s="3">
        <f>B293</f>
        <v>2</v>
      </c>
      <c r="C294" s="11" t="str">
        <f>C293</f>
        <v>Statement of Operating Costs by Operating Segment</v>
      </c>
      <c r="D294" s="11" t="s">
        <v>147</v>
      </c>
      <c r="E294" s="13" t="s">
        <v>134</v>
      </c>
      <c r="F294" s="15"/>
      <c r="G294" s="26"/>
      <c r="H294" s="6"/>
      <c r="I294" s="1247"/>
      <c r="J294" s="1257" t="s">
        <v>286</v>
      </c>
      <c r="K294" s="251">
        <v>0</v>
      </c>
      <c r="L294" s="251">
        <v>0</v>
      </c>
      <c r="M294" s="252"/>
      <c r="N294" s="273">
        <f>ROUND(SUM(O294:S294)+T294+SUM(Z294:AV294),0)</f>
        <v>0</v>
      </c>
      <c r="O294" s="12"/>
      <c r="P294" s="12"/>
      <c r="Q294" s="12"/>
      <c r="R294" s="12"/>
      <c r="S294" s="6">
        <f t="shared" si="130"/>
        <v>0</v>
      </c>
      <c r="T294" s="273">
        <f>ROUND(SUM(U294:Y294),0)</f>
        <v>0</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X294" s="6"/>
      <c r="AY294" s="6">
        <f>ROUND(AX294/1000/Update!$B$31*Update!$B$27,0)</f>
        <v>0</v>
      </c>
      <c r="BA294" s="6"/>
      <c r="BB294" s="6">
        <f>ROUND(BA294/1000/Update!$B$31,0)</f>
        <v>0</v>
      </c>
      <c r="BC294" s="6"/>
      <c r="BD294" s="29">
        <f t="shared" si="136"/>
        <v>0</v>
      </c>
      <c r="BE294" s="317"/>
      <c r="BF294" s="317"/>
      <c r="BG294" s="317"/>
      <c r="BH294" s="317"/>
      <c r="BI294" s="317"/>
      <c r="BJ294" s="317"/>
      <c r="BK294" s="29">
        <f t="shared" si="149"/>
        <v>0</v>
      </c>
      <c r="BL294" s="317"/>
      <c r="BM294" s="317"/>
      <c r="BN294" s="317"/>
      <c r="BO294" s="317"/>
      <c r="BP294" s="317"/>
      <c r="BQ294" s="317"/>
      <c r="BR294" s="317"/>
      <c r="BS294" s="317"/>
      <c r="BT294" s="317"/>
      <c r="BU294" s="317"/>
      <c r="BV294" s="317"/>
      <c r="BW294" s="317"/>
      <c r="BX294" s="317"/>
      <c r="BY294" s="317"/>
      <c r="BZ294" s="317"/>
      <c r="CA294" s="317"/>
      <c r="CB294" s="317"/>
      <c r="CC294" s="317"/>
      <c r="CD294" s="317"/>
      <c r="CE294" s="317"/>
      <c r="CF294" s="317"/>
      <c r="CG294" s="317"/>
      <c r="CH294" s="317"/>
      <c r="CI294" s="317"/>
      <c r="CM294" s="1139">
        <v>0</v>
      </c>
      <c r="CN294" s="1139">
        <v>0</v>
      </c>
      <c r="CP294" s="923">
        <f t="shared" si="141"/>
        <v>0</v>
      </c>
      <c r="CZ294" s="330"/>
    </row>
    <row r="295" spans="1:104" ht="15" customHeight="1" x14ac:dyDescent="0.25">
      <c r="A295" s="684">
        <f>MAX($A$6:A294)+1</f>
        <v>295</v>
      </c>
      <c r="B295" s="3">
        <f t="shared" ref="B295:B355" si="159">B294</f>
        <v>2</v>
      </c>
      <c r="C295" s="11" t="str">
        <f>C294</f>
        <v>Statement of Operating Costs by Operating Segment</v>
      </c>
      <c r="D295" s="11" t="s">
        <v>147</v>
      </c>
      <c r="E295" s="7" t="s">
        <v>135</v>
      </c>
      <c r="F295" s="15"/>
      <c r="G295" s="1254" t="s">
        <v>135</v>
      </c>
      <c r="H295" s="6" t="e">
        <v>#VALUE!</v>
      </c>
      <c r="I295" s="1247"/>
      <c r="J295" s="1257" t="s">
        <v>135</v>
      </c>
      <c r="K295" s="251">
        <v>0</v>
      </c>
      <c r="L295" s="251">
        <v>0</v>
      </c>
      <c r="M295" s="252"/>
      <c r="N295" s="273" t="e">
        <f t="shared" ref="N295:N309" si="160">ROUND(SUM(O295:S295)+SUM(W295:AV295),0)</f>
        <v>#VALUE!</v>
      </c>
      <c r="O295" s="12"/>
      <c r="P295" s="12"/>
      <c r="Q295" s="12"/>
      <c r="R295" s="12"/>
      <c r="S295" s="6">
        <f t="shared" si="130"/>
        <v>0</v>
      </c>
      <c r="T295" s="273" t="e">
        <f t="shared" ref="T295:T309" si="161">ROUND(SUM(U295:Y295),0)</f>
        <v>#VALUE!</v>
      </c>
      <c r="U295" s="6">
        <f t="shared" ref="U295:U309" si="162">SUM(BL295:BN295)</f>
        <v>0</v>
      </c>
      <c r="V295" s="6"/>
      <c r="W295" s="6" t="e">
        <f t="shared" ref="W295:W309" si="163">+H295</f>
        <v>#VALUE!</v>
      </c>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X295" s="6"/>
      <c r="AY295" s="6">
        <f>ROUND(AX295/1000/Update!$B$31*Update!$B$27,0)</f>
        <v>0</v>
      </c>
      <c r="BA295" s="6"/>
      <c r="BB295" s="6">
        <f>ROUND(BA295/1000/Update!$B$31,0)</f>
        <v>0</v>
      </c>
      <c r="BC295" s="6"/>
      <c r="BD295" s="29">
        <f t="shared" si="136"/>
        <v>0</v>
      </c>
      <c r="BE295" s="317"/>
      <c r="BF295" s="317"/>
      <c r="BG295" s="317"/>
      <c r="BH295" s="317"/>
      <c r="BI295" s="317"/>
      <c r="BJ295" s="317"/>
      <c r="BK295" s="29">
        <f t="shared" si="149"/>
        <v>0</v>
      </c>
      <c r="BL295" s="317"/>
      <c r="BM295" s="317"/>
      <c r="BN295" s="317"/>
      <c r="BO295" s="317"/>
      <c r="BP295" s="317"/>
      <c r="BQ295" s="317"/>
      <c r="BR295" s="317"/>
      <c r="BS295" s="317"/>
      <c r="BT295" s="317"/>
      <c r="BU295" s="317"/>
      <c r="BV295" s="317"/>
      <c r="BW295" s="317"/>
      <c r="BX295" s="317"/>
      <c r="BY295" s="317"/>
      <c r="BZ295" s="317"/>
      <c r="CA295" s="317"/>
      <c r="CB295" s="317"/>
      <c r="CC295" s="317"/>
      <c r="CD295" s="317"/>
      <c r="CE295" s="317"/>
      <c r="CF295" s="317"/>
      <c r="CG295" s="317"/>
      <c r="CH295" s="317"/>
      <c r="CI295" s="317"/>
      <c r="CM295" s="1139">
        <v>0</v>
      </c>
      <c r="CN295" s="1139">
        <v>0</v>
      </c>
      <c r="CP295" s="923">
        <f t="shared" si="141"/>
        <v>0</v>
      </c>
      <c r="CZ295" s="330"/>
    </row>
    <row r="296" spans="1:104" ht="15" customHeight="1" x14ac:dyDescent="0.25">
      <c r="A296" s="684">
        <f>MAX($A$6:A295)+1</f>
        <v>296</v>
      </c>
      <c r="B296" s="3">
        <f t="shared" si="159"/>
        <v>2</v>
      </c>
      <c r="C296" s="11" t="str">
        <f t="shared" ref="C296:C342" si="164">C295</f>
        <v>Statement of Operating Costs by Operating Segment</v>
      </c>
      <c r="D296" s="11" t="s">
        <v>147</v>
      </c>
      <c r="E296" s="7" t="s">
        <v>5</v>
      </c>
      <c r="F296" s="15"/>
      <c r="G296" s="1254" t="s">
        <v>5</v>
      </c>
      <c r="H296" s="6" t="e">
        <v>#VALUE!</v>
      </c>
      <c r="I296" s="1247"/>
      <c r="J296" s="1257" t="s">
        <v>5</v>
      </c>
      <c r="K296" s="251">
        <v>0</v>
      </c>
      <c r="L296" s="251">
        <v>0</v>
      </c>
      <c r="M296" s="252"/>
      <c r="N296" s="273" t="e">
        <f t="shared" si="160"/>
        <v>#VALUE!</v>
      </c>
      <c r="O296" s="12"/>
      <c r="P296" s="12"/>
      <c r="Q296" s="12"/>
      <c r="R296" s="12"/>
      <c r="S296" s="6">
        <f t="shared" si="130"/>
        <v>0</v>
      </c>
      <c r="T296" s="273" t="e">
        <f t="shared" si="161"/>
        <v>#VALUE!</v>
      </c>
      <c r="U296" s="6">
        <f t="shared" si="162"/>
        <v>0</v>
      </c>
      <c r="V296" s="6"/>
      <c r="W296" s="6" t="e">
        <f t="shared" si="163"/>
        <v>#VALUE!</v>
      </c>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X296" s="6"/>
      <c r="AY296" s="6">
        <f>ROUND(AX296/1000/Update!$B$31*Update!$B$27,0)</f>
        <v>0</v>
      </c>
      <c r="BA296" s="6"/>
      <c r="BB296" s="6">
        <f>ROUND(BA296/1000/Update!$B$31,0)</f>
        <v>0</v>
      </c>
      <c r="BC296" s="6"/>
      <c r="BD296" s="29">
        <f t="shared" si="136"/>
        <v>0</v>
      </c>
      <c r="BE296" s="317"/>
      <c r="BF296" s="317"/>
      <c r="BG296" s="317"/>
      <c r="BH296" s="317"/>
      <c r="BI296" s="317"/>
      <c r="BJ296" s="317"/>
      <c r="BK296" s="29">
        <f t="shared" si="149"/>
        <v>0</v>
      </c>
      <c r="BL296" s="317"/>
      <c r="BM296" s="317"/>
      <c r="BN296" s="317"/>
      <c r="BO296" s="317"/>
      <c r="BP296" s="317"/>
      <c r="BQ296" s="317"/>
      <c r="BR296" s="317"/>
      <c r="BS296" s="317"/>
      <c r="BT296" s="317"/>
      <c r="BU296" s="317"/>
      <c r="BV296" s="317"/>
      <c r="BW296" s="317"/>
      <c r="BX296" s="317"/>
      <c r="BY296" s="317"/>
      <c r="BZ296" s="317"/>
      <c r="CA296" s="317"/>
      <c r="CB296" s="317"/>
      <c r="CC296" s="317"/>
      <c r="CD296" s="317"/>
      <c r="CE296" s="317"/>
      <c r="CF296" s="317"/>
      <c r="CG296" s="317"/>
      <c r="CH296" s="317"/>
      <c r="CI296" s="317"/>
      <c r="CM296" s="1139">
        <v>0</v>
      </c>
      <c r="CN296" s="1139">
        <v>0</v>
      </c>
      <c r="CP296" s="923">
        <f t="shared" si="141"/>
        <v>0</v>
      </c>
      <c r="CZ296" s="330"/>
    </row>
    <row r="297" spans="1:104" ht="15" customHeight="1" x14ac:dyDescent="0.25">
      <c r="A297" s="684">
        <f>MAX($A$6:A296)+1</f>
        <v>297</v>
      </c>
      <c r="B297" s="3">
        <f t="shared" si="159"/>
        <v>2</v>
      </c>
      <c r="C297" s="11" t="str">
        <f t="shared" si="164"/>
        <v>Statement of Operating Costs by Operating Segment</v>
      </c>
      <c r="D297" s="11" t="s">
        <v>147</v>
      </c>
      <c r="E297" s="7" t="s">
        <v>25</v>
      </c>
      <c r="F297" s="15"/>
      <c r="G297" s="1254" t="s">
        <v>348</v>
      </c>
      <c r="H297" s="6" t="e">
        <v>#VALUE!</v>
      </c>
      <c r="I297" s="1247"/>
      <c r="J297" s="1257" t="s">
        <v>348</v>
      </c>
      <c r="K297" s="251">
        <v>0</v>
      </c>
      <c r="L297" s="251">
        <v>0</v>
      </c>
      <c r="M297" s="252"/>
      <c r="N297" s="273" t="e">
        <f t="shared" si="160"/>
        <v>#VALUE!</v>
      </c>
      <c r="O297" s="12"/>
      <c r="P297" s="12"/>
      <c r="Q297" s="12"/>
      <c r="R297" s="12"/>
      <c r="S297" s="6">
        <f t="shared" si="130"/>
        <v>0</v>
      </c>
      <c r="T297" s="273" t="e">
        <f t="shared" si="161"/>
        <v>#VALUE!</v>
      </c>
      <c r="U297" s="6">
        <f t="shared" si="162"/>
        <v>0</v>
      </c>
      <c r="V297" s="6"/>
      <c r="W297" s="6" t="e">
        <f t="shared" si="163"/>
        <v>#VALUE!</v>
      </c>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X297" s="6"/>
      <c r="AY297" s="6">
        <f>ROUND(AX297/1000/Update!$B$31*Update!$B$27,0)</f>
        <v>0</v>
      </c>
      <c r="BA297" s="6"/>
      <c r="BB297" s="6">
        <f>ROUND(BA297/1000/Update!$B$31,0)</f>
        <v>0</v>
      </c>
      <c r="BC297" s="6"/>
      <c r="BD297" s="29">
        <f t="shared" si="136"/>
        <v>0</v>
      </c>
      <c r="BE297" s="317"/>
      <c r="BF297" s="317"/>
      <c r="BG297" s="317"/>
      <c r="BH297" s="317"/>
      <c r="BI297" s="317"/>
      <c r="BJ297" s="317"/>
      <c r="BK297" s="29">
        <f t="shared" si="149"/>
        <v>0</v>
      </c>
      <c r="BL297" s="317"/>
      <c r="BM297" s="317"/>
      <c r="BN297" s="317"/>
      <c r="BO297" s="317"/>
      <c r="BP297" s="317"/>
      <c r="BQ297" s="317"/>
      <c r="BR297" s="317"/>
      <c r="BS297" s="317"/>
      <c r="BT297" s="317"/>
      <c r="BU297" s="317"/>
      <c r="BV297" s="317"/>
      <c r="BW297" s="317"/>
      <c r="BX297" s="317"/>
      <c r="BY297" s="317"/>
      <c r="BZ297" s="317"/>
      <c r="CA297" s="317"/>
      <c r="CB297" s="317"/>
      <c r="CC297" s="317"/>
      <c r="CD297" s="317"/>
      <c r="CE297" s="317"/>
      <c r="CF297" s="317"/>
      <c r="CG297" s="317"/>
      <c r="CH297" s="317"/>
      <c r="CI297" s="317"/>
      <c r="CM297" s="1139">
        <v>0</v>
      </c>
      <c r="CN297" s="1139">
        <v>0</v>
      </c>
      <c r="CP297" s="923">
        <f t="shared" si="141"/>
        <v>0</v>
      </c>
      <c r="CZ297" s="330"/>
    </row>
    <row r="298" spans="1:104" ht="15" customHeight="1" x14ac:dyDescent="0.25">
      <c r="A298" s="684">
        <f>MAX($A$6:A297)+1</f>
        <v>298</v>
      </c>
      <c r="B298" s="3">
        <f t="shared" si="159"/>
        <v>2</v>
      </c>
      <c r="C298" s="11" t="str">
        <f t="shared" si="164"/>
        <v>Statement of Operating Costs by Operating Segment</v>
      </c>
      <c r="D298" s="11" t="s">
        <v>147</v>
      </c>
      <c r="E298" s="7" t="s">
        <v>27</v>
      </c>
      <c r="F298" s="15"/>
      <c r="G298" s="1254" t="s">
        <v>27</v>
      </c>
      <c r="H298" s="6" t="e">
        <v>#VALUE!</v>
      </c>
      <c r="I298" s="1247"/>
      <c r="J298" s="1257" t="s">
        <v>27</v>
      </c>
      <c r="K298" s="251">
        <v>0</v>
      </c>
      <c r="L298" s="251">
        <v>0</v>
      </c>
      <c r="M298" s="252"/>
      <c r="N298" s="273" t="e">
        <f t="shared" si="160"/>
        <v>#VALUE!</v>
      </c>
      <c r="O298" s="12"/>
      <c r="P298" s="12"/>
      <c r="Q298" s="12"/>
      <c r="R298" s="12"/>
      <c r="S298" s="6">
        <f t="shared" si="130"/>
        <v>0</v>
      </c>
      <c r="T298" s="273" t="e">
        <f t="shared" si="161"/>
        <v>#VALUE!</v>
      </c>
      <c r="U298" s="6">
        <f t="shared" si="162"/>
        <v>0</v>
      </c>
      <c r="V298" s="6"/>
      <c r="W298" s="6" t="e">
        <f t="shared" si="163"/>
        <v>#VALUE!</v>
      </c>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X298" s="6"/>
      <c r="AY298" s="6">
        <f>ROUND(AX298/1000/Update!$B$31*Update!$B$27,0)</f>
        <v>0</v>
      </c>
      <c r="BA298" s="6"/>
      <c r="BB298" s="6">
        <f>ROUND(BA298/1000/Update!$B$31,0)</f>
        <v>0</v>
      </c>
      <c r="BC298" s="6"/>
      <c r="BD298" s="29">
        <f t="shared" si="136"/>
        <v>0</v>
      </c>
      <c r="BE298" s="317"/>
      <c r="BF298" s="317"/>
      <c r="BG298" s="317"/>
      <c r="BH298" s="317"/>
      <c r="BI298" s="317"/>
      <c r="BJ298" s="317"/>
      <c r="BK298" s="29">
        <f t="shared" si="149"/>
        <v>0</v>
      </c>
      <c r="BL298" s="317"/>
      <c r="BM298" s="317"/>
      <c r="BN298" s="317"/>
      <c r="BO298" s="317"/>
      <c r="BP298" s="317"/>
      <c r="BQ298" s="317"/>
      <c r="BR298" s="317"/>
      <c r="BS298" s="317"/>
      <c r="BT298" s="317"/>
      <c r="BU298" s="317"/>
      <c r="BV298" s="317"/>
      <c r="BW298" s="317"/>
      <c r="BX298" s="317"/>
      <c r="BY298" s="317"/>
      <c r="BZ298" s="317"/>
      <c r="CA298" s="317"/>
      <c r="CB298" s="317"/>
      <c r="CC298" s="317"/>
      <c r="CD298" s="317"/>
      <c r="CE298" s="317"/>
      <c r="CF298" s="317"/>
      <c r="CG298" s="317"/>
      <c r="CH298" s="317"/>
      <c r="CI298" s="317"/>
      <c r="CM298" s="1139">
        <v>0</v>
      </c>
      <c r="CN298" s="1139">
        <v>0</v>
      </c>
      <c r="CP298" s="923">
        <f t="shared" si="141"/>
        <v>0</v>
      </c>
      <c r="CZ298" s="330"/>
    </row>
    <row r="299" spans="1:104" ht="38.25" customHeight="1" x14ac:dyDescent="0.25">
      <c r="A299" s="684">
        <f>MAX($A$6:A298)+1</f>
        <v>299</v>
      </c>
      <c r="B299" s="3">
        <f t="shared" si="159"/>
        <v>2</v>
      </c>
      <c r="C299" s="11" t="str">
        <f t="shared" si="164"/>
        <v>Statement of Operating Costs by Operating Segment</v>
      </c>
      <c r="D299" s="11" t="s">
        <v>147</v>
      </c>
      <c r="E299" s="7" t="s">
        <v>349</v>
      </c>
      <c r="F299" s="15"/>
      <c r="G299" s="1254" t="s">
        <v>349</v>
      </c>
      <c r="H299" s="6" t="e">
        <v>#VALUE!</v>
      </c>
      <c r="I299" s="1247"/>
      <c r="J299" s="1257" t="s">
        <v>349</v>
      </c>
      <c r="K299" s="251">
        <v>0</v>
      </c>
      <c r="L299" s="251">
        <v>0</v>
      </c>
      <c r="M299" s="252"/>
      <c r="N299" s="273" t="e">
        <f t="shared" si="160"/>
        <v>#VALUE!</v>
      </c>
      <c r="O299" s="12"/>
      <c r="P299" s="12"/>
      <c r="Q299" s="12"/>
      <c r="R299" s="12"/>
      <c r="S299" s="6">
        <f t="shared" si="130"/>
        <v>0</v>
      </c>
      <c r="T299" s="273" t="e">
        <f t="shared" si="161"/>
        <v>#VALUE!</v>
      </c>
      <c r="U299" s="6">
        <f t="shared" si="162"/>
        <v>0</v>
      </c>
      <c r="V299" s="6"/>
      <c r="W299" s="6" t="e">
        <f t="shared" si="163"/>
        <v>#VALUE!</v>
      </c>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X299" s="6"/>
      <c r="AY299" s="6">
        <f>ROUND(AX299/1000/Update!$B$31*Update!$B$27,0)</f>
        <v>0</v>
      </c>
      <c r="BA299" s="6"/>
      <c r="BB299" s="6">
        <f>ROUND(BA299/1000/Update!$B$31,0)</f>
        <v>0</v>
      </c>
      <c r="BC299" s="6"/>
      <c r="BD299" s="29">
        <f t="shared" si="136"/>
        <v>0</v>
      </c>
      <c r="BE299" s="317"/>
      <c r="BF299" s="317"/>
      <c r="BG299" s="317"/>
      <c r="BH299" s="317"/>
      <c r="BI299" s="317"/>
      <c r="BJ299" s="317"/>
      <c r="BK299" s="29">
        <f t="shared" si="149"/>
        <v>0</v>
      </c>
      <c r="BL299" s="317"/>
      <c r="BM299" s="317"/>
      <c r="BN299" s="317"/>
      <c r="BO299" s="317"/>
      <c r="BP299" s="317"/>
      <c r="BQ299" s="317"/>
      <c r="BR299" s="317"/>
      <c r="BS299" s="317"/>
      <c r="BT299" s="317"/>
      <c r="BU299" s="317"/>
      <c r="BV299" s="317"/>
      <c r="BW299" s="317"/>
      <c r="BX299" s="317"/>
      <c r="BY299" s="317"/>
      <c r="BZ299" s="317"/>
      <c r="CA299" s="317"/>
      <c r="CB299" s="317"/>
      <c r="CC299" s="317"/>
      <c r="CD299" s="317"/>
      <c r="CE299" s="317"/>
      <c r="CF299" s="317"/>
      <c r="CG299" s="317"/>
      <c r="CH299" s="317"/>
      <c r="CI299" s="317"/>
      <c r="CM299" s="1139">
        <v>0</v>
      </c>
      <c r="CN299" s="1139">
        <v>0</v>
      </c>
      <c r="CP299" s="923">
        <f t="shared" si="141"/>
        <v>0</v>
      </c>
      <c r="CZ299" s="330"/>
    </row>
    <row r="300" spans="1:104" ht="15" customHeight="1" x14ac:dyDescent="0.25">
      <c r="A300" s="684">
        <f>MAX($A$6:A299)+1</f>
        <v>300</v>
      </c>
      <c r="B300" s="3">
        <f t="shared" si="159"/>
        <v>2</v>
      </c>
      <c r="C300" s="11" t="str">
        <f>C298</f>
        <v>Statement of Operating Costs by Operating Segment</v>
      </c>
      <c r="D300" s="11" t="s">
        <v>147</v>
      </c>
      <c r="E300" s="7" t="s">
        <v>31</v>
      </c>
      <c r="F300" s="15"/>
      <c r="G300" s="1254" t="s">
        <v>31</v>
      </c>
      <c r="H300" s="6" t="e">
        <v>#VALUE!</v>
      </c>
      <c r="I300" s="1247"/>
      <c r="J300" s="1257" t="s">
        <v>31</v>
      </c>
      <c r="K300" s="251">
        <v>0</v>
      </c>
      <c r="L300" s="251">
        <v>0</v>
      </c>
      <c r="M300" s="252"/>
      <c r="N300" s="273" t="e">
        <f t="shared" si="160"/>
        <v>#VALUE!</v>
      </c>
      <c r="O300" s="12"/>
      <c r="P300" s="12"/>
      <c r="Q300" s="12"/>
      <c r="R300" s="12"/>
      <c r="S300" s="6">
        <f t="shared" si="130"/>
        <v>0</v>
      </c>
      <c r="T300" s="273" t="e">
        <f t="shared" si="161"/>
        <v>#VALUE!</v>
      </c>
      <c r="U300" s="6">
        <f t="shared" si="162"/>
        <v>0</v>
      </c>
      <c r="V300" s="6"/>
      <c r="W300" s="6" t="e">
        <f t="shared" si="163"/>
        <v>#VALUE!</v>
      </c>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X300" s="6"/>
      <c r="AY300" s="6">
        <f>ROUND(AX300/1000/Update!$B$31*Update!$B$27,0)</f>
        <v>0</v>
      </c>
      <c r="BA300" s="6"/>
      <c r="BB300" s="6">
        <f>ROUND(BA300/1000/Update!$B$31,0)</f>
        <v>0</v>
      </c>
      <c r="BC300" s="6"/>
      <c r="BD300" s="29">
        <f t="shared" si="136"/>
        <v>0</v>
      </c>
      <c r="BE300" s="317"/>
      <c r="BF300" s="317"/>
      <c r="BG300" s="317"/>
      <c r="BH300" s="317"/>
      <c r="BI300" s="317"/>
      <c r="BJ300" s="317"/>
      <c r="BK300" s="29">
        <f t="shared" si="149"/>
        <v>0</v>
      </c>
      <c r="BL300" s="317"/>
      <c r="BM300" s="317"/>
      <c r="BN300" s="317"/>
      <c r="BO300" s="317"/>
      <c r="BP300" s="317"/>
      <c r="BQ300" s="317"/>
      <c r="BR300" s="317"/>
      <c r="BS300" s="317"/>
      <c r="BT300" s="317"/>
      <c r="BU300" s="317"/>
      <c r="BV300" s="317"/>
      <c r="BW300" s="317"/>
      <c r="BX300" s="317"/>
      <c r="BY300" s="317"/>
      <c r="BZ300" s="317"/>
      <c r="CA300" s="317"/>
      <c r="CB300" s="317"/>
      <c r="CC300" s="317"/>
      <c r="CD300" s="317"/>
      <c r="CE300" s="317"/>
      <c r="CF300" s="317"/>
      <c r="CG300" s="317"/>
      <c r="CH300" s="317"/>
      <c r="CI300" s="317"/>
      <c r="CM300" s="1139">
        <v>0</v>
      </c>
      <c r="CN300" s="1139">
        <v>0</v>
      </c>
      <c r="CP300" s="923">
        <f t="shared" si="141"/>
        <v>0</v>
      </c>
      <c r="CZ300" s="330"/>
    </row>
    <row r="301" spans="1:104" ht="30" customHeight="1" x14ac:dyDescent="0.25">
      <c r="A301" s="684">
        <f>MAX($A$6:A300)+1</f>
        <v>301</v>
      </c>
      <c r="B301" s="3">
        <f t="shared" si="159"/>
        <v>2</v>
      </c>
      <c r="C301" s="11" t="str">
        <f t="shared" si="164"/>
        <v>Statement of Operating Costs by Operating Segment</v>
      </c>
      <c r="D301" s="11" t="s">
        <v>147</v>
      </c>
      <c r="E301" s="7" t="s">
        <v>138</v>
      </c>
      <c r="F301" s="15"/>
      <c r="G301" s="1254" t="s">
        <v>138</v>
      </c>
      <c r="H301" s="6" t="e">
        <v>#VALUE!</v>
      </c>
      <c r="I301" s="1247"/>
      <c r="J301" s="1257" t="s">
        <v>138</v>
      </c>
      <c r="K301" s="251">
        <v>0</v>
      </c>
      <c r="L301" s="251">
        <v>0</v>
      </c>
      <c r="M301" s="252"/>
      <c r="N301" s="273" t="e">
        <f t="shared" si="160"/>
        <v>#VALUE!</v>
      </c>
      <c r="O301" s="12"/>
      <c r="P301" s="12"/>
      <c r="Q301" s="12"/>
      <c r="R301" s="12"/>
      <c r="S301" s="6">
        <f t="shared" si="130"/>
        <v>0</v>
      </c>
      <c r="T301" s="273" t="e">
        <f t="shared" si="161"/>
        <v>#VALUE!</v>
      </c>
      <c r="U301" s="6">
        <f t="shared" si="162"/>
        <v>0</v>
      </c>
      <c r="V301" s="6"/>
      <c r="W301" s="6" t="e">
        <f t="shared" si="163"/>
        <v>#VALUE!</v>
      </c>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X301" s="6"/>
      <c r="AY301" s="6">
        <f>ROUND(AX301/1000/Update!$B$31*Update!$B$27,0)</f>
        <v>0</v>
      </c>
      <c r="BA301" s="6"/>
      <c r="BB301" s="6">
        <f>ROUND(BA301/1000/Update!$B$31,0)</f>
        <v>0</v>
      </c>
      <c r="BC301" s="6"/>
      <c r="BD301" s="29">
        <f t="shared" si="136"/>
        <v>0</v>
      </c>
      <c r="BE301" s="317"/>
      <c r="BF301" s="317"/>
      <c r="BG301" s="317"/>
      <c r="BH301" s="317"/>
      <c r="BI301" s="317"/>
      <c r="BJ301" s="317"/>
      <c r="BK301" s="29">
        <f t="shared" si="149"/>
        <v>0</v>
      </c>
      <c r="BL301" s="317"/>
      <c r="BM301" s="317"/>
      <c r="BN301" s="317"/>
      <c r="BO301" s="317"/>
      <c r="BP301" s="317"/>
      <c r="BQ301" s="317"/>
      <c r="BR301" s="317"/>
      <c r="BS301" s="317"/>
      <c r="BT301" s="317"/>
      <c r="BU301" s="317"/>
      <c r="BV301" s="317"/>
      <c r="BW301" s="317"/>
      <c r="BX301" s="317"/>
      <c r="BY301" s="317"/>
      <c r="BZ301" s="317"/>
      <c r="CA301" s="317"/>
      <c r="CB301" s="317"/>
      <c r="CC301" s="317"/>
      <c r="CD301" s="317"/>
      <c r="CE301" s="317"/>
      <c r="CF301" s="317"/>
      <c r="CG301" s="317"/>
      <c r="CH301" s="317"/>
      <c r="CI301" s="317"/>
      <c r="CM301" s="1139">
        <v>0</v>
      </c>
      <c r="CN301" s="1139">
        <v>0</v>
      </c>
      <c r="CP301" s="923">
        <f t="shared" si="141"/>
        <v>0</v>
      </c>
      <c r="CZ301" s="330"/>
    </row>
    <row r="302" spans="1:104" ht="25.5" customHeight="1" x14ac:dyDescent="0.25">
      <c r="A302" s="684">
        <f>MAX($A$6:A301)+1</f>
        <v>302</v>
      </c>
      <c r="B302" s="3">
        <f t="shared" si="159"/>
        <v>2</v>
      </c>
      <c r="C302" s="11" t="str">
        <f t="shared" si="164"/>
        <v>Statement of Operating Costs by Operating Segment</v>
      </c>
      <c r="D302" s="11" t="s">
        <v>147</v>
      </c>
      <c r="E302" s="7" t="s">
        <v>139</v>
      </c>
      <c r="F302" s="15"/>
      <c r="G302" s="1254" t="s">
        <v>139</v>
      </c>
      <c r="H302" s="6" t="e">
        <v>#VALUE!</v>
      </c>
      <c r="I302" s="1247"/>
      <c r="J302" s="1257" t="s">
        <v>139</v>
      </c>
      <c r="K302" s="251">
        <v>0</v>
      </c>
      <c r="L302" s="251">
        <v>0</v>
      </c>
      <c r="M302" s="252"/>
      <c r="N302" s="273" t="e">
        <f t="shared" si="160"/>
        <v>#VALUE!</v>
      </c>
      <c r="O302" s="12"/>
      <c r="P302" s="12"/>
      <c r="Q302" s="12"/>
      <c r="R302" s="12"/>
      <c r="S302" s="6">
        <f t="shared" si="130"/>
        <v>0</v>
      </c>
      <c r="T302" s="273" t="e">
        <f t="shared" si="161"/>
        <v>#VALUE!</v>
      </c>
      <c r="U302" s="6">
        <f t="shared" si="162"/>
        <v>0</v>
      </c>
      <c r="V302" s="6"/>
      <c r="W302" s="6" t="e">
        <f t="shared" si="163"/>
        <v>#VALUE!</v>
      </c>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X302" s="6"/>
      <c r="AY302" s="6">
        <f>ROUND(AX302/1000/Update!$B$31*Update!$B$27,0)</f>
        <v>0</v>
      </c>
      <c r="BA302" s="6"/>
      <c r="BB302" s="6">
        <f>ROUND(BA302/1000/Update!$B$31,0)</f>
        <v>0</v>
      </c>
      <c r="BC302" s="6"/>
      <c r="BD302" s="29">
        <f t="shared" si="136"/>
        <v>0</v>
      </c>
      <c r="BE302" s="317"/>
      <c r="BF302" s="317"/>
      <c r="BG302" s="317"/>
      <c r="BH302" s="317"/>
      <c r="BI302" s="317"/>
      <c r="BJ302" s="317"/>
      <c r="BK302" s="29">
        <f t="shared" si="149"/>
        <v>0</v>
      </c>
      <c r="BL302" s="317"/>
      <c r="BM302" s="317"/>
      <c r="BN302" s="317"/>
      <c r="BO302" s="317"/>
      <c r="BP302" s="317"/>
      <c r="BQ302" s="317"/>
      <c r="BR302" s="317"/>
      <c r="BS302" s="317"/>
      <c r="BT302" s="317"/>
      <c r="BU302" s="317"/>
      <c r="BV302" s="317"/>
      <c r="BW302" s="317"/>
      <c r="BX302" s="317"/>
      <c r="BY302" s="317"/>
      <c r="BZ302" s="317"/>
      <c r="CA302" s="317"/>
      <c r="CB302" s="317"/>
      <c r="CC302" s="317"/>
      <c r="CD302" s="317"/>
      <c r="CE302" s="317"/>
      <c r="CF302" s="317"/>
      <c r="CG302" s="317"/>
      <c r="CH302" s="317"/>
      <c r="CI302" s="317"/>
      <c r="CM302" s="1139">
        <v>0</v>
      </c>
      <c r="CN302" s="1139">
        <v>0</v>
      </c>
      <c r="CP302" s="923">
        <f t="shared" si="141"/>
        <v>0</v>
      </c>
      <c r="CZ302" s="330"/>
    </row>
    <row r="303" spans="1:104" ht="15" customHeight="1" x14ac:dyDescent="0.25">
      <c r="A303" s="684">
        <f>MAX($A$6:A302)+1</f>
        <v>303</v>
      </c>
      <c r="B303" s="3">
        <f t="shared" si="159"/>
        <v>2</v>
      </c>
      <c r="C303" s="11" t="str">
        <f t="shared" si="164"/>
        <v>Statement of Operating Costs by Operating Segment</v>
      </c>
      <c r="D303" s="11" t="s">
        <v>147</v>
      </c>
      <c r="E303" s="7" t="s">
        <v>2446</v>
      </c>
      <c r="F303" s="15"/>
      <c r="G303" s="1254" t="s">
        <v>2446</v>
      </c>
      <c r="H303" s="6" t="e">
        <v>#VALUE!</v>
      </c>
      <c r="I303" s="1247"/>
      <c r="J303" s="1257" t="s">
        <v>2446</v>
      </c>
      <c r="K303" s="251">
        <v>0</v>
      </c>
      <c r="L303" s="251">
        <v>0</v>
      </c>
      <c r="M303" s="252"/>
      <c r="N303" s="273" t="e">
        <f t="shared" si="160"/>
        <v>#VALUE!</v>
      </c>
      <c r="O303" s="12"/>
      <c r="P303" s="12"/>
      <c r="Q303" s="12"/>
      <c r="R303" s="12"/>
      <c r="S303" s="6">
        <f t="shared" ref="S303:S366" si="165">-IF(ISNUMBER(BD303),BD303,0)</f>
        <v>0</v>
      </c>
      <c r="T303" s="273" t="e">
        <f t="shared" si="161"/>
        <v>#VALUE!</v>
      </c>
      <c r="U303" s="6">
        <f t="shared" si="162"/>
        <v>0</v>
      </c>
      <c r="V303" s="6"/>
      <c r="W303" s="6" t="e">
        <f t="shared" si="163"/>
        <v>#VALUE!</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X303" s="6"/>
      <c r="AY303" s="6">
        <f>ROUND(AX303/1000/Update!$B$31*Update!$B$27,0)</f>
        <v>0</v>
      </c>
      <c r="BA303" s="6"/>
      <c r="BB303" s="6">
        <f>ROUND(BA303/1000/Update!$B$31,0)</f>
        <v>0</v>
      </c>
      <c r="BC303" s="6"/>
      <c r="BD303" s="29">
        <f t="shared" si="136"/>
        <v>0</v>
      </c>
      <c r="BE303" s="317"/>
      <c r="BF303" s="317"/>
      <c r="BG303" s="317"/>
      <c r="BH303" s="317"/>
      <c r="BI303" s="317"/>
      <c r="BJ303" s="317"/>
      <c r="BK303" s="29">
        <f t="shared" si="149"/>
        <v>0</v>
      </c>
      <c r="BL303" s="317"/>
      <c r="BM303" s="317"/>
      <c r="BN303" s="317"/>
      <c r="BO303" s="317"/>
      <c r="BP303" s="317"/>
      <c r="BQ303" s="317"/>
      <c r="BR303" s="317"/>
      <c r="BS303" s="317"/>
      <c r="BT303" s="317"/>
      <c r="BU303" s="317"/>
      <c r="BV303" s="317"/>
      <c r="BW303" s="317"/>
      <c r="BX303" s="317"/>
      <c r="BY303" s="317"/>
      <c r="BZ303" s="317"/>
      <c r="CA303" s="317"/>
      <c r="CB303" s="317"/>
      <c r="CC303" s="317"/>
      <c r="CD303" s="317"/>
      <c r="CE303" s="317"/>
      <c r="CF303" s="317"/>
      <c r="CG303" s="317"/>
      <c r="CH303" s="317"/>
      <c r="CI303" s="317"/>
      <c r="CM303" s="1139">
        <v>0</v>
      </c>
      <c r="CN303" s="1139">
        <v>0</v>
      </c>
      <c r="CP303" s="923">
        <f t="shared" si="141"/>
        <v>0</v>
      </c>
      <c r="CZ303" s="330"/>
    </row>
    <row r="304" spans="1:104" ht="15" customHeight="1" x14ac:dyDescent="0.25">
      <c r="A304" s="684">
        <f>MAX($A$6:A303)+1</f>
        <v>304</v>
      </c>
      <c r="B304" s="3">
        <f t="shared" si="159"/>
        <v>2</v>
      </c>
      <c r="C304" s="11" t="str">
        <f t="shared" si="164"/>
        <v>Statement of Operating Costs by Operating Segment</v>
      </c>
      <c r="D304" s="11" t="s">
        <v>147</v>
      </c>
      <c r="E304" s="7" t="s">
        <v>140</v>
      </c>
      <c r="F304" s="15"/>
      <c r="G304" s="1254" t="s">
        <v>140</v>
      </c>
      <c r="H304" s="6" t="e">
        <v>#VALUE!</v>
      </c>
      <c r="I304" s="1247"/>
      <c r="J304" s="1257" t="s">
        <v>140</v>
      </c>
      <c r="K304" s="251">
        <v>0</v>
      </c>
      <c r="L304" s="251">
        <v>0</v>
      </c>
      <c r="M304" s="252"/>
      <c r="N304" s="273" t="e">
        <f t="shared" si="160"/>
        <v>#VALUE!</v>
      </c>
      <c r="O304" s="12"/>
      <c r="P304" s="12"/>
      <c r="Q304" s="12"/>
      <c r="R304" s="12"/>
      <c r="S304" s="6">
        <f t="shared" si="165"/>
        <v>0</v>
      </c>
      <c r="T304" s="273" t="e">
        <f t="shared" si="161"/>
        <v>#VALUE!</v>
      </c>
      <c r="U304" s="6">
        <f t="shared" si="162"/>
        <v>0</v>
      </c>
      <c r="V304" s="6"/>
      <c r="W304" s="6" t="e">
        <f t="shared" si="163"/>
        <v>#VALUE!</v>
      </c>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X304" s="6"/>
      <c r="AY304" s="6">
        <f>ROUND(AX304/1000/Update!$B$31*Update!$B$27,0)</f>
        <v>0</v>
      </c>
      <c r="BA304" s="6"/>
      <c r="BB304" s="6">
        <f>ROUND(BA304/1000/Update!$B$31,0)</f>
        <v>0</v>
      </c>
      <c r="BC304" s="6"/>
      <c r="BD304" s="29">
        <f t="shared" si="136"/>
        <v>0</v>
      </c>
      <c r="BE304" s="317"/>
      <c r="BF304" s="317"/>
      <c r="BG304" s="317"/>
      <c r="BH304" s="317"/>
      <c r="BI304" s="317"/>
      <c r="BJ304" s="317"/>
      <c r="BK304" s="29">
        <f t="shared" si="149"/>
        <v>0</v>
      </c>
      <c r="BL304" s="317"/>
      <c r="BM304" s="317"/>
      <c r="BN304" s="317"/>
      <c r="BO304" s="317"/>
      <c r="BP304" s="317"/>
      <c r="BQ304" s="317"/>
      <c r="BR304" s="317"/>
      <c r="BS304" s="317"/>
      <c r="BT304" s="317"/>
      <c r="BU304" s="317"/>
      <c r="BV304" s="317"/>
      <c r="BW304" s="317"/>
      <c r="BX304" s="317"/>
      <c r="BY304" s="317"/>
      <c r="BZ304" s="317"/>
      <c r="CA304" s="317"/>
      <c r="CB304" s="317"/>
      <c r="CC304" s="317"/>
      <c r="CD304" s="317"/>
      <c r="CE304" s="317"/>
      <c r="CF304" s="317"/>
      <c r="CG304" s="317"/>
      <c r="CH304" s="317"/>
      <c r="CI304" s="317"/>
      <c r="CM304" s="1139">
        <v>0</v>
      </c>
      <c r="CN304" s="1139">
        <v>0</v>
      </c>
      <c r="CP304" s="923">
        <f t="shared" si="141"/>
        <v>0</v>
      </c>
      <c r="CZ304" s="330"/>
    </row>
    <row r="305" spans="1:104" ht="15" customHeight="1" x14ac:dyDescent="0.25">
      <c r="A305" s="684">
        <f>MAX($A$6:A304)+1</f>
        <v>305</v>
      </c>
      <c r="B305" s="3">
        <f t="shared" si="159"/>
        <v>2</v>
      </c>
      <c r="C305" s="11" t="str">
        <f t="shared" si="164"/>
        <v>Statement of Operating Costs by Operating Segment</v>
      </c>
      <c r="D305" s="11" t="s">
        <v>147</v>
      </c>
      <c r="E305" s="7" t="s">
        <v>141</v>
      </c>
      <c r="F305" s="15"/>
      <c r="G305" s="1254" t="s">
        <v>141</v>
      </c>
      <c r="H305" s="6" t="e">
        <v>#VALUE!</v>
      </c>
      <c r="I305" s="1247"/>
      <c r="J305" s="1257" t="s">
        <v>141</v>
      </c>
      <c r="K305" s="251">
        <v>0</v>
      </c>
      <c r="L305" s="251">
        <v>0</v>
      </c>
      <c r="M305" s="252"/>
      <c r="N305" s="273" t="e">
        <f t="shared" si="160"/>
        <v>#VALUE!</v>
      </c>
      <c r="O305" s="12"/>
      <c r="P305" s="12"/>
      <c r="Q305" s="12"/>
      <c r="R305" s="12"/>
      <c r="S305" s="6">
        <f t="shared" si="165"/>
        <v>0</v>
      </c>
      <c r="T305" s="273" t="e">
        <f t="shared" si="161"/>
        <v>#VALUE!</v>
      </c>
      <c r="U305" s="6">
        <f t="shared" si="162"/>
        <v>0</v>
      </c>
      <c r="V305" s="6"/>
      <c r="W305" s="6" t="e">
        <f t="shared" si="163"/>
        <v>#VALUE!</v>
      </c>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X305" s="6"/>
      <c r="AY305" s="6">
        <f>ROUND(AX305/1000/Update!$B$31*Update!$B$27,0)</f>
        <v>0</v>
      </c>
      <c r="BA305" s="6"/>
      <c r="BB305" s="6">
        <f>ROUND(BA305/1000/Update!$B$31,0)</f>
        <v>0</v>
      </c>
      <c r="BC305" s="6"/>
      <c r="BD305" s="29">
        <f t="shared" si="136"/>
        <v>0</v>
      </c>
      <c r="BE305" s="317"/>
      <c r="BF305" s="317"/>
      <c r="BG305" s="317"/>
      <c r="BH305" s="317"/>
      <c r="BI305" s="317"/>
      <c r="BJ305" s="317"/>
      <c r="BK305" s="29">
        <f t="shared" si="149"/>
        <v>0</v>
      </c>
      <c r="BL305" s="317"/>
      <c r="BM305" s="317"/>
      <c r="BN305" s="317"/>
      <c r="BO305" s="317"/>
      <c r="BP305" s="317"/>
      <c r="BQ305" s="317"/>
      <c r="BR305" s="317"/>
      <c r="BS305" s="317"/>
      <c r="BT305" s="317"/>
      <c r="BU305" s="317"/>
      <c r="BV305" s="317"/>
      <c r="BW305" s="317"/>
      <c r="BX305" s="317"/>
      <c r="BY305" s="317"/>
      <c r="BZ305" s="317"/>
      <c r="CA305" s="317"/>
      <c r="CB305" s="317"/>
      <c r="CC305" s="317"/>
      <c r="CD305" s="317"/>
      <c r="CE305" s="317"/>
      <c r="CF305" s="317"/>
      <c r="CG305" s="317"/>
      <c r="CH305" s="317"/>
      <c r="CI305" s="317"/>
      <c r="CM305" s="1139">
        <v>0</v>
      </c>
      <c r="CN305" s="1139">
        <v>0</v>
      </c>
      <c r="CP305" s="923">
        <f t="shared" si="141"/>
        <v>0</v>
      </c>
      <c r="CZ305" s="330"/>
    </row>
    <row r="306" spans="1:104" ht="15" customHeight="1" x14ac:dyDescent="0.25">
      <c r="A306" s="684">
        <f>MAX($A$6:A305)+1</f>
        <v>306</v>
      </c>
      <c r="B306" s="3">
        <f t="shared" si="159"/>
        <v>2</v>
      </c>
      <c r="C306" s="11" t="str">
        <f>C305</f>
        <v>Statement of Operating Costs by Operating Segment</v>
      </c>
      <c r="D306" s="11" t="s">
        <v>147</v>
      </c>
      <c r="E306" s="13" t="s">
        <v>142</v>
      </c>
      <c r="F306" s="15"/>
      <c r="G306" s="1276" t="s">
        <v>286</v>
      </c>
      <c r="H306" s="6" t="e">
        <v>#VALUE!</v>
      </c>
      <c r="I306" s="1247"/>
      <c r="J306" s="1253" t="s">
        <v>286</v>
      </c>
      <c r="K306" s="251">
        <v>0</v>
      </c>
      <c r="L306" s="251">
        <v>0</v>
      </c>
      <c r="M306" s="252"/>
      <c r="N306" s="273" t="e">
        <f t="shared" si="160"/>
        <v>#VALUE!</v>
      </c>
      <c r="O306" s="12"/>
      <c r="P306" s="12"/>
      <c r="Q306" s="12"/>
      <c r="R306" s="12"/>
      <c r="S306" s="6">
        <f t="shared" si="165"/>
        <v>0</v>
      </c>
      <c r="T306" s="273" t="e">
        <f t="shared" si="161"/>
        <v>#VALUE!</v>
      </c>
      <c r="U306" s="6">
        <f t="shared" si="162"/>
        <v>0</v>
      </c>
      <c r="V306" s="6"/>
      <c r="W306" s="6" t="e">
        <f t="shared" si="163"/>
        <v>#VALUE!</v>
      </c>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X306" s="6"/>
      <c r="AY306" s="6">
        <f>ROUND(AX306/1000/Update!$B$31*Update!$B$27,0)</f>
        <v>0</v>
      </c>
      <c r="BA306" s="6"/>
      <c r="BB306" s="6">
        <f>ROUND(BA306/1000/Update!$B$31,0)</f>
        <v>0</v>
      </c>
      <c r="BC306" s="6"/>
      <c r="BD306" s="29">
        <f t="shared" si="136"/>
        <v>0</v>
      </c>
      <c r="BE306" s="317"/>
      <c r="BF306" s="317"/>
      <c r="BG306" s="317"/>
      <c r="BH306" s="317"/>
      <c r="BI306" s="317"/>
      <c r="BJ306" s="317"/>
      <c r="BK306" s="29">
        <f t="shared" si="149"/>
        <v>0</v>
      </c>
      <c r="BL306" s="317"/>
      <c r="BM306" s="317"/>
      <c r="BN306" s="317"/>
      <c r="BO306" s="317"/>
      <c r="BP306" s="317"/>
      <c r="BQ306" s="317"/>
      <c r="BR306" s="317"/>
      <c r="BS306" s="317"/>
      <c r="BT306" s="317"/>
      <c r="BU306" s="317"/>
      <c r="BV306" s="317"/>
      <c r="BW306" s="317"/>
      <c r="BX306" s="317"/>
      <c r="BY306" s="317"/>
      <c r="BZ306" s="317"/>
      <c r="CA306" s="317"/>
      <c r="CB306" s="317"/>
      <c r="CC306" s="317"/>
      <c r="CD306" s="317"/>
      <c r="CE306" s="317"/>
      <c r="CF306" s="317"/>
      <c r="CG306" s="317"/>
      <c r="CH306" s="317"/>
      <c r="CI306" s="317"/>
      <c r="CM306" s="1139">
        <v>0</v>
      </c>
      <c r="CN306" s="1139">
        <v>0</v>
      </c>
      <c r="CP306" s="923">
        <f t="shared" si="141"/>
        <v>0</v>
      </c>
      <c r="CZ306" s="330"/>
    </row>
    <row r="307" spans="1:104" ht="15" customHeight="1" x14ac:dyDescent="0.25">
      <c r="A307" s="684">
        <f>MAX($A$6:A306)+1</f>
        <v>307</v>
      </c>
      <c r="B307" s="3">
        <f t="shared" si="159"/>
        <v>2</v>
      </c>
      <c r="C307" s="11" t="str">
        <f t="shared" si="164"/>
        <v>Statement of Operating Costs by Operating Segment</v>
      </c>
      <c r="D307" s="11" t="s">
        <v>147</v>
      </c>
      <c r="E307" s="7" t="s">
        <v>143</v>
      </c>
      <c r="F307" s="15"/>
      <c r="G307" s="1254" t="s">
        <v>143</v>
      </c>
      <c r="H307" s="6" t="e">
        <v>#VALUE!</v>
      </c>
      <c r="I307" s="1247"/>
      <c r="J307" s="1257" t="s">
        <v>143</v>
      </c>
      <c r="K307" s="251">
        <v>0</v>
      </c>
      <c r="L307" s="251">
        <v>0</v>
      </c>
      <c r="M307" s="252"/>
      <c r="N307" s="273" t="e">
        <f t="shared" si="160"/>
        <v>#VALUE!</v>
      </c>
      <c r="O307" s="12"/>
      <c r="P307" s="12"/>
      <c r="Q307" s="12"/>
      <c r="R307" s="12"/>
      <c r="S307" s="6">
        <f t="shared" si="165"/>
        <v>0</v>
      </c>
      <c r="T307" s="273" t="e">
        <f t="shared" si="161"/>
        <v>#VALUE!</v>
      </c>
      <c r="U307" s="6">
        <f t="shared" si="162"/>
        <v>0</v>
      </c>
      <c r="V307" s="6"/>
      <c r="W307" s="6" t="e">
        <f t="shared" si="163"/>
        <v>#VALUE!</v>
      </c>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X307" s="6"/>
      <c r="AY307" s="6">
        <f>ROUND(AX307/1000/Update!$B$31*Update!$B$27,0)</f>
        <v>0</v>
      </c>
      <c r="BA307" s="6"/>
      <c r="BB307" s="6">
        <f>ROUND(BA307/1000/Update!$B$31,0)</f>
        <v>0</v>
      </c>
      <c r="BC307" s="6"/>
      <c r="BD307" s="29">
        <f t="shared" si="136"/>
        <v>0</v>
      </c>
      <c r="BE307" s="317"/>
      <c r="BF307" s="317"/>
      <c r="BG307" s="317"/>
      <c r="BH307" s="317"/>
      <c r="BI307" s="317"/>
      <c r="BJ307" s="317"/>
      <c r="BK307" s="29">
        <f t="shared" si="149"/>
        <v>0</v>
      </c>
      <c r="BL307" s="317"/>
      <c r="BM307" s="317"/>
      <c r="BN307" s="317"/>
      <c r="BO307" s="317"/>
      <c r="BP307" s="317"/>
      <c r="BQ307" s="317"/>
      <c r="BR307" s="317"/>
      <c r="BS307" s="317"/>
      <c r="BT307" s="317"/>
      <c r="BU307" s="317"/>
      <c r="BV307" s="317"/>
      <c r="BW307" s="317"/>
      <c r="BX307" s="317"/>
      <c r="BY307" s="317"/>
      <c r="BZ307" s="317"/>
      <c r="CA307" s="317"/>
      <c r="CB307" s="317"/>
      <c r="CC307" s="317"/>
      <c r="CD307" s="317"/>
      <c r="CE307" s="317"/>
      <c r="CF307" s="317"/>
      <c r="CG307" s="317"/>
      <c r="CH307" s="317"/>
      <c r="CI307" s="317"/>
      <c r="CM307" s="1139">
        <v>0</v>
      </c>
      <c r="CN307" s="1139">
        <v>0</v>
      </c>
      <c r="CP307" s="923">
        <f t="shared" si="141"/>
        <v>0</v>
      </c>
      <c r="CZ307" s="330"/>
    </row>
    <row r="308" spans="1:104" ht="15" customHeight="1" x14ac:dyDescent="0.25">
      <c r="A308" s="684">
        <f>MAX($A$6:A307)+1</f>
        <v>308</v>
      </c>
      <c r="B308" s="3">
        <f t="shared" si="159"/>
        <v>2</v>
      </c>
      <c r="C308" s="11" t="str">
        <f t="shared" si="164"/>
        <v>Statement of Operating Costs by Operating Segment</v>
      </c>
      <c r="D308" s="11" t="s">
        <v>147</v>
      </c>
      <c r="E308" s="7" t="s">
        <v>144</v>
      </c>
      <c r="F308" s="15"/>
      <c r="G308" s="1254" t="s">
        <v>144</v>
      </c>
      <c r="H308" s="6" t="e">
        <v>#VALUE!</v>
      </c>
      <c r="I308" s="1247"/>
      <c r="J308" s="1257" t="s">
        <v>144</v>
      </c>
      <c r="K308" s="251">
        <v>0</v>
      </c>
      <c r="L308" s="251">
        <v>0</v>
      </c>
      <c r="M308" s="252"/>
      <c r="N308" s="273" t="e">
        <f t="shared" si="160"/>
        <v>#VALUE!</v>
      </c>
      <c r="O308" s="12"/>
      <c r="P308" s="12"/>
      <c r="Q308" s="12"/>
      <c r="R308" s="12"/>
      <c r="S308" s="6">
        <f t="shared" si="165"/>
        <v>0</v>
      </c>
      <c r="T308" s="273" t="e">
        <f t="shared" si="161"/>
        <v>#VALUE!</v>
      </c>
      <c r="U308" s="6">
        <f t="shared" si="162"/>
        <v>0</v>
      </c>
      <c r="V308" s="6"/>
      <c r="W308" s="6" t="e">
        <f t="shared" si="163"/>
        <v>#VALUE!</v>
      </c>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X308" s="6"/>
      <c r="AY308" s="6">
        <f>ROUND(AX308/1000/Update!$B$31*Update!$B$27,0)</f>
        <v>0</v>
      </c>
      <c r="BA308" s="6"/>
      <c r="BB308" s="6">
        <f>ROUND(BA308/1000/Update!$B$31,0)</f>
        <v>0</v>
      </c>
      <c r="BC308" s="6"/>
      <c r="BD308" s="29">
        <f t="shared" si="136"/>
        <v>0</v>
      </c>
      <c r="BE308" s="317"/>
      <c r="BF308" s="317"/>
      <c r="BG308" s="317"/>
      <c r="BH308" s="317"/>
      <c r="BI308" s="317"/>
      <c r="BJ308" s="317"/>
      <c r="BK308" s="29">
        <f t="shared" si="149"/>
        <v>0</v>
      </c>
      <c r="BL308" s="317"/>
      <c r="BM308" s="317"/>
      <c r="BN308" s="317"/>
      <c r="BO308" s="317"/>
      <c r="BP308" s="317"/>
      <c r="BQ308" s="317"/>
      <c r="BR308" s="317"/>
      <c r="BS308" s="317"/>
      <c r="BT308" s="317"/>
      <c r="BU308" s="317"/>
      <c r="BV308" s="317"/>
      <c r="BW308" s="317"/>
      <c r="BX308" s="317"/>
      <c r="BY308" s="317"/>
      <c r="BZ308" s="317"/>
      <c r="CA308" s="317"/>
      <c r="CB308" s="317"/>
      <c r="CC308" s="317"/>
      <c r="CD308" s="317"/>
      <c r="CE308" s="317"/>
      <c r="CF308" s="317"/>
      <c r="CG308" s="317"/>
      <c r="CH308" s="317"/>
      <c r="CI308" s="317"/>
      <c r="CM308" s="1139">
        <v>0</v>
      </c>
      <c r="CN308" s="1139">
        <v>0</v>
      </c>
      <c r="CP308" s="923">
        <f t="shared" si="141"/>
        <v>0</v>
      </c>
      <c r="CZ308" s="330"/>
    </row>
    <row r="309" spans="1:104" ht="15" customHeight="1" x14ac:dyDescent="0.25">
      <c r="A309" s="684">
        <f>MAX($A$6:A308)+1</f>
        <v>309</v>
      </c>
      <c r="B309" s="3">
        <f t="shared" si="159"/>
        <v>2</v>
      </c>
      <c r="C309" s="11" t="str">
        <f t="shared" si="164"/>
        <v>Statement of Operating Costs by Operating Segment</v>
      </c>
      <c r="D309" s="11" t="s">
        <v>147</v>
      </c>
      <c r="E309" s="7" t="s">
        <v>145</v>
      </c>
      <c r="F309" s="15"/>
      <c r="G309" s="1254" t="s">
        <v>145</v>
      </c>
      <c r="H309" s="6" t="e">
        <v>#VALUE!</v>
      </c>
      <c r="I309" s="1247"/>
      <c r="J309" s="1257" t="s">
        <v>145</v>
      </c>
      <c r="K309" s="251">
        <v>0</v>
      </c>
      <c r="L309" s="251">
        <v>0</v>
      </c>
      <c r="M309" s="252"/>
      <c r="N309" s="273" t="e">
        <f t="shared" si="160"/>
        <v>#VALUE!</v>
      </c>
      <c r="O309" s="12"/>
      <c r="P309" s="12"/>
      <c r="Q309" s="12"/>
      <c r="R309" s="12"/>
      <c r="S309" s="6">
        <f t="shared" si="165"/>
        <v>0</v>
      </c>
      <c r="T309" s="273" t="e">
        <f t="shared" si="161"/>
        <v>#VALUE!</v>
      </c>
      <c r="U309" s="6">
        <f t="shared" si="162"/>
        <v>0</v>
      </c>
      <c r="V309" s="6"/>
      <c r="W309" s="6" t="e">
        <f t="shared" si="163"/>
        <v>#VALUE!</v>
      </c>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X309" s="6"/>
      <c r="AY309" s="6">
        <f>ROUND(AX309/1000/Update!$B$31*Update!$B$27,0)</f>
        <v>0</v>
      </c>
      <c r="BA309" s="6"/>
      <c r="BB309" s="6">
        <f>ROUND(BA309/1000/Update!$B$31,0)</f>
        <v>0</v>
      </c>
      <c r="BC309" s="6"/>
      <c r="BD309" s="29">
        <f t="shared" si="136"/>
        <v>0</v>
      </c>
      <c r="BE309" s="317"/>
      <c r="BF309" s="317"/>
      <c r="BG309" s="317"/>
      <c r="BH309" s="317"/>
      <c r="BI309" s="317"/>
      <c r="BJ309" s="317"/>
      <c r="BK309" s="29">
        <f t="shared" si="149"/>
        <v>0</v>
      </c>
      <c r="BL309" s="317"/>
      <c r="BM309" s="317"/>
      <c r="BN309" s="317"/>
      <c r="BO309" s="317"/>
      <c r="BP309" s="317"/>
      <c r="BQ309" s="317"/>
      <c r="BR309" s="317"/>
      <c r="BS309" s="317"/>
      <c r="BT309" s="317"/>
      <c r="BU309" s="317"/>
      <c r="BV309" s="317"/>
      <c r="BW309" s="317"/>
      <c r="BX309" s="317"/>
      <c r="BY309" s="317"/>
      <c r="BZ309" s="317"/>
      <c r="CA309" s="317"/>
      <c r="CB309" s="317"/>
      <c r="CC309" s="317"/>
      <c r="CD309" s="317"/>
      <c r="CE309" s="317"/>
      <c r="CF309" s="317"/>
      <c r="CG309" s="317"/>
      <c r="CH309" s="317"/>
      <c r="CI309" s="317"/>
      <c r="CM309" s="1139">
        <v>0</v>
      </c>
      <c r="CN309" s="1139">
        <v>0</v>
      </c>
      <c r="CP309" s="923">
        <f t="shared" si="141"/>
        <v>0</v>
      </c>
      <c r="CZ309" s="330"/>
    </row>
    <row r="310" spans="1:104" ht="15" customHeight="1" x14ac:dyDescent="0.25">
      <c r="A310" s="701">
        <f>MAX($A$6:A309)+1</f>
        <v>310</v>
      </c>
      <c r="B310" s="1291">
        <f t="shared" si="159"/>
        <v>2</v>
      </c>
      <c r="C310" s="18" t="str">
        <f t="shared" si="164"/>
        <v>Statement of Operating Costs by Operating Segment</v>
      </c>
      <c r="D310" s="18" t="s">
        <v>147</v>
      </c>
      <c r="E310" s="19" t="s">
        <v>146</v>
      </c>
      <c r="F310" s="20"/>
      <c r="G310" s="28"/>
      <c r="H310" s="14" t="e">
        <f>SUM(H295:H309)</f>
        <v>#VALUE!</v>
      </c>
      <c r="I310" s="14"/>
      <c r="J310" s="1258" t="s">
        <v>286</v>
      </c>
      <c r="K310" s="256">
        <v>0</v>
      </c>
      <c r="L310" s="256">
        <v>0</v>
      </c>
      <c r="M310" s="21"/>
      <c r="N310" s="14" t="e">
        <f>SUM(O310:AU310)-T310</f>
        <v>#VALUE!</v>
      </c>
      <c r="O310" s="14">
        <f t="shared" ref="O310:W310" si="166">SUM(O294:O309)</f>
        <v>0</v>
      </c>
      <c r="P310" s="14">
        <f t="shared" si="166"/>
        <v>0</v>
      </c>
      <c r="Q310" s="14">
        <f t="shared" si="166"/>
        <v>0</v>
      </c>
      <c r="R310" s="14">
        <f t="shared" si="166"/>
        <v>0</v>
      </c>
      <c r="S310" s="14">
        <f t="shared" si="165"/>
        <v>0</v>
      </c>
      <c r="T310" s="14" t="e">
        <f t="shared" si="166"/>
        <v>#VALUE!</v>
      </c>
      <c r="U310" s="14">
        <f t="shared" si="166"/>
        <v>0</v>
      </c>
      <c r="V310" s="14">
        <f t="shared" si="166"/>
        <v>0</v>
      </c>
      <c r="W310" s="14" t="e">
        <f t="shared" si="166"/>
        <v>#VALUE!</v>
      </c>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2"/>
      <c r="AX310" s="14">
        <f>SUM(AX294:AX309)</f>
        <v>0</v>
      </c>
      <c r="AY310" s="14">
        <f>ROUND(AX310/1000/Update!$B$31*Update!$B$27,0)</f>
        <v>0</v>
      </c>
      <c r="AZ310" s="2"/>
      <c r="BA310" s="14">
        <f>SUM(BA294:BA309)</f>
        <v>0</v>
      </c>
      <c r="BB310" s="14">
        <f>ROUND(BA310/1000/Update!$B$31,0)</f>
        <v>0</v>
      </c>
      <c r="BC310" s="14"/>
      <c r="BD310" s="14">
        <f t="shared" si="136"/>
        <v>0</v>
      </c>
      <c r="BE310" s="318">
        <f t="shared" ref="BE310:BJ310" si="167">SUM(BE294:BE309)</f>
        <v>0</v>
      </c>
      <c r="BF310" s="318">
        <f t="shared" si="167"/>
        <v>0</v>
      </c>
      <c r="BG310" s="318">
        <f t="shared" si="167"/>
        <v>0</v>
      </c>
      <c r="BH310" s="318">
        <f t="shared" si="167"/>
        <v>0</v>
      </c>
      <c r="BI310" s="318">
        <f t="shared" si="167"/>
        <v>0</v>
      </c>
      <c r="BJ310" s="318">
        <f t="shared" si="167"/>
        <v>0</v>
      </c>
      <c r="BK310" s="14">
        <f t="shared" si="149"/>
        <v>0</v>
      </c>
      <c r="BL310" s="318"/>
      <c r="BM310" s="318"/>
      <c r="BN310" s="318"/>
      <c r="BO310" s="318"/>
      <c r="BP310" s="318"/>
      <c r="BQ310" s="318"/>
      <c r="BR310" s="318"/>
      <c r="BS310" s="318"/>
      <c r="BT310" s="318"/>
      <c r="BU310" s="318"/>
      <c r="BV310" s="318"/>
      <c r="BW310" s="318"/>
      <c r="BX310" s="318"/>
      <c r="BY310" s="318"/>
      <c r="BZ310" s="318"/>
      <c r="CA310" s="318"/>
      <c r="CB310" s="318"/>
      <c r="CC310" s="318"/>
      <c r="CD310" s="318"/>
      <c r="CE310" s="318"/>
      <c r="CF310" s="318"/>
      <c r="CG310" s="318"/>
      <c r="CH310" s="318"/>
      <c r="CI310" s="318"/>
      <c r="CJ310" s="2"/>
      <c r="CK310" s="2"/>
      <c r="CM310" s="1140">
        <v>0</v>
      </c>
      <c r="CN310" s="1140">
        <v>0</v>
      </c>
      <c r="CP310" s="923">
        <f t="shared" si="141"/>
        <v>0</v>
      </c>
      <c r="CZ310" s="330"/>
    </row>
    <row r="311" spans="1:104" ht="15" customHeight="1" x14ac:dyDescent="0.25">
      <c r="A311" s="684">
        <f>MAX($A$6:A310)+1</f>
        <v>311</v>
      </c>
      <c r="B311" s="3">
        <f>B310</f>
        <v>2</v>
      </c>
      <c r="C311" s="11" t="str">
        <f>C310</f>
        <v>Statement of Operating Costs by Operating Segment</v>
      </c>
      <c r="D311" s="11" t="s">
        <v>148</v>
      </c>
      <c r="E311" s="13" t="s">
        <v>134</v>
      </c>
      <c r="F311" s="15"/>
      <c r="G311" s="26"/>
      <c r="H311" s="6"/>
      <c r="I311" s="6"/>
      <c r="J311" s="1257" t="s">
        <v>286</v>
      </c>
      <c r="K311" s="251">
        <v>0</v>
      </c>
      <c r="L311" s="251">
        <v>0</v>
      </c>
      <c r="M311" s="252"/>
      <c r="N311" s="273">
        <f>ROUND(SUM(O311:S311)+T311+SUM(Z311:AV311),0)</f>
        <v>0</v>
      </c>
      <c r="O311" s="12"/>
      <c r="P311" s="12"/>
      <c r="Q311" s="12"/>
      <c r="R311" s="12"/>
      <c r="S311" s="6">
        <f t="shared" si="165"/>
        <v>0</v>
      </c>
      <c r="T311" s="273">
        <f>ROUND(SUM(U311:Y311),0)</f>
        <v>0</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X311" s="6"/>
      <c r="AY311" s="6">
        <f>ROUND(AX311/1000/Update!$B$31*Update!$B$27,0)</f>
        <v>0</v>
      </c>
      <c r="BA311" s="6"/>
      <c r="BB311" s="6">
        <f>ROUND(BA311/1000/Update!$B$31,0)</f>
        <v>0</v>
      </c>
      <c r="BC311" s="6"/>
      <c r="BD311" s="29">
        <f t="shared" si="136"/>
        <v>0</v>
      </c>
      <c r="BE311" s="317"/>
      <c r="BF311" s="317"/>
      <c r="BG311" s="317"/>
      <c r="BH311" s="317"/>
      <c r="BI311" s="317"/>
      <c r="BJ311" s="317"/>
      <c r="BK311" s="29">
        <f t="shared" si="149"/>
        <v>0</v>
      </c>
      <c r="BL311" s="317"/>
      <c r="BM311" s="317"/>
      <c r="BN311" s="317"/>
      <c r="BO311" s="317"/>
      <c r="BP311" s="317"/>
      <c r="BQ311" s="317"/>
      <c r="BR311" s="317"/>
      <c r="BS311" s="317"/>
      <c r="BT311" s="317"/>
      <c r="BU311" s="317"/>
      <c r="BV311" s="317"/>
      <c r="BW311" s="317"/>
      <c r="BX311" s="317"/>
      <c r="BY311" s="317"/>
      <c r="BZ311" s="317"/>
      <c r="CA311" s="317"/>
      <c r="CB311" s="317"/>
      <c r="CC311" s="317"/>
      <c r="CD311" s="317"/>
      <c r="CE311" s="317"/>
      <c r="CF311" s="317"/>
      <c r="CG311" s="317"/>
      <c r="CH311" s="317"/>
      <c r="CI311" s="317"/>
      <c r="CM311" s="1139">
        <v>0</v>
      </c>
      <c r="CN311" s="1139">
        <v>0</v>
      </c>
      <c r="CP311" s="923">
        <f t="shared" si="141"/>
        <v>0</v>
      </c>
      <c r="CZ311" s="330"/>
    </row>
    <row r="312" spans="1:104" ht="15" customHeight="1" x14ac:dyDescent="0.25">
      <c r="A312" s="684">
        <f>MAX($A$6:A311)+1</f>
        <v>312</v>
      </c>
      <c r="B312" s="3">
        <f t="shared" si="159"/>
        <v>2</v>
      </c>
      <c r="C312" s="11" t="str">
        <f t="shared" si="164"/>
        <v>Statement of Operating Costs by Operating Segment</v>
      </c>
      <c r="D312" s="11" t="s">
        <v>148</v>
      </c>
      <c r="E312" s="7" t="s">
        <v>135</v>
      </c>
      <c r="F312" s="15"/>
      <c r="G312" s="1254" t="s">
        <v>135</v>
      </c>
      <c r="H312" s="6" t="e">
        <v>#VALUE!</v>
      </c>
      <c r="I312" s="1248"/>
      <c r="J312" s="1257" t="s">
        <v>135</v>
      </c>
      <c r="K312" s="251">
        <v>0</v>
      </c>
      <c r="L312" s="251">
        <v>0</v>
      </c>
      <c r="M312" s="252"/>
      <c r="N312" s="273" t="e">
        <f t="shared" ref="N312:N326" si="168">ROUND(SUM(O312:S312)+SUM(W312:AV312),0)</f>
        <v>#VALUE!</v>
      </c>
      <c r="O312" s="12"/>
      <c r="P312" s="12"/>
      <c r="Q312" s="12"/>
      <c r="R312" s="12"/>
      <c r="S312" s="6">
        <f t="shared" si="165"/>
        <v>0</v>
      </c>
      <c r="T312" s="273" t="e">
        <f t="shared" ref="T312:T326" si="169">ROUND(SUM(U312:Y312),0)</f>
        <v>#VALUE!</v>
      </c>
      <c r="U312" s="6">
        <f t="shared" ref="U312:U326" si="170">SUM(BL312:BN312)</f>
        <v>0</v>
      </c>
      <c r="V312" s="6"/>
      <c r="W312" s="6" t="e">
        <f t="shared" ref="W312:W326" si="171">+H312</f>
        <v>#VALUE!</v>
      </c>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X312" s="6"/>
      <c r="AY312" s="6">
        <f>ROUND(AX312/1000/Update!$B$31*Update!$B$27,0)</f>
        <v>0</v>
      </c>
      <c r="BA312" s="6"/>
      <c r="BB312" s="6">
        <f>ROUND(BA312/1000/Update!$B$31,0)</f>
        <v>0</v>
      </c>
      <c r="BC312" s="6"/>
      <c r="BD312" s="29">
        <f t="shared" si="136"/>
        <v>0</v>
      </c>
      <c r="BE312" s="317"/>
      <c r="BF312" s="317"/>
      <c r="BG312" s="317"/>
      <c r="BH312" s="317"/>
      <c r="BI312" s="317"/>
      <c r="BJ312" s="317"/>
      <c r="BK312" s="29">
        <f t="shared" si="149"/>
        <v>0</v>
      </c>
      <c r="BL312" s="317"/>
      <c r="BM312" s="317"/>
      <c r="BN312" s="317"/>
      <c r="BO312" s="317"/>
      <c r="BP312" s="317"/>
      <c r="BQ312" s="317"/>
      <c r="BR312" s="317"/>
      <c r="BS312" s="317"/>
      <c r="BT312" s="317"/>
      <c r="BU312" s="317"/>
      <c r="BV312" s="317"/>
      <c r="BW312" s="317"/>
      <c r="BX312" s="317"/>
      <c r="BY312" s="317"/>
      <c r="BZ312" s="317"/>
      <c r="CA312" s="317"/>
      <c r="CB312" s="317"/>
      <c r="CC312" s="317"/>
      <c r="CD312" s="317"/>
      <c r="CE312" s="317"/>
      <c r="CF312" s="317"/>
      <c r="CG312" s="317"/>
      <c r="CH312" s="317"/>
      <c r="CI312" s="317"/>
      <c r="CM312" s="1139">
        <v>0</v>
      </c>
      <c r="CN312" s="1139">
        <v>0</v>
      </c>
      <c r="CP312" s="923">
        <f t="shared" si="141"/>
        <v>0</v>
      </c>
      <c r="CZ312" s="330"/>
    </row>
    <row r="313" spans="1:104" ht="15" customHeight="1" x14ac:dyDescent="0.25">
      <c r="A313" s="684">
        <f>MAX($A$6:A312)+1</f>
        <v>313</v>
      </c>
      <c r="B313" s="3">
        <f t="shared" si="159"/>
        <v>2</v>
      </c>
      <c r="C313" s="11" t="str">
        <f t="shared" si="164"/>
        <v>Statement of Operating Costs by Operating Segment</v>
      </c>
      <c r="D313" s="11" t="s">
        <v>148</v>
      </c>
      <c r="E313" s="7" t="s">
        <v>5</v>
      </c>
      <c r="F313" s="15"/>
      <c r="G313" s="1254" t="s">
        <v>5</v>
      </c>
      <c r="H313" s="6" t="e">
        <v>#VALUE!</v>
      </c>
      <c r="I313" s="1248"/>
      <c r="J313" s="1257" t="s">
        <v>5</v>
      </c>
      <c r="K313" s="251">
        <v>0</v>
      </c>
      <c r="L313" s="251">
        <v>0</v>
      </c>
      <c r="M313" s="252"/>
      <c r="N313" s="273" t="e">
        <f t="shared" si="168"/>
        <v>#VALUE!</v>
      </c>
      <c r="O313" s="12"/>
      <c r="P313" s="12"/>
      <c r="Q313" s="12"/>
      <c r="R313" s="12"/>
      <c r="S313" s="6">
        <f t="shared" si="165"/>
        <v>0</v>
      </c>
      <c r="T313" s="273" t="e">
        <f t="shared" si="169"/>
        <v>#VALUE!</v>
      </c>
      <c r="U313" s="6">
        <f t="shared" si="170"/>
        <v>0</v>
      </c>
      <c r="V313" s="6"/>
      <c r="W313" s="6" t="e">
        <f t="shared" si="171"/>
        <v>#VALUE!</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X313" s="6"/>
      <c r="AY313" s="6">
        <f>ROUND(AX313/1000/Update!$B$31*Update!$B$27,0)</f>
        <v>0</v>
      </c>
      <c r="BA313" s="6"/>
      <c r="BB313" s="6">
        <f>ROUND(BA313/1000/Update!$B$31,0)</f>
        <v>0</v>
      </c>
      <c r="BC313" s="6"/>
      <c r="BD313" s="29">
        <f t="shared" si="136"/>
        <v>0</v>
      </c>
      <c r="BE313" s="317"/>
      <c r="BF313" s="317"/>
      <c r="BG313" s="317"/>
      <c r="BH313" s="317"/>
      <c r="BI313" s="317"/>
      <c r="BJ313" s="317"/>
      <c r="BK313" s="29">
        <f t="shared" si="149"/>
        <v>0</v>
      </c>
      <c r="BL313" s="317"/>
      <c r="BM313" s="317"/>
      <c r="BN313" s="317"/>
      <c r="BO313" s="317"/>
      <c r="BP313" s="317"/>
      <c r="BQ313" s="317"/>
      <c r="BR313" s="317"/>
      <c r="BS313" s="317"/>
      <c r="BT313" s="317"/>
      <c r="BU313" s="317"/>
      <c r="BV313" s="317"/>
      <c r="BW313" s="317"/>
      <c r="BX313" s="317"/>
      <c r="BY313" s="317"/>
      <c r="BZ313" s="317"/>
      <c r="CA313" s="317"/>
      <c r="CB313" s="317"/>
      <c r="CC313" s="317"/>
      <c r="CD313" s="317"/>
      <c r="CE313" s="317"/>
      <c r="CF313" s="317"/>
      <c r="CG313" s="317"/>
      <c r="CH313" s="317"/>
      <c r="CI313" s="317"/>
      <c r="CM313" s="1139">
        <v>0</v>
      </c>
      <c r="CN313" s="1139">
        <v>0</v>
      </c>
      <c r="CP313" s="923">
        <f t="shared" si="141"/>
        <v>0</v>
      </c>
      <c r="CZ313" s="330"/>
    </row>
    <row r="314" spans="1:104" ht="15" customHeight="1" x14ac:dyDescent="0.25">
      <c r="A314" s="684">
        <f>MAX($A$6:A313)+1</f>
        <v>314</v>
      </c>
      <c r="B314" s="3">
        <f t="shared" si="159"/>
        <v>2</v>
      </c>
      <c r="C314" s="11" t="str">
        <f t="shared" si="164"/>
        <v>Statement of Operating Costs by Operating Segment</v>
      </c>
      <c r="D314" s="11" t="s">
        <v>148</v>
      </c>
      <c r="E314" s="7" t="s">
        <v>25</v>
      </c>
      <c r="F314" s="15"/>
      <c r="G314" s="1254" t="s">
        <v>348</v>
      </c>
      <c r="H314" s="6" t="e">
        <v>#VALUE!</v>
      </c>
      <c r="I314" s="1247"/>
      <c r="J314" s="1257" t="s">
        <v>348</v>
      </c>
      <c r="K314" s="251">
        <v>0</v>
      </c>
      <c r="L314" s="251">
        <v>0</v>
      </c>
      <c r="M314" s="252"/>
      <c r="N314" s="273" t="e">
        <f t="shared" si="168"/>
        <v>#VALUE!</v>
      </c>
      <c r="O314" s="12"/>
      <c r="P314" s="12"/>
      <c r="Q314" s="12"/>
      <c r="R314" s="12"/>
      <c r="S314" s="6">
        <f t="shared" si="165"/>
        <v>0</v>
      </c>
      <c r="T314" s="273" t="e">
        <f t="shared" si="169"/>
        <v>#VALUE!</v>
      </c>
      <c r="U314" s="6">
        <f t="shared" si="170"/>
        <v>0</v>
      </c>
      <c r="V314" s="6"/>
      <c r="W314" s="6" t="e">
        <f t="shared" si="171"/>
        <v>#VALUE!</v>
      </c>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X314" s="6"/>
      <c r="AY314" s="6">
        <f>ROUND(AX314/1000/Update!$B$31*Update!$B$27,0)</f>
        <v>0</v>
      </c>
      <c r="BA314" s="6"/>
      <c r="BB314" s="6">
        <f>ROUND(BA314/1000/Update!$B$31,0)</f>
        <v>0</v>
      </c>
      <c r="BC314" s="6"/>
      <c r="BD314" s="29">
        <f t="shared" si="136"/>
        <v>0</v>
      </c>
      <c r="BE314" s="317"/>
      <c r="BF314" s="317"/>
      <c r="BG314" s="317"/>
      <c r="BH314" s="317"/>
      <c r="BI314" s="317"/>
      <c r="BJ314" s="317"/>
      <c r="BK314" s="29">
        <f t="shared" si="149"/>
        <v>0</v>
      </c>
      <c r="BL314" s="317"/>
      <c r="BM314" s="317"/>
      <c r="BN314" s="317"/>
      <c r="BO314" s="317"/>
      <c r="BP314" s="317"/>
      <c r="BQ314" s="317"/>
      <c r="BR314" s="317"/>
      <c r="BS314" s="317"/>
      <c r="BT314" s="317"/>
      <c r="BU314" s="317"/>
      <c r="BV314" s="317"/>
      <c r="BW314" s="317"/>
      <c r="BX314" s="317"/>
      <c r="BY314" s="317"/>
      <c r="BZ314" s="317"/>
      <c r="CA314" s="317"/>
      <c r="CB314" s="317"/>
      <c r="CC314" s="317"/>
      <c r="CD314" s="317"/>
      <c r="CE314" s="317"/>
      <c r="CF314" s="317"/>
      <c r="CG314" s="317"/>
      <c r="CH314" s="317"/>
      <c r="CI314" s="317"/>
      <c r="CM314" s="1139">
        <v>0</v>
      </c>
      <c r="CN314" s="1139">
        <v>0</v>
      </c>
      <c r="CP314" s="923">
        <f t="shared" si="141"/>
        <v>0</v>
      </c>
      <c r="CZ314" s="330"/>
    </row>
    <row r="315" spans="1:104" ht="15" customHeight="1" x14ac:dyDescent="0.25">
      <c r="A315" s="684">
        <f>MAX($A$6:A314)+1</f>
        <v>315</v>
      </c>
      <c r="B315" s="3">
        <f t="shared" si="159"/>
        <v>2</v>
      </c>
      <c r="C315" s="11" t="str">
        <f t="shared" si="164"/>
        <v>Statement of Operating Costs by Operating Segment</v>
      </c>
      <c r="D315" s="11" t="s">
        <v>148</v>
      </c>
      <c r="E315" s="7" t="s">
        <v>27</v>
      </c>
      <c r="F315" s="15"/>
      <c r="G315" s="1254" t="s">
        <v>27</v>
      </c>
      <c r="H315" s="6" t="e">
        <v>#VALUE!</v>
      </c>
      <c r="I315" s="1247"/>
      <c r="J315" s="1257" t="s">
        <v>27</v>
      </c>
      <c r="K315" s="251">
        <v>0</v>
      </c>
      <c r="L315" s="251">
        <v>0</v>
      </c>
      <c r="M315" s="252"/>
      <c r="N315" s="273" t="e">
        <f t="shared" si="168"/>
        <v>#VALUE!</v>
      </c>
      <c r="O315" s="12"/>
      <c r="P315" s="12"/>
      <c r="Q315" s="12"/>
      <c r="R315" s="12"/>
      <c r="S315" s="6">
        <f t="shared" si="165"/>
        <v>0</v>
      </c>
      <c r="T315" s="273" t="e">
        <f t="shared" si="169"/>
        <v>#VALUE!</v>
      </c>
      <c r="U315" s="6">
        <f t="shared" si="170"/>
        <v>0</v>
      </c>
      <c r="V315" s="6"/>
      <c r="W315" s="6" t="e">
        <f t="shared" si="171"/>
        <v>#VALUE!</v>
      </c>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X315" s="6"/>
      <c r="AY315" s="6">
        <f>ROUND(AX315/1000/Update!$B$31*Update!$B$27,0)</f>
        <v>0</v>
      </c>
      <c r="BA315" s="6"/>
      <c r="BB315" s="6">
        <f>ROUND(BA315/1000/Update!$B$31,0)</f>
        <v>0</v>
      </c>
      <c r="BC315" s="6"/>
      <c r="BD315" s="29">
        <f t="shared" si="136"/>
        <v>0</v>
      </c>
      <c r="BE315" s="317"/>
      <c r="BF315" s="317"/>
      <c r="BG315" s="317"/>
      <c r="BH315" s="317"/>
      <c r="BI315" s="317"/>
      <c r="BJ315" s="317"/>
      <c r="BK315" s="29">
        <f t="shared" si="149"/>
        <v>0</v>
      </c>
      <c r="BL315" s="317"/>
      <c r="BM315" s="317"/>
      <c r="BN315" s="317"/>
      <c r="BO315" s="317"/>
      <c r="BP315" s="317"/>
      <c r="BQ315" s="317"/>
      <c r="BR315" s="317"/>
      <c r="BS315" s="317"/>
      <c r="BT315" s="317"/>
      <c r="BU315" s="317"/>
      <c r="BV315" s="317"/>
      <c r="BW315" s="317"/>
      <c r="BX315" s="317"/>
      <c r="BY315" s="317"/>
      <c r="BZ315" s="317"/>
      <c r="CA315" s="317"/>
      <c r="CB315" s="317"/>
      <c r="CC315" s="317"/>
      <c r="CD315" s="317"/>
      <c r="CE315" s="317"/>
      <c r="CF315" s="317"/>
      <c r="CG315" s="317"/>
      <c r="CH315" s="317"/>
      <c r="CI315" s="317"/>
      <c r="CM315" s="1139">
        <v>0</v>
      </c>
      <c r="CN315" s="1139">
        <v>0</v>
      </c>
      <c r="CP315" s="923">
        <f t="shared" si="141"/>
        <v>0</v>
      </c>
      <c r="CZ315" s="330"/>
    </row>
    <row r="316" spans="1:104" ht="38.25" customHeight="1" x14ac:dyDescent="0.25">
      <c r="A316" s="684">
        <f>MAX($A$6:A315)+1</f>
        <v>316</v>
      </c>
      <c r="B316" s="3">
        <f t="shared" si="159"/>
        <v>2</v>
      </c>
      <c r="C316" s="11" t="str">
        <f t="shared" si="164"/>
        <v>Statement of Operating Costs by Operating Segment</v>
      </c>
      <c r="D316" s="11" t="s">
        <v>148</v>
      </c>
      <c r="E316" s="7" t="s">
        <v>349</v>
      </c>
      <c r="F316" s="15"/>
      <c r="G316" s="1254" t="s">
        <v>349</v>
      </c>
      <c r="H316" s="6" t="e">
        <v>#VALUE!</v>
      </c>
      <c r="I316" s="1247"/>
      <c r="J316" s="1257" t="s">
        <v>349</v>
      </c>
      <c r="K316" s="251">
        <v>0</v>
      </c>
      <c r="L316" s="251">
        <v>0</v>
      </c>
      <c r="M316" s="252"/>
      <c r="N316" s="273" t="e">
        <f t="shared" si="168"/>
        <v>#VALUE!</v>
      </c>
      <c r="O316" s="12"/>
      <c r="P316" s="12"/>
      <c r="Q316" s="12"/>
      <c r="R316" s="12"/>
      <c r="S316" s="6">
        <f t="shared" si="165"/>
        <v>0</v>
      </c>
      <c r="T316" s="273" t="e">
        <f t="shared" si="169"/>
        <v>#VALUE!</v>
      </c>
      <c r="U316" s="6">
        <f t="shared" si="170"/>
        <v>0</v>
      </c>
      <c r="V316" s="6"/>
      <c r="W316" s="6" t="e">
        <f t="shared" si="171"/>
        <v>#VALUE!</v>
      </c>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X316" s="6"/>
      <c r="AY316" s="6">
        <f>ROUND(AX316/1000/Update!$B$31*Update!$B$27,0)</f>
        <v>0</v>
      </c>
      <c r="BA316" s="6"/>
      <c r="BB316" s="6">
        <f>ROUND(BA316/1000/Update!$B$31,0)</f>
        <v>0</v>
      </c>
      <c r="BC316" s="6"/>
      <c r="BD316" s="29">
        <f t="shared" si="136"/>
        <v>0</v>
      </c>
      <c r="BE316" s="317"/>
      <c r="BF316" s="317"/>
      <c r="BG316" s="317"/>
      <c r="BH316" s="317"/>
      <c r="BI316" s="317"/>
      <c r="BJ316" s="317"/>
      <c r="BK316" s="29">
        <f t="shared" si="149"/>
        <v>0</v>
      </c>
      <c r="BL316" s="317"/>
      <c r="BM316" s="317"/>
      <c r="BN316" s="317"/>
      <c r="BO316" s="317"/>
      <c r="BP316" s="317"/>
      <c r="BQ316" s="317"/>
      <c r="BR316" s="317"/>
      <c r="BS316" s="317"/>
      <c r="BT316" s="317"/>
      <c r="BU316" s="317"/>
      <c r="BV316" s="317"/>
      <c r="BW316" s="317"/>
      <c r="BX316" s="317"/>
      <c r="BY316" s="317"/>
      <c r="BZ316" s="317"/>
      <c r="CA316" s="317"/>
      <c r="CB316" s="317"/>
      <c r="CC316" s="317"/>
      <c r="CD316" s="317"/>
      <c r="CE316" s="317"/>
      <c r="CF316" s="317"/>
      <c r="CG316" s="317"/>
      <c r="CH316" s="317"/>
      <c r="CI316" s="317"/>
      <c r="CM316" s="1139">
        <v>0</v>
      </c>
      <c r="CN316" s="1139">
        <v>0</v>
      </c>
      <c r="CP316" s="923">
        <f t="shared" si="141"/>
        <v>0</v>
      </c>
      <c r="CZ316" s="330"/>
    </row>
    <row r="317" spans="1:104" ht="15" customHeight="1" x14ac:dyDescent="0.25">
      <c r="A317" s="684">
        <f>MAX($A$6:A316)+1</f>
        <v>317</v>
      </c>
      <c r="B317" s="3">
        <f t="shared" si="159"/>
        <v>2</v>
      </c>
      <c r="C317" s="11" t="str">
        <f t="shared" si="164"/>
        <v>Statement of Operating Costs by Operating Segment</v>
      </c>
      <c r="D317" s="11" t="s">
        <v>148</v>
      </c>
      <c r="E317" s="7" t="s">
        <v>31</v>
      </c>
      <c r="F317" s="15"/>
      <c r="G317" s="1254" t="s">
        <v>31</v>
      </c>
      <c r="H317" s="6" t="e">
        <v>#VALUE!</v>
      </c>
      <c r="I317" s="1247"/>
      <c r="J317" s="1257" t="s">
        <v>31</v>
      </c>
      <c r="K317" s="251">
        <v>0</v>
      </c>
      <c r="L317" s="251">
        <v>0</v>
      </c>
      <c r="M317" s="252"/>
      <c r="N317" s="273" t="e">
        <f t="shared" si="168"/>
        <v>#VALUE!</v>
      </c>
      <c r="O317" s="12"/>
      <c r="P317" s="12"/>
      <c r="Q317" s="12"/>
      <c r="R317" s="12"/>
      <c r="S317" s="6">
        <f t="shared" si="165"/>
        <v>0</v>
      </c>
      <c r="T317" s="273" t="e">
        <f t="shared" si="169"/>
        <v>#VALUE!</v>
      </c>
      <c r="U317" s="6">
        <f t="shared" si="170"/>
        <v>0</v>
      </c>
      <c r="V317" s="6"/>
      <c r="W317" s="6" t="e">
        <f t="shared" si="171"/>
        <v>#VALUE!</v>
      </c>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X317" s="6"/>
      <c r="AY317" s="6">
        <f>ROUND(AX317/1000/Update!$B$31*Update!$B$27,0)</f>
        <v>0</v>
      </c>
      <c r="BA317" s="6"/>
      <c r="BB317" s="6">
        <f>ROUND(BA317/1000/Update!$B$31,0)</f>
        <v>0</v>
      </c>
      <c r="BC317" s="6"/>
      <c r="BD317" s="29">
        <f t="shared" si="136"/>
        <v>0</v>
      </c>
      <c r="BE317" s="317"/>
      <c r="BF317" s="317"/>
      <c r="BG317" s="317"/>
      <c r="BH317" s="317"/>
      <c r="BI317" s="317"/>
      <c r="BJ317" s="317"/>
      <c r="BK317" s="29">
        <f t="shared" si="149"/>
        <v>0</v>
      </c>
      <c r="BL317" s="317"/>
      <c r="BM317" s="317"/>
      <c r="BN317" s="317"/>
      <c r="BO317" s="317"/>
      <c r="BP317" s="317"/>
      <c r="BQ317" s="317"/>
      <c r="BR317" s="317"/>
      <c r="BS317" s="317"/>
      <c r="BT317" s="317"/>
      <c r="BU317" s="317"/>
      <c r="BV317" s="317"/>
      <c r="BW317" s="317"/>
      <c r="BX317" s="317"/>
      <c r="BY317" s="317"/>
      <c r="BZ317" s="317"/>
      <c r="CA317" s="317"/>
      <c r="CB317" s="317"/>
      <c r="CC317" s="317"/>
      <c r="CD317" s="317"/>
      <c r="CE317" s="317"/>
      <c r="CF317" s="317"/>
      <c r="CG317" s="317"/>
      <c r="CH317" s="317"/>
      <c r="CI317" s="317"/>
      <c r="CM317" s="1139">
        <v>0</v>
      </c>
      <c r="CN317" s="1139">
        <v>0</v>
      </c>
      <c r="CP317" s="923">
        <f t="shared" si="141"/>
        <v>0</v>
      </c>
      <c r="CZ317" s="330"/>
    </row>
    <row r="318" spans="1:104" ht="30" customHeight="1" x14ac:dyDescent="0.25">
      <c r="A318" s="684">
        <f>MAX($A$6:A317)+1</f>
        <v>318</v>
      </c>
      <c r="B318" s="3">
        <f t="shared" si="159"/>
        <v>2</v>
      </c>
      <c r="C318" s="11" t="str">
        <f t="shared" si="164"/>
        <v>Statement of Operating Costs by Operating Segment</v>
      </c>
      <c r="D318" s="11" t="s">
        <v>148</v>
      </c>
      <c r="E318" s="7" t="s">
        <v>138</v>
      </c>
      <c r="F318" s="15"/>
      <c r="G318" s="1254" t="s">
        <v>138</v>
      </c>
      <c r="H318" s="6" t="e">
        <v>#VALUE!</v>
      </c>
      <c r="I318" s="1247"/>
      <c r="J318" s="1257" t="s">
        <v>138</v>
      </c>
      <c r="K318" s="251">
        <v>0</v>
      </c>
      <c r="L318" s="251">
        <v>0</v>
      </c>
      <c r="M318" s="252"/>
      <c r="N318" s="273" t="e">
        <f t="shared" si="168"/>
        <v>#VALUE!</v>
      </c>
      <c r="O318" s="12"/>
      <c r="P318" s="12"/>
      <c r="Q318" s="12"/>
      <c r="R318" s="12"/>
      <c r="S318" s="6">
        <f t="shared" si="165"/>
        <v>0</v>
      </c>
      <c r="T318" s="273" t="e">
        <f t="shared" si="169"/>
        <v>#VALUE!</v>
      </c>
      <c r="U318" s="6">
        <f t="shared" si="170"/>
        <v>0</v>
      </c>
      <c r="V318" s="6"/>
      <c r="W318" s="6" t="e">
        <f t="shared" si="171"/>
        <v>#VALUE!</v>
      </c>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X318" s="6"/>
      <c r="AY318" s="6">
        <f>ROUND(AX318/1000/Update!$B$31*Update!$B$27,0)</f>
        <v>0</v>
      </c>
      <c r="BA318" s="6"/>
      <c r="BB318" s="6">
        <f>ROUND(BA318/1000/Update!$B$31,0)</f>
        <v>0</v>
      </c>
      <c r="BC318" s="6"/>
      <c r="BD318" s="29">
        <f t="shared" si="136"/>
        <v>0</v>
      </c>
      <c r="BE318" s="317"/>
      <c r="BF318" s="317"/>
      <c r="BG318" s="317"/>
      <c r="BH318" s="317"/>
      <c r="BI318" s="317"/>
      <c r="BJ318" s="317"/>
      <c r="BK318" s="29">
        <f t="shared" si="149"/>
        <v>0</v>
      </c>
      <c r="BL318" s="317"/>
      <c r="BM318" s="317"/>
      <c r="BN318" s="317"/>
      <c r="BO318" s="317"/>
      <c r="BP318" s="317"/>
      <c r="BQ318" s="317"/>
      <c r="BR318" s="317"/>
      <c r="BS318" s="317"/>
      <c r="BT318" s="317"/>
      <c r="BU318" s="317"/>
      <c r="BV318" s="317"/>
      <c r="BW318" s="317"/>
      <c r="BX318" s="317"/>
      <c r="BY318" s="317"/>
      <c r="BZ318" s="317"/>
      <c r="CA318" s="317"/>
      <c r="CB318" s="317"/>
      <c r="CC318" s="317"/>
      <c r="CD318" s="317"/>
      <c r="CE318" s="317"/>
      <c r="CF318" s="317"/>
      <c r="CG318" s="317"/>
      <c r="CH318" s="317"/>
      <c r="CI318" s="317"/>
      <c r="CM318" s="1139">
        <v>0</v>
      </c>
      <c r="CN318" s="1139">
        <v>0</v>
      </c>
      <c r="CP318" s="923">
        <f t="shared" si="141"/>
        <v>0</v>
      </c>
      <c r="CZ318" s="330"/>
    </row>
    <row r="319" spans="1:104" ht="25.5" customHeight="1" x14ac:dyDescent="0.25">
      <c r="A319" s="684">
        <f>MAX($A$6:A318)+1</f>
        <v>319</v>
      </c>
      <c r="B319" s="3">
        <f t="shared" si="159"/>
        <v>2</v>
      </c>
      <c r="C319" s="11" t="str">
        <f t="shared" si="164"/>
        <v>Statement of Operating Costs by Operating Segment</v>
      </c>
      <c r="D319" s="11" t="s">
        <v>148</v>
      </c>
      <c r="E319" s="7" t="s">
        <v>139</v>
      </c>
      <c r="F319" s="15"/>
      <c r="G319" s="1254" t="s">
        <v>139</v>
      </c>
      <c r="H319" s="6" t="e">
        <v>#VALUE!</v>
      </c>
      <c r="I319" s="1247"/>
      <c r="J319" s="1257" t="s">
        <v>139</v>
      </c>
      <c r="K319" s="251">
        <v>0</v>
      </c>
      <c r="L319" s="251">
        <v>0</v>
      </c>
      <c r="M319" s="252"/>
      <c r="N319" s="273" t="e">
        <f t="shared" si="168"/>
        <v>#VALUE!</v>
      </c>
      <c r="O319" s="12"/>
      <c r="P319" s="12"/>
      <c r="Q319" s="12"/>
      <c r="R319" s="12"/>
      <c r="S319" s="6">
        <f t="shared" si="165"/>
        <v>0</v>
      </c>
      <c r="T319" s="273" t="e">
        <f t="shared" si="169"/>
        <v>#VALUE!</v>
      </c>
      <c r="U319" s="6">
        <f t="shared" si="170"/>
        <v>0</v>
      </c>
      <c r="V319" s="6"/>
      <c r="W319" s="6" t="e">
        <f t="shared" si="171"/>
        <v>#VALUE!</v>
      </c>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X319" s="6"/>
      <c r="AY319" s="6">
        <f>ROUND(AX319/1000/Update!$B$31*Update!$B$27,0)</f>
        <v>0</v>
      </c>
      <c r="BA319" s="6"/>
      <c r="BB319" s="6">
        <f>ROUND(BA319/1000/Update!$B$31,0)</f>
        <v>0</v>
      </c>
      <c r="BC319" s="6"/>
      <c r="BD319" s="29">
        <f t="shared" ref="BD319:BD377" si="172">ROUND(SUM(BE319:BK319),0)</f>
        <v>0</v>
      </c>
      <c r="BE319" s="317"/>
      <c r="BF319" s="317"/>
      <c r="BG319" s="317"/>
      <c r="BH319" s="317"/>
      <c r="BI319" s="317"/>
      <c r="BJ319" s="317"/>
      <c r="BK319" s="29">
        <f t="shared" si="149"/>
        <v>0</v>
      </c>
      <c r="BL319" s="317"/>
      <c r="BM319" s="317"/>
      <c r="BN319" s="317"/>
      <c r="BO319" s="317"/>
      <c r="BP319" s="317"/>
      <c r="BQ319" s="317"/>
      <c r="BR319" s="317"/>
      <c r="BS319" s="317"/>
      <c r="BT319" s="317"/>
      <c r="BU319" s="317"/>
      <c r="BV319" s="317"/>
      <c r="BW319" s="317"/>
      <c r="BX319" s="317"/>
      <c r="BY319" s="317"/>
      <c r="BZ319" s="317"/>
      <c r="CA319" s="317"/>
      <c r="CB319" s="317"/>
      <c r="CC319" s="317"/>
      <c r="CD319" s="317"/>
      <c r="CE319" s="317"/>
      <c r="CF319" s="317"/>
      <c r="CG319" s="317"/>
      <c r="CH319" s="317"/>
      <c r="CI319" s="317"/>
      <c r="CM319" s="1139">
        <v>0</v>
      </c>
      <c r="CN319" s="1139">
        <v>0</v>
      </c>
      <c r="CP319" s="923">
        <f t="shared" si="141"/>
        <v>0</v>
      </c>
      <c r="CZ319" s="330"/>
    </row>
    <row r="320" spans="1:104" ht="15" customHeight="1" x14ac:dyDescent="0.25">
      <c r="A320" s="684">
        <f>MAX($A$6:A319)+1</f>
        <v>320</v>
      </c>
      <c r="B320" s="3">
        <f t="shared" si="159"/>
        <v>2</v>
      </c>
      <c r="C320" s="11" t="str">
        <f t="shared" si="164"/>
        <v>Statement of Operating Costs by Operating Segment</v>
      </c>
      <c r="D320" s="11" t="s">
        <v>148</v>
      </c>
      <c r="E320" s="7" t="s">
        <v>2446</v>
      </c>
      <c r="F320" s="15"/>
      <c r="G320" s="1254" t="s">
        <v>2446</v>
      </c>
      <c r="H320" s="6" t="e">
        <v>#VALUE!</v>
      </c>
      <c r="I320" s="1247"/>
      <c r="J320" s="1257" t="s">
        <v>2446</v>
      </c>
      <c r="K320" s="251">
        <v>0</v>
      </c>
      <c r="L320" s="251">
        <v>0</v>
      </c>
      <c r="M320" s="252"/>
      <c r="N320" s="273" t="e">
        <f t="shared" si="168"/>
        <v>#VALUE!</v>
      </c>
      <c r="O320" s="12"/>
      <c r="P320" s="12"/>
      <c r="Q320" s="12"/>
      <c r="R320" s="12"/>
      <c r="S320" s="6">
        <f t="shared" si="165"/>
        <v>0</v>
      </c>
      <c r="T320" s="273" t="e">
        <f t="shared" si="169"/>
        <v>#VALUE!</v>
      </c>
      <c r="U320" s="6">
        <f t="shared" si="170"/>
        <v>0</v>
      </c>
      <c r="V320" s="6"/>
      <c r="W320" s="6" t="e">
        <f t="shared" si="171"/>
        <v>#VALUE!</v>
      </c>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X320" s="6"/>
      <c r="AY320" s="6">
        <f>ROUND(AX320/1000/Update!$B$31*Update!$B$27,0)</f>
        <v>0</v>
      </c>
      <c r="BA320" s="6"/>
      <c r="BB320" s="6">
        <f>ROUND(BA320/1000/Update!$B$31,0)</f>
        <v>0</v>
      </c>
      <c r="BC320" s="6"/>
      <c r="BD320" s="29">
        <f t="shared" si="172"/>
        <v>0</v>
      </c>
      <c r="BE320" s="317"/>
      <c r="BF320" s="317"/>
      <c r="BG320" s="317"/>
      <c r="BH320" s="317"/>
      <c r="BI320" s="317"/>
      <c r="BJ320" s="317"/>
      <c r="BK320" s="29">
        <f t="shared" si="149"/>
        <v>0</v>
      </c>
      <c r="BL320" s="317"/>
      <c r="BM320" s="317"/>
      <c r="BN320" s="317"/>
      <c r="BO320" s="317"/>
      <c r="BP320" s="317"/>
      <c r="BQ320" s="317"/>
      <c r="BR320" s="317"/>
      <c r="BS320" s="317"/>
      <c r="BT320" s="317"/>
      <c r="BU320" s="317"/>
      <c r="BV320" s="317"/>
      <c r="BW320" s="317"/>
      <c r="BX320" s="317"/>
      <c r="BY320" s="317"/>
      <c r="BZ320" s="317"/>
      <c r="CA320" s="317"/>
      <c r="CB320" s="317"/>
      <c r="CC320" s="317"/>
      <c r="CD320" s="317"/>
      <c r="CE320" s="317"/>
      <c r="CF320" s="317"/>
      <c r="CG320" s="317"/>
      <c r="CH320" s="317"/>
      <c r="CI320" s="317"/>
      <c r="CM320" s="1139">
        <v>0</v>
      </c>
      <c r="CN320" s="1139">
        <v>0</v>
      </c>
      <c r="CP320" s="923">
        <f t="shared" si="141"/>
        <v>0</v>
      </c>
      <c r="CZ320" s="330"/>
    </row>
    <row r="321" spans="1:104" ht="15" customHeight="1" x14ac:dyDescent="0.25">
      <c r="A321" s="684">
        <f>MAX($A$6:A320)+1</f>
        <v>321</v>
      </c>
      <c r="B321" s="3">
        <f t="shared" si="159"/>
        <v>2</v>
      </c>
      <c r="C321" s="11" t="str">
        <f t="shared" si="164"/>
        <v>Statement of Operating Costs by Operating Segment</v>
      </c>
      <c r="D321" s="11" t="s">
        <v>148</v>
      </c>
      <c r="E321" s="7" t="s">
        <v>140</v>
      </c>
      <c r="F321" s="15"/>
      <c r="G321" s="1254" t="s">
        <v>140</v>
      </c>
      <c r="H321" s="6" t="e">
        <v>#VALUE!</v>
      </c>
      <c r="I321" s="1247"/>
      <c r="J321" s="1257" t="s">
        <v>140</v>
      </c>
      <c r="K321" s="251">
        <v>0</v>
      </c>
      <c r="L321" s="251">
        <v>0</v>
      </c>
      <c r="M321" s="252"/>
      <c r="N321" s="273" t="e">
        <f t="shared" si="168"/>
        <v>#VALUE!</v>
      </c>
      <c r="O321" s="12"/>
      <c r="P321" s="12"/>
      <c r="Q321" s="12"/>
      <c r="R321" s="12"/>
      <c r="S321" s="6">
        <f t="shared" si="165"/>
        <v>0</v>
      </c>
      <c r="T321" s="273" t="e">
        <f t="shared" si="169"/>
        <v>#VALUE!</v>
      </c>
      <c r="U321" s="6">
        <f t="shared" si="170"/>
        <v>0</v>
      </c>
      <c r="V321" s="6"/>
      <c r="W321" s="6" t="e">
        <f t="shared" si="171"/>
        <v>#VALUE!</v>
      </c>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X321" s="6"/>
      <c r="AY321" s="6">
        <f>ROUND(AX321/1000/Update!$B$31*Update!$B$27,0)</f>
        <v>0</v>
      </c>
      <c r="BA321" s="6"/>
      <c r="BB321" s="6">
        <f>ROUND(BA321/1000/Update!$B$31,0)</f>
        <v>0</v>
      </c>
      <c r="BC321" s="6"/>
      <c r="BD321" s="29">
        <f t="shared" si="172"/>
        <v>0</v>
      </c>
      <c r="BE321" s="317"/>
      <c r="BF321" s="317"/>
      <c r="BG321" s="317"/>
      <c r="BH321" s="317"/>
      <c r="BI321" s="317"/>
      <c r="BJ321" s="317"/>
      <c r="BK321" s="29">
        <f t="shared" si="149"/>
        <v>0</v>
      </c>
      <c r="BL321" s="317"/>
      <c r="BM321" s="317"/>
      <c r="BN321" s="317"/>
      <c r="BO321" s="317"/>
      <c r="BP321" s="317"/>
      <c r="BQ321" s="317"/>
      <c r="BR321" s="317"/>
      <c r="BS321" s="317"/>
      <c r="BT321" s="317"/>
      <c r="BU321" s="317"/>
      <c r="BV321" s="317"/>
      <c r="BW321" s="317"/>
      <c r="BX321" s="317"/>
      <c r="BY321" s="317"/>
      <c r="BZ321" s="317"/>
      <c r="CA321" s="317"/>
      <c r="CB321" s="317"/>
      <c r="CC321" s="317"/>
      <c r="CD321" s="317"/>
      <c r="CE321" s="317"/>
      <c r="CF321" s="317"/>
      <c r="CG321" s="317"/>
      <c r="CH321" s="317"/>
      <c r="CI321" s="317"/>
      <c r="CM321" s="1139">
        <v>0</v>
      </c>
      <c r="CN321" s="1139">
        <v>0</v>
      </c>
      <c r="CP321" s="923">
        <f t="shared" si="141"/>
        <v>0</v>
      </c>
      <c r="CZ321" s="330"/>
    </row>
    <row r="322" spans="1:104" ht="15" customHeight="1" x14ac:dyDescent="0.25">
      <c r="A322" s="684">
        <f>MAX($A$6:A321)+1</f>
        <v>322</v>
      </c>
      <c r="B322" s="3">
        <f t="shared" si="159"/>
        <v>2</v>
      </c>
      <c r="C322" s="11" t="str">
        <f t="shared" si="164"/>
        <v>Statement of Operating Costs by Operating Segment</v>
      </c>
      <c r="D322" s="11" t="s">
        <v>148</v>
      </c>
      <c r="E322" s="7" t="s">
        <v>141</v>
      </c>
      <c r="F322" s="15"/>
      <c r="G322" s="1254" t="s">
        <v>141</v>
      </c>
      <c r="H322" s="6" t="e">
        <v>#VALUE!</v>
      </c>
      <c r="I322" s="1247"/>
      <c r="J322" s="1257" t="s">
        <v>141</v>
      </c>
      <c r="K322" s="251">
        <v>0</v>
      </c>
      <c r="L322" s="251">
        <v>0</v>
      </c>
      <c r="M322" s="252"/>
      <c r="N322" s="273" t="e">
        <f t="shared" si="168"/>
        <v>#VALUE!</v>
      </c>
      <c r="O322" s="12"/>
      <c r="P322" s="12"/>
      <c r="Q322" s="12"/>
      <c r="R322" s="12"/>
      <c r="S322" s="6">
        <f t="shared" si="165"/>
        <v>0</v>
      </c>
      <c r="T322" s="273" t="e">
        <f t="shared" si="169"/>
        <v>#VALUE!</v>
      </c>
      <c r="U322" s="6">
        <f t="shared" si="170"/>
        <v>0</v>
      </c>
      <c r="V322" s="6"/>
      <c r="W322" s="6" t="e">
        <f t="shared" si="171"/>
        <v>#VALUE!</v>
      </c>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X322" s="6"/>
      <c r="AY322" s="6">
        <f>ROUND(AX322/1000/Update!$B$31*Update!$B$27,0)</f>
        <v>0</v>
      </c>
      <c r="BA322" s="6"/>
      <c r="BB322" s="6">
        <f>ROUND(BA322/1000/Update!$B$31,0)</f>
        <v>0</v>
      </c>
      <c r="BC322" s="6"/>
      <c r="BD322" s="29">
        <f t="shared" si="172"/>
        <v>0</v>
      </c>
      <c r="BE322" s="317"/>
      <c r="BF322" s="317"/>
      <c r="BG322" s="317"/>
      <c r="BH322" s="317"/>
      <c r="BI322" s="317"/>
      <c r="BJ322" s="317"/>
      <c r="BK322" s="29">
        <f t="shared" si="149"/>
        <v>0</v>
      </c>
      <c r="BL322" s="317"/>
      <c r="BM322" s="317"/>
      <c r="BN322" s="317"/>
      <c r="BO322" s="317"/>
      <c r="BP322" s="317"/>
      <c r="BQ322" s="317"/>
      <c r="BR322" s="317"/>
      <c r="BS322" s="317"/>
      <c r="BT322" s="317"/>
      <c r="BU322" s="317"/>
      <c r="BV322" s="317"/>
      <c r="BW322" s="317"/>
      <c r="BX322" s="317"/>
      <c r="BY322" s="317"/>
      <c r="BZ322" s="317"/>
      <c r="CA322" s="317"/>
      <c r="CB322" s="317"/>
      <c r="CC322" s="317"/>
      <c r="CD322" s="317"/>
      <c r="CE322" s="317"/>
      <c r="CF322" s="317"/>
      <c r="CG322" s="317"/>
      <c r="CH322" s="317"/>
      <c r="CI322" s="317"/>
      <c r="CM322" s="1139">
        <v>0</v>
      </c>
      <c r="CN322" s="1139">
        <v>0</v>
      </c>
      <c r="CP322" s="923">
        <f t="shared" si="141"/>
        <v>0</v>
      </c>
      <c r="CZ322" s="330"/>
    </row>
    <row r="323" spans="1:104" ht="15" customHeight="1" x14ac:dyDescent="0.25">
      <c r="A323" s="684">
        <f>MAX($A$6:A322)+1</f>
        <v>323</v>
      </c>
      <c r="B323" s="3">
        <f t="shared" si="159"/>
        <v>2</v>
      </c>
      <c r="C323" s="11" t="str">
        <f t="shared" si="164"/>
        <v>Statement of Operating Costs by Operating Segment</v>
      </c>
      <c r="D323" s="11" t="s">
        <v>148</v>
      </c>
      <c r="E323" s="13" t="s">
        <v>142</v>
      </c>
      <c r="F323" s="15"/>
      <c r="G323" s="1276" t="s">
        <v>286</v>
      </c>
      <c r="H323" s="6" t="e">
        <v>#VALUE!</v>
      </c>
      <c r="I323" s="1247"/>
      <c r="J323" s="1253" t="s">
        <v>286</v>
      </c>
      <c r="K323" s="251">
        <v>0</v>
      </c>
      <c r="L323" s="251">
        <v>0</v>
      </c>
      <c r="M323" s="252"/>
      <c r="N323" s="273" t="e">
        <f t="shared" si="168"/>
        <v>#VALUE!</v>
      </c>
      <c r="O323" s="12"/>
      <c r="P323" s="12"/>
      <c r="Q323" s="12"/>
      <c r="R323" s="12"/>
      <c r="S323" s="6">
        <f t="shared" si="165"/>
        <v>0</v>
      </c>
      <c r="T323" s="273" t="e">
        <f t="shared" si="169"/>
        <v>#VALUE!</v>
      </c>
      <c r="U323" s="6">
        <f t="shared" si="170"/>
        <v>0</v>
      </c>
      <c r="V323" s="6"/>
      <c r="W323" s="6" t="e">
        <f t="shared" si="171"/>
        <v>#VALUE!</v>
      </c>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X323" s="6"/>
      <c r="AY323" s="6">
        <f>ROUND(AX323/1000/Update!$B$31*Update!$B$27,0)</f>
        <v>0</v>
      </c>
      <c r="BA323" s="6"/>
      <c r="BB323" s="6">
        <f>ROUND(BA323/1000/Update!$B$31,0)</f>
        <v>0</v>
      </c>
      <c r="BC323" s="6"/>
      <c r="BD323" s="29">
        <f t="shared" si="172"/>
        <v>0</v>
      </c>
      <c r="BE323" s="317"/>
      <c r="BF323" s="317"/>
      <c r="BG323" s="317"/>
      <c r="BH323" s="317"/>
      <c r="BI323" s="317"/>
      <c r="BJ323" s="317"/>
      <c r="BK323" s="29">
        <f t="shared" si="149"/>
        <v>0</v>
      </c>
      <c r="BL323" s="317"/>
      <c r="BM323" s="317"/>
      <c r="BN323" s="317"/>
      <c r="BO323" s="317"/>
      <c r="BP323" s="317"/>
      <c r="BQ323" s="317"/>
      <c r="BR323" s="317"/>
      <c r="BS323" s="317"/>
      <c r="BT323" s="317"/>
      <c r="BU323" s="317"/>
      <c r="BV323" s="317"/>
      <c r="BW323" s="317"/>
      <c r="BX323" s="317"/>
      <c r="BY323" s="317"/>
      <c r="BZ323" s="317"/>
      <c r="CA323" s="317"/>
      <c r="CB323" s="317"/>
      <c r="CC323" s="317"/>
      <c r="CD323" s="317"/>
      <c r="CE323" s="317"/>
      <c r="CF323" s="317"/>
      <c r="CG323" s="317"/>
      <c r="CH323" s="317"/>
      <c r="CI323" s="317"/>
      <c r="CM323" s="1139">
        <v>0</v>
      </c>
      <c r="CN323" s="1139">
        <v>0</v>
      </c>
      <c r="CP323" s="923">
        <f t="shared" si="141"/>
        <v>0</v>
      </c>
      <c r="CZ323" s="330"/>
    </row>
    <row r="324" spans="1:104" ht="15" customHeight="1" x14ac:dyDescent="0.25">
      <c r="A324" s="684">
        <f>MAX($A$6:A323)+1</f>
        <v>324</v>
      </c>
      <c r="B324" s="3">
        <f t="shared" si="159"/>
        <v>2</v>
      </c>
      <c r="C324" s="11" t="str">
        <f t="shared" si="164"/>
        <v>Statement of Operating Costs by Operating Segment</v>
      </c>
      <c r="D324" s="11" t="s">
        <v>148</v>
      </c>
      <c r="E324" s="7" t="s">
        <v>143</v>
      </c>
      <c r="F324" s="15"/>
      <c r="G324" s="1254" t="s">
        <v>143</v>
      </c>
      <c r="H324" s="6" t="e">
        <v>#VALUE!</v>
      </c>
      <c r="I324" s="1247"/>
      <c r="J324" s="1257" t="s">
        <v>143</v>
      </c>
      <c r="K324" s="251">
        <v>0</v>
      </c>
      <c r="L324" s="251">
        <v>0</v>
      </c>
      <c r="M324" s="252"/>
      <c r="N324" s="273" t="e">
        <f t="shared" si="168"/>
        <v>#VALUE!</v>
      </c>
      <c r="O324" s="12"/>
      <c r="P324" s="12"/>
      <c r="Q324" s="12"/>
      <c r="R324" s="12"/>
      <c r="S324" s="6">
        <f t="shared" si="165"/>
        <v>0</v>
      </c>
      <c r="T324" s="273" t="e">
        <f t="shared" si="169"/>
        <v>#VALUE!</v>
      </c>
      <c r="U324" s="6">
        <f t="shared" si="170"/>
        <v>0</v>
      </c>
      <c r="V324" s="6"/>
      <c r="W324" s="6" t="e">
        <f t="shared" si="171"/>
        <v>#VALUE!</v>
      </c>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X324" s="6"/>
      <c r="AY324" s="6">
        <f>ROUND(AX324/1000/Update!$B$31*Update!$B$27,0)</f>
        <v>0</v>
      </c>
      <c r="BA324" s="6"/>
      <c r="BB324" s="6">
        <f>ROUND(BA324/1000/Update!$B$31,0)</f>
        <v>0</v>
      </c>
      <c r="BC324" s="6"/>
      <c r="BD324" s="29">
        <f t="shared" si="172"/>
        <v>0</v>
      </c>
      <c r="BE324" s="317"/>
      <c r="BF324" s="317"/>
      <c r="BG324" s="317"/>
      <c r="BH324" s="317"/>
      <c r="BI324" s="317"/>
      <c r="BJ324" s="317"/>
      <c r="BK324" s="29">
        <f t="shared" si="149"/>
        <v>0</v>
      </c>
      <c r="BL324" s="317"/>
      <c r="BM324" s="317"/>
      <c r="BN324" s="317"/>
      <c r="BO324" s="317"/>
      <c r="BP324" s="317"/>
      <c r="BQ324" s="317"/>
      <c r="BR324" s="317"/>
      <c r="BS324" s="317"/>
      <c r="BT324" s="317"/>
      <c r="BU324" s="317"/>
      <c r="BV324" s="317"/>
      <c r="BW324" s="317"/>
      <c r="BX324" s="317"/>
      <c r="BY324" s="317"/>
      <c r="BZ324" s="317"/>
      <c r="CA324" s="317"/>
      <c r="CB324" s="317"/>
      <c r="CC324" s="317"/>
      <c r="CD324" s="317"/>
      <c r="CE324" s="317"/>
      <c r="CF324" s="317"/>
      <c r="CG324" s="317"/>
      <c r="CH324" s="317"/>
      <c r="CI324" s="317"/>
      <c r="CM324" s="1139">
        <v>0</v>
      </c>
      <c r="CN324" s="1139">
        <v>0</v>
      </c>
      <c r="CP324" s="923">
        <f t="shared" si="141"/>
        <v>0</v>
      </c>
      <c r="CZ324" s="330"/>
    </row>
    <row r="325" spans="1:104" ht="15" customHeight="1" x14ac:dyDescent="0.25">
      <c r="A325" s="684">
        <f>MAX($A$6:A324)+1</f>
        <v>325</v>
      </c>
      <c r="B325" s="3">
        <f t="shared" si="159"/>
        <v>2</v>
      </c>
      <c r="C325" s="11" t="str">
        <f t="shared" si="164"/>
        <v>Statement of Operating Costs by Operating Segment</v>
      </c>
      <c r="D325" s="11" t="s">
        <v>148</v>
      </c>
      <c r="E325" s="7" t="s">
        <v>144</v>
      </c>
      <c r="F325" s="15"/>
      <c r="G325" s="1254" t="s">
        <v>144</v>
      </c>
      <c r="H325" s="6" t="e">
        <v>#VALUE!</v>
      </c>
      <c r="I325" s="1247"/>
      <c r="J325" s="1257" t="s">
        <v>144</v>
      </c>
      <c r="K325" s="251">
        <v>0</v>
      </c>
      <c r="L325" s="251">
        <v>0</v>
      </c>
      <c r="M325" s="252"/>
      <c r="N325" s="273" t="e">
        <f t="shared" si="168"/>
        <v>#VALUE!</v>
      </c>
      <c r="O325" s="12"/>
      <c r="P325" s="12"/>
      <c r="Q325" s="12"/>
      <c r="R325" s="12"/>
      <c r="S325" s="6">
        <f t="shared" si="165"/>
        <v>0</v>
      </c>
      <c r="T325" s="273" t="e">
        <f t="shared" si="169"/>
        <v>#VALUE!</v>
      </c>
      <c r="U325" s="6">
        <f t="shared" si="170"/>
        <v>0</v>
      </c>
      <c r="V325" s="6"/>
      <c r="W325" s="6" t="e">
        <f t="shared" si="171"/>
        <v>#VALUE!</v>
      </c>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X325" s="6"/>
      <c r="AY325" s="6">
        <f>ROUND(AX325/1000/Update!$B$31*Update!$B$27,0)</f>
        <v>0</v>
      </c>
      <c r="BA325" s="6"/>
      <c r="BB325" s="6">
        <f>ROUND(BA325/1000/Update!$B$31,0)</f>
        <v>0</v>
      </c>
      <c r="BC325" s="6"/>
      <c r="BD325" s="29">
        <f t="shared" si="172"/>
        <v>0</v>
      </c>
      <c r="BE325" s="317"/>
      <c r="BF325" s="317"/>
      <c r="BG325" s="317"/>
      <c r="BH325" s="317"/>
      <c r="BI325" s="317"/>
      <c r="BJ325" s="317"/>
      <c r="BK325" s="29">
        <f t="shared" si="149"/>
        <v>0</v>
      </c>
      <c r="BL325" s="317"/>
      <c r="BM325" s="317"/>
      <c r="BN325" s="317"/>
      <c r="BO325" s="317"/>
      <c r="BP325" s="317"/>
      <c r="BQ325" s="317"/>
      <c r="BR325" s="317"/>
      <c r="BS325" s="317"/>
      <c r="BT325" s="317"/>
      <c r="BU325" s="317"/>
      <c r="BV325" s="317"/>
      <c r="BW325" s="317"/>
      <c r="BX325" s="317"/>
      <c r="BY325" s="317"/>
      <c r="BZ325" s="317"/>
      <c r="CA325" s="317"/>
      <c r="CB325" s="317"/>
      <c r="CC325" s="317"/>
      <c r="CD325" s="317"/>
      <c r="CE325" s="317"/>
      <c r="CF325" s="317"/>
      <c r="CG325" s="317"/>
      <c r="CH325" s="317"/>
      <c r="CI325" s="317"/>
      <c r="CM325" s="1139">
        <v>0</v>
      </c>
      <c r="CN325" s="1139">
        <v>0</v>
      </c>
      <c r="CP325" s="923">
        <f t="shared" si="141"/>
        <v>0</v>
      </c>
      <c r="CZ325" s="330"/>
    </row>
    <row r="326" spans="1:104" ht="15" customHeight="1" x14ac:dyDescent="0.25">
      <c r="A326" s="684">
        <f>MAX($A$6:A325)+1</f>
        <v>326</v>
      </c>
      <c r="B326" s="3">
        <f t="shared" si="159"/>
        <v>2</v>
      </c>
      <c r="C326" s="11" t="str">
        <f t="shared" si="164"/>
        <v>Statement of Operating Costs by Operating Segment</v>
      </c>
      <c r="D326" s="11" t="s">
        <v>148</v>
      </c>
      <c r="E326" s="7" t="s">
        <v>145</v>
      </c>
      <c r="F326" s="15"/>
      <c r="G326" s="1254" t="s">
        <v>145</v>
      </c>
      <c r="H326" s="6" t="e">
        <v>#VALUE!</v>
      </c>
      <c r="I326" s="1247"/>
      <c r="J326" s="1257" t="s">
        <v>145</v>
      </c>
      <c r="K326" s="251">
        <v>0</v>
      </c>
      <c r="L326" s="251">
        <v>0</v>
      </c>
      <c r="M326" s="252"/>
      <c r="N326" s="273" t="e">
        <f t="shared" si="168"/>
        <v>#VALUE!</v>
      </c>
      <c r="O326" s="12"/>
      <c r="P326" s="12"/>
      <c r="Q326" s="12"/>
      <c r="R326" s="12"/>
      <c r="S326" s="6">
        <f t="shared" si="165"/>
        <v>0</v>
      </c>
      <c r="T326" s="273" t="e">
        <f t="shared" si="169"/>
        <v>#VALUE!</v>
      </c>
      <c r="U326" s="6">
        <f t="shared" si="170"/>
        <v>0</v>
      </c>
      <c r="V326" s="6"/>
      <c r="W326" s="6" t="e">
        <f t="shared" si="171"/>
        <v>#VALUE!</v>
      </c>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X326" s="6"/>
      <c r="AY326" s="6">
        <f>ROUND(AX326/1000/Update!$B$31*Update!$B$27,0)</f>
        <v>0</v>
      </c>
      <c r="BA326" s="6"/>
      <c r="BB326" s="6">
        <f>ROUND(BA326/1000/Update!$B$31,0)</f>
        <v>0</v>
      </c>
      <c r="BC326" s="6"/>
      <c r="BD326" s="29">
        <f t="shared" si="172"/>
        <v>0</v>
      </c>
      <c r="BE326" s="317"/>
      <c r="BF326" s="317"/>
      <c r="BG326" s="317"/>
      <c r="BH326" s="317"/>
      <c r="BI326" s="317"/>
      <c r="BJ326" s="317"/>
      <c r="BK326" s="29">
        <f t="shared" si="149"/>
        <v>0</v>
      </c>
      <c r="BL326" s="317"/>
      <c r="BM326" s="317"/>
      <c r="BN326" s="317"/>
      <c r="BO326" s="317"/>
      <c r="BP326" s="317"/>
      <c r="BQ326" s="317"/>
      <c r="BR326" s="317"/>
      <c r="BS326" s="317"/>
      <c r="BT326" s="317"/>
      <c r="BU326" s="317"/>
      <c r="BV326" s="317"/>
      <c r="BW326" s="317"/>
      <c r="BX326" s="317"/>
      <c r="BY326" s="317"/>
      <c r="BZ326" s="317"/>
      <c r="CA326" s="317"/>
      <c r="CB326" s="317"/>
      <c r="CC326" s="317"/>
      <c r="CD326" s="317"/>
      <c r="CE326" s="317"/>
      <c r="CF326" s="317"/>
      <c r="CG326" s="317"/>
      <c r="CH326" s="317"/>
      <c r="CI326" s="317"/>
      <c r="CM326" s="1139">
        <v>0</v>
      </c>
      <c r="CN326" s="1139">
        <v>0</v>
      </c>
      <c r="CP326" s="923">
        <f t="shared" si="141"/>
        <v>0</v>
      </c>
      <c r="CZ326" s="330"/>
    </row>
    <row r="327" spans="1:104" ht="15" customHeight="1" x14ac:dyDescent="0.25">
      <c r="A327" s="701">
        <f>MAX($A$6:A326)+1</f>
        <v>327</v>
      </c>
      <c r="B327" s="1291">
        <f t="shared" si="159"/>
        <v>2</v>
      </c>
      <c r="C327" s="18" t="str">
        <f t="shared" si="164"/>
        <v>Statement of Operating Costs by Operating Segment</v>
      </c>
      <c r="D327" s="18" t="s">
        <v>148</v>
      </c>
      <c r="E327" s="19" t="s">
        <v>146</v>
      </c>
      <c r="F327" s="20"/>
      <c r="G327" s="28"/>
      <c r="H327" s="14" t="e">
        <f>SUM(H311:H326)</f>
        <v>#VALUE!</v>
      </c>
      <c r="I327" s="14"/>
      <c r="J327" s="1258" t="s">
        <v>286</v>
      </c>
      <c r="K327" s="256">
        <v>0</v>
      </c>
      <c r="L327" s="256">
        <v>0</v>
      </c>
      <c r="M327" s="21"/>
      <c r="N327" s="14" t="e">
        <f>SUM(O327:AU327)-T327</f>
        <v>#VALUE!</v>
      </c>
      <c r="O327" s="14">
        <f t="shared" ref="O327:W327" si="173">SUM(O311:O326)</f>
        <v>0</v>
      </c>
      <c r="P327" s="14">
        <f t="shared" si="173"/>
        <v>0</v>
      </c>
      <c r="Q327" s="14">
        <f t="shared" si="173"/>
        <v>0</v>
      </c>
      <c r="R327" s="14">
        <f t="shared" si="173"/>
        <v>0</v>
      </c>
      <c r="S327" s="14">
        <f t="shared" si="165"/>
        <v>0</v>
      </c>
      <c r="T327" s="14" t="e">
        <f t="shared" si="173"/>
        <v>#VALUE!</v>
      </c>
      <c r="U327" s="14">
        <f t="shared" si="173"/>
        <v>0</v>
      </c>
      <c r="V327" s="14">
        <f t="shared" si="173"/>
        <v>0</v>
      </c>
      <c r="W327" s="14" t="e">
        <f t="shared" si="173"/>
        <v>#VALUE!</v>
      </c>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2"/>
      <c r="AX327" s="14">
        <f>SUM(AX311:AX326)</f>
        <v>0</v>
      </c>
      <c r="AY327" s="14">
        <f>ROUND(AX327/1000/Update!$B$31*Update!$B$27,0)</f>
        <v>0</v>
      </c>
      <c r="AZ327" s="2"/>
      <c r="BA327" s="14">
        <f>SUM(BA311:BA326)</f>
        <v>0</v>
      </c>
      <c r="BB327" s="14">
        <f>ROUND(BA327/1000/Update!$B$31,0)</f>
        <v>0</v>
      </c>
      <c r="BC327" s="14"/>
      <c r="BD327" s="14">
        <f t="shared" si="172"/>
        <v>0</v>
      </c>
      <c r="BE327" s="318">
        <f t="shared" ref="BE327:BJ327" si="174">SUM(BE311:BE326)</f>
        <v>0</v>
      </c>
      <c r="BF327" s="318">
        <f t="shared" si="174"/>
        <v>0</v>
      </c>
      <c r="BG327" s="318">
        <f t="shared" si="174"/>
        <v>0</v>
      </c>
      <c r="BH327" s="318">
        <f t="shared" si="174"/>
        <v>0</v>
      </c>
      <c r="BI327" s="318">
        <f t="shared" si="174"/>
        <v>0</v>
      </c>
      <c r="BJ327" s="318">
        <f t="shared" si="174"/>
        <v>0</v>
      </c>
      <c r="BK327" s="14">
        <f t="shared" si="149"/>
        <v>0</v>
      </c>
      <c r="BL327" s="318"/>
      <c r="BM327" s="318"/>
      <c r="BN327" s="318"/>
      <c r="BO327" s="318"/>
      <c r="BP327" s="318"/>
      <c r="BQ327" s="318"/>
      <c r="BR327" s="318"/>
      <c r="BS327" s="318"/>
      <c r="BT327" s="318"/>
      <c r="BU327" s="318"/>
      <c r="BV327" s="318"/>
      <c r="BW327" s="318"/>
      <c r="BX327" s="318"/>
      <c r="BY327" s="318"/>
      <c r="BZ327" s="318"/>
      <c r="CA327" s="318"/>
      <c r="CB327" s="318"/>
      <c r="CC327" s="318"/>
      <c r="CD327" s="318"/>
      <c r="CE327" s="318"/>
      <c r="CF327" s="318"/>
      <c r="CG327" s="318"/>
      <c r="CH327" s="318"/>
      <c r="CI327" s="318"/>
      <c r="CJ327" s="2"/>
      <c r="CK327" s="2"/>
      <c r="CM327" s="1140">
        <v>0</v>
      </c>
      <c r="CN327" s="1140">
        <v>0</v>
      </c>
      <c r="CP327" s="923">
        <f t="shared" si="141"/>
        <v>0</v>
      </c>
      <c r="CZ327" s="330"/>
    </row>
    <row r="328" spans="1:104" ht="15" customHeight="1" x14ac:dyDescent="0.25">
      <c r="A328" s="684">
        <f>MAX($A$6:A327)+1</f>
        <v>328</v>
      </c>
      <c r="B328" s="3">
        <f>SUMIF(Update!$B$33:$B$106,C328,Update!$A$33:$A$106)</f>
        <v>2.1</v>
      </c>
      <c r="C328" s="11" t="s">
        <v>588</v>
      </c>
      <c r="D328" s="11" t="s">
        <v>149</v>
      </c>
      <c r="E328" s="13" t="s">
        <v>134</v>
      </c>
      <c r="F328" s="15"/>
      <c r="G328" s="26"/>
      <c r="H328" s="6">
        <v>0</v>
      </c>
      <c r="I328" s="1247"/>
      <c r="J328" s="1257" t="s">
        <v>286</v>
      </c>
      <c r="K328" s="251">
        <v>0</v>
      </c>
      <c r="L328" s="251">
        <v>0</v>
      </c>
      <c r="M328" s="252"/>
      <c r="N328" s="273">
        <f>ROUND(SUM(O328:S328)+T328+SUM(Z328:AV328),0)</f>
        <v>0</v>
      </c>
      <c r="O328" s="12"/>
      <c r="P328" s="12"/>
      <c r="Q328" s="12"/>
      <c r="R328" s="12"/>
      <c r="S328" s="6">
        <f t="shared" si="165"/>
        <v>0</v>
      </c>
      <c r="T328" s="273">
        <f>ROUND(SUM(U328:Y328),0)</f>
        <v>0</v>
      </c>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X328" s="6"/>
      <c r="AY328" s="6">
        <f>ROUND(AX328/1000/Update!$B$31*Update!$B$27,0)</f>
        <v>0</v>
      </c>
      <c r="BA328" s="6"/>
      <c r="BB328" s="6">
        <f>ROUND(BA328/1000/Update!$B$31,0)</f>
        <v>0</v>
      </c>
      <c r="BC328" s="6"/>
      <c r="BD328" s="29">
        <f t="shared" si="172"/>
        <v>0</v>
      </c>
      <c r="BE328" s="317"/>
      <c r="BF328" s="317"/>
      <c r="BG328" s="317"/>
      <c r="BH328" s="317"/>
      <c r="BI328" s="317"/>
      <c r="BJ328" s="317"/>
      <c r="BK328" s="29">
        <f t="shared" si="149"/>
        <v>0</v>
      </c>
      <c r="BL328" s="317"/>
      <c r="BM328" s="317"/>
      <c r="BN328" s="317"/>
      <c r="BO328" s="317"/>
      <c r="BP328" s="317"/>
      <c r="BQ328" s="317"/>
      <c r="BR328" s="317"/>
      <c r="BS328" s="317"/>
      <c r="BT328" s="317"/>
      <c r="BU328" s="317"/>
      <c r="BV328" s="317"/>
      <c r="BW328" s="317"/>
      <c r="BX328" s="317"/>
      <c r="BY328" s="317"/>
      <c r="BZ328" s="317"/>
      <c r="CA328" s="317"/>
      <c r="CB328" s="317"/>
      <c r="CC328" s="317"/>
      <c r="CD328" s="317"/>
      <c r="CE328" s="317"/>
      <c r="CF328" s="317"/>
      <c r="CG328" s="317"/>
      <c r="CH328" s="317"/>
      <c r="CI328" s="317"/>
      <c r="CM328" s="1139">
        <v>0</v>
      </c>
      <c r="CN328" s="1139">
        <v>0</v>
      </c>
      <c r="CP328" s="923">
        <f t="shared" ref="CP328:CP391" si="175">-V328+BL328+BM328+BN328+CM328</f>
        <v>0</v>
      </c>
      <c r="CZ328" s="330"/>
    </row>
    <row r="329" spans="1:104" ht="15" customHeight="1" x14ac:dyDescent="0.25">
      <c r="A329" s="684">
        <f>MAX($A$6:A328)+1</f>
        <v>329</v>
      </c>
      <c r="B329" s="3">
        <f t="shared" si="159"/>
        <v>2.1</v>
      </c>
      <c r="C329" s="11" t="str">
        <f>C328</f>
        <v>Reconciliation between Operating Segments and CSoFP</v>
      </c>
      <c r="D329" s="11" t="s">
        <v>149</v>
      </c>
      <c r="E329" s="7" t="s">
        <v>135</v>
      </c>
      <c r="F329" s="15"/>
      <c r="G329" s="1254" t="s">
        <v>135</v>
      </c>
      <c r="H329" s="6">
        <v>0</v>
      </c>
      <c r="I329" s="1247"/>
      <c r="J329" s="1257" t="s">
        <v>286</v>
      </c>
      <c r="K329" s="251">
        <v>0</v>
      </c>
      <c r="L329" s="251">
        <v>0</v>
      </c>
      <c r="M329" s="252"/>
      <c r="N329" s="273">
        <f t="shared" ref="N329:N341" si="176">ROUND(SUM(O329:S329)+SUM(W329:AV329),0)</f>
        <v>0</v>
      </c>
      <c r="O329" s="12"/>
      <c r="P329" s="12"/>
      <c r="Q329" s="12"/>
      <c r="R329" s="12"/>
      <c r="S329" s="6">
        <f t="shared" si="165"/>
        <v>0</v>
      </c>
      <c r="T329" s="273">
        <f t="shared" ref="T329:T341" si="177">ROUND(SUM(U329:Y329),0)</f>
        <v>0</v>
      </c>
      <c r="U329" s="6">
        <f t="shared" ref="U329:U341" si="178">SUM(BL329:BN329)</f>
        <v>0</v>
      </c>
      <c r="V329" s="6"/>
      <c r="W329" s="6">
        <f t="shared" ref="W329:W341" si="179">+H329</f>
        <v>0</v>
      </c>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X329" s="6"/>
      <c r="AY329" s="6">
        <f>ROUND(AX329/1000/Update!$B$31*Update!$B$27,0)</f>
        <v>0</v>
      </c>
      <c r="BA329" s="6"/>
      <c r="BB329" s="6">
        <f>ROUND(BA329/1000/Update!$B$31,0)</f>
        <v>0</v>
      </c>
      <c r="BC329" s="6"/>
      <c r="BD329" s="29">
        <f t="shared" si="172"/>
        <v>0</v>
      </c>
      <c r="BE329" s="317"/>
      <c r="BF329" s="317"/>
      <c r="BG329" s="317"/>
      <c r="BH329" s="317"/>
      <c r="BI329" s="317"/>
      <c r="BJ329" s="317"/>
      <c r="BK329" s="29">
        <f t="shared" si="149"/>
        <v>0</v>
      </c>
      <c r="BL329" s="1191"/>
      <c r="BM329" s="1191"/>
      <c r="BN329" s="1191"/>
      <c r="BO329" s="1191"/>
      <c r="BP329" s="1191"/>
      <c r="BQ329" s="1191"/>
      <c r="BR329" s="1191"/>
      <c r="BS329" s="1191"/>
      <c r="BT329" s="1191"/>
      <c r="BU329" s="1191"/>
      <c r="BV329" s="1191"/>
      <c r="BW329" s="1191"/>
      <c r="BX329" s="1191"/>
      <c r="BY329" s="1191"/>
      <c r="BZ329" s="1191"/>
      <c r="CA329" s="1191"/>
      <c r="CB329" s="1191"/>
      <c r="CC329" s="1191"/>
      <c r="CD329" s="1191"/>
      <c r="CE329" s="1191"/>
      <c r="CF329" s="1191"/>
      <c r="CG329" s="1191"/>
      <c r="CH329" s="1191"/>
      <c r="CI329" s="1191"/>
      <c r="CM329" s="1139">
        <v>0</v>
      </c>
      <c r="CN329" s="1139">
        <v>0</v>
      </c>
      <c r="CP329" s="923">
        <f t="shared" si="175"/>
        <v>0</v>
      </c>
      <c r="CZ329" s="330"/>
    </row>
    <row r="330" spans="1:104" ht="15" customHeight="1" x14ac:dyDescent="0.25">
      <c r="A330" s="684">
        <f>MAX($A$6:A329)+1</f>
        <v>330</v>
      </c>
      <c r="B330" s="3">
        <f t="shared" si="159"/>
        <v>2.1</v>
      </c>
      <c r="C330" s="11" t="str">
        <f t="shared" si="164"/>
        <v>Reconciliation between Operating Segments and CSoFP</v>
      </c>
      <c r="D330" s="11" t="s">
        <v>149</v>
      </c>
      <c r="E330" s="7" t="s">
        <v>5</v>
      </c>
      <c r="F330" s="15"/>
      <c r="G330" s="1254" t="s">
        <v>5</v>
      </c>
      <c r="H330" s="6">
        <v>0</v>
      </c>
      <c r="I330" s="1247"/>
      <c r="J330" s="1257" t="s">
        <v>286</v>
      </c>
      <c r="K330" s="251">
        <v>0</v>
      </c>
      <c r="L330" s="251">
        <v>0</v>
      </c>
      <c r="M330" s="252"/>
      <c r="N330" s="273">
        <f t="shared" si="176"/>
        <v>0</v>
      </c>
      <c r="O330" s="12"/>
      <c r="P330" s="12"/>
      <c r="Q330" s="12"/>
      <c r="R330" s="12"/>
      <c r="S330" s="6">
        <f t="shared" si="165"/>
        <v>0</v>
      </c>
      <c r="T330" s="273">
        <f t="shared" si="177"/>
        <v>0</v>
      </c>
      <c r="U330" s="6">
        <f t="shared" si="178"/>
        <v>0</v>
      </c>
      <c r="V330" s="6"/>
      <c r="W330" s="6">
        <f t="shared" si="179"/>
        <v>0</v>
      </c>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X330" s="6"/>
      <c r="AY330" s="6">
        <f>ROUND(AX330/1000/Update!$B$31*Update!$B$27,0)</f>
        <v>0</v>
      </c>
      <c r="BA330" s="6"/>
      <c r="BB330" s="6">
        <f>ROUND(BA330/1000/Update!$B$31,0)</f>
        <v>0</v>
      </c>
      <c r="BC330" s="6"/>
      <c r="BD330" s="29">
        <f t="shared" si="172"/>
        <v>0</v>
      </c>
      <c r="BE330" s="317"/>
      <c r="BF330" s="317"/>
      <c r="BG330" s="317"/>
      <c r="BH330" s="317"/>
      <c r="BI330" s="317"/>
      <c r="BJ330" s="317"/>
      <c r="BK330" s="29">
        <f t="shared" si="149"/>
        <v>0</v>
      </c>
      <c r="BL330" s="1191"/>
      <c r="BM330" s="1191"/>
      <c r="BN330" s="1191"/>
      <c r="BO330" s="1191"/>
      <c r="BP330" s="1191"/>
      <c r="BQ330" s="1191"/>
      <c r="BR330" s="1191"/>
      <c r="BS330" s="1191"/>
      <c r="BT330" s="1191"/>
      <c r="BU330" s="1191"/>
      <c r="BV330" s="1191"/>
      <c r="BW330" s="1191"/>
      <c r="BX330" s="1191"/>
      <c r="BY330" s="1191"/>
      <c r="BZ330" s="1191"/>
      <c r="CA330" s="1191"/>
      <c r="CB330" s="1191"/>
      <c r="CC330" s="1191"/>
      <c r="CD330" s="1191"/>
      <c r="CE330" s="1191"/>
      <c r="CF330" s="1191"/>
      <c r="CG330" s="1191"/>
      <c r="CH330" s="1191"/>
      <c r="CI330" s="1191"/>
      <c r="CM330" s="1139">
        <v>0</v>
      </c>
      <c r="CN330" s="1139">
        <v>0</v>
      </c>
      <c r="CP330" s="923">
        <f t="shared" si="175"/>
        <v>0</v>
      </c>
      <c r="CZ330" s="330"/>
    </row>
    <row r="331" spans="1:104" ht="15" customHeight="1" x14ac:dyDescent="0.25">
      <c r="A331" s="684">
        <f>MAX($A$6:A330)+1</f>
        <v>331</v>
      </c>
      <c r="B331" s="3">
        <f t="shared" si="159"/>
        <v>2.1</v>
      </c>
      <c r="C331" s="11" t="str">
        <f t="shared" si="164"/>
        <v>Reconciliation between Operating Segments and CSoFP</v>
      </c>
      <c r="D331" s="11" t="s">
        <v>149</v>
      </c>
      <c r="E331" s="7" t="s">
        <v>25</v>
      </c>
      <c r="F331" s="15"/>
      <c r="G331" s="1254" t="s">
        <v>348</v>
      </c>
      <c r="H331" s="6">
        <v>0</v>
      </c>
      <c r="I331" s="1247"/>
      <c r="J331" s="1257" t="s">
        <v>286</v>
      </c>
      <c r="K331" s="251">
        <v>0</v>
      </c>
      <c r="L331" s="251">
        <v>0</v>
      </c>
      <c r="M331" s="252"/>
      <c r="N331" s="273">
        <f t="shared" si="176"/>
        <v>0</v>
      </c>
      <c r="O331" s="12"/>
      <c r="P331" s="12"/>
      <c r="Q331" s="12"/>
      <c r="R331" s="12"/>
      <c r="S331" s="6">
        <f t="shared" si="165"/>
        <v>0</v>
      </c>
      <c r="T331" s="273">
        <f t="shared" si="177"/>
        <v>0</v>
      </c>
      <c r="U331" s="6">
        <f t="shared" si="178"/>
        <v>0</v>
      </c>
      <c r="V331" s="6"/>
      <c r="W331" s="6">
        <f t="shared" si="179"/>
        <v>0</v>
      </c>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X331" s="6"/>
      <c r="AY331" s="6">
        <f>ROUND(AX331/1000/Update!$B$31*Update!$B$27,0)</f>
        <v>0</v>
      </c>
      <c r="BA331" s="6"/>
      <c r="BB331" s="6">
        <f>ROUND(BA331/1000/Update!$B$31,0)</f>
        <v>0</v>
      </c>
      <c r="BC331" s="6"/>
      <c r="BD331" s="29">
        <f t="shared" si="172"/>
        <v>0</v>
      </c>
      <c r="BE331" s="317"/>
      <c r="BF331" s="317"/>
      <c r="BG331" s="317"/>
      <c r="BH331" s="317"/>
      <c r="BI331" s="317"/>
      <c r="BJ331" s="317"/>
      <c r="BK331" s="29">
        <f t="shared" si="149"/>
        <v>0</v>
      </c>
      <c r="BL331" s="1191"/>
      <c r="BM331" s="1191"/>
      <c r="BN331" s="1191"/>
      <c r="BO331" s="1191"/>
      <c r="BP331" s="1191"/>
      <c r="BQ331" s="1191"/>
      <c r="BR331" s="1191"/>
      <c r="BS331" s="1191"/>
      <c r="BT331" s="1191"/>
      <c r="BU331" s="1191"/>
      <c r="BV331" s="1191"/>
      <c r="BW331" s="1191"/>
      <c r="BX331" s="1191"/>
      <c r="BY331" s="1191"/>
      <c r="BZ331" s="1191"/>
      <c r="CA331" s="1191"/>
      <c r="CB331" s="1191"/>
      <c r="CC331" s="1191"/>
      <c r="CD331" s="1191"/>
      <c r="CE331" s="1191"/>
      <c r="CF331" s="1191"/>
      <c r="CG331" s="1191"/>
      <c r="CH331" s="1191"/>
      <c r="CI331" s="1191"/>
      <c r="CM331" s="1139">
        <v>0</v>
      </c>
      <c r="CN331" s="1139">
        <v>0</v>
      </c>
      <c r="CP331" s="923">
        <f t="shared" si="175"/>
        <v>0</v>
      </c>
      <c r="CZ331" s="330"/>
    </row>
    <row r="332" spans="1:104" ht="15" customHeight="1" x14ac:dyDescent="0.25">
      <c r="A332" s="684">
        <f>MAX($A$6:A331)+1</f>
        <v>332</v>
      </c>
      <c r="B332" s="3">
        <f t="shared" si="159"/>
        <v>2.1</v>
      </c>
      <c r="C332" s="11" t="str">
        <f t="shared" si="164"/>
        <v>Reconciliation between Operating Segments and CSoFP</v>
      </c>
      <c r="D332" s="11" t="s">
        <v>149</v>
      </c>
      <c r="E332" s="7" t="s">
        <v>27</v>
      </c>
      <c r="F332" s="15"/>
      <c r="G332" s="1254" t="s">
        <v>27</v>
      </c>
      <c r="H332" s="6">
        <v>0</v>
      </c>
      <c r="I332" s="1247"/>
      <c r="J332" s="1257" t="s">
        <v>286</v>
      </c>
      <c r="K332" s="251">
        <v>0</v>
      </c>
      <c r="L332" s="251">
        <v>0</v>
      </c>
      <c r="M332" s="252"/>
      <c r="N332" s="273">
        <f t="shared" si="176"/>
        <v>0</v>
      </c>
      <c r="O332" s="12"/>
      <c r="P332" s="12"/>
      <c r="Q332" s="12"/>
      <c r="R332" s="12"/>
      <c r="S332" s="6">
        <f t="shared" si="165"/>
        <v>0</v>
      </c>
      <c r="T332" s="273">
        <f t="shared" si="177"/>
        <v>0</v>
      </c>
      <c r="U332" s="6">
        <f t="shared" si="178"/>
        <v>0</v>
      </c>
      <c r="V332" s="6"/>
      <c r="W332" s="6">
        <f t="shared" si="179"/>
        <v>0</v>
      </c>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X332" s="6"/>
      <c r="AY332" s="6">
        <f>ROUND(AX332/1000/Update!$B$31*Update!$B$27,0)</f>
        <v>0</v>
      </c>
      <c r="BA332" s="6"/>
      <c r="BB332" s="6">
        <f>ROUND(BA332/1000/Update!$B$31,0)</f>
        <v>0</v>
      </c>
      <c r="BC332" s="6"/>
      <c r="BD332" s="29">
        <f t="shared" si="172"/>
        <v>0</v>
      </c>
      <c r="BE332" s="317"/>
      <c r="BF332" s="317"/>
      <c r="BG332" s="317"/>
      <c r="BH332" s="317"/>
      <c r="BI332" s="317"/>
      <c r="BJ332" s="317"/>
      <c r="BK332" s="29">
        <f t="shared" si="149"/>
        <v>0</v>
      </c>
      <c r="BL332" s="1191"/>
      <c r="BM332" s="1191"/>
      <c r="BN332" s="1191"/>
      <c r="BO332" s="1191"/>
      <c r="BP332" s="1191"/>
      <c r="BQ332" s="1191"/>
      <c r="BR332" s="1191"/>
      <c r="BS332" s="1191"/>
      <c r="BT332" s="1191"/>
      <c r="BU332" s="1191"/>
      <c r="BV332" s="1191"/>
      <c r="BW332" s="1191"/>
      <c r="BX332" s="1191"/>
      <c r="BY332" s="1191"/>
      <c r="BZ332" s="1191"/>
      <c r="CA332" s="1191"/>
      <c r="CB332" s="1191"/>
      <c r="CC332" s="1191"/>
      <c r="CD332" s="1191"/>
      <c r="CE332" s="1191"/>
      <c r="CF332" s="1191"/>
      <c r="CG332" s="1191"/>
      <c r="CH332" s="1191"/>
      <c r="CI332" s="1191"/>
      <c r="CM332" s="1139">
        <v>0</v>
      </c>
      <c r="CN332" s="1139">
        <v>0</v>
      </c>
      <c r="CP332" s="923">
        <f t="shared" si="175"/>
        <v>0</v>
      </c>
      <c r="CZ332" s="330"/>
    </row>
    <row r="333" spans="1:104" ht="38.25" customHeight="1" x14ac:dyDescent="0.25">
      <c r="A333" s="684">
        <f>MAX($A$6:A332)+1</f>
        <v>333</v>
      </c>
      <c r="B333" s="3">
        <f t="shared" si="159"/>
        <v>2.1</v>
      </c>
      <c r="C333" s="11" t="str">
        <f t="shared" si="164"/>
        <v>Reconciliation between Operating Segments and CSoFP</v>
      </c>
      <c r="D333" s="11" t="s">
        <v>149</v>
      </c>
      <c r="E333" s="7" t="s">
        <v>136</v>
      </c>
      <c r="F333" s="15"/>
      <c r="G333" s="1254" t="s">
        <v>349</v>
      </c>
      <c r="H333" s="6">
        <v>0</v>
      </c>
      <c r="I333" s="1247"/>
      <c r="J333" s="1257" t="s">
        <v>286</v>
      </c>
      <c r="K333" s="251">
        <v>0</v>
      </c>
      <c r="L333" s="251">
        <v>0</v>
      </c>
      <c r="M333" s="252"/>
      <c r="N333" s="273">
        <f t="shared" si="176"/>
        <v>0</v>
      </c>
      <c r="O333" s="12"/>
      <c r="P333" s="12"/>
      <c r="Q333" s="12"/>
      <c r="R333" s="12"/>
      <c r="S333" s="6">
        <f t="shared" si="165"/>
        <v>0</v>
      </c>
      <c r="T333" s="273">
        <f t="shared" si="177"/>
        <v>0</v>
      </c>
      <c r="U333" s="6">
        <f t="shared" si="178"/>
        <v>0</v>
      </c>
      <c r="V333" s="6"/>
      <c r="W333" s="6">
        <f t="shared" si="179"/>
        <v>0</v>
      </c>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X333" s="6"/>
      <c r="AY333" s="6">
        <f>ROUND(AX333/1000/Update!$B$31*Update!$B$27,0)</f>
        <v>0</v>
      </c>
      <c r="BA333" s="6"/>
      <c r="BB333" s="6">
        <f>ROUND(BA333/1000/Update!$B$31,0)</f>
        <v>0</v>
      </c>
      <c r="BC333" s="6"/>
      <c r="BD333" s="29">
        <f t="shared" si="172"/>
        <v>0</v>
      </c>
      <c r="BE333" s="317"/>
      <c r="BF333" s="317"/>
      <c r="BG333" s="317"/>
      <c r="BH333" s="317"/>
      <c r="BI333" s="317"/>
      <c r="BJ333" s="317"/>
      <c r="BK333" s="29">
        <f t="shared" si="149"/>
        <v>0</v>
      </c>
      <c r="BL333" s="1191"/>
      <c r="BM333" s="1191"/>
      <c r="BN333" s="1191"/>
      <c r="BO333" s="1191"/>
      <c r="BP333" s="1191"/>
      <c r="BQ333" s="1191"/>
      <c r="BR333" s="1191"/>
      <c r="BS333" s="1191"/>
      <c r="BT333" s="1191"/>
      <c r="BU333" s="1191"/>
      <c r="BV333" s="1191"/>
      <c r="BW333" s="1191"/>
      <c r="BX333" s="1191"/>
      <c r="BY333" s="1191"/>
      <c r="BZ333" s="1191"/>
      <c r="CA333" s="1191"/>
      <c r="CB333" s="1191"/>
      <c r="CC333" s="1191"/>
      <c r="CD333" s="1191"/>
      <c r="CE333" s="1191"/>
      <c r="CF333" s="1191"/>
      <c r="CG333" s="1191"/>
      <c r="CH333" s="1191"/>
      <c r="CI333" s="1191"/>
      <c r="CM333" s="1139">
        <v>0</v>
      </c>
      <c r="CN333" s="1139">
        <v>0</v>
      </c>
      <c r="CP333" s="923">
        <f t="shared" si="175"/>
        <v>0</v>
      </c>
      <c r="CZ333" s="330"/>
    </row>
    <row r="334" spans="1:104" ht="15" customHeight="1" x14ac:dyDescent="0.25">
      <c r="A334" s="684">
        <f>MAX($A$6:A333)+1</f>
        <v>334</v>
      </c>
      <c r="B334" s="3">
        <f t="shared" si="159"/>
        <v>2.1</v>
      </c>
      <c r="C334" s="11" t="str">
        <f t="shared" si="164"/>
        <v>Reconciliation between Operating Segments and CSoFP</v>
      </c>
      <c r="D334" s="11" t="s">
        <v>149</v>
      </c>
      <c r="E334" s="7" t="s">
        <v>137</v>
      </c>
      <c r="F334" s="15"/>
      <c r="G334" s="1254"/>
      <c r="H334" s="6">
        <v>0</v>
      </c>
      <c r="I334" s="1247"/>
      <c r="J334" s="1257" t="s">
        <v>286</v>
      </c>
      <c r="K334" s="251">
        <v>0</v>
      </c>
      <c r="L334" s="251">
        <v>0</v>
      </c>
      <c r="M334" s="252"/>
      <c r="N334" s="273">
        <f t="shared" si="176"/>
        <v>0</v>
      </c>
      <c r="O334" s="12"/>
      <c r="P334" s="12"/>
      <c r="Q334" s="12"/>
      <c r="R334" s="12"/>
      <c r="S334" s="6">
        <f t="shared" si="165"/>
        <v>0</v>
      </c>
      <c r="T334" s="273">
        <f t="shared" si="177"/>
        <v>0</v>
      </c>
      <c r="U334" s="6">
        <f t="shared" si="178"/>
        <v>0</v>
      </c>
      <c r="V334" s="6"/>
      <c r="W334" s="6">
        <f t="shared" si="179"/>
        <v>0</v>
      </c>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X334" s="6"/>
      <c r="AY334" s="6">
        <f>ROUND(AX334/1000/Update!$B$31*Update!$B$27,0)</f>
        <v>0</v>
      </c>
      <c r="BA334" s="6"/>
      <c r="BB334" s="6">
        <f>ROUND(BA334/1000/Update!$B$31,0)</f>
        <v>0</v>
      </c>
      <c r="BC334" s="6"/>
      <c r="BD334" s="29">
        <f t="shared" si="172"/>
        <v>0</v>
      </c>
      <c r="BE334" s="317"/>
      <c r="BF334" s="317"/>
      <c r="BG334" s="317"/>
      <c r="BH334" s="317"/>
      <c r="BI334" s="317"/>
      <c r="BJ334" s="317"/>
      <c r="BK334" s="29">
        <f t="shared" si="149"/>
        <v>0</v>
      </c>
      <c r="BL334" s="1191"/>
      <c r="BM334" s="1191"/>
      <c r="BN334" s="1191"/>
      <c r="BO334" s="1191"/>
      <c r="BP334" s="1191"/>
      <c r="BQ334" s="1191"/>
      <c r="BR334" s="1191"/>
      <c r="BS334" s="1191"/>
      <c r="BT334" s="1191"/>
      <c r="BU334" s="1191"/>
      <c r="BV334" s="1191"/>
      <c r="BW334" s="1191"/>
      <c r="BX334" s="1191"/>
      <c r="BY334" s="1191"/>
      <c r="BZ334" s="1191"/>
      <c r="CA334" s="1191"/>
      <c r="CB334" s="1191"/>
      <c r="CC334" s="1191"/>
      <c r="CD334" s="1191"/>
      <c r="CE334" s="1191"/>
      <c r="CF334" s="1191"/>
      <c r="CG334" s="1191"/>
      <c r="CH334" s="1191"/>
      <c r="CI334" s="1191"/>
      <c r="CM334" s="1139">
        <v>0</v>
      </c>
      <c r="CN334" s="1139">
        <v>0</v>
      </c>
      <c r="CP334" s="923">
        <f t="shared" si="175"/>
        <v>0</v>
      </c>
      <c r="CZ334" s="330"/>
    </row>
    <row r="335" spans="1:104" ht="15" customHeight="1" x14ac:dyDescent="0.25">
      <c r="A335" s="684">
        <f>MAX($A$6:A334)+1</f>
        <v>335</v>
      </c>
      <c r="B335" s="3">
        <f t="shared" si="159"/>
        <v>2.1</v>
      </c>
      <c r="C335" s="11" t="str">
        <f t="shared" si="164"/>
        <v>Reconciliation between Operating Segments and CSoFP</v>
      </c>
      <c r="D335" s="11" t="s">
        <v>149</v>
      </c>
      <c r="E335" s="7" t="s">
        <v>31</v>
      </c>
      <c r="F335" s="15"/>
      <c r="G335" s="1254" t="s">
        <v>31</v>
      </c>
      <c r="H335" s="6">
        <v>0</v>
      </c>
      <c r="I335" s="1247"/>
      <c r="J335" s="1257" t="s">
        <v>286</v>
      </c>
      <c r="K335" s="251">
        <v>0</v>
      </c>
      <c r="L335" s="251">
        <v>0</v>
      </c>
      <c r="M335" s="252"/>
      <c r="N335" s="273">
        <f t="shared" si="176"/>
        <v>0</v>
      </c>
      <c r="O335" s="12"/>
      <c r="P335" s="12"/>
      <c r="Q335" s="12"/>
      <c r="R335" s="12"/>
      <c r="S335" s="6">
        <f t="shared" si="165"/>
        <v>0</v>
      </c>
      <c r="T335" s="273">
        <f t="shared" si="177"/>
        <v>0</v>
      </c>
      <c r="U335" s="6">
        <f t="shared" si="178"/>
        <v>0</v>
      </c>
      <c r="V335" s="6"/>
      <c r="W335" s="6">
        <f t="shared" si="179"/>
        <v>0</v>
      </c>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X335" s="6"/>
      <c r="AY335" s="6">
        <f>ROUND(AX335/1000/Update!$B$31*Update!$B$27,0)</f>
        <v>0</v>
      </c>
      <c r="BA335" s="6"/>
      <c r="BB335" s="6">
        <f>ROUND(BA335/1000/Update!$B$31,0)</f>
        <v>0</v>
      </c>
      <c r="BC335" s="6"/>
      <c r="BD335" s="29">
        <f t="shared" si="172"/>
        <v>0</v>
      </c>
      <c r="BE335" s="317"/>
      <c r="BF335" s="317"/>
      <c r="BG335" s="317"/>
      <c r="BH335" s="317"/>
      <c r="BI335" s="317"/>
      <c r="BJ335" s="317"/>
      <c r="BK335" s="29">
        <f t="shared" si="149"/>
        <v>0</v>
      </c>
      <c r="BL335" s="1191"/>
      <c r="BM335" s="1191"/>
      <c r="BN335" s="1191"/>
      <c r="BO335" s="1191"/>
      <c r="BP335" s="1191"/>
      <c r="BQ335" s="1191"/>
      <c r="BR335" s="1191"/>
      <c r="BS335" s="1191"/>
      <c r="BT335" s="1191"/>
      <c r="BU335" s="1191"/>
      <c r="BV335" s="1191"/>
      <c r="BW335" s="1191"/>
      <c r="BX335" s="1191"/>
      <c r="BY335" s="1191"/>
      <c r="BZ335" s="1191"/>
      <c r="CA335" s="1191"/>
      <c r="CB335" s="1191"/>
      <c r="CC335" s="1191"/>
      <c r="CD335" s="1191"/>
      <c r="CE335" s="1191"/>
      <c r="CF335" s="1191"/>
      <c r="CG335" s="1191"/>
      <c r="CH335" s="1191"/>
      <c r="CI335" s="1191"/>
      <c r="CM335" s="1139">
        <v>0</v>
      </c>
      <c r="CN335" s="1139">
        <v>0</v>
      </c>
      <c r="CP335" s="923">
        <f t="shared" si="175"/>
        <v>0</v>
      </c>
      <c r="CZ335" s="330"/>
    </row>
    <row r="336" spans="1:104" ht="30" customHeight="1" x14ac:dyDescent="0.25">
      <c r="A336" s="684">
        <f>MAX($A$6:A335)+1</f>
        <v>336</v>
      </c>
      <c r="B336" s="3">
        <f t="shared" si="159"/>
        <v>2.1</v>
      </c>
      <c r="C336" s="11" t="str">
        <f t="shared" si="164"/>
        <v>Reconciliation between Operating Segments and CSoFP</v>
      </c>
      <c r="D336" s="11" t="s">
        <v>149</v>
      </c>
      <c r="E336" s="7" t="s">
        <v>138</v>
      </c>
      <c r="F336" s="15"/>
      <c r="G336" s="1254" t="s">
        <v>138</v>
      </c>
      <c r="H336" s="6">
        <v>0</v>
      </c>
      <c r="I336" s="1247"/>
      <c r="J336" s="1257" t="s">
        <v>286</v>
      </c>
      <c r="K336" s="251">
        <v>0</v>
      </c>
      <c r="L336" s="251">
        <v>0</v>
      </c>
      <c r="M336" s="252"/>
      <c r="N336" s="273">
        <f t="shared" si="176"/>
        <v>0</v>
      </c>
      <c r="O336" s="12"/>
      <c r="P336" s="12"/>
      <c r="Q336" s="12"/>
      <c r="R336" s="12"/>
      <c r="S336" s="6">
        <f t="shared" si="165"/>
        <v>0</v>
      </c>
      <c r="T336" s="273">
        <f t="shared" si="177"/>
        <v>0</v>
      </c>
      <c r="U336" s="6">
        <f t="shared" si="178"/>
        <v>0</v>
      </c>
      <c r="V336" s="6"/>
      <c r="W336" s="6">
        <f t="shared" si="179"/>
        <v>0</v>
      </c>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X336" s="6"/>
      <c r="AY336" s="6">
        <f>ROUND(AX336/1000/Update!$B$31*Update!$B$27,0)</f>
        <v>0</v>
      </c>
      <c r="BA336" s="6"/>
      <c r="BB336" s="6">
        <f>ROUND(BA336/1000/Update!$B$31,0)</f>
        <v>0</v>
      </c>
      <c r="BC336" s="6"/>
      <c r="BD336" s="29">
        <f t="shared" si="172"/>
        <v>0</v>
      </c>
      <c r="BE336" s="317"/>
      <c r="BF336" s="317"/>
      <c r="BG336" s="317"/>
      <c r="BH336" s="317"/>
      <c r="BI336" s="317"/>
      <c r="BJ336" s="317"/>
      <c r="BK336" s="29">
        <f t="shared" si="149"/>
        <v>0</v>
      </c>
      <c r="BL336" s="1191"/>
      <c r="BM336" s="1191"/>
      <c r="BN336" s="1191"/>
      <c r="BO336" s="1191"/>
      <c r="BP336" s="1191"/>
      <c r="BQ336" s="1191"/>
      <c r="BR336" s="1191"/>
      <c r="BS336" s="1191"/>
      <c r="BT336" s="1191"/>
      <c r="BU336" s="1191"/>
      <c r="BV336" s="1191"/>
      <c r="BW336" s="1191"/>
      <c r="BX336" s="1191"/>
      <c r="BY336" s="1191"/>
      <c r="BZ336" s="1191"/>
      <c r="CA336" s="1191"/>
      <c r="CB336" s="1191"/>
      <c r="CC336" s="1191"/>
      <c r="CD336" s="1191"/>
      <c r="CE336" s="1191"/>
      <c r="CF336" s="1191"/>
      <c r="CG336" s="1191"/>
      <c r="CH336" s="1191"/>
      <c r="CI336" s="1191"/>
      <c r="CM336" s="1139">
        <v>0</v>
      </c>
      <c r="CN336" s="1139">
        <v>0</v>
      </c>
      <c r="CP336" s="923">
        <f t="shared" si="175"/>
        <v>0</v>
      </c>
      <c r="CZ336" s="330"/>
    </row>
    <row r="337" spans="1:104" ht="25.5" customHeight="1" x14ac:dyDescent="0.25">
      <c r="A337" s="684">
        <f>MAX($A$6:A336)+1</f>
        <v>337</v>
      </c>
      <c r="B337" s="3">
        <f t="shared" si="159"/>
        <v>2.1</v>
      </c>
      <c r="C337" s="11" t="str">
        <f t="shared" si="164"/>
        <v>Reconciliation between Operating Segments and CSoFP</v>
      </c>
      <c r="D337" s="11" t="s">
        <v>149</v>
      </c>
      <c r="E337" s="7" t="s">
        <v>139</v>
      </c>
      <c r="F337" s="15"/>
      <c r="G337" s="1254" t="s">
        <v>139</v>
      </c>
      <c r="H337" s="6">
        <v>0</v>
      </c>
      <c r="I337" s="1247"/>
      <c r="J337" s="1257" t="s">
        <v>286</v>
      </c>
      <c r="K337" s="251">
        <v>0</v>
      </c>
      <c r="L337" s="251">
        <v>0</v>
      </c>
      <c r="M337" s="252"/>
      <c r="N337" s="273">
        <f t="shared" si="176"/>
        <v>0</v>
      </c>
      <c r="O337" s="12"/>
      <c r="P337" s="12"/>
      <c r="Q337" s="12"/>
      <c r="R337" s="12"/>
      <c r="S337" s="6">
        <f t="shared" si="165"/>
        <v>0</v>
      </c>
      <c r="T337" s="273">
        <f t="shared" si="177"/>
        <v>0</v>
      </c>
      <c r="U337" s="6">
        <f t="shared" si="178"/>
        <v>0</v>
      </c>
      <c r="V337" s="6"/>
      <c r="W337" s="6">
        <f t="shared" si="179"/>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X337" s="6"/>
      <c r="AY337" s="6">
        <f>ROUND(AX337/1000/Update!$B$31*Update!$B$27,0)</f>
        <v>0</v>
      </c>
      <c r="BA337" s="6"/>
      <c r="BB337" s="6">
        <f>ROUND(BA337/1000/Update!$B$31,0)</f>
        <v>0</v>
      </c>
      <c r="BC337" s="6"/>
      <c r="BD337" s="29">
        <f t="shared" si="172"/>
        <v>0</v>
      </c>
      <c r="BE337" s="317"/>
      <c r="BF337" s="317"/>
      <c r="BG337" s="317"/>
      <c r="BH337" s="317"/>
      <c r="BI337" s="317"/>
      <c r="BJ337" s="317"/>
      <c r="BK337" s="29">
        <f t="shared" ref="BK337:BK402" si="180">ROUND(SUM(BO337:CI337),0)</f>
        <v>0</v>
      </c>
      <c r="BL337" s="1191"/>
      <c r="BM337" s="1191"/>
      <c r="BN337" s="1191"/>
      <c r="BO337" s="1191"/>
      <c r="BP337" s="1191"/>
      <c r="BQ337" s="1191"/>
      <c r="BR337" s="1191"/>
      <c r="BS337" s="1191"/>
      <c r="BT337" s="1191"/>
      <c r="BU337" s="1191"/>
      <c r="BV337" s="1191"/>
      <c r="BW337" s="1191"/>
      <c r="BX337" s="1191"/>
      <c r="BY337" s="1191"/>
      <c r="BZ337" s="1191"/>
      <c r="CA337" s="1191"/>
      <c r="CB337" s="1191"/>
      <c r="CC337" s="1191"/>
      <c r="CD337" s="1191"/>
      <c r="CE337" s="1191"/>
      <c r="CF337" s="1191"/>
      <c r="CG337" s="1191"/>
      <c r="CH337" s="1191"/>
      <c r="CI337" s="1191"/>
      <c r="CM337" s="1139">
        <v>0</v>
      </c>
      <c r="CN337" s="1139">
        <v>0</v>
      </c>
      <c r="CP337" s="923">
        <f t="shared" si="175"/>
        <v>0</v>
      </c>
      <c r="CZ337" s="330"/>
    </row>
    <row r="338" spans="1:104" ht="15" customHeight="1" x14ac:dyDescent="0.25">
      <c r="A338" s="684">
        <f>MAX($A$6:A337)+1</f>
        <v>338</v>
      </c>
      <c r="B338" s="3">
        <f t="shared" si="159"/>
        <v>2.1</v>
      </c>
      <c r="C338" s="11" t="str">
        <f t="shared" si="164"/>
        <v>Reconciliation between Operating Segments and CSoFP</v>
      </c>
      <c r="D338" s="11" t="s">
        <v>149</v>
      </c>
      <c r="E338" s="7" t="s">
        <v>2446</v>
      </c>
      <c r="F338" s="15"/>
      <c r="G338" s="1254" t="s">
        <v>2446</v>
      </c>
      <c r="H338" s="6">
        <v>0</v>
      </c>
      <c r="I338" s="1247"/>
      <c r="J338" s="1257" t="s">
        <v>286</v>
      </c>
      <c r="K338" s="251">
        <v>0</v>
      </c>
      <c r="L338" s="251">
        <v>0</v>
      </c>
      <c r="M338" s="252"/>
      <c r="N338" s="273">
        <f t="shared" si="176"/>
        <v>0</v>
      </c>
      <c r="O338" s="12"/>
      <c r="P338" s="12"/>
      <c r="Q338" s="12"/>
      <c r="R338" s="12"/>
      <c r="S338" s="6">
        <f t="shared" si="165"/>
        <v>0</v>
      </c>
      <c r="T338" s="273">
        <f t="shared" si="177"/>
        <v>0</v>
      </c>
      <c r="U338" s="6">
        <f t="shared" si="178"/>
        <v>0</v>
      </c>
      <c r="V338" s="6"/>
      <c r="W338" s="6">
        <f t="shared" si="179"/>
        <v>0</v>
      </c>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X338" s="6"/>
      <c r="AY338" s="6">
        <f>ROUND(AX338/1000/Update!$B$31*Update!$B$27,0)</f>
        <v>0</v>
      </c>
      <c r="BA338" s="6"/>
      <c r="BB338" s="6">
        <f>ROUND(BA338/1000/Update!$B$31,0)</f>
        <v>0</v>
      </c>
      <c r="BC338" s="6"/>
      <c r="BD338" s="29">
        <f t="shared" si="172"/>
        <v>0</v>
      </c>
      <c r="BE338" s="317"/>
      <c r="BF338" s="317"/>
      <c r="BG338" s="317"/>
      <c r="BH338" s="317"/>
      <c r="BI338" s="317"/>
      <c r="BJ338" s="317"/>
      <c r="BK338" s="29">
        <f t="shared" si="180"/>
        <v>0</v>
      </c>
      <c r="BL338" s="1191"/>
      <c r="BM338" s="1191"/>
      <c r="BN338" s="1191"/>
      <c r="BO338" s="1191"/>
      <c r="BP338" s="1191"/>
      <c r="BQ338" s="1191"/>
      <c r="BR338" s="1191"/>
      <c r="BS338" s="1191"/>
      <c r="BT338" s="1191"/>
      <c r="BU338" s="1191"/>
      <c r="BV338" s="1191"/>
      <c r="BW338" s="1191"/>
      <c r="BX338" s="1191"/>
      <c r="BY338" s="1191"/>
      <c r="BZ338" s="1191"/>
      <c r="CA338" s="1191"/>
      <c r="CB338" s="1191"/>
      <c r="CC338" s="1191"/>
      <c r="CD338" s="1191"/>
      <c r="CE338" s="1191"/>
      <c r="CF338" s="1191"/>
      <c r="CG338" s="1191"/>
      <c r="CH338" s="1191"/>
      <c r="CI338" s="1191"/>
      <c r="CM338" s="1139">
        <v>0</v>
      </c>
      <c r="CN338" s="1139">
        <v>0</v>
      </c>
      <c r="CP338" s="923">
        <f t="shared" si="175"/>
        <v>0</v>
      </c>
      <c r="CZ338" s="330"/>
    </row>
    <row r="339" spans="1:104" ht="15" customHeight="1" x14ac:dyDescent="0.25">
      <c r="A339" s="684">
        <f>MAX($A$6:A338)+1</f>
        <v>339</v>
      </c>
      <c r="B339" s="3">
        <f t="shared" si="159"/>
        <v>2.1</v>
      </c>
      <c r="C339" s="11" t="str">
        <f t="shared" si="164"/>
        <v>Reconciliation between Operating Segments and CSoFP</v>
      </c>
      <c r="D339" s="11" t="s">
        <v>149</v>
      </c>
      <c r="E339" s="7" t="s">
        <v>140</v>
      </c>
      <c r="F339" s="15"/>
      <c r="G339" s="1254" t="s">
        <v>140</v>
      </c>
      <c r="H339" s="6">
        <v>0</v>
      </c>
      <c r="I339" s="1247"/>
      <c r="J339" s="1257" t="s">
        <v>286</v>
      </c>
      <c r="K339" s="251">
        <v>0</v>
      </c>
      <c r="L339" s="251">
        <v>0</v>
      </c>
      <c r="M339" s="252"/>
      <c r="N339" s="273">
        <f t="shared" si="176"/>
        <v>0</v>
      </c>
      <c r="O339" s="12"/>
      <c r="P339" s="12"/>
      <c r="Q339" s="12"/>
      <c r="R339" s="12"/>
      <c r="S339" s="6">
        <f t="shared" si="165"/>
        <v>0</v>
      </c>
      <c r="T339" s="273">
        <f t="shared" si="177"/>
        <v>0</v>
      </c>
      <c r="U339" s="6">
        <f t="shared" si="178"/>
        <v>0</v>
      </c>
      <c r="V339" s="6"/>
      <c r="W339" s="6">
        <f t="shared" si="179"/>
        <v>0</v>
      </c>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X339" s="6"/>
      <c r="AY339" s="6">
        <f>ROUND(AX339/1000/Update!$B$31*Update!$B$27,0)</f>
        <v>0</v>
      </c>
      <c r="BA339" s="6"/>
      <c r="BB339" s="6">
        <f>ROUND(BA339/1000/Update!$B$31,0)</f>
        <v>0</v>
      </c>
      <c r="BC339" s="6"/>
      <c r="BD339" s="29">
        <f t="shared" si="172"/>
        <v>0</v>
      </c>
      <c r="BE339" s="317"/>
      <c r="BF339" s="317"/>
      <c r="BG339" s="317"/>
      <c r="BH339" s="317"/>
      <c r="BI339" s="317"/>
      <c r="BJ339" s="317"/>
      <c r="BK339" s="29">
        <f t="shared" si="180"/>
        <v>0</v>
      </c>
      <c r="BL339" s="1191"/>
      <c r="BM339" s="1191"/>
      <c r="BN339" s="1191"/>
      <c r="BO339" s="1191"/>
      <c r="BP339" s="1191"/>
      <c r="BQ339" s="1191"/>
      <c r="BR339" s="1191"/>
      <c r="BS339" s="1191"/>
      <c r="BT339" s="1191"/>
      <c r="BU339" s="1191"/>
      <c r="BV339" s="1191"/>
      <c r="BW339" s="1191"/>
      <c r="BX339" s="1191"/>
      <c r="BY339" s="1191"/>
      <c r="BZ339" s="1191"/>
      <c r="CA339" s="1191"/>
      <c r="CB339" s="1191"/>
      <c r="CC339" s="1191"/>
      <c r="CD339" s="1191"/>
      <c r="CE339" s="1191"/>
      <c r="CF339" s="1191"/>
      <c r="CG339" s="1191"/>
      <c r="CH339" s="1191"/>
      <c r="CI339" s="1191"/>
      <c r="CM339" s="1139">
        <v>0</v>
      </c>
      <c r="CN339" s="1139">
        <v>0</v>
      </c>
      <c r="CP339" s="923">
        <f t="shared" si="175"/>
        <v>0</v>
      </c>
      <c r="CZ339" s="330"/>
    </row>
    <row r="340" spans="1:104" ht="15" customHeight="1" x14ac:dyDescent="0.25">
      <c r="A340" s="684">
        <f>MAX($A$6:A339)+1</f>
        <v>340</v>
      </c>
      <c r="B340" s="3">
        <f t="shared" si="159"/>
        <v>2.1</v>
      </c>
      <c r="C340" s="11" t="str">
        <f t="shared" si="164"/>
        <v>Reconciliation between Operating Segments and CSoFP</v>
      </c>
      <c r="D340" s="11" t="s">
        <v>149</v>
      </c>
      <c r="E340" s="7" t="s">
        <v>141</v>
      </c>
      <c r="F340" s="15"/>
      <c r="G340" s="1254" t="s">
        <v>141</v>
      </c>
      <c r="H340" s="6">
        <v>0</v>
      </c>
      <c r="I340" s="1247"/>
      <c r="J340" s="1257" t="s">
        <v>286</v>
      </c>
      <c r="K340" s="251">
        <v>0</v>
      </c>
      <c r="L340" s="251">
        <v>0</v>
      </c>
      <c r="M340" s="252"/>
      <c r="N340" s="273">
        <f t="shared" si="176"/>
        <v>0</v>
      </c>
      <c r="O340" s="12"/>
      <c r="P340" s="12"/>
      <c r="Q340" s="12"/>
      <c r="R340" s="12"/>
      <c r="S340" s="6">
        <f t="shared" si="165"/>
        <v>0</v>
      </c>
      <c r="T340" s="273">
        <f t="shared" si="177"/>
        <v>0</v>
      </c>
      <c r="U340" s="6">
        <f t="shared" si="178"/>
        <v>0</v>
      </c>
      <c r="V340" s="6"/>
      <c r="W340" s="6">
        <f t="shared" si="179"/>
        <v>0</v>
      </c>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X340" s="6"/>
      <c r="AY340" s="6">
        <f>ROUND(AX340/1000/Update!$B$31*Update!$B$27,0)</f>
        <v>0</v>
      </c>
      <c r="BA340" s="6"/>
      <c r="BB340" s="6">
        <f>ROUND(BA340/1000/Update!$B$31,0)</f>
        <v>0</v>
      </c>
      <c r="BC340" s="6"/>
      <c r="BD340" s="29">
        <f t="shared" si="172"/>
        <v>0</v>
      </c>
      <c r="BE340" s="317"/>
      <c r="BF340" s="317"/>
      <c r="BG340" s="317"/>
      <c r="BH340" s="317"/>
      <c r="BI340" s="317"/>
      <c r="BJ340" s="317"/>
      <c r="BK340" s="29">
        <f t="shared" si="180"/>
        <v>0</v>
      </c>
      <c r="BL340" s="1191"/>
      <c r="BM340" s="1191"/>
      <c r="BN340" s="1191"/>
      <c r="BO340" s="1191"/>
      <c r="BP340" s="1191"/>
      <c r="BQ340" s="1191"/>
      <c r="BR340" s="1191"/>
      <c r="BS340" s="1191"/>
      <c r="BT340" s="1191"/>
      <c r="BU340" s="1191"/>
      <c r="BV340" s="1191"/>
      <c r="BW340" s="1191"/>
      <c r="BX340" s="1191"/>
      <c r="BY340" s="1191"/>
      <c r="BZ340" s="1191"/>
      <c r="CA340" s="1191"/>
      <c r="CB340" s="1191"/>
      <c r="CC340" s="1191"/>
      <c r="CD340" s="1191"/>
      <c r="CE340" s="1191"/>
      <c r="CF340" s="1191"/>
      <c r="CG340" s="1191"/>
      <c r="CH340" s="1191"/>
      <c r="CI340" s="1191"/>
      <c r="CM340" s="1139">
        <v>0</v>
      </c>
      <c r="CN340" s="1139">
        <v>0</v>
      </c>
      <c r="CP340" s="923">
        <f t="shared" si="175"/>
        <v>0</v>
      </c>
      <c r="CZ340" s="330"/>
    </row>
    <row r="341" spans="1:104" ht="15" customHeight="1" x14ac:dyDescent="0.25">
      <c r="A341" s="684">
        <f>MAX($A$6:A340)+1</f>
        <v>341</v>
      </c>
      <c r="B341" s="3">
        <f t="shared" si="159"/>
        <v>2.1</v>
      </c>
      <c r="C341" s="11" t="str">
        <f t="shared" si="164"/>
        <v>Reconciliation between Operating Segments and CSoFP</v>
      </c>
      <c r="D341" s="11" t="s">
        <v>149</v>
      </c>
      <c r="E341" s="7" t="s">
        <v>142</v>
      </c>
      <c r="F341" s="15"/>
      <c r="G341" s="1254" t="s">
        <v>142</v>
      </c>
      <c r="H341" s="6">
        <v>2064443</v>
      </c>
      <c r="I341" s="1247"/>
      <c r="J341" s="1257" t="s">
        <v>286</v>
      </c>
      <c r="K341" s="251">
        <v>0</v>
      </c>
      <c r="L341" s="251">
        <v>0</v>
      </c>
      <c r="M341" s="252"/>
      <c r="N341" s="273">
        <f t="shared" si="176"/>
        <v>2064443</v>
      </c>
      <c r="O341" s="12"/>
      <c r="P341" s="12"/>
      <c r="Q341" s="12"/>
      <c r="R341" s="12"/>
      <c r="S341" s="6">
        <f t="shared" si="165"/>
        <v>0</v>
      </c>
      <c r="T341" s="273">
        <f t="shared" si="177"/>
        <v>2064443</v>
      </c>
      <c r="U341" s="6">
        <f t="shared" si="178"/>
        <v>0</v>
      </c>
      <c r="V341" s="6"/>
      <c r="W341" s="6">
        <f t="shared" si="179"/>
        <v>2064443</v>
      </c>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X341" s="6"/>
      <c r="AY341" s="6">
        <f>ROUND(AX341/1000/Update!$B$31*Update!$B$27,0)</f>
        <v>0</v>
      </c>
      <c r="BA341" s="6"/>
      <c r="BB341" s="6">
        <f>ROUND(BA341/1000/Update!$B$31,0)</f>
        <v>0</v>
      </c>
      <c r="BC341" s="6"/>
      <c r="BD341" s="29">
        <f t="shared" si="172"/>
        <v>0</v>
      </c>
      <c r="BE341" s="317"/>
      <c r="BF341" s="317"/>
      <c r="BG341" s="317"/>
      <c r="BH341" s="317"/>
      <c r="BI341" s="317"/>
      <c r="BJ341" s="317"/>
      <c r="BK341" s="29">
        <f t="shared" si="180"/>
        <v>0</v>
      </c>
      <c r="BL341" s="1191"/>
      <c r="BM341" s="1191"/>
      <c r="BN341" s="1191"/>
      <c r="BO341" s="1191"/>
      <c r="BP341" s="1191"/>
      <c r="BQ341" s="1191"/>
      <c r="BR341" s="1191"/>
      <c r="BS341" s="1191"/>
      <c r="BT341" s="1191"/>
      <c r="BU341" s="1191"/>
      <c r="BV341" s="1191"/>
      <c r="BW341" s="1191"/>
      <c r="BX341" s="1191"/>
      <c r="BY341" s="1191"/>
      <c r="BZ341" s="1191"/>
      <c r="CA341" s="1191"/>
      <c r="CB341" s="1191"/>
      <c r="CC341" s="1191"/>
      <c r="CD341" s="1191"/>
      <c r="CE341" s="1191"/>
      <c r="CF341" s="1191"/>
      <c r="CG341" s="1191"/>
      <c r="CH341" s="1191"/>
      <c r="CI341" s="1191"/>
      <c r="CM341" s="1139">
        <v>0</v>
      </c>
      <c r="CN341" s="1139">
        <v>0</v>
      </c>
      <c r="CP341" s="923">
        <f t="shared" si="175"/>
        <v>0</v>
      </c>
      <c r="CZ341" s="330"/>
    </row>
    <row r="342" spans="1:104" ht="15" customHeight="1" x14ac:dyDescent="0.25">
      <c r="A342" s="701">
        <f>MAX($A$6:A341)+1</f>
        <v>342</v>
      </c>
      <c r="B342" s="1291">
        <f t="shared" si="159"/>
        <v>2.1</v>
      </c>
      <c r="C342" s="18" t="str">
        <f t="shared" si="164"/>
        <v>Reconciliation between Operating Segments and CSoFP</v>
      </c>
      <c r="D342" s="18" t="s">
        <v>149</v>
      </c>
      <c r="E342" s="19" t="s">
        <v>146</v>
      </c>
      <c r="F342" s="20"/>
      <c r="G342" s="28"/>
      <c r="H342" s="14">
        <f>SUM(H328:H341)</f>
        <v>2064443</v>
      </c>
      <c r="I342" s="14"/>
      <c r="J342" s="1258" t="s">
        <v>286</v>
      </c>
      <c r="K342" s="256">
        <v>0</v>
      </c>
      <c r="L342" s="256">
        <v>0</v>
      </c>
      <c r="M342" s="21"/>
      <c r="N342" s="14">
        <f>SUM(O342:AU342)-T342</f>
        <v>2064443</v>
      </c>
      <c r="O342" s="14">
        <f t="shared" ref="O342:W342" si="181">SUM(O328:O341)</f>
        <v>0</v>
      </c>
      <c r="P342" s="14">
        <f t="shared" si="181"/>
        <v>0</v>
      </c>
      <c r="Q342" s="14">
        <f t="shared" si="181"/>
        <v>0</v>
      </c>
      <c r="R342" s="14">
        <f t="shared" si="181"/>
        <v>0</v>
      </c>
      <c r="S342" s="14">
        <f t="shared" si="165"/>
        <v>0</v>
      </c>
      <c r="T342" s="14">
        <f t="shared" si="181"/>
        <v>2064443</v>
      </c>
      <c r="U342" s="14">
        <f t="shared" si="181"/>
        <v>0</v>
      </c>
      <c r="V342" s="14">
        <f t="shared" si="181"/>
        <v>0</v>
      </c>
      <c r="W342" s="14">
        <f t="shared" si="181"/>
        <v>2064443</v>
      </c>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2"/>
      <c r="AX342" s="14">
        <f>SUM(AX328:AX341)</f>
        <v>0</v>
      </c>
      <c r="AY342" s="14">
        <f>ROUND(AX342/1000/Update!$B$31*Update!$B$27,0)</f>
        <v>0</v>
      </c>
      <c r="AZ342" s="2"/>
      <c r="BA342" s="14">
        <f>SUM(BA328:BA341)</f>
        <v>0</v>
      </c>
      <c r="BB342" s="14">
        <f>ROUND(BA342/1000/Update!$B$31,0)</f>
        <v>0</v>
      </c>
      <c r="BC342" s="14"/>
      <c r="BD342" s="14">
        <f t="shared" si="172"/>
        <v>0</v>
      </c>
      <c r="BE342" s="318">
        <f t="shared" ref="BE342:BJ342" si="182">SUM(BE328:BE341)</f>
        <v>0</v>
      </c>
      <c r="BF342" s="318">
        <f t="shared" si="182"/>
        <v>0</v>
      </c>
      <c r="BG342" s="318">
        <f t="shared" si="182"/>
        <v>0</v>
      </c>
      <c r="BH342" s="318">
        <f t="shared" si="182"/>
        <v>0</v>
      </c>
      <c r="BI342" s="318">
        <f t="shared" si="182"/>
        <v>0</v>
      </c>
      <c r="BJ342" s="318">
        <f t="shared" si="182"/>
        <v>0</v>
      </c>
      <c r="BK342" s="14">
        <f t="shared" si="180"/>
        <v>0</v>
      </c>
      <c r="BL342" s="318"/>
      <c r="BM342" s="318"/>
      <c r="BN342" s="318"/>
      <c r="BO342" s="318"/>
      <c r="BP342" s="318"/>
      <c r="BQ342" s="318"/>
      <c r="BR342" s="318"/>
      <c r="BS342" s="318"/>
      <c r="BT342" s="318"/>
      <c r="BU342" s="318"/>
      <c r="BV342" s="318"/>
      <c r="BW342" s="318"/>
      <c r="BX342" s="318"/>
      <c r="BY342" s="318"/>
      <c r="BZ342" s="318"/>
      <c r="CA342" s="318"/>
      <c r="CB342" s="318"/>
      <c r="CC342" s="318"/>
      <c r="CD342" s="318"/>
      <c r="CE342" s="318"/>
      <c r="CF342" s="318"/>
      <c r="CG342" s="318"/>
      <c r="CH342" s="318"/>
      <c r="CI342" s="318"/>
      <c r="CJ342" s="2"/>
      <c r="CK342" s="2"/>
      <c r="CM342" s="1140">
        <v>0</v>
      </c>
      <c r="CN342" s="1140">
        <v>0</v>
      </c>
      <c r="CP342" s="923">
        <f t="shared" si="175"/>
        <v>0</v>
      </c>
      <c r="CZ342" s="330"/>
    </row>
    <row r="343" spans="1:104" ht="15" customHeight="1" x14ac:dyDescent="0.25">
      <c r="A343" s="684">
        <f>MAX($A$6:A342)+1</f>
        <v>343</v>
      </c>
      <c r="B343" s="3">
        <f>B342</f>
        <v>2.1</v>
      </c>
      <c r="C343" s="11" t="str">
        <f>C342</f>
        <v>Reconciliation between Operating Segments and CSoFP</v>
      </c>
      <c r="D343" s="11" t="s">
        <v>150</v>
      </c>
      <c r="E343" s="13" t="s">
        <v>134</v>
      </c>
      <c r="F343" s="15"/>
      <c r="G343" s="1254"/>
      <c r="H343" s="6">
        <v>0</v>
      </c>
      <c r="I343" s="1247"/>
      <c r="J343" s="1257" t="s">
        <v>286</v>
      </c>
      <c r="K343" s="251">
        <v>0</v>
      </c>
      <c r="L343" s="251">
        <v>0</v>
      </c>
      <c r="M343" s="252"/>
      <c r="N343" s="273">
        <f>ROUND(SUM(O343:S343)+T343+SUM(Z343:AV343),0)</f>
        <v>0</v>
      </c>
      <c r="O343" s="12"/>
      <c r="P343" s="12"/>
      <c r="Q343" s="12"/>
      <c r="R343" s="12"/>
      <c r="S343" s="6">
        <f t="shared" si="165"/>
        <v>0</v>
      </c>
      <c r="T343" s="273">
        <f>ROUND(SUM(U343:Y343),0)</f>
        <v>0</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X343" s="6"/>
      <c r="AY343" s="6">
        <f>ROUND(AX343/1000/Update!$B$31*Update!$B$27,0)</f>
        <v>0</v>
      </c>
      <c r="BA343" s="6"/>
      <c r="BB343" s="6">
        <f>ROUND(BA343/1000/Update!$B$31,0)</f>
        <v>0</v>
      </c>
      <c r="BC343" s="6"/>
      <c r="BD343" s="29">
        <f t="shared" si="172"/>
        <v>0</v>
      </c>
      <c r="BE343" s="1191"/>
      <c r="BF343" s="1191"/>
      <c r="BG343" s="1191"/>
      <c r="BH343" s="1191"/>
      <c r="BI343" s="1191"/>
      <c r="BJ343" s="1191"/>
      <c r="BK343" s="29">
        <f t="shared" si="180"/>
        <v>0</v>
      </c>
      <c r="BL343" s="1191"/>
      <c r="BM343" s="322"/>
      <c r="BN343" s="322"/>
      <c r="BO343" s="322"/>
      <c r="BP343" s="322"/>
      <c r="BQ343" s="322"/>
      <c r="BR343" s="322"/>
      <c r="BS343" s="322"/>
      <c r="BT343" s="322"/>
      <c r="BU343" s="322"/>
      <c r="BV343" s="322"/>
      <c r="BW343" s="322"/>
      <c r="BX343" s="322"/>
      <c r="BY343" s="322"/>
      <c r="BZ343" s="322"/>
      <c r="CA343" s="322"/>
      <c r="CB343" s="322"/>
      <c r="CC343" s="322"/>
      <c r="CD343" s="322"/>
      <c r="CE343" s="322"/>
      <c r="CF343" s="322"/>
      <c r="CG343" s="322"/>
      <c r="CH343" s="322"/>
      <c r="CI343" s="322"/>
      <c r="CM343" s="1139">
        <v>0</v>
      </c>
      <c r="CN343" s="1139">
        <v>0</v>
      </c>
      <c r="CP343" s="923">
        <f t="shared" si="175"/>
        <v>0</v>
      </c>
      <c r="CZ343" s="330"/>
    </row>
    <row r="344" spans="1:104" ht="15" customHeight="1" x14ac:dyDescent="0.25">
      <c r="A344" s="684">
        <f>MAX($A$6:A343)+1</f>
        <v>344</v>
      </c>
      <c r="B344" s="3">
        <f t="shared" si="159"/>
        <v>2.1</v>
      </c>
      <c r="C344" s="11" t="str">
        <f t="shared" ref="C344:C388" si="183">C343</f>
        <v>Reconciliation between Operating Segments and CSoFP</v>
      </c>
      <c r="D344" s="11" t="s">
        <v>150</v>
      </c>
      <c r="E344" s="7" t="s">
        <v>135</v>
      </c>
      <c r="F344" s="15"/>
      <c r="G344" s="1254" t="s">
        <v>135</v>
      </c>
      <c r="H344" s="6">
        <v>0</v>
      </c>
      <c r="I344" s="1247"/>
      <c r="J344" s="1257" t="s">
        <v>286</v>
      </c>
      <c r="K344" s="251">
        <v>0</v>
      </c>
      <c r="L344" s="251">
        <v>0</v>
      </c>
      <c r="M344" s="252"/>
      <c r="N344" s="273">
        <f t="shared" ref="N344:N356" si="184">ROUND(SUM(O344:S344)+SUM(W344:AV344),0)</f>
        <v>0</v>
      </c>
      <c r="O344" s="12"/>
      <c r="P344" s="12"/>
      <c r="Q344" s="12"/>
      <c r="R344" s="12"/>
      <c r="S344" s="6">
        <f t="shared" si="165"/>
        <v>0</v>
      </c>
      <c r="T344" s="273">
        <f t="shared" ref="T344:T356" si="185">ROUND(SUM(U344:Y344),0)</f>
        <v>0</v>
      </c>
      <c r="U344" s="6">
        <f t="shared" ref="U344:U356" si="186">SUM(BL344:BN344)</f>
        <v>0</v>
      </c>
      <c r="V344" s="6"/>
      <c r="W344" s="6">
        <f t="shared" ref="W344:W356" si="187">+H344</f>
        <v>0</v>
      </c>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X344" s="6"/>
      <c r="AY344" s="6">
        <f>ROUND(AX344/1000/Update!$B$31*Update!$B$27,0)</f>
        <v>0</v>
      </c>
      <c r="BA344" s="6"/>
      <c r="BB344" s="6">
        <f>ROUND(BA344/1000/Update!$B$31,0)</f>
        <v>0</v>
      </c>
      <c r="BC344" s="6"/>
      <c r="BD344" s="29">
        <f t="shared" si="172"/>
        <v>0</v>
      </c>
      <c r="BE344" s="1191"/>
      <c r="BF344" s="1191"/>
      <c r="BG344" s="1191"/>
      <c r="BH344" s="1191"/>
      <c r="BI344" s="1191"/>
      <c r="BJ344" s="1191"/>
      <c r="BK344" s="29">
        <f t="shared" si="180"/>
        <v>0</v>
      </c>
      <c r="BL344" s="1191"/>
      <c r="BM344" s="322"/>
      <c r="BN344" s="322"/>
      <c r="BO344" s="322"/>
      <c r="BP344" s="322"/>
      <c r="BQ344" s="322"/>
      <c r="BR344" s="322"/>
      <c r="BS344" s="322"/>
      <c r="BT344" s="322"/>
      <c r="BU344" s="322"/>
      <c r="BV344" s="322"/>
      <c r="BW344" s="322"/>
      <c r="BX344" s="322"/>
      <c r="BY344" s="322"/>
      <c r="BZ344" s="322"/>
      <c r="CA344" s="322"/>
      <c r="CB344" s="322"/>
      <c r="CC344" s="322"/>
      <c r="CD344" s="322"/>
      <c r="CE344" s="322"/>
      <c r="CF344" s="322"/>
      <c r="CG344" s="322"/>
      <c r="CH344" s="322"/>
      <c r="CI344" s="322"/>
      <c r="CM344" s="1139">
        <v>0</v>
      </c>
      <c r="CN344" s="1139">
        <v>0</v>
      </c>
      <c r="CP344" s="923">
        <f t="shared" si="175"/>
        <v>0</v>
      </c>
      <c r="CZ344" s="330"/>
    </row>
    <row r="345" spans="1:104" ht="15" customHeight="1" x14ac:dyDescent="0.25">
      <c r="A345" s="684">
        <f>MAX($A$6:A344)+1</f>
        <v>345</v>
      </c>
      <c r="B345" s="3">
        <f t="shared" si="159"/>
        <v>2.1</v>
      </c>
      <c r="C345" s="11" t="str">
        <f t="shared" si="183"/>
        <v>Reconciliation between Operating Segments and CSoFP</v>
      </c>
      <c r="D345" s="11" t="s">
        <v>150</v>
      </c>
      <c r="E345" s="7" t="s">
        <v>5</v>
      </c>
      <c r="F345" s="15"/>
      <c r="G345" s="1254" t="s">
        <v>5</v>
      </c>
      <c r="H345" s="6">
        <v>0</v>
      </c>
      <c r="I345" s="1247"/>
      <c r="J345" s="1257" t="s">
        <v>286</v>
      </c>
      <c r="K345" s="251">
        <v>0</v>
      </c>
      <c r="L345" s="251">
        <v>0</v>
      </c>
      <c r="M345" s="252"/>
      <c r="N345" s="273">
        <f t="shared" si="184"/>
        <v>0</v>
      </c>
      <c r="O345" s="12"/>
      <c r="P345" s="12"/>
      <c r="Q345" s="12"/>
      <c r="R345" s="12"/>
      <c r="S345" s="6">
        <f t="shared" si="165"/>
        <v>0</v>
      </c>
      <c r="T345" s="273">
        <f t="shared" si="185"/>
        <v>0</v>
      </c>
      <c r="U345" s="6">
        <f t="shared" si="186"/>
        <v>0</v>
      </c>
      <c r="V345" s="6"/>
      <c r="W345" s="6">
        <f t="shared" si="187"/>
        <v>0</v>
      </c>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X345" s="6"/>
      <c r="AY345" s="6">
        <f>ROUND(AX345/1000/Update!$B$31*Update!$B$27,0)</f>
        <v>0</v>
      </c>
      <c r="BA345" s="6"/>
      <c r="BB345" s="6">
        <f>ROUND(BA345/1000/Update!$B$31,0)</f>
        <v>0</v>
      </c>
      <c r="BC345" s="6"/>
      <c r="BD345" s="29">
        <f t="shared" si="172"/>
        <v>0</v>
      </c>
      <c r="BE345" s="1191"/>
      <c r="BF345" s="1191"/>
      <c r="BG345" s="1191"/>
      <c r="BH345" s="1191"/>
      <c r="BI345" s="1191"/>
      <c r="BJ345" s="1191"/>
      <c r="BK345" s="29">
        <f t="shared" si="180"/>
        <v>0</v>
      </c>
      <c r="BL345" s="1191"/>
      <c r="BM345" s="322"/>
      <c r="BN345" s="322"/>
      <c r="BO345" s="322"/>
      <c r="BP345" s="322"/>
      <c r="BQ345" s="322"/>
      <c r="BR345" s="322"/>
      <c r="BS345" s="322"/>
      <c r="BT345" s="322"/>
      <c r="BU345" s="322"/>
      <c r="BV345" s="322"/>
      <c r="BW345" s="322"/>
      <c r="BX345" s="322"/>
      <c r="BY345" s="322"/>
      <c r="BZ345" s="322"/>
      <c r="CA345" s="322"/>
      <c r="CB345" s="322"/>
      <c r="CC345" s="322"/>
      <c r="CD345" s="322"/>
      <c r="CE345" s="322"/>
      <c r="CF345" s="322"/>
      <c r="CG345" s="322"/>
      <c r="CH345" s="322"/>
      <c r="CI345" s="322"/>
      <c r="CM345" s="1139">
        <v>0</v>
      </c>
      <c r="CN345" s="1139">
        <v>0</v>
      </c>
      <c r="CP345" s="923">
        <f t="shared" si="175"/>
        <v>0</v>
      </c>
      <c r="CZ345" s="330"/>
    </row>
    <row r="346" spans="1:104" ht="15" customHeight="1" x14ac:dyDescent="0.25">
      <c r="A346" s="684">
        <f>MAX($A$6:A345)+1</f>
        <v>346</v>
      </c>
      <c r="B346" s="3">
        <f t="shared" si="159"/>
        <v>2.1</v>
      </c>
      <c r="C346" s="11" t="str">
        <f t="shared" si="183"/>
        <v>Reconciliation between Operating Segments and CSoFP</v>
      </c>
      <c r="D346" s="11" t="s">
        <v>150</v>
      </c>
      <c r="E346" s="7" t="s">
        <v>25</v>
      </c>
      <c r="F346" s="15"/>
      <c r="G346" s="1254" t="s">
        <v>348</v>
      </c>
      <c r="H346" s="6">
        <v>0</v>
      </c>
      <c r="I346" s="1247"/>
      <c r="J346" s="1257" t="s">
        <v>286</v>
      </c>
      <c r="K346" s="251">
        <v>0</v>
      </c>
      <c r="L346" s="251">
        <v>0</v>
      </c>
      <c r="M346" s="252"/>
      <c r="N346" s="273">
        <f t="shared" si="184"/>
        <v>0</v>
      </c>
      <c r="O346" s="12"/>
      <c r="P346" s="12"/>
      <c r="Q346" s="12"/>
      <c r="R346" s="12"/>
      <c r="S346" s="6">
        <f t="shared" si="165"/>
        <v>0</v>
      </c>
      <c r="T346" s="273">
        <f t="shared" si="185"/>
        <v>0</v>
      </c>
      <c r="U346" s="6">
        <f t="shared" si="186"/>
        <v>0</v>
      </c>
      <c r="V346" s="6"/>
      <c r="W346" s="6">
        <f t="shared" si="187"/>
        <v>0</v>
      </c>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X346" s="6"/>
      <c r="AY346" s="6">
        <f>ROUND(AX346/1000/Update!$B$31*Update!$B$27,0)</f>
        <v>0</v>
      </c>
      <c r="BA346" s="6"/>
      <c r="BB346" s="6">
        <f>ROUND(BA346/1000/Update!$B$31,0)</f>
        <v>0</v>
      </c>
      <c r="BC346" s="6"/>
      <c r="BD346" s="29">
        <f t="shared" si="172"/>
        <v>0</v>
      </c>
      <c r="BE346" s="1191"/>
      <c r="BF346" s="1191"/>
      <c r="BG346" s="1191"/>
      <c r="BH346" s="1191"/>
      <c r="BI346" s="1191"/>
      <c r="BJ346" s="1191"/>
      <c r="BK346" s="29">
        <f t="shared" si="180"/>
        <v>0</v>
      </c>
      <c r="BL346" s="1191"/>
      <c r="BM346" s="322"/>
      <c r="BN346" s="322"/>
      <c r="BO346" s="322"/>
      <c r="BP346" s="322"/>
      <c r="BQ346" s="322"/>
      <c r="BR346" s="322"/>
      <c r="BS346" s="322"/>
      <c r="BT346" s="322"/>
      <c r="BU346" s="322"/>
      <c r="BV346" s="322"/>
      <c r="BW346" s="322"/>
      <c r="BX346" s="322"/>
      <c r="BY346" s="322"/>
      <c r="BZ346" s="322"/>
      <c r="CA346" s="322"/>
      <c r="CB346" s="322"/>
      <c r="CC346" s="322"/>
      <c r="CD346" s="322"/>
      <c r="CE346" s="322"/>
      <c r="CF346" s="322"/>
      <c r="CG346" s="322"/>
      <c r="CH346" s="322"/>
      <c r="CI346" s="322"/>
      <c r="CM346" s="1139">
        <v>0</v>
      </c>
      <c r="CN346" s="1139">
        <v>0</v>
      </c>
      <c r="CP346" s="923">
        <f t="shared" si="175"/>
        <v>0</v>
      </c>
      <c r="CZ346" s="330"/>
    </row>
    <row r="347" spans="1:104" ht="15" customHeight="1" x14ac:dyDescent="0.25">
      <c r="A347" s="684">
        <f>MAX($A$6:A346)+1</f>
        <v>347</v>
      </c>
      <c r="B347" s="3">
        <f t="shared" si="159"/>
        <v>2.1</v>
      </c>
      <c r="C347" s="11" t="str">
        <f t="shared" si="183"/>
        <v>Reconciliation between Operating Segments and CSoFP</v>
      </c>
      <c r="D347" s="11" t="s">
        <v>150</v>
      </c>
      <c r="E347" s="7" t="s">
        <v>27</v>
      </c>
      <c r="F347" s="15"/>
      <c r="G347" s="1254" t="s">
        <v>27</v>
      </c>
      <c r="H347" s="6">
        <v>0</v>
      </c>
      <c r="I347" s="1247"/>
      <c r="J347" s="1257" t="s">
        <v>286</v>
      </c>
      <c r="K347" s="251">
        <v>0</v>
      </c>
      <c r="L347" s="251">
        <v>0</v>
      </c>
      <c r="M347" s="252"/>
      <c r="N347" s="273">
        <f t="shared" si="184"/>
        <v>0</v>
      </c>
      <c r="O347" s="12"/>
      <c r="P347" s="12"/>
      <c r="Q347" s="12"/>
      <c r="R347" s="12"/>
      <c r="S347" s="6">
        <f t="shared" si="165"/>
        <v>0</v>
      </c>
      <c r="T347" s="273">
        <f t="shared" si="185"/>
        <v>0</v>
      </c>
      <c r="U347" s="6">
        <f t="shared" si="186"/>
        <v>0</v>
      </c>
      <c r="V347" s="6"/>
      <c r="W347" s="6">
        <f t="shared" si="187"/>
        <v>0</v>
      </c>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X347" s="6"/>
      <c r="AY347" s="6">
        <f>ROUND(AX347/1000/Update!$B$31*Update!$B$27,0)</f>
        <v>0</v>
      </c>
      <c r="BA347" s="6"/>
      <c r="BB347" s="6">
        <f>ROUND(BA347/1000/Update!$B$31,0)</f>
        <v>0</v>
      </c>
      <c r="BC347" s="6"/>
      <c r="BD347" s="29">
        <f t="shared" si="172"/>
        <v>0</v>
      </c>
      <c r="BE347" s="1191"/>
      <c r="BF347" s="1191"/>
      <c r="BG347" s="1191"/>
      <c r="BH347" s="1191"/>
      <c r="BI347" s="1191"/>
      <c r="BJ347" s="1191"/>
      <c r="BK347" s="29">
        <f t="shared" si="180"/>
        <v>0</v>
      </c>
      <c r="BL347" s="1191"/>
      <c r="BM347" s="322"/>
      <c r="BN347" s="322"/>
      <c r="BO347" s="322"/>
      <c r="BP347" s="322"/>
      <c r="BQ347" s="322"/>
      <c r="BR347" s="322"/>
      <c r="BS347" s="322"/>
      <c r="BT347" s="322"/>
      <c r="BU347" s="322"/>
      <c r="BV347" s="322"/>
      <c r="BW347" s="322"/>
      <c r="BX347" s="322"/>
      <c r="BY347" s="322"/>
      <c r="BZ347" s="322"/>
      <c r="CA347" s="322"/>
      <c r="CB347" s="322"/>
      <c r="CC347" s="322"/>
      <c r="CD347" s="322"/>
      <c r="CE347" s="322"/>
      <c r="CF347" s="322"/>
      <c r="CG347" s="322"/>
      <c r="CH347" s="322"/>
      <c r="CI347" s="322"/>
      <c r="CM347" s="1139">
        <v>0</v>
      </c>
      <c r="CN347" s="1139">
        <v>0</v>
      </c>
      <c r="CP347" s="923">
        <f t="shared" si="175"/>
        <v>0</v>
      </c>
      <c r="CZ347" s="330"/>
    </row>
    <row r="348" spans="1:104" ht="38.25" customHeight="1" x14ac:dyDescent="0.25">
      <c r="A348" s="684">
        <f>MAX($A$6:A347)+1</f>
        <v>348</v>
      </c>
      <c r="B348" s="3">
        <f t="shared" si="159"/>
        <v>2.1</v>
      </c>
      <c r="C348" s="11" t="str">
        <f t="shared" si="183"/>
        <v>Reconciliation between Operating Segments and CSoFP</v>
      </c>
      <c r="D348" s="11" t="s">
        <v>150</v>
      </c>
      <c r="E348" s="7" t="s">
        <v>136</v>
      </c>
      <c r="F348" s="15"/>
      <c r="G348" s="1254" t="s">
        <v>349</v>
      </c>
      <c r="H348" s="6">
        <v>0</v>
      </c>
      <c r="I348" s="1247"/>
      <c r="J348" s="1257" t="s">
        <v>286</v>
      </c>
      <c r="K348" s="251">
        <v>0</v>
      </c>
      <c r="L348" s="251">
        <v>0</v>
      </c>
      <c r="M348" s="252"/>
      <c r="N348" s="273">
        <f t="shared" si="184"/>
        <v>0</v>
      </c>
      <c r="O348" s="12"/>
      <c r="P348" s="12"/>
      <c r="Q348" s="12"/>
      <c r="R348" s="12"/>
      <c r="S348" s="6">
        <f t="shared" si="165"/>
        <v>0</v>
      </c>
      <c r="T348" s="273">
        <f t="shared" si="185"/>
        <v>0</v>
      </c>
      <c r="U348" s="6">
        <f t="shared" si="186"/>
        <v>0</v>
      </c>
      <c r="V348" s="6"/>
      <c r="W348" s="6">
        <f t="shared" si="187"/>
        <v>0</v>
      </c>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X348" s="6"/>
      <c r="AY348" s="6">
        <f>ROUND(AX348/1000/Update!$B$31*Update!$B$27,0)</f>
        <v>0</v>
      </c>
      <c r="BA348" s="6"/>
      <c r="BB348" s="6">
        <f>ROUND(BA348/1000/Update!$B$31,0)</f>
        <v>0</v>
      </c>
      <c r="BC348" s="6"/>
      <c r="BD348" s="29">
        <f t="shared" si="172"/>
        <v>0</v>
      </c>
      <c r="BE348" s="1191"/>
      <c r="BF348" s="1191"/>
      <c r="BG348" s="1191"/>
      <c r="BH348" s="1191"/>
      <c r="BI348" s="1191"/>
      <c r="BJ348" s="1191"/>
      <c r="BK348" s="29">
        <f t="shared" si="180"/>
        <v>0</v>
      </c>
      <c r="BL348" s="1191"/>
      <c r="BM348" s="322"/>
      <c r="BN348" s="322"/>
      <c r="BO348" s="322"/>
      <c r="BP348" s="322"/>
      <c r="BQ348" s="322"/>
      <c r="BR348" s="322"/>
      <c r="BS348" s="322"/>
      <c r="BT348" s="322"/>
      <c r="BU348" s="322"/>
      <c r="BV348" s="322"/>
      <c r="BW348" s="322"/>
      <c r="BX348" s="322"/>
      <c r="BY348" s="322"/>
      <c r="BZ348" s="322"/>
      <c r="CA348" s="322"/>
      <c r="CB348" s="322"/>
      <c r="CC348" s="322"/>
      <c r="CD348" s="322"/>
      <c r="CE348" s="322"/>
      <c r="CF348" s="322"/>
      <c r="CG348" s="322"/>
      <c r="CH348" s="322"/>
      <c r="CI348" s="322"/>
      <c r="CM348" s="1139">
        <v>0</v>
      </c>
      <c r="CN348" s="1139">
        <v>0</v>
      </c>
      <c r="CP348" s="923">
        <f t="shared" si="175"/>
        <v>0</v>
      </c>
      <c r="CZ348" s="330"/>
    </row>
    <row r="349" spans="1:104" ht="15" customHeight="1" x14ac:dyDescent="0.25">
      <c r="A349" s="684">
        <f>MAX($A$6:A348)+1</f>
        <v>349</v>
      </c>
      <c r="B349" s="3">
        <f t="shared" si="159"/>
        <v>2.1</v>
      </c>
      <c r="C349" s="11" t="str">
        <f t="shared" si="183"/>
        <v>Reconciliation between Operating Segments and CSoFP</v>
      </c>
      <c r="D349" s="11" t="s">
        <v>150</v>
      </c>
      <c r="E349" s="7" t="s">
        <v>137</v>
      </c>
      <c r="F349" s="15"/>
      <c r="G349" s="1254"/>
      <c r="H349" s="6">
        <v>0</v>
      </c>
      <c r="I349" s="1247"/>
      <c r="J349" s="1257" t="s">
        <v>286</v>
      </c>
      <c r="K349" s="251">
        <v>0</v>
      </c>
      <c r="L349" s="251">
        <v>0</v>
      </c>
      <c r="M349" s="252"/>
      <c r="N349" s="273">
        <f t="shared" si="184"/>
        <v>0</v>
      </c>
      <c r="O349" s="12"/>
      <c r="P349" s="12"/>
      <c r="Q349" s="12"/>
      <c r="R349" s="12"/>
      <c r="S349" s="6">
        <f t="shared" si="165"/>
        <v>0</v>
      </c>
      <c r="T349" s="273">
        <f t="shared" si="185"/>
        <v>0</v>
      </c>
      <c r="U349" s="6">
        <f t="shared" si="186"/>
        <v>0</v>
      </c>
      <c r="V349" s="6"/>
      <c r="W349" s="6">
        <f t="shared" si="187"/>
        <v>0</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X349" s="6"/>
      <c r="AY349" s="6">
        <f>ROUND(AX349/1000/Update!$B$31*Update!$B$27,0)</f>
        <v>0</v>
      </c>
      <c r="BA349" s="6"/>
      <c r="BB349" s="6">
        <f>ROUND(BA349/1000/Update!$B$31,0)</f>
        <v>0</v>
      </c>
      <c r="BC349" s="6"/>
      <c r="BD349" s="29">
        <f t="shared" si="172"/>
        <v>0</v>
      </c>
      <c r="BE349" s="1191"/>
      <c r="BF349" s="1191"/>
      <c r="BG349" s="1191"/>
      <c r="BH349" s="1191"/>
      <c r="BI349" s="1191"/>
      <c r="BJ349" s="1191"/>
      <c r="BK349" s="29">
        <f t="shared" si="180"/>
        <v>0</v>
      </c>
      <c r="BL349" s="1191"/>
      <c r="BM349" s="322"/>
      <c r="BN349" s="322"/>
      <c r="BO349" s="322"/>
      <c r="BP349" s="322"/>
      <c r="BQ349" s="322"/>
      <c r="BR349" s="322"/>
      <c r="BS349" s="322"/>
      <c r="BT349" s="322"/>
      <c r="BU349" s="322"/>
      <c r="BV349" s="322"/>
      <c r="BW349" s="322"/>
      <c r="BX349" s="322"/>
      <c r="BY349" s="322"/>
      <c r="BZ349" s="322"/>
      <c r="CA349" s="322"/>
      <c r="CB349" s="322"/>
      <c r="CC349" s="322"/>
      <c r="CD349" s="322"/>
      <c r="CE349" s="322"/>
      <c r="CF349" s="322"/>
      <c r="CG349" s="322"/>
      <c r="CH349" s="322"/>
      <c r="CI349" s="322"/>
      <c r="CM349" s="1139">
        <v>0</v>
      </c>
      <c r="CN349" s="1139">
        <v>0</v>
      </c>
      <c r="CP349" s="923">
        <f t="shared" si="175"/>
        <v>0</v>
      </c>
      <c r="CZ349" s="330"/>
    </row>
    <row r="350" spans="1:104" ht="15" customHeight="1" x14ac:dyDescent="0.25">
      <c r="A350" s="684">
        <f>MAX($A$6:A349)+1</f>
        <v>350</v>
      </c>
      <c r="B350" s="3">
        <f t="shared" si="159"/>
        <v>2.1</v>
      </c>
      <c r="C350" s="11" t="str">
        <f t="shared" si="183"/>
        <v>Reconciliation between Operating Segments and CSoFP</v>
      </c>
      <c r="D350" s="11" t="s">
        <v>150</v>
      </c>
      <c r="E350" s="7" t="s">
        <v>31</v>
      </c>
      <c r="F350" s="15"/>
      <c r="G350" s="1254" t="s">
        <v>31</v>
      </c>
      <c r="H350" s="6">
        <v>0</v>
      </c>
      <c r="I350" s="1247"/>
      <c r="J350" s="1257" t="s">
        <v>286</v>
      </c>
      <c r="K350" s="251">
        <v>0</v>
      </c>
      <c r="L350" s="251">
        <v>0</v>
      </c>
      <c r="M350" s="252"/>
      <c r="N350" s="273">
        <f t="shared" si="184"/>
        <v>0</v>
      </c>
      <c r="O350" s="12"/>
      <c r="P350" s="12"/>
      <c r="Q350" s="12"/>
      <c r="R350" s="12"/>
      <c r="S350" s="6">
        <f t="shared" si="165"/>
        <v>0</v>
      </c>
      <c r="T350" s="273">
        <f t="shared" si="185"/>
        <v>0</v>
      </c>
      <c r="U350" s="6">
        <f t="shared" si="186"/>
        <v>0</v>
      </c>
      <c r="V350" s="6"/>
      <c r="W350" s="6">
        <f t="shared" si="187"/>
        <v>0</v>
      </c>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X350" s="6"/>
      <c r="AY350" s="6">
        <f>ROUND(AX350/1000/Update!$B$31*Update!$B$27,0)</f>
        <v>0</v>
      </c>
      <c r="BA350" s="6"/>
      <c r="BB350" s="6">
        <f>ROUND(BA350/1000/Update!$B$31,0)</f>
        <v>0</v>
      </c>
      <c r="BC350" s="6"/>
      <c r="BD350" s="29">
        <f t="shared" si="172"/>
        <v>0</v>
      </c>
      <c r="BE350" s="1191"/>
      <c r="BF350" s="1191"/>
      <c r="BG350" s="1191"/>
      <c r="BH350" s="1191"/>
      <c r="BI350" s="1191"/>
      <c r="BJ350" s="1191"/>
      <c r="BK350" s="29">
        <f t="shared" si="180"/>
        <v>0</v>
      </c>
      <c r="BL350" s="1191"/>
      <c r="BM350" s="322"/>
      <c r="BN350" s="322"/>
      <c r="BO350" s="322"/>
      <c r="BP350" s="322"/>
      <c r="BQ350" s="322"/>
      <c r="BR350" s="322"/>
      <c r="BS350" s="322"/>
      <c r="BT350" s="322"/>
      <c r="BU350" s="322"/>
      <c r="BV350" s="322"/>
      <c r="BW350" s="322"/>
      <c r="BX350" s="322"/>
      <c r="BY350" s="322"/>
      <c r="BZ350" s="322"/>
      <c r="CA350" s="322"/>
      <c r="CB350" s="322"/>
      <c r="CC350" s="322"/>
      <c r="CD350" s="322"/>
      <c r="CE350" s="322"/>
      <c r="CF350" s="322"/>
      <c r="CG350" s="322"/>
      <c r="CH350" s="322"/>
      <c r="CI350" s="322"/>
      <c r="CM350" s="1139">
        <v>0</v>
      </c>
      <c r="CN350" s="1139">
        <v>0</v>
      </c>
      <c r="CP350" s="923">
        <f t="shared" si="175"/>
        <v>0</v>
      </c>
      <c r="CZ350" s="330"/>
    </row>
    <row r="351" spans="1:104" ht="30" customHeight="1" x14ac:dyDescent="0.25">
      <c r="A351" s="684">
        <f>MAX($A$6:A350)+1</f>
        <v>351</v>
      </c>
      <c r="B351" s="3">
        <f t="shared" si="159"/>
        <v>2.1</v>
      </c>
      <c r="C351" s="11" t="str">
        <f t="shared" si="183"/>
        <v>Reconciliation between Operating Segments and CSoFP</v>
      </c>
      <c r="D351" s="11" t="s">
        <v>150</v>
      </c>
      <c r="E351" s="7" t="s">
        <v>138</v>
      </c>
      <c r="F351" s="15"/>
      <c r="G351" s="1254" t="s">
        <v>138</v>
      </c>
      <c r="H351" s="6">
        <v>0</v>
      </c>
      <c r="I351" s="1247"/>
      <c r="J351" s="1257" t="s">
        <v>286</v>
      </c>
      <c r="K351" s="251">
        <v>0</v>
      </c>
      <c r="L351" s="251">
        <v>0</v>
      </c>
      <c r="M351" s="252"/>
      <c r="N351" s="273">
        <f t="shared" si="184"/>
        <v>0</v>
      </c>
      <c r="O351" s="12"/>
      <c r="P351" s="12"/>
      <c r="Q351" s="12"/>
      <c r="R351" s="12"/>
      <c r="S351" s="6">
        <f t="shared" si="165"/>
        <v>0</v>
      </c>
      <c r="T351" s="273">
        <f t="shared" si="185"/>
        <v>0</v>
      </c>
      <c r="U351" s="6">
        <f t="shared" si="186"/>
        <v>0</v>
      </c>
      <c r="V351" s="6"/>
      <c r="W351" s="6">
        <f t="shared" si="187"/>
        <v>0</v>
      </c>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X351" s="6"/>
      <c r="AY351" s="6">
        <f>ROUND(AX351/1000/Update!$B$31*Update!$B$27,0)</f>
        <v>0</v>
      </c>
      <c r="BA351" s="6"/>
      <c r="BB351" s="6">
        <f>ROUND(BA351/1000/Update!$B$31,0)</f>
        <v>0</v>
      </c>
      <c r="BC351" s="6"/>
      <c r="BD351" s="29">
        <f t="shared" si="172"/>
        <v>0</v>
      </c>
      <c r="BE351" s="1191"/>
      <c r="BF351" s="1191"/>
      <c r="BG351" s="1191"/>
      <c r="BH351" s="1191"/>
      <c r="BI351" s="1191"/>
      <c r="BJ351" s="1191"/>
      <c r="BK351" s="29">
        <f t="shared" si="180"/>
        <v>0</v>
      </c>
      <c r="BL351" s="1191"/>
      <c r="BM351" s="322"/>
      <c r="BN351" s="322"/>
      <c r="BO351" s="322"/>
      <c r="BP351" s="322"/>
      <c r="BQ351" s="322"/>
      <c r="BR351" s="322"/>
      <c r="BS351" s="322"/>
      <c r="BT351" s="322"/>
      <c r="BU351" s="322"/>
      <c r="BV351" s="322"/>
      <c r="BW351" s="322"/>
      <c r="BX351" s="322"/>
      <c r="BY351" s="322"/>
      <c r="BZ351" s="322"/>
      <c r="CA351" s="322"/>
      <c r="CB351" s="322"/>
      <c r="CC351" s="322"/>
      <c r="CD351" s="322"/>
      <c r="CE351" s="322"/>
      <c r="CF351" s="322"/>
      <c r="CG351" s="322"/>
      <c r="CH351" s="322"/>
      <c r="CI351" s="322"/>
      <c r="CM351" s="1139">
        <v>0</v>
      </c>
      <c r="CN351" s="1139">
        <v>0</v>
      </c>
      <c r="CP351" s="923">
        <f t="shared" si="175"/>
        <v>0</v>
      </c>
      <c r="CZ351" s="330"/>
    </row>
    <row r="352" spans="1:104" ht="25.5" customHeight="1" x14ac:dyDescent="0.25">
      <c r="A352" s="684">
        <f>MAX($A$6:A351)+1</f>
        <v>352</v>
      </c>
      <c r="B352" s="3">
        <f t="shared" si="159"/>
        <v>2.1</v>
      </c>
      <c r="C352" s="11" t="str">
        <f t="shared" si="183"/>
        <v>Reconciliation between Operating Segments and CSoFP</v>
      </c>
      <c r="D352" s="11" t="s">
        <v>150</v>
      </c>
      <c r="E352" s="7" t="s">
        <v>139</v>
      </c>
      <c r="F352" s="15"/>
      <c r="G352" s="1254" t="s">
        <v>139</v>
      </c>
      <c r="H352" s="6">
        <v>0</v>
      </c>
      <c r="I352" s="1247"/>
      <c r="J352" s="1257" t="s">
        <v>286</v>
      </c>
      <c r="K352" s="251">
        <v>0</v>
      </c>
      <c r="L352" s="251">
        <v>0</v>
      </c>
      <c r="M352" s="252"/>
      <c r="N352" s="273">
        <f t="shared" si="184"/>
        <v>0</v>
      </c>
      <c r="O352" s="12"/>
      <c r="P352" s="12"/>
      <c r="Q352" s="12"/>
      <c r="R352" s="12"/>
      <c r="S352" s="6">
        <f t="shared" si="165"/>
        <v>0</v>
      </c>
      <c r="T352" s="273">
        <f t="shared" si="185"/>
        <v>0</v>
      </c>
      <c r="U352" s="6">
        <f t="shared" si="186"/>
        <v>0</v>
      </c>
      <c r="V352" s="6"/>
      <c r="W352" s="6">
        <f t="shared" si="187"/>
        <v>0</v>
      </c>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X352" s="6"/>
      <c r="AY352" s="6">
        <f>ROUND(AX352/1000/Update!$B$31*Update!$B$27,0)</f>
        <v>0</v>
      </c>
      <c r="BA352" s="6"/>
      <c r="BB352" s="6">
        <f>ROUND(BA352/1000/Update!$B$31,0)</f>
        <v>0</v>
      </c>
      <c r="BC352" s="6"/>
      <c r="BD352" s="29">
        <f t="shared" si="172"/>
        <v>0</v>
      </c>
      <c r="BE352" s="1191"/>
      <c r="BF352" s="1191"/>
      <c r="BG352" s="1191"/>
      <c r="BH352" s="1191"/>
      <c r="BI352" s="1191"/>
      <c r="BJ352" s="1191"/>
      <c r="BK352" s="29">
        <f t="shared" si="180"/>
        <v>0</v>
      </c>
      <c r="BL352" s="1191"/>
      <c r="BM352" s="322"/>
      <c r="BN352" s="322"/>
      <c r="BO352" s="322"/>
      <c r="BP352" s="322"/>
      <c r="BQ352" s="322"/>
      <c r="BR352" s="322"/>
      <c r="BS352" s="322"/>
      <c r="BT352" s="322"/>
      <c r="BU352" s="322"/>
      <c r="BV352" s="322"/>
      <c r="BW352" s="322"/>
      <c r="BX352" s="322"/>
      <c r="BY352" s="322"/>
      <c r="BZ352" s="322"/>
      <c r="CA352" s="322"/>
      <c r="CB352" s="322"/>
      <c r="CC352" s="322"/>
      <c r="CD352" s="322"/>
      <c r="CE352" s="322"/>
      <c r="CF352" s="322"/>
      <c r="CG352" s="322"/>
      <c r="CH352" s="322"/>
      <c r="CI352" s="322"/>
      <c r="CM352" s="1139">
        <v>0</v>
      </c>
      <c r="CN352" s="1139">
        <v>0</v>
      </c>
      <c r="CP352" s="923">
        <f t="shared" si="175"/>
        <v>0</v>
      </c>
      <c r="CZ352" s="330"/>
    </row>
    <row r="353" spans="1:104" ht="15" customHeight="1" x14ac:dyDescent="0.25">
      <c r="A353" s="684">
        <f>MAX($A$6:A352)+1</f>
        <v>353</v>
      </c>
      <c r="B353" s="3">
        <f t="shared" si="159"/>
        <v>2.1</v>
      </c>
      <c r="C353" s="11" t="str">
        <f t="shared" si="183"/>
        <v>Reconciliation between Operating Segments and CSoFP</v>
      </c>
      <c r="D353" s="11" t="s">
        <v>150</v>
      </c>
      <c r="E353" s="7" t="s">
        <v>2446</v>
      </c>
      <c r="F353" s="15"/>
      <c r="G353" s="1254" t="s">
        <v>2446</v>
      </c>
      <c r="H353" s="6">
        <v>0</v>
      </c>
      <c r="I353" s="1247"/>
      <c r="J353" s="1257" t="s">
        <v>286</v>
      </c>
      <c r="K353" s="251">
        <v>0</v>
      </c>
      <c r="L353" s="251">
        <v>0</v>
      </c>
      <c r="M353" s="252"/>
      <c r="N353" s="273">
        <f t="shared" si="184"/>
        <v>0</v>
      </c>
      <c r="O353" s="12"/>
      <c r="P353" s="12"/>
      <c r="Q353" s="12"/>
      <c r="R353" s="12"/>
      <c r="S353" s="6">
        <f t="shared" si="165"/>
        <v>0</v>
      </c>
      <c r="T353" s="273">
        <f t="shared" si="185"/>
        <v>0</v>
      </c>
      <c r="U353" s="6">
        <f t="shared" si="186"/>
        <v>0</v>
      </c>
      <c r="V353" s="6"/>
      <c r="W353" s="6">
        <f t="shared" si="187"/>
        <v>0</v>
      </c>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X353" s="6"/>
      <c r="AY353" s="6">
        <f>ROUND(AX353/1000/Update!$B$31*Update!$B$27,0)</f>
        <v>0</v>
      </c>
      <c r="BA353" s="6"/>
      <c r="BB353" s="6">
        <f>ROUND(BA353/1000/Update!$B$31,0)</f>
        <v>0</v>
      </c>
      <c r="BC353" s="6"/>
      <c r="BD353" s="29">
        <f t="shared" si="172"/>
        <v>0</v>
      </c>
      <c r="BE353" s="1191"/>
      <c r="BF353" s="1191"/>
      <c r="BG353" s="1191"/>
      <c r="BH353" s="1191"/>
      <c r="BI353" s="1191"/>
      <c r="BJ353" s="1191"/>
      <c r="BK353" s="29">
        <f t="shared" si="180"/>
        <v>0</v>
      </c>
      <c r="BL353" s="1191"/>
      <c r="BM353" s="322"/>
      <c r="BN353" s="322"/>
      <c r="BO353" s="322"/>
      <c r="BP353" s="322"/>
      <c r="BQ353" s="322"/>
      <c r="BR353" s="322"/>
      <c r="BS353" s="322"/>
      <c r="BT353" s="322"/>
      <c r="BU353" s="322"/>
      <c r="BV353" s="322"/>
      <c r="BW353" s="322"/>
      <c r="BX353" s="322"/>
      <c r="BY353" s="322"/>
      <c r="BZ353" s="322"/>
      <c r="CA353" s="322"/>
      <c r="CB353" s="322"/>
      <c r="CC353" s="322"/>
      <c r="CD353" s="322"/>
      <c r="CE353" s="322"/>
      <c r="CF353" s="322"/>
      <c r="CG353" s="322"/>
      <c r="CH353" s="322"/>
      <c r="CI353" s="322"/>
      <c r="CM353" s="1139">
        <v>0</v>
      </c>
      <c r="CN353" s="1139">
        <v>0</v>
      </c>
      <c r="CP353" s="923">
        <f t="shared" si="175"/>
        <v>0</v>
      </c>
      <c r="CZ353" s="330"/>
    </row>
    <row r="354" spans="1:104" ht="15" customHeight="1" x14ac:dyDescent="0.25">
      <c r="A354" s="684">
        <f>MAX($A$6:A353)+1</f>
        <v>354</v>
      </c>
      <c r="B354" s="3">
        <f t="shared" si="159"/>
        <v>2.1</v>
      </c>
      <c r="C354" s="11" t="str">
        <f t="shared" si="183"/>
        <v>Reconciliation between Operating Segments and CSoFP</v>
      </c>
      <c r="D354" s="11" t="s">
        <v>150</v>
      </c>
      <c r="E354" s="7" t="s">
        <v>140</v>
      </c>
      <c r="F354" s="15"/>
      <c r="G354" s="1254" t="s">
        <v>140</v>
      </c>
      <c r="H354" s="6">
        <v>0</v>
      </c>
      <c r="I354" s="1247"/>
      <c r="J354" s="1257" t="s">
        <v>286</v>
      </c>
      <c r="K354" s="251">
        <v>0</v>
      </c>
      <c r="L354" s="251">
        <v>0</v>
      </c>
      <c r="M354" s="252"/>
      <c r="N354" s="273">
        <f t="shared" si="184"/>
        <v>0</v>
      </c>
      <c r="O354" s="12"/>
      <c r="P354" s="12"/>
      <c r="Q354" s="12"/>
      <c r="R354" s="12"/>
      <c r="S354" s="6">
        <f t="shared" si="165"/>
        <v>0</v>
      </c>
      <c r="T354" s="273">
        <f t="shared" si="185"/>
        <v>0</v>
      </c>
      <c r="U354" s="6">
        <f t="shared" si="186"/>
        <v>0</v>
      </c>
      <c r="V354" s="6"/>
      <c r="W354" s="6">
        <f t="shared" si="187"/>
        <v>0</v>
      </c>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X354" s="6"/>
      <c r="AY354" s="6">
        <f>ROUND(AX354/1000/Update!$B$31*Update!$B$27,0)</f>
        <v>0</v>
      </c>
      <c r="BA354" s="6"/>
      <c r="BB354" s="6">
        <f>ROUND(BA354/1000/Update!$B$31,0)</f>
        <v>0</v>
      </c>
      <c r="BC354" s="6"/>
      <c r="BD354" s="29">
        <f t="shared" si="172"/>
        <v>0</v>
      </c>
      <c r="BE354" s="1191"/>
      <c r="BF354" s="1191"/>
      <c r="BG354" s="1191"/>
      <c r="BH354" s="1191"/>
      <c r="BI354" s="1191"/>
      <c r="BJ354" s="1191"/>
      <c r="BK354" s="29">
        <f t="shared" si="180"/>
        <v>0</v>
      </c>
      <c r="BL354" s="1191"/>
      <c r="BM354" s="322"/>
      <c r="BN354" s="322"/>
      <c r="BO354" s="322"/>
      <c r="BP354" s="322"/>
      <c r="BQ354" s="322"/>
      <c r="BR354" s="322"/>
      <c r="BS354" s="322"/>
      <c r="BT354" s="322"/>
      <c r="BU354" s="322"/>
      <c r="BV354" s="322"/>
      <c r="BW354" s="322"/>
      <c r="BX354" s="322"/>
      <c r="BY354" s="322"/>
      <c r="BZ354" s="322"/>
      <c r="CA354" s="322"/>
      <c r="CB354" s="322"/>
      <c r="CC354" s="322"/>
      <c r="CD354" s="322"/>
      <c r="CE354" s="322"/>
      <c r="CF354" s="322"/>
      <c r="CG354" s="322"/>
      <c r="CH354" s="322"/>
      <c r="CI354" s="322"/>
      <c r="CM354" s="1139">
        <v>0</v>
      </c>
      <c r="CN354" s="1139">
        <v>0</v>
      </c>
      <c r="CP354" s="923">
        <f t="shared" si="175"/>
        <v>0</v>
      </c>
      <c r="CZ354" s="330"/>
    </row>
    <row r="355" spans="1:104" ht="15" customHeight="1" x14ac:dyDescent="0.25">
      <c r="A355" s="684">
        <f>MAX($A$6:A354)+1</f>
        <v>355</v>
      </c>
      <c r="B355" s="3">
        <f t="shared" si="159"/>
        <v>2.1</v>
      </c>
      <c r="C355" s="11" t="str">
        <f t="shared" si="183"/>
        <v>Reconciliation between Operating Segments and CSoFP</v>
      </c>
      <c r="D355" s="11" t="s">
        <v>150</v>
      </c>
      <c r="E355" s="7" t="s">
        <v>141</v>
      </c>
      <c r="F355" s="15"/>
      <c r="G355" s="1254" t="s">
        <v>141</v>
      </c>
      <c r="H355" s="6">
        <v>0</v>
      </c>
      <c r="I355" s="1247"/>
      <c r="J355" s="1257" t="s">
        <v>286</v>
      </c>
      <c r="K355" s="251">
        <v>0</v>
      </c>
      <c r="L355" s="251">
        <v>0</v>
      </c>
      <c r="M355" s="252"/>
      <c r="N355" s="273">
        <f t="shared" si="184"/>
        <v>0</v>
      </c>
      <c r="O355" s="12"/>
      <c r="P355" s="12"/>
      <c r="Q355" s="12"/>
      <c r="R355" s="12"/>
      <c r="S355" s="6">
        <f t="shared" si="165"/>
        <v>0</v>
      </c>
      <c r="T355" s="273">
        <f t="shared" si="185"/>
        <v>0</v>
      </c>
      <c r="U355" s="6">
        <f t="shared" si="186"/>
        <v>0</v>
      </c>
      <c r="V355" s="6"/>
      <c r="W355" s="6">
        <f t="shared" si="187"/>
        <v>0</v>
      </c>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X355" s="6"/>
      <c r="AY355" s="6">
        <f>ROUND(AX355/1000/Update!$B$31*Update!$B$27,0)</f>
        <v>0</v>
      </c>
      <c r="BA355" s="6"/>
      <c r="BB355" s="6">
        <f>ROUND(BA355/1000/Update!$B$31,0)</f>
        <v>0</v>
      </c>
      <c r="BC355" s="6"/>
      <c r="BD355" s="29">
        <f t="shared" si="172"/>
        <v>0</v>
      </c>
      <c r="BE355" s="1191"/>
      <c r="BF355" s="1191"/>
      <c r="BG355" s="1191"/>
      <c r="BH355" s="1191"/>
      <c r="BI355" s="1191"/>
      <c r="BJ355" s="1191"/>
      <c r="BK355" s="29">
        <f t="shared" si="180"/>
        <v>0</v>
      </c>
      <c r="BL355" s="1191"/>
      <c r="BM355" s="322"/>
      <c r="BN355" s="322"/>
      <c r="BO355" s="322"/>
      <c r="BP355" s="322"/>
      <c r="BQ355" s="322"/>
      <c r="BR355" s="322"/>
      <c r="BS355" s="322"/>
      <c r="BT355" s="322"/>
      <c r="BU355" s="322"/>
      <c r="BV355" s="322"/>
      <c r="BW355" s="322"/>
      <c r="BX355" s="322"/>
      <c r="BY355" s="322"/>
      <c r="BZ355" s="322"/>
      <c r="CA355" s="322"/>
      <c r="CB355" s="322"/>
      <c r="CC355" s="322"/>
      <c r="CD355" s="322"/>
      <c r="CE355" s="322"/>
      <c r="CF355" s="322"/>
      <c r="CG355" s="322"/>
      <c r="CH355" s="322"/>
      <c r="CI355" s="322"/>
      <c r="CM355" s="1139">
        <v>0</v>
      </c>
      <c r="CN355" s="1139">
        <v>0</v>
      </c>
      <c r="CP355" s="923">
        <f t="shared" si="175"/>
        <v>0</v>
      </c>
      <c r="CZ355" s="330"/>
    </row>
    <row r="356" spans="1:104" ht="15" customHeight="1" x14ac:dyDescent="0.25">
      <c r="A356" s="684">
        <f>MAX($A$6:A355)+1</f>
        <v>356</v>
      </c>
      <c r="B356" s="3">
        <f t="shared" ref="B356:B419" si="188">B355</f>
        <v>2.1</v>
      </c>
      <c r="C356" s="11" t="str">
        <f t="shared" si="183"/>
        <v>Reconciliation between Operating Segments and CSoFP</v>
      </c>
      <c r="D356" s="11" t="s">
        <v>150</v>
      </c>
      <c r="E356" s="7" t="s">
        <v>142</v>
      </c>
      <c r="F356" s="15"/>
      <c r="G356" s="1254" t="s">
        <v>142</v>
      </c>
      <c r="H356" s="6">
        <v>0</v>
      </c>
      <c r="I356" s="1247"/>
      <c r="J356" s="1257" t="s">
        <v>286</v>
      </c>
      <c r="K356" s="251">
        <v>0</v>
      </c>
      <c r="L356" s="251">
        <v>0</v>
      </c>
      <c r="M356" s="252"/>
      <c r="N356" s="273">
        <f t="shared" si="184"/>
        <v>0</v>
      </c>
      <c r="O356" s="12"/>
      <c r="P356" s="12"/>
      <c r="Q356" s="12"/>
      <c r="R356" s="12"/>
      <c r="S356" s="6">
        <f t="shared" si="165"/>
        <v>0</v>
      </c>
      <c r="T356" s="273">
        <f t="shared" si="185"/>
        <v>0</v>
      </c>
      <c r="U356" s="6">
        <f t="shared" si="186"/>
        <v>0</v>
      </c>
      <c r="V356" s="6"/>
      <c r="W356" s="6">
        <f t="shared" si="187"/>
        <v>0</v>
      </c>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X356" s="6"/>
      <c r="AY356" s="6">
        <f>ROUND(AX356/1000/Update!$B$31*Update!$B$27,0)</f>
        <v>0</v>
      </c>
      <c r="BA356" s="6"/>
      <c r="BB356" s="6">
        <f>ROUND(BA356/1000/Update!$B$31,0)</f>
        <v>0</v>
      </c>
      <c r="BC356" s="6"/>
      <c r="BD356" s="29">
        <f t="shared" si="172"/>
        <v>0</v>
      </c>
      <c r="BE356" s="1191"/>
      <c r="BF356" s="1191"/>
      <c r="BG356" s="1191"/>
      <c r="BH356" s="1191"/>
      <c r="BI356" s="1191"/>
      <c r="BJ356" s="1191"/>
      <c r="BK356" s="29">
        <f t="shared" si="180"/>
        <v>0</v>
      </c>
      <c r="BL356" s="1191"/>
      <c r="BM356" s="322"/>
      <c r="BN356" s="322"/>
      <c r="BO356" s="322"/>
      <c r="BP356" s="322"/>
      <c r="BQ356" s="322"/>
      <c r="BR356" s="322"/>
      <c r="BS356" s="322"/>
      <c r="BT356" s="322"/>
      <c r="BU356" s="322"/>
      <c r="BV356" s="322"/>
      <c r="BW356" s="322"/>
      <c r="BX356" s="322"/>
      <c r="BY356" s="322"/>
      <c r="BZ356" s="322"/>
      <c r="CA356" s="322"/>
      <c r="CB356" s="322"/>
      <c r="CC356" s="322"/>
      <c r="CD356" s="322"/>
      <c r="CE356" s="322"/>
      <c r="CF356" s="322"/>
      <c r="CG356" s="322"/>
      <c r="CH356" s="322"/>
      <c r="CI356" s="322"/>
      <c r="CM356" s="1139">
        <v>0</v>
      </c>
      <c r="CN356" s="1139">
        <v>0</v>
      </c>
      <c r="CP356" s="923">
        <f t="shared" si="175"/>
        <v>0</v>
      </c>
      <c r="CZ356" s="330"/>
    </row>
    <row r="357" spans="1:104" ht="15" customHeight="1" x14ac:dyDescent="0.25">
      <c r="A357" s="701">
        <f>MAX($A$6:A356)+1</f>
        <v>357</v>
      </c>
      <c r="B357" s="1291">
        <f t="shared" si="188"/>
        <v>2.1</v>
      </c>
      <c r="C357" s="18" t="str">
        <f t="shared" si="183"/>
        <v>Reconciliation between Operating Segments and CSoFP</v>
      </c>
      <c r="D357" s="18" t="s">
        <v>150</v>
      </c>
      <c r="E357" s="19" t="s">
        <v>146</v>
      </c>
      <c r="F357" s="20"/>
      <c r="G357" s="28"/>
      <c r="H357" s="14">
        <f>SUM(H343:H356)</f>
        <v>0</v>
      </c>
      <c r="I357" s="14"/>
      <c r="J357" s="1258" t="s">
        <v>286</v>
      </c>
      <c r="K357" s="256">
        <v>0</v>
      </c>
      <c r="L357" s="256">
        <v>0</v>
      </c>
      <c r="M357" s="21"/>
      <c r="N357" s="14">
        <f>SUM(O357:AU357)-T357</f>
        <v>0</v>
      </c>
      <c r="O357" s="23">
        <f t="shared" ref="O357:V357" si="189">SUM(O343:O356)</f>
        <v>0</v>
      </c>
      <c r="P357" s="23">
        <f t="shared" si="189"/>
        <v>0</v>
      </c>
      <c r="Q357" s="23">
        <f t="shared" si="189"/>
        <v>0</v>
      </c>
      <c r="R357" s="23">
        <f t="shared" si="189"/>
        <v>0</v>
      </c>
      <c r="S357" s="14">
        <f t="shared" si="165"/>
        <v>0</v>
      </c>
      <c r="T357" s="14">
        <f t="shared" si="189"/>
        <v>0</v>
      </c>
      <c r="U357" s="14">
        <f>SUM(BL357:BN357)</f>
        <v>0</v>
      </c>
      <c r="V357" s="14">
        <f t="shared" si="189"/>
        <v>0</v>
      </c>
      <c r="W357" s="14">
        <f>SUM(BN357:BP357)</f>
        <v>0</v>
      </c>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2"/>
      <c r="AX357" s="14"/>
      <c r="AY357" s="14">
        <f>ROUND(AX357/1000/Update!$B$31*Update!$B$27,0)</f>
        <v>0</v>
      </c>
      <c r="AZ357" s="2"/>
      <c r="BA357" s="14"/>
      <c r="BB357" s="14">
        <f>ROUND(BA357/1000/Update!$B$31,0)</f>
        <v>0</v>
      </c>
      <c r="BC357" s="14"/>
      <c r="BD357" s="14">
        <f t="shared" si="172"/>
        <v>0</v>
      </c>
      <c r="BE357" s="318"/>
      <c r="BF357" s="318"/>
      <c r="BG357" s="318"/>
      <c r="BH357" s="318"/>
      <c r="BI357" s="318"/>
      <c r="BJ357" s="318"/>
      <c r="BK357" s="14">
        <f t="shared" si="180"/>
        <v>0</v>
      </c>
      <c r="BL357" s="318"/>
      <c r="BM357" s="318"/>
      <c r="BN357" s="318"/>
      <c r="BO357" s="318"/>
      <c r="BP357" s="318"/>
      <c r="BQ357" s="318"/>
      <c r="BR357" s="318"/>
      <c r="BS357" s="318"/>
      <c r="BT357" s="318"/>
      <c r="BU357" s="318"/>
      <c r="BV357" s="318"/>
      <c r="BW357" s="318"/>
      <c r="BX357" s="318"/>
      <c r="BY357" s="318"/>
      <c r="BZ357" s="318"/>
      <c r="CA357" s="318"/>
      <c r="CB357" s="318"/>
      <c r="CC357" s="318"/>
      <c r="CD357" s="318"/>
      <c r="CE357" s="318"/>
      <c r="CF357" s="318"/>
      <c r="CG357" s="318"/>
      <c r="CH357" s="318"/>
      <c r="CI357" s="318"/>
      <c r="CJ357" s="2"/>
      <c r="CK357" s="2"/>
      <c r="CM357" s="1140">
        <v>0</v>
      </c>
      <c r="CN357" s="1140">
        <v>0</v>
      </c>
      <c r="CP357" s="923">
        <f t="shared" si="175"/>
        <v>0</v>
      </c>
      <c r="CZ357" s="330"/>
    </row>
    <row r="358" spans="1:104" ht="18.75" customHeight="1" x14ac:dyDescent="0.25">
      <c r="A358" s="694">
        <f>MAX($A$6:A357)+1</f>
        <v>358</v>
      </c>
      <c r="B358" s="1299" t="str">
        <f>VLOOKUP(C358,Update!$G$42:$H$103,2,FALSE)</f>
        <v>3a</v>
      </c>
      <c r="C358" s="696" t="s">
        <v>591</v>
      </c>
      <c r="D358" s="695"/>
      <c r="E358" s="696" t="str">
        <f>B358&amp;" "&amp;C358</f>
        <v>3a Other Administration Expenditure</v>
      </c>
      <c r="F358" s="697"/>
      <c r="G358" s="697"/>
      <c r="H358" s="695"/>
      <c r="I358" s="695"/>
      <c r="J358" s="698" t="s">
        <v>286</v>
      </c>
      <c r="K358" s="699">
        <v>0</v>
      </c>
      <c r="L358" s="699">
        <v>0</v>
      </c>
      <c r="M358" s="695"/>
      <c r="N358" s="713">
        <f>ROUND(SUM(O358:AU358)-T358,0)</f>
        <v>0</v>
      </c>
      <c r="O358" s="695"/>
      <c r="P358" s="695"/>
      <c r="Q358" s="695"/>
      <c r="R358" s="695"/>
      <c r="S358" s="695">
        <f t="shared" si="165"/>
        <v>0</v>
      </c>
      <c r="T358" s="713">
        <f>ROUND(SUM(U358:Y358),0)</f>
        <v>0</v>
      </c>
      <c r="U358" s="695"/>
      <c r="V358" s="695"/>
      <c r="W358" s="695"/>
      <c r="X358" s="695"/>
      <c r="Y358" s="695"/>
      <c r="Z358" s="695"/>
      <c r="AA358" s="695"/>
      <c r="AB358" s="695"/>
      <c r="AC358" s="695"/>
      <c r="AD358" s="695"/>
      <c r="AE358" s="695"/>
      <c r="AF358" s="695"/>
      <c r="AG358" s="695"/>
      <c r="AH358" s="695"/>
      <c r="AI358" s="695"/>
      <c r="AJ358" s="695"/>
      <c r="AK358" s="695"/>
      <c r="AL358" s="695"/>
      <c r="AM358" s="695"/>
      <c r="AN358" s="695"/>
      <c r="AO358" s="695"/>
      <c r="AP358" s="695"/>
      <c r="AQ358" s="695"/>
      <c r="AR358" s="695"/>
      <c r="AS358" s="695"/>
      <c r="AT358" s="695"/>
      <c r="AU358" s="695"/>
      <c r="AV358" s="695"/>
      <c r="AW358" s="700"/>
      <c r="AX358" s="700"/>
      <c r="AY358" s="700">
        <f>ROUND(AX358/1000/Update!$B$31*Update!$B$27,0)</f>
        <v>0</v>
      </c>
      <c r="AZ358" s="700"/>
      <c r="BA358" s="700"/>
      <c r="BB358" s="700">
        <f>ROUND(BA358/1000/Update!$B$31,0)</f>
        <v>0</v>
      </c>
      <c r="BC358" s="700"/>
      <c r="BD358" s="721">
        <f t="shared" si="172"/>
        <v>0</v>
      </c>
      <c r="BE358" s="700"/>
      <c r="BF358" s="700"/>
      <c r="BG358" s="700"/>
      <c r="BH358" s="700"/>
      <c r="BI358" s="700"/>
      <c r="BJ358" s="700"/>
      <c r="BK358" s="721">
        <f t="shared" si="180"/>
        <v>0</v>
      </c>
      <c r="BL358" s="700"/>
      <c r="BM358" s="700"/>
      <c r="BN358" s="700"/>
      <c r="BO358" s="700"/>
      <c r="BP358" s="700"/>
      <c r="BQ358" s="700"/>
      <c r="BR358" s="700"/>
      <c r="BS358" s="700"/>
      <c r="BT358" s="700"/>
      <c r="BU358" s="700"/>
      <c r="BV358" s="700"/>
      <c r="BW358" s="700"/>
      <c r="BX358" s="700"/>
      <c r="BY358" s="700"/>
      <c r="BZ358" s="700"/>
      <c r="CA358" s="700"/>
      <c r="CB358" s="700"/>
      <c r="CC358" s="700"/>
      <c r="CD358" s="700"/>
      <c r="CE358" s="700"/>
      <c r="CF358" s="700"/>
      <c r="CG358" s="700"/>
      <c r="CH358" s="700"/>
      <c r="CI358" s="700"/>
      <c r="CJ358" s="700"/>
      <c r="CK358" s="700"/>
      <c r="CM358" s="700">
        <v>0</v>
      </c>
      <c r="CN358" s="700">
        <v>0</v>
      </c>
      <c r="CP358" s="923">
        <f t="shared" si="175"/>
        <v>0</v>
      </c>
      <c r="CZ358" s="330"/>
    </row>
    <row r="359" spans="1:104" ht="15" customHeight="1" x14ac:dyDescent="0.25">
      <c r="A359" s="684">
        <f>MAX($A$6:A358)+1</f>
        <v>359</v>
      </c>
      <c r="B359" s="3" t="str">
        <f t="shared" si="188"/>
        <v>3a</v>
      </c>
      <c r="C359" s="11" t="str">
        <f t="shared" si="183"/>
        <v>Other Administration Expenditure</v>
      </c>
      <c r="D359" s="13" t="s">
        <v>1353</v>
      </c>
      <c r="E359" s="13" t="s">
        <v>151</v>
      </c>
      <c r="F359" s="15"/>
      <c r="G359" s="26"/>
      <c r="H359" s="6"/>
      <c r="I359" s="6"/>
      <c r="J359" s="1257" t="s">
        <v>286</v>
      </c>
      <c r="K359" s="266">
        <f>SUMIF('alb SoCITE'!$A:$A,$J359,'alb SoCITE'!$E:$E)</f>
        <v>0</v>
      </c>
      <c r="L359" s="266">
        <f>SUMIF('alb SoCITE'!$A:$A,$J359,'alb SoCITE'!$E:$E)</f>
        <v>0</v>
      </c>
      <c r="M359" s="252"/>
      <c r="N359" s="273">
        <f>ROUND(SUM(O359:S359)+T359+SUM(Z359:AV359),0)</f>
        <v>0</v>
      </c>
      <c r="O359" s="12"/>
      <c r="P359" s="12"/>
      <c r="Q359" s="12"/>
      <c r="R359" s="12"/>
      <c r="S359" s="6">
        <f t="shared" si="165"/>
        <v>0</v>
      </c>
      <c r="T359" s="273">
        <f>ROUND(SUM(U359:Y359),0)</f>
        <v>0</v>
      </c>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X359" s="6"/>
      <c r="AY359" s="6">
        <f>ROUND(AX359/1000/Update!$B$31*Update!$B$27,0)</f>
        <v>0</v>
      </c>
      <c r="BA359" s="6"/>
      <c r="BB359" s="6">
        <f>ROUND(BA359/1000/Update!$B$31,0)</f>
        <v>0</v>
      </c>
      <c r="BC359" s="6"/>
      <c r="BD359" s="29">
        <f t="shared" si="172"/>
        <v>0</v>
      </c>
      <c r="BE359" s="317"/>
      <c r="BF359" s="317"/>
      <c r="BG359" s="317"/>
      <c r="BH359" s="317"/>
      <c r="BI359" s="317"/>
      <c r="BJ359" s="317"/>
      <c r="BK359" s="29">
        <f t="shared" si="180"/>
        <v>0</v>
      </c>
      <c r="BL359" s="1191"/>
      <c r="BM359" s="322"/>
      <c r="BN359" s="322"/>
      <c r="BO359" s="322"/>
      <c r="BP359" s="322"/>
      <c r="BQ359" s="322"/>
      <c r="BR359" s="322"/>
      <c r="BS359" s="322"/>
      <c r="BT359" s="322"/>
      <c r="BU359" s="322"/>
      <c r="BV359" s="322"/>
      <c r="BW359" s="322"/>
      <c r="BX359" s="322"/>
      <c r="BY359" s="322"/>
      <c r="BZ359" s="322"/>
      <c r="CA359" s="322"/>
      <c r="CB359" s="322"/>
      <c r="CC359" s="322"/>
      <c r="CD359" s="322"/>
      <c r="CE359" s="322"/>
      <c r="CF359" s="322"/>
      <c r="CG359" s="322"/>
      <c r="CH359" s="322"/>
      <c r="CI359" s="322"/>
      <c r="CM359" s="317">
        <v>0</v>
      </c>
      <c r="CN359" s="317">
        <v>0</v>
      </c>
      <c r="CP359" s="923">
        <f t="shared" si="175"/>
        <v>0</v>
      </c>
      <c r="CZ359" s="330"/>
    </row>
    <row r="360" spans="1:104" ht="15" customHeight="1" x14ac:dyDescent="0.25">
      <c r="A360" s="684">
        <f>MAX($A$6:A359)+1</f>
        <v>360</v>
      </c>
      <c r="B360" s="3" t="str">
        <f t="shared" si="188"/>
        <v>3a</v>
      </c>
      <c r="C360" s="11" t="str">
        <f t="shared" si="183"/>
        <v>Other Administration Expenditure</v>
      </c>
      <c r="D360" s="11" t="s">
        <v>282</v>
      </c>
      <c r="E360" s="7" t="s">
        <v>350</v>
      </c>
      <c r="F360" s="15"/>
      <c r="G360" s="1254" t="s">
        <v>350</v>
      </c>
      <c r="H360" s="6">
        <v>0</v>
      </c>
      <c r="I360" s="6">
        <v>0</v>
      </c>
      <c r="J360" s="1257" t="s">
        <v>286</v>
      </c>
      <c r="K360" s="266">
        <f>SUMIF('alb SoCITE'!$A:$A,$J360,'alb SoCITE'!$E:$E)</f>
        <v>0</v>
      </c>
      <c r="L360" s="266">
        <f>SUMIF('alb SoCITE'!$A:$A,$J360,'alb SoCITE'!$E:$E)</f>
        <v>0</v>
      </c>
      <c r="M360" s="252"/>
      <c r="N360" s="273">
        <f>ROUND(SUM(O360:S360)+SUM(W360:AV360),0)</f>
        <v>0</v>
      </c>
      <c r="O360" s="12"/>
      <c r="P360" s="12"/>
      <c r="Q360" s="12"/>
      <c r="R360" s="6"/>
      <c r="S360" s="6">
        <f t="shared" si="165"/>
        <v>0</v>
      </c>
      <c r="T360" s="273">
        <f t="shared" ref="T360:T371" si="190">ROUND(SUM(U360:Y360),0)</f>
        <v>0</v>
      </c>
      <c r="U360" s="6">
        <f>-SUM(BL360:BN360)</f>
        <v>0</v>
      </c>
      <c r="V360" s="6"/>
      <c r="W360" s="6">
        <f t="shared" ref="W360:W371" si="191">+H360</f>
        <v>0</v>
      </c>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X360" s="6"/>
      <c r="AY360" s="6">
        <f>ROUND(AX360/1000/Update!$B$31*Update!$B$27,0)</f>
        <v>0</v>
      </c>
      <c r="BA360" s="6"/>
      <c r="BB360" s="6">
        <f>ROUND(BA360/1000/Update!$B$31,0)</f>
        <v>0</v>
      </c>
      <c r="BC360" s="6"/>
      <c r="BD360" s="29">
        <f t="shared" si="172"/>
        <v>0</v>
      </c>
      <c r="BE360" s="317"/>
      <c r="BF360" s="317"/>
      <c r="BG360" s="317"/>
      <c r="BH360" s="317"/>
      <c r="BI360" s="317"/>
      <c r="BJ360" s="317"/>
      <c r="BK360" s="29">
        <f t="shared" si="180"/>
        <v>0</v>
      </c>
      <c r="BL360" s="1191"/>
      <c r="BM360" s="322"/>
      <c r="BN360" s="322"/>
      <c r="BO360" s="322"/>
      <c r="BP360" s="322"/>
      <c r="BQ360" s="322"/>
      <c r="BR360" s="322"/>
      <c r="BS360" s="322"/>
      <c r="BT360" s="322"/>
      <c r="BU360" s="322"/>
      <c r="BV360" s="322"/>
      <c r="BW360" s="322"/>
      <c r="BX360" s="322"/>
      <c r="BY360" s="322"/>
      <c r="BZ360" s="322"/>
      <c r="CA360" s="322"/>
      <c r="CB360" s="322"/>
      <c r="CC360" s="322"/>
      <c r="CD360" s="322"/>
      <c r="CE360" s="322"/>
      <c r="CF360" s="322"/>
      <c r="CG360" s="322"/>
      <c r="CH360" s="322"/>
      <c r="CI360" s="322"/>
      <c r="CM360" s="1139">
        <v>0</v>
      </c>
      <c r="CN360" s="1139">
        <v>0</v>
      </c>
      <c r="CP360" s="923">
        <f t="shared" si="175"/>
        <v>0</v>
      </c>
      <c r="CZ360" s="330"/>
    </row>
    <row r="361" spans="1:104" ht="15" customHeight="1" x14ac:dyDescent="0.25">
      <c r="A361" s="684">
        <f>MAX($A$6:A360)+1</f>
        <v>361</v>
      </c>
      <c r="B361" s="3" t="str">
        <f t="shared" si="188"/>
        <v>3a</v>
      </c>
      <c r="C361" s="11" t="str">
        <f t="shared" si="183"/>
        <v>Other Administration Expenditure</v>
      </c>
      <c r="D361" s="11" t="s">
        <v>282</v>
      </c>
      <c r="E361" s="7" t="s">
        <v>351</v>
      </c>
      <c r="F361" s="15"/>
      <c r="G361" s="1254" t="s">
        <v>351</v>
      </c>
      <c r="H361" s="6">
        <v>0</v>
      </c>
      <c r="I361" s="6">
        <v>0</v>
      </c>
      <c r="J361" s="1257" t="s">
        <v>286</v>
      </c>
      <c r="K361" s="266">
        <f>SUMIF('alb SoCITE'!$A:$A,$J361,'alb SoCITE'!$E:$E)</f>
        <v>0</v>
      </c>
      <c r="L361" s="266">
        <f>SUMIF('alb SoCITE'!$A:$A,$J361,'alb SoCITE'!$E:$E)</f>
        <v>0</v>
      </c>
      <c r="M361" s="252"/>
      <c r="N361" s="273">
        <f t="shared" ref="N361:N371" si="192">ROUND(SUM(O361:S361)+SUM(W361:AV361),0)</f>
        <v>0</v>
      </c>
      <c r="O361" s="12"/>
      <c r="P361" s="12"/>
      <c r="Q361" s="12"/>
      <c r="R361" s="6"/>
      <c r="S361" s="6">
        <f t="shared" si="165"/>
        <v>0</v>
      </c>
      <c r="T361" s="273">
        <f t="shared" si="190"/>
        <v>0</v>
      </c>
      <c r="U361" s="6">
        <f t="shared" ref="U361:U371" si="193">-SUM(BL361:BN361)</f>
        <v>0</v>
      </c>
      <c r="V361" s="6"/>
      <c r="W361" s="6">
        <f t="shared" si="191"/>
        <v>0</v>
      </c>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X361" s="6"/>
      <c r="AY361" s="6">
        <f>ROUND(AX361/1000/Update!$B$31*Update!$B$27,0)</f>
        <v>0</v>
      </c>
      <c r="BA361" s="6"/>
      <c r="BB361" s="6">
        <f>ROUND(BA361/1000/Update!$B$31,0)</f>
        <v>0</v>
      </c>
      <c r="BC361" s="6"/>
      <c r="BD361" s="29">
        <f t="shared" si="172"/>
        <v>0</v>
      </c>
      <c r="BE361" s="317"/>
      <c r="BF361" s="317"/>
      <c r="BG361" s="317"/>
      <c r="BH361" s="317"/>
      <c r="BI361" s="317"/>
      <c r="BJ361" s="317"/>
      <c r="BK361" s="29">
        <f t="shared" si="180"/>
        <v>0</v>
      </c>
      <c r="BL361" s="1191"/>
      <c r="BM361" s="322"/>
      <c r="BN361" s="322"/>
      <c r="BO361" s="322"/>
      <c r="BP361" s="322"/>
      <c r="BQ361" s="322"/>
      <c r="BR361" s="322"/>
      <c r="BS361" s="322"/>
      <c r="BT361" s="322"/>
      <c r="BU361" s="322"/>
      <c r="BV361" s="322"/>
      <c r="BW361" s="322"/>
      <c r="BX361" s="322"/>
      <c r="BY361" s="322"/>
      <c r="BZ361" s="322"/>
      <c r="CA361" s="322"/>
      <c r="CB361" s="322"/>
      <c r="CC361" s="322"/>
      <c r="CD361" s="322"/>
      <c r="CE361" s="322"/>
      <c r="CF361" s="322"/>
      <c r="CG361" s="322"/>
      <c r="CH361" s="322"/>
      <c r="CI361" s="322"/>
      <c r="CM361" s="1139">
        <v>0</v>
      </c>
      <c r="CN361" s="1139">
        <v>0</v>
      </c>
      <c r="CP361" s="923">
        <f t="shared" si="175"/>
        <v>0</v>
      </c>
      <c r="CZ361" s="330"/>
    </row>
    <row r="362" spans="1:104" ht="15" customHeight="1" x14ac:dyDescent="0.25">
      <c r="A362" s="684">
        <f>MAX($A$6:A361)+1</f>
        <v>362</v>
      </c>
      <c r="B362" s="3" t="str">
        <f t="shared" si="188"/>
        <v>3a</v>
      </c>
      <c r="C362" s="11" t="str">
        <f t="shared" si="183"/>
        <v>Other Administration Expenditure</v>
      </c>
      <c r="D362" s="11" t="s">
        <v>282</v>
      </c>
      <c r="E362" s="7" t="s">
        <v>352</v>
      </c>
      <c r="F362" s="15"/>
      <c r="G362" s="1254" t="s">
        <v>352</v>
      </c>
      <c r="H362" s="6">
        <v>0</v>
      </c>
      <c r="I362" s="6">
        <v>0</v>
      </c>
      <c r="J362" s="1257" t="s">
        <v>286</v>
      </c>
      <c r="K362" s="266">
        <f>SUMIF('alb SoCITE'!$A:$A,$J362,'alb SoCITE'!$E:$E)</f>
        <v>0</v>
      </c>
      <c r="L362" s="266">
        <f>SUMIF('alb SoCITE'!$A:$A,$J362,'alb SoCITE'!$E:$E)</f>
        <v>0</v>
      </c>
      <c r="M362" s="252"/>
      <c r="N362" s="273">
        <f t="shared" si="192"/>
        <v>0</v>
      </c>
      <c r="O362" s="12"/>
      <c r="P362" s="12"/>
      <c r="Q362" s="12"/>
      <c r="R362" s="6"/>
      <c r="S362" s="6">
        <f t="shared" si="165"/>
        <v>0</v>
      </c>
      <c r="T362" s="273">
        <f t="shared" si="190"/>
        <v>0</v>
      </c>
      <c r="U362" s="6">
        <f t="shared" si="193"/>
        <v>0</v>
      </c>
      <c r="V362" s="6"/>
      <c r="W362" s="6">
        <f t="shared" si="191"/>
        <v>0</v>
      </c>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X362" s="6"/>
      <c r="AY362" s="6">
        <f>ROUND(AX362/1000/Update!$B$31*Update!$B$27,0)</f>
        <v>0</v>
      </c>
      <c r="BA362" s="6"/>
      <c r="BB362" s="6">
        <f>ROUND(BA362/1000/Update!$B$31,0)</f>
        <v>0</v>
      </c>
      <c r="BC362" s="6"/>
      <c r="BD362" s="29">
        <f t="shared" si="172"/>
        <v>0</v>
      </c>
      <c r="BE362" s="317"/>
      <c r="BF362" s="317"/>
      <c r="BG362" s="317"/>
      <c r="BH362" s="317"/>
      <c r="BI362" s="317"/>
      <c r="BJ362" s="317"/>
      <c r="BK362" s="29">
        <f t="shared" si="180"/>
        <v>0</v>
      </c>
      <c r="BL362" s="1191"/>
      <c r="BM362" s="322"/>
      <c r="BN362" s="322"/>
      <c r="BO362" s="322"/>
      <c r="BP362" s="322"/>
      <c r="BQ362" s="322"/>
      <c r="BR362" s="322"/>
      <c r="BS362" s="322"/>
      <c r="BT362" s="322"/>
      <c r="BU362" s="322"/>
      <c r="BV362" s="322"/>
      <c r="BW362" s="322"/>
      <c r="BX362" s="322"/>
      <c r="BY362" s="322"/>
      <c r="BZ362" s="322"/>
      <c r="CA362" s="322"/>
      <c r="CB362" s="322"/>
      <c r="CC362" s="322"/>
      <c r="CD362" s="322"/>
      <c r="CE362" s="322"/>
      <c r="CF362" s="322"/>
      <c r="CG362" s="322"/>
      <c r="CH362" s="322"/>
      <c r="CI362" s="322"/>
      <c r="CM362" s="1139">
        <v>0</v>
      </c>
      <c r="CN362" s="1139">
        <v>0</v>
      </c>
      <c r="CP362" s="923">
        <f t="shared" si="175"/>
        <v>0</v>
      </c>
      <c r="CZ362" s="330"/>
    </row>
    <row r="363" spans="1:104" ht="15" customHeight="1" x14ac:dyDescent="0.25">
      <c r="A363" s="684">
        <f>MAX($A$6:A362)+1</f>
        <v>363</v>
      </c>
      <c r="B363" s="3" t="str">
        <f t="shared" si="188"/>
        <v>3a</v>
      </c>
      <c r="C363" s="11" t="str">
        <f t="shared" si="183"/>
        <v>Other Administration Expenditure</v>
      </c>
      <c r="D363" s="11" t="s">
        <v>282</v>
      </c>
      <c r="E363" s="7" t="s">
        <v>352</v>
      </c>
      <c r="F363" s="15"/>
      <c r="G363" s="1254"/>
      <c r="H363" s="6">
        <v>0</v>
      </c>
      <c r="I363" s="6">
        <v>0</v>
      </c>
      <c r="J363" s="1262" t="s">
        <v>1006</v>
      </c>
      <c r="K363" s="266">
        <f>SUMIF('alb SoCITE'!$A:$A,$J363,'alb SoCITE'!$E:$E)</f>
        <v>0</v>
      </c>
      <c r="L363" s="266">
        <f>SUMIF('alb SoCITE'!$A:$A,$J363,'alb SoCITE'!$E:$E)</f>
        <v>0</v>
      </c>
      <c r="M363" s="252"/>
      <c r="N363" s="273">
        <f t="shared" si="192"/>
        <v>0</v>
      </c>
      <c r="O363" s="12"/>
      <c r="P363" s="12"/>
      <c r="Q363" s="12"/>
      <c r="R363" s="6"/>
      <c r="S363" s="6">
        <f t="shared" si="165"/>
        <v>0</v>
      </c>
      <c r="T363" s="273">
        <f t="shared" si="190"/>
        <v>0</v>
      </c>
      <c r="U363" s="6">
        <f t="shared" si="193"/>
        <v>0</v>
      </c>
      <c r="V363" s="6"/>
      <c r="W363" s="6">
        <f t="shared" si="191"/>
        <v>0</v>
      </c>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X363" s="6"/>
      <c r="AY363" s="6"/>
      <c r="BA363" s="6"/>
      <c r="BB363" s="6"/>
      <c r="BC363" s="6"/>
      <c r="BD363" s="29">
        <f t="shared" si="172"/>
        <v>0</v>
      </c>
      <c r="BE363" s="317"/>
      <c r="BF363" s="317"/>
      <c r="BG363" s="317"/>
      <c r="BH363" s="317"/>
      <c r="BI363" s="317"/>
      <c r="BJ363" s="317"/>
      <c r="BK363" s="29">
        <f t="shared" si="180"/>
        <v>0</v>
      </c>
      <c r="BL363" s="1191"/>
      <c r="BM363" s="322"/>
      <c r="BN363" s="322"/>
      <c r="BO363" s="322"/>
      <c r="BP363" s="322"/>
      <c r="BQ363" s="322"/>
      <c r="BR363" s="322"/>
      <c r="BS363" s="322"/>
      <c r="BT363" s="322"/>
      <c r="BU363" s="322"/>
      <c r="BV363" s="322"/>
      <c r="BW363" s="322"/>
      <c r="BX363" s="322"/>
      <c r="BY363" s="322"/>
      <c r="BZ363" s="322"/>
      <c r="CA363" s="322"/>
      <c r="CB363" s="322"/>
      <c r="CC363" s="322"/>
      <c r="CD363" s="322"/>
      <c r="CE363" s="322"/>
      <c r="CF363" s="322"/>
      <c r="CG363" s="322"/>
      <c r="CH363" s="322"/>
      <c r="CI363" s="322"/>
      <c r="CM363" s="1139">
        <v>0</v>
      </c>
      <c r="CN363" s="1139">
        <v>0</v>
      </c>
      <c r="CP363" s="923">
        <f t="shared" si="175"/>
        <v>0</v>
      </c>
      <c r="CZ363" s="330"/>
    </row>
    <row r="364" spans="1:104" ht="15" customHeight="1" x14ac:dyDescent="0.25">
      <c r="A364" s="684">
        <f>MAX($A$6:A363)+1</f>
        <v>364</v>
      </c>
      <c r="B364" s="3" t="str">
        <f t="shared" si="188"/>
        <v>3a</v>
      </c>
      <c r="C364" s="11" t="str">
        <f t="shared" si="183"/>
        <v>Other Administration Expenditure</v>
      </c>
      <c r="D364" s="11" t="s">
        <v>282</v>
      </c>
      <c r="E364" s="7" t="s">
        <v>352</v>
      </c>
      <c r="F364" s="15"/>
      <c r="G364" s="1254"/>
      <c r="H364" s="6">
        <v>0</v>
      </c>
      <c r="I364" s="6">
        <v>0</v>
      </c>
      <c r="J364" s="1262" t="s">
        <v>1007</v>
      </c>
      <c r="K364" s="266">
        <f>SUMIF('alb SoCITE'!$A:$A,$J364,'alb SoCITE'!$E:$E)</f>
        <v>0</v>
      </c>
      <c r="L364" s="266">
        <f>SUMIF('alb SoCITE'!$A:$A,$J364,'alb SoCITE'!$E:$E)</f>
        <v>0</v>
      </c>
      <c r="M364" s="252"/>
      <c r="N364" s="273">
        <f t="shared" si="192"/>
        <v>0</v>
      </c>
      <c r="O364" s="12"/>
      <c r="P364" s="12"/>
      <c r="Q364" s="12"/>
      <c r="R364" s="6"/>
      <c r="S364" s="6">
        <f t="shared" si="165"/>
        <v>0</v>
      </c>
      <c r="T364" s="273">
        <f t="shared" si="190"/>
        <v>0</v>
      </c>
      <c r="U364" s="6">
        <f t="shared" si="193"/>
        <v>0</v>
      </c>
      <c r="V364" s="6"/>
      <c r="W364" s="6">
        <f t="shared" si="191"/>
        <v>0</v>
      </c>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X364" s="6"/>
      <c r="AY364" s="6"/>
      <c r="BA364" s="6"/>
      <c r="BB364" s="6"/>
      <c r="BC364" s="6"/>
      <c r="BD364" s="29">
        <f t="shared" si="172"/>
        <v>0</v>
      </c>
      <c r="BE364" s="317"/>
      <c r="BF364" s="317"/>
      <c r="BG364" s="317"/>
      <c r="BH364" s="317"/>
      <c r="BI364" s="317"/>
      <c r="BJ364" s="317"/>
      <c r="BK364" s="29">
        <f t="shared" si="180"/>
        <v>0</v>
      </c>
      <c r="BL364" s="1191"/>
      <c r="BM364" s="322"/>
      <c r="BN364" s="322"/>
      <c r="BO364" s="322"/>
      <c r="BP364" s="322"/>
      <c r="BQ364" s="322"/>
      <c r="BR364" s="322"/>
      <c r="BS364" s="322"/>
      <c r="BT364" s="322"/>
      <c r="BU364" s="322"/>
      <c r="BV364" s="322"/>
      <c r="BW364" s="322"/>
      <c r="BX364" s="322"/>
      <c r="BY364" s="322"/>
      <c r="BZ364" s="322"/>
      <c r="CA364" s="322"/>
      <c r="CB364" s="322"/>
      <c r="CC364" s="322"/>
      <c r="CD364" s="322"/>
      <c r="CE364" s="322"/>
      <c r="CF364" s="322"/>
      <c r="CG364" s="322"/>
      <c r="CH364" s="322"/>
      <c r="CI364" s="322"/>
      <c r="CM364" s="1139">
        <v>0</v>
      </c>
      <c r="CN364" s="1139">
        <v>0</v>
      </c>
      <c r="CP364" s="923">
        <f t="shared" si="175"/>
        <v>0</v>
      </c>
      <c r="CZ364" s="330"/>
    </row>
    <row r="365" spans="1:104" ht="15" customHeight="1" x14ac:dyDescent="0.25">
      <c r="A365" s="684">
        <f>MAX($A$6:A364)+1</f>
        <v>365</v>
      </c>
      <c r="B365" s="3" t="str">
        <f t="shared" si="188"/>
        <v>3a</v>
      </c>
      <c r="C365" s="11" t="str">
        <f t="shared" si="183"/>
        <v>Other Administration Expenditure</v>
      </c>
      <c r="D365" s="11" t="s">
        <v>282</v>
      </c>
      <c r="E365" s="7" t="s">
        <v>352</v>
      </c>
      <c r="F365" s="15"/>
      <c r="G365" s="1254"/>
      <c r="H365" s="6">
        <v>0</v>
      </c>
      <c r="I365" s="6">
        <v>0</v>
      </c>
      <c r="J365" s="1262" t="s">
        <v>1008</v>
      </c>
      <c r="K365" s="266">
        <f>SUMIF('alb SoCITE'!$A:$A,$J365,'alb SoCITE'!$E:$E)</f>
        <v>0</v>
      </c>
      <c r="L365" s="266">
        <f>SUMIF('alb SoCITE'!$A:$A,$J365,'alb SoCITE'!$E:$E)</f>
        <v>0</v>
      </c>
      <c r="M365" s="252"/>
      <c r="N365" s="273">
        <f t="shared" si="192"/>
        <v>0</v>
      </c>
      <c r="O365" s="12"/>
      <c r="P365" s="12"/>
      <c r="Q365" s="12"/>
      <c r="R365" s="6"/>
      <c r="S365" s="6">
        <f t="shared" si="165"/>
        <v>0</v>
      </c>
      <c r="T365" s="273">
        <f t="shared" si="190"/>
        <v>0</v>
      </c>
      <c r="U365" s="6">
        <f t="shared" si="193"/>
        <v>0</v>
      </c>
      <c r="V365" s="6"/>
      <c r="W365" s="6">
        <f t="shared" si="191"/>
        <v>0</v>
      </c>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X365" s="6"/>
      <c r="AY365" s="6"/>
      <c r="BA365" s="6"/>
      <c r="BB365" s="6"/>
      <c r="BC365" s="6"/>
      <c r="BD365" s="29">
        <f t="shared" si="172"/>
        <v>0</v>
      </c>
      <c r="BE365" s="317"/>
      <c r="BF365" s="317"/>
      <c r="BG365" s="317"/>
      <c r="BH365" s="317"/>
      <c r="BI365" s="317"/>
      <c r="BJ365" s="317"/>
      <c r="BK365" s="29">
        <f t="shared" si="180"/>
        <v>0</v>
      </c>
      <c r="BL365" s="1191"/>
      <c r="BM365" s="322"/>
      <c r="BN365" s="322"/>
      <c r="BO365" s="322"/>
      <c r="BP365" s="322"/>
      <c r="BQ365" s="322"/>
      <c r="BR365" s="322"/>
      <c r="BS365" s="322"/>
      <c r="BT365" s="322"/>
      <c r="BU365" s="322"/>
      <c r="BV365" s="322"/>
      <c r="BW365" s="322"/>
      <c r="BX365" s="322"/>
      <c r="BY365" s="322"/>
      <c r="BZ365" s="322"/>
      <c r="CA365" s="322"/>
      <c r="CB365" s="322"/>
      <c r="CC365" s="322"/>
      <c r="CD365" s="322"/>
      <c r="CE365" s="322"/>
      <c r="CF365" s="322"/>
      <c r="CG365" s="322"/>
      <c r="CH365" s="322"/>
      <c r="CI365" s="322"/>
      <c r="CM365" s="1139">
        <v>0</v>
      </c>
      <c r="CN365" s="1139">
        <v>0</v>
      </c>
      <c r="CP365" s="923">
        <f t="shared" si="175"/>
        <v>0</v>
      </c>
      <c r="CZ365" s="330"/>
    </row>
    <row r="366" spans="1:104" ht="15" customHeight="1" x14ac:dyDescent="0.25">
      <c r="A366" s="684">
        <f>MAX($A$6:A365)+1</f>
        <v>366</v>
      </c>
      <c r="B366" s="3" t="str">
        <f>B362</f>
        <v>3a</v>
      </c>
      <c r="C366" s="11" t="str">
        <f>C362</f>
        <v>Other Administration Expenditure</v>
      </c>
      <c r="D366" s="11" t="s">
        <v>464</v>
      </c>
      <c r="E366" s="7" t="s">
        <v>155</v>
      </c>
      <c r="F366" s="15"/>
      <c r="G366" s="1254" t="s">
        <v>155</v>
      </c>
      <c r="H366" s="6">
        <v>0</v>
      </c>
      <c r="I366" s="6">
        <v>0</v>
      </c>
      <c r="J366" s="1257" t="s">
        <v>286</v>
      </c>
      <c r="K366" s="266">
        <f>SUMIF('alb SoCITE'!$A:$A,$J366,'alb SoCITE'!$E:$E)</f>
        <v>0</v>
      </c>
      <c r="L366" s="266">
        <f>SUMIF('alb SoCITE'!$A:$A,$J366,'alb SoCITE'!$E:$E)</f>
        <v>0</v>
      </c>
      <c r="M366" s="252"/>
      <c r="N366" s="273">
        <f t="shared" si="192"/>
        <v>0</v>
      </c>
      <c r="O366" s="12"/>
      <c r="P366" s="12"/>
      <c r="Q366" s="12"/>
      <c r="R366" s="6"/>
      <c r="S366" s="6">
        <f t="shared" si="165"/>
        <v>0</v>
      </c>
      <c r="T366" s="273">
        <f t="shared" si="190"/>
        <v>0</v>
      </c>
      <c r="U366" s="6">
        <f t="shared" si="193"/>
        <v>0</v>
      </c>
      <c r="V366" s="6"/>
      <c r="W366" s="6">
        <f t="shared" si="191"/>
        <v>0</v>
      </c>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X366" s="6"/>
      <c r="AY366" s="6">
        <f>ROUND(AX366/1000/Update!$B$31*Update!$B$27,0)</f>
        <v>0</v>
      </c>
      <c r="BA366" s="6"/>
      <c r="BB366" s="6">
        <f>ROUND(BA366/1000/Update!$B$31,0)</f>
        <v>0</v>
      </c>
      <c r="BC366" s="6"/>
      <c r="BD366" s="29">
        <f t="shared" si="172"/>
        <v>0</v>
      </c>
      <c r="BE366" s="317"/>
      <c r="BF366" s="317"/>
      <c r="BG366" s="317"/>
      <c r="BH366" s="317"/>
      <c r="BI366" s="317"/>
      <c r="BJ366" s="317"/>
      <c r="BK366" s="29">
        <f t="shared" si="180"/>
        <v>0</v>
      </c>
      <c r="BL366" s="1191"/>
      <c r="BM366" s="322"/>
      <c r="BN366" s="322"/>
      <c r="BO366" s="322"/>
      <c r="BP366" s="322"/>
      <c r="BQ366" s="322"/>
      <c r="BR366" s="322"/>
      <c r="BS366" s="322"/>
      <c r="BT366" s="322"/>
      <c r="BU366" s="322"/>
      <c r="BV366" s="322"/>
      <c r="BW366" s="322"/>
      <c r="BX366" s="322"/>
      <c r="BY366" s="322"/>
      <c r="BZ366" s="322"/>
      <c r="CA366" s="322"/>
      <c r="CB366" s="322"/>
      <c r="CC366" s="322"/>
      <c r="CD366" s="322"/>
      <c r="CE366" s="322"/>
      <c r="CF366" s="322"/>
      <c r="CG366" s="322"/>
      <c r="CH366" s="322"/>
      <c r="CI366" s="322"/>
      <c r="CM366" s="1139">
        <v>0</v>
      </c>
      <c r="CN366" s="1139">
        <v>0</v>
      </c>
      <c r="CP366" s="923">
        <f t="shared" si="175"/>
        <v>0</v>
      </c>
      <c r="CZ366" s="330"/>
    </row>
    <row r="367" spans="1:104" ht="15" customHeight="1" x14ac:dyDescent="0.25">
      <c r="A367" s="684">
        <f>MAX($A$6:A366)+1</f>
        <v>367</v>
      </c>
      <c r="B367" s="3" t="str">
        <f>B365</f>
        <v>3a</v>
      </c>
      <c r="C367" s="11" t="str">
        <f>C365</f>
        <v>Other Administration Expenditure</v>
      </c>
      <c r="D367" s="11" t="s">
        <v>309</v>
      </c>
      <c r="E367" s="7" t="s">
        <v>2470</v>
      </c>
      <c r="F367" s="15"/>
      <c r="G367" s="1254" t="s">
        <v>2470</v>
      </c>
      <c r="H367" s="6">
        <v>0</v>
      </c>
      <c r="I367" s="6">
        <v>0</v>
      </c>
      <c r="J367" s="1257" t="s">
        <v>286</v>
      </c>
      <c r="K367" s="266">
        <f>SUMIF('alb SoCITE'!$A:$A,$J367,'alb SoCITE'!$E:$E)</f>
        <v>0</v>
      </c>
      <c r="L367" s="266">
        <f>SUMIF('alb SoCITE'!$A:$A,$J367,'alb SoCITE'!$E:$E)</f>
        <v>0</v>
      </c>
      <c r="M367" s="252"/>
      <c r="N367" s="273">
        <f>ROUND(SUM(O367:S367)+SUM(W367:AV367),0)</f>
        <v>0</v>
      </c>
      <c r="O367" s="12"/>
      <c r="P367" s="12"/>
      <c r="Q367" s="12"/>
      <c r="R367" s="6"/>
      <c r="S367" s="6">
        <f>-IF(ISNUMBER(BD367),BD367,0)</f>
        <v>0</v>
      </c>
      <c r="T367" s="273">
        <f>ROUND(SUM(U367:Y367),0)</f>
        <v>0</v>
      </c>
      <c r="U367" s="6">
        <f>-SUM(BL367:BN367)</f>
        <v>0</v>
      </c>
      <c r="V367" s="6"/>
      <c r="W367" s="6">
        <f>+H367</f>
        <v>0</v>
      </c>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X367" s="6"/>
      <c r="AY367" s="6">
        <f>ROUND(AX367/1000/Update!$B$31*Update!$B$27,0)</f>
        <v>0</v>
      </c>
      <c r="BA367" s="6"/>
      <c r="BB367" s="6">
        <f>ROUND(BA367/1000/Update!$B$31,0)</f>
        <v>0</v>
      </c>
      <c r="BC367" s="6"/>
      <c r="BD367" s="29">
        <f>ROUND(SUM(BE367:BK367),0)</f>
        <v>0</v>
      </c>
      <c r="BE367" s="317"/>
      <c r="BF367" s="317"/>
      <c r="BG367" s="317"/>
      <c r="BH367" s="317"/>
      <c r="BI367" s="317"/>
      <c r="BJ367" s="317"/>
      <c r="BK367" s="29">
        <f>ROUND(SUM(BO367:CI367),0)</f>
        <v>0</v>
      </c>
      <c r="BL367" s="1191"/>
      <c r="BM367" s="322"/>
      <c r="BN367" s="322"/>
      <c r="BO367" s="322"/>
      <c r="BP367" s="322"/>
      <c r="BQ367" s="322"/>
      <c r="BR367" s="322"/>
      <c r="BS367" s="322"/>
      <c r="BT367" s="322"/>
      <c r="BU367" s="322"/>
      <c r="BV367" s="322"/>
      <c r="BW367" s="322"/>
      <c r="BX367" s="322"/>
      <c r="BY367" s="322"/>
      <c r="BZ367" s="322"/>
      <c r="CA367" s="322"/>
      <c r="CB367" s="322"/>
      <c r="CC367" s="322"/>
      <c r="CD367" s="322"/>
      <c r="CE367" s="322"/>
      <c r="CF367" s="322"/>
      <c r="CG367" s="322"/>
      <c r="CH367" s="322"/>
      <c r="CI367" s="322"/>
      <c r="CM367" s="1139">
        <v>0</v>
      </c>
      <c r="CN367" s="1139">
        <v>0</v>
      </c>
      <c r="CP367" s="923">
        <f t="shared" si="175"/>
        <v>0</v>
      </c>
      <c r="CZ367" s="330"/>
    </row>
    <row r="368" spans="1:104" ht="15" customHeight="1" x14ac:dyDescent="0.25">
      <c r="A368" s="684">
        <f>MAX($A$6:A367)+1</f>
        <v>368</v>
      </c>
      <c r="B368" s="3" t="str">
        <f>B366</f>
        <v>3a</v>
      </c>
      <c r="C368" s="11" t="str">
        <f>C366</f>
        <v>Other Administration Expenditure</v>
      </c>
      <c r="D368" s="11" t="s">
        <v>309</v>
      </c>
      <c r="E368" s="7" t="s">
        <v>156</v>
      </c>
      <c r="F368" s="15"/>
      <c r="G368" s="1254" t="s">
        <v>156</v>
      </c>
      <c r="H368" s="6">
        <v>0</v>
      </c>
      <c r="I368" s="6">
        <v>0</v>
      </c>
      <c r="J368" s="1257" t="s">
        <v>286</v>
      </c>
      <c r="K368" s="266">
        <f>SUMIF('alb SoCITE'!$A:$A,$J368,'alb SoCITE'!$E:$E)</f>
        <v>0</v>
      </c>
      <c r="L368" s="266">
        <f>SUMIF('alb SoCITE'!$A:$A,$J368,'alb SoCITE'!$E:$E)</f>
        <v>0</v>
      </c>
      <c r="M368" s="252"/>
      <c r="N368" s="273">
        <f t="shared" si="192"/>
        <v>0</v>
      </c>
      <c r="O368" s="12"/>
      <c r="P368" s="12"/>
      <c r="Q368" s="12"/>
      <c r="R368" s="6"/>
      <c r="S368" s="6">
        <f>-IF(ISNUMBER(BD368),BD368,0)</f>
        <v>0</v>
      </c>
      <c r="T368" s="273">
        <f t="shared" si="190"/>
        <v>0</v>
      </c>
      <c r="U368" s="6">
        <f t="shared" si="193"/>
        <v>0</v>
      </c>
      <c r="V368" s="6"/>
      <c r="W368" s="6">
        <f t="shared" si="191"/>
        <v>0</v>
      </c>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X368" s="6"/>
      <c r="AY368" s="6">
        <f>ROUND(AX368/1000/Update!$B$31*Update!$B$27,0)</f>
        <v>0</v>
      </c>
      <c r="BA368" s="6"/>
      <c r="BB368" s="6">
        <f>ROUND(BA368/1000/Update!$B$31,0)</f>
        <v>0</v>
      </c>
      <c r="BC368" s="6"/>
      <c r="BD368" s="29">
        <f t="shared" si="172"/>
        <v>0</v>
      </c>
      <c r="BE368" s="317"/>
      <c r="BF368" s="317"/>
      <c r="BG368" s="317"/>
      <c r="BH368" s="317"/>
      <c r="BI368" s="317"/>
      <c r="BJ368" s="317"/>
      <c r="BK368" s="29">
        <f t="shared" si="180"/>
        <v>0</v>
      </c>
      <c r="BL368" s="1191"/>
      <c r="BM368" s="322"/>
      <c r="BN368" s="322"/>
      <c r="BO368" s="322"/>
      <c r="BP368" s="322"/>
      <c r="BQ368" s="322"/>
      <c r="BR368" s="322"/>
      <c r="BS368" s="322"/>
      <c r="BT368" s="322"/>
      <c r="BU368" s="322"/>
      <c r="BV368" s="322"/>
      <c r="BW368" s="322"/>
      <c r="BX368" s="322"/>
      <c r="BY368" s="322"/>
      <c r="BZ368" s="322"/>
      <c r="CA368" s="322"/>
      <c r="CB368" s="322"/>
      <c r="CC368" s="322"/>
      <c r="CD368" s="322"/>
      <c r="CE368" s="322"/>
      <c r="CF368" s="322"/>
      <c r="CG368" s="322"/>
      <c r="CH368" s="322"/>
      <c r="CI368" s="322"/>
      <c r="CM368" s="1139">
        <v>0</v>
      </c>
      <c r="CN368" s="1139">
        <v>0</v>
      </c>
      <c r="CP368" s="923">
        <f t="shared" si="175"/>
        <v>0</v>
      </c>
      <c r="CZ368" s="330"/>
    </row>
    <row r="369" spans="1:104" ht="38.25" customHeight="1" x14ac:dyDescent="0.25">
      <c r="A369" s="684">
        <f>MAX($A$6:A368)+1</f>
        <v>369</v>
      </c>
      <c r="B369" s="3" t="str">
        <f t="shared" si="188"/>
        <v>3a</v>
      </c>
      <c r="C369" s="11" t="str">
        <f t="shared" si="183"/>
        <v>Other Administration Expenditure</v>
      </c>
      <c r="D369" s="11" t="s">
        <v>464</v>
      </c>
      <c r="E369" s="7" t="s">
        <v>353</v>
      </c>
      <c r="F369" s="15"/>
      <c r="G369" s="1254" t="s">
        <v>353</v>
      </c>
      <c r="H369" s="6">
        <v>0</v>
      </c>
      <c r="I369" s="6">
        <v>0</v>
      </c>
      <c r="J369" s="1257" t="s">
        <v>286</v>
      </c>
      <c r="K369" s="266">
        <f>SUMIF('alb SoCITE'!$A:$A,$J369,'alb SoCITE'!$E:$E)</f>
        <v>0</v>
      </c>
      <c r="L369" s="266">
        <f>SUMIF('alb SoCITE'!$A:$A,$J369,'alb SoCITE'!$E:$E)</f>
        <v>0</v>
      </c>
      <c r="M369" s="252"/>
      <c r="N369" s="273">
        <f t="shared" si="192"/>
        <v>0</v>
      </c>
      <c r="O369" s="12"/>
      <c r="P369" s="12"/>
      <c r="Q369" s="12"/>
      <c r="R369" s="6"/>
      <c r="S369" s="6">
        <f>-IF(ISNUMBER(BD369),BD369,0)</f>
        <v>0</v>
      </c>
      <c r="T369" s="273">
        <f t="shared" si="190"/>
        <v>0</v>
      </c>
      <c r="U369" s="6">
        <f t="shared" si="193"/>
        <v>0</v>
      </c>
      <c r="V369" s="6"/>
      <c r="W369" s="6">
        <f t="shared" si="191"/>
        <v>0</v>
      </c>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X369" s="6"/>
      <c r="AY369" s="6">
        <f>ROUND(AX369/1000/Update!$B$31*Update!$B$27,0)</f>
        <v>0</v>
      </c>
      <c r="BA369" s="6"/>
      <c r="BB369" s="6">
        <f>ROUND(BA369/1000/Update!$B$31,0)</f>
        <v>0</v>
      </c>
      <c r="BC369" s="6"/>
      <c r="BD369" s="29">
        <f t="shared" si="172"/>
        <v>0</v>
      </c>
      <c r="BE369" s="317"/>
      <c r="BF369" s="317"/>
      <c r="BG369" s="317"/>
      <c r="BH369" s="317"/>
      <c r="BI369" s="317"/>
      <c r="BJ369" s="317"/>
      <c r="BK369" s="29">
        <f t="shared" si="180"/>
        <v>0</v>
      </c>
      <c r="BL369" s="1191"/>
      <c r="BM369" s="322"/>
      <c r="BN369" s="322"/>
      <c r="BO369" s="322"/>
      <c r="BP369" s="322"/>
      <c r="BQ369" s="322"/>
      <c r="BR369" s="322"/>
      <c r="BS369" s="322"/>
      <c r="BT369" s="322"/>
      <c r="BU369" s="322"/>
      <c r="BV369" s="322"/>
      <c r="BW369" s="322"/>
      <c r="BX369" s="322"/>
      <c r="BY369" s="322"/>
      <c r="BZ369" s="322"/>
      <c r="CA369" s="322"/>
      <c r="CB369" s="322"/>
      <c r="CC369" s="322"/>
      <c r="CD369" s="322"/>
      <c r="CE369" s="322"/>
      <c r="CF369" s="322"/>
      <c r="CG369" s="322"/>
      <c r="CH369" s="322"/>
      <c r="CI369" s="322"/>
      <c r="CM369" s="1139">
        <v>0</v>
      </c>
      <c r="CN369" s="1139">
        <v>0</v>
      </c>
      <c r="CP369" s="923">
        <f t="shared" si="175"/>
        <v>0</v>
      </c>
      <c r="CZ369" s="330"/>
    </row>
    <row r="370" spans="1:104" ht="25.5" customHeight="1" x14ac:dyDescent="0.25">
      <c r="A370" s="684">
        <f>MAX($A$6:A369)+1</f>
        <v>370</v>
      </c>
      <c r="B370" s="3" t="str">
        <f t="shared" si="188"/>
        <v>3a</v>
      </c>
      <c r="C370" s="11" t="str">
        <f t="shared" si="183"/>
        <v>Other Administration Expenditure</v>
      </c>
      <c r="D370" s="11" t="s">
        <v>464</v>
      </c>
      <c r="E370" s="7" t="s">
        <v>157</v>
      </c>
      <c r="F370" s="15"/>
      <c r="G370" s="1254" t="s">
        <v>157</v>
      </c>
      <c r="H370" s="6">
        <v>0</v>
      </c>
      <c r="I370" s="6">
        <v>0</v>
      </c>
      <c r="J370" s="1257" t="s">
        <v>286</v>
      </c>
      <c r="K370" s="266">
        <f>SUMIF('alb SoCITE'!$A:$A,$J370,'alb SoCITE'!$E:$E)</f>
        <v>0</v>
      </c>
      <c r="L370" s="266">
        <f>SUMIF('alb SoCITE'!$A:$A,$J370,'alb SoCITE'!$E:$E)</f>
        <v>0</v>
      </c>
      <c r="M370" s="252"/>
      <c r="N370" s="273">
        <f t="shared" si="192"/>
        <v>0</v>
      </c>
      <c r="O370" s="12"/>
      <c r="P370" s="12"/>
      <c r="Q370" s="12"/>
      <c r="R370" s="6"/>
      <c r="S370" s="6">
        <f>-IF(ISNUMBER(BD370),BD370,0)</f>
        <v>0</v>
      </c>
      <c r="T370" s="273">
        <f t="shared" si="190"/>
        <v>0</v>
      </c>
      <c r="U370" s="6">
        <f t="shared" si="193"/>
        <v>0</v>
      </c>
      <c r="V370" s="6"/>
      <c r="W370" s="6">
        <f t="shared" si="191"/>
        <v>0</v>
      </c>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X370" s="6"/>
      <c r="AY370" s="6">
        <f>ROUND(AX370/1000/Update!$B$31*Update!$B$27,0)</f>
        <v>0</v>
      </c>
      <c r="BA370" s="6"/>
      <c r="BB370" s="6">
        <f>ROUND(BA370/1000/Update!$B$31,0)</f>
        <v>0</v>
      </c>
      <c r="BC370" s="6"/>
      <c r="BD370" s="29">
        <f t="shared" si="172"/>
        <v>0</v>
      </c>
      <c r="BE370" s="317"/>
      <c r="BF370" s="317"/>
      <c r="BG370" s="317"/>
      <c r="BH370" s="317"/>
      <c r="BI370" s="317"/>
      <c r="BJ370" s="317"/>
      <c r="BK370" s="29">
        <f t="shared" si="180"/>
        <v>0</v>
      </c>
      <c r="BL370" s="1191"/>
      <c r="BM370" s="322"/>
      <c r="BN370" s="322"/>
      <c r="BO370" s="322"/>
      <c r="BP370" s="322"/>
      <c r="BQ370" s="322"/>
      <c r="BR370" s="322"/>
      <c r="BS370" s="322"/>
      <c r="BT370" s="322"/>
      <c r="BU370" s="322"/>
      <c r="BV370" s="322"/>
      <c r="BW370" s="322"/>
      <c r="BX370" s="322"/>
      <c r="BY370" s="322"/>
      <c r="BZ370" s="322"/>
      <c r="CA370" s="322"/>
      <c r="CB370" s="322"/>
      <c r="CC370" s="322"/>
      <c r="CD370" s="322"/>
      <c r="CE370" s="322"/>
      <c r="CF370" s="322"/>
      <c r="CG370" s="322"/>
      <c r="CH370" s="322"/>
      <c r="CI370" s="322"/>
      <c r="CM370" s="1139">
        <v>0</v>
      </c>
      <c r="CN370" s="1139">
        <v>0</v>
      </c>
      <c r="CP370" s="923">
        <f t="shared" si="175"/>
        <v>0</v>
      </c>
      <c r="CZ370" s="330"/>
    </row>
    <row r="371" spans="1:104" ht="25.5" customHeight="1" x14ac:dyDescent="0.25">
      <c r="A371" s="684">
        <f>MAX($A$6:A370)+1</f>
        <v>371</v>
      </c>
      <c r="B371" s="3" t="str">
        <f>B370</f>
        <v>3a</v>
      </c>
      <c r="C371" s="11" t="str">
        <f>C370</f>
        <v>Other Administration Expenditure</v>
      </c>
      <c r="D371" s="11" t="s">
        <v>158</v>
      </c>
      <c r="E371" s="7" t="s">
        <v>158</v>
      </c>
      <c r="F371" s="15"/>
      <c r="G371" s="1254" t="s">
        <v>158</v>
      </c>
      <c r="H371" s="6">
        <v>0</v>
      </c>
      <c r="I371" s="6">
        <v>0</v>
      </c>
      <c r="J371" s="1257" t="s">
        <v>286</v>
      </c>
      <c r="K371" s="266">
        <f>SUMIF('alb SoCITE'!$A:$A,$J371,'alb SoCITE'!$E:$E)</f>
        <v>0</v>
      </c>
      <c r="L371" s="266">
        <f>SUMIF('alb SoCITE'!$A:$A,$J371,'alb SoCITE'!$E:$E)</f>
        <v>0</v>
      </c>
      <c r="M371" s="252"/>
      <c r="N371" s="273">
        <f t="shared" si="192"/>
        <v>0</v>
      </c>
      <c r="O371" s="12"/>
      <c r="P371" s="12"/>
      <c r="Q371" s="12"/>
      <c r="R371" s="6"/>
      <c r="S371" s="6">
        <f>-IF(ISNUMBER(BD371),BD371,0)</f>
        <v>0</v>
      </c>
      <c r="T371" s="273">
        <f t="shared" si="190"/>
        <v>0</v>
      </c>
      <c r="U371" s="6">
        <f t="shared" si="193"/>
        <v>0</v>
      </c>
      <c r="V371" s="6"/>
      <c r="W371" s="6">
        <f t="shared" si="191"/>
        <v>0</v>
      </c>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X371" s="6"/>
      <c r="AY371" s="6">
        <f>ROUND(AX371/1000/Update!$B$31*Update!$B$27,0)</f>
        <v>0</v>
      </c>
      <c r="BA371" s="6"/>
      <c r="BB371" s="6">
        <f>ROUND(BA371/1000/Update!$B$31,0)</f>
        <v>0</v>
      </c>
      <c r="BC371" s="6"/>
      <c r="BD371" s="29">
        <f t="shared" si="172"/>
        <v>0</v>
      </c>
      <c r="BE371" s="317"/>
      <c r="BF371" s="317"/>
      <c r="BG371" s="317"/>
      <c r="BH371" s="317"/>
      <c r="BI371" s="317"/>
      <c r="BJ371" s="317"/>
      <c r="BK371" s="29">
        <f t="shared" si="180"/>
        <v>0</v>
      </c>
      <c r="BL371" s="1191"/>
      <c r="BM371" s="322"/>
      <c r="BN371" s="322"/>
      <c r="BO371" s="322"/>
      <c r="BP371" s="322"/>
      <c r="BQ371" s="322"/>
      <c r="BR371" s="322"/>
      <c r="BS371" s="322"/>
      <c r="BT371" s="322"/>
      <c r="BU371" s="322"/>
      <c r="BV371" s="322"/>
      <c r="BW371" s="322"/>
      <c r="BX371" s="322"/>
      <c r="BY371" s="322"/>
      <c r="BZ371" s="322"/>
      <c r="CA371" s="322"/>
      <c r="CB371" s="322"/>
      <c r="CC371" s="322"/>
      <c r="CD371" s="322"/>
      <c r="CE371" s="322"/>
      <c r="CF371" s="322"/>
      <c r="CG371" s="322"/>
      <c r="CH371" s="322"/>
      <c r="CI371" s="322"/>
      <c r="CM371" s="1139">
        <v>0</v>
      </c>
      <c r="CN371" s="1139">
        <v>0</v>
      </c>
      <c r="CP371" s="923">
        <f t="shared" si="175"/>
        <v>0</v>
      </c>
      <c r="CZ371" s="330"/>
    </row>
    <row r="372" spans="1:104" ht="15" customHeight="1" x14ac:dyDescent="0.25">
      <c r="A372" s="701">
        <f>MAX($A$6:A371)+1</f>
        <v>372</v>
      </c>
      <c r="B372" s="1291" t="str">
        <f>B371</f>
        <v>3a</v>
      </c>
      <c r="C372" s="18" t="str">
        <f>C371</f>
        <v>Other Administration Expenditure</v>
      </c>
      <c r="D372" s="255" t="s">
        <v>286</v>
      </c>
      <c r="E372" s="19"/>
      <c r="F372" s="20"/>
      <c r="G372" s="28"/>
      <c r="H372" s="14">
        <f>SUM(H358:H371)</f>
        <v>0</v>
      </c>
      <c r="I372" s="14">
        <f>SUM(I358:I371)</f>
        <v>0</v>
      </c>
      <c r="J372" s="1258" t="s">
        <v>286</v>
      </c>
      <c r="K372" s="256">
        <f>SUM(K358:K371)</f>
        <v>0</v>
      </c>
      <c r="L372" s="256">
        <f>SUM(L358:L371)</f>
        <v>0</v>
      </c>
      <c r="M372" s="21"/>
      <c r="N372" s="14">
        <f t="shared" ref="N372:W372" si="194">SUM(N358:N371)</f>
        <v>0</v>
      </c>
      <c r="O372" s="14">
        <f t="shared" si="194"/>
        <v>0</v>
      </c>
      <c r="P372" s="14">
        <f t="shared" si="194"/>
        <v>0</v>
      </c>
      <c r="Q372" s="14">
        <f t="shared" si="194"/>
        <v>0</v>
      </c>
      <c r="R372" s="14">
        <f t="shared" si="194"/>
        <v>0</v>
      </c>
      <c r="S372" s="14">
        <f t="shared" si="194"/>
        <v>0</v>
      </c>
      <c r="T372" s="14">
        <f t="shared" si="194"/>
        <v>0</v>
      </c>
      <c r="U372" s="14">
        <f t="shared" si="194"/>
        <v>0</v>
      </c>
      <c r="V372" s="14">
        <f t="shared" si="194"/>
        <v>0</v>
      </c>
      <c r="W372" s="14">
        <f t="shared" si="194"/>
        <v>0</v>
      </c>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2"/>
      <c r="AX372" s="14">
        <f>SUM(AX358:AX371)</f>
        <v>0</v>
      </c>
      <c r="AY372" s="14">
        <f>ROUND(AX372/1000/Update!$B$31*Update!$B$27,0)</f>
        <v>0</v>
      </c>
      <c r="AZ372" s="2"/>
      <c r="BA372" s="14">
        <f>SUM(BA358:BA371)</f>
        <v>0</v>
      </c>
      <c r="BB372" s="14">
        <f>ROUND(BA372/1000/Update!$B$31,0)</f>
        <v>0</v>
      </c>
      <c r="BC372" s="14"/>
      <c r="BD372" s="14">
        <f t="shared" si="172"/>
        <v>0</v>
      </c>
      <c r="BE372" s="318">
        <f t="shared" ref="BE372:BI372" si="195">SUM(BE358:BE371)</f>
        <v>0</v>
      </c>
      <c r="BF372" s="318">
        <f t="shared" si="195"/>
        <v>0</v>
      </c>
      <c r="BG372" s="318">
        <f t="shared" si="195"/>
        <v>0</v>
      </c>
      <c r="BH372" s="318">
        <f t="shared" si="195"/>
        <v>0</v>
      </c>
      <c r="BI372" s="318">
        <f t="shared" si="195"/>
        <v>0</v>
      </c>
      <c r="BJ372" s="318">
        <f>SUM(BJ358:BJ371)</f>
        <v>0</v>
      </c>
      <c r="BK372" s="14">
        <f t="shared" si="180"/>
        <v>0</v>
      </c>
      <c r="BL372" s="318"/>
      <c r="BM372" s="318"/>
      <c r="BN372" s="318"/>
      <c r="BO372" s="318"/>
      <c r="BP372" s="318"/>
      <c r="BQ372" s="318"/>
      <c r="BR372" s="318"/>
      <c r="BS372" s="318"/>
      <c r="BT372" s="318"/>
      <c r="BU372" s="318"/>
      <c r="BV372" s="318"/>
      <c r="BW372" s="318"/>
      <c r="BX372" s="318"/>
      <c r="BY372" s="318"/>
      <c r="BZ372" s="318"/>
      <c r="CA372" s="318"/>
      <c r="CB372" s="318"/>
      <c r="CC372" s="318"/>
      <c r="CD372" s="318"/>
      <c r="CE372" s="318"/>
      <c r="CF372" s="318"/>
      <c r="CG372" s="318"/>
      <c r="CH372" s="318"/>
      <c r="CI372" s="318"/>
      <c r="CJ372" s="2"/>
      <c r="CK372" s="2"/>
      <c r="CM372" s="1140">
        <v>0</v>
      </c>
      <c r="CN372" s="1140">
        <v>0</v>
      </c>
      <c r="CP372" s="923">
        <f t="shared" si="175"/>
        <v>0</v>
      </c>
      <c r="CZ372" s="330"/>
    </row>
    <row r="373" spans="1:104" ht="15" customHeight="1" x14ac:dyDescent="0.25">
      <c r="A373" s="684">
        <f>MAX($A$6:A372)+1</f>
        <v>373</v>
      </c>
      <c r="B373" s="3" t="str">
        <f t="shared" si="188"/>
        <v>3a</v>
      </c>
      <c r="C373" s="11" t="str">
        <f t="shared" si="183"/>
        <v>Other Administration Expenditure</v>
      </c>
      <c r="D373" s="13" t="s">
        <v>1353</v>
      </c>
      <c r="E373" s="13" t="s">
        <v>159</v>
      </c>
      <c r="F373" s="15"/>
      <c r="G373" s="26"/>
      <c r="H373" s="6"/>
      <c r="I373" s="6"/>
      <c r="J373" s="1257" t="s">
        <v>286</v>
      </c>
      <c r="K373" s="266">
        <f>SUMIF('alb SoCITE'!$A:$A,$J373,'alb SoCITE'!$E:$E)</f>
        <v>0</v>
      </c>
      <c r="L373" s="266">
        <f>SUMIF('alb SoCITE'!$A:$A,$J373,'alb SoCITE'!$E:$E)</f>
        <v>0</v>
      </c>
      <c r="M373" s="252"/>
      <c r="N373" s="273">
        <f>ROUND(SUM(O373:S373)+T373+SUM(Z373:AV373),0)</f>
        <v>0</v>
      </c>
      <c r="O373" s="12"/>
      <c r="P373" s="12"/>
      <c r="Q373" s="12"/>
      <c r="R373" s="12"/>
      <c r="S373" s="6">
        <f t="shared" ref="S373:S405" si="196">-IF(ISNUMBER(BD373),BD373,0)</f>
        <v>0</v>
      </c>
      <c r="T373" s="273">
        <f>ROUND(SUM(U373:Y373),0)</f>
        <v>0</v>
      </c>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X373" s="6"/>
      <c r="AY373" s="6">
        <f>ROUND(AX373/1000/Update!$B$31*Update!$B$27,0)</f>
        <v>0</v>
      </c>
      <c r="BA373" s="6"/>
      <c r="BB373" s="6">
        <f>ROUND(BA373/1000/Update!$B$31,0)</f>
        <v>0</v>
      </c>
      <c r="BC373" s="6"/>
      <c r="BD373" s="29">
        <f t="shared" si="172"/>
        <v>0</v>
      </c>
      <c r="BE373" s="317"/>
      <c r="BF373" s="317"/>
      <c r="BG373" s="317"/>
      <c r="BH373" s="317"/>
      <c r="BI373" s="317"/>
      <c r="BJ373" s="317"/>
      <c r="BK373" s="29">
        <f t="shared" si="180"/>
        <v>0</v>
      </c>
      <c r="BL373" s="317"/>
      <c r="BM373" s="317"/>
      <c r="BN373" s="317"/>
      <c r="BO373" s="317"/>
      <c r="BP373" s="317"/>
      <c r="BQ373" s="317"/>
      <c r="BR373" s="317"/>
      <c r="BS373" s="317"/>
      <c r="BT373" s="317"/>
      <c r="BU373" s="317"/>
      <c r="BV373" s="317"/>
      <c r="BW373" s="317"/>
      <c r="BX373" s="317"/>
      <c r="BY373" s="317"/>
      <c r="BZ373" s="317"/>
      <c r="CA373" s="317"/>
      <c r="CB373" s="317"/>
      <c r="CC373" s="317"/>
      <c r="CD373" s="317"/>
      <c r="CE373" s="317"/>
      <c r="CF373" s="317"/>
      <c r="CG373" s="317"/>
      <c r="CH373" s="317"/>
      <c r="CI373" s="317"/>
      <c r="CM373" s="1139">
        <v>0</v>
      </c>
      <c r="CN373" s="1139">
        <v>0</v>
      </c>
      <c r="CP373" s="923">
        <f t="shared" si="175"/>
        <v>0</v>
      </c>
      <c r="CZ373" s="330"/>
    </row>
    <row r="374" spans="1:104" ht="15" customHeight="1" x14ac:dyDescent="0.25">
      <c r="A374" s="684">
        <f>MAX($A$6:A373)+1</f>
        <v>374</v>
      </c>
      <c r="B374" s="3" t="str">
        <f t="shared" si="188"/>
        <v>3a</v>
      </c>
      <c r="C374" s="11" t="str">
        <f t="shared" si="183"/>
        <v>Other Administration Expenditure</v>
      </c>
      <c r="D374" s="11" t="s">
        <v>283</v>
      </c>
      <c r="E374" s="7" t="s">
        <v>160</v>
      </c>
      <c r="F374" s="15" t="s">
        <v>1394</v>
      </c>
      <c r="G374" s="1254" t="s">
        <v>354</v>
      </c>
      <c r="H374" s="6">
        <v>0</v>
      </c>
      <c r="I374" s="6">
        <v>0</v>
      </c>
      <c r="J374" s="1257" t="s">
        <v>286</v>
      </c>
      <c r="K374" s="266">
        <f>SUMIF('alb SoCITE'!$A:$A,$J374,'alb SoCITE'!$E:$E)</f>
        <v>0</v>
      </c>
      <c r="L374" s="266">
        <f>SUMIF('alb SoCITE'!$A:$A,$J374,'alb SoCITE'!$E:$E)</f>
        <v>0</v>
      </c>
      <c r="M374" s="252"/>
      <c r="N374" s="273">
        <f t="shared" ref="N374:N386" si="197">ROUND(SUM(O374:S374)+SUM(W374:AV374),0)</f>
        <v>0</v>
      </c>
      <c r="O374" s="12"/>
      <c r="P374" s="12"/>
      <c r="Q374" s="12"/>
      <c r="R374" s="12"/>
      <c r="S374" s="6">
        <f t="shared" si="196"/>
        <v>0</v>
      </c>
      <c r="T374" s="273">
        <f t="shared" ref="T374:T386" si="198">ROUND(SUM(U374:Y374),0)</f>
        <v>0</v>
      </c>
      <c r="U374" s="6">
        <f t="shared" ref="U374:U386" si="199">-SUM(BL374:BN374)</f>
        <v>0</v>
      </c>
      <c r="V374" s="6"/>
      <c r="W374" s="6">
        <f t="shared" ref="W374:W386" si="200">+H374</f>
        <v>0</v>
      </c>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X374" s="6"/>
      <c r="AY374" s="6">
        <f>ROUND(AX374/1000/Update!$B$31*Update!$B$27,0)</f>
        <v>0</v>
      </c>
      <c r="BA374" s="6"/>
      <c r="BB374" s="6">
        <f>ROUND(BA374/1000/Update!$B$31,0)</f>
        <v>0</v>
      </c>
      <c r="BC374" s="6"/>
      <c r="BD374" s="29">
        <f t="shared" si="172"/>
        <v>0</v>
      </c>
      <c r="BE374" s="317"/>
      <c r="BF374" s="317"/>
      <c r="BG374" s="317"/>
      <c r="BH374" s="317"/>
      <c r="BI374" s="317"/>
      <c r="BJ374" s="317"/>
      <c r="BK374" s="29">
        <f t="shared" si="180"/>
        <v>0</v>
      </c>
      <c r="BL374" s="1191"/>
      <c r="BM374" s="322"/>
      <c r="BN374" s="322"/>
      <c r="BO374" s="322"/>
      <c r="BP374" s="322"/>
      <c r="BQ374" s="322"/>
      <c r="BR374" s="322"/>
      <c r="BS374" s="322"/>
      <c r="BT374" s="322"/>
      <c r="BU374" s="322"/>
      <c r="BV374" s="322"/>
      <c r="BW374" s="322"/>
      <c r="BX374" s="322"/>
      <c r="BY374" s="322"/>
      <c r="BZ374" s="322"/>
      <c r="CA374" s="322"/>
      <c r="CB374" s="322"/>
      <c r="CC374" s="322"/>
      <c r="CD374" s="322"/>
      <c r="CE374" s="322"/>
      <c r="CF374" s="322"/>
      <c r="CG374" s="322"/>
      <c r="CH374" s="322"/>
      <c r="CI374" s="322"/>
      <c r="CM374" s="1139">
        <v>0</v>
      </c>
      <c r="CN374" s="1139">
        <v>0</v>
      </c>
      <c r="CP374" s="923">
        <f t="shared" si="175"/>
        <v>0</v>
      </c>
      <c r="CZ374" s="330"/>
    </row>
    <row r="375" spans="1:104" ht="15" customHeight="1" x14ac:dyDescent="0.25">
      <c r="A375" s="684">
        <f>MAX($A$6:A374)+1</f>
        <v>375</v>
      </c>
      <c r="B375" s="3" t="str">
        <f t="shared" si="188"/>
        <v>3a</v>
      </c>
      <c r="C375" s="11" t="str">
        <f t="shared" si="183"/>
        <v>Other Administration Expenditure</v>
      </c>
      <c r="D375" s="11" t="s">
        <v>283</v>
      </c>
      <c r="E375" s="7" t="s">
        <v>161</v>
      </c>
      <c r="F375" s="15" t="s">
        <v>1394</v>
      </c>
      <c r="G375" s="1254" t="s">
        <v>355</v>
      </c>
      <c r="H375" s="6">
        <v>0</v>
      </c>
      <c r="I375" s="6">
        <v>0</v>
      </c>
      <c r="J375" s="1257" t="s">
        <v>286</v>
      </c>
      <c r="K375" s="266">
        <f>SUMIF('alb SoCITE'!$A:$A,$J375,'alb SoCITE'!$E:$E)</f>
        <v>0</v>
      </c>
      <c r="L375" s="266">
        <f>SUMIF('alb SoCITE'!$A:$A,$J375,'alb SoCITE'!$E:$E)</f>
        <v>0</v>
      </c>
      <c r="M375" s="252"/>
      <c r="N375" s="273">
        <f t="shared" si="197"/>
        <v>0</v>
      </c>
      <c r="O375" s="12"/>
      <c r="P375" s="12"/>
      <c r="Q375" s="12"/>
      <c r="R375" s="12"/>
      <c r="S375" s="6">
        <f t="shared" si="196"/>
        <v>0</v>
      </c>
      <c r="T375" s="273">
        <f t="shared" si="198"/>
        <v>0</v>
      </c>
      <c r="U375" s="6">
        <f t="shared" si="199"/>
        <v>0</v>
      </c>
      <c r="V375" s="6"/>
      <c r="W375" s="6">
        <f t="shared" si="200"/>
        <v>0</v>
      </c>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X375" s="6"/>
      <c r="AY375" s="6">
        <f>ROUND(AX375/1000/Update!$B$31*Update!$B$27,0)</f>
        <v>0</v>
      </c>
      <c r="BA375" s="6"/>
      <c r="BB375" s="6">
        <f>ROUND(BA375/1000/Update!$B$31,0)</f>
        <v>0</v>
      </c>
      <c r="BC375" s="6"/>
      <c r="BD375" s="29">
        <f t="shared" si="172"/>
        <v>0</v>
      </c>
      <c r="BE375" s="317"/>
      <c r="BF375" s="317"/>
      <c r="BG375" s="317"/>
      <c r="BH375" s="317"/>
      <c r="BI375" s="317"/>
      <c r="BJ375" s="317"/>
      <c r="BK375" s="29">
        <f t="shared" si="180"/>
        <v>0</v>
      </c>
      <c r="BL375" s="1191"/>
      <c r="BM375" s="322"/>
      <c r="BN375" s="322"/>
      <c r="BO375" s="322"/>
      <c r="BP375" s="322"/>
      <c r="BQ375" s="322"/>
      <c r="BR375" s="322"/>
      <c r="BS375" s="322"/>
      <c r="BT375" s="322"/>
      <c r="BU375" s="322"/>
      <c r="BV375" s="322"/>
      <c r="BW375" s="322"/>
      <c r="BX375" s="322"/>
      <c r="BY375" s="322"/>
      <c r="BZ375" s="322"/>
      <c r="CA375" s="322"/>
      <c r="CB375" s="322"/>
      <c r="CC375" s="322"/>
      <c r="CD375" s="322"/>
      <c r="CE375" s="322"/>
      <c r="CF375" s="322"/>
      <c r="CG375" s="322"/>
      <c r="CH375" s="322"/>
      <c r="CI375" s="322"/>
      <c r="CM375" s="1139">
        <v>0</v>
      </c>
      <c r="CN375" s="1139">
        <v>0</v>
      </c>
      <c r="CP375" s="923">
        <f t="shared" si="175"/>
        <v>0</v>
      </c>
      <c r="CZ375" s="330"/>
    </row>
    <row r="376" spans="1:104" ht="15" customHeight="1" x14ac:dyDescent="0.25">
      <c r="A376" s="684">
        <f>MAX($A$6:A375)+1</f>
        <v>376</v>
      </c>
      <c r="B376" s="3" t="str">
        <f t="shared" si="188"/>
        <v>3a</v>
      </c>
      <c r="C376" s="11" t="str">
        <f t="shared" si="183"/>
        <v>Other Administration Expenditure</v>
      </c>
      <c r="D376" s="11" t="s">
        <v>283</v>
      </c>
      <c r="E376" s="7" t="s">
        <v>161</v>
      </c>
      <c r="F376" s="15" t="s">
        <v>1394</v>
      </c>
      <c r="G376" s="1254" t="s">
        <v>355</v>
      </c>
      <c r="H376" s="6">
        <v>0</v>
      </c>
      <c r="I376" s="6">
        <v>0</v>
      </c>
      <c r="J376" s="1257" t="s">
        <v>286</v>
      </c>
      <c r="K376" s="266">
        <f>SUMIF('alb SoCITE'!$A:$A,$J376,'alb SoCITE'!$E:$E)</f>
        <v>0</v>
      </c>
      <c r="L376" s="266">
        <f>SUMIF('alb SoCITE'!$A:$A,$J376,'alb SoCITE'!$E:$E)</f>
        <v>0</v>
      </c>
      <c r="M376" s="252"/>
      <c r="N376" s="273">
        <f t="shared" si="197"/>
        <v>0</v>
      </c>
      <c r="O376" s="12"/>
      <c r="P376" s="12"/>
      <c r="Q376" s="12"/>
      <c r="R376" s="12"/>
      <c r="S376" s="6">
        <f t="shared" si="196"/>
        <v>0</v>
      </c>
      <c r="T376" s="273">
        <f t="shared" si="198"/>
        <v>0</v>
      </c>
      <c r="U376" s="6">
        <f t="shared" si="199"/>
        <v>0</v>
      </c>
      <c r="V376" s="6"/>
      <c r="W376" s="6">
        <f t="shared" si="200"/>
        <v>0</v>
      </c>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X376" s="6"/>
      <c r="AY376" s="6"/>
      <c r="BA376" s="6"/>
      <c r="BB376" s="6"/>
      <c r="BC376" s="6"/>
      <c r="BD376" s="29">
        <f t="shared" si="172"/>
        <v>0</v>
      </c>
      <c r="BE376" s="317"/>
      <c r="BF376" s="317"/>
      <c r="BG376" s="317"/>
      <c r="BH376" s="317"/>
      <c r="BI376" s="317"/>
      <c r="BJ376" s="317"/>
      <c r="BK376" s="29">
        <f t="shared" si="180"/>
        <v>0</v>
      </c>
      <c r="BL376" s="1191"/>
      <c r="BM376" s="322"/>
      <c r="BN376" s="322"/>
      <c r="BO376" s="322"/>
      <c r="BP376" s="322"/>
      <c r="BQ376" s="322"/>
      <c r="BR376" s="322"/>
      <c r="BS376" s="322"/>
      <c r="BT376" s="322"/>
      <c r="BU376" s="322"/>
      <c r="BV376" s="322"/>
      <c r="BW376" s="322"/>
      <c r="BX376" s="322"/>
      <c r="BY376" s="322"/>
      <c r="BZ376" s="322"/>
      <c r="CA376" s="322"/>
      <c r="CB376" s="322"/>
      <c r="CC376" s="322"/>
      <c r="CD376" s="322"/>
      <c r="CE376" s="322"/>
      <c r="CF376" s="322"/>
      <c r="CG376" s="322"/>
      <c r="CH376" s="322"/>
      <c r="CI376" s="322"/>
      <c r="CM376" s="1139">
        <v>0</v>
      </c>
      <c r="CN376" s="1139">
        <v>0</v>
      </c>
      <c r="CP376" s="923">
        <f t="shared" si="175"/>
        <v>0</v>
      </c>
      <c r="CZ376" s="330"/>
    </row>
    <row r="377" spans="1:104" ht="15" customHeight="1" x14ac:dyDescent="0.25">
      <c r="A377" s="684">
        <f>MAX($A$6:A376)+1</f>
        <v>377</v>
      </c>
      <c r="B377" s="3" t="str">
        <f t="shared" si="188"/>
        <v>3a</v>
      </c>
      <c r="C377" s="11" t="str">
        <f t="shared" si="183"/>
        <v>Other Administration Expenditure</v>
      </c>
      <c r="D377" s="11" t="s">
        <v>283</v>
      </c>
      <c r="E377" s="7" t="s">
        <v>161</v>
      </c>
      <c r="F377" s="15" t="s">
        <v>1394</v>
      </c>
      <c r="G377" s="1254" t="s">
        <v>355</v>
      </c>
      <c r="H377" s="6">
        <v>0</v>
      </c>
      <c r="I377" s="6">
        <v>0</v>
      </c>
      <c r="J377" s="1257" t="s">
        <v>286</v>
      </c>
      <c r="K377" s="266">
        <f>SUMIF('alb SoCITE'!$A:$A,$J377,'alb SoCITE'!$E:$E)</f>
        <v>0</v>
      </c>
      <c r="L377" s="266">
        <f>SUMIF('alb SoCITE'!$A:$A,$J377,'alb SoCITE'!$E:$E)</f>
        <v>0</v>
      </c>
      <c r="M377" s="252"/>
      <c r="N377" s="273">
        <f t="shared" si="197"/>
        <v>0</v>
      </c>
      <c r="O377" s="12"/>
      <c r="P377" s="12"/>
      <c r="Q377" s="12"/>
      <c r="R377" s="12"/>
      <c r="S377" s="6">
        <f t="shared" si="196"/>
        <v>0</v>
      </c>
      <c r="T377" s="273">
        <f t="shared" si="198"/>
        <v>0</v>
      </c>
      <c r="U377" s="6">
        <f t="shared" si="199"/>
        <v>0</v>
      </c>
      <c r="V377" s="6"/>
      <c r="W377" s="6">
        <f t="shared" si="200"/>
        <v>0</v>
      </c>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X377" s="6"/>
      <c r="AY377" s="6"/>
      <c r="BA377" s="6"/>
      <c r="BB377" s="6"/>
      <c r="BC377" s="6"/>
      <c r="BD377" s="29">
        <f t="shared" si="172"/>
        <v>0</v>
      </c>
      <c r="BE377" s="317"/>
      <c r="BF377" s="317"/>
      <c r="BG377" s="317"/>
      <c r="BH377" s="317"/>
      <c r="BI377" s="317"/>
      <c r="BJ377" s="317"/>
      <c r="BK377" s="29">
        <f t="shared" si="180"/>
        <v>0</v>
      </c>
      <c r="BL377" s="1191"/>
      <c r="BM377" s="322"/>
      <c r="BN377" s="322"/>
      <c r="BO377" s="322"/>
      <c r="BP377" s="322"/>
      <c r="BQ377" s="322"/>
      <c r="BR377" s="322"/>
      <c r="BS377" s="322"/>
      <c r="BT377" s="322"/>
      <c r="BU377" s="322"/>
      <c r="BV377" s="322"/>
      <c r="BW377" s="322"/>
      <c r="BX377" s="322"/>
      <c r="BY377" s="322"/>
      <c r="BZ377" s="322"/>
      <c r="CA377" s="322"/>
      <c r="CB377" s="322"/>
      <c r="CC377" s="322"/>
      <c r="CD377" s="322"/>
      <c r="CE377" s="322"/>
      <c r="CF377" s="322"/>
      <c r="CG377" s="322"/>
      <c r="CH377" s="322"/>
      <c r="CI377" s="322"/>
      <c r="CM377" s="1139">
        <v>0</v>
      </c>
      <c r="CN377" s="1139">
        <v>0</v>
      </c>
      <c r="CP377" s="923">
        <f t="shared" si="175"/>
        <v>0</v>
      </c>
      <c r="CZ377" s="330"/>
    </row>
    <row r="378" spans="1:104" ht="15" customHeight="1" x14ac:dyDescent="0.25">
      <c r="A378" s="684">
        <f>MAX($A$6:A377)+1</f>
        <v>378</v>
      </c>
      <c r="B378" s="3" t="str">
        <f t="shared" si="188"/>
        <v>3a</v>
      </c>
      <c r="C378" s="11" t="str">
        <f t="shared" si="183"/>
        <v>Other Administration Expenditure</v>
      </c>
      <c r="D378" s="11" t="s">
        <v>283</v>
      </c>
      <c r="E378" s="7" t="s">
        <v>161</v>
      </c>
      <c r="F378" s="15" t="s">
        <v>1394</v>
      </c>
      <c r="G378" s="1254" t="s">
        <v>355</v>
      </c>
      <c r="H378" s="6">
        <v>0</v>
      </c>
      <c r="I378" s="6">
        <v>0</v>
      </c>
      <c r="J378" s="1257" t="s">
        <v>286</v>
      </c>
      <c r="K378" s="266">
        <f>SUMIF('alb SoCITE'!$A:$A,$J378,'alb SoCITE'!$E:$E)</f>
        <v>0</v>
      </c>
      <c r="L378" s="266">
        <f>SUMIF('alb SoCITE'!$A:$A,$J378,'alb SoCITE'!$E:$E)</f>
        <v>0</v>
      </c>
      <c r="M378" s="252"/>
      <c r="N378" s="273">
        <f t="shared" si="197"/>
        <v>0</v>
      </c>
      <c r="O378" s="12"/>
      <c r="P378" s="12"/>
      <c r="Q378" s="12"/>
      <c r="R378" s="12"/>
      <c r="S378" s="6">
        <f t="shared" si="196"/>
        <v>0</v>
      </c>
      <c r="T378" s="273">
        <f t="shared" si="198"/>
        <v>0</v>
      </c>
      <c r="U378" s="6">
        <f t="shared" si="199"/>
        <v>0</v>
      </c>
      <c r="V378" s="6"/>
      <c r="W378" s="6">
        <f t="shared" si="200"/>
        <v>0</v>
      </c>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X378" s="6"/>
      <c r="AY378" s="6"/>
      <c r="BA378" s="6"/>
      <c r="BB378" s="6"/>
      <c r="BC378" s="6"/>
      <c r="BD378" s="29">
        <f t="shared" ref="BD378:BD430" si="201">ROUND(SUM(BE378:BK378),0)</f>
        <v>0</v>
      </c>
      <c r="BE378" s="317"/>
      <c r="BF378" s="317"/>
      <c r="BG378" s="317"/>
      <c r="BH378" s="317"/>
      <c r="BI378" s="317"/>
      <c r="BJ378" s="317"/>
      <c r="BK378" s="29">
        <f t="shared" si="180"/>
        <v>0</v>
      </c>
      <c r="BL378" s="1191"/>
      <c r="BM378" s="322"/>
      <c r="BN378" s="322"/>
      <c r="BO378" s="322"/>
      <c r="BP378" s="322"/>
      <c r="BQ378" s="322"/>
      <c r="BR378" s="322"/>
      <c r="BS378" s="322"/>
      <c r="BT378" s="322"/>
      <c r="BU378" s="322"/>
      <c r="BV378" s="322"/>
      <c r="BW378" s="322"/>
      <c r="BX378" s="322"/>
      <c r="BY378" s="322"/>
      <c r="BZ378" s="322"/>
      <c r="CA378" s="322"/>
      <c r="CB378" s="322"/>
      <c r="CC378" s="322"/>
      <c r="CD378" s="322"/>
      <c r="CE378" s="322"/>
      <c r="CF378" s="322"/>
      <c r="CG378" s="322"/>
      <c r="CH378" s="322"/>
      <c r="CI378" s="322"/>
      <c r="CM378" s="1139">
        <v>0</v>
      </c>
      <c r="CN378" s="1139">
        <v>0</v>
      </c>
      <c r="CP378" s="923">
        <f t="shared" si="175"/>
        <v>0</v>
      </c>
      <c r="CZ378" s="330"/>
    </row>
    <row r="379" spans="1:104" ht="30" customHeight="1" x14ac:dyDescent="0.25">
      <c r="A379" s="684">
        <f>MAX($A$6:A378)+1</f>
        <v>379</v>
      </c>
      <c r="B379" s="3" t="str">
        <f>B375</f>
        <v>3a</v>
      </c>
      <c r="C379" s="11" t="str">
        <f>C375</f>
        <v>Other Administration Expenditure</v>
      </c>
      <c r="D379" s="11" t="s">
        <v>464</v>
      </c>
      <c r="E379" s="7" t="s">
        <v>1671</v>
      </c>
      <c r="F379" s="15" t="s">
        <v>1394</v>
      </c>
      <c r="G379" s="1254" t="s">
        <v>1671</v>
      </c>
      <c r="H379" s="6">
        <v>0</v>
      </c>
      <c r="I379" s="6">
        <v>0</v>
      </c>
      <c r="J379" s="1257" t="s">
        <v>286</v>
      </c>
      <c r="K379" s="266">
        <f>SUMIF('alb SoCITE'!$A:$A,$J379,'alb SoCITE'!$E:$E)</f>
        <v>0</v>
      </c>
      <c r="L379" s="266">
        <f>SUMIF('alb SoCITE'!$A:$A,$J379,'alb SoCITE'!$E:$E)</f>
        <v>0</v>
      </c>
      <c r="M379" s="252"/>
      <c r="N379" s="273">
        <f t="shared" si="197"/>
        <v>0</v>
      </c>
      <c r="O379" s="12"/>
      <c r="P379" s="12"/>
      <c r="Q379" s="12"/>
      <c r="R379" s="12"/>
      <c r="S379" s="6">
        <f t="shared" si="196"/>
        <v>0</v>
      </c>
      <c r="T379" s="273">
        <f t="shared" si="198"/>
        <v>0</v>
      </c>
      <c r="U379" s="6">
        <f t="shared" si="199"/>
        <v>0</v>
      </c>
      <c r="V379" s="6"/>
      <c r="W379" s="6">
        <f t="shared" si="200"/>
        <v>0</v>
      </c>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X379" s="6"/>
      <c r="AY379" s="6">
        <f>ROUND(AX379/1000/Update!$B$31*Update!$B$27,0)</f>
        <v>0</v>
      </c>
      <c r="BA379" s="6"/>
      <c r="BB379" s="6">
        <f>ROUND(BA379/1000/Update!$B$31,0)</f>
        <v>0</v>
      </c>
      <c r="BC379" s="6"/>
      <c r="BD379" s="29">
        <f t="shared" si="201"/>
        <v>0</v>
      </c>
      <c r="BE379" s="317"/>
      <c r="BF379" s="317"/>
      <c r="BG379" s="317"/>
      <c r="BH379" s="317"/>
      <c r="BI379" s="317"/>
      <c r="BJ379" s="317"/>
      <c r="BK379" s="29">
        <f t="shared" si="180"/>
        <v>0</v>
      </c>
      <c r="BL379" s="1191"/>
      <c r="BM379" s="322"/>
      <c r="BN379" s="322"/>
      <c r="BO379" s="322"/>
      <c r="BP379" s="322"/>
      <c r="BQ379" s="322"/>
      <c r="BR379" s="322"/>
      <c r="BS379" s="322"/>
      <c r="BT379" s="322"/>
      <c r="BU379" s="322"/>
      <c r="BV379" s="322"/>
      <c r="BW379" s="322"/>
      <c r="BX379" s="322"/>
      <c r="BY379" s="322"/>
      <c r="BZ379" s="322"/>
      <c r="CA379" s="322"/>
      <c r="CB379" s="322"/>
      <c r="CC379" s="322"/>
      <c r="CD379" s="322"/>
      <c r="CE379" s="322"/>
      <c r="CF379" s="322"/>
      <c r="CG379" s="322"/>
      <c r="CH379" s="322"/>
      <c r="CI379" s="322"/>
      <c r="CM379" s="1139">
        <v>0</v>
      </c>
      <c r="CN379" s="1139">
        <v>0</v>
      </c>
      <c r="CP379" s="923">
        <f t="shared" si="175"/>
        <v>0</v>
      </c>
      <c r="CZ379" s="330"/>
    </row>
    <row r="380" spans="1:104" ht="25.5" customHeight="1" x14ac:dyDescent="0.25">
      <c r="A380" s="684">
        <f>MAX($A$6:A379)+1</f>
        <v>380</v>
      </c>
      <c r="B380" s="3" t="str">
        <f>B379</f>
        <v>3a</v>
      </c>
      <c r="C380" s="11" t="str">
        <f>C379</f>
        <v>Other Administration Expenditure</v>
      </c>
      <c r="D380" s="11" t="s">
        <v>464</v>
      </c>
      <c r="E380" s="7" t="s">
        <v>1670</v>
      </c>
      <c r="F380" s="15" t="s">
        <v>1394</v>
      </c>
      <c r="G380" s="1254" t="s">
        <v>1670</v>
      </c>
      <c r="H380" s="6">
        <v>0</v>
      </c>
      <c r="I380" s="6">
        <v>0</v>
      </c>
      <c r="J380" s="1257" t="s">
        <v>286</v>
      </c>
      <c r="K380" s="266">
        <f>SUMIF('alb SoCITE'!$A:$A,$J380,'alb SoCITE'!$E:$E)</f>
        <v>0</v>
      </c>
      <c r="L380" s="266">
        <f>SUMIF('alb SoCITE'!$A:$A,$J380,'alb SoCITE'!$E:$E)</f>
        <v>0</v>
      </c>
      <c r="M380" s="252"/>
      <c r="N380" s="273">
        <f t="shared" si="197"/>
        <v>0</v>
      </c>
      <c r="O380" s="12"/>
      <c r="P380" s="12"/>
      <c r="Q380" s="12"/>
      <c r="R380" s="12"/>
      <c r="S380" s="6">
        <f t="shared" si="196"/>
        <v>0</v>
      </c>
      <c r="T380" s="273">
        <f t="shared" si="198"/>
        <v>0</v>
      </c>
      <c r="U380" s="6">
        <f t="shared" si="199"/>
        <v>0</v>
      </c>
      <c r="V380" s="6"/>
      <c r="W380" s="6">
        <f t="shared" si="200"/>
        <v>0</v>
      </c>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X380" s="6"/>
      <c r="AY380" s="6">
        <f>ROUND(AX380/1000/Update!$B$31*Update!$B$27,0)</f>
        <v>0</v>
      </c>
      <c r="BA380" s="6"/>
      <c r="BB380" s="6">
        <f>ROUND(BA380/1000/Update!$B$31,0)</f>
        <v>0</v>
      </c>
      <c r="BC380" s="6"/>
      <c r="BD380" s="29">
        <f t="shared" si="201"/>
        <v>0</v>
      </c>
      <c r="BE380" s="317"/>
      <c r="BF380" s="317"/>
      <c r="BG380" s="317"/>
      <c r="BH380" s="317"/>
      <c r="BI380" s="317"/>
      <c r="BJ380" s="317"/>
      <c r="BK380" s="29">
        <f t="shared" si="180"/>
        <v>0</v>
      </c>
      <c r="BL380" s="1191"/>
      <c r="BM380" s="322"/>
      <c r="BN380" s="322"/>
      <c r="BO380" s="322"/>
      <c r="BP380" s="322"/>
      <c r="BQ380" s="322"/>
      <c r="BR380" s="322"/>
      <c r="BS380" s="322"/>
      <c r="BT380" s="322"/>
      <c r="BU380" s="322"/>
      <c r="BV380" s="322"/>
      <c r="BW380" s="322"/>
      <c r="BX380" s="322"/>
      <c r="BY380" s="322"/>
      <c r="BZ380" s="322"/>
      <c r="CA380" s="322"/>
      <c r="CB380" s="322"/>
      <c r="CC380" s="322"/>
      <c r="CD380" s="322"/>
      <c r="CE380" s="322"/>
      <c r="CF380" s="322"/>
      <c r="CG380" s="322"/>
      <c r="CH380" s="322"/>
      <c r="CI380" s="322"/>
      <c r="CM380" s="1139">
        <v>0</v>
      </c>
      <c r="CN380" s="1139">
        <v>0</v>
      </c>
      <c r="CP380" s="923">
        <f t="shared" si="175"/>
        <v>0</v>
      </c>
      <c r="CZ380" s="330"/>
    </row>
    <row r="381" spans="1:104" ht="25.5" customHeight="1" x14ac:dyDescent="0.25">
      <c r="A381" s="684">
        <f>MAX($A$6:A380)+1</f>
        <v>381</v>
      </c>
      <c r="B381" s="3" t="str">
        <f>B380</f>
        <v>3a</v>
      </c>
      <c r="C381" s="11" t="str">
        <f>C380</f>
        <v>Other Administration Expenditure</v>
      </c>
      <c r="D381" s="11" t="s">
        <v>464</v>
      </c>
      <c r="E381" s="7" t="s">
        <v>169</v>
      </c>
      <c r="F381" s="15" t="s">
        <v>1394</v>
      </c>
      <c r="G381" s="1254" t="s">
        <v>356</v>
      </c>
      <c r="H381" s="6">
        <v>0</v>
      </c>
      <c r="I381" s="6">
        <v>0</v>
      </c>
      <c r="J381" s="1257" t="s">
        <v>286</v>
      </c>
      <c r="K381" s="266">
        <f>SUMIF('alb SoCITE'!$A:$A,$J381,'alb SoCITE'!$E:$E)</f>
        <v>0</v>
      </c>
      <c r="L381" s="266">
        <f>SUMIF('alb SoCITE'!$A:$A,$J381,'alb SoCITE'!$E:$E)</f>
        <v>0</v>
      </c>
      <c r="M381" s="252"/>
      <c r="N381" s="273">
        <f t="shared" si="197"/>
        <v>0</v>
      </c>
      <c r="O381" s="12"/>
      <c r="P381" s="12"/>
      <c r="Q381" s="12"/>
      <c r="R381" s="12"/>
      <c r="S381" s="6">
        <f t="shared" si="196"/>
        <v>0</v>
      </c>
      <c r="T381" s="273">
        <f t="shared" si="198"/>
        <v>0</v>
      </c>
      <c r="U381" s="6">
        <f t="shared" si="199"/>
        <v>0</v>
      </c>
      <c r="V381" s="6"/>
      <c r="W381" s="6">
        <f t="shared" si="200"/>
        <v>0</v>
      </c>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X381" s="6"/>
      <c r="AY381" s="6">
        <f>ROUND(AX381/1000/Update!$B$31*Update!$B$27,0)</f>
        <v>0</v>
      </c>
      <c r="BA381" s="6"/>
      <c r="BB381" s="6">
        <f>ROUND(BA381/1000/Update!$B$31,0)</f>
        <v>0</v>
      </c>
      <c r="BC381" s="6"/>
      <c r="BD381" s="29">
        <f t="shared" si="201"/>
        <v>0</v>
      </c>
      <c r="BE381" s="317"/>
      <c r="BF381" s="317"/>
      <c r="BG381" s="317"/>
      <c r="BH381" s="317"/>
      <c r="BI381" s="317"/>
      <c r="BJ381" s="317"/>
      <c r="BK381" s="29">
        <f t="shared" si="180"/>
        <v>0</v>
      </c>
      <c r="BL381" s="1191"/>
      <c r="BM381" s="322"/>
      <c r="BN381" s="322"/>
      <c r="BO381" s="322"/>
      <c r="BP381" s="322"/>
      <c r="BQ381" s="322"/>
      <c r="BR381" s="322"/>
      <c r="BS381" s="322"/>
      <c r="BT381" s="322"/>
      <c r="BU381" s="322"/>
      <c r="BV381" s="322"/>
      <c r="BW381" s="322"/>
      <c r="BX381" s="322"/>
      <c r="BY381" s="322"/>
      <c r="BZ381" s="322"/>
      <c r="CA381" s="322"/>
      <c r="CB381" s="322"/>
      <c r="CC381" s="322"/>
      <c r="CD381" s="322"/>
      <c r="CE381" s="322"/>
      <c r="CF381" s="322"/>
      <c r="CG381" s="322"/>
      <c r="CH381" s="322"/>
      <c r="CI381" s="322"/>
      <c r="CM381" s="1139">
        <v>0</v>
      </c>
      <c r="CN381" s="1139">
        <v>0</v>
      </c>
      <c r="CP381" s="923">
        <f t="shared" si="175"/>
        <v>0</v>
      </c>
      <c r="CZ381" s="330"/>
    </row>
    <row r="382" spans="1:104" ht="45" customHeight="1" x14ac:dyDescent="0.25">
      <c r="A382" s="684">
        <f>MAX($A$6:A381)+1</f>
        <v>382</v>
      </c>
      <c r="B382" s="3" t="str">
        <f t="shared" si="188"/>
        <v>3a</v>
      </c>
      <c r="C382" s="11" t="str">
        <f t="shared" si="183"/>
        <v>Other Administration Expenditure</v>
      </c>
      <c r="D382" s="11" t="s">
        <v>284</v>
      </c>
      <c r="E382" s="7" t="s">
        <v>357</v>
      </c>
      <c r="F382" s="15" t="s">
        <v>1394</v>
      </c>
      <c r="G382" s="1254" t="s">
        <v>357</v>
      </c>
      <c r="H382" s="6">
        <v>0</v>
      </c>
      <c r="I382" s="6">
        <v>0</v>
      </c>
      <c r="J382" s="1257" t="s">
        <v>286</v>
      </c>
      <c r="K382" s="266">
        <f>SUMIF('alb SoCITE'!$A:$A,$J382,'alb SoCITE'!$E:$E)</f>
        <v>0</v>
      </c>
      <c r="L382" s="266">
        <f>SUMIF('alb SoCITE'!$A:$A,$J382,'alb SoCITE'!$E:$E)</f>
        <v>0</v>
      </c>
      <c r="M382" s="252">
        <v>14</v>
      </c>
      <c r="N382" s="273">
        <f t="shared" si="197"/>
        <v>0</v>
      </c>
      <c r="O382" s="12"/>
      <c r="P382" s="12"/>
      <c r="Q382" s="12"/>
      <c r="R382" s="12"/>
      <c r="S382" s="6">
        <f t="shared" si="196"/>
        <v>0</v>
      </c>
      <c r="T382" s="273">
        <f t="shared" si="198"/>
        <v>0</v>
      </c>
      <c r="U382" s="6">
        <f t="shared" si="199"/>
        <v>0</v>
      </c>
      <c r="V382" s="6"/>
      <c r="W382" s="6">
        <f t="shared" si="200"/>
        <v>0</v>
      </c>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X382" s="6"/>
      <c r="AY382" s="6">
        <f>ROUND(AX382/1000/Update!$B$31*Update!$B$27,0)</f>
        <v>0</v>
      </c>
      <c r="BA382" s="6"/>
      <c r="BB382" s="6">
        <f>ROUND(BA382/1000/Update!$B$31,0)</f>
        <v>0</v>
      </c>
      <c r="BC382" s="6"/>
      <c r="BD382" s="29">
        <f t="shared" si="201"/>
        <v>0</v>
      </c>
      <c r="BE382" s="317"/>
      <c r="BF382" s="317"/>
      <c r="BG382" s="317"/>
      <c r="BH382" s="317"/>
      <c r="BI382" s="317"/>
      <c r="BJ382" s="317"/>
      <c r="BK382" s="29">
        <f t="shared" si="180"/>
        <v>0</v>
      </c>
      <c r="BL382" s="1191"/>
      <c r="BM382" s="322"/>
      <c r="BN382" s="322"/>
      <c r="BO382" s="322"/>
      <c r="BP382" s="322"/>
      <c r="BQ382" s="322"/>
      <c r="BR382" s="322"/>
      <c r="BS382" s="322"/>
      <c r="BT382" s="322"/>
      <c r="BU382" s="322"/>
      <c r="BV382" s="322"/>
      <c r="BW382" s="322"/>
      <c r="BX382" s="322"/>
      <c r="BY382" s="322"/>
      <c r="BZ382" s="322"/>
      <c r="CA382" s="322"/>
      <c r="CB382" s="322"/>
      <c r="CC382" s="322"/>
      <c r="CD382" s="322"/>
      <c r="CE382" s="322"/>
      <c r="CF382" s="322"/>
      <c r="CG382" s="322"/>
      <c r="CH382" s="322"/>
      <c r="CI382" s="322"/>
      <c r="CM382" s="1139">
        <v>0</v>
      </c>
      <c r="CN382" s="1139">
        <v>0</v>
      </c>
      <c r="CP382" s="923">
        <f t="shared" si="175"/>
        <v>0</v>
      </c>
      <c r="CZ382" s="330"/>
    </row>
    <row r="383" spans="1:104" ht="30" customHeight="1" x14ac:dyDescent="0.25">
      <c r="A383" s="684">
        <f>MAX($A$6:A382)+1</f>
        <v>383</v>
      </c>
      <c r="B383" s="3" t="str">
        <f t="shared" si="188"/>
        <v>3a</v>
      </c>
      <c r="C383" s="11" t="str">
        <f t="shared" si="183"/>
        <v>Other Administration Expenditure</v>
      </c>
      <c r="D383" s="11" t="s">
        <v>284</v>
      </c>
      <c r="E383" s="7" t="s">
        <v>170</v>
      </c>
      <c r="F383" s="15" t="s">
        <v>1394</v>
      </c>
      <c r="G383" s="1254" t="s">
        <v>170</v>
      </c>
      <c r="H383" s="6">
        <v>0</v>
      </c>
      <c r="I383" s="6">
        <v>0</v>
      </c>
      <c r="J383" s="1257" t="s">
        <v>286</v>
      </c>
      <c r="K383" s="266">
        <f>SUMIF('alb SoCITE'!$A:$A,$J383,'alb SoCITE'!$E:$E)</f>
        <v>0</v>
      </c>
      <c r="L383" s="266">
        <f>SUMIF('alb SoCITE'!$A:$A,$J383,'alb SoCITE'!$E:$E)</f>
        <v>0</v>
      </c>
      <c r="M383" s="252"/>
      <c r="N383" s="273">
        <f t="shared" si="197"/>
        <v>0</v>
      </c>
      <c r="O383" s="12"/>
      <c r="P383" s="12"/>
      <c r="Q383" s="12"/>
      <c r="R383" s="12"/>
      <c r="S383" s="6">
        <f t="shared" si="196"/>
        <v>0</v>
      </c>
      <c r="T383" s="273">
        <f t="shared" si="198"/>
        <v>0</v>
      </c>
      <c r="U383" s="6">
        <f t="shared" si="199"/>
        <v>0</v>
      </c>
      <c r="V383" s="6"/>
      <c r="W383" s="6">
        <f t="shared" si="200"/>
        <v>0</v>
      </c>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X383" s="6"/>
      <c r="AY383" s="6">
        <f>ROUND(AX383/1000/Update!$B$31*Update!$B$27,0)</f>
        <v>0</v>
      </c>
      <c r="BA383" s="6"/>
      <c r="BB383" s="6">
        <f>ROUND(BA383/1000/Update!$B$31,0)</f>
        <v>0</v>
      </c>
      <c r="BC383" s="6"/>
      <c r="BD383" s="29">
        <f t="shared" si="201"/>
        <v>0</v>
      </c>
      <c r="BE383" s="317"/>
      <c r="BF383" s="317"/>
      <c r="BG383" s="317"/>
      <c r="BH383" s="317"/>
      <c r="BI383" s="317"/>
      <c r="BJ383" s="317"/>
      <c r="BK383" s="29">
        <f t="shared" si="180"/>
        <v>0</v>
      </c>
      <c r="BL383" s="1191"/>
      <c r="BM383" s="322"/>
      <c r="BN383" s="322"/>
      <c r="BO383" s="322"/>
      <c r="BP383" s="322"/>
      <c r="BQ383" s="322"/>
      <c r="BR383" s="322"/>
      <c r="BS383" s="322"/>
      <c r="BT383" s="322"/>
      <c r="BU383" s="322"/>
      <c r="BV383" s="322"/>
      <c r="BW383" s="322"/>
      <c r="BX383" s="322"/>
      <c r="BY383" s="322"/>
      <c r="BZ383" s="322"/>
      <c r="CA383" s="322"/>
      <c r="CB383" s="322"/>
      <c r="CC383" s="322"/>
      <c r="CD383" s="322"/>
      <c r="CE383" s="322"/>
      <c r="CF383" s="322"/>
      <c r="CG383" s="322"/>
      <c r="CH383" s="322"/>
      <c r="CI383" s="322"/>
      <c r="CM383" s="1139">
        <v>0</v>
      </c>
      <c r="CN383" s="1139">
        <v>0</v>
      </c>
      <c r="CP383" s="923">
        <f t="shared" si="175"/>
        <v>0</v>
      </c>
      <c r="CZ383" s="330"/>
    </row>
    <row r="384" spans="1:104" ht="15" customHeight="1" x14ac:dyDescent="0.25">
      <c r="A384" s="684">
        <f>MAX($A$6:A383)+1</f>
        <v>384</v>
      </c>
      <c r="B384" s="3" t="str">
        <f t="shared" si="188"/>
        <v>3a</v>
      </c>
      <c r="C384" s="11" t="str">
        <f t="shared" si="183"/>
        <v>Other Administration Expenditure</v>
      </c>
      <c r="D384" s="11" t="s">
        <v>283</v>
      </c>
      <c r="E384" s="7" t="s">
        <v>162</v>
      </c>
      <c r="F384" s="15" t="s">
        <v>1394</v>
      </c>
      <c r="G384" s="1254" t="s">
        <v>162</v>
      </c>
      <c r="H384" s="6">
        <v>0</v>
      </c>
      <c r="I384" s="6">
        <v>0</v>
      </c>
      <c r="J384" s="1257" t="s">
        <v>286</v>
      </c>
      <c r="K384" s="266">
        <f>SUMIF('alb SoCITE'!$A:$A,$J384,'alb SoCITE'!$E:$E)</f>
        <v>0</v>
      </c>
      <c r="L384" s="266">
        <f>SUMIF('alb SoCITE'!$A:$A,$J384,'alb SoCITE'!$E:$E)</f>
        <v>0</v>
      </c>
      <c r="M384" s="252"/>
      <c r="N384" s="273">
        <f t="shared" si="197"/>
        <v>0</v>
      </c>
      <c r="O384" s="12"/>
      <c r="P384" s="12"/>
      <c r="Q384" s="12"/>
      <c r="R384" s="12"/>
      <c r="S384" s="6">
        <f t="shared" si="196"/>
        <v>0</v>
      </c>
      <c r="T384" s="273">
        <f t="shared" si="198"/>
        <v>0</v>
      </c>
      <c r="U384" s="6">
        <f t="shared" si="199"/>
        <v>0</v>
      </c>
      <c r="V384" s="6"/>
      <c r="W384" s="6">
        <f t="shared" si="200"/>
        <v>0</v>
      </c>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X384" s="6"/>
      <c r="AY384" s="6">
        <f>ROUND(AX384/1000/Update!$B$31*Update!$B$27,0)</f>
        <v>0</v>
      </c>
      <c r="BA384" s="6"/>
      <c r="BB384" s="6">
        <f>ROUND(BA384/1000/Update!$B$31,0)</f>
        <v>0</v>
      </c>
      <c r="BC384" s="6"/>
      <c r="BD384" s="29">
        <f t="shared" si="201"/>
        <v>0</v>
      </c>
      <c r="BE384" s="317"/>
      <c r="BF384" s="317"/>
      <c r="BG384" s="317"/>
      <c r="BH384" s="317"/>
      <c r="BI384" s="317"/>
      <c r="BJ384" s="317"/>
      <c r="BK384" s="29">
        <f t="shared" si="180"/>
        <v>0</v>
      </c>
      <c r="BL384" s="1191"/>
      <c r="BM384" s="322"/>
      <c r="BN384" s="322"/>
      <c r="BO384" s="322"/>
      <c r="BP384" s="322"/>
      <c r="BQ384" s="322"/>
      <c r="BR384" s="322"/>
      <c r="BS384" s="322"/>
      <c r="BT384" s="322"/>
      <c r="BU384" s="322"/>
      <c r="BV384" s="322"/>
      <c r="BW384" s="322"/>
      <c r="BX384" s="322"/>
      <c r="BY384" s="322"/>
      <c r="BZ384" s="322"/>
      <c r="CA384" s="322"/>
      <c r="CB384" s="322"/>
      <c r="CC384" s="322"/>
      <c r="CD384" s="322"/>
      <c r="CE384" s="322"/>
      <c r="CF384" s="322"/>
      <c r="CG384" s="322"/>
      <c r="CH384" s="322"/>
      <c r="CI384" s="322"/>
      <c r="CM384" s="1139">
        <v>0</v>
      </c>
      <c r="CN384" s="1139">
        <v>0</v>
      </c>
      <c r="CP384" s="923">
        <f t="shared" si="175"/>
        <v>0</v>
      </c>
      <c r="CZ384" s="330"/>
    </row>
    <row r="385" spans="1:104" ht="15" customHeight="1" x14ac:dyDescent="0.25">
      <c r="A385" s="684">
        <f>MAX($A$6:A384)+1</f>
        <v>385</v>
      </c>
      <c r="B385" s="3" t="str">
        <f t="shared" si="188"/>
        <v>3a</v>
      </c>
      <c r="C385" s="11" t="str">
        <f t="shared" si="183"/>
        <v>Other Administration Expenditure</v>
      </c>
      <c r="D385" s="11" t="s">
        <v>464</v>
      </c>
      <c r="E385" s="7" t="s">
        <v>163</v>
      </c>
      <c r="F385" s="15" t="s">
        <v>1394</v>
      </c>
      <c r="G385" s="1254" t="s">
        <v>1652</v>
      </c>
      <c r="H385" s="6">
        <v>0</v>
      </c>
      <c r="I385" s="6">
        <v>0</v>
      </c>
      <c r="J385" s="1257" t="s">
        <v>286</v>
      </c>
      <c r="K385" s="266">
        <f>SUMIF('alb SoCITE'!$A:$A,$J385,'alb SoCITE'!$E:$E)</f>
        <v>0</v>
      </c>
      <c r="L385" s="266">
        <f>SUMIF('alb SoCITE'!$A:$A,$J385,'alb SoCITE'!$E:$E)</f>
        <v>0</v>
      </c>
      <c r="M385" s="252"/>
      <c r="N385" s="273">
        <f t="shared" si="197"/>
        <v>0</v>
      </c>
      <c r="O385" s="12"/>
      <c r="P385" s="12"/>
      <c r="Q385" s="12"/>
      <c r="R385" s="12"/>
      <c r="S385" s="6">
        <f t="shared" si="196"/>
        <v>0</v>
      </c>
      <c r="T385" s="273">
        <f t="shared" si="198"/>
        <v>0</v>
      </c>
      <c r="U385" s="6">
        <f t="shared" si="199"/>
        <v>0</v>
      </c>
      <c r="V385" s="6"/>
      <c r="W385" s="6">
        <f t="shared" si="200"/>
        <v>0</v>
      </c>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X385" s="6"/>
      <c r="AY385" s="6">
        <f>ROUND(AX385/1000/Update!$B$31*Update!$B$27,0)</f>
        <v>0</v>
      </c>
      <c r="BA385" s="6"/>
      <c r="BB385" s="6">
        <f>ROUND(BA385/1000/Update!$B$31,0)</f>
        <v>0</v>
      </c>
      <c r="BC385" s="6"/>
      <c r="BD385" s="29">
        <f t="shared" si="201"/>
        <v>0</v>
      </c>
      <c r="BE385" s="317"/>
      <c r="BF385" s="317"/>
      <c r="BG385" s="317"/>
      <c r="BH385" s="317"/>
      <c r="BI385" s="317"/>
      <c r="BJ385" s="317"/>
      <c r="BK385" s="29">
        <f t="shared" si="180"/>
        <v>0</v>
      </c>
      <c r="BL385" s="1191"/>
      <c r="BM385" s="322"/>
      <c r="BN385" s="322"/>
      <c r="BO385" s="322"/>
      <c r="BP385" s="322"/>
      <c r="BQ385" s="322"/>
      <c r="BR385" s="322"/>
      <c r="BS385" s="322"/>
      <c r="BT385" s="322"/>
      <c r="BU385" s="322"/>
      <c r="BV385" s="322"/>
      <c r="BW385" s="322"/>
      <c r="BX385" s="322"/>
      <c r="BY385" s="322"/>
      <c r="BZ385" s="322"/>
      <c r="CA385" s="322"/>
      <c r="CB385" s="322"/>
      <c r="CC385" s="322"/>
      <c r="CD385" s="322"/>
      <c r="CE385" s="322"/>
      <c r="CF385" s="322"/>
      <c r="CG385" s="322"/>
      <c r="CH385" s="322"/>
      <c r="CI385" s="322"/>
      <c r="CM385" s="1139">
        <v>0</v>
      </c>
      <c r="CN385" s="1139">
        <v>0</v>
      </c>
      <c r="CP385" s="923">
        <f t="shared" si="175"/>
        <v>0</v>
      </c>
      <c r="CZ385" s="330"/>
    </row>
    <row r="386" spans="1:104" ht="25.5" customHeight="1" x14ac:dyDescent="0.25">
      <c r="A386" s="684">
        <f>MAX($A$6:A385)+1</f>
        <v>386</v>
      </c>
      <c r="B386" s="3" t="str">
        <f t="shared" si="188"/>
        <v>3a</v>
      </c>
      <c r="C386" s="11" t="str">
        <f t="shared" si="183"/>
        <v>Other Administration Expenditure</v>
      </c>
      <c r="D386" s="11" t="s">
        <v>464</v>
      </c>
      <c r="E386" s="7" t="s">
        <v>164</v>
      </c>
      <c r="F386" s="15" t="s">
        <v>1394</v>
      </c>
      <c r="G386" s="1254" t="s">
        <v>164</v>
      </c>
      <c r="H386" s="6">
        <v>0</v>
      </c>
      <c r="I386" s="6">
        <v>0</v>
      </c>
      <c r="J386" s="1257" t="s">
        <v>286</v>
      </c>
      <c r="K386" s="266">
        <f>SUMIF('alb SoCITE'!$A:$A,$J386,'alb SoCITE'!$E:$E)</f>
        <v>0</v>
      </c>
      <c r="L386" s="266">
        <f>SUMIF('alb SoCITE'!$A:$A,$J386,'alb SoCITE'!$E:$E)</f>
        <v>0</v>
      </c>
      <c r="M386" s="252"/>
      <c r="N386" s="273">
        <f t="shared" si="197"/>
        <v>0</v>
      </c>
      <c r="O386" s="12"/>
      <c r="P386" s="12"/>
      <c r="Q386" s="12"/>
      <c r="R386" s="12"/>
      <c r="S386" s="6">
        <f t="shared" si="196"/>
        <v>0</v>
      </c>
      <c r="T386" s="273">
        <f t="shared" si="198"/>
        <v>0</v>
      </c>
      <c r="U386" s="276">
        <f t="shared" si="199"/>
        <v>0</v>
      </c>
      <c r="V386" s="276"/>
      <c r="W386" s="276">
        <f t="shared" si="200"/>
        <v>0</v>
      </c>
      <c r="X386" s="276"/>
      <c r="Y386" s="276"/>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X386" s="6"/>
      <c r="AY386" s="6">
        <f>ROUND(AX386/1000/Update!$B$31*Update!$B$27,0)</f>
        <v>0</v>
      </c>
      <c r="BA386" s="6"/>
      <c r="BB386" s="6">
        <f>ROUND(BA386/1000/Update!$B$31,0)</f>
        <v>0</v>
      </c>
      <c r="BC386" s="6"/>
      <c r="BD386" s="29">
        <f t="shared" si="201"/>
        <v>0</v>
      </c>
      <c r="BE386" s="317"/>
      <c r="BF386" s="317"/>
      <c r="BG386" s="317"/>
      <c r="BH386" s="317"/>
      <c r="BI386" s="317"/>
      <c r="BJ386" s="317"/>
      <c r="BK386" s="29">
        <f t="shared" si="180"/>
        <v>0</v>
      </c>
      <c r="BL386" s="1191"/>
      <c r="BM386" s="322"/>
      <c r="BN386" s="322"/>
      <c r="BO386" s="322"/>
      <c r="BP386" s="322"/>
      <c r="BQ386" s="322"/>
      <c r="BR386" s="322"/>
      <c r="BS386" s="322"/>
      <c r="BT386" s="322"/>
      <c r="BU386" s="322"/>
      <c r="BV386" s="322"/>
      <c r="BW386" s="322"/>
      <c r="BX386" s="322"/>
      <c r="BY386" s="322"/>
      <c r="BZ386" s="322"/>
      <c r="CA386" s="322"/>
      <c r="CB386" s="322"/>
      <c r="CC386" s="322"/>
      <c r="CD386" s="322"/>
      <c r="CE386" s="322"/>
      <c r="CF386" s="322"/>
      <c r="CG386" s="322"/>
      <c r="CH386" s="322"/>
      <c r="CI386" s="322"/>
      <c r="CM386" s="1139">
        <v>0</v>
      </c>
      <c r="CN386" s="1139">
        <v>0</v>
      </c>
      <c r="CP386" s="923">
        <f t="shared" si="175"/>
        <v>0</v>
      </c>
      <c r="CZ386" s="330"/>
    </row>
    <row r="387" spans="1:104" ht="15" customHeight="1" x14ac:dyDescent="0.25">
      <c r="A387" s="701">
        <f>MAX($A$6:A386)+1</f>
        <v>387</v>
      </c>
      <c r="B387" s="1291" t="str">
        <f t="shared" si="188"/>
        <v>3a</v>
      </c>
      <c r="C387" s="18" t="str">
        <f t="shared" si="183"/>
        <v>Other Administration Expenditure</v>
      </c>
      <c r="D387" s="255" t="s">
        <v>286</v>
      </c>
      <c r="E387" s="19" t="s">
        <v>165</v>
      </c>
      <c r="F387" s="20"/>
      <c r="G387" s="28"/>
      <c r="H387" s="14">
        <f>SUM(H373:H386)</f>
        <v>0</v>
      </c>
      <c r="I387" s="14">
        <f>SUM(I373:I386)</f>
        <v>0</v>
      </c>
      <c r="J387" s="1258" t="s">
        <v>286</v>
      </c>
      <c r="K387" s="256">
        <f>SUM(K373:K386)</f>
        <v>0</v>
      </c>
      <c r="L387" s="256">
        <f>SUM(L373:L386)</f>
        <v>0</v>
      </c>
      <c r="M387" s="21"/>
      <c r="N387" s="14">
        <f>ROUND(SUM(O387:S387)+T387+SUM(Z387:AV387),0)</f>
        <v>0</v>
      </c>
      <c r="O387" s="14">
        <f>SUM(O373:O386)</f>
        <v>0</v>
      </c>
      <c r="P387" s="14">
        <f>SUM(P373:P386)</f>
        <v>0</v>
      </c>
      <c r="Q387" s="14">
        <f>SUM(Q373:Q386)</f>
        <v>0</v>
      </c>
      <c r="R387" s="14">
        <f>SUM(R373:R386)</f>
        <v>0</v>
      </c>
      <c r="S387" s="14">
        <f>IF(ISNUMBER(BD387),BD387,0)</f>
        <v>0</v>
      </c>
      <c r="T387" s="14">
        <f>SUM(T373:T386)</f>
        <v>0</v>
      </c>
      <c r="U387" s="14">
        <f>SUM(U373:U386)</f>
        <v>0</v>
      </c>
      <c r="V387" s="14">
        <f>SUM(V373:V386)</f>
        <v>0</v>
      </c>
      <c r="W387" s="14">
        <f>SUM(W373:W386)</f>
        <v>0</v>
      </c>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2"/>
      <c r="AX387" s="14">
        <f>SUM(AX373:AX386)</f>
        <v>0</v>
      </c>
      <c r="AY387" s="14">
        <f>ROUND(AX387/1000/Update!$B$31*Update!$B$27,0)</f>
        <v>0</v>
      </c>
      <c r="AZ387" s="2"/>
      <c r="BA387" s="14">
        <f>SUM(BA373:BA386)</f>
        <v>0</v>
      </c>
      <c r="BB387" s="14">
        <f>ROUND(BA387/1000/Update!$B$31,0)</f>
        <v>0</v>
      </c>
      <c r="BC387" s="14"/>
      <c r="BD387" s="14">
        <f t="shared" si="201"/>
        <v>0</v>
      </c>
      <c r="BE387" s="318">
        <f t="shared" ref="BE387:BJ387" si="202">SUM(BE373:BE386)</f>
        <v>0</v>
      </c>
      <c r="BF387" s="318">
        <f t="shared" si="202"/>
        <v>0</v>
      </c>
      <c r="BG387" s="318">
        <f t="shared" si="202"/>
        <v>0</v>
      </c>
      <c r="BH387" s="318">
        <f t="shared" si="202"/>
        <v>0</v>
      </c>
      <c r="BI387" s="318">
        <f t="shared" si="202"/>
        <v>0</v>
      </c>
      <c r="BJ387" s="318">
        <f t="shared" si="202"/>
        <v>0</v>
      </c>
      <c r="BK387" s="14">
        <f t="shared" si="180"/>
        <v>0</v>
      </c>
      <c r="BL387" s="318"/>
      <c r="BM387" s="318"/>
      <c r="BN387" s="318"/>
      <c r="BO387" s="318"/>
      <c r="BP387" s="318"/>
      <c r="BQ387" s="318"/>
      <c r="BR387" s="318"/>
      <c r="BS387" s="318"/>
      <c r="BT387" s="318"/>
      <c r="BU387" s="318"/>
      <c r="BV387" s="318"/>
      <c r="BW387" s="318"/>
      <c r="BX387" s="318"/>
      <c r="BY387" s="318"/>
      <c r="BZ387" s="318"/>
      <c r="CA387" s="318"/>
      <c r="CB387" s="318"/>
      <c r="CC387" s="318"/>
      <c r="CD387" s="318"/>
      <c r="CE387" s="318"/>
      <c r="CF387" s="318"/>
      <c r="CG387" s="318"/>
      <c r="CH387" s="318"/>
      <c r="CI387" s="318"/>
      <c r="CJ387" s="2"/>
      <c r="CK387" s="2"/>
      <c r="CM387" s="1140">
        <v>0</v>
      </c>
      <c r="CN387" s="1140">
        <v>0</v>
      </c>
      <c r="CP387" s="923">
        <f t="shared" si="175"/>
        <v>0</v>
      </c>
      <c r="CZ387" s="330"/>
    </row>
    <row r="388" spans="1:104" ht="15" customHeight="1" x14ac:dyDescent="0.25">
      <c r="A388" s="701">
        <f>MAX($A$6:A387)+1</f>
        <v>388</v>
      </c>
      <c r="B388" s="1291" t="str">
        <f t="shared" si="188"/>
        <v>3a</v>
      </c>
      <c r="C388" s="18" t="str">
        <f t="shared" si="183"/>
        <v>Other Administration Expenditure</v>
      </c>
      <c r="D388" s="255" t="s">
        <v>286</v>
      </c>
      <c r="E388" s="19" t="s">
        <v>146</v>
      </c>
      <c r="F388" s="20"/>
      <c r="G388" s="28"/>
      <c r="H388" s="14">
        <f>H387+H372</f>
        <v>0</v>
      </c>
      <c r="I388" s="14">
        <f>I387+I372</f>
        <v>0</v>
      </c>
      <c r="J388" s="1258" t="s">
        <v>286</v>
      </c>
      <c r="K388" s="256">
        <f>K387+K372</f>
        <v>0</v>
      </c>
      <c r="L388" s="256">
        <f>L387+L372</f>
        <v>0</v>
      </c>
      <c r="M388" s="21"/>
      <c r="N388" s="14">
        <f t="shared" ref="N388:V388" si="203">N387+N372</f>
        <v>0</v>
      </c>
      <c r="O388" s="14">
        <f t="shared" si="203"/>
        <v>0</v>
      </c>
      <c r="P388" s="14">
        <f t="shared" si="203"/>
        <v>0</v>
      </c>
      <c r="Q388" s="14">
        <f t="shared" si="203"/>
        <v>0</v>
      </c>
      <c r="R388" s="14">
        <f t="shared" si="203"/>
        <v>0</v>
      </c>
      <c r="S388" s="14">
        <f t="shared" si="203"/>
        <v>0</v>
      </c>
      <c r="T388" s="14">
        <f t="shared" si="203"/>
        <v>0</v>
      </c>
      <c r="U388" s="14">
        <f t="shared" si="203"/>
        <v>0</v>
      </c>
      <c r="V388" s="14">
        <f t="shared" si="203"/>
        <v>0</v>
      </c>
      <c r="W388" s="14">
        <f>+W387+W372</f>
        <v>0</v>
      </c>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2"/>
      <c r="AX388" s="14">
        <f>AX387+AX372</f>
        <v>0</v>
      </c>
      <c r="AY388" s="14">
        <f>ROUND(AX388/1000/Update!$B$31*Update!$B$27,0)</f>
        <v>0</v>
      </c>
      <c r="AZ388" s="2"/>
      <c r="BA388" s="14">
        <f>BA387+BA372</f>
        <v>0</v>
      </c>
      <c r="BB388" s="14">
        <f>ROUND(BA388/1000/Update!$B$31,0)</f>
        <v>0</v>
      </c>
      <c r="BC388" s="14"/>
      <c r="BD388" s="14">
        <f t="shared" si="201"/>
        <v>0</v>
      </c>
      <c r="BE388" s="318">
        <f t="shared" ref="BE388:BJ388" si="204">BE387+BE372</f>
        <v>0</v>
      </c>
      <c r="BF388" s="318">
        <f t="shared" si="204"/>
        <v>0</v>
      </c>
      <c r="BG388" s="318">
        <f t="shared" si="204"/>
        <v>0</v>
      </c>
      <c r="BH388" s="318">
        <f t="shared" si="204"/>
        <v>0</v>
      </c>
      <c r="BI388" s="318">
        <f t="shared" si="204"/>
        <v>0</v>
      </c>
      <c r="BJ388" s="318">
        <f t="shared" si="204"/>
        <v>0</v>
      </c>
      <c r="BK388" s="14">
        <f t="shared" si="180"/>
        <v>0</v>
      </c>
      <c r="BL388" s="318"/>
      <c r="BM388" s="318"/>
      <c r="BN388" s="318"/>
      <c r="BO388" s="318"/>
      <c r="BP388" s="318"/>
      <c r="BQ388" s="318"/>
      <c r="BR388" s="318"/>
      <c r="BS388" s="318"/>
      <c r="BT388" s="318"/>
      <c r="BU388" s="318"/>
      <c r="BV388" s="318"/>
      <c r="BW388" s="318"/>
      <c r="BX388" s="318"/>
      <c r="BY388" s="318"/>
      <c r="BZ388" s="318"/>
      <c r="CA388" s="318"/>
      <c r="CB388" s="318"/>
      <c r="CC388" s="318"/>
      <c r="CD388" s="318"/>
      <c r="CE388" s="318"/>
      <c r="CF388" s="318"/>
      <c r="CG388" s="318"/>
      <c r="CH388" s="318"/>
      <c r="CI388" s="318"/>
      <c r="CJ388" s="2"/>
      <c r="CK388" s="2"/>
      <c r="CM388" s="1140">
        <v>0</v>
      </c>
      <c r="CN388" s="1140">
        <v>0</v>
      </c>
      <c r="CP388" s="923">
        <f t="shared" si="175"/>
        <v>0</v>
      </c>
      <c r="CZ388" s="330"/>
    </row>
    <row r="389" spans="1:104" ht="18.75" customHeight="1" collapsed="1" x14ac:dyDescent="0.25">
      <c r="A389" s="694">
        <f>MAX($A$6:A388)+1</f>
        <v>389</v>
      </c>
      <c r="B389" s="1299" t="str">
        <f>VLOOKUP(C389,Update!$G$42:$H$103,2,FALSE)</f>
        <v>3b</v>
      </c>
      <c r="C389" s="696" t="str">
        <f>'Note 3b &amp; 3c'!B5</f>
        <v>Programme expenditure</v>
      </c>
      <c r="D389" s="698" t="s">
        <v>286</v>
      </c>
      <c r="E389" s="696" t="str">
        <f>B389&amp;" "&amp;C389</f>
        <v>3b Programme expenditure</v>
      </c>
      <c r="F389" s="697"/>
      <c r="G389" s="697"/>
      <c r="H389" s="695"/>
      <c r="I389" s="695"/>
      <c r="J389" s="698" t="s">
        <v>286</v>
      </c>
      <c r="K389" s="699">
        <f>SUMIF('alb Note 3 &amp; 3.1 - Expenditure'!$A:$A,$J389,'alb Note 3 &amp; 3.1 - Expenditure'!$C:$C)</f>
        <v>0</v>
      </c>
      <c r="L389" s="699">
        <f>SUMIF('alb Note 3 &amp; 3.1 - Expenditure'!$A:$A,$J389,'alb Note 3 &amp; 3.1 - Expenditure'!$C:$C)</f>
        <v>0</v>
      </c>
      <c r="M389" s="695"/>
      <c r="N389" s="713">
        <f>ROUND(SUM(O389:AU389)-T389,0)</f>
        <v>0</v>
      </c>
      <c r="O389" s="695"/>
      <c r="P389" s="695"/>
      <c r="Q389" s="695"/>
      <c r="R389" s="695"/>
      <c r="S389" s="695">
        <f t="shared" si="196"/>
        <v>0</v>
      </c>
      <c r="T389" s="713">
        <f>ROUND(SUM(U389:Y389),0)</f>
        <v>0</v>
      </c>
      <c r="U389" s="695"/>
      <c r="V389" s="695"/>
      <c r="W389" s="695"/>
      <c r="X389" s="695"/>
      <c r="Y389" s="695"/>
      <c r="Z389" s="695"/>
      <c r="AA389" s="695"/>
      <c r="AB389" s="695"/>
      <c r="AC389" s="695"/>
      <c r="AD389" s="695"/>
      <c r="AE389" s="695"/>
      <c r="AF389" s="695"/>
      <c r="AG389" s="695"/>
      <c r="AH389" s="695"/>
      <c r="AI389" s="695"/>
      <c r="AJ389" s="695"/>
      <c r="AK389" s="695"/>
      <c r="AL389" s="695"/>
      <c r="AM389" s="695"/>
      <c r="AN389" s="695"/>
      <c r="AO389" s="695"/>
      <c r="AP389" s="695"/>
      <c r="AQ389" s="695"/>
      <c r="AR389" s="695"/>
      <c r="AS389" s="695"/>
      <c r="AT389" s="695"/>
      <c r="AU389" s="695"/>
      <c r="AV389" s="695"/>
      <c r="AW389" s="700"/>
      <c r="AX389" s="700"/>
      <c r="AY389" s="700">
        <f>ROUND(AX389/1000/Update!$B$31*Update!$B$27,0)</f>
        <v>0</v>
      </c>
      <c r="AZ389" s="700"/>
      <c r="BA389" s="700"/>
      <c r="BB389" s="700">
        <f>ROUND(BA389/1000/Update!$B$31,0)</f>
        <v>0</v>
      </c>
      <c r="BC389" s="700"/>
      <c r="BD389" s="721">
        <f t="shared" si="201"/>
        <v>0</v>
      </c>
      <c r="BE389" s="700"/>
      <c r="BF389" s="700"/>
      <c r="BG389" s="700"/>
      <c r="BH389" s="700"/>
      <c r="BI389" s="700"/>
      <c r="BJ389" s="700"/>
      <c r="BK389" s="721">
        <f t="shared" si="180"/>
        <v>0</v>
      </c>
      <c r="BL389" s="700"/>
      <c r="BM389" s="700"/>
      <c r="BN389" s="700"/>
      <c r="BO389" s="700"/>
      <c r="BP389" s="700"/>
      <c r="BQ389" s="700"/>
      <c r="BR389" s="700"/>
      <c r="BS389" s="700"/>
      <c r="BT389" s="700"/>
      <c r="BU389" s="700"/>
      <c r="BV389" s="700"/>
      <c r="BW389" s="700"/>
      <c r="BX389" s="700"/>
      <c r="BY389" s="700"/>
      <c r="BZ389" s="700"/>
      <c r="CA389" s="700"/>
      <c r="CB389" s="700"/>
      <c r="CC389" s="700"/>
      <c r="CD389" s="700"/>
      <c r="CE389" s="700"/>
      <c r="CF389" s="700"/>
      <c r="CG389" s="700"/>
      <c r="CH389" s="700"/>
      <c r="CI389" s="700"/>
      <c r="CJ389" s="700"/>
      <c r="CK389" s="700"/>
      <c r="CM389" s="700">
        <v>0</v>
      </c>
      <c r="CN389" s="700">
        <v>0</v>
      </c>
      <c r="CP389" s="923">
        <f t="shared" si="175"/>
        <v>0</v>
      </c>
      <c r="CZ389" s="330"/>
    </row>
    <row r="390" spans="1:104" ht="18.75" customHeight="1" x14ac:dyDescent="0.25">
      <c r="A390" s="684">
        <f>MAX($A$6:A389)+1</f>
        <v>390</v>
      </c>
      <c r="B390" s="3" t="str">
        <f t="shared" si="188"/>
        <v>3b</v>
      </c>
      <c r="C390" s="11" t="str">
        <f>$C$389</f>
        <v>Programme expenditure</v>
      </c>
      <c r="D390" s="265" t="s">
        <v>286</v>
      </c>
      <c r="E390" s="277" t="s">
        <v>166</v>
      </c>
      <c r="F390" s="15"/>
      <c r="G390" s="26"/>
      <c r="H390" s="6"/>
      <c r="I390" s="6"/>
      <c r="J390" s="1253" t="s">
        <v>286</v>
      </c>
      <c r="K390" s="251">
        <f>SUMIF('alb Note 3 &amp; 3.1 - Expenditure'!$A:$A,$J390,'alb Note 3 &amp; 3.1 - Expenditure'!$C:$C)</f>
        <v>0</v>
      </c>
      <c r="L390" s="251">
        <f>SUMIF('alb Note 3 &amp; 3.1 - Expenditure'!$A:$A,$J390,'alb Note 3 &amp; 3.1 - Expenditure'!$G:$G)</f>
        <v>0</v>
      </c>
      <c r="M390" s="252"/>
      <c r="N390" s="273">
        <f>ROUND(SUM(O390:S390)+T390+SUM(Z390:AV390),0)</f>
        <v>0</v>
      </c>
      <c r="O390" s="12"/>
      <c r="P390" s="12"/>
      <c r="Q390" s="12"/>
      <c r="R390" s="12"/>
      <c r="S390" s="6">
        <f t="shared" si="196"/>
        <v>0</v>
      </c>
      <c r="T390" s="273">
        <f>ROUND(SUM(U390:Y390),0)</f>
        <v>0</v>
      </c>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X390" s="6"/>
      <c r="AY390" s="6">
        <f>ROUND(AX390/1000/Update!$B$31*Update!$B$27,0)</f>
        <v>0</v>
      </c>
      <c r="BA390" s="6"/>
      <c r="BB390" s="6">
        <f>ROUND(BA390/1000/Update!$B$31,0)</f>
        <v>0</v>
      </c>
      <c r="BC390" s="6"/>
      <c r="BD390" s="29">
        <f t="shared" si="201"/>
        <v>0</v>
      </c>
      <c r="BE390" s="317"/>
      <c r="BF390" s="317"/>
      <c r="BG390" s="317"/>
      <c r="BH390" s="317"/>
      <c r="BI390" s="317"/>
      <c r="BJ390" s="317"/>
      <c r="BK390" s="29">
        <f t="shared" si="180"/>
        <v>0</v>
      </c>
      <c r="BL390" s="1191"/>
      <c r="BM390" s="1191"/>
      <c r="BN390" s="1191"/>
      <c r="BO390" s="1191"/>
      <c r="BP390" s="1191"/>
      <c r="BQ390" s="1191"/>
      <c r="BR390" s="1191"/>
      <c r="BS390" s="1191"/>
      <c r="BT390" s="1191"/>
      <c r="BU390" s="1191"/>
      <c r="BV390" s="1191"/>
      <c r="BW390" s="1191"/>
      <c r="BX390" s="1191"/>
      <c r="BY390" s="1191"/>
      <c r="BZ390" s="1191"/>
      <c r="CA390" s="1191"/>
      <c r="CB390" s="1191"/>
      <c r="CC390" s="1191"/>
      <c r="CD390" s="1191"/>
      <c r="CE390" s="1191"/>
      <c r="CF390" s="1191"/>
      <c r="CG390" s="1191"/>
      <c r="CH390" s="1191"/>
      <c r="CI390" s="317"/>
      <c r="CM390" s="317">
        <v>0</v>
      </c>
      <c r="CN390" s="317">
        <v>0</v>
      </c>
      <c r="CP390" s="923">
        <f t="shared" si="175"/>
        <v>0</v>
      </c>
      <c r="CZ390" s="330"/>
    </row>
    <row r="391" spans="1:104" ht="15" customHeight="1" x14ac:dyDescent="0.25">
      <c r="A391" s="684">
        <f>MAX($A$6:A390)+1</f>
        <v>391</v>
      </c>
      <c r="B391" s="3" t="str">
        <f t="shared" si="188"/>
        <v>3b</v>
      </c>
      <c r="C391" s="11" t="str">
        <f t="shared" ref="C391:C436" si="205">$C$389</f>
        <v>Programme expenditure</v>
      </c>
      <c r="D391" s="13" t="s">
        <v>1353</v>
      </c>
      <c r="E391" s="13" t="s">
        <v>151</v>
      </c>
      <c r="F391" s="15"/>
      <c r="G391" s="1254"/>
      <c r="H391" s="6"/>
      <c r="I391" s="6"/>
      <c r="J391" s="1253" t="s">
        <v>286</v>
      </c>
      <c r="K391" s="251">
        <f>SUMIF('alb Note 3 &amp; 3.1 - Expenditure'!$A:$A,$J391,'alb Note 3 &amp; 3.1 - Expenditure'!$C:$C)</f>
        <v>0</v>
      </c>
      <c r="L391" s="251">
        <f>SUMIF('alb Note 3 &amp; 3.1 - Expenditure'!$A:$A,$J391,'alb Note 3 &amp; 3.1 - Expenditure'!$G:$G)</f>
        <v>0</v>
      </c>
      <c r="M391" s="252"/>
      <c r="N391" s="273">
        <f>ROUND(SUM(O391:S391)+T391+SUM(Z391:AV391),0)</f>
        <v>0</v>
      </c>
      <c r="O391" s="12"/>
      <c r="P391" s="12"/>
      <c r="Q391" s="12"/>
      <c r="R391" s="12"/>
      <c r="S391" s="6">
        <f t="shared" si="196"/>
        <v>0</v>
      </c>
      <c r="T391" s="273">
        <f>ROUND(SUM(U391:Y391),0)</f>
        <v>0</v>
      </c>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X391" s="6"/>
      <c r="AY391" s="6">
        <f>ROUND(AX391/1000/Update!$B$31*Update!$B$27,0)</f>
        <v>0</v>
      </c>
      <c r="BA391" s="6"/>
      <c r="BB391" s="6">
        <f>ROUND(BA391/1000/Update!$B$31,0)</f>
        <v>0</v>
      </c>
      <c r="BC391" s="6"/>
      <c r="BD391" s="29">
        <f t="shared" si="201"/>
        <v>0</v>
      </c>
      <c r="BE391" s="317"/>
      <c r="BF391" s="317"/>
      <c r="BG391" s="317"/>
      <c r="BH391" s="317"/>
      <c r="BI391" s="317"/>
      <c r="BJ391" s="317"/>
      <c r="BK391" s="29">
        <f t="shared" si="180"/>
        <v>0</v>
      </c>
      <c r="BL391" s="1191"/>
      <c r="BM391" s="1191"/>
      <c r="BN391" s="1191"/>
      <c r="BO391" s="1191"/>
      <c r="BP391" s="1191"/>
      <c r="BQ391" s="1191"/>
      <c r="BR391" s="1191"/>
      <c r="BS391" s="1191"/>
      <c r="BT391" s="1191"/>
      <c r="BU391" s="1191"/>
      <c r="BV391" s="1191"/>
      <c r="BW391" s="1191"/>
      <c r="BX391" s="1191"/>
      <c r="BY391" s="1191"/>
      <c r="BZ391" s="1191"/>
      <c r="CA391" s="1191"/>
      <c r="CB391" s="1191"/>
      <c r="CC391" s="1191"/>
      <c r="CD391" s="1191"/>
      <c r="CE391" s="1191"/>
      <c r="CF391" s="1191"/>
      <c r="CG391" s="1191"/>
      <c r="CH391" s="1191"/>
      <c r="CI391" s="317"/>
      <c r="CM391" s="1139">
        <v>0</v>
      </c>
      <c r="CN391" s="1139">
        <v>0</v>
      </c>
      <c r="CP391" s="923">
        <f t="shared" si="175"/>
        <v>0</v>
      </c>
      <c r="CZ391" s="330"/>
    </row>
    <row r="392" spans="1:104" ht="15" customHeight="1" x14ac:dyDescent="0.25">
      <c r="A392" s="684">
        <f>MAX($A$6:A391)+1</f>
        <v>392</v>
      </c>
      <c r="B392" s="3" t="str">
        <f t="shared" si="188"/>
        <v>3b</v>
      </c>
      <c r="C392" s="11" t="str">
        <f t="shared" si="205"/>
        <v>Programme expenditure</v>
      </c>
      <c r="D392" s="11" t="s">
        <v>282</v>
      </c>
      <c r="E392" s="7" t="s">
        <v>152</v>
      </c>
      <c r="F392" s="15"/>
      <c r="G392" s="1254" t="s">
        <v>350</v>
      </c>
      <c r="H392" s="6">
        <v>0</v>
      </c>
      <c r="I392" s="6">
        <v>0</v>
      </c>
      <c r="J392" s="1257" t="s">
        <v>152</v>
      </c>
      <c r="K392" s="278">
        <f>SUMIF('alb Note 3 &amp; 3.1 - Expenditure'!$A:$A,$J392,'alb Note 3 &amp; 3.1 - Expenditure'!$C:$C)</f>
        <v>0</v>
      </c>
      <c r="L392" s="278">
        <f>SUMIF('alb Note 3 &amp; 3.1 - Expenditure'!$A:$A,$J392,'alb Note 3 &amp; 3.1 - Expenditure'!$G:$G)</f>
        <v>0</v>
      </c>
      <c r="M392" s="252"/>
      <c r="N392" s="273">
        <f t="shared" ref="N392:N405" si="206">ROUND(SUM(O392:S392)+SUM(W392:AV392),0)</f>
        <v>0</v>
      </c>
      <c r="O392" s="12"/>
      <c r="P392" s="12"/>
      <c r="Q392" s="12"/>
      <c r="R392" s="12"/>
      <c r="S392" s="6">
        <f t="shared" si="196"/>
        <v>0</v>
      </c>
      <c r="T392" s="273">
        <f t="shared" ref="T392:T405" si="207">ROUND(SUM(U392:Y392),0)</f>
        <v>0</v>
      </c>
      <c r="U392" s="6">
        <f t="shared" ref="U392:U405" si="208">-SUM(BL392:BN392)</f>
        <v>0</v>
      </c>
      <c r="V392" s="6"/>
      <c r="W392" s="6">
        <f t="shared" ref="W392:W405" si="209">+H392</f>
        <v>0</v>
      </c>
      <c r="X392" s="6"/>
      <c r="Y392" s="6"/>
      <c r="Z392" s="1190"/>
      <c r="AA392" s="6"/>
      <c r="AB392" s="6"/>
      <c r="AC392" s="6"/>
      <c r="AD392" s="6"/>
      <c r="AE392" s="6"/>
      <c r="AF392" s="6"/>
      <c r="AG392" s="6"/>
      <c r="AH392" s="6"/>
      <c r="AI392" s="6"/>
      <c r="AJ392" s="6"/>
      <c r="AK392" s="6"/>
      <c r="AL392" s="6"/>
      <c r="AM392" s="6"/>
      <c r="AN392" s="6"/>
      <c r="AO392" s="6"/>
      <c r="AP392" s="6"/>
      <c r="AQ392" s="6"/>
      <c r="AR392" s="6"/>
      <c r="AS392" s="6"/>
      <c r="AT392" s="6"/>
      <c r="AU392" s="6"/>
      <c r="AV392" s="6"/>
      <c r="AX392" s="6"/>
      <c r="AY392" s="6">
        <f>ROUND(AX392/1000/Update!$B$31*Update!$B$27,0)</f>
        <v>0</v>
      </c>
      <c r="BA392" s="6"/>
      <c r="BB392" s="6">
        <f>ROUND(BA392/1000/Update!$B$31,0)</f>
        <v>0</v>
      </c>
      <c r="BC392" s="6"/>
      <c r="BD392" s="29">
        <f t="shared" si="201"/>
        <v>0</v>
      </c>
      <c r="BE392" s="323"/>
      <c r="BF392" s="323"/>
      <c r="BG392" s="323"/>
      <c r="BH392" s="323"/>
      <c r="BI392" s="323"/>
      <c r="BJ392" s="323"/>
      <c r="BK392" s="29">
        <f>ROUND(SUM(BO392:CI392),0)</f>
        <v>0</v>
      </c>
      <c r="BL392" s="1455"/>
      <c r="BM392" s="1455"/>
      <c r="BN392" s="1455"/>
      <c r="BO392" s="1455"/>
      <c r="BP392" s="1455"/>
      <c r="BQ392" s="1455"/>
      <c r="BR392" s="1455"/>
      <c r="BS392" s="1455"/>
      <c r="BT392" s="1455"/>
      <c r="BU392" s="1455"/>
      <c r="BV392" s="1455"/>
      <c r="BW392" s="1455"/>
      <c r="BX392" s="1455"/>
      <c r="BY392" s="1455"/>
      <c r="BZ392" s="1455"/>
      <c r="CA392" s="1455"/>
      <c r="CB392" s="1455"/>
      <c r="CC392" s="1455"/>
      <c r="CD392" s="1455"/>
      <c r="CE392" s="1455"/>
      <c r="CF392" s="1455"/>
      <c r="CG392" s="1455"/>
      <c r="CH392" s="1455"/>
      <c r="CI392" s="323"/>
      <c r="CM392" s="1496">
        <v>-411</v>
      </c>
      <c r="CN392" s="1496">
        <v>44317</v>
      </c>
      <c r="CP392" s="923">
        <f t="shared" ref="CP392:CP455" si="210">-V392+BL392+BM392+BN392+CM392</f>
        <v>-411</v>
      </c>
      <c r="CZ392" s="330"/>
    </row>
    <row r="393" spans="1:104" ht="15" customHeight="1" x14ac:dyDescent="0.25">
      <c r="A393" s="684">
        <f>MAX($A$6:A392)+1</f>
        <v>393</v>
      </c>
      <c r="B393" s="3" t="str">
        <f t="shared" si="188"/>
        <v>3b</v>
      </c>
      <c r="C393" s="11" t="str">
        <f t="shared" si="205"/>
        <v>Programme expenditure</v>
      </c>
      <c r="D393" s="11" t="s">
        <v>282</v>
      </c>
      <c r="E393" s="7" t="s">
        <v>153</v>
      </c>
      <c r="F393" s="15"/>
      <c r="G393" s="1254" t="s">
        <v>351</v>
      </c>
      <c r="H393" s="6">
        <v>0</v>
      </c>
      <c r="I393" s="6">
        <v>0</v>
      </c>
      <c r="J393" s="1257" t="s">
        <v>153</v>
      </c>
      <c r="K393" s="278">
        <f>SUMIF('alb Note 3 &amp; 3.1 - Expenditure'!$A:$A,$J393,'alb Note 3 &amp; 3.1 - Expenditure'!$C:$C)</f>
        <v>0</v>
      </c>
      <c r="L393" s="278">
        <f>SUMIF('alb Note 3 &amp; 3.1 - Expenditure'!$A:$A,$J393,'alb Note 3 &amp; 3.1 - Expenditure'!$G:$G)</f>
        <v>0</v>
      </c>
      <c r="M393" s="252"/>
      <c r="N393" s="273">
        <f t="shared" si="206"/>
        <v>0</v>
      </c>
      <c r="O393" s="12"/>
      <c r="P393" s="12"/>
      <c r="Q393" s="12"/>
      <c r="R393" s="12"/>
      <c r="S393" s="6">
        <f t="shared" si="196"/>
        <v>0</v>
      </c>
      <c r="T393" s="273">
        <f t="shared" si="207"/>
        <v>0</v>
      </c>
      <c r="U393" s="6">
        <f t="shared" si="208"/>
        <v>0</v>
      </c>
      <c r="V393" s="6"/>
      <c r="W393" s="6">
        <f t="shared" si="209"/>
        <v>0</v>
      </c>
      <c r="X393" s="6"/>
      <c r="Y393" s="6"/>
      <c r="Z393" s="1190"/>
      <c r="AA393" s="6"/>
      <c r="AB393" s="6"/>
      <c r="AC393" s="6"/>
      <c r="AD393" s="6"/>
      <c r="AE393" s="6"/>
      <c r="AF393" s="6"/>
      <c r="AG393" s="6"/>
      <c r="AH393" s="6"/>
      <c r="AI393" s="6"/>
      <c r="AJ393" s="6"/>
      <c r="AK393" s="6"/>
      <c r="AL393" s="6"/>
      <c r="AM393" s="6"/>
      <c r="AN393" s="6"/>
      <c r="AO393" s="6"/>
      <c r="AP393" s="6"/>
      <c r="AQ393" s="6"/>
      <c r="AR393" s="6"/>
      <c r="AS393" s="6"/>
      <c r="AT393" s="6"/>
      <c r="AU393" s="6"/>
      <c r="AV393" s="6"/>
      <c r="AX393" s="6"/>
      <c r="AY393" s="6">
        <f>ROUND(AX393/1000/Update!$B$31*Update!$B$27,0)</f>
        <v>0</v>
      </c>
      <c r="BA393" s="6"/>
      <c r="BB393" s="6">
        <f>ROUND(BA393/1000/Update!$B$31,0)</f>
        <v>0</v>
      </c>
      <c r="BC393" s="6"/>
      <c r="BD393" s="29">
        <f t="shared" si="201"/>
        <v>0</v>
      </c>
      <c r="BE393" s="323"/>
      <c r="BF393" s="323"/>
      <c r="BG393" s="323"/>
      <c r="BH393" s="323"/>
      <c r="BI393" s="323"/>
      <c r="BJ393" s="323"/>
      <c r="BK393" s="29">
        <f t="shared" si="180"/>
        <v>0</v>
      </c>
      <c r="BL393" s="1455"/>
      <c r="BM393" s="1455"/>
      <c r="BN393" s="1455"/>
      <c r="BO393" s="1455"/>
      <c r="BP393" s="1455"/>
      <c r="BQ393" s="1455"/>
      <c r="BR393" s="1455"/>
      <c r="BS393" s="1455"/>
      <c r="BT393" s="1455"/>
      <c r="BU393" s="1455"/>
      <c r="BV393" s="1455"/>
      <c r="BW393" s="1455"/>
      <c r="BX393" s="1455"/>
      <c r="BY393" s="1455"/>
      <c r="BZ393" s="1455"/>
      <c r="CA393" s="1455"/>
      <c r="CB393" s="1455"/>
      <c r="CC393" s="1455"/>
      <c r="CD393" s="1455"/>
      <c r="CE393" s="1455"/>
      <c r="CF393" s="1455"/>
      <c r="CG393" s="1455"/>
      <c r="CH393" s="1455"/>
      <c r="CI393" s="323"/>
      <c r="CM393" s="1496">
        <v>-30</v>
      </c>
      <c r="CN393" s="1496">
        <v>90</v>
      </c>
      <c r="CP393" s="923">
        <f t="shared" si="210"/>
        <v>-30</v>
      </c>
      <c r="CZ393" s="330"/>
    </row>
    <row r="394" spans="1:104" ht="15" customHeight="1" x14ac:dyDescent="0.25">
      <c r="A394" s="684">
        <f>MAX($A$6:A393)+1</f>
        <v>394</v>
      </c>
      <c r="B394" s="3" t="str">
        <f t="shared" si="188"/>
        <v>3b</v>
      </c>
      <c r="C394" s="11" t="str">
        <f t="shared" si="205"/>
        <v>Programme expenditure</v>
      </c>
      <c r="D394" s="11" t="s">
        <v>282</v>
      </c>
      <c r="E394" s="7" t="s">
        <v>154</v>
      </c>
      <c r="F394" s="15"/>
      <c r="G394" s="1254" t="s">
        <v>352</v>
      </c>
      <c r="H394" s="6">
        <v>0</v>
      </c>
      <c r="I394" s="6">
        <v>0</v>
      </c>
      <c r="J394" s="1257" t="s">
        <v>154</v>
      </c>
      <c r="K394" s="278">
        <f>SUMIF('alb Note 3 &amp; 3.1 - Expenditure'!$A:$A,$J394,'alb Note 3 &amp; 3.1 - Expenditure'!$C:$C)</f>
        <v>0</v>
      </c>
      <c r="L394" s="278">
        <f>SUMIF('alb Note 3 &amp; 3.1 - Expenditure'!$A:$A,$J394,'alb Note 3 &amp; 3.1 - Expenditure'!$G:$G)</f>
        <v>0</v>
      </c>
      <c r="M394" s="252"/>
      <c r="N394" s="273">
        <f t="shared" si="206"/>
        <v>0</v>
      </c>
      <c r="O394" s="12"/>
      <c r="P394" s="12"/>
      <c r="Q394" s="12"/>
      <c r="R394" s="12"/>
      <c r="S394" s="6">
        <f t="shared" si="196"/>
        <v>0</v>
      </c>
      <c r="T394" s="273">
        <f t="shared" si="207"/>
        <v>0</v>
      </c>
      <c r="U394" s="6">
        <f t="shared" si="208"/>
        <v>0</v>
      </c>
      <c r="V394" s="6"/>
      <c r="W394" s="6">
        <f t="shared" si="209"/>
        <v>0</v>
      </c>
      <c r="X394" s="6"/>
      <c r="Y394" s="6"/>
      <c r="Z394" s="1190"/>
      <c r="AA394" s="6"/>
      <c r="AB394" s="6"/>
      <c r="AC394" s="6"/>
      <c r="AD394" s="6"/>
      <c r="AE394" s="6"/>
      <c r="AF394" s="6"/>
      <c r="AG394" s="6"/>
      <c r="AH394" s="6"/>
      <c r="AI394" s="6"/>
      <c r="AJ394" s="6"/>
      <c r="AK394" s="6"/>
      <c r="AL394" s="6"/>
      <c r="AM394" s="6"/>
      <c r="AN394" s="6"/>
      <c r="AO394" s="6"/>
      <c r="AP394" s="6"/>
      <c r="AQ394" s="6"/>
      <c r="AR394" s="6"/>
      <c r="AS394" s="6"/>
      <c r="AT394" s="6"/>
      <c r="AU394" s="6"/>
      <c r="AV394" s="6"/>
      <c r="AX394" s="6"/>
      <c r="AY394" s="6">
        <f>ROUND(AX394/1000/Update!$B$31*Update!$B$27,0)</f>
        <v>0</v>
      </c>
      <c r="BA394" s="6"/>
      <c r="BB394" s="6">
        <f>ROUND(BA394/1000/Update!$B$31,0)</f>
        <v>0</v>
      </c>
      <c r="BC394" s="6"/>
      <c r="BD394" s="29">
        <f t="shared" si="201"/>
        <v>0</v>
      </c>
      <c r="BE394" s="323"/>
      <c r="BF394" s="323"/>
      <c r="BG394" s="323"/>
      <c r="BH394" s="323"/>
      <c r="BI394" s="323"/>
      <c r="BJ394" s="323"/>
      <c r="BK394" s="29">
        <f t="shared" si="180"/>
        <v>0</v>
      </c>
      <c r="BL394" s="1455"/>
      <c r="BM394" s="1455"/>
      <c r="BN394" s="1455"/>
      <c r="BO394" s="1455"/>
      <c r="BP394" s="1455"/>
      <c r="BQ394" s="1455"/>
      <c r="BR394" s="1455"/>
      <c r="BS394" s="1455"/>
      <c r="BT394" s="1455"/>
      <c r="BU394" s="1455"/>
      <c r="BV394" s="1455"/>
      <c r="BW394" s="1455"/>
      <c r="BX394" s="1455"/>
      <c r="BY394" s="1455"/>
      <c r="BZ394" s="1455"/>
      <c r="CA394" s="1455"/>
      <c r="CB394" s="1455"/>
      <c r="CC394" s="1455"/>
      <c r="CD394" s="1455"/>
      <c r="CE394" s="1455"/>
      <c r="CF394" s="1455"/>
      <c r="CG394" s="1455"/>
      <c r="CH394" s="1455"/>
      <c r="CI394" s="323"/>
      <c r="CM394" s="1496">
        <v>-54</v>
      </c>
      <c r="CN394" s="1496">
        <v>18816</v>
      </c>
      <c r="CP394" s="923">
        <f t="shared" si="210"/>
        <v>-54</v>
      </c>
      <c r="CZ394" s="330"/>
    </row>
    <row r="395" spans="1:104" ht="15" customHeight="1" x14ac:dyDescent="0.25">
      <c r="A395" s="684">
        <f>MAX($A$6:A394)+1</f>
        <v>395</v>
      </c>
      <c r="B395" s="3" t="str">
        <f t="shared" si="188"/>
        <v>3b</v>
      </c>
      <c r="C395" s="11" t="str">
        <f t="shared" si="205"/>
        <v>Programme expenditure</v>
      </c>
      <c r="D395" s="11" t="s">
        <v>464</v>
      </c>
      <c r="E395" s="7" t="s">
        <v>155</v>
      </c>
      <c r="F395" s="15"/>
      <c r="G395" s="1254" t="s">
        <v>155</v>
      </c>
      <c r="H395" s="6">
        <v>0</v>
      </c>
      <c r="I395" s="6">
        <v>0</v>
      </c>
      <c r="J395" s="1257" t="s">
        <v>155</v>
      </c>
      <c r="K395" s="278">
        <f>SUMIF('alb Note 3 &amp; 3.1 - Expenditure'!$A:$A,$J395,'alb Note 3 &amp; 3.1 - Expenditure'!$C:$C)</f>
        <v>0</v>
      </c>
      <c r="L395" s="278">
        <f>SUMIF('alb Note 3 &amp; 3.1 - Expenditure'!$A:$A,$J395,'alb Note 3 &amp; 3.1 - Expenditure'!$G:$G)</f>
        <v>0</v>
      </c>
      <c r="M395" s="252"/>
      <c r="N395" s="273">
        <f t="shared" si="206"/>
        <v>0</v>
      </c>
      <c r="O395" s="12"/>
      <c r="P395" s="12"/>
      <c r="Q395" s="12"/>
      <c r="R395" s="12"/>
      <c r="S395" s="6">
        <f t="shared" si="196"/>
        <v>0</v>
      </c>
      <c r="T395" s="273">
        <f t="shared" si="207"/>
        <v>0</v>
      </c>
      <c r="U395" s="6">
        <f t="shared" si="208"/>
        <v>0</v>
      </c>
      <c r="V395" s="6"/>
      <c r="W395" s="6">
        <f t="shared" si="209"/>
        <v>0</v>
      </c>
      <c r="X395" s="6"/>
      <c r="Y395" s="6"/>
      <c r="Z395" s="1190"/>
      <c r="AA395" s="6"/>
      <c r="AB395" s="6"/>
      <c r="AC395" s="6"/>
      <c r="AD395" s="6"/>
      <c r="AE395" s="6"/>
      <c r="AF395" s="6"/>
      <c r="AG395" s="6"/>
      <c r="AH395" s="6"/>
      <c r="AI395" s="6"/>
      <c r="AJ395" s="6"/>
      <c r="AK395" s="6"/>
      <c r="AL395" s="6"/>
      <c r="AM395" s="6"/>
      <c r="AN395" s="6"/>
      <c r="AO395" s="6"/>
      <c r="AP395" s="6"/>
      <c r="AQ395" s="6"/>
      <c r="AR395" s="6"/>
      <c r="AS395" s="6"/>
      <c r="AT395" s="6"/>
      <c r="AU395" s="6"/>
      <c r="AV395" s="6"/>
      <c r="AX395" s="6"/>
      <c r="AY395" s="6">
        <f>ROUND(AX395/1000/Update!$B$31*Update!$B$27,0)</f>
        <v>0</v>
      </c>
      <c r="BA395" s="6"/>
      <c r="BB395" s="6">
        <f>ROUND(BA395/1000/Update!$B$31,0)</f>
        <v>0</v>
      </c>
      <c r="BC395" s="6"/>
      <c r="BD395" s="29">
        <f t="shared" si="201"/>
        <v>0</v>
      </c>
      <c r="BE395" s="323"/>
      <c r="BF395" s="323"/>
      <c r="BG395" s="323"/>
      <c r="BH395" s="323"/>
      <c r="BI395" s="323"/>
      <c r="BJ395" s="323"/>
      <c r="BK395" s="29">
        <f t="shared" si="180"/>
        <v>0</v>
      </c>
      <c r="BL395" s="1455"/>
      <c r="BM395" s="1455"/>
      <c r="BN395" s="1455"/>
      <c r="BO395" s="1455"/>
      <c r="BP395" s="1455"/>
      <c r="BQ395" s="1455"/>
      <c r="BR395" s="1455"/>
      <c r="BS395" s="1455"/>
      <c r="BT395" s="1455"/>
      <c r="BU395" s="1455"/>
      <c r="BV395" s="1455"/>
      <c r="BW395" s="1455"/>
      <c r="BX395" s="1455"/>
      <c r="BY395" s="1455"/>
      <c r="BZ395" s="1455"/>
      <c r="CA395" s="1455"/>
      <c r="CB395" s="1455"/>
      <c r="CC395" s="1455"/>
      <c r="CD395" s="1455"/>
      <c r="CE395" s="1455"/>
      <c r="CF395" s="1455"/>
      <c r="CG395" s="1455"/>
      <c r="CH395" s="1455"/>
      <c r="CI395" s="323"/>
      <c r="CM395" s="1140">
        <v>0</v>
      </c>
      <c r="CN395" s="1140">
        <v>0</v>
      </c>
      <c r="CP395" s="923">
        <f t="shared" si="210"/>
        <v>0</v>
      </c>
      <c r="CZ395" s="330"/>
    </row>
    <row r="396" spans="1:104" ht="15" customHeight="1" x14ac:dyDescent="0.25">
      <c r="A396" s="684">
        <f>MAX($A$6:A395)+1</f>
        <v>396</v>
      </c>
      <c r="B396" s="3" t="str">
        <f t="shared" si="188"/>
        <v>3b</v>
      </c>
      <c r="C396" s="11" t="str">
        <f t="shared" si="205"/>
        <v>Programme expenditure</v>
      </c>
      <c r="D396" s="11" t="s">
        <v>309</v>
      </c>
      <c r="E396" s="7" t="s">
        <v>2470</v>
      </c>
      <c r="F396" s="15"/>
      <c r="G396" s="1254" t="s">
        <v>2470</v>
      </c>
      <c r="H396" s="6">
        <v>0</v>
      </c>
      <c r="I396" s="6">
        <v>0</v>
      </c>
      <c r="J396" s="1254" t="s">
        <v>2470</v>
      </c>
      <c r="K396" s="278">
        <f>SUMIF('alb Note 3 &amp; 3.1 - Expenditure'!$A:$A,$J396,'alb Note 3 &amp; 3.1 - Expenditure'!$C:$C)</f>
        <v>0</v>
      </c>
      <c r="L396" s="278">
        <f>SUMIF('alb Note 3 &amp; 3.1 - Expenditure'!$A:$A,$J396,'alb Note 3 &amp; 3.1 - Expenditure'!$G:$G)</f>
        <v>0</v>
      </c>
      <c r="M396" s="252"/>
      <c r="N396" s="273">
        <f t="shared" si="206"/>
        <v>0</v>
      </c>
      <c r="O396" s="12"/>
      <c r="P396" s="12"/>
      <c r="Q396" s="12"/>
      <c r="R396" s="12"/>
      <c r="S396" s="6">
        <f t="shared" si="196"/>
        <v>0</v>
      </c>
      <c r="T396" s="273">
        <f t="shared" si="207"/>
        <v>0</v>
      </c>
      <c r="U396" s="6">
        <f t="shared" si="208"/>
        <v>0</v>
      </c>
      <c r="V396" s="6"/>
      <c r="W396" s="6">
        <f t="shared" si="209"/>
        <v>0</v>
      </c>
      <c r="X396" s="6"/>
      <c r="Y396" s="6"/>
      <c r="Z396" s="1190"/>
      <c r="AA396" s="6"/>
      <c r="AB396" s="6"/>
      <c r="AC396" s="6"/>
      <c r="AD396" s="6"/>
      <c r="AE396" s="6"/>
      <c r="AF396" s="6"/>
      <c r="AG396" s="6"/>
      <c r="AH396" s="6"/>
      <c r="AI396" s="6"/>
      <c r="AJ396" s="6"/>
      <c r="AK396" s="6"/>
      <c r="AL396" s="6"/>
      <c r="AM396" s="6"/>
      <c r="AN396" s="6"/>
      <c r="AO396" s="6"/>
      <c r="AP396" s="6"/>
      <c r="AQ396" s="6"/>
      <c r="AR396" s="6"/>
      <c r="AS396" s="6"/>
      <c r="AT396" s="6"/>
      <c r="AU396" s="6"/>
      <c r="AV396" s="6"/>
      <c r="AX396" s="6"/>
      <c r="AY396" s="6">
        <f>ROUND(AX396/1000/Update!$B$31*Update!$B$27,0)</f>
        <v>0</v>
      </c>
      <c r="BA396" s="6"/>
      <c r="BB396" s="6">
        <f>ROUND(BA396/1000/Update!$B$31,0)</f>
        <v>0</v>
      </c>
      <c r="BC396" s="6"/>
      <c r="BD396" s="29">
        <f t="shared" si="201"/>
        <v>0</v>
      </c>
      <c r="BE396" s="323"/>
      <c r="BF396" s="323"/>
      <c r="BG396" s="323"/>
      <c r="BH396" s="323"/>
      <c r="BI396" s="323"/>
      <c r="BJ396" s="323"/>
      <c r="BK396" s="29">
        <f t="shared" si="180"/>
        <v>0</v>
      </c>
      <c r="BL396" s="1455"/>
      <c r="BM396" s="1455"/>
      <c r="BN396" s="1455"/>
      <c r="BO396" s="1455"/>
      <c r="BP396" s="1455"/>
      <c r="BQ396" s="1455"/>
      <c r="BR396" s="1455"/>
      <c r="BS396" s="1455"/>
      <c r="BT396" s="1455"/>
      <c r="BU396" s="1455"/>
      <c r="BV396" s="1455"/>
      <c r="BW396" s="1455"/>
      <c r="BX396" s="1455"/>
      <c r="BY396" s="1455"/>
      <c r="BZ396" s="1455"/>
      <c r="CA396" s="1455"/>
      <c r="CB396" s="1455"/>
      <c r="CC396" s="1455"/>
      <c r="CD396" s="1455"/>
      <c r="CE396" s="1455"/>
      <c r="CF396" s="1455"/>
      <c r="CG396" s="1455"/>
      <c r="CH396" s="1455"/>
      <c r="CI396" s="323"/>
      <c r="CM396" s="1140">
        <v>0</v>
      </c>
      <c r="CN396" s="1140">
        <v>0</v>
      </c>
      <c r="CP396" s="923">
        <f t="shared" si="210"/>
        <v>0</v>
      </c>
      <c r="CZ396" s="330"/>
    </row>
    <row r="397" spans="1:104" ht="15" customHeight="1" x14ac:dyDescent="0.25">
      <c r="A397" s="684">
        <f>MAX($A$6:A396)+1</f>
        <v>397</v>
      </c>
      <c r="B397" s="3" t="str">
        <f t="shared" si="188"/>
        <v>3b</v>
      </c>
      <c r="C397" s="11" t="str">
        <f t="shared" si="205"/>
        <v>Programme expenditure</v>
      </c>
      <c r="D397" s="11" t="s">
        <v>309</v>
      </c>
      <c r="E397" s="7" t="s">
        <v>156</v>
      </c>
      <c r="F397" s="15"/>
      <c r="G397" s="1254" t="s">
        <v>156</v>
      </c>
      <c r="H397" s="6">
        <v>0</v>
      </c>
      <c r="I397" s="6">
        <v>0</v>
      </c>
      <c r="J397" s="1257" t="s">
        <v>156</v>
      </c>
      <c r="K397" s="278">
        <f>SUMIF('alb Note 3 &amp; 3.1 - Expenditure'!$A:$A,$J397,'alb Note 3 &amp; 3.1 - Expenditure'!$C:$C)</f>
        <v>0</v>
      </c>
      <c r="L397" s="278">
        <f>SUMIF('alb Note 3 &amp; 3.1 - Expenditure'!$A:$A,$J397,'alb Note 3 &amp; 3.1 - Expenditure'!$G:$G)</f>
        <v>0</v>
      </c>
      <c r="M397" s="252"/>
      <c r="N397" s="273">
        <f>ROUND(SUM(O397:S397)+SUM(W397:AV397),0)</f>
        <v>0</v>
      </c>
      <c r="O397" s="12"/>
      <c r="P397" s="12"/>
      <c r="Q397" s="12"/>
      <c r="R397" s="12"/>
      <c r="S397" s="6">
        <f>-IF(ISNUMBER(BD397),BD397,0)</f>
        <v>0</v>
      </c>
      <c r="T397" s="273">
        <f>ROUND(SUM(U397:Y397),0)</f>
        <v>0</v>
      </c>
      <c r="U397" s="6">
        <f>-SUM(BL397:BN397)</f>
        <v>0</v>
      </c>
      <c r="V397" s="6"/>
      <c r="W397" s="6">
        <f>+H397</f>
        <v>0</v>
      </c>
      <c r="X397" s="6"/>
      <c r="Y397" s="6"/>
      <c r="Z397" s="1190"/>
      <c r="AA397" s="6"/>
      <c r="AB397" s="6"/>
      <c r="AC397" s="6"/>
      <c r="AD397" s="6"/>
      <c r="AE397" s="6"/>
      <c r="AF397" s="6"/>
      <c r="AG397" s="6"/>
      <c r="AH397" s="6"/>
      <c r="AI397" s="6"/>
      <c r="AJ397" s="6"/>
      <c r="AK397" s="6"/>
      <c r="AL397" s="6"/>
      <c r="AM397" s="6"/>
      <c r="AN397" s="6"/>
      <c r="AO397" s="6"/>
      <c r="AP397" s="6"/>
      <c r="AQ397" s="6"/>
      <c r="AR397" s="6"/>
      <c r="AS397" s="6"/>
      <c r="AT397" s="6"/>
      <c r="AU397" s="6"/>
      <c r="AV397" s="6"/>
      <c r="AX397" s="6"/>
      <c r="AY397" s="6">
        <f>ROUND(AX397/1000/Update!$B$31*Update!$B$27,0)</f>
        <v>0</v>
      </c>
      <c r="BA397" s="6"/>
      <c r="BB397" s="6">
        <f>ROUND(BA397/1000/Update!$B$31,0)</f>
        <v>0</v>
      </c>
      <c r="BC397" s="6"/>
      <c r="BD397" s="29">
        <f>ROUND(SUM(BE397:BK397),0)</f>
        <v>0</v>
      </c>
      <c r="BE397" s="323"/>
      <c r="BF397" s="323"/>
      <c r="BG397" s="323"/>
      <c r="BH397" s="323"/>
      <c r="BI397" s="323"/>
      <c r="BJ397" s="323"/>
      <c r="BK397" s="29">
        <f>ROUND(SUM(BO397:CI397),0)</f>
        <v>0</v>
      </c>
      <c r="BL397" s="1455"/>
      <c r="BM397" s="1455"/>
      <c r="BN397" s="1455"/>
      <c r="BO397" s="1455"/>
      <c r="BP397" s="1455"/>
      <c r="BQ397" s="1455"/>
      <c r="BR397" s="1455"/>
      <c r="BS397" s="1455"/>
      <c r="BT397" s="1455"/>
      <c r="BU397" s="1455"/>
      <c r="BV397" s="1455"/>
      <c r="BW397" s="1455"/>
      <c r="BX397" s="1455"/>
      <c r="BY397" s="1455"/>
      <c r="BZ397" s="1455"/>
      <c r="CA397" s="1455"/>
      <c r="CB397" s="1455"/>
      <c r="CC397" s="1455"/>
      <c r="CD397" s="1455"/>
      <c r="CE397" s="1455"/>
      <c r="CF397" s="1455"/>
      <c r="CG397" s="1455"/>
      <c r="CH397" s="1455"/>
      <c r="CI397" s="323"/>
      <c r="CM397" s="1140">
        <v>0</v>
      </c>
      <c r="CN397" s="1140">
        <v>0</v>
      </c>
      <c r="CP397" s="923">
        <f t="shared" si="210"/>
        <v>0</v>
      </c>
      <c r="CZ397" s="330"/>
    </row>
    <row r="398" spans="1:104" ht="38.25" customHeight="1" x14ac:dyDescent="0.25">
      <c r="A398" s="684">
        <f>MAX($A$6:A397)+1</f>
        <v>398</v>
      </c>
      <c r="B398" s="3" t="str">
        <f>B396</f>
        <v>3b</v>
      </c>
      <c r="C398" s="11" t="str">
        <f t="shared" si="205"/>
        <v>Programme expenditure</v>
      </c>
      <c r="D398" s="11" t="s">
        <v>464</v>
      </c>
      <c r="E398" s="7" t="s">
        <v>353</v>
      </c>
      <c r="F398" s="15"/>
      <c r="G398" s="1254" t="s">
        <v>353</v>
      </c>
      <c r="H398" s="6">
        <v>0</v>
      </c>
      <c r="I398" s="6">
        <v>0</v>
      </c>
      <c r="J398" s="1254" t="s">
        <v>353</v>
      </c>
      <c r="K398" s="278">
        <f>SUMIF('alb Note 3 &amp; 3.1 - Expenditure'!$A:$A,$J398,'alb Note 3 &amp; 3.1 - Expenditure'!$C:$C)</f>
        <v>0</v>
      </c>
      <c r="L398" s="278">
        <f>SUMIF('alb Note 3 &amp; 3.1 - Expenditure'!$A:$A,$J398,'alb Note 3 &amp; 3.1 - Expenditure'!$G:$G)</f>
        <v>0</v>
      </c>
      <c r="M398" s="252"/>
      <c r="N398" s="273">
        <f t="shared" si="206"/>
        <v>0</v>
      </c>
      <c r="O398" s="12"/>
      <c r="P398" s="12"/>
      <c r="Q398" s="12"/>
      <c r="R398" s="12"/>
      <c r="S398" s="6">
        <f t="shared" si="196"/>
        <v>0</v>
      </c>
      <c r="T398" s="273">
        <f t="shared" si="207"/>
        <v>0</v>
      </c>
      <c r="U398" s="6">
        <f t="shared" si="208"/>
        <v>0</v>
      </c>
      <c r="V398" s="6"/>
      <c r="W398" s="6">
        <f t="shared" si="209"/>
        <v>0</v>
      </c>
      <c r="X398" s="6"/>
      <c r="Y398" s="6"/>
      <c r="Z398" s="1190"/>
      <c r="AA398" s="6"/>
      <c r="AB398" s="6"/>
      <c r="AC398" s="6"/>
      <c r="AD398" s="6"/>
      <c r="AE398" s="6"/>
      <c r="AF398" s="6"/>
      <c r="AG398" s="6"/>
      <c r="AH398" s="6"/>
      <c r="AI398" s="6"/>
      <c r="AJ398" s="6"/>
      <c r="AK398" s="6"/>
      <c r="AL398" s="6"/>
      <c r="AM398" s="6"/>
      <c r="AN398" s="6"/>
      <c r="AO398" s="6"/>
      <c r="AP398" s="6"/>
      <c r="AQ398" s="6"/>
      <c r="AR398" s="6"/>
      <c r="AS398" s="6"/>
      <c r="AT398" s="6"/>
      <c r="AU398" s="6"/>
      <c r="AV398" s="6"/>
      <c r="AX398" s="6"/>
      <c r="AY398" s="6">
        <f>ROUND(AX398/1000/Update!$B$31*Update!$B$27,0)</f>
        <v>0</v>
      </c>
      <c r="BA398" s="6"/>
      <c r="BB398" s="6">
        <f>ROUND(BA398/1000/Update!$B$31,0)</f>
        <v>0</v>
      </c>
      <c r="BC398" s="6"/>
      <c r="BD398" s="29">
        <f t="shared" si="201"/>
        <v>0</v>
      </c>
      <c r="BE398" s="323"/>
      <c r="BF398" s="323"/>
      <c r="BG398" s="323"/>
      <c r="BH398" s="323"/>
      <c r="BI398" s="323"/>
      <c r="BJ398" s="323"/>
      <c r="BK398" s="29">
        <f t="shared" si="180"/>
        <v>0</v>
      </c>
      <c r="BL398" s="1455"/>
      <c r="BM398" s="1455"/>
      <c r="BN398" s="1455"/>
      <c r="BO398" s="1455"/>
      <c r="BP398" s="1455"/>
      <c r="BQ398" s="1455"/>
      <c r="BR398" s="1455"/>
      <c r="BS398" s="1455"/>
      <c r="BT398" s="1455"/>
      <c r="BU398" s="1455"/>
      <c r="BV398" s="1455"/>
      <c r="BW398" s="1455"/>
      <c r="BX398" s="1455"/>
      <c r="BY398" s="1455"/>
      <c r="BZ398" s="1455"/>
      <c r="CA398" s="1455"/>
      <c r="CB398" s="1455"/>
      <c r="CC398" s="1455"/>
      <c r="CD398" s="1455"/>
      <c r="CE398" s="1455"/>
      <c r="CF398" s="1455"/>
      <c r="CG398" s="1455"/>
      <c r="CH398" s="1455"/>
      <c r="CI398" s="323"/>
      <c r="CM398" s="1140">
        <v>0</v>
      </c>
      <c r="CN398" s="1140">
        <v>0</v>
      </c>
      <c r="CP398" s="923">
        <f t="shared" si="210"/>
        <v>0</v>
      </c>
      <c r="CZ398" s="330"/>
    </row>
    <row r="399" spans="1:104" ht="25.5" customHeight="1" x14ac:dyDescent="0.25">
      <c r="A399" s="684">
        <f>MAX($A$6:A398)+1</f>
        <v>399</v>
      </c>
      <c r="B399" s="3" t="str">
        <f t="shared" si="188"/>
        <v>3b</v>
      </c>
      <c r="C399" s="11" t="str">
        <f t="shared" si="205"/>
        <v>Programme expenditure</v>
      </c>
      <c r="D399" s="11" t="s">
        <v>464</v>
      </c>
      <c r="E399" s="7" t="s">
        <v>157</v>
      </c>
      <c r="F399" s="15"/>
      <c r="G399" s="1254" t="s">
        <v>157</v>
      </c>
      <c r="H399" s="6">
        <v>0</v>
      </c>
      <c r="I399" s="6">
        <v>0</v>
      </c>
      <c r="J399" s="1254" t="s">
        <v>824</v>
      </c>
      <c r="K399" s="278">
        <f>SUMIF('alb Note 3 &amp; 3.1 - Expenditure'!$A:$A,$J399,'alb Note 3 &amp; 3.1 - Expenditure'!$C:$C)</f>
        <v>0</v>
      </c>
      <c r="L399" s="278">
        <f>SUMIF('alb Note 3 &amp; 3.1 - Expenditure'!$A:$A,$J399,'alb Note 3 &amp; 3.1 - Expenditure'!$G:$G)</f>
        <v>0</v>
      </c>
      <c r="M399" s="252"/>
      <c r="N399" s="273">
        <f t="shared" si="206"/>
        <v>0</v>
      </c>
      <c r="O399" s="12"/>
      <c r="P399" s="12"/>
      <c r="Q399" s="12"/>
      <c r="R399" s="12"/>
      <c r="S399" s="6">
        <f t="shared" si="196"/>
        <v>0</v>
      </c>
      <c r="T399" s="273">
        <f t="shared" si="207"/>
        <v>0</v>
      </c>
      <c r="U399" s="278">
        <f t="shared" si="208"/>
        <v>0</v>
      </c>
      <c r="V399" s="278"/>
      <c r="W399" s="278">
        <f t="shared" si="209"/>
        <v>0</v>
      </c>
      <c r="X399" s="278"/>
      <c r="Y399" s="278"/>
      <c r="Z399" s="1454"/>
      <c r="AA399" s="278"/>
      <c r="AB399" s="278"/>
      <c r="AC399" s="278"/>
      <c r="AD399" s="278"/>
      <c r="AE399" s="278"/>
      <c r="AF399" s="278"/>
      <c r="AG399" s="278"/>
      <c r="AH399" s="278"/>
      <c r="AI399" s="278"/>
      <c r="AJ399" s="278"/>
      <c r="AK399" s="278"/>
      <c r="AL399" s="278"/>
      <c r="AM399" s="278"/>
      <c r="AN399" s="278"/>
      <c r="AO399" s="278"/>
      <c r="AP399" s="278"/>
      <c r="AQ399" s="278"/>
      <c r="AR399" s="278"/>
      <c r="AS399" s="278"/>
      <c r="AT399" s="278"/>
      <c r="AU399" s="278"/>
      <c r="AV399" s="278"/>
      <c r="AX399" s="6"/>
      <c r="AY399" s="6">
        <f>ROUND(AX399/1000/Update!$B$31*Update!$B$27,0)</f>
        <v>0</v>
      </c>
      <c r="BA399" s="6"/>
      <c r="BB399" s="6">
        <f>ROUND(BA399/1000/Update!$B$31,0)</f>
        <v>0</v>
      </c>
      <c r="BC399" s="6"/>
      <c r="BD399" s="29">
        <f t="shared" si="201"/>
        <v>0</v>
      </c>
      <c r="BE399" s="323"/>
      <c r="BF399" s="323"/>
      <c r="BG399" s="323"/>
      <c r="BH399" s="323"/>
      <c r="BI399" s="323"/>
      <c r="BJ399" s="323"/>
      <c r="BK399" s="29">
        <f t="shared" si="180"/>
        <v>0</v>
      </c>
      <c r="BL399" s="1455"/>
      <c r="BM399" s="1455"/>
      <c r="BN399" s="1455"/>
      <c r="BO399" s="1455"/>
      <c r="BP399" s="1455"/>
      <c r="BQ399" s="1455"/>
      <c r="BR399" s="1455"/>
      <c r="BS399" s="1455"/>
      <c r="BT399" s="1455"/>
      <c r="BU399" s="1455"/>
      <c r="BV399" s="1455"/>
      <c r="BW399" s="1455"/>
      <c r="BX399" s="1455"/>
      <c r="BY399" s="1455"/>
      <c r="BZ399" s="1455"/>
      <c r="CA399" s="1455"/>
      <c r="CB399" s="1455"/>
      <c r="CC399" s="1455"/>
      <c r="CD399" s="1455"/>
      <c r="CE399" s="1455"/>
      <c r="CF399" s="1455"/>
      <c r="CG399" s="1455"/>
      <c r="CH399" s="1455"/>
      <c r="CI399" s="323"/>
      <c r="CM399" s="1140">
        <v>0</v>
      </c>
      <c r="CN399" s="1140">
        <v>0</v>
      </c>
      <c r="CP399" s="923">
        <f t="shared" si="210"/>
        <v>0</v>
      </c>
      <c r="CZ399" s="330"/>
    </row>
    <row r="400" spans="1:104" ht="15" customHeight="1" x14ac:dyDescent="0.25">
      <c r="A400" s="684">
        <f>MAX($A$6:A399)+1</f>
        <v>400</v>
      </c>
      <c r="B400" s="3" t="str">
        <f t="shared" si="188"/>
        <v>3b</v>
      </c>
      <c r="C400" s="11" t="str">
        <f t="shared" si="205"/>
        <v>Programme expenditure</v>
      </c>
      <c r="D400" s="11" t="s">
        <v>464</v>
      </c>
      <c r="E400" s="7" t="s">
        <v>504</v>
      </c>
      <c r="F400" s="15"/>
      <c r="G400" s="1254" t="s">
        <v>167</v>
      </c>
      <c r="H400" s="6">
        <v>0</v>
      </c>
      <c r="I400" s="6">
        <v>0</v>
      </c>
      <c r="J400" s="1257" t="s">
        <v>504</v>
      </c>
      <c r="K400" s="251">
        <f>SUMIF('alb Note 3 &amp; 3.1 - Expenditure'!$A:$A,$J400,'alb Note 3 &amp; 3.1 - Expenditure'!$C:$C)</f>
        <v>0</v>
      </c>
      <c r="L400" s="251">
        <f>SUMIF('alb Note 3 &amp; 3.1 - Expenditure'!$A:$A,$J400,'alb Note 3 &amp; 3.1 - Expenditure'!$G:$G)</f>
        <v>0</v>
      </c>
      <c r="M400" s="252"/>
      <c r="N400" s="273">
        <f t="shared" si="206"/>
        <v>0</v>
      </c>
      <c r="O400" s="12"/>
      <c r="P400" s="12"/>
      <c r="Q400" s="12"/>
      <c r="R400" s="12"/>
      <c r="S400" s="6">
        <f t="shared" si="196"/>
        <v>0</v>
      </c>
      <c r="T400" s="273">
        <f t="shared" si="207"/>
        <v>0</v>
      </c>
      <c r="U400" s="6">
        <f t="shared" si="208"/>
        <v>0</v>
      </c>
      <c r="V400" s="6"/>
      <c r="W400" s="6">
        <f t="shared" si="209"/>
        <v>0</v>
      </c>
      <c r="X400" s="6"/>
      <c r="Y400" s="6"/>
      <c r="Z400" s="1190"/>
      <c r="AA400" s="6"/>
      <c r="AB400" s="6"/>
      <c r="AC400" s="6"/>
      <c r="AD400" s="6"/>
      <c r="AE400" s="6"/>
      <c r="AF400" s="6"/>
      <c r="AG400" s="6"/>
      <c r="AH400" s="6"/>
      <c r="AI400" s="6"/>
      <c r="AJ400" s="6"/>
      <c r="AK400" s="6"/>
      <c r="AL400" s="6"/>
      <c r="AM400" s="6"/>
      <c r="AN400" s="6"/>
      <c r="AO400" s="6"/>
      <c r="AP400" s="6"/>
      <c r="AQ400" s="6"/>
      <c r="AR400" s="6"/>
      <c r="AS400" s="6"/>
      <c r="AT400" s="6"/>
      <c r="AU400" s="6"/>
      <c r="AV400" s="6"/>
      <c r="AX400" s="6"/>
      <c r="AY400" s="6">
        <f>ROUND(AX400/1000/Update!$B$31*Update!$B$27,0)</f>
        <v>0</v>
      </c>
      <c r="BA400" s="6"/>
      <c r="BB400" s="6">
        <f>ROUND(BA400/1000/Update!$B$31,0)</f>
        <v>0</v>
      </c>
      <c r="BC400" s="6"/>
      <c r="BD400" s="29">
        <f t="shared" si="201"/>
        <v>0</v>
      </c>
      <c r="BE400" s="317"/>
      <c r="BF400" s="317"/>
      <c r="BG400" s="317"/>
      <c r="BH400" s="317"/>
      <c r="BI400" s="317"/>
      <c r="BJ400" s="317"/>
      <c r="BK400" s="29">
        <f t="shared" si="180"/>
        <v>0</v>
      </c>
      <c r="BL400" s="1191"/>
      <c r="BM400" s="1191"/>
      <c r="BN400" s="1191"/>
      <c r="BO400" s="1191"/>
      <c r="BP400" s="1191"/>
      <c r="BQ400" s="1191"/>
      <c r="BR400" s="1191"/>
      <c r="BS400" s="1191"/>
      <c r="BT400" s="1191"/>
      <c r="BU400" s="1191"/>
      <c r="BV400" s="1191"/>
      <c r="BW400" s="1191"/>
      <c r="BX400" s="1191"/>
      <c r="BY400" s="1191"/>
      <c r="BZ400" s="1191"/>
      <c r="CA400" s="1191"/>
      <c r="CB400" s="1191"/>
      <c r="CC400" s="1191"/>
      <c r="CD400" s="1191"/>
      <c r="CE400" s="1191"/>
      <c r="CF400" s="1191"/>
      <c r="CG400" s="1191"/>
      <c r="CH400" s="1191"/>
      <c r="CI400" s="317"/>
      <c r="CM400" s="1139">
        <v>0</v>
      </c>
      <c r="CN400" s="1139">
        <v>0</v>
      </c>
      <c r="CP400" s="923">
        <f t="shared" si="210"/>
        <v>0</v>
      </c>
      <c r="CZ400" s="330"/>
    </row>
    <row r="401" spans="1:104" ht="25.5" customHeight="1" x14ac:dyDescent="0.25">
      <c r="A401" s="684">
        <f>MAX($A$6:A400)+1</f>
        <v>401</v>
      </c>
      <c r="B401" s="3" t="str">
        <f t="shared" si="188"/>
        <v>3b</v>
      </c>
      <c r="C401" s="11" t="str">
        <f t="shared" si="205"/>
        <v>Programme expenditure</v>
      </c>
      <c r="D401" s="11" t="s">
        <v>464</v>
      </c>
      <c r="E401" s="7" t="s">
        <v>169</v>
      </c>
      <c r="F401" s="15"/>
      <c r="G401" s="1254" t="s">
        <v>169</v>
      </c>
      <c r="H401" s="6">
        <v>0</v>
      </c>
      <c r="I401" s="6">
        <v>0</v>
      </c>
      <c r="J401" s="1254" t="s">
        <v>169</v>
      </c>
      <c r="K401" s="251">
        <f>SUMIF('alb Note 3 &amp; 3.1 - Expenditure'!$A:$A,$J401,'alb Note 3 &amp; 3.1 - Expenditure'!$C:$C)</f>
        <v>0</v>
      </c>
      <c r="L401" s="251">
        <f>SUMIF('alb Note 3 &amp; 3.1 - Expenditure'!$A:$A,$J401,'alb Note 3 &amp; 3.1 - Expenditure'!$G:$G)</f>
        <v>0</v>
      </c>
      <c r="M401" s="252"/>
      <c r="N401" s="273">
        <f t="shared" si="206"/>
        <v>0</v>
      </c>
      <c r="O401" s="12"/>
      <c r="P401" s="12"/>
      <c r="Q401" s="12"/>
      <c r="R401" s="12"/>
      <c r="S401" s="6">
        <f t="shared" si="196"/>
        <v>0</v>
      </c>
      <c r="T401" s="273">
        <f t="shared" si="207"/>
        <v>0</v>
      </c>
      <c r="U401" s="6">
        <f t="shared" si="208"/>
        <v>0</v>
      </c>
      <c r="V401" s="6"/>
      <c r="W401" s="6">
        <f t="shared" si="209"/>
        <v>0</v>
      </c>
      <c r="X401" s="6"/>
      <c r="Y401" s="6"/>
      <c r="Z401" s="1190"/>
      <c r="AA401" s="6"/>
      <c r="AB401" s="6"/>
      <c r="AC401" s="6"/>
      <c r="AD401" s="6"/>
      <c r="AE401" s="6"/>
      <c r="AF401" s="6"/>
      <c r="AG401" s="6"/>
      <c r="AH401" s="6"/>
      <c r="AI401" s="6"/>
      <c r="AJ401" s="6"/>
      <c r="AK401" s="6"/>
      <c r="AL401" s="6"/>
      <c r="AM401" s="6"/>
      <c r="AN401" s="6"/>
      <c r="AO401" s="6"/>
      <c r="AP401" s="6"/>
      <c r="AQ401" s="6"/>
      <c r="AR401" s="6"/>
      <c r="AS401" s="6"/>
      <c r="AT401" s="6"/>
      <c r="AU401" s="6"/>
      <c r="AV401" s="6"/>
      <c r="AX401" s="6"/>
      <c r="AY401" s="6">
        <f>ROUND(AX401/1000/Update!$B$31*Update!$B$27,0)</f>
        <v>0</v>
      </c>
      <c r="BA401" s="6"/>
      <c r="BB401" s="6">
        <f>ROUND(BA401/1000/Update!$B$31,0)</f>
        <v>0</v>
      </c>
      <c r="BC401" s="6"/>
      <c r="BD401" s="29">
        <f>ROUND(SUM(BE401:BK401),0)</f>
        <v>0</v>
      </c>
      <c r="BE401" s="317"/>
      <c r="BF401" s="317"/>
      <c r="BG401" s="317"/>
      <c r="BH401" s="317"/>
      <c r="BI401" s="317"/>
      <c r="BJ401" s="317"/>
      <c r="BK401" s="29">
        <f t="shared" si="180"/>
        <v>0</v>
      </c>
      <c r="BL401" s="1191"/>
      <c r="BM401" s="1191"/>
      <c r="BN401" s="1191"/>
      <c r="BO401" s="1191"/>
      <c r="BP401" s="1191"/>
      <c r="BQ401" s="1191"/>
      <c r="BR401" s="1191"/>
      <c r="BS401" s="1191"/>
      <c r="BT401" s="1191"/>
      <c r="BU401" s="1191"/>
      <c r="BV401" s="1191"/>
      <c r="BW401" s="1191"/>
      <c r="BX401" s="1191"/>
      <c r="BY401" s="1191"/>
      <c r="BZ401" s="1191"/>
      <c r="CA401" s="1191"/>
      <c r="CB401" s="1191"/>
      <c r="CC401" s="1191"/>
      <c r="CD401" s="1191"/>
      <c r="CE401" s="1191"/>
      <c r="CF401" s="1191"/>
      <c r="CG401" s="1191"/>
      <c r="CH401" s="1191"/>
      <c r="CI401" s="317"/>
      <c r="CM401" s="1139">
        <v>0</v>
      </c>
      <c r="CN401" s="1139">
        <v>60185</v>
      </c>
      <c r="CP401" s="923">
        <f t="shared" si="210"/>
        <v>0</v>
      </c>
      <c r="CZ401" s="330"/>
    </row>
    <row r="402" spans="1:104" ht="15" customHeight="1" x14ac:dyDescent="0.25">
      <c r="A402" s="684">
        <f>MAX($A$6:A401)+1</f>
        <v>402</v>
      </c>
      <c r="B402" s="3" t="str">
        <f>B400</f>
        <v>3b</v>
      </c>
      <c r="C402" s="11" t="str">
        <f t="shared" si="205"/>
        <v>Programme expenditure</v>
      </c>
      <c r="D402" s="11" t="s">
        <v>158</v>
      </c>
      <c r="E402" s="7" t="s">
        <v>1735</v>
      </c>
      <c r="F402" s="15"/>
      <c r="G402" s="1254" t="s">
        <v>1735</v>
      </c>
      <c r="H402" s="6">
        <v>0</v>
      </c>
      <c r="I402" s="6">
        <v>6175</v>
      </c>
      <c r="J402" s="1257" t="s">
        <v>1735</v>
      </c>
      <c r="K402" s="251">
        <f>SUMIF('alb Note 3 &amp; 3.1 - Expenditure'!$A:$A,$J402,'alb Note 3 &amp; 3.1 - Expenditure'!$C:$C)</f>
        <v>0</v>
      </c>
      <c r="L402" s="251">
        <f>SUMIF('alb Note 3 &amp; 3.1 - Expenditure'!$A:$A,$J402,'alb Note 3 &amp; 3.1 - Expenditure'!$G:$G)</f>
        <v>0</v>
      </c>
      <c r="M402" s="252"/>
      <c r="N402" s="273">
        <f t="shared" si="206"/>
        <v>0</v>
      </c>
      <c r="O402" s="12"/>
      <c r="P402" s="12"/>
      <c r="Q402" s="12"/>
      <c r="R402" s="12"/>
      <c r="S402" s="6">
        <f t="shared" si="196"/>
        <v>0</v>
      </c>
      <c r="T402" s="273">
        <f t="shared" si="207"/>
        <v>0</v>
      </c>
      <c r="U402" s="251">
        <f t="shared" si="208"/>
        <v>0</v>
      </c>
      <c r="V402" s="1523">
        <f>IF(+BL431+BL388-BL479+BM431+BM388-BM479+BN431+BN388-BN479&gt;0,(+BL431+BL388-BL479+BM431+BM388-BM479+BN431+BN388-BN479),0)</f>
        <v>0</v>
      </c>
      <c r="W402" s="251">
        <f t="shared" si="209"/>
        <v>0</v>
      </c>
      <c r="X402" s="251"/>
      <c r="Y402" s="251"/>
      <c r="Z402" s="1185"/>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51"/>
      <c r="AV402" s="251"/>
      <c r="AX402" s="6"/>
      <c r="AY402" s="6">
        <f>ROUND(AX402/1000/Update!$B$31*Update!$B$27,0)</f>
        <v>0</v>
      </c>
      <c r="BA402" s="6"/>
      <c r="BB402" s="6">
        <f>ROUND(BA402/1000/Update!$B$31,0)</f>
        <v>0</v>
      </c>
      <c r="BC402" s="6"/>
      <c r="BD402" s="29">
        <f t="shared" si="201"/>
        <v>0</v>
      </c>
      <c r="BE402" s="317"/>
      <c r="BF402" s="317"/>
      <c r="BG402" s="1191"/>
      <c r="BH402" s="1191"/>
      <c r="BI402" s="1522">
        <f>-BI14</f>
        <v>0</v>
      </c>
      <c r="BJ402" s="1523">
        <f>IF(+BK431+BK388-BK479&gt;0,-(+BK431+BK388-BK479),0)</f>
        <v>0</v>
      </c>
      <c r="BK402" s="29">
        <f t="shared" si="180"/>
        <v>0</v>
      </c>
      <c r="BL402" s="1191"/>
      <c r="BM402" s="1191"/>
      <c r="BN402" s="1191"/>
      <c r="BO402" s="1191"/>
      <c r="BP402" s="1191"/>
      <c r="BQ402" s="1191"/>
      <c r="BR402" s="1191"/>
      <c r="BS402" s="1191"/>
      <c r="BT402" s="1191"/>
      <c r="BU402" s="1191"/>
      <c r="BV402" s="1191"/>
      <c r="BW402" s="1191"/>
      <c r="BX402" s="1191"/>
      <c r="BY402" s="1191"/>
      <c r="BZ402" s="1191"/>
      <c r="CA402" s="1191"/>
      <c r="CB402" s="1191"/>
      <c r="CC402" s="1191"/>
      <c r="CD402" s="1191"/>
      <c r="CE402" s="1191"/>
      <c r="CF402" s="1191"/>
      <c r="CG402" s="1191"/>
      <c r="CH402" s="1191"/>
      <c r="CI402" s="1191"/>
      <c r="CM402" s="1139">
        <v>-3294</v>
      </c>
      <c r="CN402" s="1139">
        <v>7898581</v>
      </c>
      <c r="CP402" s="923">
        <f t="shared" si="210"/>
        <v>-3294</v>
      </c>
      <c r="CZ402" s="330"/>
    </row>
    <row r="403" spans="1:104" ht="15" customHeight="1" x14ac:dyDescent="0.25">
      <c r="A403" s="684">
        <f>MAX($A$6:A402)+1</f>
        <v>403</v>
      </c>
      <c r="B403" s="3" t="str">
        <f t="shared" si="188"/>
        <v>3b</v>
      </c>
      <c r="C403" s="11" t="str">
        <f t="shared" si="205"/>
        <v>Programme expenditure</v>
      </c>
      <c r="D403" s="11" t="s">
        <v>464</v>
      </c>
      <c r="E403" s="7" t="s">
        <v>504</v>
      </c>
      <c r="F403" s="15"/>
      <c r="G403" s="1254" t="s">
        <v>1974</v>
      </c>
      <c r="H403" s="6">
        <v>0</v>
      </c>
      <c r="I403" s="6">
        <v>0</v>
      </c>
      <c r="J403" s="1254" t="s">
        <v>1971</v>
      </c>
      <c r="K403" s="251">
        <f>SUMIF('alb Note 3 &amp; 3.1 - Expenditure'!$A:$A,$J403,'alb Note 3 &amp; 3.1 - Expenditure'!$C:$C)</f>
        <v>0</v>
      </c>
      <c r="L403" s="251">
        <f>SUMIF('alb Note 3 &amp; 3.1 - Expenditure'!$A:$A,$J403,'alb Note 3 &amp; 3.1 - Expenditure'!$G:$G)</f>
        <v>0</v>
      </c>
      <c r="M403" s="252"/>
      <c r="N403" s="273">
        <f t="shared" si="206"/>
        <v>0</v>
      </c>
      <c r="O403" s="12"/>
      <c r="P403" s="12"/>
      <c r="Q403" s="12"/>
      <c r="R403" s="12"/>
      <c r="S403" s="6">
        <f t="shared" si="196"/>
        <v>0</v>
      </c>
      <c r="T403" s="273">
        <f t="shared" si="207"/>
        <v>0</v>
      </c>
      <c r="U403" s="6">
        <f t="shared" si="208"/>
        <v>0</v>
      </c>
      <c r="V403" s="6"/>
      <c r="W403" s="6">
        <f t="shared" si="209"/>
        <v>0</v>
      </c>
      <c r="X403" s="6"/>
      <c r="Y403" s="6"/>
      <c r="Z403" s="1190"/>
      <c r="AA403" s="6"/>
      <c r="AB403" s="6"/>
      <c r="AC403" s="6"/>
      <c r="AD403" s="6"/>
      <c r="AE403" s="6"/>
      <c r="AF403" s="6"/>
      <c r="AG403" s="6"/>
      <c r="AH403" s="6"/>
      <c r="AI403" s="6"/>
      <c r="AJ403" s="6"/>
      <c r="AK403" s="6"/>
      <c r="AL403" s="6"/>
      <c r="AM403" s="6"/>
      <c r="AN403" s="6"/>
      <c r="AO403" s="6"/>
      <c r="AP403" s="6"/>
      <c r="AQ403" s="6"/>
      <c r="AR403" s="6"/>
      <c r="AS403" s="6"/>
      <c r="AT403" s="6"/>
      <c r="AU403" s="6"/>
      <c r="AV403" s="6"/>
      <c r="AX403" s="6"/>
      <c r="AY403" s="6">
        <f>ROUND(AX403/1000/Update!$B$31*Update!$B$27,0)</f>
        <v>0</v>
      </c>
      <c r="BA403" s="6"/>
      <c r="BB403" s="6">
        <f>ROUND(BA403/1000/Update!$B$31,0)</f>
        <v>0</v>
      </c>
      <c r="BC403" s="6"/>
      <c r="BD403" s="29">
        <f t="shared" si="201"/>
        <v>0</v>
      </c>
      <c r="BE403" s="317"/>
      <c r="BF403" s="317"/>
      <c r="BG403" s="317"/>
      <c r="BH403" s="317"/>
      <c r="BI403" s="317"/>
      <c r="BJ403" s="317"/>
      <c r="BK403" s="29">
        <f t="shared" ref="BK403:BK493" si="211">ROUND(SUM(BO403:CI403),0)</f>
        <v>0</v>
      </c>
      <c r="BL403" s="317"/>
      <c r="BM403" s="317"/>
      <c r="BN403" s="317"/>
      <c r="BO403" s="317"/>
      <c r="BP403" s="317"/>
      <c r="BQ403" s="317"/>
      <c r="BR403" s="317"/>
      <c r="BS403" s="317"/>
      <c r="BT403" s="317"/>
      <c r="BU403" s="317"/>
      <c r="BV403" s="317"/>
      <c r="BW403" s="317"/>
      <c r="BX403" s="317"/>
      <c r="BY403" s="317"/>
      <c r="BZ403" s="317"/>
      <c r="CA403" s="317"/>
      <c r="CB403" s="317"/>
      <c r="CC403" s="317"/>
      <c r="CD403" s="317"/>
      <c r="CE403" s="317"/>
      <c r="CF403" s="317"/>
      <c r="CG403" s="317"/>
      <c r="CH403" s="317"/>
      <c r="CI403" s="317"/>
      <c r="CM403" s="1139">
        <v>0</v>
      </c>
      <c r="CN403" s="1139">
        <v>0</v>
      </c>
      <c r="CP403" s="923">
        <f t="shared" si="210"/>
        <v>0</v>
      </c>
      <c r="CZ403" s="330"/>
    </row>
    <row r="404" spans="1:104" ht="15" customHeight="1" x14ac:dyDescent="0.25">
      <c r="A404" s="684">
        <f>MAX($A$6:A403)+1</f>
        <v>404</v>
      </c>
      <c r="B404" s="3" t="str">
        <f t="shared" si="188"/>
        <v>3b</v>
      </c>
      <c r="C404" s="11" t="str">
        <f t="shared" si="205"/>
        <v>Programme expenditure</v>
      </c>
      <c r="D404" s="265" t="s">
        <v>286</v>
      </c>
      <c r="E404" s="265" t="s">
        <v>1691</v>
      </c>
      <c r="F404" s="15"/>
      <c r="G404" s="1254" t="s">
        <v>286</v>
      </c>
      <c r="H404" s="6">
        <v>0</v>
      </c>
      <c r="I404" s="6">
        <v>0</v>
      </c>
      <c r="J404" s="1253" t="s">
        <v>286</v>
      </c>
      <c r="K404" s="251">
        <f>SUMIF('alb Note 3 &amp; 3.1 - Expenditure'!$A:$A,$J404,'alb Note 3 &amp; 3.1 - Expenditure'!$C:$C)</f>
        <v>0</v>
      </c>
      <c r="L404" s="251">
        <f>SUMIF('alb Note 3 &amp; 3.1 - Expenditure'!$A:$A,$J404,'alb Note 3 &amp; 3.1 - Expenditure'!$G:$G)</f>
        <v>0</v>
      </c>
      <c r="M404" s="252"/>
      <c r="N404" s="273">
        <f t="shared" si="206"/>
        <v>0</v>
      </c>
      <c r="O404" s="12"/>
      <c r="P404" s="12"/>
      <c r="Q404" s="12"/>
      <c r="R404" s="12"/>
      <c r="S404" s="6">
        <f t="shared" si="196"/>
        <v>0</v>
      </c>
      <c r="T404" s="273">
        <f t="shared" si="207"/>
        <v>0</v>
      </c>
      <c r="U404" s="6">
        <f t="shared" si="208"/>
        <v>0</v>
      </c>
      <c r="V404" s="6"/>
      <c r="W404" s="6">
        <f t="shared" si="209"/>
        <v>0</v>
      </c>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X404" s="6"/>
      <c r="AY404" s="6">
        <f>ROUND(AX404/1000/Update!$B$31*Update!$B$27,0)</f>
        <v>0</v>
      </c>
      <c r="BA404" s="6"/>
      <c r="BB404" s="6">
        <f>ROUND(BA404/1000/Update!$B$31,0)</f>
        <v>0</v>
      </c>
      <c r="BC404" s="6"/>
      <c r="BD404" s="29">
        <f t="shared" si="201"/>
        <v>0</v>
      </c>
      <c r="BE404" s="317"/>
      <c r="BF404" s="317"/>
      <c r="BG404" s="317"/>
      <c r="BH404" s="317"/>
      <c r="BI404" s="317"/>
      <c r="BJ404" s="317"/>
      <c r="BK404" s="29">
        <f t="shared" si="211"/>
        <v>0</v>
      </c>
      <c r="BL404" s="317"/>
      <c r="BM404" s="317"/>
      <c r="BN404" s="317"/>
      <c r="BO404" s="317"/>
      <c r="BP404" s="317"/>
      <c r="BQ404" s="317"/>
      <c r="BR404" s="317"/>
      <c r="BS404" s="317"/>
      <c r="BT404" s="317"/>
      <c r="BU404" s="317"/>
      <c r="BV404" s="317"/>
      <c r="BW404" s="317"/>
      <c r="BX404" s="317"/>
      <c r="BY404" s="317"/>
      <c r="BZ404" s="317"/>
      <c r="CA404" s="317"/>
      <c r="CB404" s="317"/>
      <c r="CC404" s="317"/>
      <c r="CD404" s="317"/>
      <c r="CE404" s="317"/>
      <c r="CF404" s="317"/>
      <c r="CG404" s="317"/>
      <c r="CH404" s="317"/>
      <c r="CI404" s="317"/>
      <c r="CM404" s="1139">
        <v>0</v>
      </c>
      <c r="CN404" s="1139">
        <v>0</v>
      </c>
      <c r="CP404" s="923">
        <f t="shared" si="210"/>
        <v>0</v>
      </c>
      <c r="CZ404" s="330"/>
    </row>
    <row r="405" spans="1:104" ht="15" customHeight="1" x14ac:dyDescent="0.25">
      <c r="A405" s="684">
        <f>MAX($A$6:A404)+1</f>
        <v>405</v>
      </c>
      <c r="B405" s="3" t="str">
        <f t="shared" si="188"/>
        <v>3b</v>
      </c>
      <c r="C405" s="11" t="str">
        <f t="shared" si="205"/>
        <v>Programme expenditure</v>
      </c>
      <c r="D405" s="265" t="s">
        <v>286</v>
      </c>
      <c r="E405" s="265" t="s">
        <v>1691</v>
      </c>
      <c r="F405" s="15"/>
      <c r="G405" s="1254" t="s">
        <v>286</v>
      </c>
      <c r="H405" s="6">
        <v>0</v>
      </c>
      <c r="I405" s="6">
        <v>0</v>
      </c>
      <c r="J405" s="1253" t="s">
        <v>286</v>
      </c>
      <c r="K405" s="251">
        <f>SUMIF('alb Note 3 &amp; 3.1 - Expenditure'!$A:$A,$J405,'alb Note 3 &amp; 3.1 - Expenditure'!$C:$C)</f>
        <v>0</v>
      </c>
      <c r="L405" s="251">
        <f>SUMIF('alb Note 3 &amp; 3.1 - Expenditure'!$A:$A,$J405,'alb Note 3 &amp; 3.1 - Expenditure'!$G:$G)</f>
        <v>0</v>
      </c>
      <c r="M405" s="252"/>
      <c r="N405" s="273">
        <f t="shared" si="206"/>
        <v>0</v>
      </c>
      <c r="O405" s="12"/>
      <c r="P405" s="12"/>
      <c r="Q405" s="12"/>
      <c r="R405" s="12"/>
      <c r="S405" s="6">
        <f t="shared" si="196"/>
        <v>0</v>
      </c>
      <c r="T405" s="273">
        <f t="shared" si="207"/>
        <v>0</v>
      </c>
      <c r="U405" s="6">
        <f t="shared" si="208"/>
        <v>0</v>
      </c>
      <c r="V405" s="6"/>
      <c r="W405" s="6">
        <f t="shared" si="209"/>
        <v>0</v>
      </c>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X405" s="6"/>
      <c r="AY405" s="6">
        <f>ROUND(AX405/1000/Update!$B$31*Update!$B$27,0)</f>
        <v>0</v>
      </c>
      <c r="BA405" s="6"/>
      <c r="BB405" s="6">
        <f>ROUND(BA405/1000/Update!$B$31,0)</f>
        <v>0</v>
      </c>
      <c r="BC405" s="6"/>
      <c r="BD405" s="29">
        <f t="shared" si="201"/>
        <v>0</v>
      </c>
      <c r="BE405" s="317"/>
      <c r="BF405" s="317"/>
      <c r="BG405" s="317"/>
      <c r="BH405" s="317"/>
      <c r="BI405" s="317"/>
      <c r="BJ405" s="317"/>
      <c r="BK405" s="29">
        <f t="shared" si="211"/>
        <v>0</v>
      </c>
      <c r="BL405" s="317"/>
      <c r="BM405" s="317"/>
      <c r="BN405" s="317"/>
      <c r="BO405" s="317"/>
      <c r="BP405" s="317"/>
      <c r="BQ405" s="317"/>
      <c r="BR405" s="317"/>
      <c r="BS405" s="317"/>
      <c r="BT405" s="317"/>
      <c r="BU405" s="317"/>
      <c r="BV405" s="317"/>
      <c r="BW405" s="317"/>
      <c r="BX405" s="317"/>
      <c r="BY405" s="317"/>
      <c r="BZ405" s="317"/>
      <c r="CA405" s="317"/>
      <c r="CB405" s="317"/>
      <c r="CC405" s="317"/>
      <c r="CD405" s="317"/>
      <c r="CE405" s="317"/>
      <c r="CF405" s="317"/>
      <c r="CG405" s="317"/>
      <c r="CH405" s="317"/>
      <c r="CI405" s="317"/>
      <c r="CM405" s="1139">
        <v>0</v>
      </c>
      <c r="CN405" s="1139">
        <v>0</v>
      </c>
      <c r="CP405" s="923">
        <f t="shared" si="210"/>
        <v>0</v>
      </c>
      <c r="CZ405" s="330"/>
    </row>
    <row r="406" spans="1:104" ht="15" customHeight="1" x14ac:dyDescent="0.25">
      <c r="A406" s="701">
        <f>MAX($A$6:A405)+1</f>
        <v>406</v>
      </c>
      <c r="B406" s="1291" t="str">
        <f t="shared" si="188"/>
        <v>3b</v>
      </c>
      <c r="C406" s="18" t="str">
        <f t="shared" si="205"/>
        <v>Programme expenditure</v>
      </c>
      <c r="D406" s="255" t="s">
        <v>286</v>
      </c>
      <c r="E406" s="19"/>
      <c r="F406" s="20"/>
      <c r="G406" s="28"/>
      <c r="H406" s="14">
        <f>SUM(H389:H405)</f>
        <v>0</v>
      </c>
      <c r="I406" s="14">
        <f>SUM(I389:I405)</f>
        <v>6175</v>
      </c>
      <c r="J406" s="1258" t="s">
        <v>286</v>
      </c>
      <c r="K406" s="256">
        <f t="shared" ref="K406:R406" si="212">SUM(K389:K405)</f>
        <v>0</v>
      </c>
      <c r="L406" s="256">
        <f t="shared" si="212"/>
        <v>0</v>
      </c>
      <c r="M406" s="14">
        <f t="shared" si="212"/>
        <v>0</v>
      </c>
      <c r="N406" s="14">
        <f t="shared" si="212"/>
        <v>0</v>
      </c>
      <c r="O406" s="14">
        <f t="shared" si="212"/>
        <v>0</v>
      </c>
      <c r="P406" s="14">
        <f t="shared" si="212"/>
        <v>0</v>
      </c>
      <c r="Q406" s="14">
        <f t="shared" si="212"/>
        <v>0</v>
      </c>
      <c r="R406" s="14">
        <f t="shared" si="212"/>
        <v>0</v>
      </c>
      <c r="S406" s="14">
        <f t="shared" ref="S406:S477" si="213">-IF(ISNUMBER(BD406),BD406,0)</f>
        <v>0</v>
      </c>
      <c r="T406" s="14">
        <f>SUM(T389:T405)</f>
        <v>0</v>
      </c>
      <c r="U406" s="14">
        <f>SUM(U389:U405)</f>
        <v>0</v>
      </c>
      <c r="V406" s="14">
        <f>SUM(V389:V405)</f>
        <v>0</v>
      </c>
      <c r="W406" s="14">
        <f>SUM(W389:W405)</f>
        <v>0</v>
      </c>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2"/>
      <c r="AX406" s="14">
        <f>SUM(AX389:AX405)</f>
        <v>0</v>
      </c>
      <c r="AY406" s="14">
        <f>ROUND(AX406/1000/Update!$B$31*Update!$B$27,0)</f>
        <v>0</v>
      </c>
      <c r="AZ406" s="2"/>
      <c r="BA406" s="14">
        <f>SUM(BA389:BA405)</f>
        <v>0</v>
      </c>
      <c r="BB406" s="14">
        <f>ROUND(BA406/1000/Update!$B$31,0)</f>
        <v>0</v>
      </c>
      <c r="BC406" s="14"/>
      <c r="BD406" s="14">
        <f t="shared" ref="BD406:BJ406" si="214">SUM(BD389:BD405)</f>
        <v>0</v>
      </c>
      <c r="BE406" s="318">
        <f t="shared" si="214"/>
        <v>0</v>
      </c>
      <c r="BF406" s="318">
        <f t="shared" si="214"/>
        <v>0</v>
      </c>
      <c r="BG406" s="318">
        <f t="shared" si="214"/>
        <v>0</v>
      </c>
      <c r="BH406" s="318">
        <f t="shared" si="214"/>
        <v>0</v>
      </c>
      <c r="BI406" s="318">
        <f t="shared" si="214"/>
        <v>0</v>
      </c>
      <c r="BJ406" s="318">
        <f t="shared" si="214"/>
        <v>0</v>
      </c>
      <c r="BK406" s="14">
        <f t="shared" si="211"/>
        <v>0</v>
      </c>
      <c r="BL406" s="318"/>
      <c r="BM406" s="318"/>
      <c r="BN406" s="318"/>
      <c r="BO406" s="318"/>
      <c r="BP406" s="318"/>
      <c r="BQ406" s="318"/>
      <c r="BR406" s="318"/>
      <c r="BS406" s="318"/>
      <c r="BT406" s="318"/>
      <c r="BU406" s="318"/>
      <c r="BV406" s="318"/>
      <c r="BW406" s="318"/>
      <c r="BX406" s="318"/>
      <c r="BY406" s="318"/>
      <c r="BZ406" s="318"/>
      <c r="CA406" s="318"/>
      <c r="CB406" s="318"/>
      <c r="CC406" s="318"/>
      <c r="CD406" s="318"/>
      <c r="CE406" s="318"/>
      <c r="CF406" s="318"/>
      <c r="CG406" s="318"/>
      <c r="CH406" s="318"/>
      <c r="CI406" s="318"/>
      <c r="CJ406" s="2"/>
      <c r="CK406" s="2"/>
      <c r="CM406" s="1140">
        <v>-3789</v>
      </c>
      <c r="CN406" s="1140">
        <v>8021989</v>
      </c>
      <c r="CP406" s="923">
        <f t="shared" si="210"/>
        <v>-3789</v>
      </c>
      <c r="CZ406" s="330"/>
    </row>
    <row r="407" spans="1:104" ht="15" customHeight="1" x14ac:dyDescent="0.25">
      <c r="A407" s="684">
        <f>MAX($A$6:A406)+1</f>
        <v>407</v>
      </c>
      <c r="B407" s="3" t="str">
        <f t="shared" si="188"/>
        <v>3b</v>
      </c>
      <c r="C407" s="11" t="str">
        <f t="shared" si="205"/>
        <v>Programme expenditure</v>
      </c>
      <c r="D407" s="13" t="s">
        <v>1353</v>
      </c>
      <c r="E407" s="13" t="s">
        <v>168</v>
      </c>
      <c r="F407" s="15"/>
      <c r="G407" s="1254" t="s">
        <v>286</v>
      </c>
      <c r="H407" s="6"/>
      <c r="I407" s="6"/>
      <c r="J407" s="1261" t="s">
        <v>286</v>
      </c>
      <c r="K407" s="251">
        <f>SUMIF('alb Note 3 &amp; 3.1 - Expenditure'!$A:$A,$J407,'alb Note 3 &amp; 3.1 - Expenditure'!$C:$C)</f>
        <v>0</v>
      </c>
      <c r="L407" s="251">
        <f>SUMIF('alb Note 3 &amp; 3.1 - Expenditure'!$A:$A,$J407,'alb Note 3 &amp; 3.1 - Expenditure'!$G:$G)</f>
        <v>0</v>
      </c>
      <c r="M407" s="252"/>
      <c r="N407" s="273">
        <f>ROUND(SUM(O407:S407)+T407+SUM(Z407:AV407),0)</f>
        <v>0</v>
      </c>
      <c r="O407" s="12"/>
      <c r="P407" s="12"/>
      <c r="Q407" s="12"/>
      <c r="R407" s="12"/>
      <c r="S407" s="6">
        <f t="shared" si="213"/>
        <v>0</v>
      </c>
      <c r="T407" s="273">
        <f>ROUND(SUM(U407:Y407),0)</f>
        <v>0</v>
      </c>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X407" s="6"/>
      <c r="AY407" s="6">
        <f>ROUND(AX407/1000/Update!$B$31*Update!$B$27,0)</f>
        <v>0</v>
      </c>
      <c r="BA407" s="6"/>
      <c r="BB407" s="6">
        <f>ROUND(BA407/1000/Update!$B$31,0)</f>
        <v>0</v>
      </c>
      <c r="BC407" s="6"/>
      <c r="BD407" s="29"/>
      <c r="BE407" s="317">
        <f t="shared" ref="BE407:BJ407" si="215">BE406+BE14+BE13+BE388+BE19</f>
        <v>0</v>
      </c>
      <c r="BF407" s="317">
        <f t="shared" si="215"/>
        <v>0</v>
      </c>
      <c r="BG407" s="317">
        <f t="shared" si="215"/>
        <v>0</v>
      </c>
      <c r="BH407" s="317">
        <f t="shared" si="215"/>
        <v>0</v>
      </c>
      <c r="BI407" s="317">
        <f t="shared" si="215"/>
        <v>0</v>
      </c>
      <c r="BJ407" s="317">
        <f t="shared" si="215"/>
        <v>0</v>
      </c>
      <c r="BK407" s="29">
        <f t="shared" si="211"/>
        <v>0</v>
      </c>
      <c r="BL407" s="1191"/>
      <c r="BM407" s="1191"/>
      <c r="BN407" s="1191"/>
      <c r="BO407" s="1191"/>
      <c r="BP407" s="1191"/>
      <c r="BQ407" s="1191"/>
      <c r="BR407" s="1191"/>
      <c r="BS407" s="1191"/>
      <c r="BT407" s="1191"/>
      <c r="BU407" s="1191"/>
      <c r="BV407" s="1191"/>
      <c r="BW407" s="1191"/>
      <c r="BX407" s="1191"/>
      <c r="BY407" s="1191"/>
      <c r="BZ407" s="1191"/>
      <c r="CA407" s="1191"/>
      <c r="CB407" s="1191"/>
      <c r="CC407" s="1191"/>
      <c r="CD407" s="1191"/>
      <c r="CE407" s="1191"/>
      <c r="CF407" s="1191"/>
      <c r="CG407" s="1191"/>
      <c r="CH407" s="1191"/>
      <c r="CI407" s="1191"/>
      <c r="CM407" s="1139">
        <v>0</v>
      </c>
      <c r="CN407" s="1139"/>
      <c r="CP407" s="923">
        <f t="shared" si="210"/>
        <v>0</v>
      </c>
      <c r="CZ407" s="330"/>
    </row>
    <row r="408" spans="1:104" ht="15" customHeight="1" x14ac:dyDescent="0.25">
      <c r="A408" s="684">
        <f>MAX($A$6:A407)+1</f>
        <v>408</v>
      </c>
      <c r="B408" s="3" t="str">
        <f t="shared" si="188"/>
        <v>3b</v>
      </c>
      <c r="C408" s="11" t="str">
        <f t="shared" si="205"/>
        <v>Programme expenditure</v>
      </c>
      <c r="D408" s="11" t="s">
        <v>283</v>
      </c>
      <c r="E408" s="7" t="s">
        <v>160</v>
      </c>
      <c r="F408" s="15" t="s">
        <v>1394</v>
      </c>
      <c r="G408" s="1254" t="s">
        <v>354</v>
      </c>
      <c r="H408" s="6">
        <v>0</v>
      </c>
      <c r="I408" s="6">
        <v>0</v>
      </c>
      <c r="J408" s="1257" t="s">
        <v>160</v>
      </c>
      <c r="K408" s="251">
        <f>SUMIF('alb Note 3 &amp; 3.1 - Expenditure'!$A:$A,$J408,'alb Note 3 &amp; 3.1 - Expenditure'!$C:$C)</f>
        <v>0</v>
      </c>
      <c r="L408" s="251">
        <f>SUMIF('alb Note 3 &amp; 3.1 - Expenditure'!$A:$A,$J408,'alb Note 3 &amp; 3.1 - Expenditure'!$G:$G)</f>
        <v>0</v>
      </c>
      <c r="M408" s="252"/>
      <c r="N408" s="273">
        <f t="shared" ref="N408:N424" si="216">ROUND(SUM(O408:S408)+SUM(W408:AV408),0)</f>
        <v>0</v>
      </c>
      <c r="O408" s="12"/>
      <c r="P408" s="12"/>
      <c r="Q408" s="12"/>
      <c r="R408" s="6"/>
      <c r="S408" s="6">
        <f t="shared" si="213"/>
        <v>0</v>
      </c>
      <c r="T408" s="273">
        <f t="shared" ref="T408:T424" si="217">ROUND(SUM(U408:Y408),0)</f>
        <v>0</v>
      </c>
      <c r="U408" s="6">
        <f t="shared" ref="U408:U424" si="218">-SUM(BL408:BN408)</f>
        <v>0</v>
      </c>
      <c r="V408" s="6"/>
      <c r="W408" s="6">
        <f t="shared" ref="W408:W423" si="219">+H408</f>
        <v>0</v>
      </c>
      <c r="X408" s="6"/>
      <c r="Y408" s="6"/>
      <c r="Z408" s="1190"/>
      <c r="AA408" s="6"/>
      <c r="AB408" s="6"/>
      <c r="AC408" s="6"/>
      <c r="AD408" s="6"/>
      <c r="AE408" s="6"/>
      <c r="AF408" s="6"/>
      <c r="AG408" s="6"/>
      <c r="AH408" s="6"/>
      <c r="AI408" s="6"/>
      <c r="AJ408" s="6"/>
      <c r="AK408" s="6"/>
      <c r="AL408" s="6"/>
      <c r="AM408" s="6"/>
      <c r="AN408" s="6"/>
      <c r="AO408" s="6"/>
      <c r="AP408" s="6"/>
      <c r="AQ408" s="6"/>
      <c r="AR408" s="6"/>
      <c r="AS408" s="6"/>
      <c r="AT408" s="6"/>
      <c r="AU408" s="6"/>
      <c r="AV408" s="6"/>
      <c r="AX408" s="6"/>
      <c r="AY408" s="6">
        <f>ROUND(AX408/1000/Update!$B$31*Update!$B$27,0)</f>
        <v>0</v>
      </c>
      <c r="BA408" s="6"/>
      <c r="BB408" s="6">
        <f>ROUND(BA408/1000/Update!$B$31,0)</f>
        <v>0</v>
      </c>
      <c r="BC408" s="6"/>
      <c r="BD408" s="29">
        <f t="shared" si="201"/>
        <v>0</v>
      </c>
      <c r="BE408" s="317"/>
      <c r="BF408" s="317"/>
      <c r="BG408" s="317"/>
      <c r="BH408" s="317"/>
      <c r="BI408" s="317"/>
      <c r="BJ408" s="317"/>
      <c r="BK408" s="29">
        <f t="shared" si="211"/>
        <v>0</v>
      </c>
      <c r="BL408" s="317"/>
      <c r="BM408" s="317"/>
      <c r="BN408" s="317"/>
      <c r="BO408" s="317"/>
      <c r="BP408" s="317"/>
      <c r="BQ408" s="317"/>
      <c r="BR408" s="317"/>
      <c r="BS408" s="317"/>
      <c r="BT408" s="317"/>
      <c r="BU408" s="317"/>
      <c r="BV408" s="317"/>
      <c r="BW408" s="317"/>
      <c r="BX408" s="317"/>
      <c r="BY408" s="317"/>
      <c r="BZ408" s="317"/>
      <c r="CA408" s="317"/>
      <c r="CB408" s="317"/>
      <c r="CC408" s="317"/>
      <c r="CD408" s="317"/>
      <c r="CE408" s="317"/>
      <c r="CF408" s="317"/>
      <c r="CG408" s="317"/>
      <c r="CH408" s="317"/>
      <c r="CI408" s="317"/>
      <c r="CM408" s="1139">
        <v>0</v>
      </c>
      <c r="CN408" s="1139">
        <v>0</v>
      </c>
      <c r="CP408" s="923">
        <f t="shared" si="210"/>
        <v>0</v>
      </c>
      <c r="CZ408" s="330"/>
    </row>
    <row r="409" spans="1:104" ht="15" customHeight="1" x14ac:dyDescent="0.25">
      <c r="A409" s="684">
        <f>MAX($A$6:A408)+1</f>
        <v>409</v>
      </c>
      <c r="B409" s="3" t="str">
        <f t="shared" si="188"/>
        <v>3b</v>
      </c>
      <c r="C409" s="11" t="str">
        <f t="shared" si="205"/>
        <v>Programme expenditure</v>
      </c>
      <c r="D409" s="11" t="s">
        <v>283</v>
      </c>
      <c r="E409" s="7" t="s">
        <v>161</v>
      </c>
      <c r="F409" s="15" t="s">
        <v>1394</v>
      </c>
      <c r="G409" s="1254" t="s">
        <v>355</v>
      </c>
      <c r="H409" s="6">
        <v>0</v>
      </c>
      <c r="I409" s="6">
        <v>0</v>
      </c>
      <c r="J409" s="1257" t="s">
        <v>161</v>
      </c>
      <c r="K409" s="251">
        <f>SUMIF('alb Note 3 &amp; 3.1 - Expenditure'!$A:$A,$J409,'alb Note 3 &amp; 3.1 - Expenditure'!$C:$C)</f>
        <v>0</v>
      </c>
      <c r="L409" s="251">
        <f>SUMIF('alb Note 3 &amp; 3.1 - Expenditure'!$A:$A,$J409,'alb Note 3 &amp; 3.1 - Expenditure'!$G:$G)</f>
        <v>0</v>
      </c>
      <c r="M409" s="252"/>
      <c r="N409" s="273">
        <f t="shared" si="216"/>
        <v>0</v>
      </c>
      <c r="O409" s="12"/>
      <c r="P409" s="12"/>
      <c r="Q409" s="12"/>
      <c r="R409" s="6"/>
      <c r="S409" s="6">
        <f t="shared" si="213"/>
        <v>0</v>
      </c>
      <c r="T409" s="273">
        <f t="shared" si="217"/>
        <v>0</v>
      </c>
      <c r="U409" s="6">
        <f t="shared" si="218"/>
        <v>0</v>
      </c>
      <c r="V409" s="6"/>
      <c r="W409" s="6">
        <f t="shared" si="219"/>
        <v>0</v>
      </c>
      <c r="X409" s="6"/>
      <c r="Y409" s="6"/>
      <c r="Z409" s="1190"/>
      <c r="AA409" s="6"/>
      <c r="AB409" s="6"/>
      <c r="AC409" s="6"/>
      <c r="AD409" s="6"/>
      <c r="AE409" s="6"/>
      <c r="AF409" s="6"/>
      <c r="AG409" s="6"/>
      <c r="AH409" s="6"/>
      <c r="AI409" s="6"/>
      <c r="AJ409" s="6"/>
      <c r="AK409" s="6"/>
      <c r="AL409" s="6"/>
      <c r="AM409" s="6"/>
      <c r="AN409" s="6"/>
      <c r="AO409" s="6"/>
      <c r="AP409" s="6"/>
      <c r="AQ409" s="6"/>
      <c r="AR409" s="6"/>
      <c r="AS409" s="6"/>
      <c r="AT409" s="6"/>
      <c r="AU409" s="6"/>
      <c r="AV409" s="6"/>
      <c r="AX409" s="6"/>
      <c r="AY409" s="6">
        <f>ROUND(AX409/1000/Update!$B$31*Update!$B$27,0)</f>
        <v>0</v>
      </c>
      <c r="BA409" s="6"/>
      <c r="BB409" s="6">
        <f>ROUND(BA409/1000/Update!$B$31,0)</f>
        <v>0</v>
      </c>
      <c r="BC409" s="6"/>
      <c r="BD409" s="29">
        <f t="shared" si="201"/>
        <v>0</v>
      </c>
      <c r="BE409" s="317"/>
      <c r="BF409" s="317"/>
      <c r="BG409" s="317"/>
      <c r="BH409" s="317"/>
      <c r="BI409" s="317"/>
      <c r="BJ409" s="317"/>
      <c r="BK409" s="29">
        <f t="shared" si="211"/>
        <v>0</v>
      </c>
      <c r="BL409" s="317"/>
      <c r="BM409" s="317"/>
      <c r="BN409" s="317"/>
      <c r="BO409" s="317"/>
      <c r="BP409" s="317"/>
      <c r="BQ409" s="317"/>
      <c r="BR409" s="317"/>
      <c r="BS409" s="317"/>
      <c r="BT409" s="317"/>
      <c r="BU409" s="317"/>
      <c r="BV409" s="317"/>
      <c r="BW409" s="317"/>
      <c r="BX409" s="317"/>
      <c r="BY409" s="317"/>
      <c r="BZ409" s="317"/>
      <c r="CA409" s="317"/>
      <c r="CB409" s="317"/>
      <c r="CC409" s="317"/>
      <c r="CD409" s="317"/>
      <c r="CE409" s="317"/>
      <c r="CF409" s="317"/>
      <c r="CG409" s="317"/>
      <c r="CH409" s="317"/>
      <c r="CI409" s="317"/>
      <c r="CM409" s="1139">
        <v>0</v>
      </c>
      <c r="CN409" s="1139">
        <v>0</v>
      </c>
      <c r="CP409" s="923">
        <f t="shared" si="210"/>
        <v>0</v>
      </c>
      <c r="CZ409" s="330"/>
    </row>
    <row r="410" spans="1:104" ht="15" customHeight="1" x14ac:dyDescent="0.25">
      <c r="A410" s="684">
        <f>MAX($A$6:A409)+1</f>
        <v>410</v>
      </c>
      <c r="B410" s="3" t="str">
        <f t="shared" si="188"/>
        <v>3b</v>
      </c>
      <c r="C410" s="11" t="str">
        <f t="shared" si="205"/>
        <v>Programme expenditure</v>
      </c>
      <c r="D410" s="11" t="s">
        <v>283</v>
      </c>
      <c r="E410" s="7" t="s">
        <v>162</v>
      </c>
      <c r="F410" s="15" t="s">
        <v>1394</v>
      </c>
      <c r="G410" s="1254" t="s">
        <v>162</v>
      </c>
      <c r="H410" s="6">
        <v>0</v>
      </c>
      <c r="I410" s="6">
        <v>0</v>
      </c>
      <c r="J410" s="1257" t="s">
        <v>162</v>
      </c>
      <c r="K410" s="251">
        <f>SUMIF('alb Note 3 &amp; 3.1 - Expenditure'!$A:$A,$J410,'alb Note 3 &amp; 3.1 - Expenditure'!$C:$C)</f>
        <v>0</v>
      </c>
      <c r="L410" s="251">
        <f>SUMIF('alb Note 3 &amp; 3.1 - Expenditure'!$A:$A,$J410,'alb Note 3 &amp; 3.1 - Expenditure'!$G:$G)</f>
        <v>0</v>
      </c>
      <c r="M410" s="252"/>
      <c r="N410" s="273">
        <f t="shared" si="216"/>
        <v>0</v>
      </c>
      <c r="O410" s="12"/>
      <c r="P410" s="12"/>
      <c r="Q410" s="12"/>
      <c r="R410" s="6"/>
      <c r="S410" s="6">
        <f t="shared" si="213"/>
        <v>0</v>
      </c>
      <c r="T410" s="273">
        <f t="shared" si="217"/>
        <v>0</v>
      </c>
      <c r="U410" s="251">
        <f t="shared" si="218"/>
        <v>0</v>
      </c>
      <c r="V410" s="251"/>
      <c r="W410" s="251">
        <f t="shared" si="219"/>
        <v>0</v>
      </c>
      <c r="X410" s="251"/>
      <c r="Y410" s="251"/>
      <c r="Z410" s="1185"/>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51"/>
      <c r="AV410" s="251"/>
      <c r="AX410" s="6"/>
      <c r="AY410" s="6">
        <f>ROUND(AX410/1000/Update!$B$31*Update!$B$27,0)</f>
        <v>0</v>
      </c>
      <c r="BA410" s="6"/>
      <c r="BB410" s="6">
        <f>ROUND(BA410/1000/Update!$B$31,0)</f>
        <v>0</v>
      </c>
      <c r="BC410" s="6"/>
      <c r="BD410" s="29">
        <f t="shared" si="201"/>
        <v>0</v>
      </c>
      <c r="BE410" s="317"/>
      <c r="BF410" s="317"/>
      <c r="BG410" s="317"/>
      <c r="BH410" s="317"/>
      <c r="BI410" s="317"/>
      <c r="BJ410" s="317"/>
      <c r="BK410" s="29">
        <f t="shared" si="211"/>
        <v>0</v>
      </c>
      <c r="BL410" s="317"/>
      <c r="BM410" s="317"/>
      <c r="BN410" s="317"/>
      <c r="BO410" s="317"/>
      <c r="BP410" s="317"/>
      <c r="BQ410" s="317"/>
      <c r="BR410" s="317"/>
      <c r="BS410" s="317"/>
      <c r="BT410" s="317"/>
      <c r="BU410" s="317"/>
      <c r="BV410" s="317"/>
      <c r="BW410" s="317"/>
      <c r="BX410" s="317"/>
      <c r="BY410" s="317"/>
      <c r="BZ410" s="317"/>
      <c r="CA410" s="317"/>
      <c r="CB410" s="317"/>
      <c r="CC410" s="317"/>
      <c r="CD410" s="317"/>
      <c r="CE410" s="317"/>
      <c r="CF410" s="317"/>
      <c r="CG410" s="317"/>
      <c r="CH410" s="317"/>
      <c r="CI410" s="317"/>
      <c r="CM410" s="1139">
        <v>0</v>
      </c>
      <c r="CN410" s="1139">
        <v>0</v>
      </c>
      <c r="CP410" s="923">
        <f t="shared" si="210"/>
        <v>0</v>
      </c>
      <c r="CZ410" s="330"/>
    </row>
    <row r="411" spans="1:104" ht="15" customHeight="1" x14ac:dyDescent="0.25">
      <c r="A411" s="684">
        <f>MAX($A$6:A410)+1</f>
        <v>411</v>
      </c>
      <c r="B411" s="3" t="str">
        <f t="shared" si="188"/>
        <v>3b</v>
      </c>
      <c r="C411" s="11" t="str">
        <f t="shared" si="205"/>
        <v>Programme expenditure</v>
      </c>
      <c r="D411" s="11" t="s">
        <v>1005</v>
      </c>
      <c r="E411" s="7" t="s">
        <v>2399</v>
      </c>
      <c r="F411" s="15" t="s">
        <v>1394</v>
      </c>
      <c r="G411" s="1254" t="s">
        <v>286</v>
      </c>
      <c r="H411" s="6">
        <v>0</v>
      </c>
      <c r="I411" s="6">
        <v>0</v>
      </c>
      <c r="J411" s="1257" t="s">
        <v>2399</v>
      </c>
      <c r="K411" s="251">
        <f>SUMIF('alb Note 3 &amp; 3.1 - Expenditure'!$A:$A,$J411,'alb Note 3 &amp; 3.1 - Expenditure'!$C:$C)</f>
        <v>0</v>
      </c>
      <c r="L411" s="251">
        <f>SUMIF('alb Note 3 &amp; 3.1 - Expenditure'!$A:$A,$J411,'alb Note 3 &amp; 3.1 - Expenditure'!$G:$G)</f>
        <v>0</v>
      </c>
      <c r="M411" s="252"/>
      <c r="N411" s="273">
        <f t="shared" si="216"/>
        <v>0</v>
      </c>
      <c r="O411" s="12"/>
      <c r="P411" s="12"/>
      <c r="Q411" s="12"/>
      <c r="R411" s="6"/>
      <c r="S411" s="6">
        <f t="shared" si="213"/>
        <v>0</v>
      </c>
      <c r="T411" s="273">
        <f t="shared" si="217"/>
        <v>0</v>
      </c>
      <c r="U411" s="6">
        <f t="shared" si="218"/>
        <v>0</v>
      </c>
      <c r="V411" s="6"/>
      <c r="W411" s="6">
        <f t="shared" si="219"/>
        <v>0</v>
      </c>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X411" s="6"/>
      <c r="AY411" s="6">
        <f>ROUND(AX411/1000/Update!$B$31*Update!$B$27,0)</f>
        <v>0</v>
      </c>
      <c r="BA411" s="6"/>
      <c r="BB411" s="6">
        <f>ROUND(BA411/1000/Update!$B$31,0)</f>
        <v>0</v>
      </c>
      <c r="BC411" s="6"/>
      <c r="BD411" s="29">
        <f t="shared" si="201"/>
        <v>0</v>
      </c>
      <c r="BE411" s="317"/>
      <c r="BF411" s="317"/>
      <c r="BG411" s="317"/>
      <c r="BH411" s="317"/>
      <c r="BI411" s="317"/>
      <c r="BJ411" s="317"/>
      <c r="BK411" s="29">
        <f t="shared" si="211"/>
        <v>0</v>
      </c>
      <c r="BL411" s="317"/>
      <c r="BM411" s="317"/>
      <c r="BN411" s="317"/>
      <c r="BO411" s="317"/>
      <c r="BP411" s="317"/>
      <c r="BQ411" s="317"/>
      <c r="BR411" s="317"/>
      <c r="BS411" s="317"/>
      <c r="BT411" s="317"/>
      <c r="BU411" s="317"/>
      <c r="BV411" s="317"/>
      <c r="BW411" s="317"/>
      <c r="BX411" s="317"/>
      <c r="BY411" s="317"/>
      <c r="BZ411" s="317"/>
      <c r="CA411" s="317"/>
      <c r="CB411" s="317"/>
      <c r="CC411" s="317"/>
      <c r="CD411" s="317"/>
      <c r="CE411" s="317"/>
      <c r="CF411" s="317"/>
      <c r="CG411" s="317"/>
      <c r="CH411" s="317"/>
      <c r="CI411" s="317"/>
      <c r="CM411" s="1139">
        <v>0</v>
      </c>
      <c r="CN411" s="1139">
        <v>0</v>
      </c>
      <c r="CP411" s="923">
        <f t="shared" si="210"/>
        <v>0</v>
      </c>
      <c r="CZ411" s="330"/>
    </row>
    <row r="412" spans="1:104" ht="15" customHeight="1" x14ac:dyDescent="0.25">
      <c r="A412" s="684">
        <f>MAX($A$6:A411)+1</f>
        <v>412</v>
      </c>
      <c r="B412" s="3" t="str">
        <f t="shared" si="188"/>
        <v>3b</v>
      </c>
      <c r="C412" s="11" t="str">
        <f t="shared" si="205"/>
        <v>Programme expenditure</v>
      </c>
      <c r="D412" s="11" t="s">
        <v>1005</v>
      </c>
      <c r="E412" s="7" t="s">
        <v>2400</v>
      </c>
      <c r="F412" s="15" t="s">
        <v>1394</v>
      </c>
      <c r="G412" s="1254" t="s">
        <v>286</v>
      </c>
      <c r="H412" s="6">
        <v>0</v>
      </c>
      <c r="I412" s="6">
        <v>0</v>
      </c>
      <c r="J412" s="1257" t="s">
        <v>2400</v>
      </c>
      <c r="K412" s="251">
        <f>SUMIF('alb Note 3 &amp; 3.1 - Expenditure'!$A:$A,$J412,'alb Note 3 &amp; 3.1 - Expenditure'!$C:$C)</f>
        <v>0</v>
      </c>
      <c r="L412" s="251">
        <f>SUMIF('alb Note 3 &amp; 3.1 - Expenditure'!$A:$A,$J412,'alb Note 3 &amp; 3.1 - Expenditure'!$G:$G)</f>
        <v>0</v>
      </c>
      <c r="M412" s="252"/>
      <c r="N412" s="273">
        <f t="shared" si="216"/>
        <v>0</v>
      </c>
      <c r="O412" s="12"/>
      <c r="P412" s="12"/>
      <c r="Q412" s="12"/>
      <c r="R412" s="6"/>
      <c r="S412" s="6">
        <f t="shared" si="213"/>
        <v>0</v>
      </c>
      <c r="T412" s="273">
        <f t="shared" si="217"/>
        <v>0</v>
      </c>
      <c r="U412" s="6">
        <f t="shared" si="218"/>
        <v>0</v>
      </c>
      <c r="V412" s="6"/>
      <c r="W412" s="6">
        <f t="shared" si="219"/>
        <v>0</v>
      </c>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X412" s="6"/>
      <c r="AY412" s="6"/>
      <c r="BA412" s="6"/>
      <c r="BB412" s="6"/>
      <c r="BC412" s="6"/>
      <c r="BD412" s="29">
        <f t="shared" si="201"/>
        <v>0</v>
      </c>
      <c r="BE412" s="317"/>
      <c r="BF412" s="317"/>
      <c r="BG412" s="317"/>
      <c r="BH412" s="317"/>
      <c r="BI412" s="317"/>
      <c r="BJ412" s="317"/>
      <c r="BK412" s="29">
        <f t="shared" si="211"/>
        <v>0</v>
      </c>
      <c r="BL412" s="317"/>
      <c r="BM412" s="317"/>
      <c r="BN412" s="317"/>
      <c r="BO412" s="317"/>
      <c r="BP412" s="317"/>
      <c r="BQ412" s="317"/>
      <c r="BR412" s="317"/>
      <c r="BS412" s="317"/>
      <c r="BT412" s="317"/>
      <c r="BU412" s="317"/>
      <c r="BV412" s="317"/>
      <c r="BW412" s="317"/>
      <c r="BX412" s="317"/>
      <c r="BY412" s="317"/>
      <c r="BZ412" s="317"/>
      <c r="CA412" s="317"/>
      <c r="CB412" s="317"/>
      <c r="CC412" s="317"/>
      <c r="CD412" s="317"/>
      <c r="CE412" s="317"/>
      <c r="CF412" s="317"/>
      <c r="CG412" s="317"/>
      <c r="CH412" s="317"/>
      <c r="CI412" s="317"/>
      <c r="CM412" s="1139">
        <v>0</v>
      </c>
      <c r="CN412" s="1139">
        <v>0</v>
      </c>
      <c r="CP412" s="923">
        <f t="shared" si="210"/>
        <v>0</v>
      </c>
      <c r="CZ412" s="330"/>
    </row>
    <row r="413" spans="1:104" ht="30" customHeight="1" x14ac:dyDescent="0.25">
      <c r="A413" s="684">
        <f>MAX($A$6:A412)+1</f>
        <v>413</v>
      </c>
      <c r="B413" s="3" t="str">
        <f t="shared" si="188"/>
        <v>3b</v>
      </c>
      <c r="C413" s="11" t="str">
        <f t="shared" si="205"/>
        <v>Programme expenditure</v>
      </c>
      <c r="D413" s="11" t="s">
        <v>1005</v>
      </c>
      <c r="E413" s="7" t="s">
        <v>2401</v>
      </c>
      <c r="F413" s="15" t="s">
        <v>1394</v>
      </c>
      <c r="G413" s="1254" t="s">
        <v>286</v>
      </c>
      <c r="H413" s="6">
        <v>0</v>
      </c>
      <c r="I413" s="6">
        <v>0</v>
      </c>
      <c r="J413" s="1254" t="s">
        <v>2401</v>
      </c>
      <c r="K413" s="251">
        <f>SUMIF('alb Note 3 &amp; 3.1 - Expenditure'!$A:$A,$J413,'alb Note 3 &amp; 3.1 - Expenditure'!$C:$C)</f>
        <v>0</v>
      </c>
      <c r="L413" s="251">
        <f>SUMIF('alb Note 3 &amp; 3.1 - Expenditure'!$A:$A,$J413,'alb Note 3 &amp; 3.1 - Expenditure'!$G:$G)</f>
        <v>0</v>
      </c>
      <c r="M413" s="252"/>
      <c r="N413" s="273">
        <f t="shared" si="216"/>
        <v>0</v>
      </c>
      <c r="O413" s="12"/>
      <c r="P413" s="12"/>
      <c r="Q413" s="12"/>
      <c r="R413" s="6"/>
      <c r="S413" s="6">
        <f t="shared" si="213"/>
        <v>0</v>
      </c>
      <c r="T413" s="273">
        <f t="shared" si="217"/>
        <v>0</v>
      </c>
      <c r="U413" s="6">
        <f t="shared" si="218"/>
        <v>0</v>
      </c>
      <c r="V413" s="6"/>
      <c r="W413" s="6">
        <f t="shared" si="219"/>
        <v>0</v>
      </c>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X413" s="6"/>
      <c r="AY413" s="6"/>
      <c r="BA413" s="6"/>
      <c r="BB413" s="6"/>
      <c r="BC413" s="6"/>
      <c r="BD413" s="29">
        <f t="shared" si="201"/>
        <v>0</v>
      </c>
      <c r="BE413" s="317"/>
      <c r="BF413" s="317"/>
      <c r="BG413" s="317"/>
      <c r="BH413" s="317"/>
      <c r="BI413" s="317"/>
      <c r="BJ413" s="317"/>
      <c r="BK413" s="29">
        <f t="shared" si="211"/>
        <v>0</v>
      </c>
      <c r="BL413" s="317"/>
      <c r="BM413" s="317"/>
      <c r="BN413" s="317"/>
      <c r="BO413" s="317"/>
      <c r="BP413" s="317"/>
      <c r="BQ413" s="317"/>
      <c r="BR413" s="317"/>
      <c r="BS413" s="317"/>
      <c r="BT413" s="317"/>
      <c r="BU413" s="317"/>
      <c r="BV413" s="317"/>
      <c r="BW413" s="317"/>
      <c r="BX413" s="317"/>
      <c r="BY413" s="317"/>
      <c r="BZ413" s="317"/>
      <c r="CA413" s="317"/>
      <c r="CB413" s="317"/>
      <c r="CC413" s="317"/>
      <c r="CD413" s="317"/>
      <c r="CE413" s="317"/>
      <c r="CF413" s="317"/>
      <c r="CG413" s="317"/>
      <c r="CH413" s="317"/>
      <c r="CI413" s="317"/>
      <c r="CM413" s="1139">
        <v>0</v>
      </c>
      <c r="CN413" s="1139">
        <v>0</v>
      </c>
      <c r="CP413" s="923">
        <f t="shared" si="210"/>
        <v>0</v>
      </c>
      <c r="CZ413" s="330"/>
    </row>
    <row r="414" spans="1:104" ht="30" customHeight="1" x14ac:dyDescent="0.25">
      <c r="A414" s="684">
        <f>MAX($A$6:A413)+1</f>
        <v>414</v>
      </c>
      <c r="B414" s="3" t="str">
        <f t="shared" si="188"/>
        <v>3b</v>
      </c>
      <c r="C414" s="11" t="str">
        <f t="shared" si="205"/>
        <v>Programme expenditure</v>
      </c>
      <c r="D414" s="11" t="s">
        <v>1005</v>
      </c>
      <c r="E414" s="7" t="s">
        <v>2402</v>
      </c>
      <c r="F414" s="15" t="s">
        <v>1394</v>
      </c>
      <c r="G414" s="1254" t="s">
        <v>286</v>
      </c>
      <c r="H414" s="6">
        <v>0</v>
      </c>
      <c r="I414" s="6">
        <v>0</v>
      </c>
      <c r="J414" s="1254" t="s">
        <v>2402</v>
      </c>
      <c r="K414" s="251">
        <f>SUMIF('alb Note 3 &amp; 3.1 - Expenditure'!$A:$A,$J414,'alb Note 3 &amp; 3.1 - Expenditure'!$C:$C)</f>
        <v>0</v>
      </c>
      <c r="L414" s="251">
        <f>SUMIF('alb Note 3 &amp; 3.1 - Expenditure'!$A:$A,$J414,'alb Note 3 &amp; 3.1 - Expenditure'!$G:$G)</f>
        <v>0</v>
      </c>
      <c r="M414" s="252"/>
      <c r="N414" s="273">
        <f>ROUND(SUM(O414:S414)+SUM(W414:AV414),0)</f>
        <v>0</v>
      </c>
      <c r="O414" s="12"/>
      <c r="P414" s="12"/>
      <c r="Q414" s="12"/>
      <c r="R414" s="6"/>
      <c r="S414" s="6">
        <f>-IF(ISNUMBER(BD414),BD414,0)</f>
        <v>0</v>
      </c>
      <c r="T414" s="273">
        <f>ROUND(SUM(U414:Y414),0)</f>
        <v>0</v>
      </c>
      <c r="U414" s="6">
        <f>-SUM(BL414:BN414)</f>
        <v>0</v>
      </c>
      <c r="V414" s="6"/>
      <c r="W414" s="6">
        <f>+H414</f>
        <v>0</v>
      </c>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X414" s="6"/>
      <c r="AY414" s="6"/>
      <c r="BA414" s="6"/>
      <c r="BB414" s="6"/>
      <c r="BC414" s="6"/>
      <c r="BD414" s="29">
        <f>ROUND(SUM(BE414:BK414),0)</f>
        <v>0</v>
      </c>
      <c r="BE414" s="317"/>
      <c r="BF414" s="317"/>
      <c r="BG414" s="317"/>
      <c r="BH414" s="317"/>
      <c r="BI414" s="317"/>
      <c r="BJ414" s="317"/>
      <c r="BK414" s="29">
        <f>ROUND(SUM(BO414:CI414),0)</f>
        <v>0</v>
      </c>
      <c r="BL414" s="317"/>
      <c r="BM414" s="317"/>
      <c r="BN414" s="317"/>
      <c r="BO414" s="317"/>
      <c r="BP414" s="317"/>
      <c r="BQ414" s="317"/>
      <c r="BR414" s="317"/>
      <c r="BS414" s="317"/>
      <c r="BT414" s="317"/>
      <c r="BU414" s="317"/>
      <c r="BV414" s="317"/>
      <c r="BW414" s="317"/>
      <c r="BX414" s="317"/>
      <c r="BY414" s="317"/>
      <c r="BZ414" s="317"/>
      <c r="CA414" s="317"/>
      <c r="CB414" s="317"/>
      <c r="CC414" s="317"/>
      <c r="CD414" s="317"/>
      <c r="CE414" s="317"/>
      <c r="CF414" s="317"/>
      <c r="CG414" s="317"/>
      <c r="CH414" s="317"/>
      <c r="CI414" s="317"/>
      <c r="CM414" s="1139">
        <v>0</v>
      </c>
      <c r="CN414" s="1139">
        <v>0</v>
      </c>
      <c r="CP414" s="923">
        <f t="shared" si="210"/>
        <v>0</v>
      </c>
      <c r="CZ414" s="330"/>
    </row>
    <row r="415" spans="1:104" ht="30" customHeight="1" x14ac:dyDescent="0.25">
      <c r="A415" s="684">
        <f>MAX($A$6:A414)+1</f>
        <v>415</v>
      </c>
      <c r="B415" s="3" t="str">
        <f t="shared" si="188"/>
        <v>3b</v>
      </c>
      <c r="C415" s="11" t="str">
        <f t="shared" si="205"/>
        <v>Programme expenditure</v>
      </c>
      <c r="D415" s="11" t="s">
        <v>1005</v>
      </c>
      <c r="E415" s="7" t="s">
        <v>2403</v>
      </c>
      <c r="F415" s="15" t="s">
        <v>1394</v>
      </c>
      <c r="G415" s="1254" t="s">
        <v>286</v>
      </c>
      <c r="H415" s="6">
        <v>0</v>
      </c>
      <c r="I415" s="6">
        <v>0</v>
      </c>
      <c r="J415" s="1254" t="s">
        <v>2403</v>
      </c>
      <c r="K415" s="251">
        <f>SUMIF('alb Note 3 &amp; 3.1 - Expenditure'!$A:$A,$J415,'alb Note 3 &amp; 3.1 - Expenditure'!$C:$C)</f>
        <v>0</v>
      </c>
      <c r="L415" s="251">
        <f>SUMIF('alb Note 3 &amp; 3.1 - Expenditure'!$A:$A,$J415,'alb Note 3 &amp; 3.1 - Expenditure'!$G:$G)</f>
        <v>0</v>
      </c>
      <c r="M415" s="252"/>
      <c r="N415" s="273">
        <f>ROUND(SUM(O415:S415)+SUM(W415:AV415),0)</f>
        <v>0</v>
      </c>
      <c r="O415" s="12"/>
      <c r="P415" s="12"/>
      <c r="Q415" s="12"/>
      <c r="R415" s="6"/>
      <c r="S415" s="6">
        <f>-IF(ISNUMBER(BD415),BD415,0)</f>
        <v>0</v>
      </c>
      <c r="T415" s="273">
        <f>ROUND(SUM(U415:Y415),0)</f>
        <v>0</v>
      </c>
      <c r="U415" s="6">
        <f>-SUM(BL415:BN415)</f>
        <v>0</v>
      </c>
      <c r="V415" s="6"/>
      <c r="W415" s="6">
        <f>+H415</f>
        <v>0</v>
      </c>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X415" s="6"/>
      <c r="AY415" s="6"/>
      <c r="BA415" s="6"/>
      <c r="BB415" s="6"/>
      <c r="BC415" s="6"/>
      <c r="BD415" s="29">
        <f>ROUND(SUM(BE415:BK415),0)</f>
        <v>0</v>
      </c>
      <c r="BE415" s="317"/>
      <c r="BF415" s="317"/>
      <c r="BG415" s="317"/>
      <c r="BH415" s="317"/>
      <c r="BI415" s="317"/>
      <c r="BJ415" s="317"/>
      <c r="BK415" s="29">
        <f>ROUND(SUM(BO415:CI415),0)</f>
        <v>0</v>
      </c>
      <c r="BL415" s="317"/>
      <c r="BM415" s="317"/>
      <c r="BN415" s="317"/>
      <c r="BO415" s="317"/>
      <c r="BP415" s="317"/>
      <c r="BQ415" s="317"/>
      <c r="BR415" s="317"/>
      <c r="BS415" s="317"/>
      <c r="BT415" s="317"/>
      <c r="BU415" s="317"/>
      <c r="BV415" s="317"/>
      <c r="BW415" s="317"/>
      <c r="BX415" s="317"/>
      <c r="BY415" s="317"/>
      <c r="BZ415" s="317"/>
      <c r="CA415" s="317"/>
      <c r="CB415" s="317"/>
      <c r="CC415" s="317"/>
      <c r="CD415" s="317"/>
      <c r="CE415" s="317"/>
      <c r="CF415" s="317"/>
      <c r="CG415" s="317"/>
      <c r="CH415" s="317"/>
      <c r="CI415" s="317"/>
      <c r="CM415" s="1139">
        <v>0</v>
      </c>
      <c r="CN415" s="1139">
        <v>0</v>
      </c>
      <c r="CP415" s="923">
        <f t="shared" si="210"/>
        <v>0</v>
      </c>
      <c r="CZ415" s="330"/>
    </row>
    <row r="416" spans="1:104" ht="30" customHeight="1" x14ac:dyDescent="0.25">
      <c r="A416" s="684">
        <f>MAX($A$6:A415)+1</f>
        <v>416</v>
      </c>
      <c r="B416" s="3" t="str">
        <f t="shared" si="188"/>
        <v>3b</v>
      </c>
      <c r="C416" s="11" t="str">
        <f t="shared" si="205"/>
        <v>Programme expenditure</v>
      </c>
      <c r="D416" s="11" t="s">
        <v>1005</v>
      </c>
      <c r="E416" s="7" t="s">
        <v>2404</v>
      </c>
      <c r="F416" s="15" t="s">
        <v>1394</v>
      </c>
      <c r="G416" s="1254" t="s">
        <v>286</v>
      </c>
      <c r="H416" s="6">
        <v>0</v>
      </c>
      <c r="I416" s="6">
        <v>0</v>
      </c>
      <c r="J416" s="1254" t="s">
        <v>2404</v>
      </c>
      <c r="K416" s="251">
        <f>SUMIF('alb Note 3 &amp; 3.1 - Expenditure'!$A:$A,$J416,'alb Note 3 &amp; 3.1 - Expenditure'!$C:$C)</f>
        <v>0</v>
      </c>
      <c r="L416" s="251">
        <f>SUMIF('alb Note 3 &amp; 3.1 - Expenditure'!$A:$A,$J416,'alb Note 3 &amp; 3.1 - Expenditure'!$G:$G)</f>
        <v>0</v>
      </c>
      <c r="M416" s="252"/>
      <c r="N416" s="273">
        <f>ROUND(SUM(O416:S416)+SUM(W416:AV416),0)</f>
        <v>0</v>
      </c>
      <c r="O416" s="12"/>
      <c r="P416" s="12"/>
      <c r="Q416" s="12"/>
      <c r="R416" s="6"/>
      <c r="S416" s="6">
        <f>-IF(ISNUMBER(BD416),BD416,0)</f>
        <v>0</v>
      </c>
      <c r="T416" s="273">
        <f>ROUND(SUM(U416:Y416),0)</f>
        <v>0</v>
      </c>
      <c r="U416" s="6">
        <f>-SUM(BL416:BN416)</f>
        <v>0</v>
      </c>
      <c r="V416" s="6"/>
      <c r="W416" s="6">
        <f>+H416</f>
        <v>0</v>
      </c>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X416" s="6"/>
      <c r="AY416" s="6"/>
      <c r="BA416" s="6"/>
      <c r="BB416" s="6"/>
      <c r="BC416" s="6"/>
      <c r="BD416" s="29">
        <f>ROUND(SUM(BE416:BK416),0)</f>
        <v>0</v>
      </c>
      <c r="BE416" s="317"/>
      <c r="BF416" s="317"/>
      <c r="BG416" s="317"/>
      <c r="BH416" s="317"/>
      <c r="BI416" s="317"/>
      <c r="BJ416" s="317"/>
      <c r="BK416" s="29">
        <f>ROUND(SUM(BO416:CI416),0)</f>
        <v>0</v>
      </c>
      <c r="BL416" s="317"/>
      <c r="BM416" s="317"/>
      <c r="BN416" s="317"/>
      <c r="BO416" s="317"/>
      <c r="BP416" s="317"/>
      <c r="BQ416" s="317"/>
      <c r="BR416" s="317"/>
      <c r="BS416" s="317"/>
      <c r="BT416" s="317"/>
      <c r="BU416" s="317"/>
      <c r="BV416" s="317"/>
      <c r="BW416" s="317"/>
      <c r="BX416" s="317"/>
      <c r="BY416" s="317"/>
      <c r="BZ416" s="317"/>
      <c r="CA416" s="317"/>
      <c r="CB416" s="317"/>
      <c r="CC416" s="317"/>
      <c r="CD416" s="317"/>
      <c r="CE416" s="317"/>
      <c r="CF416" s="317"/>
      <c r="CG416" s="317"/>
      <c r="CH416" s="317"/>
      <c r="CI416" s="317"/>
      <c r="CM416" s="1139">
        <v>0</v>
      </c>
      <c r="CN416" s="1139">
        <v>0</v>
      </c>
      <c r="CP416" s="923">
        <f t="shared" si="210"/>
        <v>0</v>
      </c>
      <c r="CZ416" s="330"/>
    </row>
    <row r="417" spans="1:104" ht="30" customHeight="1" x14ac:dyDescent="0.25">
      <c r="A417" s="684">
        <f>MAX($A$6:A416)+1</f>
        <v>417</v>
      </c>
      <c r="B417" s="3" t="str">
        <f>B413</f>
        <v>3b</v>
      </c>
      <c r="C417" s="11" t="str">
        <f t="shared" si="205"/>
        <v>Programme expenditure</v>
      </c>
      <c r="D417" s="11" t="s">
        <v>464</v>
      </c>
      <c r="E417" s="7" t="s">
        <v>1736</v>
      </c>
      <c r="F417" s="15" t="s">
        <v>1394</v>
      </c>
      <c r="G417" s="1254" t="s">
        <v>1671</v>
      </c>
      <c r="H417" s="6">
        <v>0</v>
      </c>
      <c r="I417" s="6">
        <v>0</v>
      </c>
      <c r="J417" s="1254" t="s">
        <v>1736</v>
      </c>
      <c r="K417" s="251">
        <f>SUMIF('alb Note 3 &amp; 3.1 - Expenditure'!$A:$A,$J417,'alb Note 3 &amp; 3.1 - Expenditure'!$C:$C)</f>
        <v>0</v>
      </c>
      <c r="L417" s="251">
        <f>SUMIF('alb Note 3 &amp; 3.1 - Expenditure'!$A:$A,$J417,'alb Note 3 &amp; 3.1 - Expenditure'!$G:$G)</f>
        <v>0</v>
      </c>
      <c r="M417" s="252"/>
      <c r="N417" s="273">
        <f t="shared" si="216"/>
        <v>0</v>
      </c>
      <c r="O417" s="12"/>
      <c r="P417" s="12"/>
      <c r="Q417" s="12"/>
      <c r="R417" s="6"/>
      <c r="S417" s="6">
        <f t="shared" si="213"/>
        <v>0</v>
      </c>
      <c r="T417" s="273">
        <f t="shared" si="217"/>
        <v>0</v>
      </c>
      <c r="U417" s="6">
        <f t="shared" si="218"/>
        <v>0</v>
      </c>
      <c r="V417" s="6"/>
      <c r="W417" s="6">
        <f t="shared" si="219"/>
        <v>0</v>
      </c>
      <c r="X417" s="6"/>
      <c r="Y417" s="6"/>
      <c r="Z417" s="1190"/>
      <c r="AA417" s="6"/>
      <c r="AB417" s="6"/>
      <c r="AC417" s="6"/>
      <c r="AD417" s="6"/>
      <c r="AE417" s="6"/>
      <c r="AF417" s="6"/>
      <c r="AG417" s="6"/>
      <c r="AH417" s="6"/>
      <c r="AI417" s="6"/>
      <c r="AJ417" s="6"/>
      <c r="AK417" s="6"/>
      <c r="AL417" s="6"/>
      <c r="AM417" s="6"/>
      <c r="AN417" s="6"/>
      <c r="AO417" s="6"/>
      <c r="AP417" s="6"/>
      <c r="AQ417" s="6"/>
      <c r="AR417" s="6"/>
      <c r="AS417" s="6"/>
      <c r="AT417" s="6"/>
      <c r="AU417" s="6"/>
      <c r="AV417" s="6"/>
      <c r="AX417" s="6"/>
      <c r="AY417" s="6">
        <f>ROUND(AX417/1000/Update!$B$31*Update!$B$27,0)</f>
        <v>0</v>
      </c>
      <c r="BA417" s="6"/>
      <c r="BB417" s="6">
        <f>ROUND(BA417/1000/Update!$B$31,0)</f>
        <v>0</v>
      </c>
      <c r="BC417" s="6"/>
      <c r="BD417" s="29">
        <f t="shared" si="201"/>
        <v>0</v>
      </c>
      <c r="BE417" s="317"/>
      <c r="BF417" s="1191"/>
      <c r="BG417" s="317"/>
      <c r="BH417" s="317"/>
      <c r="BI417" s="317"/>
      <c r="BJ417" s="317"/>
      <c r="BK417" s="29">
        <f t="shared" si="211"/>
        <v>0</v>
      </c>
      <c r="BL417" s="317"/>
      <c r="BM417" s="317"/>
      <c r="BN417" s="317"/>
      <c r="BO417" s="317"/>
      <c r="BP417" s="317"/>
      <c r="BQ417" s="317"/>
      <c r="BR417" s="317"/>
      <c r="BS417" s="317"/>
      <c r="BT417" s="317"/>
      <c r="BU417" s="317"/>
      <c r="BV417" s="317"/>
      <c r="BW417" s="317"/>
      <c r="BX417" s="317"/>
      <c r="BY417" s="317"/>
      <c r="BZ417" s="317"/>
      <c r="CA417" s="317"/>
      <c r="CB417" s="317"/>
      <c r="CC417" s="317"/>
      <c r="CD417" s="317"/>
      <c r="CE417" s="317"/>
      <c r="CF417" s="317"/>
      <c r="CG417" s="317"/>
      <c r="CH417" s="317"/>
      <c r="CI417" s="317"/>
      <c r="CM417" s="1139">
        <v>0</v>
      </c>
      <c r="CN417" s="1139">
        <v>0</v>
      </c>
      <c r="CP417" s="923">
        <f t="shared" si="210"/>
        <v>0</v>
      </c>
      <c r="CZ417" s="330"/>
    </row>
    <row r="418" spans="1:104" ht="25.5" customHeight="1" x14ac:dyDescent="0.25">
      <c r="A418" s="684">
        <f>MAX($A$6:A417)+1</f>
        <v>418</v>
      </c>
      <c r="B418" s="3" t="str">
        <f t="shared" si="188"/>
        <v>3b</v>
      </c>
      <c r="C418" s="11" t="str">
        <f t="shared" si="205"/>
        <v>Programme expenditure</v>
      </c>
      <c r="D418" s="11" t="s">
        <v>464</v>
      </c>
      <c r="E418" s="7" t="s">
        <v>1737</v>
      </c>
      <c r="F418" s="15" t="s">
        <v>1394</v>
      </c>
      <c r="G418" s="1254" t="s">
        <v>1670</v>
      </c>
      <c r="H418" s="6">
        <v>0</v>
      </c>
      <c r="I418" s="6">
        <v>0</v>
      </c>
      <c r="J418" s="1257" t="s">
        <v>1737</v>
      </c>
      <c r="K418" s="251">
        <f>SUMIF('alb Note 3 &amp; 3.1 - Expenditure'!$A:$A,$J418,'alb Note 3 &amp; 3.1 - Expenditure'!$C:$C)</f>
        <v>0</v>
      </c>
      <c r="L418" s="251">
        <f>SUMIF('alb Note 3 &amp; 3.1 - Expenditure'!$A:$A,$J418,'alb Note 3 &amp; 3.1 - Expenditure'!$G:$G)</f>
        <v>0</v>
      </c>
      <c r="M418" s="252"/>
      <c r="N418" s="273">
        <f t="shared" si="216"/>
        <v>0</v>
      </c>
      <c r="O418" s="12"/>
      <c r="P418" s="12"/>
      <c r="Q418" s="12"/>
      <c r="R418" s="6"/>
      <c r="S418" s="6">
        <f t="shared" si="213"/>
        <v>0</v>
      </c>
      <c r="T418" s="273">
        <f t="shared" si="217"/>
        <v>0</v>
      </c>
      <c r="U418" s="6">
        <f t="shared" si="218"/>
        <v>0</v>
      </c>
      <c r="V418" s="6"/>
      <c r="W418" s="6">
        <f t="shared" si="219"/>
        <v>0</v>
      </c>
      <c r="X418" s="6"/>
      <c r="Y418" s="6"/>
      <c r="Z418" s="1190"/>
      <c r="AA418" s="6"/>
      <c r="AB418" s="6"/>
      <c r="AC418" s="6"/>
      <c r="AD418" s="6"/>
      <c r="AE418" s="6"/>
      <c r="AF418" s="6"/>
      <c r="AG418" s="6"/>
      <c r="AH418" s="6"/>
      <c r="AI418" s="6"/>
      <c r="AJ418" s="6"/>
      <c r="AK418" s="6"/>
      <c r="AL418" s="6"/>
      <c r="AM418" s="6"/>
      <c r="AN418" s="6"/>
      <c r="AO418" s="6"/>
      <c r="AP418" s="6"/>
      <c r="AQ418" s="6"/>
      <c r="AR418" s="6"/>
      <c r="AS418" s="6"/>
      <c r="AT418" s="6"/>
      <c r="AU418" s="6"/>
      <c r="AV418" s="6"/>
      <c r="AX418" s="6"/>
      <c r="AY418" s="6">
        <f>ROUND(AX418/1000/Update!$B$31*Update!$B$27,0)</f>
        <v>0</v>
      </c>
      <c r="BA418" s="6"/>
      <c r="BB418" s="6">
        <f>ROUND(BA418/1000/Update!$B$31,0)</f>
        <v>0</v>
      </c>
      <c r="BC418" s="6"/>
      <c r="BD418" s="29">
        <f t="shared" si="201"/>
        <v>0</v>
      </c>
      <c r="BE418" s="317"/>
      <c r="BF418" s="317"/>
      <c r="BG418" s="317"/>
      <c r="BH418" s="317"/>
      <c r="BI418" s="317"/>
      <c r="BJ418" s="317"/>
      <c r="BK418" s="29">
        <f t="shared" si="211"/>
        <v>0</v>
      </c>
      <c r="BL418" s="317"/>
      <c r="BM418" s="317"/>
      <c r="BN418" s="317"/>
      <c r="BO418" s="317"/>
      <c r="BP418" s="317"/>
      <c r="BQ418" s="317"/>
      <c r="BR418" s="317"/>
      <c r="BS418" s="317"/>
      <c r="BT418" s="317"/>
      <c r="BU418" s="317"/>
      <c r="BV418" s="317"/>
      <c r="BW418" s="317"/>
      <c r="BX418" s="317"/>
      <c r="BY418" s="317"/>
      <c r="BZ418" s="317"/>
      <c r="CA418" s="317"/>
      <c r="CB418" s="317"/>
      <c r="CC418" s="317"/>
      <c r="CD418" s="317"/>
      <c r="CE418" s="317"/>
      <c r="CF418" s="317"/>
      <c r="CG418" s="317"/>
      <c r="CH418" s="317"/>
      <c r="CI418" s="317"/>
      <c r="CM418" s="1139">
        <v>0</v>
      </c>
      <c r="CN418" s="1139">
        <v>0</v>
      </c>
      <c r="CP418" s="923">
        <f t="shared" si="210"/>
        <v>0</v>
      </c>
      <c r="CZ418" s="330"/>
    </row>
    <row r="419" spans="1:104" ht="15" customHeight="1" x14ac:dyDescent="0.25">
      <c r="A419" s="684">
        <f>MAX($A$6:A418)+1</f>
        <v>419</v>
      </c>
      <c r="B419" s="3" t="str">
        <f t="shared" si="188"/>
        <v>3b</v>
      </c>
      <c r="C419" s="11" t="str">
        <f t="shared" si="205"/>
        <v>Programme expenditure</v>
      </c>
      <c r="D419" s="11" t="s">
        <v>283</v>
      </c>
      <c r="E419" s="7" t="s">
        <v>162</v>
      </c>
      <c r="F419" s="15" t="s">
        <v>1394</v>
      </c>
      <c r="G419" s="1254" t="s">
        <v>286</v>
      </c>
      <c r="H419" s="6">
        <v>0</v>
      </c>
      <c r="I419" s="6">
        <v>0</v>
      </c>
      <c r="J419" s="1257" t="s">
        <v>1905</v>
      </c>
      <c r="K419" s="251">
        <f>SUMIF('alb Note 3 &amp; 3.1 - Expenditure'!$A:$A,$J419,'alb Note 3 &amp; 3.1 - Expenditure'!$C:$C)</f>
        <v>0</v>
      </c>
      <c r="L419" s="251">
        <f>SUMIF('alb Note 3 &amp; 3.1 - Expenditure'!$A:$A,$J419,'alb Note 3 &amp; 3.1 - Expenditure'!$G:$G)</f>
        <v>0</v>
      </c>
      <c r="M419" s="252"/>
      <c r="N419" s="273">
        <f t="shared" si="216"/>
        <v>0</v>
      </c>
      <c r="O419" s="12"/>
      <c r="P419" s="12"/>
      <c r="Q419" s="12"/>
      <c r="R419" s="6"/>
      <c r="S419" s="6">
        <f t="shared" si="213"/>
        <v>0</v>
      </c>
      <c r="T419" s="273">
        <f t="shared" si="217"/>
        <v>0</v>
      </c>
      <c r="U419" s="6">
        <f t="shared" si="218"/>
        <v>0</v>
      </c>
      <c r="V419" s="6"/>
      <c r="W419" s="6">
        <f t="shared" si="219"/>
        <v>0</v>
      </c>
      <c r="X419" s="6"/>
      <c r="Y419" s="6"/>
      <c r="Z419" s="1190"/>
      <c r="AA419" s="6"/>
      <c r="AB419" s="6"/>
      <c r="AC419" s="6"/>
      <c r="AD419" s="6"/>
      <c r="AE419" s="6"/>
      <c r="AF419" s="6"/>
      <c r="AG419" s="6"/>
      <c r="AH419" s="6"/>
      <c r="AI419" s="6"/>
      <c r="AJ419" s="6"/>
      <c r="AK419" s="6"/>
      <c r="AL419" s="6"/>
      <c r="AM419" s="6"/>
      <c r="AN419" s="6"/>
      <c r="AO419" s="6"/>
      <c r="AP419" s="6"/>
      <c r="AQ419" s="6"/>
      <c r="AR419" s="6"/>
      <c r="AS419" s="6"/>
      <c r="AT419" s="6"/>
      <c r="AU419" s="6"/>
      <c r="AV419" s="6"/>
      <c r="AX419" s="6"/>
      <c r="AY419" s="6">
        <f>ROUND(AX419/1000/Update!$B$31*Update!$B$27,0)</f>
        <v>0</v>
      </c>
      <c r="BA419" s="6"/>
      <c r="BB419" s="6">
        <f>ROUND(BA419/1000/Update!$B$31,0)</f>
        <v>0</v>
      </c>
      <c r="BC419" s="6"/>
      <c r="BD419" s="29">
        <f>ROUND(SUM(BE419:BK419),0)</f>
        <v>0</v>
      </c>
      <c r="BE419" s="317"/>
      <c r="BF419" s="317"/>
      <c r="BG419" s="317"/>
      <c r="BH419" s="317"/>
      <c r="BI419" s="317"/>
      <c r="BJ419" s="317"/>
      <c r="BK419" s="29">
        <f t="shared" si="211"/>
        <v>0</v>
      </c>
      <c r="BL419" s="317"/>
      <c r="BM419" s="317"/>
      <c r="BN419" s="317"/>
      <c r="BO419" s="317"/>
      <c r="BP419" s="317"/>
      <c r="BQ419" s="317"/>
      <c r="BR419" s="317"/>
      <c r="BS419" s="317"/>
      <c r="BT419" s="317"/>
      <c r="BU419" s="317"/>
      <c r="BV419" s="317"/>
      <c r="BW419" s="317"/>
      <c r="BX419" s="317"/>
      <c r="BY419" s="317"/>
      <c r="BZ419" s="317"/>
      <c r="CA419" s="317"/>
      <c r="CB419" s="317"/>
      <c r="CC419" s="317"/>
      <c r="CD419" s="317"/>
      <c r="CE419" s="317"/>
      <c r="CF419" s="317"/>
      <c r="CG419" s="317"/>
      <c r="CH419" s="317"/>
      <c r="CI419" s="317"/>
      <c r="CM419" s="1139">
        <v>0</v>
      </c>
      <c r="CN419" s="1139">
        <v>0</v>
      </c>
      <c r="CP419" s="923">
        <f t="shared" si="210"/>
        <v>0</v>
      </c>
      <c r="CZ419" s="330"/>
    </row>
    <row r="420" spans="1:104" ht="25.5" customHeight="1" x14ac:dyDescent="0.25">
      <c r="A420" s="684">
        <f>MAX($A$6:A419)+1</f>
        <v>420</v>
      </c>
      <c r="B420" s="3" t="str">
        <f>B418</f>
        <v>3b</v>
      </c>
      <c r="C420" s="11" t="str">
        <f t="shared" si="205"/>
        <v>Programme expenditure</v>
      </c>
      <c r="D420" s="11" t="s">
        <v>464</v>
      </c>
      <c r="E420" s="7" t="s">
        <v>356</v>
      </c>
      <c r="F420" s="15" t="s">
        <v>1394</v>
      </c>
      <c r="G420" s="1254" t="s">
        <v>356</v>
      </c>
      <c r="H420" s="6">
        <v>0</v>
      </c>
      <c r="I420" s="6">
        <v>0</v>
      </c>
      <c r="J420" s="1257" t="s">
        <v>356</v>
      </c>
      <c r="K420" s="251">
        <f>SUMIF('alb Note 3 &amp; 3.1 - Expenditure'!$A:$A,$J420,'alb Note 3 &amp; 3.1 - Expenditure'!$C:$C)</f>
        <v>0</v>
      </c>
      <c r="L420" s="251">
        <f>SUMIF('alb Note 3 &amp; 3.1 - Expenditure'!$A:$A,$J420,'alb Note 3 &amp; 3.1 - Expenditure'!$G:$G)</f>
        <v>0</v>
      </c>
      <c r="M420" s="252"/>
      <c r="N420" s="273">
        <f t="shared" si="216"/>
        <v>0</v>
      </c>
      <c r="O420" s="12"/>
      <c r="P420" s="12"/>
      <c r="Q420" s="12"/>
      <c r="R420" s="6"/>
      <c r="S420" s="6">
        <f t="shared" si="213"/>
        <v>0</v>
      </c>
      <c r="T420" s="273">
        <f t="shared" si="217"/>
        <v>0</v>
      </c>
      <c r="U420" s="6">
        <f t="shared" si="218"/>
        <v>0</v>
      </c>
      <c r="V420" s="6"/>
      <c r="W420" s="6">
        <f t="shared" si="219"/>
        <v>0</v>
      </c>
      <c r="X420" s="6"/>
      <c r="Y420" s="6"/>
      <c r="Z420" s="1190"/>
      <c r="AA420" s="6"/>
      <c r="AB420" s="6"/>
      <c r="AC420" s="6"/>
      <c r="AD420" s="6"/>
      <c r="AE420" s="6"/>
      <c r="AF420" s="6"/>
      <c r="AG420" s="6"/>
      <c r="AH420" s="6"/>
      <c r="AI420" s="6"/>
      <c r="AJ420" s="6"/>
      <c r="AK420" s="6"/>
      <c r="AL420" s="6"/>
      <c r="AM420" s="6"/>
      <c r="AN420" s="6"/>
      <c r="AO420" s="6"/>
      <c r="AP420" s="6"/>
      <c r="AQ420" s="6"/>
      <c r="AR420" s="6"/>
      <c r="AS420" s="6"/>
      <c r="AT420" s="6"/>
      <c r="AU420" s="6"/>
      <c r="AV420" s="6"/>
      <c r="AX420" s="6"/>
      <c r="AY420" s="6">
        <f>ROUND(AX420/1000/Update!$B$31*Update!$B$27,0)</f>
        <v>0</v>
      </c>
      <c r="BA420" s="6"/>
      <c r="BB420" s="6">
        <f>ROUND(BA420/1000/Update!$B$31,0)</f>
        <v>0</v>
      </c>
      <c r="BC420" s="6"/>
      <c r="BD420" s="29">
        <f t="shared" si="201"/>
        <v>0</v>
      </c>
      <c r="BE420" s="317"/>
      <c r="BF420" s="317"/>
      <c r="BG420" s="317"/>
      <c r="BH420" s="317"/>
      <c r="BI420" s="317"/>
      <c r="BJ420" s="317"/>
      <c r="BK420" s="29">
        <f t="shared" si="211"/>
        <v>0</v>
      </c>
      <c r="BL420" s="317"/>
      <c r="BM420" s="317"/>
      <c r="BN420" s="317"/>
      <c r="BO420" s="317"/>
      <c r="BP420" s="317"/>
      <c r="BQ420" s="317"/>
      <c r="BR420" s="317"/>
      <c r="BS420" s="317"/>
      <c r="BT420" s="317"/>
      <c r="BU420" s="317"/>
      <c r="BV420" s="317"/>
      <c r="BW420" s="317"/>
      <c r="BX420" s="317"/>
      <c r="BY420" s="317"/>
      <c r="BZ420" s="317"/>
      <c r="CA420" s="317"/>
      <c r="CB420" s="317"/>
      <c r="CC420" s="317"/>
      <c r="CD420" s="317"/>
      <c r="CE420" s="317"/>
      <c r="CF420" s="317"/>
      <c r="CG420" s="317"/>
      <c r="CH420" s="317"/>
      <c r="CI420" s="317"/>
      <c r="CM420" s="1139">
        <v>0</v>
      </c>
      <c r="CN420" s="1139">
        <v>0</v>
      </c>
      <c r="CP420" s="923">
        <f t="shared" si="210"/>
        <v>0</v>
      </c>
      <c r="CZ420" s="330"/>
    </row>
    <row r="421" spans="1:104" ht="45" customHeight="1" x14ac:dyDescent="0.25">
      <c r="A421" s="684">
        <f>MAX($A$6:A420)+1</f>
        <v>421</v>
      </c>
      <c r="B421" s="3" t="str">
        <f t="shared" ref="B421:B459" si="220">B420</f>
        <v>3b</v>
      </c>
      <c r="C421" s="11" t="str">
        <f t="shared" si="205"/>
        <v>Programme expenditure</v>
      </c>
      <c r="D421" s="11" t="s">
        <v>284</v>
      </c>
      <c r="E421" s="7" t="s">
        <v>433</v>
      </c>
      <c r="F421" s="15" t="s">
        <v>1394</v>
      </c>
      <c r="G421" s="1254" t="s">
        <v>433</v>
      </c>
      <c r="H421" s="6">
        <v>0</v>
      </c>
      <c r="I421" s="6">
        <v>0</v>
      </c>
      <c r="J421" s="1254" t="s">
        <v>764</v>
      </c>
      <c r="K421" s="251">
        <f>SUMIF('alb Note 3 &amp; 3.1 - Expenditure'!$A:$A,$J421,'alb Note 3 &amp; 3.1 - Expenditure'!$C:$C)</f>
        <v>0</v>
      </c>
      <c r="L421" s="251">
        <f>SUMIF('alb Note 3 &amp; 3.1 - Expenditure'!$A:$A,$J421,'alb Note 3 &amp; 3.1 - Expenditure'!$G:$G)</f>
        <v>0</v>
      </c>
      <c r="M421" s="252"/>
      <c r="N421" s="273">
        <f t="shared" si="216"/>
        <v>0</v>
      </c>
      <c r="O421" s="12"/>
      <c r="P421" s="12"/>
      <c r="Q421" s="12"/>
      <c r="R421" s="6"/>
      <c r="S421" s="6">
        <f t="shared" si="213"/>
        <v>0</v>
      </c>
      <c r="T421" s="273">
        <f t="shared" si="217"/>
        <v>0</v>
      </c>
      <c r="U421" s="6">
        <f t="shared" si="218"/>
        <v>0</v>
      </c>
      <c r="V421" s="6"/>
      <c r="W421" s="6">
        <f t="shared" si="219"/>
        <v>0</v>
      </c>
      <c r="X421" s="6"/>
      <c r="Y421" s="6"/>
      <c r="Z421" s="1190"/>
      <c r="AA421" s="6"/>
      <c r="AB421" s="6"/>
      <c r="AC421" s="6"/>
      <c r="AD421" s="6"/>
      <c r="AE421" s="6"/>
      <c r="AF421" s="6"/>
      <c r="AG421" s="6"/>
      <c r="AH421" s="6"/>
      <c r="AI421" s="6"/>
      <c r="AJ421" s="6"/>
      <c r="AK421" s="6"/>
      <c r="AL421" s="6"/>
      <c r="AM421" s="6"/>
      <c r="AN421" s="6"/>
      <c r="AO421" s="6"/>
      <c r="AP421" s="6"/>
      <c r="AQ421" s="6"/>
      <c r="AR421" s="6"/>
      <c r="AS421" s="6"/>
      <c r="AT421" s="6"/>
      <c r="AU421" s="6"/>
      <c r="AV421" s="6"/>
      <c r="AX421" s="6"/>
      <c r="AY421" s="6">
        <f>ROUND(AX421/1000/Update!$B$31*Update!$B$27,0)</f>
        <v>0</v>
      </c>
      <c r="BA421" s="6"/>
      <c r="BB421" s="6">
        <f>ROUND(BA421/1000/Update!$B$31,0)</f>
        <v>0</v>
      </c>
      <c r="BC421" s="6"/>
      <c r="BD421" s="29">
        <f>ROUND(SUM(BE421:BK421),0)</f>
        <v>0</v>
      </c>
      <c r="BE421" s="317"/>
      <c r="BF421" s="317"/>
      <c r="BG421" s="317"/>
      <c r="BH421" s="317"/>
      <c r="BI421" s="317"/>
      <c r="BJ421" s="317"/>
      <c r="BK421" s="29">
        <f t="shared" si="211"/>
        <v>0</v>
      </c>
      <c r="BL421" s="317"/>
      <c r="BM421" s="317"/>
      <c r="BN421" s="317"/>
      <c r="BO421" s="317"/>
      <c r="BP421" s="317"/>
      <c r="BQ421" s="317"/>
      <c r="BR421" s="317"/>
      <c r="BS421" s="317"/>
      <c r="BT421" s="317"/>
      <c r="BU421" s="317"/>
      <c r="BV421" s="317"/>
      <c r="BW421" s="317"/>
      <c r="BX421" s="317"/>
      <c r="BY421" s="317"/>
      <c r="BZ421" s="317"/>
      <c r="CA421" s="317"/>
      <c r="CB421" s="317"/>
      <c r="CC421" s="317"/>
      <c r="CD421" s="317"/>
      <c r="CE421" s="317"/>
      <c r="CF421" s="317"/>
      <c r="CG421" s="317"/>
      <c r="CH421" s="317"/>
      <c r="CI421" s="317"/>
      <c r="CM421" s="1139">
        <v>0</v>
      </c>
      <c r="CN421" s="1139">
        <v>0</v>
      </c>
      <c r="CP421" s="923">
        <f t="shared" si="210"/>
        <v>0</v>
      </c>
      <c r="CZ421" s="330"/>
    </row>
    <row r="422" spans="1:104" ht="30" customHeight="1" x14ac:dyDescent="0.25">
      <c r="A422" s="684">
        <f>MAX($A$6:A421)+1</f>
        <v>422</v>
      </c>
      <c r="B422" s="3" t="str">
        <f t="shared" si="220"/>
        <v>3b</v>
      </c>
      <c r="C422" s="11" t="str">
        <f t="shared" si="205"/>
        <v>Programme expenditure</v>
      </c>
      <c r="D422" s="11" t="s">
        <v>284</v>
      </c>
      <c r="E422" s="7" t="s">
        <v>170</v>
      </c>
      <c r="F422" s="15" t="s">
        <v>1394</v>
      </c>
      <c r="G422" s="1254" t="s">
        <v>170</v>
      </c>
      <c r="H422" s="6">
        <v>0</v>
      </c>
      <c r="I422" s="6">
        <v>0</v>
      </c>
      <c r="J422" s="1254" t="s">
        <v>170</v>
      </c>
      <c r="K422" s="251">
        <f>SUMIF('alb Note 3 &amp; 3.1 - Expenditure'!$A:$A,$J422,'alb Note 3 &amp; 3.1 - Expenditure'!$C:$C)</f>
        <v>0</v>
      </c>
      <c r="L422" s="251">
        <f>SUMIF('alb Note 3 &amp; 3.1 - Expenditure'!$A:$A,$J422,'alb Note 3 &amp; 3.1 - Expenditure'!$G:$G)</f>
        <v>0</v>
      </c>
      <c r="M422" s="252"/>
      <c r="N422" s="273">
        <f t="shared" si="216"/>
        <v>0</v>
      </c>
      <c r="O422" s="12"/>
      <c r="P422" s="12"/>
      <c r="Q422" s="12"/>
      <c r="R422" s="6"/>
      <c r="S422" s="6">
        <f t="shared" si="213"/>
        <v>0</v>
      </c>
      <c r="T422" s="273">
        <f t="shared" si="217"/>
        <v>0</v>
      </c>
      <c r="U422" s="6">
        <f t="shared" si="218"/>
        <v>0</v>
      </c>
      <c r="V422" s="6"/>
      <c r="W422" s="6">
        <f t="shared" si="219"/>
        <v>0</v>
      </c>
      <c r="X422" s="6"/>
      <c r="Y422" s="6"/>
      <c r="Z422" s="1190"/>
      <c r="AA422" s="6"/>
      <c r="AB422" s="6"/>
      <c r="AC422" s="6"/>
      <c r="AD422" s="6"/>
      <c r="AE422" s="6"/>
      <c r="AF422" s="6"/>
      <c r="AG422" s="6"/>
      <c r="AH422" s="6"/>
      <c r="AI422" s="6"/>
      <c r="AJ422" s="6"/>
      <c r="AK422" s="6"/>
      <c r="AL422" s="6"/>
      <c r="AM422" s="6"/>
      <c r="AN422" s="6"/>
      <c r="AO422" s="6"/>
      <c r="AP422" s="6"/>
      <c r="AQ422" s="6"/>
      <c r="AR422" s="6"/>
      <c r="AS422" s="6"/>
      <c r="AT422" s="6"/>
      <c r="AU422" s="6"/>
      <c r="AV422" s="6"/>
      <c r="AX422" s="6"/>
      <c r="AY422" s="6">
        <f>ROUND(AX422/1000/Update!$B$31*Update!$B$27,0)</f>
        <v>0</v>
      </c>
      <c r="BA422" s="6"/>
      <c r="BB422" s="6">
        <f>ROUND(BA422/1000/Update!$B$31,0)</f>
        <v>0</v>
      </c>
      <c r="BC422" s="6"/>
      <c r="BD422" s="29">
        <f t="shared" si="201"/>
        <v>0</v>
      </c>
      <c r="BE422" s="317"/>
      <c r="BF422" s="317"/>
      <c r="BG422" s="317"/>
      <c r="BH422" s="317"/>
      <c r="BI422" s="317"/>
      <c r="BJ422" s="317"/>
      <c r="BK422" s="29">
        <f t="shared" si="211"/>
        <v>0</v>
      </c>
      <c r="BL422" s="317"/>
      <c r="BM422" s="317"/>
      <c r="BN422" s="317"/>
      <c r="BO422" s="317"/>
      <c r="BP422" s="317"/>
      <c r="BQ422" s="317"/>
      <c r="BR422" s="317"/>
      <c r="BS422" s="317"/>
      <c r="BT422" s="317"/>
      <c r="BU422" s="317"/>
      <c r="BV422" s="317"/>
      <c r="BW422" s="317"/>
      <c r="BX422" s="317"/>
      <c r="BY422" s="317"/>
      <c r="BZ422" s="317"/>
      <c r="CA422" s="317"/>
      <c r="CB422" s="317"/>
      <c r="CC422" s="317"/>
      <c r="CD422" s="317"/>
      <c r="CE422" s="317"/>
      <c r="CF422" s="317"/>
      <c r="CG422" s="317"/>
      <c r="CH422" s="317"/>
      <c r="CI422" s="317"/>
      <c r="CM422" s="1139">
        <v>0</v>
      </c>
      <c r="CN422" s="1139">
        <v>0</v>
      </c>
      <c r="CP422" s="923">
        <f t="shared" si="210"/>
        <v>0</v>
      </c>
      <c r="CZ422" s="330"/>
    </row>
    <row r="423" spans="1:104" ht="15" customHeight="1" x14ac:dyDescent="0.25">
      <c r="A423" s="684">
        <f>MAX($A$6:A422)+1</f>
        <v>423</v>
      </c>
      <c r="B423" s="3" t="str">
        <f t="shared" si="220"/>
        <v>3b</v>
      </c>
      <c r="C423" s="11" t="str">
        <f t="shared" si="205"/>
        <v>Programme expenditure</v>
      </c>
      <c r="D423" s="11" t="s">
        <v>464</v>
      </c>
      <c r="E423" s="7" t="s">
        <v>2073</v>
      </c>
      <c r="F423" s="15" t="s">
        <v>1394</v>
      </c>
      <c r="G423" s="1261" t="s">
        <v>286</v>
      </c>
      <c r="H423" s="6">
        <v>0</v>
      </c>
      <c r="I423" s="6">
        <v>0</v>
      </c>
      <c r="J423" s="1254" t="s">
        <v>2073</v>
      </c>
      <c r="K423" s="251">
        <f>SUMIF('alb Note 3 &amp; 3.1 - Expenditure'!$A:$A,$J423,'alb Note 3 &amp; 3.1 - Expenditure'!$C:$C)</f>
        <v>0</v>
      </c>
      <c r="L423" s="251">
        <f>SUMIF('alb Note 3 &amp; 3.1 - Expenditure'!$A:$A,$J423,'alb Note 3 &amp; 3.1 - Expenditure'!$G:$G)</f>
        <v>0</v>
      </c>
      <c r="M423" s="252"/>
      <c r="N423" s="273">
        <f t="shared" si="216"/>
        <v>0</v>
      </c>
      <c r="O423" s="12"/>
      <c r="P423" s="12"/>
      <c r="Q423" s="12"/>
      <c r="R423" s="6"/>
      <c r="S423" s="6">
        <f t="shared" si="213"/>
        <v>0</v>
      </c>
      <c r="T423" s="273">
        <f t="shared" si="217"/>
        <v>0</v>
      </c>
      <c r="U423" s="6">
        <f t="shared" si="218"/>
        <v>0</v>
      </c>
      <c r="V423" s="6"/>
      <c r="W423" s="6">
        <f t="shared" si="219"/>
        <v>0</v>
      </c>
      <c r="X423" s="251"/>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X423" s="6"/>
      <c r="AY423" s="6">
        <f>ROUND(AX423/1000/Update!$B$31*Update!$B$27,0)</f>
        <v>0</v>
      </c>
      <c r="BA423" s="6"/>
      <c r="BB423" s="6">
        <f>ROUND(BA423/1000/Update!$B$31,0)</f>
        <v>0</v>
      </c>
      <c r="BC423" s="6"/>
      <c r="BD423" s="29">
        <f t="shared" si="201"/>
        <v>0</v>
      </c>
      <c r="BE423" s="317"/>
      <c r="BF423" s="317"/>
      <c r="BG423" s="317"/>
      <c r="BH423" s="317"/>
      <c r="BI423" s="317"/>
      <c r="BJ423" s="317"/>
      <c r="BK423" s="29">
        <f t="shared" si="211"/>
        <v>0</v>
      </c>
      <c r="BL423" s="317"/>
      <c r="BM423" s="317"/>
      <c r="BN423" s="317"/>
      <c r="BO423" s="317"/>
      <c r="BP423" s="317"/>
      <c r="BQ423" s="317"/>
      <c r="BR423" s="317"/>
      <c r="BS423" s="317"/>
      <c r="BT423" s="317"/>
      <c r="BU423" s="317"/>
      <c r="BV423" s="317"/>
      <c r="BW423" s="317"/>
      <c r="BX423" s="317"/>
      <c r="BY423" s="317"/>
      <c r="BZ423" s="317"/>
      <c r="CA423" s="317"/>
      <c r="CB423" s="317"/>
      <c r="CC423" s="317"/>
      <c r="CD423" s="317"/>
      <c r="CE423" s="317"/>
      <c r="CF423" s="317"/>
      <c r="CG423" s="317"/>
      <c r="CH423" s="317"/>
      <c r="CI423" s="317"/>
      <c r="CM423" s="1139">
        <v>0</v>
      </c>
      <c r="CN423" s="1139">
        <v>0</v>
      </c>
      <c r="CP423" s="923">
        <f t="shared" si="210"/>
        <v>0</v>
      </c>
      <c r="CZ423" s="330"/>
    </row>
    <row r="424" spans="1:104" ht="15" customHeight="1" x14ac:dyDescent="0.25">
      <c r="A424" s="684">
        <f>MAX($A$6:A423)+1</f>
        <v>424</v>
      </c>
      <c r="B424" s="3" t="str">
        <f t="shared" si="220"/>
        <v>3b</v>
      </c>
      <c r="C424" s="11" t="str">
        <f t="shared" si="205"/>
        <v>Programme expenditure</v>
      </c>
      <c r="D424" s="11" t="s">
        <v>464</v>
      </c>
      <c r="E424" s="7" t="s">
        <v>2500</v>
      </c>
      <c r="F424" s="15" t="s">
        <v>1394</v>
      </c>
      <c r="G424" s="1261" t="s">
        <v>286</v>
      </c>
      <c r="H424" s="6">
        <v>0</v>
      </c>
      <c r="I424" s="6">
        <v>0</v>
      </c>
      <c r="J424" s="1254" t="s">
        <v>2500</v>
      </c>
      <c r="K424" s="251">
        <f>SUMIF('alb Note 3 &amp; 3.1 - Expenditure'!$A:$A,$J424,'alb Note 3 &amp; 3.1 - Expenditure'!$C:$C)</f>
        <v>0</v>
      </c>
      <c r="L424" s="251">
        <f>SUMIF('alb Note 3 &amp; 3.1 - Expenditure'!$A:$A,$J424,'alb Note 3 &amp; 3.1 - Expenditure'!$G:$G)</f>
        <v>0</v>
      </c>
      <c r="M424" s="252"/>
      <c r="N424" s="273">
        <f t="shared" si="216"/>
        <v>0</v>
      </c>
      <c r="O424" s="12"/>
      <c r="P424" s="12"/>
      <c r="Q424" s="12"/>
      <c r="R424" s="6"/>
      <c r="S424" s="6">
        <f t="shared" si="213"/>
        <v>0</v>
      </c>
      <c r="T424" s="273">
        <f t="shared" si="217"/>
        <v>0</v>
      </c>
      <c r="U424" s="6">
        <f t="shared" si="218"/>
        <v>0</v>
      </c>
      <c r="V424" s="6"/>
      <c r="W424" s="6"/>
      <c r="X424" s="251"/>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X424" s="6"/>
      <c r="AY424" s="6">
        <v>0</v>
      </c>
      <c r="BA424" s="6"/>
      <c r="BB424" s="6">
        <v>0</v>
      </c>
      <c r="BC424" s="6"/>
      <c r="BD424" s="29">
        <f t="shared" si="201"/>
        <v>0</v>
      </c>
      <c r="BE424" s="317"/>
      <c r="BF424" s="317"/>
      <c r="BG424" s="317"/>
      <c r="BH424" s="317"/>
      <c r="BI424" s="317"/>
      <c r="BJ424" s="317"/>
      <c r="BK424" s="29">
        <f t="shared" si="211"/>
        <v>0</v>
      </c>
      <c r="BL424" s="317"/>
      <c r="BM424" s="317"/>
      <c r="BN424" s="317"/>
      <c r="BO424" s="317"/>
      <c r="BP424" s="317"/>
      <c r="BQ424" s="317"/>
      <c r="BR424" s="317"/>
      <c r="BS424" s="317"/>
      <c r="BT424" s="317"/>
      <c r="BU424" s="317"/>
      <c r="BV424" s="317"/>
      <c r="BW424" s="317"/>
      <c r="BX424" s="317"/>
      <c r="BY424" s="317"/>
      <c r="BZ424" s="317"/>
      <c r="CA424" s="317"/>
      <c r="CB424" s="317"/>
      <c r="CC424" s="317"/>
      <c r="CD424" s="317"/>
      <c r="CE424" s="317"/>
      <c r="CF424" s="317"/>
      <c r="CG424" s="317"/>
      <c r="CH424" s="317"/>
      <c r="CI424" s="317"/>
      <c r="CM424" s="1139">
        <v>0</v>
      </c>
      <c r="CN424" s="1139">
        <v>0</v>
      </c>
      <c r="CP424" s="923">
        <f t="shared" si="210"/>
        <v>0</v>
      </c>
      <c r="CZ424" s="330"/>
    </row>
    <row r="425" spans="1:104" ht="15" customHeight="1" x14ac:dyDescent="0.25">
      <c r="A425" s="701">
        <f>MAX($A$6:A424)+1</f>
        <v>425</v>
      </c>
      <c r="B425" s="1291" t="str">
        <f t="shared" si="220"/>
        <v>3b</v>
      </c>
      <c r="C425" s="18" t="str">
        <f t="shared" si="205"/>
        <v>Programme expenditure</v>
      </c>
      <c r="D425" s="255" t="s">
        <v>286</v>
      </c>
      <c r="E425" s="19" t="s">
        <v>165</v>
      </c>
      <c r="F425" s="20"/>
      <c r="G425" s="28"/>
      <c r="H425" s="14">
        <f>SUM(H407:H424)</f>
        <v>0</v>
      </c>
      <c r="I425" s="14">
        <f>SUM(I407:I424)</f>
        <v>0</v>
      </c>
      <c r="J425" s="1258" t="s">
        <v>286</v>
      </c>
      <c r="K425" s="256">
        <f t="shared" ref="K425:R425" si="221">SUM(K407:K424)</f>
        <v>0</v>
      </c>
      <c r="L425" s="256">
        <f t="shared" si="221"/>
        <v>0</v>
      </c>
      <c r="M425" s="21">
        <f t="shared" si="221"/>
        <v>0</v>
      </c>
      <c r="N425" s="14">
        <f t="shared" si="221"/>
        <v>0</v>
      </c>
      <c r="O425" s="23">
        <f t="shared" si="221"/>
        <v>0</v>
      </c>
      <c r="P425" s="23">
        <f t="shared" si="221"/>
        <v>0</v>
      </c>
      <c r="Q425" s="23">
        <f t="shared" si="221"/>
        <v>0</v>
      </c>
      <c r="R425" s="23">
        <f t="shared" si="221"/>
        <v>0</v>
      </c>
      <c r="S425" s="14">
        <f t="shared" si="213"/>
        <v>0</v>
      </c>
      <c r="T425" s="14">
        <f>SUM(T407:T424)</f>
        <v>0</v>
      </c>
      <c r="U425" s="14">
        <f>SUM(U407:U424)</f>
        <v>0</v>
      </c>
      <c r="V425" s="14">
        <f>SUM(V407:V424)</f>
        <v>0</v>
      </c>
      <c r="W425" s="14">
        <f>SUM(W407:W424)</f>
        <v>0</v>
      </c>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2"/>
      <c r="AX425" s="14">
        <f>SUM(AX407:AX424)</f>
        <v>0</v>
      </c>
      <c r="AY425" s="14">
        <f>ROUND(AX425/1000/Update!$B$31*Update!$B$27,0)</f>
        <v>0</v>
      </c>
      <c r="AZ425" s="2"/>
      <c r="BA425" s="14">
        <f>SUM(BA407:BA424)</f>
        <v>0</v>
      </c>
      <c r="BB425" s="14">
        <f>ROUND(BA425/1000/Update!$B$31,0)</f>
        <v>0</v>
      </c>
      <c r="BC425" s="14"/>
      <c r="BD425" s="14">
        <f>SUM(BD407:BD424)</f>
        <v>0</v>
      </c>
      <c r="BE425" s="318">
        <f t="shared" ref="BE425:BJ425" si="222">SUM(BE407:BE424)</f>
        <v>0</v>
      </c>
      <c r="BF425" s="318">
        <f t="shared" si="222"/>
        <v>0</v>
      </c>
      <c r="BG425" s="318">
        <f t="shared" si="222"/>
        <v>0</v>
      </c>
      <c r="BH425" s="318">
        <f t="shared" si="222"/>
        <v>0</v>
      </c>
      <c r="BI425" s="318">
        <f t="shared" si="222"/>
        <v>0</v>
      </c>
      <c r="BJ425" s="318">
        <f t="shared" si="222"/>
        <v>0</v>
      </c>
      <c r="BK425" s="14">
        <f t="shared" si="211"/>
        <v>0</v>
      </c>
      <c r="BL425" s="318"/>
      <c r="BM425" s="318"/>
      <c r="BN425" s="318"/>
      <c r="BO425" s="318"/>
      <c r="BP425" s="318"/>
      <c r="BQ425" s="318"/>
      <c r="BR425" s="318"/>
      <c r="BS425" s="318"/>
      <c r="BT425" s="318"/>
      <c r="BU425" s="318"/>
      <c r="BV425" s="318"/>
      <c r="BW425" s="318"/>
      <c r="BX425" s="318"/>
      <c r="BY425" s="318"/>
      <c r="BZ425" s="318"/>
      <c r="CA425" s="318"/>
      <c r="CB425" s="318"/>
      <c r="CC425" s="318"/>
      <c r="CD425" s="318"/>
      <c r="CE425" s="318"/>
      <c r="CF425" s="318"/>
      <c r="CG425" s="318"/>
      <c r="CH425" s="318"/>
      <c r="CI425" s="318"/>
      <c r="CJ425" s="2"/>
      <c r="CK425" s="2"/>
      <c r="CM425" s="1140">
        <v>0</v>
      </c>
      <c r="CN425" s="1140">
        <v>0</v>
      </c>
      <c r="CP425" s="923">
        <f t="shared" si="210"/>
        <v>0</v>
      </c>
      <c r="CZ425" s="330"/>
    </row>
    <row r="426" spans="1:104" ht="15" customHeight="1" x14ac:dyDescent="0.25">
      <c r="A426" s="701">
        <f>MAX($A$6:A425)+1</f>
        <v>426</v>
      </c>
      <c r="B426" s="1291" t="str">
        <f t="shared" si="220"/>
        <v>3b</v>
      </c>
      <c r="C426" s="18" t="str">
        <f t="shared" si="205"/>
        <v>Programme expenditure</v>
      </c>
      <c r="D426" s="255" t="s">
        <v>286</v>
      </c>
      <c r="E426" s="19" t="s">
        <v>171</v>
      </c>
      <c r="F426" s="20"/>
      <c r="G426" s="28"/>
      <c r="H426" s="14">
        <f>H425+H406</f>
        <v>0</v>
      </c>
      <c r="I426" s="14">
        <f>I425+I406</f>
        <v>6175</v>
      </c>
      <c r="J426" s="1258" t="s">
        <v>286</v>
      </c>
      <c r="K426" s="256">
        <f t="shared" ref="K426:R426" si="223">K425+K406</f>
        <v>0</v>
      </c>
      <c r="L426" s="256">
        <f t="shared" si="223"/>
        <v>0</v>
      </c>
      <c r="M426" s="14">
        <f t="shared" si="223"/>
        <v>0</v>
      </c>
      <c r="N426" s="14">
        <f t="shared" si="223"/>
        <v>0</v>
      </c>
      <c r="O426" s="14">
        <f t="shared" si="223"/>
        <v>0</v>
      </c>
      <c r="P426" s="14">
        <f t="shared" si="223"/>
        <v>0</v>
      </c>
      <c r="Q426" s="14">
        <f t="shared" si="223"/>
        <v>0</v>
      </c>
      <c r="R426" s="14">
        <f t="shared" si="223"/>
        <v>0</v>
      </c>
      <c r="S426" s="14">
        <f t="shared" si="213"/>
        <v>0</v>
      </c>
      <c r="T426" s="14">
        <f>T425+T406</f>
        <v>0</v>
      </c>
      <c r="U426" s="14">
        <f>U425+U406</f>
        <v>0</v>
      </c>
      <c r="V426" s="14">
        <f>V425+V406</f>
        <v>0</v>
      </c>
      <c r="W426" s="14">
        <f>W425+W406</f>
        <v>0</v>
      </c>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2"/>
      <c r="AX426" s="14">
        <f>AX425+AX406</f>
        <v>0</v>
      </c>
      <c r="AY426" s="14">
        <f>ROUND(AX426/1000/Update!$B$31*Update!$B$27,0)</f>
        <v>0</v>
      </c>
      <c r="AZ426" s="2"/>
      <c r="BA426" s="14">
        <f>BA425+BA406</f>
        <v>0</v>
      </c>
      <c r="BB426" s="14">
        <f>ROUND(BA426/1000/Update!$B$31,0)</f>
        <v>0</v>
      </c>
      <c r="BC426" s="14"/>
      <c r="BD426" s="14">
        <f>BD425+BD406</f>
        <v>0</v>
      </c>
      <c r="BE426" s="318">
        <f t="shared" ref="BE426:BJ426" si="224">BE425+BE406</f>
        <v>0</v>
      </c>
      <c r="BF426" s="318">
        <f t="shared" si="224"/>
        <v>0</v>
      </c>
      <c r="BG426" s="318">
        <f t="shared" si="224"/>
        <v>0</v>
      </c>
      <c r="BH426" s="318">
        <f t="shared" si="224"/>
        <v>0</v>
      </c>
      <c r="BI426" s="318">
        <f t="shared" si="224"/>
        <v>0</v>
      </c>
      <c r="BJ426" s="318">
        <f t="shared" si="224"/>
        <v>0</v>
      </c>
      <c r="BK426" s="14">
        <f t="shared" si="211"/>
        <v>0</v>
      </c>
      <c r="BL426" s="318"/>
      <c r="BM426" s="318"/>
      <c r="BN426" s="318"/>
      <c r="BO426" s="318"/>
      <c r="BP426" s="318"/>
      <c r="BQ426" s="318"/>
      <c r="BR426" s="318"/>
      <c r="BS426" s="318"/>
      <c r="BT426" s="318"/>
      <c r="BU426" s="318"/>
      <c r="BV426" s="318"/>
      <c r="BW426" s="318"/>
      <c r="BX426" s="318"/>
      <c r="BY426" s="318"/>
      <c r="BZ426" s="318"/>
      <c r="CA426" s="318"/>
      <c r="CB426" s="318"/>
      <c r="CC426" s="318"/>
      <c r="CD426" s="318"/>
      <c r="CE426" s="318"/>
      <c r="CF426" s="318"/>
      <c r="CG426" s="318"/>
      <c r="CH426" s="318"/>
      <c r="CI426" s="318"/>
      <c r="CJ426" s="2"/>
      <c r="CK426" s="2"/>
      <c r="CM426" s="1140">
        <v>-3789</v>
      </c>
      <c r="CN426" s="1140">
        <v>8021989</v>
      </c>
      <c r="CP426" s="923">
        <f t="shared" si="210"/>
        <v>-3789</v>
      </c>
      <c r="CZ426" s="330"/>
    </row>
    <row r="427" spans="1:104" ht="15" customHeight="1" x14ac:dyDescent="0.25">
      <c r="A427" s="684">
        <f>MAX($A$6:A426)+1</f>
        <v>427</v>
      </c>
      <c r="B427" s="3" t="str">
        <f t="shared" si="220"/>
        <v>3b</v>
      </c>
      <c r="C427" s="11" t="str">
        <f t="shared" si="205"/>
        <v>Programme expenditure</v>
      </c>
      <c r="D427" s="250" t="s">
        <v>286</v>
      </c>
      <c r="E427" s="7" t="s">
        <v>2328</v>
      </c>
      <c r="F427" s="15"/>
      <c r="G427" s="7" t="s">
        <v>2328</v>
      </c>
      <c r="H427" s="6"/>
      <c r="I427" s="6"/>
      <c r="J427" s="7" t="s">
        <v>2328</v>
      </c>
      <c r="K427" s="251">
        <f>SUMIF('alb Note 3 &amp; 3.1 - Expenditure'!$A:$A,$J427,'alb Note 3 &amp; 3.1 - Expenditure'!$C:$C)</f>
        <v>0</v>
      </c>
      <c r="L427" s="266"/>
      <c r="M427" s="252"/>
      <c r="N427" s="273">
        <f>ROUND(SUM(O427:S427)+SUM(W427:AV427),0)</f>
        <v>0</v>
      </c>
      <c r="O427" s="12"/>
      <c r="P427" s="12"/>
      <c r="Q427" s="12"/>
      <c r="R427" s="12"/>
      <c r="S427" s="6">
        <f t="shared" si="213"/>
        <v>0</v>
      </c>
      <c r="T427" s="273">
        <f>ROUND(SUM(U427:Y427),0)</f>
        <v>0</v>
      </c>
      <c r="U427" s="6">
        <f>SUM(BL427:BN427)</f>
        <v>0</v>
      </c>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X427" s="6"/>
      <c r="AY427" s="6">
        <f>ROUND(AX427/1000/Update!$B$31*Update!$B$27,0)</f>
        <v>0</v>
      </c>
      <c r="BA427" s="6"/>
      <c r="BB427" s="6">
        <f>ROUND(BA427/1000/Update!$B$31,0)</f>
        <v>0</v>
      </c>
      <c r="BC427" s="6"/>
      <c r="BD427" s="29">
        <f t="shared" si="201"/>
        <v>0</v>
      </c>
      <c r="BE427" s="322"/>
      <c r="BF427" s="322"/>
      <c r="BG427" s="322"/>
      <c r="BH427" s="322"/>
      <c r="BI427" s="322"/>
      <c r="BJ427" s="322"/>
      <c r="BK427" s="29">
        <f t="shared" si="211"/>
        <v>0</v>
      </c>
      <c r="BL427" s="322"/>
      <c r="BM427" s="322"/>
      <c r="BN427" s="322"/>
      <c r="BO427" s="322"/>
      <c r="BP427" s="322"/>
      <c r="BQ427" s="322"/>
      <c r="BR427" s="322"/>
      <c r="BS427" s="322"/>
      <c r="BT427" s="322"/>
      <c r="BU427" s="322"/>
      <c r="BV427" s="322"/>
      <c r="BW427" s="322"/>
      <c r="BX427" s="322"/>
      <c r="BY427" s="322"/>
      <c r="BZ427" s="322"/>
      <c r="CA427" s="322"/>
      <c r="CB427" s="322"/>
      <c r="CC427" s="322"/>
      <c r="CD427" s="322"/>
      <c r="CE427" s="322"/>
      <c r="CF427" s="322"/>
      <c r="CG427" s="322"/>
      <c r="CH427" s="322"/>
      <c r="CI427" s="322"/>
      <c r="CM427" s="1139">
        <v>0</v>
      </c>
      <c r="CN427" s="1139">
        <v>0</v>
      </c>
      <c r="CP427" s="923">
        <f t="shared" si="210"/>
        <v>0</v>
      </c>
      <c r="CZ427" s="330"/>
    </row>
    <row r="428" spans="1:104" ht="15" customHeight="1" x14ac:dyDescent="0.25">
      <c r="A428" s="684">
        <f>MAX($A$6:A427)+1</f>
        <v>428</v>
      </c>
      <c r="B428" s="3" t="str">
        <f t="shared" si="220"/>
        <v>3b</v>
      </c>
      <c r="C428" s="11" t="str">
        <f t="shared" si="205"/>
        <v>Programme expenditure</v>
      </c>
      <c r="D428" s="250" t="s">
        <v>286</v>
      </c>
      <c r="E428" s="7" t="s">
        <v>2329</v>
      </c>
      <c r="F428" s="15"/>
      <c r="G428" s="7" t="s">
        <v>2329</v>
      </c>
      <c r="H428" s="6">
        <v>0</v>
      </c>
      <c r="I428" s="6">
        <v>0</v>
      </c>
      <c r="J428" s="7" t="s">
        <v>2329</v>
      </c>
      <c r="K428" s="251">
        <f>SUMIF('alb Note 3 &amp; 3.1 - Expenditure'!$A:$A,$J428,'alb Note 3 &amp; 3.1 - Expenditure'!$C:$C)</f>
        <v>0</v>
      </c>
      <c r="L428" s="266"/>
      <c r="M428" s="252"/>
      <c r="N428" s="273">
        <f>ROUND(SUM(O428:S428)+SUM(W428:AV428),0)</f>
        <v>0</v>
      </c>
      <c r="O428" s="12"/>
      <c r="P428" s="12"/>
      <c r="Q428" s="12"/>
      <c r="R428" s="12"/>
      <c r="S428" s="6">
        <f t="shared" si="213"/>
        <v>0</v>
      </c>
      <c r="T428" s="273">
        <f>ROUND(SUM(U428:Y428),0)</f>
        <v>0</v>
      </c>
      <c r="U428" s="6">
        <f>-SUM(BL428:BN428)</f>
        <v>0</v>
      </c>
      <c r="V428" s="6"/>
      <c r="W428" s="6">
        <f>+H428</f>
        <v>0</v>
      </c>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X428" s="6"/>
      <c r="AY428" s="6">
        <f>ROUND(AX428/1000/Update!$B$31*Update!$B$27,0)</f>
        <v>0</v>
      </c>
      <c r="BA428" s="6"/>
      <c r="BB428" s="6">
        <f>ROUND(BA428/1000/Update!$B$31,0)</f>
        <v>0</v>
      </c>
      <c r="BC428" s="6"/>
      <c r="BD428" s="29">
        <f t="shared" si="201"/>
        <v>0</v>
      </c>
      <c r="BE428" s="322"/>
      <c r="BF428" s="322"/>
      <c r="BG428" s="322"/>
      <c r="BH428" s="322"/>
      <c r="BI428" s="322"/>
      <c r="BJ428" s="322"/>
      <c r="BK428" s="29">
        <f t="shared" si="211"/>
        <v>0</v>
      </c>
      <c r="BL428" s="322"/>
      <c r="BM428" s="322"/>
      <c r="BN428" s="322"/>
      <c r="BO428" s="322"/>
      <c r="BP428" s="322"/>
      <c r="BQ428" s="322"/>
      <c r="BR428" s="322"/>
      <c r="BS428" s="322"/>
      <c r="BT428" s="322"/>
      <c r="BU428" s="322"/>
      <c r="BV428" s="322"/>
      <c r="BW428" s="322"/>
      <c r="BX428" s="322"/>
      <c r="BY428" s="322"/>
      <c r="BZ428" s="322"/>
      <c r="CA428" s="322"/>
      <c r="CB428" s="322"/>
      <c r="CC428" s="322"/>
      <c r="CD428" s="322"/>
      <c r="CE428" s="322"/>
      <c r="CF428" s="322"/>
      <c r="CG428" s="322"/>
      <c r="CH428" s="322"/>
      <c r="CI428" s="322"/>
      <c r="CM428" s="1139">
        <v>0</v>
      </c>
      <c r="CN428" s="1139">
        <v>0</v>
      </c>
      <c r="CP428" s="923">
        <f t="shared" si="210"/>
        <v>0</v>
      </c>
      <c r="CZ428" s="330"/>
    </row>
    <row r="429" spans="1:104" ht="15" customHeight="1" x14ac:dyDescent="0.25">
      <c r="A429" s="701">
        <f>MAX($A$6:A428)+1</f>
        <v>429</v>
      </c>
      <c r="B429" s="1291" t="str">
        <f t="shared" si="220"/>
        <v>3b</v>
      </c>
      <c r="C429" s="18" t="str">
        <f t="shared" si="205"/>
        <v>Programme expenditure</v>
      </c>
      <c r="D429" s="255" t="s">
        <v>286</v>
      </c>
      <c r="E429" s="1258" t="s">
        <v>2330</v>
      </c>
      <c r="F429" s="20"/>
      <c r="G429" s="28"/>
      <c r="H429" s="14">
        <f>SUM(H427:H428)</f>
        <v>0</v>
      </c>
      <c r="I429" s="14">
        <f>SUM(I427:I428)</f>
        <v>0</v>
      </c>
      <c r="J429" s="1258" t="s">
        <v>286</v>
      </c>
      <c r="K429" s="14">
        <f>SUM(K427:K428)</f>
        <v>0</v>
      </c>
      <c r="L429" s="14">
        <f>L428</f>
        <v>0</v>
      </c>
      <c r="M429" s="21"/>
      <c r="N429" s="14">
        <f>N428</f>
        <v>0</v>
      </c>
      <c r="O429" s="14">
        <f>O428</f>
        <v>0</v>
      </c>
      <c r="P429" s="14">
        <f>P428</f>
        <v>0</v>
      </c>
      <c r="Q429" s="14">
        <f>Q428</f>
        <v>0</v>
      </c>
      <c r="R429" s="14">
        <f>R428</f>
        <v>0</v>
      </c>
      <c r="S429" s="14">
        <f t="shared" si="213"/>
        <v>0</v>
      </c>
      <c r="T429" s="14">
        <f>T428</f>
        <v>0</v>
      </c>
      <c r="U429" s="14">
        <f>U428</f>
        <v>0</v>
      </c>
      <c r="V429" s="14">
        <f>V428</f>
        <v>0</v>
      </c>
      <c r="W429" s="14">
        <f>W428</f>
        <v>0</v>
      </c>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2"/>
      <c r="AX429" s="14"/>
      <c r="AY429" s="14">
        <f>ROUND(AX429/1000/Update!$B$31*Update!$B$27,0)</f>
        <v>0</v>
      </c>
      <c r="AZ429" s="2"/>
      <c r="BA429" s="14"/>
      <c r="BB429" s="14">
        <f>ROUND(BA429/1000/Update!$B$31,0)</f>
        <v>0</v>
      </c>
      <c r="BC429" s="14"/>
      <c r="BD429" s="14">
        <f>BD428</f>
        <v>0</v>
      </c>
      <c r="BE429" s="318">
        <f t="shared" ref="BE429:BJ429" si="225">BE428</f>
        <v>0</v>
      </c>
      <c r="BF429" s="318">
        <f t="shared" si="225"/>
        <v>0</v>
      </c>
      <c r="BG429" s="318">
        <f t="shared" si="225"/>
        <v>0</v>
      </c>
      <c r="BH429" s="318">
        <f t="shared" si="225"/>
        <v>0</v>
      </c>
      <c r="BI429" s="318">
        <f t="shared" si="225"/>
        <v>0</v>
      </c>
      <c r="BJ429" s="318">
        <f t="shared" si="225"/>
        <v>0</v>
      </c>
      <c r="BK429" s="14">
        <f t="shared" si="211"/>
        <v>0</v>
      </c>
      <c r="BL429" s="318"/>
      <c r="BM429" s="318"/>
      <c r="BN429" s="318"/>
      <c r="BO429" s="318"/>
      <c r="BP429" s="318"/>
      <c r="BQ429" s="318"/>
      <c r="BR429" s="318"/>
      <c r="BS429" s="318"/>
      <c r="BT429" s="318"/>
      <c r="BU429" s="318"/>
      <c r="BV429" s="318"/>
      <c r="BW429" s="318"/>
      <c r="BX429" s="318"/>
      <c r="BY429" s="318"/>
      <c r="BZ429" s="318"/>
      <c r="CA429" s="318"/>
      <c r="CB429" s="318"/>
      <c r="CC429" s="318"/>
      <c r="CD429" s="318"/>
      <c r="CE429" s="318"/>
      <c r="CF429" s="318"/>
      <c r="CG429" s="318"/>
      <c r="CH429" s="318"/>
      <c r="CI429" s="318"/>
      <c r="CJ429" s="2"/>
      <c r="CK429" s="2"/>
      <c r="CM429" s="1140">
        <v>0</v>
      </c>
      <c r="CN429" s="1140">
        <v>0</v>
      </c>
      <c r="CP429" s="923">
        <f t="shared" si="210"/>
        <v>0</v>
      </c>
      <c r="CZ429" s="330"/>
    </row>
    <row r="430" spans="1:104" ht="15" customHeight="1" x14ac:dyDescent="0.25">
      <c r="A430" s="684">
        <f>MAX($A$6:A429)+1</f>
        <v>430</v>
      </c>
      <c r="B430" s="3" t="str">
        <f t="shared" si="220"/>
        <v>3b</v>
      </c>
      <c r="C430" s="11" t="str">
        <f t="shared" si="205"/>
        <v>Programme expenditure</v>
      </c>
      <c r="D430" s="11"/>
      <c r="E430" s="279"/>
      <c r="F430" s="15"/>
      <c r="G430" s="26"/>
      <c r="H430" s="6"/>
      <c r="I430" s="6"/>
      <c r="J430" s="1257" t="s">
        <v>286</v>
      </c>
      <c r="K430" s="266">
        <f>SUMIF('alb SoCITE'!$A:$A,$J430,'alb SoCITE'!$E:$E)</f>
        <v>0</v>
      </c>
      <c r="L430" s="266">
        <f>SUMIF('alb SoCITE'!$A:$A,$J430,'alb SoCITE'!$E:$E)</f>
        <v>0</v>
      </c>
      <c r="M430" s="252"/>
      <c r="N430" s="273">
        <f>ROUND(SUM(O430:S430)+SUM(W430:AV430),0)</f>
        <v>0</v>
      </c>
      <c r="O430" s="12"/>
      <c r="P430" s="12"/>
      <c r="Q430" s="12"/>
      <c r="R430" s="12"/>
      <c r="S430" s="6">
        <f t="shared" si="213"/>
        <v>0</v>
      </c>
      <c r="T430" s="273">
        <f>ROUND(SUM(U430:Y430),0)</f>
        <v>0</v>
      </c>
      <c r="U430" s="6">
        <f>SUM(BL430:BN430)</f>
        <v>0</v>
      </c>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X430" s="6"/>
      <c r="AY430" s="6">
        <f>ROUND(AX430/1000/Update!$B$31*Update!$B$27,0)</f>
        <v>0</v>
      </c>
      <c r="BA430" s="6"/>
      <c r="BB430" s="6">
        <f>ROUND(BA430/1000/Update!$B$31,0)</f>
        <v>0</v>
      </c>
      <c r="BC430" s="6"/>
      <c r="BD430" s="29">
        <f t="shared" si="201"/>
        <v>0</v>
      </c>
      <c r="BE430" s="322"/>
      <c r="BF430" s="322"/>
      <c r="BG430" s="322"/>
      <c r="BH430" s="322"/>
      <c r="BI430" s="322"/>
      <c r="BJ430" s="322"/>
      <c r="BK430" s="29">
        <f t="shared" si="211"/>
        <v>0</v>
      </c>
      <c r="BL430" s="322"/>
      <c r="BM430" s="322"/>
      <c r="BN430" s="322"/>
      <c r="BO430" s="322"/>
      <c r="BP430" s="322"/>
      <c r="BQ430" s="322"/>
      <c r="BR430" s="322"/>
      <c r="BS430" s="322"/>
      <c r="BT430" s="322"/>
      <c r="BU430" s="322"/>
      <c r="BV430" s="322"/>
      <c r="BW430" s="322"/>
      <c r="BX430" s="322"/>
      <c r="BY430" s="322"/>
      <c r="BZ430" s="322"/>
      <c r="CA430" s="322"/>
      <c r="CB430" s="322"/>
      <c r="CC430" s="322"/>
      <c r="CD430" s="322"/>
      <c r="CE430" s="322"/>
      <c r="CF430" s="322"/>
      <c r="CG430" s="322"/>
      <c r="CH430" s="322"/>
      <c r="CI430" s="322"/>
      <c r="CM430" s="1139">
        <v>0</v>
      </c>
      <c r="CN430" s="1139">
        <v>0</v>
      </c>
      <c r="CP430" s="923">
        <f t="shared" si="210"/>
        <v>0</v>
      </c>
      <c r="CZ430" s="330"/>
    </row>
    <row r="431" spans="1:104" ht="15" customHeight="1" x14ac:dyDescent="0.25">
      <c r="A431" s="701">
        <f>MAX($A$6:A430)+1</f>
        <v>431</v>
      </c>
      <c r="B431" s="1291" t="str">
        <f t="shared" si="220"/>
        <v>3b</v>
      </c>
      <c r="C431" s="18" t="str">
        <f t="shared" si="205"/>
        <v>Programme expenditure</v>
      </c>
      <c r="D431" s="255" t="s">
        <v>286</v>
      </c>
      <c r="E431" s="19" t="s">
        <v>146</v>
      </c>
      <c r="F431" s="20"/>
      <c r="G431" s="28"/>
      <c r="H431" s="14">
        <f>H429+H426</f>
        <v>0</v>
      </c>
      <c r="I431" s="14">
        <f>I429+I426</f>
        <v>6175</v>
      </c>
      <c r="J431" s="1258" t="s">
        <v>286</v>
      </c>
      <c r="K431" s="14">
        <f>K426</f>
        <v>0</v>
      </c>
      <c r="L431" s="14">
        <f t="shared" ref="L431:Q431" si="226">L426</f>
        <v>0</v>
      </c>
      <c r="M431" s="14">
        <f t="shared" si="226"/>
        <v>0</v>
      </c>
      <c r="N431" s="14">
        <f>N426</f>
        <v>0</v>
      </c>
      <c r="O431" s="14">
        <f t="shared" si="226"/>
        <v>0</v>
      </c>
      <c r="P431" s="14">
        <f t="shared" si="226"/>
        <v>0</v>
      </c>
      <c r="Q431" s="14">
        <f t="shared" si="226"/>
        <v>0</v>
      </c>
      <c r="R431" s="14">
        <f>R426</f>
        <v>0</v>
      </c>
      <c r="S431" s="23">
        <f t="shared" si="213"/>
        <v>0</v>
      </c>
      <c r="T431" s="14">
        <f>+T426</f>
        <v>0</v>
      </c>
      <c r="U431" s="14">
        <f>U426</f>
        <v>0</v>
      </c>
      <c r="V431" s="14">
        <f>V426</f>
        <v>0</v>
      </c>
      <c r="W431" s="14">
        <f>W426</f>
        <v>0</v>
      </c>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2"/>
      <c r="AX431" s="14"/>
      <c r="AY431" s="14">
        <f>ROUND(AX431/1000/Update!$B$31*Update!$B$27,0)</f>
        <v>0</v>
      </c>
      <c r="AZ431" s="2"/>
      <c r="BA431" s="14"/>
      <c r="BB431" s="14">
        <f>ROUND(BA431/1000/Update!$B$31,0)</f>
        <v>0</v>
      </c>
      <c r="BC431" s="14"/>
      <c r="BD431" s="14">
        <f t="shared" ref="BD431:BJ431" si="227">+BD426</f>
        <v>0</v>
      </c>
      <c r="BE431" s="14">
        <f t="shared" si="227"/>
        <v>0</v>
      </c>
      <c r="BF431" s="14">
        <f t="shared" si="227"/>
        <v>0</v>
      </c>
      <c r="BG431" s="14">
        <f t="shared" si="227"/>
        <v>0</v>
      </c>
      <c r="BH431" s="14">
        <f t="shared" si="227"/>
        <v>0</v>
      </c>
      <c r="BI431" s="14">
        <f t="shared" si="227"/>
        <v>0</v>
      </c>
      <c r="BJ431" s="14">
        <f t="shared" si="227"/>
        <v>0</v>
      </c>
      <c r="BK431" s="14">
        <f t="shared" si="211"/>
        <v>0</v>
      </c>
      <c r="BL431" s="318"/>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2"/>
      <c r="CK431" s="2"/>
      <c r="CM431" s="1450">
        <v>-3789</v>
      </c>
      <c r="CN431" s="1450">
        <v>8021989</v>
      </c>
      <c r="CP431" s="923">
        <f t="shared" si="210"/>
        <v>-3789</v>
      </c>
      <c r="CZ431" s="330"/>
    </row>
    <row r="432" spans="1:104" ht="30" customHeight="1" x14ac:dyDescent="0.25">
      <c r="A432" s="684">
        <f>MAX($A$6:A431)+1</f>
        <v>432</v>
      </c>
      <c r="B432" s="3" t="str">
        <f t="shared" si="220"/>
        <v>3b</v>
      </c>
      <c r="C432" s="11" t="str">
        <f t="shared" si="205"/>
        <v>Programme expenditure</v>
      </c>
      <c r="D432" s="11"/>
      <c r="E432" s="7" t="s">
        <v>732</v>
      </c>
      <c r="F432" s="15"/>
      <c r="G432" s="912" t="s">
        <v>732</v>
      </c>
      <c r="H432" s="253">
        <v>0</v>
      </c>
      <c r="I432" s="1190">
        <v>0</v>
      </c>
      <c r="J432" s="1263" t="s">
        <v>1738</v>
      </c>
      <c r="K432" s="280">
        <f>'alb Note 3 &amp; 3.1 - Expenditure'!C46</f>
        <v>0</v>
      </c>
      <c r="L432" s="1185">
        <v>0</v>
      </c>
      <c r="M432" s="252"/>
      <c r="N432" s="273">
        <f t="shared" ref="N432:N439" si="228">ROUND(SUM(O432:S432)+SUM(W432:AV432),0)</f>
        <v>0</v>
      </c>
      <c r="O432" s="12"/>
      <c r="P432" s="12"/>
      <c r="Q432" s="12"/>
      <c r="R432" s="12"/>
      <c r="S432" s="6">
        <f t="shared" si="213"/>
        <v>0</v>
      </c>
      <c r="T432" s="273">
        <f t="shared" ref="T432:T439" si="229">ROUND(SUM(U432:Y432),0)</f>
        <v>0</v>
      </c>
      <c r="U432" s="6">
        <f t="shared" ref="U432:U439" si="230">SUM(BL432:BN432)</f>
        <v>0</v>
      </c>
      <c r="V432" s="6"/>
      <c r="W432" s="6">
        <f t="shared" ref="W432:W460" si="231">+H432</f>
        <v>0</v>
      </c>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X432" s="6"/>
      <c r="AY432" s="6">
        <f>ROUND(AX432/1000/Update!$B$31*Update!$B$27,0)</f>
        <v>0</v>
      </c>
      <c r="BA432" s="6"/>
      <c r="BB432" s="6">
        <f>ROUND(BA432/1000/Update!$B$31,0)</f>
        <v>0</v>
      </c>
      <c r="BC432" s="6"/>
      <c r="BD432" s="29">
        <f t="shared" ref="BD432:BD522" si="232">ROUND(SUM(BE432:BK432),0)</f>
        <v>0</v>
      </c>
      <c r="BE432" s="317"/>
      <c r="BF432" s="317"/>
      <c r="BG432" s="317"/>
      <c r="BH432" s="317"/>
      <c r="BI432" s="317"/>
      <c r="BJ432" s="317"/>
      <c r="BK432" s="29">
        <f t="shared" si="211"/>
        <v>0</v>
      </c>
      <c r="BL432" s="317"/>
      <c r="BM432" s="317"/>
      <c r="BN432" s="317"/>
      <c r="BO432" s="317"/>
      <c r="BP432" s="317"/>
      <c r="BQ432" s="317"/>
      <c r="BR432" s="317"/>
      <c r="BS432" s="317"/>
      <c r="BT432" s="317"/>
      <c r="BU432" s="317"/>
      <c r="BV432" s="317"/>
      <c r="BW432" s="317"/>
      <c r="BX432" s="317"/>
      <c r="BY432" s="317"/>
      <c r="BZ432" s="317"/>
      <c r="CA432" s="317"/>
      <c r="CB432" s="317"/>
      <c r="CC432" s="317"/>
      <c r="CD432" s="317"/>
      <c r="CE432" s="317"/>
      <c r="CF432" s="317"/>
      <c r="CG432" s="317"/>
      <c r="CH432" s="317"/>
      <c r="CI432" s="317"/>
      <c r="CM432" s="1139">
        <v>0</v>
      </c>
      <c r="CN432" s="1139">
        <v>0</v>
      </c>
      <c r="CP432" s="923">
        <f t="shared" si="210"/>
        <v>0</v>
      </c>
      <c r="CZ432" s="330"/>
    </row>
    <row r="433" spans="1:104" ht="15" customHeight="1" x14ac:dyDescent="0.25">
      <c r="A433" s="684">
        <f>MAX($A$6:A432)+1</f>
        <v>433</v>
      </c>
      <c r="B433" s="3" t="str">
        <f t="shared" si="220"/>
        <v>3b</v>
      </c>
      <c r="C433" s="11" t="str">
        <f t="shared" si="205"/>
        <v>Programme expenditure</v>
      </c>
      <c r="D433" s="11"/>
      <c r="E433" s="397" t="s">
        <v>1740</v>
      </c>
      <c r="F433" s="15"/>
      <c r="G433" s="912"/>
      <c r="H433" s="253"/>
      <c r="I433" s="1190"/>
      <c r="J433" s="1263" t="s">
        <v>1740</v>
      </c>
      <c r="K433" s="280">
        <f>'alb Note 3 &amp; 3.1 - Expenditure'!C47</f>
        <v>0</v>
      </c>
      <c r="L433" s="1185"/>
      <c r="M433" s="252"/>
      <c r="N433" s="273">
        <f t="shared" si="228"/>
        <v>0</v>
      </c>
      <c r="O433" s="12"/>
      <c r="P433" s="12"/>
      <c r="Q433" s="12"/>
      <c r="R433" s="12"/>
      <c r="S433" s="6">
        <f t="shared" si="213"/>
        <v>0</v>
      </c>
      <c r="T433" s="273">
        <f t="shared" si="229"/>
        <v>0</v>
      </c>
      <c r="U433" s="6">
        <f t="shared" si="230"/>
        <v>0</v>
      </c>
      <c r="V433" s="6"/>
      <c r="W433" s="6">
        <f t="shared" si="231"/>
        <v>0</v>
      </c>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X433" s="6"/>
      <c r="AY433" s="6"/>
      <c r="BA433" s="6"/>
      <c r="BB433" s="6"/>
      <c r="BC433" s="6"/>
      <c r="BD433" s="29"/>
      <c r="BE433" s="317"/>
      <c r="BF433" s="317"/>
      <c r="BG433" s="317"/>
      <c r="BH433" s="317"/>
      <c r="BI433" s="317"/>
      <c r="BJ433" s="317"/>
      <c r="BK433" s="29">
        <f t="shared" si="211"/>
        <v>0</v>
      </c>
      <c r="BL433" s="317"/>
      <c r="BM433" s="317"/>
      <c r="BN433" s="317"/>
      <c r="BO433" s="317"/>
      <c r="BP433" s="317"/>
      <c r="BQ433" s="317"/>
      <c r="BR433" s="317"/>
      <c r="BS433" s="317"/>
      <c r="BT433" s="317"/>
      <c r="BU433" s="317"/>
      <c r="BV433" s="317"/>
      <c r="BW433" s="317"/>
      <c r="BX433" s="317"/>
      <c r="BY433" s="317"/>
      <c r="BZ433" s="317"/>
      <c r="CA433" s="317"/>
      <c r="CB433" s="317"/>
      <c r="CC433" s="317"/>
      <c r="CD433" s="317"/>
      <c r="CE433" s="317"/>
      <c r="CF433" s="317"/>
      <c r="CG433" s="317"/>
      <c r="CH433" s="317"/>
      <c r="CI433" s="317"/>
      <c r="CM433" s="1139">
        <v>0</v>
      </c>
      <c r="CN433" s="1139"/>
      <c r="CP433" s="923">
        <f t="shared" si="210"/>
        <v>0</v>
      </c>
      <c r="CZ433" s="330"/>
    </row>
    <row r="434" spans="1:104" ht="15" customHeight="1" x14ac:dyDescent="0.25">
      <c r="A434" s="684">
        <f>MAX($A$6:A433)+1</f>
        <v>434</v>
      </c>
      <c r="B434" s="3" t="str">
        <f t="shared" si="220"/>
        <v>3b</v>
      </c>
      <c r="C434" s="11" t="str">
        <f t="shared" si="205"/>
        <v>Programme expenditure</v>
      </c>
      <c r="D434" s="11"/>
      <c r="E434" s="7"/>
      <c r="F434" s="15"/>
      <c r="G434" s="1251"/>
      <c r="H434" s="1190"/>
      <c r="I434" s="1190"/>
      <c r="J434" s="1262">
        <f>'alb Note 3 &amp; 3.1 - Expenditure'!A49</f>
        <v>0</v>
      </c>
      <c r="K434" s="280">
        <f>'alb Note 3 &amp; 3.1 - Expenditure'!C49</f>
        <v>0</v>
      </c>
      <c r="L434" s="1185"/>
      <c r="M434" s="252"/>
      <c r="N434" s="273">
        <f t="shared" si="228"/>
        <v>0</v>
      </c>
      <c r="O434" s="12"/>
      <c r="P434" s="12"/>
      <c r="Q434" s="12"/>
      <c r="R434" s="12"/>
      <c r="S434" s="6">
        <f t="shared" si="213"/>
        <v>0</v>
      </c>
      <c r="T434" s="273">
        <f t="shared" si="229"/>
        <v>0</v>
      </c>
      <c r="U434" s="6">
        <f t="shared" si="230"/>
        <v>0</v>
      </c>
      <c r="V434" s="6"/>
      <c r="W434" s="6">
        <f t="shared" si="231"/>
        <v>0</v>
      </c>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X434" s="6"/>
      <c r="AY434" s="6"/>
      <c r="BA434" s="6"/>
      <c r="BB434" s="6"/>
      <c r="BC434" s="6"/>
      <c r="BD434" s="29"/>
      <c r="BE434" s="317"/>
      <c r="BF434" s="317"/>
      <c r="BG434" s="317"/>
      <c r="BH434" s="317"/>
      <c r="BI434" s="317"/>
      <c r="BJ434" s="317"/>
      <c r="BK434" s="29">
        <f t="shared" si="211"/>
        <v>0</v>
      </c>
      <c r="BL434" s="317"/>
      <c r="BM434" s="317"/>
      <c r="BN434" s="317"/>
      <c r="BO434" s="317"/>
      <c r="BP434" s="317"/>
      <c r="BQ434" s="317"/>
      <c r="BR434" s="317"/>
      <c r="BS434" s="317"/>
      <c r="BT434" s="317"/>
      <c r="BU434" s="317"/>
      <c r="BV434" s="317"/>
      <c r="BW434" s="317"/>
      <c r="BX434" s="317"/>
      <c r="BY434" s="317"/>
      <c r="BZ434" s="317"/>
      <c r="CA434" s="317"/>
      <c r="CB434" s="317"/>
      <c r="CC434" s="317"/>
      <c r="CD434" s="317"/>
      <c r="CE434" s="317"/>
      <c r="CF434" s="317"/>
      <c r="CG434" s="317"/>
      <c r="CH434" s="317"/>
      <c r="CI434" s="317"/>
      <c r="CM434" s="1139">
        <v>0</v>
      </c>
      <c r="CN434" s="1139"/>
      <c r="CP434" s="923">
        <f t="shared" si="210"/>
        <v>0</v>
      </c>
      <c r="CZ434" s="330"/>
    </row>
    <row r="435" spans="1:104" ht="15" customHeight="1" x14ac:dyDescent="0.25">
      <c r="A435" s="684">
        <f>MAX($A$6:A434)+1</f>
        <v>435</v>
      </c>
      <c r="B435" s="3" t="str">
        <f t="shared" si="220"/>
        <v>3b</v>
      </c>
      <c r="C435" s="11" t="str">
        <f t="shared" si="205"/>
        <v>Programme expenditure</v>
      </c>
      <c r="D435" s="11"/>
      <c r="E435" s="7"/>
      <c r="F435" s="15"/>
      <c r="G435" s="1251"/>
      <c r="H435" s="1190"/>
      <c r="I435" s="1190"/>
      <c r="J435" s="1262">
        <f>'alb Note 3 &amp; 3.1 - Expenditure'!A50</f>
        <v>0</v>
      </c>
      <c r="K435" s="280">
        <f>'alb Note 3 &amp; 3.1 - Expenditure'!C50</f>
        <v>0</v>
      </c>
      <c r="L435" s="1185"/>
      <c r="M435" s="252"/>
      <c r="N435" s="273">
        <f t="shared" si="228"/>
        <v>0</v>
      </c>
      <c r="O435" s="12"/>
      <c r="P435" s="12"/>
      <c r="Q435" s="12"/>
      <c r="R435" s="12"/>
      <c r="S435" s="6">
        <f t="shared" si="213"/>
        <v>0</v>
      </c>
      <c r="T435" s="273">
        <f t="shared" si="229"/>
        <v>0</v>
      </c>
      <c r="U435" s="6">
        <f t="shared" si="230"/>
        <v>0</v>
      </c>
      <c r="V435" s="6"/>
      <c r="W435" s="6">
        <f t="shared" si="231"/>
        <v>0</v>
      </c>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X435" s="6"/>
      <c r="AY435" s="6"/>
      <c r="BA435" s="6"/>
      <c r="BB435" s="6"/>
      <c r="BC435" s="6"/>
      <c r="BD435" s="29"/>
      <c r="BE435" s="317"/>
      <c r="BF435" s="317"/>
      <c r="BG435" s="317"/>
      <c r="BH435" s="317"/>
      <c r="BI435" s="317"/>
      <c r="BJ435" s="317"/>
      <c r="BK435" s="29">
        <f t="shared" si="211"/>
        <v>0</v>
      </c>
      <c r="BL435" s="317"/>
      <c r="BM435" s="317"/>
      <c r="BN435" s="317"/>
      <c r="BO435" s="317"/>
      <c r="BP435" s="317"/>
      <c r="BQ435" s="317"/>
      <c r="BR435" s="317"/>
      <c r="BS435" s="317"/>
      <c r="BT435" s="317"/>
      <c r="BU435" s="317"/>
      <c r="BV435" s="317"/>
      <c r="BW435" s="317"/>
      <c r="BX435" s="317"/>
      <c r="BY435" s="317"/>
      <c r="BZ435" s="317"/>
      <c r="CA435" s="317"/>
      <c r="CB435" s="317"/>
      <c r="CC435" s="317"/>
      <c r="CD435" s="317"/>
      <c r="CE435" s="317"/>
      <c r="CF435" s="317"/>
      <c r="CG435" s="317"/>
      <c r="CH435" s="317"/>
      <c r="CI435" s="317"/>
      <c r="CM435" s="1139">
        <v>0</v>
      </c>
      <c r="CN435" s="1139"/>
      <c r="CP435" s="923">
        <f t="shared" si="210"/>
        <v>0</v>
      </c>
      <c r="CZ435" s="330"/>
    </row>
    <row r="436" spans="1:104" ht="15" customHeight="1" x14ac:dyDescent="0.25">
      <c r="A436" s="684">
        <f>MAX($A$6:A435)+1</f>
        <v>436</v>
      </c>
      <c r="B436" s="3" t="str">
        <f t="shared" si="220"/>
        <v>3b</v>
      </c>
      <c r="C436" s="11" t="str">
        <f t="shared" si="205"/>
        <v>Programme expenditure</v>
      </c>
      <c r="D436" s="11"/>
      <c r="E436" s="7"/>
      <c r="F436" s="15"/>
      <c r="G436" s="1251"/>
      <c r="H436" s="1190"/>
      <c r="I436" s="1190"/>
      <c r="J436" s="1262">
        <f>'alb Note 3 &amp; 3.1 - Expenditure'!A51</f>
        <v>0</v>
      </c>
      <c r="K436" s="280">
        <f>'alb Note 3 &amp; 3.1 - Expenditure'!C51</f>
        <v>0</v>
      </c>
      <c r="L436" s="1185"/>
      <c r="M436" s="252"/>
      <c r="N436" s="273">
        <f t="shared" si="228"/>
        <v>0</v>
      </c>
      <c r="O436" s="12"/>
      <c r="P436" s="12"/>
      <c r="Q436" s="12"/>
      <c r="R436" s="12"/>
      <c r="S436" s="6">
        <f t="shared" si="213"/>
        <v>0</v>
      </c>
      <c r="T436" s="273">
        <f t="shared" si="229"/>
        <v>0</v>
      </c>
      <c r="U436" s="6">
        <f t="shared" si="230"/>
        <v>0</v>
      </c>
      <c r="V436" s="6"/>
      <c r="W436" s="6">
        <f t="shared" si="231"/>
        <v>0</v>
      </c>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X436" s="6"/>
      <c r="AY436" s="6"/>
      <c r="BA436" s="6"/>
      <c r="BB436" s="6"/>
      <c r="BC436" s="6"/>
      <c r="BD436" s="29"/>
      <c r="BE436" s="317"/>
      <c r="BF436" s="317"/>
      <c r="BG436" s="317"/>
      <c r="BH436" s="317"/>
      <c r="BI436" s="317"/>
      <c r="BJ436" s="317"/>
      <c r="BK436" s="29">
        <f t="shared" si="211"/>
        <v>0</v>
      </c>
      <c r="BL436" s="317"/>
      <c r="BM436" s="317"/>
      <c r="BN436" s="317"/>
      <c r="BO436" s="317"/>
      <c r="BP436" s="317"/>
      <c r="BQ436" s="317"/>
      <c r="BR436" s="317"/>
      <c r="BS436" s="317"/>
      <c r="BT436" s="317"/>
      <c r="BU436" s="317"/>
      <c r="BV436" s="317"/>
      <c r="BW436" s="317"/>
      <c r="BX436" s="317"/>
      <c r="BY436" s="317"/>
      <c r="BZ436" s="317"/>
      <c r="CA436" s="317"/>
      <c r="CB436" s="317"/>
      <c r="CC436" s="317"/>
      <c r="CD436" s="317"/>
      <c r="CE436" s="317"/>
      <c r="CF436" s="317"/>
      <c r="CG436" s="317"/>
      <c r="CH436" s="317"/>
      <c r="CI436" s="317"/>
      <c r="CM436" s="1139">
        <v>0</v>
      </c>
      <c r="CN436" s="1139"/>
      <c r="CP436" s="923">
        <f t="shared" si="210"/>
        <v>0</v>
      </c>
      <c r="CZ436" s="330"/>
    </row>
    <row r="437" spans="1:104" ht="18.75" customHeight="1" collapsed="1" x14ac:dyDescent="0.25">
      <c r="A437" s="694">
        <f>MAX($A$6:A436)+1</f>
        <v>437</v>
      </c>
      <c r="B437" s="1299" t="str">
        <f>VLOOKUP(C437,Update!$G$42:$H$101,2,FALSE)</f>
        <v>3c</v>
      </c>
      <c r="C437" s="696" t="str">
        <f>'Note 3b &amp; 3c'!B70</f>
        <v xml:space="preserve">Notional audit costs </v>
      </c>
      <c r="D437" s="698"/>
      <c r="E437" s="696"/>
      <c r="F437" s="697"/>
      <c r="G437" s="697"/>
      <c r="H437" s="695"/>
      <c r="I437" s="695"/>
      <c r="J437" s="698">
        <f>'alb Note 3 &amp; 3.1 - Expenditure'!A52</f>
        <v>0</v>
      </c>
      <c r="K437" s="699">
        <f>'alb Note 3 &amp; 3.1 - Expenditure'!C52</f>
        <v>0</v>
      </c>
      <c r="L437" s="699"/>
      <c r="M437" s="695"/>
      <c r="N437" s="713">
        <f t="shared" si="228"/>
        <v>0</v>
      </c>
      <c r="O437" s="695"/>
      <c r="P437" s="695"/>
      <c r="Q437" s="695"/>
      <c r="R437" s="695"/>
      <c r="S437" s="695">
        <f>-IF(ISNUMBER(BD437),BD437,0)</f>
        <v>0</v>
      </c>
      <c r="T437" s="713">
        <f t="shared" si="229"/>
        <v>0</v>
      </c>
      <c r="U437" s="695">
        <f t="shared" si="230"/>
        <v>0</v>
      </c>
      <c r="V437" s="695"/>
      <c r="W437" s="695">
        <f t="shared" si="231"/>
        <v>0</v>
      </c>
      <c r="X437" s="695"/>
      <c r="Y437" s="695"/>
      <c r="Z437" s="695"/>
      <c r="AA437" s="695"/>
      <c r="AB437" s="695"/>
      <c r="AC437" s="695"/>
      <c r="AD437" s="695"/>
      <c r="AE437" s="695"/>
      <c r="AF437" s="695"/>
      <c r="AG437" s="695"/>
      <c r="AH437" s="695"/>
      <c r="AI437" s="695"/>
      <c r="AJ437" s="695"/>
      <c r="AK437" s="695"/>
      <c r="AL437" s="695"/>
      <c r="AM437" s="695"/>
      <c r="AN437" s="695"/>
      <c r="AO437" s="695"/>
      <c r="AP437" s="695"/>
      <c r="AQ437" s="695"/>
      <c r="AR437" s="695"/>
      <c r="AS437" s="695"/>
      <c r="AT437" s="695"/>
      <c r="AU437" s="695"/>
      <c r="AV437" s="695"/>
      <c r="AW437" s="700"/>
      <c r="AX437" s="700"/>
      <c r="AY437" s="700"/>
      <c r="AZ437" s="700"/>
      <c r="BA437" s="700"/>
      <c r="BB437" s="700"/>
      <c r="BC437" s="700"/>
      <c r="BD437" s="721"/>
      <c r="BE437" s="700"/>
      <c r="BF437" s="700"/>
      <c r="BG437" s="700"/>
      <c r="BH437" s="700"/>
      <c r="BI437" s="700"/>
      <c r="BJ437" s="700"/>
      <c r="BK437" s="721">
        <f>ROUND(SUM(BO437:CI437),0)</f>
        <v>0</v>
      </c>
      <c r="BL437" s="700"/>
      <c r="BM437" s="700"/>
      <c r="BN437" s="700"/>
      <c r="BO437" s="700"/>
      <c r="BP437" s="700"/>
      <c r="BQ437" s="700"/>
      <c r="BR437" s="700"/>
      <c r="BS437" s="700"/>
      <c r="BT437" s="700"/>
      <c r="BU437" s="700"/>
      <c r="BV437" s="700"/>
      <c r="BW437" s="700"/>
      <c r="BX437" s="700"/>
      <c r="BY437" s="700"/>
      <c r="BZ437" s="700"/>
      <c r="CA437" s="700"/>
      <c r="CB437" s="700"/>
      <c r="CC437" s="700"/>
      <c r="CD437" s="700"/>
      <c r="CE437" s="700"/>
      <c r="CF437" s="700"/>
      <c r="CG437" s="700"/>
      <c r="CH437" s="700"/>
      <c r="CI437" s="700"/>
      <c r="CJ437" s="700"/>
      <c r="CK437" s="700"/>
      <c r="CM437" s="700">
        <v>0</v>
      </c>
      <c r="CN437" s="700"/>
      <c r="CP437" s="923">
        <f t="shared" si="210"/>
        <v>0</v>
      </c>
      <c r="CZ437" s="330"/>
    </row>
    <row r="438" spans="1:104" ht="15" customHeight="1" x14ac:dyDescent="0.25">
      <c r="A438" s="684">
        <f>MAX($A$6:A437)+1</f>
        <v>438</v>
      </c>
      <c r="B438" s="3" t="str">
        <f t="shared" si="220"/>
        <v>3c</v>
      </c>
      <c r="C438" s="11" t="str">
        <f>$C$437</f>
        <v xml:space="preserve">Notional audit costs </v>
      </c>
      <c r="D438" s="11"/>
      <c r="E438" s="7" t="s">
        <v>476</v>
      </c>
      <c r="F438" s="15"/>
      <c r="G438" s="7" t="s">
        <v>476</v>
      </c>
      <c r="H438" s="6">
        <v>0</v>
      </c>
      <c r="I438" s="260"/>
      <c r="J438" s="7" t="s">
        <v>476</v>
      </c>
      <c r="K438" s="251">
        <f>SUMIF('alb Note 3 &amp; 3.1 - Expenditure'!$A:$A,$J438,'alb Note 3 &amp; 3.1 - Expenditure'!$C:$C)</f>
        <v>0</v>
      </c>
      <c r="L438" s="1185"/>
      <c r="M438" s="252"/>
      <c r="N438" s="273">
        <f t="shared" si="228"/>
        <v>0</v>
      </c>
      <c r="O438" s="12"/>
      <c r="P438" s="12"/>
      <c r="Q438" s="12"/>
      <c r="R438" s="12"/>
      <c r="S438" s="6">
        <f>-IF(ISNUMBER(BD438),BD438,0)</f>
        <v>0</v>
      </c>
      <c r="T438" s="273">
        <f t="shared" si="229"/>
        <v>0</v>
      </c>
      <c r="U438" s="6">
        <f t="shared" si="230"/>
        <v>0</v>
      </c>
      <c r="V438" s="6"/>
      <c r="W438" s="6">
        <f t="shared" si="231"/>
        <v>0</v>
      </c>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X438" s="6"/>
      <c r="AY438" s="6"/>
      <c r="BA438" s="6"/>
      <c r="BB438" s="6"/>
      <c r="BC438" s="6"/>
      <c r="BD438" s="29">
        <f t="shared" ref="BD438:BD459" si="233">ROUND(SUM(BE438:BK438),0)</f>
        <v>0</v>
      </c>
      <c r="BE438" s="317"/>
      <c r="BF438" s="317"/>
      <c r="BG438" s="317"/>
      <c r="BH438" s="317"/>
      <c r="BI438" s="317"/>
      <c r="BJ438" s="317"/>
      <c r="BK438" s="29">
        <f>ROUND(SUM(BO438:CI438),0)</f>
        <v>0</v>
      </c>
      <c r="BL438" s="317"/>
      <c r="BM438" s="317"/>
      <c r="BN438" s="317"/>
      <c r="BO438" s="317"/>
      <c r="BP438" s="317"/>
      <c r="BQ438" s="317"/>
      <c r="BR438" s="317"/>
      <c r="BS438" s="317"/>
      <c r="BT438" s="317"/>
      <c r="BU438" s="317"/>
      <c r="BV438" s="317"/>
      <c r="BW438" s="317"/>
      <c r="BX438" s="317"/>
      <c r="BY438" s="317"/>
      <c r="BZ438" s="317"/>
      <c r="CA438" s="317"/>
      <c r="CB438" s="317"/>
      <c r="CC438" s="317"/>
      <c r="CD438" s="317"/>
      <c r="CE438" s="317"/>
      <c r="CF438" s="317"/>
      <c r="CG438" s="317"/>
      <c r="CH438" s="317"/>
      <c r="CI438" s="317"/>
      <c r="CM438" s="1139">
        <v>0</v>
      </c>
      <c r="CN438" s="1139">
        <v>0</v>
      </c>
      <c r="CP438" s="923">
        <f t="shared" si="210"/>
        <v>0</v>
      </c>
      <c r="CZ438" s="330"/>
    </row>
    <row r="439" spans="1:104" ht="31.5" customHeight="1" x14ac:dyDescent="0.25">
      <c r="A439" s="684">
        <f>MAX($A$6:A438)+1</f>
        <v>439</v>
      </c>
      <c r="B439" s="3" t="str">
        <f t="shared" si="220"/>
        <v>3c</v>
      </c>
      <c r="C439" s="11" t="str">
        <f>$C$437</f>
        <v xml:space="preserve">Notional audit costs </v>
      </c>
      <c r="D439" s="11"/>
      <c r="E439" s="7" t="s">
        <v>2457</v>
      </c>
      <c r="F439" s="15"/>
      <c r="G439" s="7" t="s">
        <v>2457</v>
      </c>
      <c r="H439" s="6">
        <v>0</v>
      </c>
      <c r="I439" s="260"/>
      <c r="J439" s="7" t="s">
        <v>2457</v>
      </c>
      <c r="K439" s="251">
        <f>SUMIF('alb Note 3 &amp; 3.1 - Expenditure'!$A:$A,$J439,'alb Note 3 &amp; 3.1 - Expenditure'!$C:$C)</f>
        <v>0</v>
      </c>
      <c r="L439" s="1185"/>
      <c r="M439" s="252"/>
      <c r="N439" s="273">
        <f t="shared" si="228"/>
        <v>0</v>
      </c>
      <c r="O439" s="12"/>
      <c r="P439" s="12"/>
      <c r="Q439" s="12"/>
      <c r="R439" s="12"/>
      <c r="S439" s="6">
        <f>-IF(ISNUMBER(BD439),BD439,0)</f>
        <v>0</v>
      </c>
      <c r="T439" s="273">
        <f t="shared" si="229"/>
        <v>0</v>
      </c>
      <c r="U439" s="6">
        <f t="shared" si="230"/>
        <v>0</v>
      </c>
      <c r="V439" s="6"/>
      <c r="W439" s="6">
        <f>+H439</f>
        <v>0</v>
      </c>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X439" s="6"/>
      <c r="AY439" s="6"/>
      <c r="BA439" s="6"/>
      <c r="BB439" s="6"/>
      <c r="BC439" s="6"/>
      <c r="BD439" s="29">
        <f>ROUND(SUM(BE439:BK439),0)</f>
        <v>0</v>
      </c>
      <c r="BE439" s="317"/>
      <c r="BF439" s="317"/>
      <c r="BG439" s="317"/>
      <c r="BH439" s="317"/>
      <c r="BI439" s="317"/>
      <c r="BJ439" s="317"/>
      <c r="BK439" s="29">
        <f>ROUND(SUM(BO439:CI439),0)</f>
        <v>0</v>
      </c>
      <c r="BL439" s="317"/>
      <c r="BM439" s="317"/>
      <c r="BN439" s="317"/>
      <c r="BO439" s="317"/>
      <c r="BP439" s="317"/>
      <c r="BQ439" s="317"/>
      <c r="BR439" s="317"/>
      <c r="BS439" s="317"/>
      <c r="BT439" s="317"/>
      <c r="BU439" s="317"/>
      <c r="BV439" s="317"/>
      <c r="BW439" s="317"/>
      <c r="BX439" s="317"/>
      <c r="BY439" s="317"/>
      <c r="BZ439" s="317"/>
      <c r="CA439" s="317"/>
      <c r="CB439" s="317"/>
      <c r="CC439" s="317"/>
      <c r="CD439" s="317"/>
      <c r="CE439" s="317"/>
      <c r="CF439" s="317"/>
      <c r="CG439" s="317"/>
      <c r="CH439" s="317"/>
      <c r="CI439" s="317"/>
      <c r="CM439" s="1139">
        <v>0</v>
      </c>
      <c r="CN439" s="1139">
        <v>0</v>
      </c>
      <c r="CP439" s="923">
        <f t="shared" si="210"/>
        <v>0</v>
      </c>
      <c r="CZ439" s="330"/>
    </row>
    <row r="440" spans="1:104" ht="15" customHeight="1" x14ac:dyDescent="0.25">
      <c r="A440" s="684">
        <f>MAX($A$6:A439)+1</f>
        <v>440</v>
      </c>
      <c r="B440" s="3" t="str">
        <f>B438</f>
        <v>3c</v>
      </c>
      <c r="C440" s="11" t="str">
        <f t="shared" ref="C440:C459" si="234">$C$437</f>
        <v xml:space="preserve">Notional audit costs </v>
      </c>
      <c r="D440" s="11"/>
      <c r="E440" s="7" t="s">
        <v>5</v>
      </c>
      <c r="F440" s="15"/>
      <c r="G440" s="7" t="s">
        <v>5</v>
      </c>
      <c r="H440" s="6">
        <v>0</v>
      </c>
      <c r="I440" s="260"/>
      <c r="J440" s="7" t="s">
        <v>5</v>
      </c>
      <c r="K440" s="1185">
        <f>SUMIF('alb Note 3 &amp; 3.1 - Expenditure'!$A:$A,$J440,'alb Note 3 &amp; 3.1 - Expenditure'!$C:$C)</f>
        <v>0</v>
      </c>
      <c r="L440" s="1185"/>
      <c r="M440" s="252"/>
      <c r="N440" s="273">
        <f t="shared" ref="N440:N459" si="235">ROUND(SUM(O440:S440)+SUM(W440:AV440),0)</f>
        <v>0</v>
      </c>
      <c r="O440" s="12"/>
      <c r="P440" s="12"/>
      <c r="Q440" s="12"/>
      <c r="R440" s="12"/>
      <c r="S440" s="6">
        <f t="shared" ref="S440:S459" si="236">-IF(ISNUMBER(BD440),BD440,0)</f>
        <v>0</v>
      </c>
      <c r="T440" s="273">
        <f t="shared" ref="T440:T459" si="237">ROUND(SUM(U440:Y440),0)</f>
        <v>0</v>
      </c>
      <c r="U440" s="6">
        <f t="shared" ref="U440:U459" si="238">SUM(BL440:BN440)</f>
        <v>0</v>
      </c>
      <c r="V440" s="6"/>
      <c r="W440" s="6">
        <f t="shared" si="231"/>
        <v>0</v>
      </c>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X440" s="6"/>
      <c r="AY440" s="6"/>
      <c r="BA440" s="6"/>
      <c r="BB440" s="6"/>
      <c r="BC440" s="6"/>
      <c r="BD440" s="29">
        <f t="shared" si="233"/>
        <v>0</v>
      </c>
      <c r="BE440" s="317"/>
      <c r="BF440" s="317"/>
      <c r="BG440" s="317"/>
      <c r="BH440" s="317"/>
      <c r="BI440" s="317"/>
      <c r="BJ440" s="317"/>
      <c r="BK440" s="29">
        <f t="shared" ref="BK440:BK459" si="239">ROUND(SUM(BO440:CI440),0)</f>
        <v>0</v>
      </c>
      <c r="BL440" s="317"/>
      <c r="BM440" s="317"/>
      <c r="BN440" s="317"/>
      <c r="BO440" s="317"/>
      <c r="BP440" s="317"/>
      <c r="BQ440" s="317"/>
      <c r="BR440" s="317"/>
      <c r="BS440" s="317"/>
      <c r="BT440" s="317"/>
      <c r="BU440" s="317"/>
      <c r="BV440" s="317"/>
      <c r="BW440" s="317"/>
      <c r="BX440" s="317"/>
      <c r="BY440" s="317"/>
      <c r="BZ440" s="317"/>
      <c r="CA440" s="317"/>
      <c r="CB440" s="317"/>
      <c r="CC440" s="317"/>
      <c r="CD440" s="317"/>
      <c r="CE440" s="317"/>
      <c r="CF440" s="317"/>
      <c r="CG440" s="317"/>
      <c r="CH440" s="317"/>
      <c r="CI440" s="317"/>
      <c r="CM440" s="1139">
        <v>0</v>
      </c>
      <c r="CN440" s="1139">
        <v>0</v>
      </c>
      <c r="CP440" s="923">
        <f t="shared" si="210"/>
        <v>0</v>
      </c>
      <c r="CZ440" s="330"/>
    </row>
    <row r="441" spans="1:104" ht="15" customHeight="1" x14ac:dyDescent="0.25">
      <c r="A441" s="701">
        <f>MAX($A$6:A440)+1</f>
        <v>441</v>
      </c>
      <c r="B441" s="1291" t="str">
        <f t="shared" si="220"/>
        <v>3c</v>
      </c>
      <c r="C441" s="18" t="str">
        <f t="shared" si="234"/>
        <v xml:space="preserve">Notional audit costs </v>
      </c>
      <c r="D441" s="255"/>
      <c r="E441" s="1258" t="s">
        <v>2376</v>
      </c>
      <c r="F441" s="20"/>
      <c r="G441" s="1258" t="s">
        <v>2376</v>
      </c>
      <c r="H441" s="14">
        <v>0</v>
      </c>
      <c r="I441" s="14"/>
      <c r="J441" s="1258" t="s">
        <v>2376</v>
      </c>
      <c r="K441" s="14">
        <f>SUMIF('alb Note 3 &amp; 3.1 - Expenditure'!$A:$A,$J441,'alb Note 3 &amp; 3.1 - Expenditure'!$C:$C)</f>
        <v>0</v>
      </c>
      <c r="L441" s="14"/>
      <c r="M441" s="21"/>
      <c r="N441" s="14">
        <f t="shared" si="235"/>
        <v>0</v>
      </c>
      <c r="O441" s="14">
        <f>SUM(O438:O440)</f>
        <v>0</v>
      </c>
      <c r="P441" s="14">
        <f t="shared" ref="P441:R441" si="240">SUM(P438:P440)</f>
        <v>0</v>
      </c>
      <c r="Q441" s="14">
        <f t="shared" si="240"/>
        <v>0</v>
      </c>
      <c r="R441" s="14">
        <f t="shared" si="240"/>
        <v>0</v>
      </c>
      <c r="S441" s="14">
        <f t="shared" si="236"/>
        <v>0</v>
      </c>
      <c r="T441" s="14">
        <f>ROUND(SUM(U441:Y441),0)</f>
        <v>0</v>
      </c>
      <c r="U441" s="14">
        <f>SUM(BL441:BN441)</f>
        <v>0</v>
      </c>
      <c r="V441" s="14">
        <f>SUM(V438:V440)</f>
        <v>0</v>
      </c>
      <c r="W441" s="14">
        <f t="shared" si="231"/>
        <v>0</v>
      </c>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2"/>
      <c r="AX441" s="14"/>
      <c r="AY441" s="14"/>
      <c r="AZ441" s="2"/>
      <c r="BA441" s="14"/>
      <c r="BB441" s="14"/>
      <c r="BC441" s="14"/>
      <c r="BD441" s="14">
        <f t="shared" si="233"/>
        <v>0</v>
      </c>
      <c r="BE441" s="318"/>
      <c r="BF441" s="318"/>
      <c r="BG441" s="318"/>
      <c r="BH441" s="318"/>
      <c r="BI441" s="318"/>
      <c r="BJ441" s="318"/>
      <c r="BK441" s="14">
        <f t="shared" si="239"/>
        <v>0</v>
      </c>
      <c r="BL441" s="318"/>
      <c r="BM441" s="318"/>
      <c r="BN441" s="318"/>
      <c r="BO441" s="318"/>
      <c r="BP441" s="318"/>
      <c r="BQ441" s="318"/>
      <c r="BR441" s="318"/>
      <c r="BS441" s="318"/>
      <c r="BT441" s="318"/>
      <c r="BU441" s="318"/>
      <c r="BV441" s="318"/>
      <c r="BW441" s="318"/>
      <c r="BX441" s="318"/>
      <c r="BY441" s="318"/>
      <c r="BZ441" s="318"/>
      <c r="CA441" s="318"/>
      <c r="CB441" s="318"/>
      <c r="CC441" s="318"/>
      <c r="CD441" s="318"/>
      <c r="CE441" s="318"/>
      <c r="CF441" s="318"/>
      <c r="CG441" s="318"/>
      <c r="CH441" s="318"/>
      <c r="CI441" s="318"/>
      <c r="CJ441" s="2"/>
      <c r="CK441" s="2"/>
      <c r="CM441" s="1140">
        <v>0</v>
      </c>
      <c r="CN441" s="1140">
        <v>0</v>
      </c>
      <c r="CP441" s="923">
        <f t="shared" si="210"/>
        <v>0</v>
      </c>
      <c r="CZ441" s="330"/>
    </row>
    <row r="442" spans="1:104" ht="30" customHeight="1" x14ac:dyDescent="0.25">
      <c r="A442" s="684">
        <f>MAX($A$6:A441)+1</f>
        <v>442</v>
      </c>
      <c r="B442" s="3" t="str">
        <f t="shared" si="220"/>
        <v>3c</v>
      </c>
      <c r="C442" s="11" t="str">
        <f t="shared" si="234"/>
        <v xml:space="preserve">Notional audit costs </v>
      </c>
      <c r="D442" s="11"/>
      <c r="E442" s="7" t="s">
        <v>2377</v>
      </c>
      <c r="F442" s="15"/>
      <c r="G442" s="7" t="s">
        <v>2377</v>
      </c>
      <c r="H442" s="1471">
        <v>0</v>
      </c>
      <c r="I442" s="1472"/>
      <c r="J442" s="7" t="s">
        <v>2377</v>
      </c>
      <c r="K442" s="1185">
        <f>SUMIF('alb Note 3 &amp; 3.1 - Expenditure'!$A:$A,$J442,'alb Note 3 &amp; 3.1 - Expenditure'!$C:$C)</f>
        <v>0</v>
      </c>
      <c r="L442" s="1185"/>
      <c r="M442" s="252"/>
      <c r="N442" s="273">
        <f t="shared" si="235"/>
        <v>0</v>
      </c>
      <c r="O442" s="12"/>
      <c r="P442" s="12"/>
      <c r="Q442" s="12"/>
      <c r="R442" s="12"/>
      <c r="S442" s="6">
        <f>-IF(ISNUMBER(BD442),BD442,0)</f>
        <v>0</v>
      </c>
      <c r="T442" s="273">
        <f t="shared" si="237"/>
        <v>0</v>
      </c>
      <c r="U442" s="6">
        <f>SUM(BL442:BN442)</f>
        <v>0</v>
      </c>
      <c r="V442" s="6"/>
      <c r="W442" s="6">
        <f t="shared" si="231"/>
        <v>0</v>
      </c>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X442" s="6"/>
      <c r="AY442" s="6"/>
      <c r="BA442" s="6"/>
      <c r="BB442" s="6"/>
      <c r="BC442" s="6"/>
      <c r="BD442" s="29">
        <f t="shared" si="233"/>
        <v>0</v>
      </c>
      <c r="BE442" s="317"/>
      <c r="BF442" s="317"/>
      <c r="BG442" s="317"/>
      <c r="BH442" s="317"/>
      <c r="BI442" s="317"/>
      <c r="BJ442" s="317"/>
      <c r="BK442" s="29">
        <f t="shared" si="239"/>
        <v>0</v>
      </c>
      <c r="BL442" s="317"/>
      <c r="BM442" s="317"/>
      <c r="BN442" s="317"/>
      <c r="BO442" s="317"/>
      <c r="BP442" s="317"/>
      <c r="BQ442" s="317"/>
      <c r="BR442" s="317"/>
      <c r="BS442" s="317"/>
      <c r="BT442" s="317"/>
      <c r="BU442" s="317"/>
      <c r="BV442" s="317"/>
      <c r="BW442" s="317"/>
      <c r="BX442" s="317"/>
      <c r="BY442" s="317"/>
      <c r="BZ442" s="317"/>
      <c r="CA442" s="317"/>
      <c r="CB442" s="317"/>
      <c r="CC442" s="317"/>
      <c r="CD442" s="317"/>
      <c r="CE442" s="317"/>
      <c r="CF442" s="317"/>
      <c r="CG442" s="317"/>
      <c r="CH442" s="317"/>
      <c r="CI442" s="317"/>
      <c r="CM442" s="1139">
        <v>0</v>
      </c>
      <c r="CN442" s="1139">
        <v>0</v>
      </c>
      <c r="CP442" s="923">
        <f t="shared" si="210"/>
        <v>0</v>
      </c>
      <c r="CZ442" s="330"/>
    </row>
    <row r="443" spans="1:104" ht="15" customHeight="1" x14ac:dyDescent="0.25">
      <c r="A443" s="684">
        <f>MAX($A$6:A442)+1</f>
        <v>443</v>
      </c>
      <c r="B443" s="3" t="str">
        <f t="shared" si="220"/>
        <v>3c</v>
      </c>
      <c r="C443" s="11" t="str">
        <f t="shared" si="234"/>
        <v xml:space="preserve">Notional audit costs </v>
      </c>
      <c r="D443" s="11"/>
      <c r="E443" s="7" t="s">
        <v>25</v>
      </c>
      <c r="F443" s="15"/>
      <c r="G443" s="7" t="s">
        <v>25</v>
      </c>
      <c r="H443" s="1471">
        <v>0</v>
      </c>
      <c r="I443" s="1472"/>
      <c r="J443" s="7" t="s">
        <v>25</v>
      </c>
      <c r="K443" s="1185">
        <f>SUMIF('alb Note 3 &amp; 3.1 - Expenditure'!$A:$A,$J443,'alb Note 3 &amp; 3.1 - Expenditure'!$C:$C)</f>
        <v>0</v>
      </c>
      <c r="L443" s="1185"/>
      <c r="M443" s="252"/>
      <c r="N443" s="273">
        <f t="shared" si="235"/>
        <v>0</v>
      </c>
      <c r="O443" s="12"/>
      <c r="P443" s="12"/>
      <c r="Q443" s="12"/>
      <c r="R443" s="12"/>
      <c r="S443" s="6">
        <f t="shared" si="236"/>
        <v>0</v>
      </c>
      <c r="T443" s="273">
        <f t="shared" si="237"/>
        <v>0</v>
      </c>
      <c r="U443" s="6">
        <f t="shared" si="238"/>
        <v>0</v>
      </c>
      <c r="V443" s="6"/>
      <c r="W443" s="6">
        <f t="shared" si="231"/>
        <v>0</v>
      </c>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X443" s="6"/>
      <c r="AY443" s="6"/>
      <c r="BA443" s="6"/>
      <c r="BB443" s="6"/>
      <c r="BC443" s="6"/>
      <c r="BD443" s="29">
        <f t="shared" si="233"/>
        <v>0</v>
      </c>
      <c r="BE443" s="317"/>
      <c r="BF443" s="317"/>
      <c r="BG443" s="317"/>
      <c r="BH443" s="317"/>
      <c r="BI443" s="317"/>
      <c r="BJ443" s="317"/>
      <c r="BK443" s="29">
        <f t="shared" si="239"/>
        <v>0</v>
      </c>
      <c r="BL443" s="317"/>
      <c r="BM443" s="317"/>
      <c r="BN443" s="317"/>
      <c r="BO443" s="317"/>
      <c r="BP443" s="317"/>
      <c r="BQ443" s="317"/>
      <c r="BR443" s="317"/>
      <c r="BS443" s="317"/>
      <c r="BT443" s="317"/>
      <c r="BU443" s="317"/>
      <c r="BV443" s="317"/>
      <c r="BW443" s="317"/>
      <c r="BX443" s="317"/>
      <c r="BY443" s="317"/>
      <c r="BZ443" s="317"/>
      <c r="CA443" s="317"/>
      <c r="CB443" s="317"/>
      <c r="CC443" s="317"/>
      <c r="CD443" s="317"/>
      <c r="CE443" s="317"/>
      <c r="CF443" s="317"/>
      <c r="CG443" s="317"/>
      <c r="CH443" s="317"/>
      <c r="CI443" s="317"/>
      <c r="CM443" s="1139">
        <v>0</v>
      </c>
      <c r="CN443" s="1139">
        <v>0</v>
      </c>
      <c r="CP443" s="923">
        <f t="shared" si="210"/>
        <v>0</v>
      </c>
      <c r="CZ443" s="330"/>
    </row>
    <row r="444" spans="1:104" ht="30" customHeight="1" x14ac:dyDescent="0.25">
      <c r="A444" s="684">
        <f>MAX($A$6:A443)+1</f>
        <v>444</v>
      </c>
      <c r="B444" s="3" t="str">
        <f t="shared" si="220"/>
        <v>3c</v>
      </c>
      <c r="C444" s="11" t="str">
        <f t="shared" si="234"/>
        <v xml:space="preserve">Notional audit costs </v>
      </c>
      <c r="D444" s="11"/>
      <c r="E444" s="7" t="s">
        <v>2501</v>
      </c>
      <c r="F444" s="15"/>
      <c r="G444" s="7" t="s">
        <v>2501</v>
      </c>
      <c r="H444" s="1471">
        <v>0</v>
      </c>
      <c r="I444" s="1472"/>
      <c r="J444" s="7" t="s">
        <v>2501</v>
      </c>
      <c r="K444" s="1185">
        <f>SUMIF('alb Note 3 &amp; 3.1 - Expenditure'!$A:$A,$J444,'alb Note 3 &amp; 3.1 - Expenditure'!$C:$C)</f>
        <v>0</v>
      </c>
      <c r="L444" s="1185"/>
      <c r="M444" s="252"/>
      <c r="N444" s="273">
        <f>ROUND(SUM(O444:S444)+SUM(W444:AV444),0)</f>
        <v>0</v>
      </c>
      <c r="O444" s="12"/>
      <c r="P444" s="12"/>
      <c r="Q444" s="12"/>
      <c r="R444" s="12"/>
      <c r="S444" s="6">
        <f>-IF(ISNUMBER(BD444),BD444,0)</f>
        <v>0</v>
      </c>
      <c r="T444" s="273">
        <f>ROUND(SUM(U444:Y444),0)</f>
        <v>0</v>
      </c>
      <c r="U444" s="6">
        <f>SUM(BL444:BN444)</f>
        <v>0</v>
      </c>
      <c r="V444" s="6"/>
      <c r="W444" s="6">
        <f>+H444</f>
        <v>0</v>
      </c>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X444" s="6"/>
      <c r="AY444" s="6"/>
      <c r="BA444" s="6"/>
      <c r="BB444" s="6"/>
      <c r="BC444" s="6"/>
      <c r="BD444" s="29">
        <f>ROUND(SUM(BE444:BK444),0)</f>
        <v>0</v>
      </c>
      <c r="BE444" s="317"/>
      <c r="BF444" s="317"/>
      <c r="BG444" s="317"/>
      <c r="BH444" s="317"/>
      <c r="BI444" s="317"/>
      <c r="BJ444" s="317"/>
      <c r="BK444" s="29">
        <f>ROUND(SUM(BO444:CI444),0)</f>
        <v>0</v>
      </c>
      <c r="BL444" s="317"/>
      <c r="BM444" s="317"/>
      <c r="BN444" s="317"/>
      <c r="BO444" s="317"/>
      <c r="BP444" s="317"/>
      <c r="BQ444" s="317"/>
      <c r="BR444" s="317"/>
      <c r="BS444" s="317"/>
      <c r="BT444" s="317"/>
      <c r="BU444" s="317"/>
      <c r="BV444" s="317"/>
      <c r="BW444" s="317"/>
      <c r="BX444" s="317"/>
      <c r="BY444" s="317"/>
      <c r="BZ444" s="317"/>
      <c r="CA444" s="317"/>
      <c r="CB444" s="317"/>
      <c r="CC444" s="317"/>
      <c r="CD444" s="317"/>
      <c r="CE444" s="317"/>
      <c r="CF444" s="317"/>
      <c r="CG444" s="317"/>
      <c r="CH444" s="317"/>
      <c r="CI444" s="317"/>
      <c r="CM444" s="1139">
        <v>0</v>
      </c>
      <c r="CN444" s="1139">
        <v>0</v>
      </c>
      <c r="CP444" s="923">
        <f t="shared" si="210"/>
        <v>0</v>
      </c>
      <c r="CZ444" s="330"/>
    </row>
    <row r="445" spans="1:104" ht="30" customHeight="1" x14ac:dyDescent="0.25">
      <c r="A445" s="684">
        <f>MAX($A$6:A444)+1</f>
        <v>445</v>
      </c>
      <c r="B445" s="3" t="str">
        <f>B443</f>
        <v>3c</v>
      </c>
      <c r="C445" s="11" t="str">
        <f t="shared" si="234"/>
        <v xml:space="preserve">Notional audit costs </v>
      </c>
      <c r="D445" s="11"/>
      <c r="E445" s="7" t="s">
        <v>2378</v>
      </c>
      <c r="F445" s="15"/>
      <c r="G445" s="7" t="s">
        <v>2378</v>
      </c>
      <c r="H445" s="1471">
        <v>0</v>
      </c>
      <c r="I445" s="1472"/>
      <c r="J445" s="7" t="s">
        <v>2378</v>
      </c>
      <c r="K445" s="1185">
        <f>SUMIF('alb Note 3 &amp; 3.1 - Expenditure'!$A:$A,$J445,'alb Note 3 &amp; 3.1 - Expenditure'!$C:$C)</f>
        <v>0</v>
      </c>
      <c r="L445" s="1185"/>
      <c r="M445" s="252"/>
      <c r="N445" s="273">
        <f t="shared" si="235"/>
        <v>0</v>
      </c>
      <c r="O445" s="12"/>
      <c r="P445" s="12"/>
      <c r="Q445" s="12"/>
      <c r="R445" s="12"/>
      <c r="S445" s="6">
        <f t="shared" si="236"/>
        <v>0</v>
      </c>
      <c r="T445" s="273">
        <f t="shared" si="237"/>
        <v>0</v>
      </c>
      <c r="U445" s="6">
        <f t="shared" si="238"/>
        <v>0</v>
      </c>
      <c r="V445" s="6"/>
      <c r="W445" s="6">
        <f t="shared" si="231"/>
        <v>0</v>
      </c>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X445" s="6"/>
      <c r="AY445" s="6"/>
      <c r="BA445" s="6"/>
      <c r="BB445" s="6"/>
      <c r="BC445" s="6"/>
      <c r="BD445" s="29">
        <f t="shared" si="233"/>
        <v>0</v>
      </c>
      <c r="BE445" s="317"/>
      <c r="BF445" s="317"/>
      <c r="BG445" s="317"/>
      <c r="BH445" s="317"/>
      <c r="BI445" s="317"/>
      <c r="BJ445" s="317"/>
      <c r="BK445" s="29">
        <f t="shared" si="239"/>
        <v>0</v>
      </c>
      <c r="BL445" s="317"/>
      <c r="BM445" s="317"/>
      <c r="BN445" s="317"/>
      <c r="BO445" s="317"/>
      <c r="BP445" s="317"/>
      <c r="BQ445" s="317"/>
      <c r="BR445" s="317"/>
      <c r="BS445" s="317"/>
      <c r="BT445" s="317"/>
      <c r="BU445" s="317"/>
      <c r="BV445" s="317"/>
      <c r="BW445" s="317"/>
      <c r="BX445" s="317"/>
      <c r="BY445" s="317"/>
      <c r="BZ445" s="317"/>
      <c r="CA445" s="317"/>
      <c r="CB445" s="317"/>
      <c r="CC445" s="317"/>
      <c r="CD445" s="317"/>
      <c r="CE445" s="317"/>
      <c r="CF445" s="317"/>
      <c r="CG445" s="317"/>
      <c r="CH445" s="317"/>
      <c r="CI445" s="317"/>
      <c r="CM445" s="1139">
        <v>0</v>
      </c>
      <c r="CN445" s="1139">
        <v>0</v>
      </c>
      <c r="CP445" s="923">
        <f t="shared" si="210"/>
        <v>0</v>
      </c>
      <c r="CZ445" s="330"/>
    </row>
    <row r="446" spans="1:104" ht="30" customHeight="1" x14ac:dyDescent="0.25">
      <c r="A446" s="684">
        <f>MAX($A$6:A445)+1</f>
        <v>446</v>
      </c>
      <c r="B446" s="3" t="str">
        <f t="shared" si="220"/>
        <v>3c</v>
      </c>
      <c r="C446" s="11" t="str">
        <f t="shared" si="234"/>
        <v xml:space="preserve">Notional audit costs </v>
      </c>
      <c r="D446" s="11"/>
      <c r="E446" s="7" t="s">
        <v>2379</v>
      </c>
      <c r="F446" s="15"/>
      <c r="G446" s="7" t="s">
        <v>2379</v>
      </c>
      <c r="H446" s="1471">
        <v>0</v>
      </c>
      <c r="I446" s="1472"/>
      <c r="J446" s="7" t="s">
        <v>2379</v>
      </c>
      <c r="K446" s="1185">
        <f>SUMIF('alb Note 3 &amp; 3.1 - Expenditure'!$A:$A,$J446,'alb Note 3 &amp; 3.1 - Expenditure'!$C:$C)</f>
        <v>0</v>
      </c>
      <c r="L446" s="1185"/>
      <c r="M446" s="252"/>
      <c r="N446" s="273">
        <f t="shared" si="235"/>
        <v>0</v>
      </c>
      <c r="O446" s="12"/>
      <c r="P446" s="12"/>
      <c r="Q446" s="12"/>
      <c r="R446" s="12"/>
      <c r="S446" s="6">
        <f t="shared" si="236"/>
        <v>0</v>
      </c>
      <c r="T446" s="273">
        <f t="shared" si="237"/>
        <v>0</v>
      </c>
      <c r="U446" s="6">
        <f t="shared" si="238"/>
        <v>0</v>
      </c>
      <c r="V446" s="6"/>
      <c r="W446" s="6">
        <f t="shared" si="231"/>
        <v>0</v>
      </c>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X446" s="6"/>
      <c r="AY446" s="6"/>
      <c r="BA446" s="6"/>
      <c r="BB446" s="6"/>
      <c r="BC446" s="6"/>
      <c r="BD446" s="29">
        <f t="shared" si="233"/>
        <v>0</v>
      </c>
      <c r="BE446" s="317"/>
      <c r="BF446" s="317"/>
      <c r="BG446" s="317"/>
      <c r="BH446" s="317"/>
      <c r="BI446" s="317"/>
      <c r="BJ446" s="317"/>
      <c r="BK446" s="29">
        <f t="shared" si="239"/>
        <v>0</v>
      </c>
      <c r="BL446" s="317"/>
      <c r="BM446" s="317"/>
      <c r="BN446" s="317"/>
      <c r="BO446" s="317"/>
      <c r="BP446" s="317"/>
      <c r="BQ446" s="317"/>
      <c r="BR446" s="317"/>
      <c r="BS446" s="317"/>
      <c r="BT446" s="317"/>
      <c r="BU446" s="317"/>
      <c r="BV446" s="317"/>
      <c r="BW446" s="317"/>
      <c r="BX446" s="317"/>
      <c r="BY446" s="317"/>
      <c r="BZ446" s="317"/>
      <c r="CA446" s="317"/>
      <c r="CB446" s="317"/>
      <c r="CC446" s="317"/>
      <c r="CD446" s="317"/>
      <c r="CE446" s="317"/>
      <c r="CF446" s="317"/>
      <c r="CG446" s="317"/>
      <c r="CH446" s="317"/>
      <c r="CI446" s="317"/>
      <c r="CM446" s="1139">
        <v>0</v>
      </c>
      <c r="CN446" s="1139">
        <v>0</v>
      </c>
      <c r="CP446" s="923">
        <f t="shared" si="210"/>
        <v>0</v>
      </c>
      <c r="CZ446" s="330"/>
    </row>
    <row r="447" spans="1:104" ht="30" customHeight="1" x14ac:dyDescent="0.25">
      <c r="A447" s="684">
        <f>MAX($A$6:A446)+1</f>
        <v>447</v>
      </c>
      <c r="B447" s="3" t="str">
        <f t="shared" si="220"/>
        <v>3c</v>
      </c>
      <c r="C447" s="11" t="str">
        <f t="shared" si="234"/>
        <v xml:space="preserve">Notional audit costs </v>
      </c>
      <c r="D447" s="11"/>
      <c r="E447" s="7" t="s">
        <v>2380</v>
      </c>
      <c r="F447" s="15"/>
      <c r="G447" s="7" t="s">
        <v>2380</v>
      </c>
      <c r="H447" s="1471">
        <v>0</v>
      </c>
      <c r="I447" s="1472"/>
      <c r="J447" s="7" t="s">
        <v>2380</v>
      </c>
      <c r="K447" s="1185">
        <f>SUMIF('alb Note 3 &amp; 3.1 - Expenditure'!$A:$A,$J447,'alb Note 3 &amp; 3.1 - Expenditure'!$C:$C)</f>
        <v>0</v>
      </c>
      <c r="L447" s="1185"/>
      <c r="M447" s="252"/>
      <c r="N447" s="273">
        <f t="shared" si="235"/>
        <v>0</v>
      </c>
      <c r="O447" s="12"/>
      <c r="P447" s="12"/>
      <c r="Q447" s="12"/>
      <c r="R447" s="12"/>
      <c r="S447" s="6">
        <f t="shared" si="236"/>
        <v>0</v>
      </c>
      <c r="T447" s="273">
        <f t="shared" si="237"/>
        <v>0</v>
      </c>
      <c r="U447" s="6">
        <f t="shared" si="238"/>
        <v>0</v>
      </c>
      <c r="V447" s="6"/>
      <c r="W447" s="6">
        <f t="shared" si="231"/>
        <v>0</v>
      </c>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X447" s="6"/>
      <c r="AY447" s="6"/>
      <c r="BA447" s="6"/>
      <c r="BB447" s="6"/>
      <c r="BC447" s="6"/>
      <c r="BD447" s="29">
        <f t="shared" si="233"/>
        <v>0</v>
      </c>
      <c r="BE447" s="317"/>
      <c r="BF447" s="317"/>
      <c r="BG447" s="317"/>
      <c r="BH447" s="317"/>
      <c r="BI447" s="317"/>
      <c r="BJ447" s="317"/>
      <c r="BK447" s="29">
        <f t="shared" si="239"/>
        <v>0</v>
      </c>
      <c r="BL447" s="317"/>
      <c r="BM447" s="317"/>
      <c r="BN447" s="317"/>
      <c r="BO447" s="317"/>
      <c r="BP447" s="317"/>
      <c r="BQ447" s="317"/>
      <c r="BR447" s="317"/>
      <c r="BS447" s="317"/>
      <c r="BT447" s="317"/>
      <c r="BU447" s="317"/>
      <c r="BV447" s="317"/>
      <c r="BW447" s="317"/>
      <c r="BX447" s="317"/>
      <c r="BY447" s="317"/>
      <c r="BZ447" s="317"/>
      <c r="CA447" s="317"/>
      <c r="CB447" s="317"/>
      <c r="CC447" s="317"/>
      <c r="CD447" s="317"/>
      <c r="CE447" s="317"/>
      <c r="CF447" s="317"/>
      <c r="CG447" s="317"/>
      <c r="CH447" s="317"/>
      <c r="CI447" s="317"/>
      <c r="CM447" s="1139">
        <v>0</v>
      </c>
      <c r="CN447" s="1139">
        <v>0</v>
      </c>
      <c r="CP447" s="923">
        <f t="shared" si="210"/>
        <v>0</v>
      </c>
      <c r="CZ447" s="330"/>
    </row>
    <row r="448" spans="1:104" ht="30" customHeight="1" x14ac:dyDescent="0.25">
      <c r="A448" s="684">
        <f>MAX($A$6:A447)+1</f>
        <v>448</v>
      </c>
      <c r="B448" s="3" t="str">
        <f t="shared" si="220"/>
        <v>3c</v>
      </c>
      <c r="C448" s="11" t="str">
        <f t="shared" si="234"/>
        <v xml:space="preserve">Notional audit costs </v>
      </c>
      <c r="D448" s="11"/>
      <c r="E448" s="7" t="s">
        <v>2446</v>
      </c>
      <c r="F448" s="15"/>
      <c r="G448" s="7" t="s">
        <v>2446</v>
      </c>
      <c r="H448" s="1471">
        <v>0</v>
      </c>
      <c r="I448" s="1472"/>
      <c r="J448" s="7" t="s">
        <v>2446</v>
      </c>
      <c r="K448" s="1185">
        <f>SUMIF('alb Note 3 &amp; 3.1 - Expenditure'!$A:$A,$J448,'alb Note 3 &amp; 3.1 - Expenditure'!$C:$C)</f>
        <v>0</v>
      </c>
      <c r="L448" s="1185"/>
      <c r="M448" s="252"/>
      <c r="N448" s="273">
        <f t="shared" si="235"/>
        <v>0</v>
      </c>
      <c r="O448" s="12"/>
      <c r="P448" s="12"/>
      <c r="Q448" s="12"/>
      <c r="R448" s="12"/>
      <c r="S448" s="6">
        <f t="shared" si="236"/>
        <v>0</v>
      </c>
      <c r="T448" s="273">
        <f t="shared" si="237"/>
        <v>0</v>
      </c>
      <c r="U448" s="6">
        <f t="shared" si="238"/>
        <v>0</v>
      </c>
      <c r="V448" s="6"/>
      <c r="W448" s="6">
        <f t="shared" si="231"/>
        <v>0</v>
      </c>
      <c r="X448" s="6"/>
      <c r="Y448" s="6"/>
      <c r="Z448" s="6"/>
      <c r="AA448" s="6"/>
      <c r="AB448" s="6"/>
      <c r="AC448" s="6"/>
      <c r="AD448" s="6"/>
      <c r="AE448" s="6"/>
      <c r="AF448" s="1185"/>
      <c r="AG448" s="6"/>
      <c r="AH448" s="6"/>
      <c r="AI448" s="6"/>
      <c r="AJ448" s="6"/>
      <c r="AK448" s="6"/>
      <c r="AL448" s="6"/>
      <c r="AM448" s="6"/>
      <c r="AN448" s="6"/>
      <c r="AO448" s="6"/>
      <c r="AP448" s="6"/>
      <c r="AQ448" s="6"/>
      <c r="AR448" s="6"/>
      <c r="AS448" s="6"/>
      <c r="AT448" s="6"/>
      <c r="AU448" s="6"/>
      <c r="AV448" s="6"/>
      <c r="AX448" s="6"/>
      <c r="AY448" s="6"/>
      <c r="BA448" s="6"/>
      <c r="BB448" s="6"/>
      <c r="BC448" s="6"/>
      <c r="BD448" s="29">
        <f t="shared" si="233"/>
        <v>0</v>
      </c>
      <c r="BE448" s="317"/>
      <c r="BF448" s="317"/>
      <c r="BG448" s="317"/>
      <c r="BH448" s="317"/>
      <c r="BI448" s="317"/>
      <c r="BJ448" s="317"/>
      <c r="BK448" s="29">
        <f t="shared" si="239"/>
        <v>0</v>
      </c>
      <c r="BL448" s="317"/>
      <c r="BM448" s="317"/>
      <c r="BN448" s="317"/>
      <c r="BO448" s="317"/>
      <c r="BP448" s="317"/>
      <c r="BQ448" s="317"/>
      <c r="BR448" s="317"/>
      <c r="BS448" s="317"/>
      <c r="BT448" s="317"/>
      <c r="BU448" s="317"/>
      <c r="BV448" s="317"/>
      <c r="BW448" s="317"/>
      <c r="BX448" s="317"/>
      <c r="BY448" s="317"/>
      <c r="BZ448" s="317"/>
      <c r="CA448" s="317"/>
      <c r="CB448" s="317"/>
      <c r="CC448" s="317"/>
      <c r="CD448" s="317"/>
      <c r="CE448" s="317"/>
      <c r="CF448" s="317"/>
      <c r="CG448" s="317"/>
      <c r="CH448" s="317"/>
      <c r="CI448" s="317"/>
      <c r="CM448" s="1139">
        <v>0</v>
      </c>
      <c r="CN448" s="1139">
        <v>0</v>
      </c>
      <c r="CP448" s="923">
        <f t="shared" si="210"/>
        <v>0</v>
      </c>
      <c r="CZ448" s="330"/>
    </row>
    <row r="449" spans="1:104" ht="30" customHeight="1" x14ac:dyDescent="0.25">
      <c r="A449" s="684">
        <f>MAX($A$6:A448)+1</f>
        <v>449</v>
      </c>
      <c r="B449" s="3" t="str">
        <f t="shared" si="220"/>
        <v>3c</v>
      </c>
      <c r="C449" s="11" t="str">
        <f t="shared" si="234"/>
        <v xml:space="preserve">Notional audit costs </v>
      </c>
      <c r="D449" s="11"/>
      <c r="E449" s="7" t="s">
        <v>2381</v>
      </c>
      <c r="F449" s="15"/>
      <c r="G449" s="7" t="s">
        <v>2381</v>
      </c>
      <c r="H449" s="1471">
        <v>0</v>
      </c>
      <c r="I449" s="1472"/>
      <c r="J449" s="7" t="s">
        <v>2381</v>
      </c>
      <c r="K449" s="1185">
        <f>SUMIF('alb Note 3 &amp; 3.1 - Expenditure'!$A:$A,$J449,'alb Note 3 &amp; 3.1 - Expenditure'!$C:$C)</f>
        <v>0</v>
      </c>
      <c r="L449" s="1185"/>
      <c r="M449" s="252"/>
      <c r="N449" s="273">
        <f t="shared" si="235"/>
        <v>0</v>
      </c>
      <c r="O449" s="12"/>
      <c r="P449" s="12"/>
      <c r="Q449" s="12"/>
      <c r="R449" s="12"/>
      <c r="S449" s="6">
        <f t="shared" si="236"/>
        <v>0</v>
      </c>
      <c r="T449" s="273">
        <f t="shared" si="237"/>
        <v>0</v>
      </c>
      <c r="U449" s="6">
        <f t="shared" si="238"/>
        <v>0</v>
      </c>
      <c r="V449" s="6"/>
      <c r="W449" s="6">
        <f t="shared" si="231"/>
        <v>0</v>
      </c>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X449" s="6"/>
      <c r="AY449" s="6"/>
      <c r="BA449" s="6"/>
      <c r="BB449" s="6"/>
      <c r="BC449" s="6"/>
      <c r="BD449" s="29">
        <f t="shared" si="233"/>
        <v>0</v>
      </c>
      <c r="BE449" s="317"/>
      <c r="BF449" s="317"/>
      <c r="BG449" s="317"/>
      <c r="BH449" s="317"/>
      <c r="BI449" s="317"/>
      <c r="BJ449" s="317"/>
      <c r="BK449" s="29">
        <f t="shared" si="239"/>
        <v>0</v>
      </c>
      <c r="BL449" s="317"/>
      <c r="BM449" s="317"/>
      <c r="BN449" s="317"/>
      <c r="BO449" s="317"/>
      <c r="BP449" s="317"/>
      <c r="BQ449" s="317"/>
      <c r="BR449" s="317"/>
      <c r="BS449" s="317"/>
      <c r="BT449" s="317"/>
      <c r="BU449" s="317"/>
      <c r="BV449" s="317"/>
      <c r="BW449" s="317"/>
      <c r="BX449" s="317"/>
      <c r="BY449" s="317"/>
      <c r="BZ449" s="317"/>
      <c r="CA449" s="317"/>
      <c r="CB449" s="317"/>
      <c r="CC449" s="317"/>
      <c r="CD449" s="317"/>
      <c r="CE449" s="317"/>
      <c r="CF449" s="317"/>
      <c r="CG449" s="317"/>
      <c r="CH449" s="317"/>
      <c r="CI449" s="317"/>
      <c r="CM449" s="1139">
        <v>0</v>
      </c>
      <c r="CN449" s="1139">
        <v>0</v>
      </c>
      <c r="CP449" s="923">
        <f t="shared" si="210"/>
        <v>0</v>
      </c>
      <c r="CZ449" s="330"/>
    </row>
    <row r="450" spans="1:104" ht="45" customHeight="1" x14ac:dyDescent="0.25">
      <c r="A450" s="684">
        <f>MAX($A$6:A449)+1</f>
        <v>450</v>
      </c>
      <c r="B450" s="3" t="str">
        <f t="shared" si="220"/>
        <v>3c</v>
      </c>
      <c r="C450" s="11" t="str">
        <f t="shared" si="234"/>
        <v xml:space="preserve">Notional audit costs </v>
      </c>
      <c r="D450" s="11"/>
      <c r="E450" s="7" t="s">
        <v>2382</v>
      </c>
      <c r="F450" s="15"/>
      <c r="G450" s="7" t="s">
        <v>2382</v>
      </c>
      <c r="H450" s="1471">
        <v>0</v>
      </c>
      <c r="I450" s="1472"/>
      <c r="J450" s="7" t="s">
        <v>2382</v>
      </c>
      <c r="K450" s="1185">
        <f>SUMIF('alb Note 3 &amp; 3.1 - Expenditure'!$A:$A,$J450,'alb Note 3 &amp; 3.1 - Expenditure'!$C:$C)</f>
        <v>0</v>
      </c>
      <c r="L450" s="1185"/>
      <c r="M450" s="252"/>
      <c r="N450" s="273">
        <f t="shared" si="235"/>
        <v>0</v>
      </c>
      <c r="O450" s="12"/>
      <c r="P450" s="12"/>
      <c r="Q450" s="12"/>
      <c r="R450" s="12"/>
      <c r="S450" s="6">
        <f t="shared" si="236"/>
        <v>0</v>
      </c>
      <c r="T450" s="273">
        <f t="shared" si="237"/>
        <v>0</v>
      </c>
      <c r="U450" s="6">
        <f t="shared" si="238"/>
        <v>0</v>
      </c>
      <c r="V450" s="6"/>
      <c r="W450" s="6">
        <f t="shared" si="231"/>
        <v>0</v>
      </c>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X450" s="6"/>
      <c r="AY450" s="6"/>
      <c r="BA450" s="6"/>
      <c r="BB450" s="6"/>
      <c r="BC450" s="6"/>
      <c r="BD450" s="29">
        <f t="shared" si="233"/>
        <v>0</v>
      </c>
      <c r="BE450" s="317"/>
      <c r="BF450" s="317"/>
      <c r="BG450" s="317"/>
      <c r="BH450" s="317"/>
      <c r="BI450" s="317"/>
      <c r="BJ450" s="317"/>
      <c r="BK450" s="29">
        <f t="shared" si="239"/>
        <v>0</v>
      </c>
      <c r="BL450" s="317"/>
      <c r="BM450" s="317"/>
      <c r="BN450" s="317"/>
      <c r="BO450" s="317"/>
      <c r="BP450" s="317"/>
      <c r="BQ450" s="317"/>
      <c r="BR450" s="317"/>
      <c r="BS450" s="317"/>
      <c r="BT450" s="317"/>
      <c r="BU450" s="317"/>
      <c r="BV450" s="317"/>
      <c r="BW450" s="317"/>
      <c r="BX450" s="317"/>
      <c r="BY450" s="317"/>
      <c r="BZ450" s="317"/>
      <c r="CA450" s="317"/>
      <c r="CB450" s="317"/>
      <c r="CC450" s="317"/>
      <c r="CD450" s="317"/>
      <c r="CE450" s="317"/>
      <c r="CF450" s="317"/>
      <c r="CG450" s="317"/>
      <c r="CH450" s="317"/>
      <c r="CI450" s="317"/>
      <c r="CM450" s="1139">
        <v>0</v>
      </c>
      <c r="CN450" s="1139">
        <v>0</v>
      </c>
      <c r="CP450" s="923">
        <f t="shared" si="210"/>
        <v>0</v>
      </c>
      <c r="CZ450" s="330"/>
    </row>
    <row r="451" spans="1:104" ht="30" customHeight="1" x14ac:dyDescent="0.25">
      <c r="A451" s="684">
        <f>MAX($A$6:A450)+1</f>
        <v>451</v>
      </c>
      <c r="B451" s="3" t="str">
        <f t="shared" si="220"/>
        <v>3c</v>
      </c>
      <c r="C451" s="11" t="str">
        <f t="shared" si="234"/>
        <v xml:space="preserve">Notional audit costs </v>
      </c>
      <c r="D451" s="11"/>
      <c r="E451" s="7" t="s">
        <v>2383</v>
      </c>
      <c r="F451" s="15"/>
      <c r="G451" s="7" t="s">
        <v>2383</v>
      </c>
      <c r="H451" s="1471">
        <v>0</v>
      </c>
      <c r="I451" s="1472"/>
      <c r="J451" s="7" t="s">
        <v>2383</v>
      </c>
      <c r="K451" s="1185">
        <f>SUMIF('alb Note 3 &amp; 3.1 - Expenditure'!$A:$A,$J451,'alb Note 3 &amp; 3.1 - Expenditure'!$C:$C)</f>
        <v>0</v>
      </c>
      <c r="L451" s="1185"/>
      <c r="M451" s="252"/>
      <c r="N451" s="273">
        <f t="shared" si="235"/>
        <v>0</v>
      </c>
      <c r="O451" s="12"/>
      <c r="P451" s="12"/>
      <c r="Q451" s="12"/>
      <c r="R451" s="12"/>
      <c r="S451" s="6">
        <f t="shared" si="236"/>
        <v>0</v>
      </c>
      <c r="T451" s="273">
        <f t="shared" si="237"/>
        <v>0</v>
      </c>
      <c r="U451" s="6">
        <f t="shared" si="238"/>
        <v>0</v>
      </c>
      <c r="V451" s="6"/>
      <c r="W451" s="6">
        <f t="shared" si="231"/>
        <v>0</v>
      </c>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X451" s="6"/>
      <c r="AY451" s="6"/>
      <c r="BA451" s="6"/>
      <c r="BB451" s="6"/>
      <c r="BC451" s="6"/>
      <c r="BD451" s="29">
        <f t="shared" si="233"/>
        <v>0</v>
      </c>
      <c r="BE451" s="317"/>
      <c r="BF451" s="317"/>
      <c r="BG451" s="317"/>
      <c r="BH451" s="317"/>
      <c r="BI451" s="317"/>
      <c r="BJ451" s="317"/>
      <c r="BK451" s="29">
        <f t="shared" si="239"/>
        <v>0</v>
      </c>
      <c r="BL451" s="317"/>
      <c r="BM451" s="317"/>
      <c r="BN451" s="317"/>
      <c r="BO451" s="317"/>
      <c r="BP451" s="317"/>
      <c r="BQ451" s="317"/>
      <c r="BR451" s="317"/>
      <c r="BS451" s="317"/>
      <c r="BT451" s="317"/>
      <c r="BU451" s="317"/>
      <c r="BV451" s="317"/>
      <c r="BW451" s="317"/>
      <c r="BX451" s="317"/>
      <c r="BY451" s="317"/>
      <c r="BZ451" s="317"/>
      <c r="CA451" s="317"/>
      <c r="CB451" s="317"/>
      <c r="CC451" s="317"/>
      <c r="CD451" s="317"/>
      <c r="CE451" s="317"/>
      <c r="CF451" s="317"/>
      <c r="CG451" s="317"/>
      <c r="CH451" s="317"/>
      <c r="CI451" s="317"/>
      <c r="CM451" s="1139">
        <v>0</v>
      </c>
      <c r="CN451" s="1139">
        <v>0</v>
      </c>
      <c r="CP451" s="923">
        <f t="shared" si="210"/>
        <v>0</v>
      </c>
      <c r="CZ451" s="330"/>
    </row>
    <row r="452" spans="1:104" ht="15" customHeight="1" x14ac:dyDescent="0.25">
      <c r="A452" s="684">
        <f>MAX($A$6:A451)+1</f>
        <v>452</v>
      </c>
      <c r="B452" s="3" t="str">
        <f t="shared" si="220"/>
        <v>3c</v>
      </c>
      <c r="C452" s="11" t="str">
        <f t="shared" si="234"/>
        <v xml:space="preserve">Notional audit costs </v>
      </c>
      <c r="D452" s="11"/>
      <c r="E452" s="7" t="s">
        <v>27</v>
      </c>
      <c r="F452" s="15"/>
      <c r="G452" s="7" t="s">
        <v>27</v>
      </c>
      <c r="H452" s="1471">
        <v>0</v>
      </c>
      <c r="I452" s="1472"/>
      <c r="J452" s="7" t="s">
        <v>27</v>
      </c>
      <c r="K452" s="1185">
        <f>SUMIF('alb Note 3 &amp; 3.1 - Expenditure'!$A:$A,$J452,'alb Note 3 &amp; 3.1 - Expenditure'!$C:$C)</f>
        <v>0</v>
      </c>
      <c r="L452" s="1185"/>
      <c r="M452" s="252"/>
      <c r="N452" s="273">
        <f t="shared" si="235"/>
        <v>0</v>
      </c>
      <c r="O452" s="12"/>
      <c r="P452" s="12"/>
      <c r="Q452" s="12"/>
      <c r="R452" s="12"/>
      <c r="S452" s="6">
        <f t="shared" si="236"/>
        <v>0</v>
      </c>
      <c r="T452" s="273">
        <f t="shared" si="237"/>
        <v>0</v>
      </c>
      <c r="U452" s="6">
        <f t="shared" si="238"/>
        <v>0</v>
      </c>
      <c r="V452" s="6"/>
      <c r="W452" s="6">
        <f t="shared" si="231"/>
        <v>0</v>
      </c>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X452" s="6"/>
      <c r="AY452" s="6"/>
      <c r="BA452" s="6"/>
      <c r="BB452" s="6"/>
      <c r="BC452" s="6"/>
      <c r="BD452" s="29">
        <f t="shared" si="233"/>
        <v>0</v>
      </c>
      <c r="BE452" s="317"/>
      <c r="BF452" s="317"/>
      <c r="BG452" s="317"/>
      <c r="BH452" s="317"/>
      <c r="BI452" s="317"/>
      <c r="BJ452" s="317"/>
      <c r="BK452" s="29">
        <f t="shared" si="239"/>
        <v>0</v>
      </c>
      <c r="BL452" s="317"/>
      <c r="BM452" s="317"/>
      <c r="BN452" s="317"/>
      <c r="BO452" s="317"/>
      <c r="BP452" s="317"/>
      <c r="BQ452" s="317"/>
      <c r="BR452" s="317"/>
      <c r="BS452" s="317"/>
      <c r="BT452" s="317"/>
      <c r="BU452" s="317"/>
      <c r="BV452" s="317"/>
      <c r="BW452" s="317"/>
      <c r="BX452" s="317"/>
      <c r="BY452" s="317"/>
      <c r="BZ452" s="317"/>
      <c r="CA452" s="317"/>
      <c r="CB452" s="317"/>
      <c r="CC452" s="317"/>
      <c r="CD452" s="317"/>
      <c r="CE452" s="317"/>
      <c r="CF452" s="317"/>
      <c r="CG452" s="317"/>
      <c r="CH452" s="317"/>
      <c r="CI452" s="317"/>
      <c r="CM452" s="1139">
        <v>0</v>
      </c>
      <c r="CN452" s="1139">
        <v>0</v>
      </c>
      <c r="CP452" s="923">
        <f t="shared" si="210"/>
        <v>0</v>
      </c>
      <c r="CZ452" s="330"/>
    </row>
    <row r="453" spans="1:104" ht="30" customHeight="1" x14ac:dyDescent="0.25">
      <c r="A453" s="684">
        <f>MAX($A$6:A452)+1</f>
        <v>453</v>
      </c>
      <c r="B453" s="3" t="str">
        <f t="shared" si="220"/>
        <v>3c</v>
      </c>
      <c r="C453" s="11" t="str">
        <f t="shared" si="234"/>
        <v xml:space="preserve">Notional audit costs </v>
      </c>
      <c r="D453" s="11"/>
      <c r="E453" s="7" t="s">
        <v>29</v>
      </c>
      <c r="F453" s="15"/>
      <c r="G453" s="7" t="s">
        <v>29</v>
      </c>
      <c r="H453" s="1471">
        <v>0</v>
      </c>
      <c r="I453" s="1472"/>
      <c r="J453" s="7" t="s">
        <v>29</v>
      </c>
      <c r="K453" s="1185">
        <f>SUMIF('alb Note 3 &amp; 3.1 - Expenditure'!$A:$A,$J453,'alb Note 3 &amp; 3.1 - Expenditure'!$C:$C)</f>
        <v>0</v>
      </c>
      <c r="L453" s="1185"/>
      <c r="M453" s="252"/>
      <c r="N453" s="273">
        <f t="shared" si="235"/>
        <v>0</v>
      </c>
      <c r="O453" s="12"/>
      <c r="P453" s="12"/>
      <c r="Q453" s="12"/>
      <c r="R453" s="12"/>
      <c r="S453" s="6">
        <f t="shared" si="236"/>
        <v>0</v>
      </c>
      <c r="T453" s="273">
        <f t="shared" si="237"/>
        <v>0</v>
      </c>
      <c r="U453" s="6">
        <f t="shared" si="238"/>
        <v>0</v>
      </c>
      <c r="V453" s="6"/>
      <c r="W453" s="6">
        <f t="shared" si="231"/>
        <v>0</v>
      </c>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X453" s="6"/>
      <c r="AY453" s="6"/>
      <c r="BA453" s="6"/>
      <c r="BB453" s="6"/>
      <c r="BC453" s="6"/>
      <c r="BD453" s="29">
        <f t="shared" si="233"/>
        <v>0</v>
      </c>
      <c r="BE453" s="317"/>
      <c r="BF453" s="317"/>
      <c r="BG453" s="317"/>
      <c r="BH453" s="317"/>
      <c r="BI453" s="317"/>
      <c r="BJ453" s="317"/>
      <c r="BK453" s="29">
        <f t="shared" si="239"/>
        <v>0</v>
      </c>
      <c r="BL453" s="317"/>
      <c r="BM453" s="317"/>
      <c r="BN453" s="317"/>
      <c r="BO453" s="317"/>
      <c r="BP453" s="317"/>
      <c r="BQ453" s="317"/>
      <c r="BR453" s="317"/>
      <c r="BS453" s="317"/>
      <c r="BT453" s="317"/>
      <c r="BU453" s="317"/>
      <c r="BV453" s="317"/>
      <c r="BW453" s="317"/>
      <c r="BX453" s="317"/>
      <c r="BY453" s="317"/>
      <c r="BZ453" s="317"/>
      <c r="CA453" s="317"/>
      <c r="CB453" s="317"/>
      <c r="CC453" s="317"/>
      <c r="CD453" s="317"/>
      <c r="CE453" s="317"/>
      <c r="CF453" s="317"/>
      <c r="CG453" s="317"/>
      <c r="CH453" s="317"/>
      <c r="CI453" s="317"/>
      <c r="CM453" s="1139">
        <v>0</v>
      </c>
      <c r="CN453" s="1139">
        <v>0</v>
      </c>
      <c r="CP453" s="923">
        <f t="shared" si="210"/>
        <v>0</v>
      </c>
      <c r="CZ453" s="330"/>
    </row>
    <row r="454" spans="1:104" ht="30" customHeight="1" x14ac:dyDescent="0.25">
      <c r="A454" s="684">
        <f>MAX($A$6:A453)+1</f>
        <v>454</v>
      </c>
      <c r="B454" s="3" t="str">
        <f t="shared" si="220"/>
        <v>3c</v>
      </c>
      <c r="C454" s="11" t="str">
        <f t="shared" si="234"/>
        <v xml:space="preserve">Notional audit costs </v>
      </c>
      <c r="D454" s="11"/>
      <c r="E454" s="7" t="s">
        <v>2384</v>
      </c>
      <c r="F454" s="15"/>
      <c r="G454" s="7" t="s">
        <v>2384</v>
      </c>
      <c r="H454" s="1471">
        <v>0</v>
      </c>
      <c r="I454" s="1472"/>
      <c r="J454" s="7" t="s">
        <v>2384</v>
      </c>
      <c r="K454" s="1185">
        <f>SUMIF('alb Note 3 &amp; 3.1 - Expenditure'!$A:$A,$J454,'alb Note 3 &amp; 3.1 - Expenditure'!$C:$C)</f>
        <v>0</v>
      </c>
      <c r="L454" s="1185"/>
      <c r="M454" s="252"/>
      <c r="N454" s="273">
        <f t="shared" si="235"/>
        <v>0</v>
      </c>
      <c r="O454" s="12"/>
      <c r="P454" s="12"/>
      <c r="Q454" s="12"/>
      <c r="R454" s="12"/>
      <c r="S454" s="6">
        <f t="shared" si="236"/>
        <v>0</v>
      </c>
      <c r="T454" s="273">
        <f t="shared" si="237"/>
        <v>0</v>
      </c>
      <c r="U454" s="6">
        <f t="shared" si="238"/>
        <v>0</v>
      </c>
      <c r="V454" s="6"/>
      <c r="W454" s="6">
        <f t="shared" si="231"/>
        <v>0</v>
      </c>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X454" s="6"/>
      <c r="AY454" s="6"/>
      <c r="BA454" s="6"/>
      <c r="BB454" s="6"/>
      <c r="BC454" s="6"/>
      <c r="BD454" s="29">
        <f t="shared" si="233"/>
        <v>0</v>
      </c>
      <c r="BE454" s="317"/>
      <c r="BF454" s="317"/>
      <c r="BG454" s="317"/>
      <c r="BH454" s="317"/>
      <c r="BI454" s="317"/>
      <c r="BJ454" s="317"/>
      <c r="BK454" s="29">
        <f t="shared" si="239"/>
        <v>0</v>
      </c>
      <c r="BL454" s="317"/>
      <c r="BM454" s="317"/>
      <c r="BN454" s="317"/>
      <c r="BO454" s="317"/>
      <c r="BP454" s="317"/>
      <c r="BQ454" s="317"/>
      <c r="BR454" s="317"/>
      <c r="BS454" s="317"/>
      <c r="BT454" s="317"/>
      <c r="BU454" s="317"/>
      <c r="BV454" s="317"/>
      <c r="BW454" s="317"/>
      <c r="BX454" s="317"/>
      <c r="BY454" s="317"/>
      <c r="BZ454" s="317"/>
      <c r="CA454" s="317"/>
      <c r="CB454" s="317"/>
      <c r="CC454" s="317"/>
      <c r="CD454" s="317"/>
      <c r="CE454" s="317"/>
      <c r="CF454" s="317"/>
      <c r="CG454" s="317"/>
      <c r="CH454" s="317"/>
      <c r="CI454" s="317"/>
      <c r="CM454" s="1139">
        <v>0</v>
      </c>
      <c r="CN454" s="1139">
        <v>0</v>
      </c>
      <c r="CP454" s="923">
        <f t="shared" si="210"/>
        <v>0</v>
      </c>
      <c r="CZ454" s="330"/>
    </row>
    <row r="455" spans="1:104" ht="30" customHeight="1" x14ac:dyDescent="0.25">
      <c r="A455" s="684">
        <f>MAX($A$6:A454)+1</f>
        <v>455</v>
      </c>
      <c r="B455" s="3" t="str">
        <f t="shared" si="220"/>
        <v>3c</v>
      </c>
      <c r="C455" s="11" t="str">
        <f t="shared" si="234"/>
        <v xml:space="preserve">Notional audit costs </v>
      </c>
      <c r="D455" s="11"/>
      <c r="E455" s="7" t="s">
        <v>2385</v>
      </c>
      <c r="F455" s="15"/>
      <c r="G455" s="7" t="s">
        <v>2385</v>
      </c>
      <c r="H455" s="1471">
        <v>0</v>
      </c>
      <c r="I455" s="1472"/>
      <c r="J455" s="7" t="s">
        <v>2385</v>
      </c>
      <c r="K455" s="1185">
        <f>SUMIF('alb Note 3 &amp; 3.1 - Expenditure'!$A:$A,$J455,'alb Note 3 &amp; 3.1 - Expenditure'!$C:$C)</f>
        <v>0</v>
      </c>
      <c r="L455" s="1185"/>
      <c r="M455" s="252"/>
      <c r="N455" s="273">
        <f t="shared" si="235"/>
        <v>0</v>
      </c>
      <c r="O455" s="12"/>
      <c r="P455" s="12"/>
      <c r="Q455" s="12"/>
      <c r="R455" s="12"/>
      <c r="S455" s="6">
        <f t="shared" si="236"/>
        <v>0</v>
      </c>
      <c r="T455" s="273">
        <f t="shared" si="237"/>
        <v>0</v>
      </c>
      <c r="U455" s="6">
        <f t="shared" si="238"/>
        <v>0</v>
      </c>
      <c r="V455" s="6"/>
      <c r="W455" s="6">
        <f t="shared" si="231"/>
        <v>0</v>
      </c>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X455" s="6"/>
      <c r="AY455" s="6"/>
      <c r="BA455" s="6"/>
      <c r="BB455" s="6"/>
      <c r="BC455" s="6"/>
      <c r="BD455" s="29">
        <f t="shared" si="233"/>
        <v>0</v>
      </c>
      <c r="BE455" s="317"/>
      <c r="BF455" s="317"/>
      <c r="BG455" s="317"/>
      <c r="BH455" s="317"/>
      <c r="BI455" s="317"/>
      <c r="BJ455" s="317"/>
      <c r="BK455" s="29">
        <f t="shared" si="239"/>
        <v>0</v>
      </c>
      <c r="BL455" s="317"/>
      <c r="BM455" s="317"/>
      <c r="BN455" s="317"/>
      <c r="BO455" s="317"/>
      <c r="BP455" s="317"/>
      <c r="BQ455" s="317"/>
      <c r="BR455" s="317"/>
      <c r="BS455" s="317"/>
      <c r="BT455" s="317"/>
      <c r="BU455" s="317"/>
      <c r="BV455" s="317"/>
      <c r="BW455" s="317"/>
      <c r="BX455" s="317"/>
      <c r="BY455" s="317"/>
      <c r="BZ455" s="317"/>
      <c r="CA455" s="317"/>
      <c r="CB455" s="317"/>
      <c r="CC455" s="317"/>
      <c r="CD455" s="317"/>
      <c r="CE455" s="317"/>
      <c r="CF455" s="317"/>
      <c r="CG455" s="317"/>
      <c r="CH455" s="317"/>
      <c r="CI455" s="317"/>
      <c r="CM455" s="1139">
        <v>0</v>
      </c>
      <c r="CN455" s="1139">
        <v>0</v>
      </c>
      <c r="CP455" s="923">
        <f t="shared" si="210"/>
        <v>0</v>
      </c>
      <c r="CZ455" s="330"/>
    </row>
    <row r="456" spans="1:104" ht="30" customHeight="1" x14ac:dyDescent="0.25">
      <c r="A456" s="684">
        <f>MAX($A$6:A455)+1</f>
        <v>456</v>
      </c>
      <c r="B456" s="3" t="str">
        <f t="shared" si="220"/>
        <v>3c</v>
      </c>
      <c r="C456" s="11" t="str">
        <f t="shared" si="234"/>
        <v xml:space="preserve">Notional audit costs </v>
      </c>
      <c r="D456" s="11"/>
      <c r="E456" s="7" t="s">
        <v>2386</v>
      </c>
      <c r="F456" s="15"/>
      <c r="G456" s="7" t="s">
        <v>2386</v>
      </c>
      <c r="H456" s="1471">
        <v>0</v>
      </c>
      <c r="I456" s="1472"/>
      <c r="J456" s="7" t="s">
        <v>2386</v>
      </c>
      <c r="K456" s="1185">
        <f>SUMIF('alb Note 3 &amp; 3.1 - Expenditure'!$A:$A,$J456,'alb Note 3 &amp; 3.1 - Expenditure'!$C:$C)</f>
        <v>0</v>
      </c>
      <c r="L456" s="1185"/>
      <c r="M456" s="252"/>
      <c r="N456" s="273">
        <f t="shared" si="235"/>
        <v>0</v>
      </c>
      <c r="O456" s="12"/>
      <c r="P456" s="12"/>
      <c r="Q456" s="12"/>
      <c r="R456" s="12"/>
      <c r="S456" s="6">
        <f t="shared" si="236"/>
        <v>0</v>
      </c>
      <c r="T456" s="273">
        <f t="shared" si="237"/>
        <v>0</v>
      </c>
      <c r="U456" s="6">
        <f t="shared" si="238"/>
        <v>0</v>
      </c>
      <c r="V456" s="6"/>
      <c r="W456" s="6">
        <f t="shared" si="231"/>
        <v>0</v>
      </c>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X456" s="6"/>
      <c r="AY456" s="6"/>
      <c r="BA456" s="6"/>
      <c r="BB456" s="6"/>
      <c r="BC456" s="6"/>
      <c r="BD456" s="29">
        <f t="shared" si="233"/>
        <v>0</v>
      </c>
      <c r="BE456" s="317"/>
      <c r="BF456" s="317"/>
      <c r="BG456" s="317"/>
      <c r="BH456" s="317"/>
      <c r="BI456" s="317"/>
      <c r="BJ456" s="317"/>
      <c r="BK456" s="29">
        <f t="shared" si="239"/>
        <v>0</v>
      </c>
      <c r="BL456" s="317"/>
      <c r="BM456" s="317"/>
      <c r="BN456" s="317"/>
      <c r="BO456" s="317"/>
      <c r="BP456" s="317"/>
      <c r="BQ456" s="317"/>
      <c r="BR456" s="317"/>
      <c r="BS456" s="317"/>
      <c r="BT456" s="317"/>
      <c r="BU456" s="317"/>
      <c r="BV456" s="317"/>
      <c r="BW456" s="317"/>
      <c r="BX456" s="317"/>
      <c r="BY456" s="317"/>
      <c r="BZ456" s="317"/>
      <c r="CA456" s="317"/>
      <c r="CB456" s="317"/>
      <c r="CC456" s="317"/>
      <c r="CD456" s="317"/>
      <c r="CE456" s="317"/>
      <c r="CF456" s="317"/>
      <c r="CG456" s="317"/>
      <c r="CH456" s="317"/>
      <c r="CI456" s="317"/>
      <c r="CM456" s="1139">
        <v>0</v>
      </c>
      <c r="CN456" s="1139">
        <v>0</v>
      </c>
      <c r="CP456" s="923">
        <f t="shared" ref="CP456:CP519" si="241">-V456+BL456+BM456+BN456+CM456</f>
        <v>0</v>
      </c>
      <c r="CZ456" s="330"/>
    </row>
    <row r="457" spans="1:104" ht="30" customHeight="1" x14ac:dyDescent="0.25">
      <c r="A457" s="684">
        <f>MAX($A$6:A456)+1</f>
        <v>457</v>
      </c>
      <c r="B457" s="3" t="str">
        <f t="shared" si="220"/>
        <v>3c</v>
      </c>
      <c r="C457" s="11" t="str">
        <f t="shared" si="234"/>
        <v xml:space="preserve">Notional audit costs </v>
      </c>
      <c r="D457" s="11"/>
      <c r="E457" s="7" t="s">
        <v>37</v>
      </c>
      <c r="F457" s="15"/>
      <c r="G457" s="7" t="s">
        <v>37</v>
      </c>
      <c r="H457" s="1471">
        <v>0</v>
      </c>
      <c r="I457" s="1472"/>
      <c r="J457" s="7" t="s">
        <v>37</v>
      </c>
      <c r="K457" s="1185">
        <f>SUMIF('alb Note 3 &amp; 3.1 - Expenditure'!$A:$A,$J457,'alb Note 3 &amp; 3.1 - Expenditure'!$C:$C)</f>
        <v>0</v>
      </c>
      <c r="L457" s="1185"/>
      <c r="M457" s="252"/>
      <c r="N457" s="273">
        <f t="shared" si="235"/>
        <v>0</v>
      </c>
      <c r="O457" s="12"/>
      <c r="P457" s="12"/>
      <c r="Q457" s="12"/>
      <c r="R457" s="12"/>
      <c r="S457" s="6">
        <f t="shared" si="236"/>
        <v>0</v>
      </c>
      <c r="T457" s="273">
        <f t="shared" si="237"/>
        <v>0</v>
      </c>
      <c r="U457" s="6">
        <f t="shared" si="238"/>
        <v>0</v>
      </c>
      <c r="V457" s="6"/>
      <c r="W457" s="6">
        <f t="shared" si="231"/>
        <v>0</v>
      </c>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X457" s="6"/>
      <c r="AY457" s="6"/>
      <c r="BA457" s="6"/>
      <c r="BB457" s="6"/>
      <c r="BC457" s="6"/>
      <c r="BD457" s="29">
        <f t="shared" si="233"/>
        <v>0</v>
      </c>
      <c r="BE457" s="317"/>
      <c r="BF457" s="317"/>
      <c r="BG457" s="317"/>
      <c r="BH457" s="317"/>
      <c r="BI457" s="317"/>
      <c r="BJ457" s="317"/>
      <c r="BK457" s="29">
        <f t="shared" si="239"/>
        <v>0</v>
      </c>
      <c r="BL457" s="317"/>
      <c r="BM457" s="317"/>
      <c r="BN457" s="317"/>
      <c r="BO457" s="317"/>
      <c r="BP457" s="317"/>
      <c r="BQ457" s="317"/>
      <c r="BR457" s="317"/>
      <c r="BS457" s="317"/>
      <c r="BT457" s="317"/>
      <c r="BU457" s="317"/>
      <c r="BV457" s="317"/>
      <c r="BW457" s="317"/>
      <c r="BX457" s="317"/>
      <c r="BY457" s="317"/>
      <c r="BZ457" s="317"/>
      <c r="CA457" s="317"/>
      <c r="CB457" s="317"/>
      <c r="CC457" s="317"/>
      <c r="CD457" s="317"/>
      <c r="CE457" s="317"/>
      <c r="CF457" s="317"/>
      <c r="CG457" s="317"/>
      <c r="CH457" s="317"/>
      <c r="CI457" s="317"/>
      <c r="CM457" s="1139">
        <v>0</v>
      </c>
      <c r="CN457" s="1139">
        <v>0</v>
      </c>
      <c r="CP457" s="923">
        <f t="shared" si="241"/>
        <v>0</v>
      </c>
      <c r="CZ457" s="330"/>
    </row>
    <row r="458" spans="1:104" ht="15" customHeight="1" x14ac:dyDescent="0.25">
      <c r="A458" s="684">
        <f>MAX($A$6:A457)+1</f>
        <v>458</v>
      </c>
      <c r="B458" s="3" t="str">
        <f t="shared" si="220"/>
        <v>3c</v>
      </c>
      <c r="C458" s="11" t="str">
        <f t="shared" si="234"/>
        <v xml:space="preserve">Notional audit costs </v>
      </c>
      <c r="D458" s="11"/>
      <c r="E458" s="7" t="s">
        <v>39</v>
      </c>
      <c r="F458" s="15"/>
      <c r="G458" s="7" t="s">
        <v>39</v>
      </c>
      <c r="H458" s="1471">
        <v>0</v>
      </c>
      <c r="I458" s="1472"/>
      <c r="J458" s="7" t="s">
        <v>39</v>
      </c>
      <c r="K458" s="1185">
        <f>SUMIF('alb Note 3 &amp; 3.1 - Expenditure'!$A:$A,$J458,'alb Note 3 &amp; 3.1 - Expenditure'!$C:$C)</f>
        <v>0</v>
      </c>
      <c r="L458" s="1185"/>
      <c r="M458" s="252"/>
      <c r="N458" s="273">
        <f t="shared" si="235"/>
        <v>0</v>
      </c>
      <c r="O458" s="12"/>
      <c r="P458" s="12"/>
      <c r="Q458" s="12"/>
      <c r="R458" s="12"/>
      <c r="S458" s="6">
        <f t="shared" si="236"/>
        <v>0</v>
      </c>
      <c r="T458" s="273">
        <f t="shared" si="237"/>
        <v>0</v>
      </c>
      <c r="U458" s="6">
        <f t="shared" si="238"/>
        <v>0</v>
      </c>
      <c r="V458" s="6"/>
      <c r="W458" s="6">
        <f t="shared" si="231"/>
        <v>0</v>
      </c>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X458" s="6"/>
      <c r="AY458" s="6"/>
      <c r="BA458" s="6"/>
      <c r="BB458" s="6"/>
      <c r="BC458" s="6"/>
      <c r="BD458" s="29">
        <f t="shared" si="233"/>
        <v>0</v>
      </c>
      <c r="BE458" s="317"/>
      <c r="BF458" s="317"/>
      <c r="BG458" s="317"/>
      <c r="BH458" s="317"/>
      <c r="BI458" s="317"/>
      <c r="BJ458" s="317"/>
      <c r="BK458" s="29">
        <f t="shared" si="239"/>
        <v>0</v>
      </c>
      <c r="BL458" s="317"/>
      <c r="BM458" s="317"/>
      <c r="BN458" s="317"/>
      <c r="BO458" s="317"/>
      <c r="BP458" s="317"/>
      <c r="BQ458" s="317"/>
      <c r="BR458" s="317"/>
      <c r="BS458" s="317"/>
      <c r="BT458" s="317"/>
      <c r="BU458" s="317"/>
      <c r="BV458" s="317"/>
      <c r="BW458" s="317"/>
      <c r="BX458" s="317"/>
      <c r="BY458" s="317"/>
      <c r="BZ458" s="317"/>
      <c r="CA458" s="317"/>
      <c r="CB458" s="317"/>
      <c r="CC458" s="317"/>
      <c r="CD458" s="317"/>
      <c r="CE458" s="317"/>
      <c r="CF458" s="317"/>
      <c r="CG458" s="317"/>
      <c r="CH458" s="317"/>
      <c r="CI458" s="317"/>
      <c r="CM458" s="1139">
        <v>0</v>
      </c>
      <c r="CN458" s="1139">
        <v>0</v>
      </c>
      <c r="CP458" s="923">
        <f t="shared" si="241"/>
        <v>0</v>
      </c>
      <c r="CZ458" s="330"/>
    </row>
    <row r="459" spans="1:104" ht="15" customHeight="1" x14ac:dyDescent="0.25">
      <c r="A459" s="701">
        <f>MAX($A$6:A458)+1</f>
        <v>459</v>
      </c>
      <c r="B459" s="1291" t="str">
        <f t="shared" si="220"/>
        <v>3c</v>
      </c>
      <c r="C459" s="18" t="str">
        <f t="shared" si="234"/>
        <v xml:space="preserve">Notional audit costs </v>
      </c>
      <c r="D459" s="255"/>
      <c r="E459" s="1258" t="s">
        <v>2387</v>
      </c>
      <c r="F459" s="20"/>
      <c r="G459" s="1258" t="s">
        <v>2387</v>
      </c>
      <c r="H459" s="14">
        <v>0</v>
      </c>
      <c r="I459" s="14"/>
      <c r="J459" s="1258" t="s">
        <v>2387</v>
      </c>
      <c r="K459" s="14">
        <f>SUMIF('alb Note 3 &amp; 3.1 - Expenditure'!$A:$A,$J459,'alb Note 3 &amp; 3.1 - Expenditure'!$C:$C)</f>
        <v>0</v>
      </c>
      <c r="L459" s="14"/>
      <c r="M459" s="21"/>
      <c r="N459" s="14">
        <f t="shared" si="235"/>
        <v>0</v>
      </c>
      <c r="O459" s="14">
        <f>SUM(O441:O458)</f>
        <v>0</v>
      </c>
      <c r="P459" s="14">
        <f t="shared" ref="P459:R459" si="242">SUM(P441:P458)</f>
        <v>0</v>
      </c>
      <c r="Q459" s="14">
        <f t="shared" si="242"/>
        <v>0</v>
      </c>
      <c r="R459" s="14">
        <f t="shared" si="242"/>
        <v>0</v>
      </c>
      <c r="S459" s="14">
        <f t="shared" si="236"/>
        <v>0</v>
      </c>
      <c r="T459" s="14">
        <f t="shared" si="237"/>
        <v>0</v>
      </c>
      <c r="U459" s="14">
        <f t="shared" si="238"/>
        <v>0</v>
      </c>
      <c r="V459" s="14">
        <f>SUM(V441:V458)</f>
        <v>0</v>
      </c>
      <c r="W459" s="14">
        <f t="shared" si="231"/>
        <v>0</v>
      </c>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2"/>
      <c r="AX459" s="14"/>
      <c r="AY459" s="14"/>
      <c r="AZ459" s="2"/>
      <c r="BA459" s="14"/>
      <c r="BB459" s="14"/>
      <c r="BC459" s="14"/>
      <c r="BD459" s="14">
        <f t="shared" si="233"/>
        <v>0</v>
      </c>
      <c r="BE459" s="318"/>
      <c r="BF459" s="318"/>
      <c r="BG459" s="318"/>
      <c r="BH459" s="318"/>
      <c r="BI459" s="318"/>
      <c r="BJ459" s="318"/>
      <c r="BK459" s="14">
        <f t="shared" si="239"/>
        <v>0</v>
      </c>
      <c r="BL459" s="318"/>
      <c r="BM459" s="318"/>
      <c r="BN459" s="318"/>
      <c r="BO459" s="318"/>
      <c r="BP459" s="318"/>
      <c r="BQ459" s="318"/>
      <c r="BR459" s="318"/>
      <c r="BS459" s="318"/>
      <c r="BT459" s="318"/>
      <c r="BU459" s="318"/>
      <c r="BV459" s="318"/>
      <c r="BW459" s="318"/>
      <c r="BX459" s="318"/>
      <c r="BY459" s="318"/>
      <c r="BZ459" s="318"/>
      <c r="CA459" s="318"/>
      <c r="CB459" s="318"/>
      <c r="CC459" s="318"/>
      <c r="CD459" s="318"/>
      <c r="CE459" s="318"/>
      <c r="CF459" s="318"/>
      <c r="CG459" s="318"/>
      <c r="CH459" s="318"/>
      <c r="CI459" s="318"/>
      <c r="CJ459" s="2"/>
      <c r="CK459" s="2"/>
      <c r="CM459" s="1140">
        <v>0</v>
      </c>
      <c r="CN459" s="1140">
        <v>0</v>
      </c>
      <c r="CP459" s="923">
        <f t="shared" si="241"/>
        <v>0</v>
      </c>
      <c r="CZ459" s="330"/>
    </row>
    <row r="460" spans="1:104" ht="18.75" customHeight="1" x14ac:dyDescent="0.25">
      <c r="A460" s="694">
        <f>MAX($A$6:A459)+1</f>
        <v>460</v>
      </c>
      <c r="B460" s="1299">
        <f>SUMIF(Update!$B$33:$B$106,C460,Update!$A$33:$A$106)</f>
        <v>4</v>
      </c>
      <c r="C460" s="696" t="s">
        <v>148</v>
      </c>
      <c r="D460" s="695"/>
      <c r="E460" s="696" t="str">
        <f>B460&amp;" "&amp;C460</f>
        <v>4 Income</v>
      </c>
      <c r="F460" s="697"/>
      <c r="G460" s="697"/>
      <c r="H460" s="695"/>
      <c r="I460" s="695"/>
      <c r="J460" s="698" t="s">
        <v>286</v>
      </c>
      <c r="K460" s="699">
        <f>SUMIF('alb SoCITE'!$A:$A,$J460,'alb SoCITE'!$E:$E)</f>
        <v>0</v>
      </c>
      <c r="L460" s="699">
        <f>SUMIF('alb SoCITE'!$A:$A,$J460,'alb SoCITE'!$E:$E)</f>
        <v>0</v>
      </c>
      <c r="M460" s="695"/>
      <c r="N460" s="713">
        <f>ROUND(SUM(O460:AU460)-T460,0)</f>
        <v>0</v>
      </c>
      <c r="O460" s="695"/>
      <c r="P460" s="695"/>
      <c r="Q460" s="695"/>
      <c r="R460" s="695"/>
      <c r="S460" s="695">
        <f t="shared" si="213"/>
        <v>0</v>
      </c>
      <c r="T460" s="713">
        <f>ROUND(SUM(U460:Y460),0)</f>
        <v>0</v>
      </c>
      <c r="U460" s="695"/>
      <c r="V460" s="695"/>
      <c r="W460" s="695">
        <f t="shared" si="231"/>
        <v>0</v>
      </c>
      <c r="X460" s="695"/>
      <c r="Y460" s="695"/>
      <c r="Z460" s="695"/>
      <c r="AA460" s="695"/>
      <c r="AB460" s="695"/>
      <c r="AC460" s="695"/>
      <c r="AD460" s="695"/>
      <c r="AE460" s="695"/>
      <c r="AF460" s="695"/>
      <c r="AG460" s="695"/>
      <c r="AH460" s="695"/>
      <c r="AI460" s="695"/>
      <c r="AJ460" s="695"/>
      <c r="AK460" s="695"/>
      <c r="AL460" s="695"/>
      <c r="AM460" s="695"/>
      <c r="AN460" s="695"/>
      <c r="AO460" s="695"/>
      <c r="AP460" s="695"/>
      <c r="AQ460" s="695"/>
      <c r="AR460" s="695"/>
      <c r="AS460" s="695"/>
      <c r="AT460" s="695"/>
      <c r="AU460" s="695"/>
      <c r="AV460" s="695"/>
      <c r="AW460" s="700"/>
      <c r="AX460" s="700"/>
      <c r="AY460" s="700">
        <f>ROUND(AX460/1000/Update!$B$31*Update!$B$27,0)</f>
        <v>0</v>
      </c>
      <c r="AZ460" s="700"/>
      <c r="BA460" s="700"/>
      <c r="BB460" s="700">
        <f>ROUND(BA460/1000/Update!$B$31,0)</f>
        <v>0</v>
      </c>
      <c r="BC460" s="700"/>
      <c r="BD460" s="721">
        <f t="shared" si="232"/>
        <v>0</v>
      </c>
      <c r="BE460" s="700"/>
      <c r="BF460" s="700"/>
      <c r="BG460" s="700"/>
      <c r="BH460" s="700"/>
      <c r="BI460" s="700"/>
      <c r="BJ460" s="700"/>
      <c r="BK460" s="721">
        <f t="shared" si="211"/>
        <v>0</v>
      </c>
      <c r="BL460" s="700"/>
      <c r="BM460" s="700"/>
      <c r="BN460" s="700"/>
      <c r="BO460" s="700"/>
      <c r="BP460" s="700"/>
      <c r="BQ460" s="700"/>
      <c r="BR460" s="700"/>
      <c r="BS460" s="700"/>
      <c r="BT460" s="700"/>
      <c r="BU460" s="700"/>
      <c r="BV460" s="700"/>
      <c r="BW460" s="700"/>
      <c r="BX460" s="700"/>
      <c r="BY460" s="700"/>
      <c r="BZ460" s="700"/>
      <c r="CA460" s="700"/>
      <c r="CB460" s="700"/>
      <c r="CC460" s="700"/>
      <c r="CD460" s="700"/>
      <c r="CE460" s="700"/>
      <c r="CF460" s="700"/>
      <c r="CG460" s="700"/>
      <c r="CH460" s="700"/>
      <c r="CI460" s="700"/>
      <c r="CJ460" s="700"/>
      <c r="CK460" s="700"/>
      <c r="CM460" s="700">
        <v>0</v>
      </c>
      <c r="CN460" s="700">
        <v>0</v>
      </c>
      <c r="CP460" s="923">
        <f t="shared" si="241"/>
        <v>0</v>
      </c>
      <c r="CZ460" s="330"/>
    </row>
    <row r="461" spans="1:104" ht="30" customHeight="1" x14ac:dyDescent="0.25">
      <c r="A461" s="684">
        <f>MAX($A$6:A460)+1</f>
        <v>461</v>
      </c>
      <c r="B461" s="3">
        <f t="shared" ref="B461:B480" si="243">B460</f>
        <v>4</v>
      </c>
      <c r="C461" s="11" t="str">
        <f t="shared" ref="C461:C487" si="244">C460</f>
        <v>Income</v>
      </c>
      <c r="D461" s="11" t="s">
        <v>166</v>
      </c>
      <c r="E461" s="13" t="s">
        <v>1972</v>
      </c>
      <c r="F461" s="15"/>
      <c r="G461" s="26"/>
      <c r="H461" s="6"/>
      <c r="I461" s="6"/>
      <c r="J461" s="1254" t="s">
        <v>286</v>
      </c>
      <c r="K461" s="251">
        <f>SUMIF('alb Note 4 - Income'!$A:$A,$J461,'alb Note 4 - Income'!$B:$B)</f>
        <v>0</v>
      </c>
      <c r="L461" s="251">
        <f>SUMIF('alb Note 4 - Income'!$A:$A,$J461,'alb Note 4 - Income'!$E:$E)</f>
        <v>0</v>
      </c>
      <c r="M461" s="252"/>
      <c r="N461" s="273">
        <f t="shared" ref="N461:N468" si="245">ROUND(SUM(O461:S461)+SUM(W461:AV461),0)</f>
        <v>0</v>
      </c>
      <c r="O461" s="12"/>
      <c r="P461" s="12"/>
      <c r="Q461" s="12"/>
      <c r="R461" s="12"/>
      <c r="S461" s="6">
        <f t="shared" si="213"/>
        <v>0</v>
      </c>
      <c r="T461" s="273">
        <f>ROUND(SUM(U461:Y461),0)</f>
        <v>0</v>
      </c>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X461" s="6"/>
      <c r="AY461" s="6">
        <f>ROUND(AX461/1000/Update!$B$31*Update!$B$27,0)</f>
        <v>0</v>
      </c>
      <c r="BA461" s="6"/>
      <c r="BB461" s="6">
        <f>ROUND(BA461/1000/Update!$B$31,0)</f>
        <v>0</v>
      </c>
      <c r="BC461" s="6"/>
      <c r="BD461" s="29">
        <f t="shared" si="232"/>
        <v>0</v>
      </c>
      <c r="BE461" s="317"/>
      <c r="BF461" s="317"/>
      <c r="BG461" s="317"/>
      <c r="BH461" s="317"/>
      <c r="BI461" s="317"/>
      <c r="BJ461" s="317"/>
      <c r="BK461" s="29">
        <f t="shared" si="211"/>
        <v>0</v>
      </c>
      <c r="BL461" s="1142"/>
      <c r="BM461" s="1142"/>
      <c r="BN461" s="1142"/>
      <c r="BO461" s="1142"/>
      <c r="BP461" s="1142"/>
      <c r="BQ461" s="1142"/>
      <c r="BR461" s="1142"/>
      <c r="BS461" s="1142"/>
      <c r="BT461" s="1142"/>
      <c r="BU461" s="1142"/>
      <c r="BV461" s="1142"/>
      <c r="BW461" s="1142"/>
      <c r="BX461" s="1142"/>
      <c r="BY461" s="1142"/>
      <c r="BZ461" s="1142"/>
      <c r="CA461" s="1142"/>
      <c r="CB461" s="1142"/>
      <c r="CC461" s="1142"/>
      <c r="CD461" s="1142"/>
      <c r="CE461" s="1142"/>
      <c r="CF461" s="1142"/>
      <c r="CG461" s="1142"/>
      <c r="CH461" s="1142"/>
      <c r="CI461" s="1142"/>
      <c r="CM461" s="317">
        <v>0</v>
      </c>
      <c r="CN461" s="317">
        <v>0</v>
      </c>
      <c r="CP461" s="923">
        <f t="shared" si="241"/>
        <v>0</v>
      </c>
      <c r="CZ461" s="330"/>
    </row>
    <row r="462" spans="1:104" ht="15" customHeight="1" x14ac:dyDescent="0.25">
      <c r="A462" s="684">
        <f>MAX($A$6:A461)+1</f>
        <v>462</v>
      </c>
      <c r="B462" s="3">
        <f t="shared" si="243"/>
        <v>4</v>
      </c>
      <c r="C462" s="11" t="str">
        <f t="shared" si="244"/>
        <v>Income</v>
      </c>
      <c r="D462" s="11" t="s">
        <v>166</v>
      </c>
      <c r="E462" s="931" t="s">
        <v>2077</v>
      </c>
      <c r="F462" s="15"/>
      <c r="G462" s="931" t="s">
        <v>2077</v>
      </c>
      <c r="H462" s="6">
        <v>0</v>
      </c>
      <c r="I462" s="6">
        <v>0</v>
      </c>
      <c r="J462" s="931" t="s">
        <v>2077</v>
      </c>
      <c r="K462" s="251">
        <f>SUMIF('alb Note 4 - Income'!$A:$A,$J462,'alb Note 4 - Income'!$B:$B)</f>
        <v>0</v>
      </c>
      <c r="L462" s="251">
        <f>SUMIF('alb Note 4 - Income'!$A:$A,$J462,'alb Note 4 - Income'!$E:$E)</f>
        <v>0</v>
      </c>
      <c r="M462" s="252"/>
      <c r="N462" s="273">
        <f t="shared" si="245"/>
        <v>0</v>
      </c>
      <c r="O462" s="12"/>
      <c r="P462" s="12"/>
      <c r="Q462" s="12"/>
      <c r="R462" s="12"/>
      <c r="S462" s="6">
        <f>-IF(ISNUMBER(BD462),BD462,0)</f>
        <v>0</v>
      </c>
      <c r="T462" s="273">
        <f>ROUND(SUM(U462:Y462),0)</f>
        <v>0</v>
      </c>
      <c r="U462" s="6">
        <f>-SUM(BL462:BN462)</f>
        <v>0</v>
      </c>
      <c r="V462" s="6"/>
      <c r="W462" s="6">
        <f>+H462</f>
        <v>0</v>
      </c>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X462" s="6"/>
      <c r="AY462" s="6">
        <f>ROUND(AX462/1000/Update!$B$31*Update!$B$27,0)</f>
        <v>0</v>
      </c>
      <c r="BA462" s="6"/>
      <c r="BB462" s="6">
        <f>ROUND(BA462/1000/Update!$B$31,0)</f>
        <v>0</v>
      </c>
      <c r="BC462" s="6"/>
      <c r="BD462" s="29">
        <f>ROUND(SUM(BE462:BK462),0)</f>
        <v>0</v>
      </c>
      <c r="BE462" s="317"/>
      <c r="BF462" s="317"/>
      <c r="BG462" s="317"/>
      <c r="BH462" s="317"/>
      <c r="BI462" s="317"/>
      <c r="BJ462" s="317"/>
      <c r="BK462" s="29">
        <f t="shared" si="211"/>
        <v>0</v>
      </c>
      <c r="BL462" s="1142"/>
      <c r="BM462" s="1142"/>
      <c r="BN462" s="1142"/>
      <c r="BO462" s="1142"/>
      <c r="BP462" s="1142"/>
      <c r="BQ462" s="1142"/>
      <c r="BR462" s="1142"/>
      <c r="BS462" s="1142"/>
      <c r="BT462" s="1142"/>
      <c r="BU462" s="1142"/>
      <c r="BV462" s="1142"/>
      <c r="BW462" s="1142"/>
      <c r="BX462" s="1142"/>
      <c r="BY462" s="1142"/>
      <c r="BZ462" s="1142"/>
      <c r="CA462" s="1142"/>
      <c r="CB462" s="1142"/>
      <c r="CC462" s="1142"/>
      <c r="CD462" s="1142"/>
      <c r="CE462" s="1142"/>
      <c r="CF462" s="1142"/>
      <c r="CG462" s="1142"/>
      <c r="CH462" s="1142"/>
      <c r="CI462" s="1142"/>
      <c r="CM462" s="1139">
        <v>-2779</v>
      </c>
      <c r="CN462" s="1139">
        <v>87091</v>
      </c>
      <c r="CP462" s="923">
        <f t="shared" si="241"/>
        <v>-2779</v>
      </c>
      <c r="CZ462" s="330"/>
    </row>
    <row r="463" spans="1:104" ht="15" customHeight="1" x14ac:dyDescent="0.25">
      <c r="A463" s="684">
        <f>MAX($A$6:A462)+1</f>
        <v>463</v>
      </c>
      <c r="B463" s="3">
        <f>B461</f>
        <v>4</v>
      </c>
      <c r="C463" s="11" t="str">
        <f>C461</f>
        <v>Income</v>
      </c>
      <c r="D463" s="11" t="s">
        <v>166</v>
      </c>
      <c r="E463" s="931" t="s">
        <v>2078</v>
      </c>
      <c r="F463" s="15"/>
      <c r="G463" s="931" t="s">
        <v>2078</v>
      </c>
      <c r="H463" s="6">
        <v>0</v>
      </c>
      <c r="I463" s="6">
        <v>0</v>
      </c>
      <c r="J463" s="931" t="s">
        <v>2078</v>
      </c>
      <c r="K463" s="251">
        <f>SUMIF('alb Note 4 - Income'!$A:$A,$J463,'alb Note 4 - Income'!$B:$B)</f>
        <v>0</v>
      </c>
      <c r="L463" s="251">
        <f>SUMIF('alb Note 4 - Income'!$A:$A,$J463,'alb Note 4 - Income'!$E:$E)</f>
        <v>0</v>
      </c>
      <c r="M463" s="252"/>
      <c r="N463" s="273">
        <f t="shared" si="245"/>
        <v>0</v>
      </c>
      <c r="O463" s="12"/>
      <c r="P463" s="12"/>
      <c r="Q463" s="12"/>
      <c r="R463" s="12"/>
      <c r="S463" s="6">
        <f t="shared" si="213"/>
        <v>0</v>
      </c>
      <c r="T463" s="273">
        <f t="shared" ref="T463:T468" si="246">ROUND(SUM(U463:Y463),0)</f>
        <v>0</v>
      </c>
      <c r="U463" s="6">
        <f t="shared" ref="U463:U468" si="247">-SUM(BL463:BN463)</f>
        <v>0</v>
      </c>
      <c r="V463" s="6"/>
      <c r="W463" s="6">
        <f t="shared" ref="W463:W468" si="248">+H463</f>
        <v>0</v>
      </c>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X463" s="6"/>
      <c r="AY463" s="6">
        <f>ROUND(AX463/1000/Update!$B$31*Update!$B$27,0)</f>
        <v>0</v>
      </c>
      <c r="BA463" s="6"/>
      <c r="BB463" s="6">
        <f>ROUND(BA463/1000/Update!$B$31,0)</f>
        <v>0</v>
      </c>
      <c r="BC463" s="6"/>
      <c r="BD463" s="29">
        <f t="shared" si="232"/>
        <v>0</v>
      </c>
      <c r="BE463" s="317"/>
      <c r="BF463" s="317"/>
      <c r="BG463" s="317"/>
      <c r="BH463" s="317"/>
      <c r="BI463" s="317"/>
      <c r="BJ463" s="317"/>
      <c r="BK463" s="29">
        <f t="shared" si="211"/>
        <v>0</v>
      </c>
      <c r="BL463" s="1142"/>
      <c r="BM463" s="1142"/>
      <c r="BN463" s="1142"/>
      <c r="BO463" s="1142"/>
      <c r="BP463" s="1142"/>
      <c r="BQ463" s="1142"/>
      <c r="BR463" s="1142"/>
      <c r="BS463" s="1142"/>
      <c r="BT463" s="1142"/>
      <c r="BU463" s="1142"/>
      <c r="BV463" s="1142"/>
      <c r="BW463" s="1142"/>
      <c r="BX463" s="1142"/>
      <c r="BY463" s="1142"/>
      <c r="BZ463" s="1142"/>
      <c r="CA463" s="1142"/>
      <c r="CB463" s="1142"/>
      <c r="CC463" s="1142"/>
      <c r="CD463" s="1142"/>
      <c r="CE463" s="1142"/>
      <c r="CF463" s="1142"/>
      <c r="CG463" s="1142"/>
      <c r="CH463" s="1142"/>
      <c r="CI463" s="1142"/>
      <c r="CM463" s="1139">
        <v>0</v>
      </c>
      <c r="CN463" s="1139">
        <v>5711</v>
      </c>
      <c r="CP463" s="923">
        <f t="shared" si="241"/>
        <v>0</v>
      </c>
      <c r="CZ463" s="330"/>
    </row>
    <row r="464" spans="1:104" ht="25.5" customHeight="1" x14ac:dyDescent="0.25">
      <c r="A464" s="684">
        <f>MAX($A$6:A463)+1</f>
        <v>464</v>
      </c>
      <c r="B464" s="3">
        <f>B461</f>
        <v>4</v>
      </c>
      <c r="C464" s="11" t="str">
        <f>C461</f>
        <v>Income</v>
      </c>
      <c r="D464" s="11" t="s">
        <v>166</v>
      </c>
      <c r="E464" s="51" t="s">
        <v>2053</v>
      </c>
      <c r="F464" s="15"/>
      <c r="G464" s="1254" t="s">
        <v>2053</v>
      </c>
      <c r="H464" s="6">
        <v>0</v>
      </c>
      <c r="I464" s="6">
        <v>0</v>
      </c>
      <c r="J464" s="1254" t="s">
        <v>2053</v>
      </c>
      <c r="K464" s="251">
        <f>SUMIF('alb Note 4 - Income'!$A:$A,$J464,'alb Note 4 - Income'!$B:$B)</f>
        <v>0</v>
      </c>
      <c r="L464" s="251">
        <f>SUMIF('alb Note 4 - Income'!$A:$A,$J464,'alb Note 4 - Income'!$E:$E)</f>
        <v>0</v>
      </c>
      <c r="M464" s="252"/>
      <c r="N464" s="273">
        <f t="shared" si="245"/>
        <v>0</v>
      </c>
      <c r="O464" s="12"/>
      <c r="P464" s="12"/>
      <c r="Q464" s="12"/>
      <c r="R464" s="12"/>
      <c r="S464" s="6">
        <f t="shared" si="213"/>
        <v>0</v>
      </c>
      <c r="T464" s="273">
        <f t="shared" si="246"/>
        <v>0</v>
      </c>
      <c r="U464" s="6">
        <f t="shared" si="247"/>
        <v>0</v>
      </c>
      <c r="V464" s="6"/>
      <c r="W464" s="6">
        <f t="shared" si="248"/>
        <v>0</v>
      </c>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X464" s="6"/>
      <c r="AY464" s="6">
        <f>ROUND(AX464/1000/Update!$B$31*Update!$B$27,0)</f>
        <v>0</v>
      </c>
      <c r="BA464" s="6"/>
      <c r="BB464" s="6">
        <f>ROUND(BA464/1000/Update!$B$31,0)</f>
        <v>0</v>
      </c>
      <c r="BC464" s="6"/>
      <c r="BD464" s="29">
        <f t="shared" si="232"/>
        <v>0</v>
      </c>
      <c r="BE464" s="317"/>
      <c r="BF464" s="317"/>
      <c r="BG464" s="1191">
        <f>BG7*0</f>
        <v>0</v>
      </c>
      <c r="BH464" s="317"/>
      <c r="BI464" s="317"/>
      <c r="BJ464" s="317"/>
      <c r="BK464" s="29">
        <f t="shared" si="211"/>
        <v>0</v>
      </c>
      <c r="BL464" s="1142"/>
      <c r="BM464" s="1142"/>
      <c r="BN464" s="1142"/>
      <c r="BO464" s="1142"/>
      <c r="BP464" s="1142"/>
      <c r="BQ464" s="1142"/>
      <c r="BR464" s="1142"/>
      <c r="BS464" s="1142"/>
      <c r="BT464" s="1142"/>
      <c r="BU464" s="1142"/>
      <c r="BV464" s="1142"/>
      <c r="BW464" s="1142"/>
      <c r="BX464" s="1142"/>
      <c r="BY464" s="1142"/>
      <c r="BZ464" s="1142"/>
      <c r="CA464" s="1142"/>
      <c r="CB464" s="1142"/>
      <c r="CC464" s="1142"/>
      <c r="CD464" s="1142"/>
      <c r="CE464" s="1142"/>
      <c r="CF464" s="1142"/>
      <c r="CG464" s="1142"/>
      <c r="CH464" s="1142"/>
      <c r="CI464" s="1142"/>
      <c r="CM464" s="1139">
        <v>0</v>
      </c>
      <c r="CN464" s="1139">
        <v>6421</v>
      </c>
      <c r="CP464" s="923">
        <f t="shared" si="241"/>
        <v>0</v>
      </c>
      <c r="CZ464" s="330"/>
    </row>
    <row r="465" spans="1:104" ht="30" customHeight="1" x14ac:dyDescent="0.25">
      <c r="A465" s="684">
        <f>MAX($A$6:A464)+1</f>
        <v>465</v>
      </c>
      <c r="B465" s="3">
        <f t="shared" si="243"/>
        <v>4</v>
      </c>
      <c r="C465" s="11" t="str">
        <f t="shared" si="244"/>
        <v>Income</v>
      </c>
      <c r="D465" s="11" t="s">
        <v>166</v>
      </c>
      <c r="E465" s="51" t="s">
        <v>2054</v>
      </c>
      <c r="F465" s="15"/>
      <c r="G465" s="1254" t="s">
        <v>2054</v>
      </c>
      <c r="H465" s="6">
        <v>0</v>
      </c>
      <c r="I465" s="6">
        <v>0</v>
      </c>
      <c r="J465" s="1254" t="s">
        <v>2054</v>
      </c>
      <c r="K465" s="251">
        <f>SUMIF('alb Note 4 - Income'!$A:$A,$J465,'alb Note 4 - Income'!$B:$B)</f>
        <v>0</v>
      </c>
      <c r="L465" s="251">
        <f>SUMIF('alb Note 4 - Income'!$A:$A,$J465,'alb Note 4 - Income'!$E:$E)</f>
        <v>0</v>
      </c>
      <c r="M465" s="252"/>
      <c r="N465" s="273">
        <f t="shared" si="245"/>
        <v>0</v>
      </c>
      <c r="O465" s="12"/>
      <c r="P465" s="12"/>
      <c r="Q465" s="12"/>
      <c r="R465" s="12"/>
      <c r="S465" s="6">
        <f t="shared" si="213"/>
        <v>0</v>
      </c>
      <c r="T465" s="273">
        <f t="shared" si="246"/>
        <v>0</v>
      </c>
      <c r="U465" s="6">
        <f t="shared" si="247"/>
        <v>0</v>
      </c>
      <c r="V465" s="6"/>
      <c r="W465" s="6">
        <f t="shared" si="248"/>
        <v>0</v>
      </c>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X465" s="6"/>
      <c r="AY465" s="6">
        <f>ROUND(AX465/1000/Update!$B$31*Update!$B$27,0)</f>
        <v>0</v>
      </c>
      <c r="BA465" s="6"/>
      <c r="BB465" s="6">
        <f>ROUND(BA465/1000/Update!$B$31,0)</f>
        <v>0</v>
      </c>
      <c r="BC465" s="6"/>
      <c r="BD465" s="29">
        <f t="shared" si="232"/>
        <v>0</v>
      </c>
      <c r="BE465" s="317"/>
      <c r="BF465" s="317"/>
      <c r="BG465" s="317"/>
      <c r="BH465" s="317"/>
      <c r="BI465" s="317"/>
      <c r="BJ465" s="317"/>
      <c r="BK465" s="29">
        <f t="shared" si="211"/>
        <v>0</v>
      </c>
      <c r="BL465" s="1142"/>
      <c r="BM465" s="1142"/>
      <c r="BN465" s="1142"/>
      <c r="BO465" s="1142"/>
      <c r="BP465" s="1142"/>
      <c r="BQ465" s="1142"/>
      <c r="BR465" s="1142"/>
      <c r="BS465" s="1142"/>
      <c r="BT465" s="1142"/>
      <c r="BU465" s="1142"/>
      <c r="BV465" s="1142"/>
      <c r="BW465" s="1142"/>
      <c r="BX465" s="1142"/>
      <c r="BY465" s="1142"/>
      <c r="BZ465" s="1142"/>
      <c r="CA465" s="1142"/>
      <c r="CB465" s="1142"/>
      <c r="CC465" s="1142"/>
      <c r="CD465" s="1142"/>
      <c r="CE465" s="1142"/>
      <c r="CF465" s="1142"/>
      <c r="CG465" s="1142"/>
      <c r="CH465" s="1142"/>
      <c r="CI465" s="1142"/>
      <c r="CM465" s="1139">
        <v>0</v>
      </c>
      <c r="CN465" s="1139">
        <v>0</v>
      </c>
      <c r="CP465" s="923">
        <f t="shared" si="241"/>
        <v>0</v>
      </c>
      <c r="CZ465" s="330"/>
    </row>
    <row r="466" spans="1:104" ht="15" customHeight="1" x14ac:dyDescent="0.25">
      <c r="A466" s="684">
        <f>MAX($A$6:A465)+1</f>
        <v>466</v>
      </c>
      <c r="B466" s="3">
        <f t="shared" si="243"/>
        <v>4</v>
      </c>
      <c r="C466" s="11" t="str">
        <f t="shared" si="244"/>
        <v>Income</v>
      </c>
      <c r="D466" s="11" t="s">
        <v>166</v>
      </c>
      <c r="E466" s="51" t="s">
        <v>1676</v>
      </c>
      <c r="F466" s="15"/>
      <c r="G466" s="1254" t="s">
        <v>1676</v>
      </c>
      <c r="H466" s="6">
        <v>0</v>
      </c>
      <c r="I466" s="6">
        <v>0</v>
      </c>
      <c r="J466" s="1254" t="s">
        <v>1676</v>
      </c>
      <c r="K466" s="251">
        <f>SUMIF('alb Note 4 - Income'!$A:$A,$J466,'alb Note 4 - Income'!$B:$B)</f>
        <v>0</v>
      </c>
      <c r="L466" s="251">
        <f>SUMIF('alb Note 4 - Income'!$A:$A,$J466,'alb Note 4 - Income'!$E:$E)</f>
        <v>0</v>
      </c>
      <c r="M466" s="252"/>
      <c r="N466" s="273">
        <f t="shared" si="245"/>
        <v>0</v>
      </c>
      <c r="O466" s="12"/>
      <c r="P466" s="12"/>
      <c r="Q466" s="12"/>
      <c r="R466" s="12"/>
      <c r="S466" s="6">
        <f t="shared" si="213"/>
        <v>0</v>
      </c>
      <c r="T466" s="273">
        <f t="shared" si="246"/>
        <v>0</v>
      </c>
      <c r="U466" s="6">
        <f>-SUM(BL466:BN466)</f>
        <v>0</v>
      </c>
      <c r="V466" s="6"/>
      <c r="W466" s="6">
        <f t="shared" si="248"/>
        <v>0</v>
      </c>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X466" s="6"/>
      <c r="AY466" s="6">
        <f>ROUND(AX466/1000/Update!$B$31*Update!$B$27,0)</f>
        <v>0</v>
      </c>
      <c r="BA466" s="6"/>
      <c r="BB466" s="6">
        <f>ROUND(BA466/1000/Update!$B$31,0)</f>
        <v>0</v>
      </c>
      <c r="BC466" s="6"/>
      <c r="BD466" s="29">
        <f t="shared" si="232"/>
        <v>0</v>
      </c>
      <c r="BE466" s="317"/>
      <c r="BF466" s="317"/>
      <c r="BG466" s="317"/>
      <c r="BH466" s="317"/>
      <c r="BI466" s="317"/>
      <c r="BJ466" s="1523">
        <f>IF(+BK431+BK388-BK479&lt;=0,(+BK431+BK388-BK479),0)</f>
        <v>0</v>
      </c>
      <c r="BK466" s="29">
        <f t="shared" si="211"/>
        <v>0</v>
      </c>
      <c r="BL466" s="1142"/>
      <c r="BM466" s="1142"/>
      <c r="BN466" s="1142"/>
      <c r="BO466" s="1142"/>
      <c r="BP466" s="1142"/>
      <c r="BQ466" s="1142"/>
      <c r="BR466" s="1142"/>
      <c r="BS466" s="1142"/>
      <c r="BT466" s="1142"/>
      <c r="BU466" s="1142"/>
      <c r="BV466" s="1142"/>
      <c r="BW466" s="1142"/>
      <c r="BX466" s="1142"/>
      <c r="BY466" s="1142"/>
      <c r="BZ466" s="1142"/>
      <c r="CA466" s="1142"/>
      <c r="CB466" s="1142"/>
      <c r="CC466" s="1142"/>
      <c r="CD466" s="1142"/>
      <c r="CE466" s="1142"/>
      <c r="CF466" s="1142"/>
      <c r="CG466" s="1142"/>
      <c r="CH466" s="1142"/>
      <c r="CI466" s="1142"/>
      <c r="CM466" s="1139">
        <v>-236</v>
      </c>
      <c r="CN466" s="1139">
        <v>171263</v>
      </c>
      <c r="CP466" s="923">
        <f t="shared" si="241"/>
        <v>-236</v>
      </c>
      <c r="CZ466" s="330"/>
    </row>
    <row r="467" spans="1:104" ht="25.5" customHeight="1" x14ac:dyDescent="0.25">
      <c r="A467" s="684">
        <f>MAX($A$6:A466)+1</f>
        <v>467</v>
      </c>
      <c r="B467" s="3">
        <f t="shared" si="243"/>
        <v>4</v>
      </c>
      <c r="C467" s="11" t="str">
        <f t="shared" si="244"/>
        <v>Income</v>
      </c>
      <c r="D467" s="11" t="s">
        <v>166</v>
      </c>
      <c r="E467" s="51" t="s">
        <v>174</v>
      </c>
      <c r="F467" s="15"/>
      <c r="G467" s="1254" t="s">
        <v>174</v>
      </c>
      <c r="H467" s="6">
        <v>0</v>
      </c>
      <c r="I467" s="6">
        <v>0</v>
      </c>
      <c r="J467" s="1254" t="s">
        <v>174</v>
      </c>
      <c r="K467" s="251">
        <f>SUMIF('alb Note 4 - Income'!$A:$A,$J467,'alb Note 4 - Income'!$B:$B)</f>
        <v>0</v>
      </c>
      <c r="L467" s="251">
        <f>SUMIF('alb Note 4 - Income'!$A:$A,$J467,'alb Note 4 - Income'!$E:$E)</f>
        <v>0</v>
      </c>
      <c r="M467" s="252"/>
      <c r="N467" s="273">
        <f t="shared" si="245"/>
        <v>0</v>
      </c>
      <c r="O467" s="12"/>
      <c r="P467" s="12"/>
      <c r="Q467" s="12"/>
      <c r="R467" s="12"/>
      <c r="S467" s="6">
        <f t="shared" si="213"/>
        <v>0</v>
      </c>
      <c r="T467" s="273">
        <f t="shared" si="246"/>
        <v>0</v>
      </c>
      <c r="U467" s="6">
        <f t="shared" si="247"/>
        <v>0</v>
      </c>
      <c r="V467" s="6"/>
      <c r="W467" s="6">
        <f t="shared" si="248"/>
        <v>0</v>
      </c>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X467" s="6"/>
      <c r="AY467" s="6">
        <f>ROUND(AX467/1000/Update!$B$31*Update!$B$27,0)</f>
        <v>0</v>
      </c>
      <c r="BA467" s="6"/>
      <c r="BB467" s="6">
        <f>ROUND(BA467/1000/Update!$B$31,0)</f>
        <v>0</v>
      </c>
      <c r="BC467" s="6"/>
      <c r="BD467" s="29">
        <f t="shared" si="232"/>
        <v>0</v>
      </c>
      <c r="BE467" s="317"/>
      <c r="BF467" s="317"/>
      <c r="BG467" s="317"/>
      <c r="BH467" s="317"/>
      <c r="BI467" s="317"/>
      <c r="BJ467" s="317"/>
      <c r="BK467" s="29">
        <f t="shared" si="211"/>
        <v>0</v>
      </c>
      <c r="BL467" s="1142"/>
      <c r="BM467" s="1142"/>
      <c r="BN467" s="1142"/>
      <c r="BO467" s="1142"/>
      <c r="BP467" s="1142"/>
      <c r="BQ467" s="1142"/>
      <c r="BR467" s="1142"/>
      <c r="BS467" s="1142"/>
      <c r="BT467" s="1142"/>
      <c r="BU467" s="1142"/>
      <c r="BV467" s="1142"/>
      <c r="BW467" s="1142"/>
      <c r="BX467" s="1142"/>
      <c r="BY467" s="1142"/>
      <c r="BZ467" s="1142"/>
      <c r="CA467" s="1142"/>
      <c r="CB467" s="1142"/>
      <c r="CC467" s="1142"/>
      <c r="CD467" s="1142"/>
      <c r="CE467" s="1142"/>
      <c r="CF467" s="1142"/>
      <c r="CG467" s="1142"/>
      <c r="CH467" s="1142"/>
      <c r="CI467" s="1142"/>
      <c r="CM467" s="1139">
        <v>0</v>
      </c>
      <c r="CN467" s="1139">
        <v>0</v>
      </c>
      <c r="CP467" s="923">
        <f t="shared" si="241"/>
        <v>0</v>
      </c>
      <c r="CZ467" s="330"/>
    </row>
    <row r="468" spans="1:104" ht="15" customHeight="1" x14ac:dyDescent="0.25">
      <c r="A468" s="684">
        <f>MAX($A$6:A467)+1</f>
        <v>468</v>
      </c>
      <c r="B468" s="3">
        <f t="shared" si="243"/>
        <v>4</v>
      </c>
      <c r="C468" s="11" t="str">
        <f t="shared" si="244"/>
        <v>Income</v>
      </c>
      <c r="D468" s="11" t="s">
        <v>166</v>
      </c>
      <c r="E468" s="7"/>
      <c r="F468" s="15"/>
      <c r="G468" s="1254" t="s">
        <v>286</v>
      </c>
      <c r="H468" s="6">
        <v>0</v>
      </c>
      <c r="I468" s="6">
        <v>0</v>
      </c>
      <c r="J468" s="1254" t="s">
        <v>286</v>
      </c>
      <c r="K468" s="251">
        <f>SUMIF('alb Note 4 - Income'!$A:$A,$J468,'alb Note 4 - Income'!$B:$B)</f>
        <v>0</v>
      </c>
      <c r="L468" s="251">
        <f>SUMIF('alb Note 4 - Income'!$A:$A,$J468,'alb Note 4 - Income'!$E:$E)</f>
        <v>0</v>
      </c>
      <c r="M468" s="252"/>
      <c r="N468" s="273">
        <f t="shared" si="245"/>
        <v>0</v>
      </c>
      <c r="O468" s="12"/>
      <c r="P468" s="12"/>
      <c r="Q468" s="12"/>
      <c r="R468" s="12"/>
      <c r="S468" s="6">
        <f t="shared" si="213"/>
        <v>0</v>
      </c>
      <c r="T468" s="273">
        <f t="shared" si="246"/>
        <v>0</v>
      </c>
      <c r="U468" s="6">
        <f t="shared" si="247"/>
        <v>0</v>
      </c>
      <c r="V468" s="6"/>
      <c r="W468" s="6">
        <f t="shared" si="248"/>
        <v>0</v>
      </c>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X468" s="6"/>
      <c r="AY468" s="6">
        <f>ROUND(AX468/1000/Update!$B$31*Update!$B$27,0)</f>
        <v>0</v>
      </c>
      <c r="BA468" s="6"/>
      <c r="BB468" s="6">
        <f>ROUND(BA468/1000/Update!$B$31,0)</f>
        <v>0</v>
      </c>
      <c r="BC468" s="6"/>
      <c r="BD468" s="29">
        <f t="shared" si="232"/>
        <v>0</v>
      </c>
      <c r="BE468" s="317"/>
      <c r="BF468" s="317"/>
      <c r="BG468" s="317"/>
      <c r="BH468" s="317"/>
      <c r="BI468" s="317"/>
      <c r="BJ468" s="317"/>
      <c r="BK468" s="29">
        <f t="shared" si="211"/>
        <v>0</v>
      </c>
      <c r="BL468" s="1142"/>
      <c r="BM468" s="1142"/>
      <c r="BN468" s="1142"/>
      <c r="BO468" s="1142"/>
      <c r="BP468" s="1142"/>
      <c r="BQ468" s="1142"/>
      <c r="BR468" s="1142"/>
      <c r="BS468" s="1142"/>
      <c r="BT468" s="1142"/>
      <c r="BU468" s="1142"/>
      <c r="BV468" s="1142"/>
      <c r="BW468" s="1142"/>
      <c r="BX468" s="1142"/>
      <c r="BY468" s="1142"/>
      <c r="BZ468" s="1142"/>
      <c r="CA468" s="1142"/>
      <c r="CB468" s="1142"/>
      <c r="CC468" s="1142"/>
      <c r="CD468" s="1142"/>
      <c r="CE468" s="1142"/>
      <c r="CF468" s="1142"/>
      <c r="CG468" s="1142"/>
      <c r="CH468" s="1142"/>
      <c r="CI468" s="1142"/>
      <c r="CM468" s="1139">
        <v>0</v>
      </c>
      <c r="CN468" s="1139">
        <v>0</v>
      </c>
      <c r="CP468" s="923">
        <f t="shared" si="241"/>
        <v>0</v>
      </c>
      <c r="CZ468" s="330"/>
    </row>
    <row r="469" spans="1:104" ht="15" customHeight="1" x14ac:dyDescent="0.25">
      <c r="A469" s="701">
        <f>MAX($A$6:A468)+1</f>
        <v>469</v>
      </c>
      <c r="B469" s="1291">
        <f t="shared" si="243"/>
        <v>4</v>
      </c>
      <c r="C469" s="18" t="str">
        <f t="shared" si="244"/>
        <v>Income</v>
      </c>
      <c r="D469" s="18" t="s">
        <v>166</v>
      </c>
      <c r="E469" s="19" t="s">
        <v>1678</v>
      </c>
      <c r="F469" s="20"/>
      <c r="G469" s="28"/>
      <c r="H469" s="14">
        <f>SUM(H462:H468)</f>
        <v>0</v>
      </c>
      <c r="I469" s="14">
        <f>SUM(I462:I468)</f>
        <v>0</v>
      </c>
      <c r="J469" s="1258" t="s">
        <v>286</v>
      </c>
      <c r="K469" s="256">
        <f>SUM(K462:K468)</f>
        <v>0</v>
      </c>
      <c r="L469" s="256">
        <f>SUM(L462:L468)</f>
        <v>0</v>
      </c>
      <c r="M469" s="21"/>
      <c r="N469" s="14">
        <f>SUM(N462:N468)</f>
        <v>0</v>
      </c>
      <c r="O469" s="23">
        <f>SUM(O462:O468)</f>
        <v>0</v>
      </c>
      <c r="P469" s="23">
        <f>SUM(P462:P468)</f>
        <v>0</v>
      </c>
      <c r="Q469" s="23">
        <f>SUM(Q462:Q468)</f>
        <v>0</v>
      </c>
      <c r="R469" s="23">
        <f>SUM(R462:R468)</f>
        <v>0</v>
      </c>
      <c r="S469" s="14">
        <f>-IF(ISNUMBER(BD469),BD469,0)</f>
        <v>0</v>
      </c>
      <c r="T469" s="14">
        <f>SUM(T460:T468)</f>
        <v>0</v>
      </c>
      <c r="U469" s="14">
        <f>SUM(U462:U468)</f>
        <v>0</v>
      </c>
      <c r="V469" s="14">
        <f>SUM(V462:V468)</f>
        <v>0</v>
      </c>
      <c r="W469" s="14">
        <f>SUM(W462:W468)</f>
        <v>0</v>
      </c>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2"/>
      <c r="AX469" s="14">
        <f>SUM(AX462:AX468)</f>
        <v>0</v>
      </c>
      <c r="AY469" s="14">
        <f>ROUND(AX469/1000/Update!$B$31*Update!$B$27,0)</f>
        <v>0</v>
      </c>
      <c r="AZ469" s="2"/>
      <c r="BA469" s="14">
        <f>SUM(BA462:BA468)</f>
        <v>0</v>
      </c>
      <c r="BB469" s="14">
        <f>ROUND(BA469/1000/Update!$B$31,0)</f>
        <v>0</v>
      </c>
      <c r="BC469" s="14"/>
      <c r="BD469" s="14">
        <f t="shared" ref="BD469:BJ469" si="249">SUM(BD462:BD468)</f>
        <v>0</v>
      </c>
      <c r="BE469" s="14">
        <f t="shared" si="249"/>
        <v>0</v>
      </c>
      <c r="BF469" s="14">
        <f t="shared" si="249"/>
        <v>0</v>
      </c>
      <c r="BG469" s="14">
        <f t="shared" si="249"/>
        <v>0</v>
      </c>
      <c r="BH469" s="14">
        <f t="shared" si="249"/>
        <v>0</v>
      </c>
      <c r="BI469" s="14">
        <f t="shared" si="249"/>
        <v>0</v>
      </c>
      <c r="BJ469" s="14">
        <f t="shared" si="249"/>
        <v>0</v>
      </c>
      <c r="BK469" s="14">
        <f t="shared" si="211"/>
        <v>0</v>
      </c>
      <c r="BL469" s="318"/>
      <c r="BM469" s="318"/>
      <c r="BN469" s="318"/>
      <c r="BO469" s="318"/>
      <c r="BP469" s="318"/>
      <c r="BQ469" s="318"/>
      <c r="BR469" s="318"/>
      <c r="BS469" s="318"/>
      <c r="BT469" s="318"/>
      <c r="BU469" s="318"/>
      <c r="BV469" s="318"/>
      <c r="BW469" s="318"/>
      <c r="BX469" s="318"/>
      <c r="BY469" s="318"/>
      <c r="BZ469" s="318"/>
      <c r="CA469" s="318"/>
      <c r="CB469" s="318"/>
      <c r="CC469" s="318"/>
      <c r="CD469" s="318"/>
      <c r="CE469" s="318"/>
      <c r="CF469" s="318"/>
      <c r="CG469" s="318"/>
      <c r="CH469" s="318"/>
      <c r="CI469" s="318"/>
      <c r="CJ469" s="2"/>
      <c r="CK469" s="2"/>
      <c r="CM469" s="1140">
        <v>-3015</v>
      </c>
      <c r="CN469" s="1140">
        <v>270486</v>
      </c>
      <c r="CP469" s="923">
        <f t="shared" si="241"/>
        <v>-3015</v>
      </c>
      <c r="CZ469" s="330"/>
    </row>
    <row r="470" spans="1:104" ht="15" customHeight="1" x14ac:dyDescent="0.25">
      <c r="A470" s="684">
        <f>MAX($A$6:A469)+1</f>
        <v>470</v>
      </c>
      <c r="B470" s="3">
        <f t="shared" si="243"/>
        <v>4</v>
      </c>
      <c r="C470" s="11" t="str">
        <f t="shared" si="244"/>
        <v>Income</v>
      </c>
      <c r="D470" s="11" t="s">
        <v>166</v>
      </c>
      <c r="E470" s="13" t="s">
        <v>1672</v>
      </c>
      <c r="F470" s="15"/>
      <c r="G470" s="26"/>
      <c r="H470" s="6"/>
      <c r="I470" s="6"/>
      <c r="J470" s="1257" t="s">
        <v>286</v>
      </c>
      <c r="K470" s="251">
        <f>SUMIF('alb Note 4 - Income'!$A:$A,$J470,'alb Note 4 - Income'!$B:$B)</f>
        <v>0</v>
      </c>
      <c r="L470" s="251">
        <f>SUMIF('alb Note 4 - Income'!$A:$A,$J470,'alb Note 4 - Income'!$E:$E)</f>
        <v>0</v>
      </c>
      <c r="M470" s="252"/>
      <c r="N470" s="273">
        <f t="shared" ref="N470:N477" si="250">ROUND(SUM(O470:S470)+SUM(W470:AV470),0)</f>
        <v>0</v>
      </c>
      <c r="O470" s="12"/>
      <c r="P470" s="12"/>
      <c r="Q470" s="12"/>
      <c r="R470" s="12"/>
      <c r="S470" s="6">
        <f t="shared" si="213"/>
        <v>0</v>
      </c>
      <c r="T470" s="273">
        <f>ROUND(SUM(U470:Y470),0)</f>
        <v>0</v>
      </c>
      <c r="U470" s="6">
        <f>SUM(BL470:BN470)</f>
        <v>0</v>
      </c>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X470" s="6"/>
      <c r="AY470" s="6">
        <f>ROUND(AX470/1000/Update!$B$31*Update!$B$27,0)</f>
        <v>0</v>
      </c>
      <c r="BA470" s="6"/>
      <c r="BB470" s="6">
        <f>ROUND(BA470/1000/Update!$B$31,0)</f>
        <v>0</v>
      </c>
      <c r="BC470" s="6"/>
      <c r="BD470" s="29">
        <f t="shared" si="232"/>
        <v>0</v>
      </c>
      <c r="BE470" s="317"/>
      <c r="BF470" s="317"/>
      <c r="BG470" s="317"/>
      <c r="BH470" s="317"/>
      <c r="BI470" s="317"/>
      <c r="BJ470" s="317"/>
      <c r="BK470" s="29">
        <f t="shared" si="211"/>
        <v>0</v>
      </c>
      <c r="BL470" s="317"/>
      <c r="BM470" s="317"/>
      <c r="BN470" s="317"/>
      <c r="BO470" s="317"/>
      <c r="BP470" s="317"/>
      <c r="BQ470" s="317"/>
      <c r="BR470" s="317"/>
      <c r="BS470" s="317"/>
      <c r="BT470" s="317"/>
      <c r="BU470" s="317"/>
      <c r="BV470" s="317"/>
      <c r="BW470" s="317"/>
      <c r="BX470" s="317"/>
      <c r="BY470" s="317"/>
      <c r="BZ470" s="317"/>
      <c r="CA470" s="317"/>
      <c r="CB470" s="317"/>
      <c r="CC470" s="317"/>
      <c r="CD470" s="317"/>
      <c r="CE470" s="317"/>
      <c r="CF470" s="317"/>
      <c r="CG470" s="317"/>
      <c r="CH470" s="317"/>
      <c r="CI470" s="317"/>
      <c r="CM470" s="1139">
        <v>0</v>
      </c>
      <c r="CN470" s="1139">
        <v>0</v>
      </c>
      <c r="CP470" s="923">
        <f t="shared" si="241"/>
        <v>0</v>
      </c>
      <c r="CZ470" s="330"/>
    </row>
    <row r="471" spans="1:104" ht="25.5" customHeight="1" x14ac:dyDescent="0.25">
      <c r="A471" s="684">
        <f>MAX($A$6:A470)+1</f>
        <v>471</v>
      </c>
      <c r="B471" s="3">
        <f t="shared" si="243"/>
        <v>4</v>
      </c>
      <c r="C471" s="11" t="str">
        <f t="shared" si="244"/>
        <v>Income</v>
      </c>
      <c r="D471" s="11" t="s">
        <v>166</v>
      </c>
      <c r="E471" s="675" t="s">
        <v>2055</v>
      </c>
      <c r="F471" s="15"/>
      <c r="G471" s="1254" t="s">
        <v>2055</v>
      </c>
      <c r="H471" s="6">
        <v>0</v>
      </c>
      <c r="I471" s="6">
        <v>0</v>
      </c>
      <c r="J471" s="1257" t="s">
        <v>2056</v>
      </c>
      <c r="K471" s="251">
        <f>SUMIF('alb Note 4 - Income'!$A:$A,$J471,'alb Note 4 - Income'!$B:$B)</f>
        <v>0</v>
      </c>
      <c r="L471" s="251">
        <f>SUMIF('alb Note 4 - Income'!$A:$A,$J471,'alb Note 4 - Income'!$E:$E)</f>
        <v>0</v>
      </c>
      <c r="M471" s="252"/>
      <c r="N471" s="273">
        <f t="shared" si="250"/>
        <v>0</v>
      </c>
      <c r="O471" s="12"/>
      <c r="P471" s="12"/>
      <c r="Q471" s="12"/>
      <c r="R471" s="12"/>
      <c r="S471" s="6">
        <f t="shared" si="213"/>
        <v>0</v>
      </c>
      <c r="T471" s="273">
        <f t="shared" ref="T471:T477" si="251">ROUND(SUM(U471:Y471),0)</f>
        <v>0</v>
      </c>
      <c r="U471" s="6">
        <f t="shared" ref="U471:U477" si="252">-SUM(BL471:BN471)</f>
        <v>0</v>
      </c>
      <c r="V471" s="6"/>
      <c r="W471" s="6">
        <f t="shared" ref="W471:W477" si="253">+H471</f>
        <v>0</v>
      </c>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X471" s="6"/>
      <c r="AY471" s="6">
        <f>ROUND(AX471/1000/Update!$B$31*Update!$B$27,0)</f>
        <v>0</v>
      </c>
      <c r="BA471" s="6"/>
      <c r="BB471" s="6">
        <f>ROUND(BA471/1000/Update!$B$31,0)</f>
        <v>0</v>
      </c>
      <c r="BC471" s="6"/>
      <c r="BD471" s="29">
        <f t="shared" si="232"/>
        <v>0</v>
      </c>
      <c r="BE471" s="317"/>
      <c r="BF471" s="317"/>
      <c r="BG471" s="317"/>
      <c r="BH471" s="317"/>
      <c r="BI471" s="317"/>
      <c r="BJ471" s="317"/>
      <c r="BK471" s="29">
        <f t="shared" si="211"/>
        <v>0</v>
      </c>
      <c r="BL471" s="317"/>
      <c r="BM471" s="317"/>
      <c r="BN471" s="317"/>
      <c r="BO471" s="317"/>
      <c r="BP471" s="317"/>
      <c r="BQ471" s="317"/>
      <c r="BR471" s="317"/>
      <c r="BS471" s="317"/>
      <c r="BT471" s="317"/>
      <c r="BU471" s="317"/>
      <c r="BV471" s="317"/>
      <c r="BW471" s="317"/>
      <c r="BX471" s="317"/>
      <c r="BY471" s="317"/>
      <c r="BZ471" s="317"/>
      <c r="CA471" s="317"/>
      <c r="CB471" s="317"/>
      <c r="CC471" s="317"/>
      <c r="CD471" s="317"/>
      <c r="CE471" s="317"/>
      <c r="CF471" s="317"/>
      <c r="CG471" s="317"/>
      <c r="CH471" s="317"/>
      <c r="CI471" s="317"/>
      <c r="CM471" s="1139">
        <v>0</v>
      </c>
      <c r="CN471" s="1139">
        <v>0</v>
      </c>
      <c r="CP471" s="923">
        <f t="shared" si="241"/>
        <v>0</v>
      </c>
      <c r="CZ471" s="330"/>
    </row>
    <row r="472" spans="1:104" ht="15" customHeight="1" x14ac:dyDescent="0.25">
      <c r="A472" s="684">
        <f>MAX($A$6:A471)+1</f>
        <v>472</v>
      </c>
      <c r="B472" s="3">
        <f t="shared" si="243"/>
        <v>4</v>
      </c>
      <c r="C472" s="11" t="str">
        <f t="shared" si="244"/>
        <v>Income</v>
      </c>
      <c r="D472" s="11" t="s">
        <v>166</v>
      </c>
      <c r="E472" s="675" t="s">
        <v>1936</v>
      </c>
      <c r="F472" s="351"/>
      <c r="G472" s="1254" t="s">
        <v>1936</v>
      </c>
      <c r="H472" s="6">
        <v>0</v>
      </c>
      <c r="I472" s="6">
        <v>0</v>
      </c>
      <c r="J472" s="1257" t="s">
        <v>1936</v>
      </c>
      <c r="K472" s="251">
        <f>SUMIF('alb Note 4 - Income'!$A:$A,$J472,'alb Note 4 - Income'!$B:$B)</f>
        <v>0</v>
      </c>
      <c r="L472" s="251">
        <f>SUMIF('alb Note 4 - Income'!$A:$A,$J472,'alb Note 4 - Income'!$E:$E)</f>
        <v>0</v>
      </c>
      <c r="M472" s="252"/>
      <c r="N472" s="273">
        <f t="shared" si="250"/>
        <v>0</v>
      </c>
      <c r="O472" s="12"/>
      <c r="P472" s="12"/>
      <c r="Q472" s="12"/>
      <c r="R472" s="12"/>
      <c r="S472" s="6">
        <f t="shared" si="213"/>
        <v>0</v>
      </c>
      <c r="T472" s="273">
        <f t="shared" si="251"/>
        <v>0</v>
      </c>
      <c r="U472" s="6">
        <f t="shared" si="252"/>
        <v>0</v>
      </c>
      <c r="V472" s="6"/>
      <c r="W472" s="6">
        <f t="shared" si="253"/>
        <v>0</v>
      </c>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X472" s="6"/>
      <c r="AY472" s="6">
        <f>ROUND(AX472/1000/Update!$B$31*Update!$B$27,0)</f>
        <v>0</v>
      </c>
      <c r="BA472" s="6"/>
      <c r="BB472" s="6">
        <f>ROUND(BA472/1000/Update!$B$31,0)</f>
        <v>0</v>
      </c>
      <c r="BC472" s="6"/>
      <c r="BD472" s="29">
        <f t="shared" si="232"/>
        <v>0</v>
      </c>
      <c r="BE472" s="317"/>
      <c r="BF472" s="317"/>
      <c r="BG472" s="317"/>
      <c r="BH472" s="317"/>
      <c r="BI472" s="317"/>
      <c r="BJ472" s="317"/>
      <c r="BK472" s="29">
        <f t="shared" si="211"/>
        <v>0</v>
      </c>
      <c r="BL472" s="317"/>
      <c r="BM472" s="317"/>
      <c r="BN472" s="317"/>
      <c r="BO472" s="317"/>
      <c r="BP472" s="317"/>
      <c r="BQ472" s="317"/>
      <c r="BR472" s="317"/>
      <c r="BS472" s="317"/>
      <c r="BT472" s="317"/>
      <c r="BU472" s="317"/>
      <c r="BV472" s="317"/>
      <c r="BW472" s="317"/>
      <c r="BX472" s="317"/>
      <c r="BY472" s="317"/>
      <c r="BZ472" s="317"/>
      <c r="CA472" s="317"/>
      <c r="CB472" s="317"/>
      <c r="CC472" s="317"/>
      <c r="CD472" s="317"/>
      <c r="CE472" s="317"/>
      <c r="CF472" s="317"/>
      <c r="CG472" s="317"/>
      <c r="CH472" s="317"/>
      <c r="CI472" s="317"/>
      <c r="CM472" s="1139">
        <v>0</v>
      </c>
      <c r="CN472" s="1139">
        <v>19597</v>
      </c>
      <c r="CP472" s="923">
        <f t="shared" si="241"/>
        <v>0</v>
      </c>
      <c r="CZ472" s="330"/>
    </row>
    <row r="473" spans="1:104" ht="25.5" customHeight="1" x14ac:dyDescent="0.25">
      <c r="A473" s="684">
        <f>MAX($A$6:A472)+1</f>
        <v>473</v>
      </c>
      <c r="B473" s="3">
        <f t="shared" si="243"/>
        <v>4</v>
      </c>
      <c r="C473" s="11" t="str">
        <f t="shared" si="244"/>
        <v>Income</v>
      </c>
      <c r="D473" s="11" t="s">
        <v>166</v>
      </c>
      <c r="E473" s="675" t="s">
        <v>1682</v>
      </c>
      <c r="F473" s="15"/>
      <c r="G473" s="1254" t="s">
        <v>1682</v>
      </c>
      <c r="H473" s="6">
        <v>0</v>
      </c>
      <c r="I473" s="6">
        <v>0</v>
      </c>
      <c r="J473" s="1257" t="s">
        <v>1682</v>
      </c>
      <c r="K473" s="251">
        <f>SUMIF('alb Note 4 - Income'!$A:$A,$J473,'alb Note 4 - Income'!$B:$B)</f>
        <v>0</v>
      </c>
      <c r="L473" s="251">
        <f>SUMIF('alb Note 4 - Income'!$A:$A,$J473,'alb Note 4 - Income'!$E:$E)</f>
        <v>0</v>
      </c>
      <c r="M473" s="252"/>
      <c r="N473" s="273">
        <f t="shared" si="250"/>
        <v>0</v>
      </c>
      <c r="O473" s="12"/>
      <c r="P473" s="12"/>
      <c r="Q473" s="12"/>
      <c r="R473" s="12"/>
      <c r="S473" s="6">
        <f t="shared" si="213"/>
        <v>0</v>
      </c>
      <c r="T473" s="273">
        <f t="shared" si="251"/>
        <v>0</v>
      </c>
      <c r="U473" s="6">
        <f t="shared" si="252"/>
        <v>0</v>
      </c>
      <c r="V473" s="6"/>
      <c r="W473" s="6">
        <f t="shared" si="253"/>
        <v>0</v>
      </c>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X473" s="6"/>
      <c r="AY473" s="6">
        <f>ROUND(AX473/1000/Update!$B$31*Update!$B$27,0)</f>
        <v>0</v>
      </c>
      <c r="BA473" s="6"/>
      <c r="BB473" s="6">
        <f>ROUND(BA473/1000/Update!$B$31,0)</f>
        <v>0</v>
      </c>
      <c r="BC473" s="6"/>
      <c r="BD473" s="29">
        <f t="shared" si="232"/>
        <v>0</v>
      </c>
      <c r="BE473" s="317"/>
      <c r="BF473" s="317"/>
      <c r="BG473" s="317"/>
      <c r="BH473" s="317"/>
      <c r="BI473" s="317"/>
      <c r="BJ473" s="317"/>
      <c r="BK473" s="29">
        <f t="shared" si="211"/>
        <v>0</v>
      </c>
      <c r="BL473" s="317"/>
      <c r="BM473" s="317"/>
      <c r="BN473" s="317"/>
      <c r="BO473" s="317"/>
      <c r="BP473" s="317"/>
      <c r="BQ473" s="317"/>
      <c r="BR473" s="317"/>
      <c r="BS473" s="317"/>
      <c r="BT473" s="317"/>
      <c r="BU473" s="317"/>
      <c r="BV473" s="317"/>
      <c r="BW473" s="317"/>
      <c r="BX473" s="317"/>
      <c r="BY473" s="317"/>
      <c r="BZ473" s="317"/>
      <c r="CA473" s="317"/>
      <c r="CB473" s="317"/>
      <c r="CC473" s="317"/>
      <c r="CD473" s="317"/>
      <c r="CE473" s="317"/>
      <c r="CF473" s="317"/>
      <c r="CG473" s="317"/>
      <c r="CH473" s="317"/>
      <c r="CI473" s="317"/>
      <c r="CM473" s="1139">
        <v>0</v>
      </c>
      <c r="CN473" s="1139">
        <v>0</v>
      </c>
      <c r="CP473" s="923">
        <f t="shared" si="241"/>
        <v>0</v>
      </c>
      <c r="CZ473" s="330"/>
    </row>
    <row r="474" spans="1:104" ht="15" customHeight="1" x14ac:dyDescent="0.25">
      <c r="A474" s="684">
        <f>MAX($A$6:A473)+1</f>
        <v>474</v>
      </c>
      <c r="B474" s="3">
        <f t="shared" si="243"/>
        <v>4</v>
      </c>
      <c r="C474" s="11" t="str">
        <f t="shared" si="244"/>
        <v>Income</v>
      </c>
      <c r="D474" s="11" t="s">
        <v>166</v>
      </c>
      <c r="E474" s="675" t="s">
        <v>1681</v>
      </c>
      <c r="F474" s="15"/>
      <c r="G474" s="1254" t="s">
        <v>1681</v>
      </c>
      <c r="H474" s="6">
        <v>0</v>
      </c>
      <c r="I474" s="6">
        <v>0</v>
      </c>
      <c r="J474" s="1257" t="s">
        <v>1681</v>
      </c>
      <c r="K474" s="251">
        <f>SUMIF('alb Note 4 - Income'!$A:$A,$J474,'alb Note 4 - Income'!$B:$B)</f>
        <v>0</v>
      </c>
      <c r="L474" s="251">
        <f>SUMIF('alb Note 4 - Income'!$A:$A,$J474,'alb Note 4 - Income'!$E:$E)</f>
        <v>0</v>
      </c>
      <c r="M474" s="252"/>
      <c r="N474" s="273">
        <f t="shared" si="250"/>
        <v>0</v>
      </c>
      <c r="O474" s="12"/>
      <c r="P474" s="12"/>
      <c r="Q474" s="12"/>
      <c r="R474" s="12"/>
      <c r="S474" s="6">
        <f t="shared" si="213"/>
        <v>0</v>
      </c>
      <c r="T474" s="273">
        <f t="shared" si="251"/>
        <v>0</v>
      </c>
      <c r="U474" s="6">
        <f t="shared" si="252"/>
        <v>0</v>
      </c>
      <c r="V474" s="1523">
        <f>IF(+BL431+BL388-BL479+BM431+BM388-BM479+BN431+BN388-BN479&lt;0,-(+BL431+BL388-BL479+BM431+BM388-BM479+BN431+BN388-BN479),0)</f>
        <v>0</v>
      </c>
      <c r="W474" s="6">
        <f t="shared" si="253"/>
        <v>0</v>
      </c>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X474" s="6"/>
      <c r="AY474" s="6">
        <f>ROUND(AX474/1000/Update!$B$31*Update!$B$27,0)</f>
        <v>0</v>
      </c>
      <c r="BA474" s="6"/>
      <c r="BB474" s="6">
        <f>ROUND(BA474/1000/Update!$B$31,0)</f>
        <v>0</v>
      </c>
      <c r="BC474" s="6"/>
      <c r="BD474" s="29">
        <f t="shared" si="232"/>
        <v>0</v>
      </c>
      <c r="BE474" s="317"/>
      <c r="BF474" s="317"/>
      <c r="BG474" s="317"/>
      <c r="BH474" s="317"/>
      <c r="BI474" s="317"/>
      <c r="BJ474" s="317"/>
      <c r="BK474" s="29">
        <f t="shared" si="211"/>
        <v>0</v>
      </c>
      <c r="BL474" s="317"/>
      <c r="BM474" s="317"/>
      <c r="BN474" s="317"/>
      <c r="BO474" s="317"/>
      <c r="BP474" s="317"/>
      <c r="BQ474" s="317"/>
      <c r="BR474" s="317"/>
      <c r="BS474" s="317"/>
      <c r="BT474" s="317"/>
      <c r="BU474" s="317"/>
      <c r="BV474" s="317"/>
      <c r="BW474" s="317"/>
      <c r="BX474" s="317"/>
      <c r="BY474" s="317"/>
      <c r="BZ474" s="317"/>
      <c r="CA474" s="317"/>
      <c r="CB474" s="317"/>
      <c r="CC474" s="317"/>
      <c r="CD474" s="317"/>
      <c r="CE474" s="317"/>
      <c r="CF474" s="317"/>
      <c r="CG474" s="317"/>
      <c r="CH474" s="317"/>
      <c r="CI474" s="317"/>
      <c r="CM474" s="1139">
        <v>-774</v>
      </c>
      <c r="CN474" s="1139">
        <v>189874</v>
      </c>
      <c r="CP474" s="923">
        <f t="shared" si="241"/>
        <v>-774</v>
      </c>
      <c r="CZ474" s="330"/>
    </row>
    <row r="475" spans="1:104" ht="15" customHeight="1" x14ac:dyDescent="0.25">
      <c r="A475" s="684">
        <f>MAX($A$6:A474)+1</f>
        <v>475</v>
      </c>
      <c r="B475" s="3">
        <f t="shared" si="243"/>
        <v>4</v>
      </c>
      <c r="C475" s="11" t="str">
        <f t="shared" si="244"/>
        <v>Income</v>
      </c>
      <c r="D475" s="11" t="s">
        <v>166</v>
      </c>
      <c r="E475" s="675" t="s">
        <v>2057</v>
      </c>
      <c r="F475" s="15"/>
      <c r="G475" s="1254" t="s">
        <v>2057</v>
      </c>
      <c r="H475" s="6">
        <v>0</v>
      </c>
      <c r="I475" s="6">
        <v>121</v>
      </c>
      <c r="J475" s="1257" t="s">
        <v>2057</v>
      </c>
      <c r="K475" s="251">
        <f>SUMIF('alb Note 4 - Income'!$A:$A,$J475,'alb Note 4 - Income'!$B:$B)</f>
        <v>0</v>
      </c>
      <c r="L475" s="251">
        <f>SUMIF('alb Note 4 - Income'!$A:$A,$J475,'alb Note 4 - Income'!$E:$E)</f>
        <v>0</v>
      </c>
      <c r="M475" s="252"/>
      <c r="N475" s="273">
        <f t="shared" si="250"/>
        <v>0</v>
      </c>
      <c r="O475" s="12"/>
      <c r="P475" s="12"/>
      <c r="Q475" s="12"/>
      <c r="R475" s="12"/>
      <c r="S475" s="6">
        <f t="shared" si="213"/>
        <v>0</v>
      </c>
      <c r="T475" s="273">
        <f t="shared" si="251"/>
        <v>0</v>
      </c>
      <c r="U475" s="6">
        <f t="shared" si="252"/>
        <v>0</v>
      </c>
      <c r="V475" s="6"/>
      <c r="W475" s="6">
        <f t="shared" si="253"/>
        <v>0</v>
      </c>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X475" s="6"/>
      <c r="AY475" s="6">
        <f>ROUND(AX475/1000/Update!$B$31*Update!$B$27,0)</f>
        <v>0</v>
      </c>
      <c r="BA475" s="6"/>
      <c r="BB475" s="6">
        <f>ROUND(BA475/1000/Update!$B$31,0)</f>
        <v>0</v>
      </c>
      <c r="BC475" s="6"/>
      <c r="BD475" s="29">
        <f t="shared" si="232"/>
        <v>0</v>
      </c>
      <c r="BE475" s="317"/>
      <c r="BF475" s="317"/>
      <c r="BG475" s="317"/>
      <c r="BH475" s="317"/>
      <c r="BI475" s="317"/>
      <c r="BJ475" s="317"/>
      <c r="BK475" s="29">
        <f t="shared" si="211"/>
        <v>0</v>
      </c>
      <c r="BL475" s="317"/>
      <c r="BM475" s="317"/>
      <c r="BN475" s="317"/>
      <c r="BO475" s="317"/>
      <c r="BP475" s="317"/>
      <c r="BQ475" s="317"/>
      <c r="BR475" s="317"/>
      <c r="BS475" s="317"/>
      <c r="BT475" s="317"/>
      <c r="BU475" s="317"/>
      <c r="BV475" s="317"/>
      <c r="BW475" s="317"/>
      <c r="BX475" s="317"/>
      <c r="BY475" s="317"/>
      <c r="BZ475" s="317"/>
      <c r="CA475" s="317"/>
      <c r="CB475" s="317"/>
      <c r="CC475" s="317"/>
      <c r="CD475" s="317"/>
      <c r="CE475" s="317"/>
      <c r="CF475" s="317"/>
      <c r="CG475" s="317"/>
      <c r="CH475" s="317"/>
      <c r="CI475" s="317"/>
      <c r="CM475" s="1139">
        <v>0</v>
      </c>
      <c r="CN475" s="1139">
        <v>121</v>
      </c>
      <c r="CP475" s="923">
        <f t="shared" si="241"/>
        <v>0</v>
      </c>
      <c r="CZ475" s="330"/>
    </row>
    <row r="476" spans="1:104" ht="25.5" customHeight="1" x14ac:dyDescent="0.25">
      <c r="A476" s="684">
        <f>MAX($A$6:A475)+1</f>
        <v>476</v>
      </c>
      <c r="B476" s="3">
        <f>B474</f>
        <v>4</v>
      </c>
      <c r="C476" s="11" t="str">
        <f>C474</f>
        <v>Income</v>
      </c>
      <c r="D476" s="11" t="s">
        <v>166</v>
      </c>
      <c r="E476" s="675" t="s">
        <v>1680</v>
      </c>
      <c r="F476" s="15"/>
      <c r="G476" s="1254" t="s">
        <v>1680</v>
      </c>
      <c r="H476" s="6">
        <v>0</v>
      </c>
      <c r="I476" s="6">
        <v>0</v>
      </c>
      <c r="J476" s="1257" t="s">
        <v>1680</v>
      </c>
      <c r="K476" s="251">
        <f>SUMIF('alb Note 4 - Income'!$A:$A,$J476,'alb Note 4 - Income'!$B:$B)</f>
        <v>0</v>
      </c>
      <c r="L476" s="251">
        <f>SUMIF('alb Note 4 - Income'!$A:$A,$J476,'alb Note 4 - Income'!$E:$E)</f>
        <v>0</v>
      </c>
      <c r="M476" s="252"/>
      <c r="N476" s="273">
        <f t="shared" si="250"/>
        <v>0</v>
      </c>
      <c r="O476" s="12"/>
      <c r="P476" s="12"/>
      <c r="Q476" s="12"/>
      <c r="R476" s="12"/>
      <c r="S476" s="6">
        <f t="shared" si="213"/>
        <v>0</v>
      </c>
      <c r="T476" s="273">
        <f t="shared" si="251"/>
        <v>0</v>
      </c>
      <c r="U476" s="6">
        <f t="shared" si="252"/>
        <v>0</v>
      </c>
      <c r="V476" s="6"/>
      <c r="W476" s="6">
        <f t="shared" si="253"/>
        <v>0</v>
      </c>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X476" s="6"/>
      <c r="AY476" s="6">
        <f>ROUND(AX476/1000/Update!$B$31*Update!$B$27,0)</f>
        <v>0</v>
      </c>
      <c r="BA476" s="6"/>
      <c r="BB476" s="6">
        <f>ROUND(BA476/1000/Update!$B$31,0)</f>
        <v>0</v>
      </c>
      <c r="BC476" s="6"/>
      <c r="BD476" s="29">
        <f t="shared" si="232"/>
        <v>0</v>
      </c>
      <c r="BE476" s="317"/>
      <c r="BF476" s="317"/>
      <c r="BG476" s="317"/>
      <c r="BH476" s="317"/>
      <c r="BI476" s="317"/>
      <c r="BJ476" s="317"/>
      <c r="BK476" s="29">
        <f t="shared" si="211"/>
        <v>0</v>
      </c>
      <c r="BL476" s="317"/>
      <c r="BM476" s="317"/>
      <c r="BN476" s="317"/>
      <c r="BO476" s="317"/>
      <c r="BP476" s="317"/>
      <c r="BQ476" s="317"/>
      <c r="BR476" s="317"/>
      <c r="BS476" s="317"/>
      <c r="BT476" s="317"/>
      <c r="BU476" s="317"/>
      <c r="BV476" s="317"/>
      <c r="BW476" s="317"/>
      <c r="BX476" s="317"/>
      <c r="BY476" s="317"/>
      <c r="BZ476" s="317"/>
      <c r="CA476" s="317"/>
      <c r="CB476" s="317"/>
      <c r="CC476" s="317"/>
      <c r="CD476" s="317"/>
      <c r="CE476" s="317"/>
      <c r="CF476" s="317"/>
      <c r="CG476" s="317"/>
      <c r="CH476" s="317"/>
      <c r="CI476" s="317"/>
      <c r="CM476" s="1139">
        <v>0</v>
      </c>
      <c r="CN476" s="1139">
        <v>0</v>
      </c>
      <c r="CP476" s="923">
        <f t="shared" si="241"/>
        <v>0</v>
      </c>
      <c r="CZ476" s="330"/>
    </row>
    <row r="477" spans="1:104" ht="15" customHeight="1" x14ac:dyDescent="0.25">
      <c r="A477" s="684">
        <f>MAX($A$6:A476)+1</f>
        <v>477</v>
      </c>
      <c r="B477" s="3">
        <f t="shared" si="243"/>
        <v>4</v>
      </c>
      <c r="C477" s="11" t="str">
        <f t="shared" si="244"/>
        <v>Income</v>
      </c>
      <c r="D477" s="11" t="s">
        <v>166</v>
      </c>
      <c r="E477" s="675" t="s">
        <v>2052</v>
      </c>
      <c r="F477" s="15"/>
      <c r="G477" s="1254" t="s">
        <v>2052</v>
      </c>
      <c r="H477" s="6">
        <v>0</v>
      </c>
      <c r="I477" s="6">
        <v>0</v>
      </c>
      <c r="J477" s="1257" t="s">
        <v>2052</v>
      </c>
      <c r="K477" s="251">
        <f>SUMIF('alb Note 4 - Income'!$A:$A,$J477,'alb Note 4 - Income'!$B:$B)</f>
        <v>0</v>
      </c>
      <c r="L477" s="251">
        <f>SUMIF('alb Note 4 - Income'!$A:$A,$J477,'alb Note 4 - Income'!$E:$E)</f>
        <v>0</v>
      </c>
      <c r="M477" s="252"/>
      <c r="N477" s="273">
        <f t="shared" si="250"/>
        <v>0</v>
      </c>
      <c r="O477" s="12"/>
      <c r="P477" s="12"/>
      <c r="Q477" s="12"/>
      <c r="R477" s="12"/>
      <c r="S477" s="6">
        <f t="shared" si="213"/>
        <v>0</v>
      </c>
      <c r="T477" s="273">
        <f t="shared" si="251"/>
        <v>0</v>
      </c>
      <c r="U477" s="6">
        <f t="shared" si="252"/>
        <v>0</v>
      </c>
      <c r="V477" s="6"/>
      <c r="W477" s="6">
        <f t="shared" si="253"/>
        <v>0</v>
      </c>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X477" s="6"/>
      <c r="AY477" s="6"/>
      <c r="BA477" s="6"/>
      <c r="BB477" s="6"/>
      <c r="BC477" s="6"/>
      <c r="BD477" s="29">
        <f t="shared" si="232"/>
        <v>0</v>
      </c>
      <c r="BE477" s="317"/>
      <c r="BF477" s="317"/>
      <c r="BG477" s="317"/>
      <c r="BH477" s="317"/>
      <c r="BI477" s="317"/>
      <c r="BJ477" s="317"/>
      <c r="BK477" s="29">
        <f t="shared" si="211"/>
        <v>0</v>
      </c>
      <c r="BL477" s="317"/>
      <c r="BM477" s="317"/>
      <c r="BN477" s="317"/>
      <c r="BO477" s="317"/>
      <c r="BP477" s="317"/>
      <c r="BQ477" s="317"/>
      <c r="BR477" s="317"/>
      <c r="BS477" s="317"/>
      <c r="BT477" s="317"/>
      <c r="BU477" s="317"/>
      <c r="BV477" s="317"/>
      <c r="BW477" s="317"/>
      <c r="BX477" s="317"/>
      <c r="BY477" s="317"/>
      <c r="BZ477" s="317"/>
      <c r="CA477" s="317"/>
      <c r="CB477" s="317"/>
      <c r="CC477" s="317"/>
      <c r="CD477" s="317"/>
      <c r="CE477" s="317"/>
      <c r="CF477" s="317"/>
      <c r="CG477" s="317"/>
      <c r="CH477" s="317"/>
      <c r="CI477" s="317"/>
      <c r="CM477" s="1139">
        <v>0</v>
      </c>
      <c r="CN477" s="1139">
        <v>0</v>
      </c>
      <c r="CP477" s="923">
        <f t="shared" si="241"/>
        <v>0</v>
      </c>
      <c r="CZ477" s="330"/>
    </row>
    <row r="478" spans="1:104" ht="15" customHeight="1" x14ac:dyDescent="0.25">
      <c r="A478" s="1292">
        <f>MAX($A$6:A477)+1</f>
        <v>478</v>
      </c>
      <c r="B478" s="1291">
        <f t="shared" si="243"/>
        <v>4</v>
      </c>
      <c r="C478" s="18" t="str">
        <f t="shared" si="244"/>
        <v>Income</v>
      </c>
      <c r="D478" s="18" t="s">
        <v>166</v>
      </c>
      <c r="E478" s="19" t="s">
        <v>1679</v>
      </c>
      <c r="F478" s="20"/>
      <c r="G478" s="28"/>
      <c r="H478" s="14">
        <f>SUM(H470:H477)</f>
        <v>0</v>
      </c>
      <c r="I478" s="14">
        <f>SUM(I470:I477)</f>
        <v>121</v>
      </c>
      <c r="J478" s="1258" t="s">
        <v>286</v>
      </c>
      <c r="K478" s="256">
        <f>SUM(K470:K477)</f>
        <v>0</v>
      </c>
      <c r="L478" s="256">
        <f>SUM(L470:L477)</f>
        <v>0</v>
      </c>
      <c r="M478" s="21"/>
      <c r="N478" s="14">
        <f>SUM(N470:N477)</f>
        <v>0</v>
      </c>
      <c r="O478" s="14">
        <f>SUM(O470:O477)</f>
        <v>0</v>
      </c>
      <c r="P478" s="14">
        <f>SUM(P470:P477)</f>
        <v>0</v>
      </c>
      <c r="Q478" s="14">
        <f>SUM(Q470:Q477)</f>
        <v>0</v>
      </c>
      <c r="R478" s="14">
        <f>SUM(R470:R477)</f>
        <v>0</v>
      </c>
      <c r="S478" s="14">
        <f t="shared" ref="S478:S498" si="254">-IF(ISNUMBER(BD478),BD478,0)</f>
        <v>0</v>
      </c>
      <c r="T478" s="14">
        <f>SUM(T470:T477)</f>
        <v>0</v>
      </c>
      <c r="U478" s="14">
        <f>SUM(U470:U477)</f>
        <v>0</v>
      </c>
      <c r="V478" s="14">
        <f>SUM(V470:V477)</f>
        <v>0</v>
      </c>
      <c r="W478" s="14">
        <f>SUM(W470:W477)</f>
        <v>0</v>
      </c>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2"/>
      <c r="AX478" s="14">
        <f>SUM(AX470:AX477)</f>
        <v>0</v>
      </c>
      <c r="AY478" s="14">
        <f>ROUND(AX478/1000/Update!$B$31*Update!$B$27,0)</f>
        <v>0</v>
      </c>
      <c r="AZ478" s="2"/>
      <c r="BA478" s="14">
        <f>SUM(BA470:BA477)</f>
        <v>0</v>
      </c>
      <c r="BB478" s="14">
        <f>ROUND(BA478/1000/Update!$B$31,0)</f>
        <v>0</v>
      </c>
      <c r="BC478" s="919"/>
      <c r="BD478" s="848">
        <f>SUM(BD470:BD477)</f>
        <v>0</v>
      </c>
      <c r="BE478" s="318">
        <f t="shared" ref="BE478:BJ478" si="255">SUM(BE470:BE477)</f>
        <v>0</v>
      </c>
      <c r="BF478" s="318">
        <f t="shared" si="255"/>
        <v>0</v>
      </c>
      <c r="BG478" s="318">
        <f t="shared" si="255"/>
        <v>0</v>
      </c>
      <c r="BH478" s="318">
        <f t="shared" si="255"/>
        <v>0</v>
      </c>
      <c r="BI478" s="318">
        <f t="shared" si="255"/>
        <v>0</v>
      </c>
      <c r="BJ478" s="318">
        <f t="shared" si="255"/>
        <v>0</v>
      </c>
      <c r="BK478" s="848">
        <f t="shared" si="211"/>
        <v>0</v>
      </c>
      <c r="BL478" s="318"/>
      <c r="BM478" s="318"/>
      <c r="BN478" s="318"/>
      <c r="BO478" s="318"/>
      <c r="BP478" s="318"/>
      <c r="BQ478" s="318"/>
      <c r="BR478" s="318"/>
      <c r="BS478" s="318"/>
      <c r="BT478" s="318"/>
      <c r="BU478" s="318"/>
      <c r="BV478" s="318"/>
      <c r="BW478" s="318"/>
      <c r="BX478" s="318"/>
      <c r="BY478" s="318"/>
      <c r="BZ478" s="318"/>
      <c r="CA478" s="318"/>
      <c r="CB478" s="318"/>
      <c r="CC478" s="318"/>
      <c r="CD478" s="318"/>
      <c r="CE478" s="318"/>
      <c r="CF478" s="318"/>
      <c r="CG478" s="318"/>
      <c r="CH478" s="318"/>
      <c r="CI478" s="318"/>
      <c r="CJ478" s="2"/>
      <c r="CK478" s="2"/>
      <c r="CM478" s="1140">
        <v>-774</v>
      </c>
      <c r="CN478" s="1140">
        <v>209592</v>
      </c>
      <c r="CP478" s="923">
        <f t="shared" si="241"/>
        <v>-774</v>
      </c>
      <c r="CZ478" s="330"/>
    </row>
    <row r="479" spans="1:104" ht="15" customHeight="1" x14ac:dyDescent="0.25">
      <c r="A479" s="1292">
        <f>MAX($A$6:A478)+1</f>
        <v>479</v>
      </c>
      <c r="B479" s="1291">
        <f t="shared" si="243"/>
        <v>4</v>
      </c>
      <c r="C479" s="18" t="str">
        <f t="shared" si="244"/>
        <v>Income</v>
      </c>
      <c r="D479" s="18" t="s">
        <v>166</v>
      </c>
      <c r="E479" s="19" t="s">
        <v>146</v>
      </c>
      <c r="F479" s="20"/>
      <c r="G479" s="28"/>
      <c r="H479" s="14">
        <f>H478+H469</f>
        <v>0</v>
      </c>
      <c r="I479" s="14">
        <f>I478+I469</f>
        <v>121</v>
      </c>
      <c r="J479" s="1258" t="s">
        <v>286</v>
      </c>
      <c r="K479" s="256">
        <f>K478+K469</f>
        <v>0</v>
      </c>
      <c r="L479" s="256">
        <f>L478+L469</f>
        <v>0</v>
      </c>
      <c r="M479" s="21"/>
      <c r="N479" s="14">
        <f t="shared" ref="N479:R479" si="256">N478+N469</f>
        <v>0</v>
      </c>
      <c r="O479" s="14">
        <f t="shared" si="256"/>
        <v>0</v>
      </c>
      <c r="P479" s="14">
        <f t="shared" si="256"/>
        <v>0</v>
      </c>
      <c r="Q479" s="14">
        <f t="shared" si="256"/>
        <v>0</v>
      </c>
      <c r="R479" s="14">
        <f t="shared" si="256"/>
        <v>0</v>
      </c>
      <c r="S479" s="14">
        <f t="shared" si="254"/>
        <v>0</v>
      </c>
      <c r="T479" s="14">
        <f>T478+T469</f>
        <v>0</v>
      </c>
      <c r="U479" s="14">
        <f>U478+U469</f>
        <v>0</v>
      </c>
      <c r="V479" s="14">
        <f>V478+V469</f>
        <v>0</v>
      </c>
      <c r="W479" s="14">
        <f>W478+W469</f>
        <v>0</v>
      </c>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2"/>
      <c r="AX479" s="14">
        <f>SUM(AX478+AX469)</f>
        <v>0</v>
      </c>
      <c r="AY479" s="14">
        <f>ROUND(AX479/1000/Update!$B$31*Update!$B$27,0)</f>
        <v>0</v>
      </c>
      <c r="AZ479" s="2"/>
      <c r="BA479" s="14">
        <f>SUM(BA478+BA469)</f>
        <v>0</v>
      </c>
      <c r="BB479" s="14">
        <f>ROUND(BA479/1000/Update!$B$31,0)</f>
        <v>0</v>
      </c>
      <c r="BC479" s="919" t="e">
        <f>BD479/N479</f>
        <v>#DIV/0!</v>
      </c>
      <c r="BD479" s="14">
        <f>BD478+BD469</f>
        <v>0</v>
      </c>
      <c r="BE479" s="318">
        <f t="shared" ref="BE479:BJ480" si="257">SUM(BE478+BE469)</f>
        <v>0</v>
      </c>
      <c r="BF479" s="318">
        <f t="shared" si="257"/>
        <v>0</v>
      </c>
      <c r="BG479" s="318">
        <f t="shared" si="257"/>
        <v>0</v>
      </c>
      <c r="BH479" s="318">
        <f t="shared" si="257"/>
        <v>0</v>
      </c>
      <c r="BI479" s="318">
        <f t="shared" si="257"/>
        <v>0</v>
      </c>
      <c r="BJ479" s="318">
        <f t="shared" si="257"/>
        <v>0</v>
      </c>
      <c r="BK479" s="14">
        <f t="shared" si="211"/>
        <v>0</v>
      </c>
      <c r="BL479" s="318"/>
      <c r="BM479" s="318"/>
      <c r="BN479" s="318"/>
      <c r="BO479" s="318"/>
      <c r="BP479" s="318"/>
      <c r="BQ479" s="318"/>
      <c r="BR479" s="318"/>
      <c r="BS479" s="318"/>
      <c r="BT479" s="318"/>
      <c r="BU479" s="318"/>
      <c r="BV479" s="318"/>
      <c r="BW479" s="318"/>
      <c r="BX479" s="318"/>
      <c r="BY479" s="318"/>
      <c r="BZ479" s="318"/>
      <c r="CA479" s="318"/>
      <c r="CB479" s="318"/>
      <c r="CC479" s="318"/>
      <c r="CD479" s="318"/>
      <c r="CE479" s="318"/>
      <c r="CF479" s="318"/>
      <c r="CG479" s="318"/>
      <c r="CH479" s="318"/>
      <c r="CI479" s="318"/>
      <c r="CJ479" s="2"/>
      <c r="CK479" s="2"/>
      <c r="CM479" s="1140">
        <v>-3789</v>
      </c>
      <c r="CN479" s="1140">
        <v>480078</v>
      </c>
      <c r="CP479" s="923">
        <f t="shared" si="241"/>
        <v>-3789</v>
      </c>
      <c r="CZ479" s="330"/>
    </row>
    <row r="480" spans="1:104" ht="30" x14ac:dyDescent="0.25">
      <c r="A480" s="684">
        <f>MAX($A$6:A479)+1</f>
        <v>480</v>
      </c>
      <c r="B480" s="3">
        <f t="shared" si="243"/>
        <v>4</v>
      </c>
      <c r="C480" s="11" t="str">
        <f t="shared" si="244"/>
        <v>Income</v>
      </c>
      <c r="D480" s="11" t="s">
        <v>148</v>
      </c>
      <c r="E480" s="7" t="s">
        <v>2660</v>
      </c>
      <c r="F480" s="15"/>
      <c r="G480" s="7" t="s">
        <v>2804</v>
      </c>
      <c r="H480" s="6">
        <v>0</v>
      </c>
      <c r="I480" s="6">
        <v>0</v>
      </c>
      <c r="J480" s="1257" t="s">
        <v>286</v>
      </c>
      <c r="K480" s="266">
        <f>K479+K470</f>
        <v>0</v>
      </c>
      <c r="L480" s="266">
        <f>L479+L470</f>
        <v>0</v>
      </c>
      <c r="M480" s="252"/>
      <c r="N480" s="273">
        <f t="shared" ref="N480" si="258">ROUND(SUM(O480:S480)+SUM(W480:AV480),0)</f>
        <v>0</v>
      </c>
      <c r="O480" s="12"/>
      <c r="P480" s="12"/>
      <c r="Q480" s="12"/>
      <c r="R480" s="12"/>
      <c r="S480" s="6">
        <f t="shared" ref="S480" si="259">-IF(ISNUMBER(BD480),BD480,0)</f>
        <v>0</v>
      </c>
      <c r="T480" s="273">
        <f t="shared" ref="T480:T495" si="260">ROUND(SUM(U480:Y480),0)</f>
        <v>0</v>
      </c>
      <c r="U480" s="6"/>
      <c r="V480" s="6"/>
      <c r="W480" s="6">
        <f t="shared" ref="W480" si="261">+H480</f>
        <v>0</v>
      </c>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X480" s="6">
        <f>SUM(AX479+AX470)</f>
        <v>0</v>
      </c>
      <c r="AY480" s="6">
        <f>ROUND(AX480/1000/Update!$B$31*Update!$B$27,0)</f>
        <v>0</v>
      </c>
      <c r="BA480" s="6">
        <f>SUM(BA479+BA470)</f>
        <v>0</v>
      </c>
      <c r="BB480" s="6">
        <f>ROUND(BA480/1000/Update!$B$31,0)</f>
        <v>0</v>
      </c>
      <c r="BC480" s="6"/>
      <c r="BD480" s="29">
        <f>ROUND(SUM(BE480:BK480),0)</f>
        <v>0</v>
      </c>
      <c r="BE480" s="322">
        <f t="shared" si="257"/>
        <v>0</v>
      </c>
      <c r="BF480" s="322">
        <f t="shared" si="257"/>
        <v>0</v>
      </c>
      <c r="BG480" s="322">
        <f t="shared" si="257"/>
        <v>0</v>
      </c>
      <c r="BH480" s="322">
        <f t="shared" si="257"/>
        <v>0</v>
      </c>
      <c r="BI480" s="322">
        <f t="shared" si="257"/>
        <v>0</v>
      </c>
      <c r="BJ480" s="322"/>
      <c r="BK480" s="29">
        <f t="shared" ref="BK480" si="262">ROUND(SUM(BO480:CI480),0)</f>
        <v>0</v>
      </c>
      <c r="BL480" s="322"/>
      <c r="BM480" s="322"/>
      <c r="BN480" s="322"/>
      <c r="BO480" s="322"/>
      <c r="BP480" s="322"/>
      <c r="BQ480" s="322"/>
      <c r="BR480" s="322"/>
      <c r="BS480" s="322"/>
      <c r="BT480" s="322"/>
      <c r="BU480" s="322"/>
      <c r="BV480" s="322"/>
      <c r="BW480" s="322"/>
      <c r="BX480" s="322"/>
      <c r="BY480" s="322"/>
      <c r="BZ480" s="322"/>
      <c r="CA480" s="322"/>
      <c r="CB480" s="322"/>
      <c r="CC480" s="322"/>
      <c r="CD480" s="322"/>
      <c r="CE480" s="322"/>
      <c r="CF480" s="322"/>
      <c r="CG480" s="322"/>
      <c r="CH480" s="322"/>
      <c r="CI480" s="322"/>
      <c r="CM480" s="1139">
        <v>0</v>
      </c>
      <c r="CN480" s="1139">
        <v>0</v>
      </c>
      <c r="CP480" s="923">
        <f t="shared" si="241"/>
        <v>0</v>
      </c>
      <c r="CZ480" s="330"/>
    </row>
    <row r="481" spans="1:104" ht="15" customHeight="1" x14ac:dyDescent="0.25">
      <c r="A481" s="684">
        <f>MAX($A$6:A480)+1</f>
        <v>481</v>
      </c>
      <c r="B481" s="3">
        <f>B479</f>
        <v>4</v>
      </c>
      <c r="C481" s="11" t="str">
        <f>C479</f>
        <v>Income</v>
      </c>
      <c r="D481" s="11" t="s">
        <v>179</v>
      </c>
      <c r="E481" s="7"/>
      <c r="F481" s="15"/>
      <c r="G481" s="26"/>
      <c r="H481" s="6"/>
      <c r="I481" s="6"/>
      <c r="J481" s="1257" t="s">
        <v>286</v>
      </c>
      <c r="K481" s="266"/>
      <c r="L481" s="266"/>
      <c r="M481" s="252"/>
      <c r="N481" s="273">
        <f>ROUND(SUM(O481:S481)+SUM(W481:AV481),0)</f>
        <v>0</v>
      </c>
      <c r="O481" s="12"/>
      <c r="P481" s="12"/>
      <c r="Q481" s="12"/>
      <c r="R481" s="12"/>
      <c r="S481" s="6">
        <f t="shared" si="254"/>
        <v>0</v>
      </c>
      <c r="T481" s="273">
        <f t="shared" si="260"/>
        <v>0</v>
      </c>
      <c r="U481" s="6">
        <f>SUM(BL481:BN481)</f>
        <v>0</v>
      </c>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X481" s="6"/>
      <c r="AY481" s="6">
        <f>ROUND(AX481/1000/Update!$B$31*Update!$B$27,0)</f>
        <v>0</v>
      </c>
      <c r="BA481" s="6"/>
      <c r="BB481" s="6">
        <f>ROUND(BA481/1000/Update!$B$31,0)</f>
        <v>0</v>
      </c>
      <c r="BC481" s="6"/>
      <c r="BD481" s="29">
        <f t="shared" si="232"/>
        <v>0</v>
      </c>
      <c r="BE481" s="322"/>
      <c r="BF481" s="322"/>
      <c r="BG481" s="322"/>
      <c r="BH481" s="322"/>
      <c r="BI481" s="322"/>
      <c r="BJ481" s="322"/>
      <c r="BK481" s="29">
        <f t="shared" si="211"/>
        <v>0</v>
      </c>
      <c r="BL481" s="322"/>
      <c r="BM481" s="322"/>
      <c r="BN481" s="322"/>
      <c r="BO481" s="322"/>
      <c r="BP481" s="322"/>
      <c r="BQ481" s="322"/>
      <c r="BR481" s="322"/>
      <c r="BS481" s="322"/>
      <c r="BT481" s="322"/>
      <c r="BU481" s="322"/>
      <c r="BV481" s="322"/>
      <c r="BW481" s="322"/>
      <c r="BX481" s="322"/>
      <c r="BY481" s="322"/>
      <c r="BZ481" s="322"/>
      <c r="CA481" s="322"/>
      <c r="CB481" s="322"/>
      <c r="CC481" s="322"/>
      <c r="CD481" s="322"/>
      <c r="CE481" s="322"/>
      <c r="CF481" s="322"/>
      <c r="CG481" s="322"/>
      <c r="CH481" s="322"/>
      <c r="CI481" s="322"/>
      <c r="CM481" s="1139">
        <v>0</v>
      </c>
      <c r="CN481" s="1139">
        <v>0</v>
      </c>
      <c r="CP481" s="923">
        <f t="shared" si="241"/>
        <v>0</v>
      </c>
      <c r="CZ481" s="330"/>
    </row>
    <row r="482" spans="1:104" ht="45" customHeight="1" x14ac:dyDescent="0.25">
      <c r="A482" s="684">
        <f>MAX($A$6:A481)+1</f>
        <v>482</v>
      </c>
      <c r="B482" s="3">
        <f t="shared" ref="B482:C484" si="263">B481</f>
        <v>4</v>
      </c>
      <c r="C482" s="11" t="str">
        <f t="shared" si="263"/>
        <v>Income</v>
      </c>
      <c r="D482" s="11" t="s">
        <v>179</v>
      </c>
      <c r="E482" s="8" t="s">
        <v>175</v>
      </c>
      <c r="F482" s="15"/>
      <c r="G482" s="1279" t="s">
        <v>176</v>
      </c>
      <c r="H482" s="253"/>
      <c r="J482" s="1257" t="s">
        <v>286</v>
      </c>
      <c r="K482" s="266"/>
      <c r="L482" s="266"/>
      <c r="M482" s="10" t="s">
        <v>177</v>
      </c>
      <c r="N482" s="273">
        <f>ROUND(SUM(O482:S482)+SUM(W482:AV482),0)</f>
        <v>0</v>
      </c>
      <c r="O482" s="12"/>
      <c r="P482" s="12"/>
      <c r="Q482" s="12"/>
      <c r="R482" s="12"/>
      <c r="S482" s="6">
        <f t="shared" si="254"/>
        <v>0</v>
      </c>
      <c r="T482" s="273">
        <f t="shared" si="260"/>
        <v>0</v>
      </c>
      <c r="U482" s="6">
        <f>SUM(BL482:BN482)</f>
        <v>0</v>
      </c>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X482" s="6"/>
      <c r="AY482" s="6">
        <f>ROUND(AX482/1000/Update!$B$31*Update!$B$27,0)</f>
        <v>0</v>
      </c>
      <c r="BA482" s="6"/>
      <c r="BB482" s="6">
        <f>ROUND(BA482/1000/Update!$B$31,0)</f>
        <v>0</v>
      </c>
      <c r="BC482" s="6"/>
      <c r="BD482" s="29">
        <f t="shared" si="232"/>
        <v>0</v>
      </c>
      <c r="BE482" s="322"/>
      <c r="BF482" s="322"/>
      <c r="BG482" s="322"/>
      <c r="BH482" s="322"/>
      <c r="BI482" s="322"/>
      <c r="BJ482" s="322"/>
      <c r="BK482" s="29">
        <f t="shared" si="211"/>
        <v>0</v>
      </c>
      <c r="BL482" s="322"/>
      <c r="BM482" s="322"/>
      <c r="BN482" s="322"/>
      <c r="BO482" s="322"/>
      <c r="BP482" s="322"/>
      <c r="BQ482" s="322"/>
      <c r="BR482" s="322"/>
      <c r="BS482" s="322"/>
      <c r="BT482" s="322"/>
      <c r="BU482" s="322"/>
      <c r="BV482" s="322"/>
      <c r="BW482" s="322"/>
      <c r="BX482" s="322"/>
      <c r="BY482" s="322"/>
      <c r="BZ482" s="322"/>
      <c r="CA482" s="322"/>
      <c r="CB482" s="322"/>
      <c r="CC482" s="322"/>
      <c r="CD482" s="322"/>
      <c r="CE482" s="322"/>
      <c r="CF482" s="322"/>
      <c r="CG482" s="322"/>
      <c r="CH482" s="322"/>
      <c r="CI482" s="322"/>
      <c r="CM482" s="1139">
        <v>0</v>
      </c>
      <c r="CN482" s="1139">
        <v>0</v>
      </c>
      <c r="CP482" s="923">
        <f t="shared" si="241"/>
        <v>0</v>
      </c>
      <c r="CZ482" s="330"/>
    </row>
    <row r="483" spans="1:104" ht="45" customHeight="1" x14ac:dyDescent="0.25">
      <c r="A483" s="684">
        <f>MAX($A$6:A482)+1</f>
        <v>483</v>
      </c>
      <c r="B483" s="3">
        <f t="shared" si="263"/>
        <v>4</v>
      </c>
      <c r="C483" s="11" t="str">
        <f t="shared" si="263"/>
        <v>Income</v>
      </c>
      <c r="D483" s="11" t="s">
        <v>179</v>
      </c>
      <c r="E483" s="8" t="s">
        <v>175</v>
      </c>
      <c r="F483" s="15"/>
      <c r="G483" s="1279" t="s">
        <v>176</v>
      </c>
      <c r="H483" s="1190"/>
      <c r="I483" s="6"/>
      <c r="J483" s="1257" t="s">
        <v>286</v>
      </c>
      <c r="K483" s="266"/>
      <c r="L483" s="266"/>
      <c r="M483" s="252"/>
      <c r="N483" s="273">
        <f>ROUND(SUM(O483:S483)+SUM(W483:AV483),0)</f>
        <v>0</v>
      </c>
      <c r="O483" s="12"/>
      <c r="P483" s="12"/>
      <c r="Q483" s="12"/>
      <c r="R483" s="12"/>
      <c r="S483" s="6">
        <f t="shared" si="254"/>
        <v>0</v>
      </c>
      <c r="T483" s="273">
        <f t="shared" si="260"/>
        <v>0</v>
      </c>
      <c r="U483" s="6">
        <f>SUM(BL483:BN483)</f>
        <v>0</v>
      </c>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X483" s="6"/>
      <c r="AY483" s="6">
        <f>ROUND(AX483/1000/Update!$B$31*Update!$B$27,0)</f>
        <v>0</v>
      </c>
      <c r="BA483" s="6"/>
      <c r="BB483" s="6">
        <f>ROUND(BA483/1000/Update!$B$31,0)</f>
        <v>0</v>
      </c>
      <c r="BC483" s="6"/>
      <c r="BD483" s="29">
        <f t="shared" si="232"/>
        <v>0</v>
      </c>
      <c r="BE483" s="322"/>
      <c r="BF483" s="322"/>
      <c r="BG483" s="322"/>
      <c r="BH483" s="322"/>
      <c r="BI483" s="322"/>
      <c r="BJ483" s="322"/>
      <c r="BK483" s="29">
        <f t="shared" si="211"/>
        <v>0</v>
      </c>
      <c r="BL483" s="322"/>
      <c r="BM483" s="322"/>
      <c r="BN483" s="322"/>
      <c r="BO483" s="322"/>
      <c r="BP483" s="322"/>
      <c r="BQ483" s="322"/>
      <c r="BR483" s="322"/>
      <c r="BS483" s="322"/>
      <c r="BT483" s="322"/>
      <c r="BU483" s="322"/>
      <c r="BV483" s="322"/>
      <c r="BW483" s="322"/>
      <c r="BX483" s="322"/>
      <c r="BY483" s="322"/>
      <c r="BZ483" s="322"/>
      <c r="CA483" s="322"/>
      <c r="CB483" s="322"/>
      <c r="CC483" s="322"/>
      <c r="CD483" s="322"/>
      <c r="CE483" s="322"/>
      <c r="CF483" s="322"/>
      <c r="CG483" s="322"/>
      <c r="CH483" s="322"/>
      <c r="CI483" s="322"/>
      <c r="CM483" s="1139">
        <v>0</v>
      </c>
      <c r="CN483" s="1139">
        <v>0</v>
      </c>
      <c r="CP483" s="923">
        <f t="shared" si="241"/>
        <v>0</v>
      </c>
      <c r="CZ483" s="330"/>
    </row>
    <row r="484" spans="1:104" ht="60" customHeight="1" x14ac:dyDescent="0.25">
      <c r="A484" s="684">
        <f>MAX($A$6:A483)+1</f>
        <v>484</v>
      </c>
      <c r="B484" s="3">
        <f t="shared" si="263"/>
        <v>4</v>
      </c>
      <c r="C484" s="11" t="str">
        <f t="shared" si="263"/>
        <v>Income</v>
      </c>
      <c r="D484" s="11" t="s">
        <v>179</v>
      </c>
      <c r="E484" s="8" t="s">
        <v>2464</v>
      </c>
      <c r="F484" s="15"/>
      <c r="G484" s="1279" t="s">
        <v>176</v>
      </c>
      <c r="H484" s="1190"/>
      <c r="I484" s="6"/>
      <c r="J484" s="1257" t="s">
        <v>286</v>
      </c>
      <c r="K484" s="266"/>
      <c r="L484" s="266"/>
      <c r="M484" s="10" t="s">
        <v>178</v>
      </c>
      <c r="N484" s="273">
        <f>ROUND(SUM(O484:S484)+SUM(W484:AV484),0)</f>
        <v>0</v>
      </c>
      <c r="O484" s="12"/>
      <c r="P484" s="12"/>
      <c r="Q484" s="12"/>
      <c r="R484" s="12"/>
      <c r="S484" s="6">
        <f t="shared" si="254"/>
        <v>0</v>
      </c>
      <c r="T484" s="273">
        <f t="shared" si="260"/>
        <v>0</v>
      </c>
      <c r="U484" s="6">
        <f>SUM(BL484:BN484)</f>
        <v>0</v>
      </c>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X484" s="6"/>
      <c r="AY484" s="6">
        <f>ROUND(AX484/1000/Update!$B$31*Update!$B$27,0)</f>
        <v>0</v>
      </c>
      <c r="BA484" s="6"/>
      <c r="BB484" s="6">
        <f>ROUND(BA484/1000/Update!$B$31,0)</f>
        <v>0</v>
      </c>
      <c r="BC484" s="6"/>
      <c r="BD484" s="29">
        <f t="shared" si="232"/>
        <v>0</v>
      </c>
      <c r="BE484" s="322"/>
      <c r="BF484" s="322"/>
      <c r="BG484" s="322"/>
      <c r="BH484" s="322"/>
      <c r="BI484" s="322"/>
      <c r="BJ484" s="322"/>
      <c r="BK484" s="29">
        <f t="shared" si="211"/>
        <v>0</v>
      </c>
      <c r="BL484" s="322"/>
      <c r="BM484" s="322"/>
      <c r="BN484" s="322"/>
      <c r="BO484" s="322"/>
      <c r="BP484" s="322"/>
      <c r="BQ484" s="322"/>
      <c r="BR484" s="322"/>
      <c r="BS484" s="322"/>
      <c r="BT484" s="322"/>
      <c r="BU484" s="322"/>
      <c r="BV484" s="322"/>
      <c r="BW484" s="322"/>
      <c r="BX484" s="322"/>
      <c r="BY484" s="322"/>
      <c r="BZ484" s="322"/>
      <c r="CA484" s="322"/>
      <c r="CB484" s="322"/>
      <c r="CC484" s="322"/>
      <c r="CD484" s="322"/>
      <c r="CE484" s="322"/>
      <c r="CF484" s="322"/>
      <c r="CG484" s="322"/>
      <c r="CH484" s="322"/>
      <c r="CI484" s="322"/>
      <c r="CM484" s="1139">
        <v>0</v>
      </c>
      <c r="CN484" s="1139">
        <v>0</v>
      </c>
      <c r="CP484" s="923">
        <f t="shared" si="241"/>
        <v>0</v>
      </c>
      <c r="CZ484" s="330"/>
    </row>
    <row r="485" spans="1:104" ht="18.75" customHeight="1" x14ac:dyDescent="0.25">
      <c r="A485" s="694">
        <f>MAX($A$6:A484)+1</f>
        <v>485</v>
      </c>
      <c r="B485" s="1299">
        <f>SUMIF(Update!$B$33:$B$106,C485,Update!$A$33:$A$106)</f>
        <v>0</v>
      </c>
      <c r="C485" s="696" t="s">
        <v>596</v>
      </c>
      <c r="D485" s="695" t="s">
        <v>148</v>
      </c>
      <c r="E485" s="696" t="str">
        <f>B485&amp;" "&amp;C485</f>
        <v>0 Fees and charges information</v>
      </c>
      <c r="F485" s="697"/>
      <c r="G485" s="697" t="s">
        <v>803</v>
      </c>
      <c r="H485" s="698" t="s">
        <v>286</v>
      </c>
      <c r="I485" s="695"/>
      <c r="J485" s="698" t="s">
        <v>286</v>
      </c>
      <c r="K485" s="699"/>
      <c r="L485" s="699"/>
      <c r="M485" s="695"/>
      <c r="N485" s="713">
        <f>ROUND(SUM(O485:AU485)-T485,0)</f>
        <v>0</v>
      </c>
      <c r="O485" s="695"/>
      <c r="P485" s="695"/>
      <c r="Q485" s="695"/>
      <c r="R485" s="695"/>
      <c r="S485" s="695">
        <f t="shared" si="254"/>
        <v>0</v>
      </c>
      <c r="T485" s="713">
        <f t="shared" si="260"/>
        <v>0</v>
      </c>
      <c r="U485" s="695"/>
      <c r="V485" s="695"/>
      <c r="W485" s="695" t="s">
        <v>286</v>
      </c>
      <c r="X485" s="695"/>
      <c r="Y485" s="695"/>
      <c r="Z485" s="695"/>
      <c r="AA485" s="695"/>
      <c r="AB485" s="695"/>
      <c r="AC485" s="695"/>
      <c r="AD485" s="695"/>
      <c r="AE485" s="695"/>
      <c r="AF485" s="695"/>
      <c r="AG485" s="695"/>
      <c r="AH485" s="695"/>
      <c r="AI485" s="695"/>
      <c r="AJ485" s="695"/>
      <c r="AK485" s="695"/>
      <c r="AL485" s="695"/>
      <c r="AM485" s="695"/>
      <c r="AN485" s="695"/>
      <c r="AO485" s="695"/>
      <c r="AP485" s="695"/>
      <c r="AQ485" s="695"/>
      <c r="AR485" s="695"/>
      <c r="AS485" s="695"/>
      <c r="AT485" s="695"/>
      <c r="AU485" s="695"/>
      <c r="AV485" s="695"/>
      <c r="AW485" s="700"/>
      <c r="AX485" s="700"/>
      <c r="AY485" s="700">
        <f>ROUND(AX485/1000/Update!$B$31*Update!$B$27,0)</f>
        <v>0</v>
      </c>
      <c r="AZ485" s="700"/>
      <c r="BA485" s="700"/>
      <c r="BB485" s="700">
        <f>ROUND(BA485/1000/Update!$B$31,0)</f>
        <v>0</v>
      </c>
      <c r="BC485" s="700"/>
      <c r="BD485" s="721">
        <f t="shared" si="232"/>
        <v>0</v>
      </c>
      <c r="BE485" s="700"/>
      <c r="BF485" s="700"/>
      <c r="BG485" s="700"/>
      <c r="BH485" s="700"/>
      <c r="BI485" s="700"/>
      <c r="BJ485" s="700"/>
      <c r="BK485" s="721">
        <f t="shared" si="211"/>
        <v>0</v>
      </c>
      <c r="BL485" s="700"/>
      <c r="BM485" s="700"/>
      <c r="BN485" s="700"/>
      <c r="BO485" s="700"/>
      <c r="BP485" s="700"/>
      <c r="BQ485" s="700"/>
      <c r="BR485" s="700"/>
      <c r="BS485" s="700"/>
      <c r="BT485" s="700"/>
      <c r="BU485" s="700"/>
      <c r="BV485" s="700"/>
      <c r="BW485" s="700"/>
      <c r="BX485" s="700"/>
      <c r="BY485" s="700"/>
      <c r="BZ485" s="700"/>
      <c r="CA485" s="700"/>
      <c r="CB485" s="700"/>
      <c r="CC485" s="700"/>
      <c r="CD485" s="700"/>
      <c r="CE485" s="700"/>
      <c r="CF485" s="700"/>
      <c r="CG485" s="700"/>
      <c r="CH485" s="700"/>
      <c r="CI485" s="700"/>
      <c r="CJ485" s="700"/>
      <c r="CK485" s="700"/>
      <c r="CM485" s="700">
        <v>0</v>
      </c>
      <c r="CN485" s="700">
        <v>0</v>
      </c>
      <c r="CP485" s="923">
        <f t="shared" si="241"/>
        <v>0</v>
      </c>
      <c r="CZ485" s="330"/>
    </row>
    <row r="486" spans="1:104" ht="15" customHeight="1" x14ac:dyDescent="0.25">
      <c r="A486" s="684">
        <f>MAX($A$6:A485)+1</f>
        <v>486</v>
      </c>
      <c r="B486" s="3">
        <f t="shared" ref="B486:B518" si="264">B485</f>
        <v>0</v>
      </c>
      <c r="C486" s="11" t="str">
        <f>C485</f>
        <v>Fees and charges information</v>
      </c>
      <c r="D486" s="11" t="s">
        <v>148</v>
      </c>
      <c r="E486" s="7" t="s">
        <v>180</v>
      </c>
      <c r="F486" s="15"/>
      <c r="G486" s="1254" t="s">
        <v>180</v>
      </c>
      <c r="H486" s="1190"/>
      <c r="I486" s="6"/>
      <c r="J486" s="1257" t="s">
        <v>286</v>
      </c>
      <c r="K486" s="251"/>
      <c r="L486" s="266"/>
      <c r="M486" s="10"/>
      <c r="N486" s="273">
        <f>ROUND(SUM(O486:S486)+SUM(W486:AV486),0)</f>
        <v>0</v>
      </c>
      <c r="O486" s="12"/>
      <c r="P486" s="12"/>
      <c r="Q486" s="12"/>
      <c r="R486" s="12"/>
      <c r="S486" s="6">
        <f t="shared" si="254"/>
        <v>0</v>
      </c>
      <c r="T486" s="273">
        <f t="shared" si="260"/>
        <v>0</v>
      </c>
      <c r="U486" s="6">
        <f>SUM(BL486:BN486)</f>
        <v>0</v>
      </c>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X486" s="6"/>
      <c r="AY486" s="6">
        <f>ROUND(AX486/1000/Update!$B$31*Update!$B$27,0)</f>
        <v>0</v>
      </c>
      <c r="BA486" s="6"/>
      <c r="BB486" s="6">
        <f>ROUND(BA486/1000/Update!$B$31,0)</f>
        <v>0</v>
      </c>
      <c r="BC486" s="6"/>
      <c r="BD486" s="29">
        <f t="shared" si="232"/>
        <v>0</v>
      </c>
      <c r="BE486" s="322"/>
      <c r="BF486" s="322"/>
      <c r="BG486" s="322"/>
      <c r="BH486" s="322"/>
      <c r="BI486" s="322"/>
      <c r="BJ486" s="322"/>
      <c r="BK486" s="29">
        <f t="shared" si="211"/>
        <v>0</v>
      </c>
      <c r="BL486" s="322"/>
      <c r="BM486" s="322"/>
      <c r="BN486" s="322"/>
      <c r="BO486" s="322"/>
      <c r="BP486" s="322"/>
      <c r="BQ486" s="322"/>
      <c r="BR486" s="322"/>
      <c r="BS486" s="322"/>
      <c r="BT486" s="322"/>
      <c r="BU486" s="322"/>
      <c r="BV486" s="322"/>
      <c r="BW486" s="322"/>
      <c r="BX486" s="322"/>
      <c r="BY486" s="322"/>
      <c r="BZ486" s="322"/>
      <c r="CA486" s="322"/>
      <c r="CB486" s="322"/>
      <c r="CC486" s="322"/>
      <c r="CD486" s="322"/>
      <c r="CE486" s="322"/>
      <c r="CF486" s="322"/>
      <c r="CG486" s="322"/>
      <c r="CH486" s="322"/>
      <c r="CI486" s="322"/>
      <c r="CM486" s="1139">
        <v>0</v>
      </c>
      <c r="CN486" s="1139">
        <v>0</v>
      </c>
      <c r="CP486" s="923">
        <f t="shared" si="241"/>
        <v>0</v>
      </c>
      <c r="CZ486" s="330"/>
    </row>
    <row r="487" spans="1:104" ht="15" customHeight="1" x14ac:dyDescent="0.25">
      <c r="A487" s="684">
        <f>MAX($A$6:A486)+1</f>
        <v>487</v>
      </c>
      <c r="B487" s="3">
        <f t="shared" si="264"/>
        <v>0</v>
      </c>
      <c r="C487" s="11" t="str">
        <f t="shared" si="244"/>
        <v>Fees and charges information</v>
      </c>
      <c r="D487" s="11" t="s">
        <v>148</v>
      </c>
      <c r="E487" s="7" t="s">
        <v>434</v>
      </c>
      <c r="F487" s="15"/>
      <c r="G487" s="1254" t="s">
        <v>434</v>
      </c>
      <c r="H487" s="1190"/>
      <c r="I487" s="6"/>
      <c r="J487" s="1257" t="s">
        <v>286</v>
      </c>
      <c r="K487" s="251"/>
      <c r="L487" s="266"/>
      <c r="M487" s="10"/>
      <c r="N487" s="273">
        <f>ROUND(SUM(O487:S487)+SUM(W487:AV487),0)</f>
        <v>0</v>
      </c>
      <c r="O487" s="12"/>
      <c r="P487" s="12"/>
      <c r="Q487" s="12"/>
      <c r="R487" s="12"/>
      <c r="S487" s="6">
        <f t="shared" si="254"/>
        <v>0</v>
      </c>
      <c r="T487" s="273">
        <f t="shared" si="260"/>
        <v>0</v>
      </c>
      <c r="U487" s="6">
        <f>SUM(BL487:BN487)</f>
        <v>0</v>
      </c>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X487" s="6"/>
      <c r="AY487" s="6">
        <f>ROUND(AX487/1000/Update!$B$31*Update!$B$27,0)</f>
        <v>0</v>
      </c>
      <c r="BA487" s="6"/>
      <c r="BB487" s="6">
        <f>ROUND(BA487/1000/Update!$B$31,0)</f>
        <v>0</v>
      </c>
      <c r="BC487" s="6"/>
      <c r="BD487" s="29">
        <f t="shared" si="232"/>
        <v>0</v>
      </c>
      <c r="BE487" s="322"/>
      <c r="BF487" s="322"/>
      <c r="BG487" s="322"/>
      <c r="BH487" s="322"/>
      <c r="BI487" s="322"/>
      <c r="BJ487" s="322"/>
      <c r="BK487" s="29">
        <f t="shared" si="211"/>
        <v>0</v>
      </c>
      <c r="BL487" s="322"/>
      <c r="BM487" s="322"/>
      <c r="BN487" s="322"/>
      <c r="BO487" s="322"/>
      <c r="BP487" s="322"/>
      <c r="BQ487" s="322"/>
      <c r="BR487" s="322"/>
      <c r="BS487" s="322"/>
      <c r="BT487" s="322"/>
      <c r="BU487" s="322"/>
      <c r="BV487" s="322"/>
      <c r="BW487" s="322"/>
      <c r="BX487" s="322"/>
      <c r="BY487" s="322"/>
      <c r="BZ487" s="322"/>
      <c r="CA487" s="322"/>
      <c r="CB487" s="322"/>
      <c r="CC487" s="322"/>
      <c r="CD487" s="322"/>
      <c r="CE487" s="322"/>
      <c r="CF487" s="322"/>
      <c r="CG487" s="322"/>
      <c r="CH487" s="322"/>
      <c r="CI487" s="322"/>
      <c r="CM487" s="1139">
        <v>0</v>
      </c>
      <c r="CN487" s="1139">
        <v>0</v>
      </c>
      <c r="CP487" s="923">
        <f t="shared" si="241"/>
        <v>0</v>
      </c>
      <c r="CZ487" s="330"/>
    </row>
    <row r="488" spans="1:104" ht="15" customHeight="1" x14ac:dyDescent="0.25">
      <c r="A488" s="701">
        <f>MAX($A$6:A487)+1</f>
        <v>488</v>
      </c>
      <c r="B488" s="1291">
        <f t="shared" si="264"/>
        <v>0</v>
      </c>
      <c r="C488" s="18" t="str">
        <f>C486</f>
        <v>Fees and charges information</v>
      </c>
      <c r="D488" s="18" t="s">
        <v>148</v>
      </c>
      <c r="E488" s="19"/>
      <c r="F488" s="20"/>
      <c r="G488" s="1278"/>
      <c r="H488" s="14">
        <f>SUM(H486:H487)</f>
        <v>0</v>
      </c>
      <c r="I488" s="14"/>
      <c r="J488" s="1258" t="s">
        <v>286</v>
      </c>
      <c r="K488" s="256"/>
      <c r="L488" s="256"/>
      <c r="M488" s="21"/>
      <c r="N488" s="14">
        <f>ROUND(SUM(O488:S488)+T488+SUM(Z488:AV488),0)</f>
        <v>0</v>
      </c>
      <c r="O488" s="23"/>
      <c r="P488" s="23"/>
      <c r="Q488" s="23"/>
      <c r="R488" s="23"/>
      <c r="S488" s="14">
        <f t="shared" si="254"/>
        <v>0</v>
      </c>
      <c r="T488" s="14">
        <f t="shared" si="260"/>
        <v>0</v>
      </c>
      <c r="U488" s="14">
        <f>U487</f>
        <v>0</v>
      </c>
      <c r="V488" s="14">
        <f>V487</f>
        <v>0</v>
      </c>
      <c r="W488" s="14">
        <v>0</v>
      </c>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2"/>
      <c r="AX488" s="14"/>
      <c r="AY488" s="14">
        <f>ROUND(AX488/1000/Update!$B$31*Update!$B$27,0)</f>
        <v>0</v>
      </c>
      <c r="AZ488" s="2"/>
      <c r="BA488" s="14"/>
      <c r="BB488" s="14">
        <f>ROUND(BA488/1000/Update!$B$31,0)</f>
        <v>0</v>
      </c>
      <c r="BC488" s="14"/>
      <c r="BD488" s="14">
        <f t="shared" si="232"/>
        <v>0</v>
      </c>
      <c r="BE488" s="322"/>
      <c r="BF488" s="322"/>
      <c r="BG488" s="322"/>
      <c r="BH488" s="322"/>
      <c r="BI488" s="322"/>
      <c r="BJ488" s="322"/>
      <c r="BK488" s="14">
        <f t="shared" si="211"/>
        <v>0</v>
      </c>
      <c r="BL488" s="322"/>
      <c r="BM488" s="322"/>
      <c r="BN488" s="322"/>
      <c r="BO488" s="322"/>
      <c r="BP488" s="322"/>
      <c r="BQ488" s="322"/>
      <c r="BR488" s="322"/>
      <c r="BS488" s="322"/>
      <c r="BT488" s="322"/>
      <c r="BU488" s="322"/>
      <c r="BV488" s="322"/>
      <c r="BW488" s="322"/>
      <c r="BX488" s="322"/>
      <c r="BY488" s="322"/>
      <c r="BZ488" s="322"/>
      <c r="CA488" s="322"/>
      <c r="CB488" s="322"/>
      <c r="CC488" s="322"/>
      <c r="CD488" s="322"/>
      <c r="CE488" s="322"/>
      <c r="CF488" s="322"/>
      <c r="CG488" s="322"/>
      <c r="CH488" s="322"/>
      <c r="CI488" s="322"/>
      <c r="CJ488" s="2"/>
      <c r="CK488" s="2"/>
      <c r="CM488" s="1140">
        <v>0</v>
      </c>
      <c r="CN488" s="1140">
        <v>0</v>
      </c>
      <c r="CP488" s="923">
        <f t="shared" si="241"/>
        <v>0</v>
      </c>
      <c r="CZ488" s="330"/>
    </row>
    <row r="489" spans="1:104" ht="15" customHeight="1" x14ac:dyDescent="0.25">
      <c r="A489" s="684">
        <f>MAX($A$6:A488)+1</f>
        <v>489</v>
      </c>
      <c r="B489" s="3">
        <f t="shared" si="264"/>
        <v>0</v>
      </c>
      <c r="C489" s="11" t="str">
        <f>C487</f>
        <v>Fees and charges information</v>
      </c>
      <c r="D489" s="11" t="s">
        <v>182</v>
      </c>
      <c r="E489" s="7" t="s">
        <v>180</v>
      </c>
      <c r="F489" s="15"/>
      <c r="G489" s="1254" t="s">
        <v>180</v>
      </c>
      <c r="H489" s="1190"/>
      <c r="I489" s="6"/>
      <c r="J489" s="1257" t="s">
        <v>286</v>
      </c>
      <c r="K489" s="251"/>
      <c r="L489" s="266"/>
      <c r="M489" s="10"/>
      <c r="N489" s="273">
        <f>ROUND(SUM(O489:S489)+SUM(W489:AV489),0)</f>
        <v>0</v>
      </c>
      <c r="O489" s="12"/>
      <c r="P489" s="12"/>
      <c r="Q489" s="12"/>
      <c r="R489" s="12"/>
      <c r="S489" s="6">
        <f t="shared" si="254"/>
        <v>0</v>
      </c>
      <c r="T489" s="273">
        <f t="shared" si="260"/>
        <v>0</v>
      </c>
      <c r="U489" s="6">
        <f>SUM(BL489:BN489)</f>
        <v>0</v>
      </c>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X489" s="6"/>
      <c r="AY489" s="6">
        <f>ROUND(AX489/1000/Update!$B$31*Update!$B$27,0)</f>
        <v>0</v>
      </c>
      <c r="BA489" s="6"/>
      <c r="BB489" s="6">
        <f>ROUND(BA489/1000/Update!$B$31,0)</f>
        <v>0</v>
      </c>
      <c r="BC489" s="6"/>
      <c r="BD489" s="29">
        <f t="shared" si="232"/>
        <v>0</v>
      </c>
      <c r="BE489" s="322"/>
      <c r="BF489" s="322"/>
      <c r="BG489" s="322"/>
      <c r="BH489" s="322"/>
      <c r="BI489" s="322"/>
      <c r="BJ489" s="322"/>
      <c r="BK489" s="29">
        <f t="shared" si="211"/>
        <v>0</v>
      </c>
      <c r="BL489" s="322"/>
      <c r="BM489" s="322"/>
      <c r="BN489" s="322"/>
      <c r="BO489" s="322"/>
      <c r="BP489" s="322"/>
      <c r="BQ489" s="322"/>
      <c r="BR489" s="322"/>
      <c r="BS489" s="322"/>
      <c r="BT489" s="322"/>
      <c r="BU489" s="322"/>
      <c r="BV489" s="322"/>
      <c r="BW489" s="322"/>
      <c r="BX489" s="322"/>
      <c r="BY489" s="322"/>
      <c r="BZ489" s="322"/>
      <c r="CA489" s="322"/>
      <c r="CB489" s="322"/>
      <c r="CC489" s="322"/>
      <c r="CD489" s="322"/>
      <c r="CE489" s="322"/>
      <c r="CF489" s="322"/>
      <c r="CG489" s="322"/>
      <c r="CH489" s="322"/>
      <c r="CI489" s="322"/>
      <c r="CM489" s="1139">
        <v>0</v>
      </c>
      <c r="CN489" s="1139">
        <v>0</v>
      </c>
      <c r="CP489" s="923">
        <f t="shared" si="241"/>
        <v>0</v>
      </c>
      <c r="CZ489" s="330"/>
    </row>
    <row r="490" spans="1:104" ht="15" customHeight="1" x14ac:dyDescent="0.25">
      <c r="A490" s="684">
        <f>MAX($A$6:A489)+1</f>
        <v>490</v>
      </c>
      <c r="B490" s="3">
        <f t="shared" si="264"/>
        <v>0</v>
      </c>
      <c r="C490" s="11" t="str">
        <f t="shared" ref="C490:C567" si="265">C489</f>
        <v>Fees and charges information</v>
      </c>
      <c r="D490" s="11" t="s">
        <v>182</v>
      </c>
      <c r="E490" s="7" t="s">
        <v>434</v>
      </c>
      <c r="F490" s="15"/>
      <c r="G490" s="1254" t="s">
        <v>434</v>
      </c>
      <c r="H490" s="1190"/>
      <c r="I490" s="6"/>
      <c r="J490" s="1257" t="s">
        <v>286</v>
      </c>
      <c r="K490" s="251"/>
      <c r="L490" s="266"/>
      <c r="M490" s="10"/>
      <c r="N490" s="273">
        <f>ROUND(SUM(O490:S490)+SUM(W490:AV490),0)</f>
        <v>0</v>
      </c>
      <c r="O490" s="12"/>
      <c r="P490" s="12"/>
      <c r="Q490" s="12"/>
      <c r="R490" s="12"/>
      <c r="S490" s="6">
        <f t="shared" si="254"/>
        <v>0</v>
      </c>
      <c r="T490" s="273">
        <f t="shared" si="260"/>
        <v>0</v>
      </c>
      <c r="U490" s="6">
        <f>SUM(BL490:BN490)</f>
        <v>0</v>
      </c>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X490" s="6"/>
      <c r="AY490" s="6">
        <f>ROUND(AX490/1000/Update!$B$31*Update!$B$27,0)</f>
        <v>0</v>
      </c>
      <c r="BA490" s="6"/>
      <c r="BB490" s="6">
        <f>ROUND(BA490/1000/Update!$B$31,0)</f>
        <v>0</v>
      </c>
      <c r="BC490" s="6"/>
      <c r="BD490" s="29">
        <f t="shared" si="232"/>
        <v>0</v>
      </c>
      <c r="BE490" s="322"/>
      <c r="BF490" s="322"/>
      <c r="BG490" s="322"/>
      <c r="BH490" s="322"/>
      <c r="BI490" s="322"/>
      <c r="BJ490" s="322"/>
      <c r="BK490" s="29">
        <f t="shared" si="211"/>
        <v>0</v>
      </c>
      <c r="BL490" s="322"/>
      <c r="BM490" s="322"/>
      <c r="BN490" s="322"/>
      <c r="BO490" s="322"/>
      <c r="BP490" s="322"/>
      <c r="BQ490" s="322"/>
      <c r="BR490" s="322"/>
      <c r="BS490" s="322"/>
      <c r="BT490" s="322"/>
      <c r="BU490" s="322"/>
      <c r="BV490" s="322"/>
      <c r="BW490" s="322"/>
      <c r="BX490" s="322"/>
      <c r="BY490" s="322"/>
      <c r="BZ490" s="322"/>
      <c r="CA490" s="322"/>
      <c r="CB490" s="322"/>
      <c r="CC490" s="322"/>
      <c r="CD490" s="322"/>
      <c r="CE490" s="322"/>
      <c r="CF490" s="322"/>
      <c r="CG490" s="322"/>
      <c r="CH490" s="322"/>
      <c r="CI490" s="322"/>
      <c r="CM490" s="1139">
        <v>0</v>
      </c>
      <c r="CN490" s="1139">
        <v>0</v>
      </c>
      <c r="CP490" s="923">
        <f t="shared" si="241"/>
        <v>0</v>
      </c>
      <c r="CZ490" s="330"/>
    </row>
    <row r="491" spans="1:104" ht="15" customHeight="1" x14ac:dyDescent="0.25">
      <c r="A491" s="701">
        <f>MAX($A$6:A490)+1</f>
        <v>491</v>
      </c>
      <c r="B491" s="1291">
        <f t="shared" si="264"/>
        <v>0</v>
      </c>
      <c r="C491" s="18" t="str">
        <f t="shared" si="265"/>
        <v>Fees and charges information</v>
      </c>
      <c r="D491" s="18" t="s">
        <v>182</v>
      </c>
      <c r="E491" s="19"/>
      <c r="F491" s="20"/>
      <c r="G491" s="28"/>
      <c r="H491" s="14">
        <f>SUM(H489:H490)</f>
        <v>0</v>
      </c>
      <c r="I491" s="14"/>
      <c r="J491" s="1258" t="s">
        <v>286</v>
      </c>
      <c r="K491" s="256"/>
      <c r="L491" s="256"/>
      <c r="M491" s="21"/>
      <c r="N491" s="14">
        <f>ROUND(SUM(O491:S491)+T491+SUM(Z491:AV491),0)</f>
        <v>0</v>
      </c>
      <c r="O491" s="23"/>
      <c r="P491" s="23"/>
      <c r="Q491" s="23"/>
      <c r="R491" s="23"/>
      <c r="S491" s="14">
        <f t="shared" si="254"/>
        <v>0</v>
      </c>
      <c r="T491" s="14">
        <f t="shared" si="260"/>
        <v>0</v>
      </c>
      <c r="U491" s="14"/>
      <c r="V491" s="14"/>
      <c r="W491" s="14">
        <v>0</v>
      </c>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2"/>
      <c r="AX491" s="14"/>
      <c r="AY491" s="14">
        <f>ROUND(AX491/1000/Update!$B$31*Update!$B$27,0)</f>
        <v>0</v>
      </c>
      <c r="AZ491" s="2"/>
      <c r="BA491" s="14"/>
      <c r="BB491" s="14">
        <f>ROUND(BA491/1000/Update!$B$31,0)</f>
        <v>0</v>
      </c>
      <c r="BC491" s="14"/>
      <c r="BD491" s="14">
        <f t="shared" si="232"/>
        <v>0</v>
      </c>
      <c r="BE491" s="322"/>
      <c r="BF491" s="322"/>
      <c r="BG491" s="322"/>
      <c r="BH491" s="322"/>
      <c r="BI491" s="322"/>
      <c r="BJ491" s="322"/>
      <c r="BK491" s="14">
        <f t="shared" si="211"/>
        <v>0</v>
      </c>
      <c r="BL491" s="322"/>
      <c r="BM491" s="322"/>
      <c r="BN491" s="322"/>
      <c r="BO491" s="322"/>
      <c r="BP491" s="322"/>
      <c r="BQ491" s="322"/>
      <c r="BR491" s="322"/>
      <c r="BS491" s="322"/>
      <c r="BT491" s="322"/>
      <c r="BU491" s="322"/>
      <c r="BV491" s="322"/>
      <c r="BW491" s="322"/>
      <c r="BX491" s="322"/>
      <c r="BY491" s="322"/>
      <c r="BZ491" s="322"/>
      <c r="CA491" s="322"/>
      <c r="CB491" s="322"/>
      <c r="CC491" s="322"/>
      <c r="CD491" s="322"/>
      <c r="CE491" s="322"/>
      <c r="CF491" s="322"/>
      <c r="CG491" s="322"/>
      <c r="CH491" s="322"/>
      <c r="CI491" s="322"/>
      <c r="CJ491" s="2"/>
      <c r="CK491" s="2"/>
      <c r="CM491" s="1140">
        <v>0</v>
      </c>
      <c r="CN491" s="1140">
        <v>0</v>
      </c>
      <c r="CP491" s="923">
        <f t="shared" si="241"/>
        <v>0</v>
      </c>
      <c r="CZ491" s="330"/>
    </row>
    <row r="492" spans="1:104" ht="18.75" customHeight="1" x14ac:dyDescent="0.25">
      <c r="A492" s="694">
        <f>MAX($A$6:A491)+1</f>
        <v>492</v>
      </c>
      <c r="B492" s="1299">
        <f>SUMIF(Update!$B$33:$B$106,C492,Update!$A$33:$A$106)</f>
        <v>5</v>
      </c>
      <c r="C492" s="696" t="s">
        <v>288</v>
      </c>
      <c r="D492" s="695" t="s">
        <v>195</v>
      </c>
      <c r="E492" s="696" t="str">
        <f>B492&amp;" "&amp;C492</f>
        <v>5 Property, plant and equipment</v>
      </c>
      <c r="F492" s="697"/>
      <c r="G492" s="697"/>
      <c r="H492" s="695"/>
      <c r="I492" s="695"/>
      <c r="J492" s="698" t="s">
        <v>286</v>
      </c>
      <c r="K492" s="699">
        <f>SUMIF('alb Note 5.1 -PP&amp;E - CY'!$A:$A,$J492,'alb Note 5.1 -PP&amp;E - CY'!$B:$B)</f>
        <v>0</v>
      </c>
      <c r="L492" s="699">
        <f>SUMIF('alb Note 5.1 -PP&amp;E - CY'!$A:$A,$J492,'alb Note 5.1 -PP&amp;E - CY'!$B:$B)</f>
        <v>0</v>
      </c>
      <c r="M492" s="695"/>
      <c r="N492" s="713">
        <f>ROUND(SUM(O492:AU492)-T492,0)</f>
        <v>0</v>
      </c>
      <c r="O492" s="695"/>
      <c r="P492" s="695"/>
      <c r="Q492" s="695"/>
      <c r="R492" s="695"/>
      <c r="S492" s="695">
        <f t="shared" si="254"/>
        <v>0</v>
      </c>
      <c r="T492" s="713">
        <f t="shared" si="260"/>
        <v>0</v>
      </c>
      <c r="U492" s="695"/>
      <c r="V492" s="695"/>
      <c r="W492" s="695"/>
      <c r="X492" s="695"/>
      <c r="Y492" s="695"/>
      <c r="Z492" s="695"/>
      <c r="AA492" s="695"/>
      <c r="AB492" s="695"/>
      <c r="AC492" s="695"/>
      <c r="AD492" s="695"/>
      <c r="AE492" s="695"/>
      <c r="AF492" s="695"/>
      <c r="AG492" s="695"/>
      <c r="AH492" s="695"/>
      <c r="AI492" s="695"/>
      <c r="AJ492" s="695"/>
      <c r="AK492" s="695"/>
      <c r="AL492" s="695"/>
      <c r="AM492" s="695"/>
      <c r="AN492" s="695"/>
      <c r="AO492" s="695"/>
      <c r="AP492" s="695"/>
      <c r="AQ492" s="695"/>
      <c r="AR492" s="695"/>
      <c r="AS492" s="695"/>
      <c r="AT492" s="695"/>
      <c r="AU492" s="695"/>
      <c r="AV492" s="695"/>
      <c r="AW492" s="700"/>
      <c r="AX492" s="700"/>
      <c r="AY492" s="700">
        <f>ROUND(AX492/1000/Update!$B$31*Update!$B$27,0)</f>
        <v>0</v>
      </c>
      <c r="AZ492" s="700"/>
      <c r="BA492" s="700"/>
      <c r="BB492" s="700">
        <f>ROUND(BA492/1000/Update!$B$31,0)</f>
        <v>0</v>
      </c>
      <c r="BC492" s="700"/>
      <c r="BD492" s="721">
        <f t="shared" si="232"/>
        <v>0</v>
      </c>
      <c r="BE492" s="700"/>
      <c r="BF492" s="700"/>
      <c r="BG492" s="700"/>
      <c r="BH492" s="700"/>
      <c r="BI492" s="700"/>
      <c r="BJ492" s="700"/>
      <c r="BK492" s="721">
        <f t="shared" si="211"/>
        <v>0</v>
      </c>
      <c r="BL492" s="700"/>
      <c r="BM492" s="700"/>
      <c r="BN492" s="700"/>
      <c r="BO492" s="700"/>
      <c r="BP492" s="700"/>
      <c r="BQ492" s="700"/>
      <c r="BR492" s="700"/>
      <c r="BS492" s="700"/>
      <c r="BT492" s="700"/>
      <c r="BU492" s="700"/>
      <c r="BV492" s="700"/>
      <c r="BW492" s="700"/>
      <c r="BX492" s="700"/>
      <c r="BY492" s="700"/>
      <c r="BZ492" s="700"/>
      <c r="CA492" s="700"/>
      <c r="CB492" s="700"/>
      <c r="CC492" s="700"/>
      <c r="CD492" s="700"/>
      <c r="CE492" s="700"/>
      <c r="CF492" s="700"/>
      <c r="CG492" s="700"/>
      <c r="CH492" s="700"/>
      <c r="CI492" s="700"/>
      <c r="CJ492" s="700"/>
      <c r="CK492" s="700"/>
      <c r="CM492" s="700">
        <v>0</v>
      </c>
      <c r="CN492" s="700">
        <v>0</v>
      </c>
      <c r="CP492" s="923">
        <f t="shared" si="241"/>
        <v>0</v>
      </c>
      <c r="CZ492" s="330"/>
    </row>
    <row r="493" spans="1:104" ht="15" customHeight="1" x14ac:dyDescent="0.25">
      <c r="A493" s="684">
        <f>MAX($A$6:A492)+1</f>
        <v>493</v>
      </c>
      <c r="B493" s="3">
        <f>SUMIF(Update!$B$33:$B$106,C493,Update!$A$33:$A$106)</f>
        <v>5.0999999999999996</v>
      </c>
      <c r="C493" s="11" t="str">
        <f>"Consolidated property, plant and equipment "&amp;Update!C38</f>
        <v>Consolidated property, plant and equipment 2025-26</v>
      </c>
      <c r="D493" s="11" t="s">
        <v>195</v>
      </c>
      <c r="E493" s="16" t="str">
        <f>B493&amp;" "&amp;C493</f>
        <v>5.1 Consolidated property, plant and equipment 2025-26</v>
      </c>
      <c r="F493" s="15"/>
      <c r="G493" s="26"/>
      <c r="H493" s="6"/>
      <c r="I493" s="6"/>
      <c r="J493" s="1257" t="s">
        <v>286</v>
      </c>
      <c r="K493" s="251">
        <f>SUMIF('alb Note 5.1 -PP&amp;E - CY'!$A:$A,$J493,'alb Note 5.1 -PP&amp;E - CY'!$B:$B)</f>
        <v>0</v>
      </c>
      <c r="L493" s="251">
        <f>SUMIF('alb Note 5.1 -PP&amp;E - CY'!$A:$A,$J493,'alb Note 5.1 -PP&amp;E - CY'!$M:$M)</f>
        <v>0</v>
      </c>
      <c r="M493" s="10"/>
      <c r="N493" s="273">
        <f>ROUND(SUM(O493:S493)+SUM(W493:AV493),0)</f>
        <v>0</v>
      </c>
      <c r="O493" s="12"/>
      <c r="P493" s="12"/>
      <c r="Q493" s="12"/>
      <c r="R493" s="12"/>
      <c r="S493" s="6">
        <f t="shared" si="254"/>
        <v>0</v>
      </c>
      <c r="T493" s="273">
        <f t="shared" si="260"/>
        <v>0</v>
      </c>
      <c r="U493" s="6">
        <f>SUM(BL493:BN493)</f>
        <v>0</v>
      </c>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X493" s="6"/>
      <c r="AY493" s="6">
        <f>ROUND(AX493/1000/Update!$B$31*Update!$B$27,0)</f>
        <v>0</v>
      </c>
      <c r="BA493" s="6"/>
      <c r="BB493" s="6">
        <f>ROUND(BA493/1000/Update!$B$31,0)</f>
        <v>0</v>
      </c>
      <c r="BC493" s="6"/>
      <c r="BD493" s="29">
        <f t="shared" si="232"/>
        <v>0</v>
      </c>
      <c r="BE493" s="317"/>
      <c r="BF493" s="317"/>
      <c r="BG493" s="317"/>
      <c r="BH493" s="317"/>
      <c r="BI493" s="317"/>
      <c r="BJ493" s="317"/>
      <c r="BK493" s="29">
        <f t="shared" si="211"/>
        <v>0</v>
      </c>
      <c r="BL493" s="317"/>
      <c r="BM493" s="317"/>
      <c r="BN493" s="317"/>
      <c r="BO493" s="317"/>
      <c r="BP493" s="317"/>
      <c r="BQ493" s="317"/>
      <c r="BR493" s="317"/>
      <c r="BS493" s="317"/>
      <c r="BT493" s="317"/>
      <c r="BU493" s="317"/>
      <c r="BV493" s="317"/>
      <c r="BW493" s="317"/>
      <c r="BX493" s="317"/>
      <c r="BY493" s="317"/>
      <c r="BZ493" s="317"/>
      <c r="CA493" s="317"/>
      <c r="CB493" s="317"/>
      <c r="CC493" s="317"/>
      <c r="CD493" s="317"/>
      <c r="CE493" s="317"/>
      <c r="CF493" s="317"/>
      <c r="CG493" s="317"/>
      <c r="CH493" s="317"/>
      <c r="CI493" s="317"/>
      <c r="CM493" s="317">
        <v>0</v>
      </c>
      <c r="CN493" s="317">
        <v>0</v>
      </c>
      <c r="CP493" s="923">
        <f t="shared" si="241"/>
        <v>0</v>
      </c>
      <c r="CZ493" s="330"/>
    </row>
    <row r="494" spans="1:104" ht="18.75" customHeight="1" x14ac:dyDescent="0.25">
      <c r="A494" s="684">
        <f>MAX($A$6:A493)+1</f>
        <v>494</v>
      </c>
      <c r="B494" s="3">
        <f t="shared" si="264"/>
        <v>5.0999999999999996</v>
      </c>
      <c r="C494" s="11" t="str">
        <f t="shared" si="265"/>
        <v>Consolidated property, plant and equipment 2025-26</v>
      </c>
      <c r="D494" s="11" t="s">
        <v>195</v>
      </c>
      <c r="E494" s="277" t="s">
        <v>183</v>
      </c>
      <c r="F494" s="15"/>
      <c r="G494" s="26"/>
      <c r="H494" s="6"/>
      <c r="I494" s="6"/>
      <c r="J494" s="1257" t="s">
        <v>286</v>
      </c>
      <c r="K494" s="251">
        <f>SUMIF('alb Note 5.1 -PP&amp;E - CY'!$A:$A,$J494,'alb Note 5.1 -PP&amp;E - CY'!$B:$B)</f>
        <v>0</v>
      </c>
      <c r="L494" s="251">
        <f>SUMIF('alb Note 5.1 -PP&amp;E - CY'!$A:$A,$J494,'alb Note 5.1 -PP&amp;E - CY'!$M:$M)</f>
        <v>0</v>
      </c>
      <c r="M494" s="10"/>
      <c r="N494" s="273">
        <f>ROUND(SUM(O494:S494)+SUM(W494:AV494),0)</f>
        <v>0</v>
      </c>
      <c r="O494" s="12"/>
      <c r="P494" s="12"/>
      <c r="Q494" s="12"/>
      <c r="R494" s="12"/>
      <c r="S494" s="6">
        <f t="shared" si="254"/>
        <v>0</v>
      </c>
      <c r="T494" s="273">
        <f t="shared" si="260"/>
        <v>0</v>
      </c>
      <c r="U494" s="6">
        <f>SUM(BL494:BN494)</f>
        <v>0</v>
      </c>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X494" s="6"/>
      <c r="AY494" s="6">
        <f>ROUND(AX494/1000/Update!$B$31*Update!$B$27,0)</f>
        <v>0</v>
      </c>
      <c r="BA494" s="6"/>
      <c r="BB494" s="6">
        <f>ROUND(BA494/1000/Update!$B$31,0)</f>
        <v>0</v>
      </c>
      <c r="BC494" s="6"/>
      <c r="BD494" s="29">
        <f t="shared" si="232"/>
        <v>0</v>
      </c>
      <c r="BE494" s="317"/>
      <c r="BF494" s="317"/>
      <c r="BG494" s="317"/>
      <c r="BH494" s="317"/>
      <c r="BI494" s="317"/>
      <c r="BJ494" s="317"/>
      <c r="BK494" s="29">
        <f t="shared" ref="BK494:BK557" si="266">ROUND(SUM(BO494:CI494),0)</f>
        <v>0</v>
      </c>
      <c r="BL494" s="317"/>
      <c r="BM494" s="317"/>
      <c r="BN494" s="317"/>
      <c r="BO494" s="317"/>
      <c r="BP494" s="317"/>
      <c r="BQ494" s="317"/>
      <c r="BR494" s="317"/>
      <c r="BS494" s="317"/>
      <c r="BT494" s="317"/>
      <c r="BU494" s="317"/>
      <c r="BV494" s="317"/>
      <c r="BW494" s="317"/>
      <c r="BX494" s="317"/>
      <c r="BY494" s="317"/>
      <c r="BZ494" s="317"/>
      <c r="CA494" s="317"/>
      <c r="CB494" s="317"/>
      <c r="CC494" s="317"/>
      <c r="CD494" s="317"/>
      <c r="CE494" s="317"/>
      <c r="CF494" s="317"/>
      <c r="CG494" s="317"/>
      <c r="CH494" s="317"/>
      <c r="CI494" s="317"/>
      <c r="CM494" s="1139">
        <v>0</v>
      </c>
      <c r="CN494" s="1139">
        <v>0</v>
      </c>
      <c r="CP494" s="923">
        <f t="shared" si="241"/>
        <v>0</v>
      </c>
      <c r="CZ494" s="330"/>
    </row>
    <row r="495" spans="1:104" ht="15" customHeight="1" x14ac:dyDescent="0.25">
      <c r="A495" s="684">
        <f>MAX($A$6:A494)+1</f>
        <v>495</v>
      </c>
      <c r="B495" s="3">
        <f t="shared" si="264"/>
        <v>5.0999999999999996</v>
      </c>
      <c r="C495" s="11" t="str">
        <f t="shared" si="265"/>
        <v>Consolidated property, plant and equipment 2025-26</v>
      </c>
      <c r="D495" s="11" t="s">
        <v>195</v>
      </c>
      <c r="E495" s="7" t="str">
        <f>"At"&amp;Update!$B$20</f>
        <v>At 1 April 2025</v>
      </c>
      <c r="F495" s="15"/>
      <c r="G495" s="7" t="str">
        <f>"At"&amp;Update!$B$20</f>
        <v>At 1 April 2025</v>
      </c>
      <c r="H495" s="6">
        <v>32712</v>
      </c>
      <c r="I495" s="6">
        <v>0</v>
      </c>
      <c r="J495" s="1257" t="str">
        <f>$E495</f>
        <v>At 1 April 2025</v>
      </c>
      <c r="K495" s="251">
        <f>SUMIF('alb Note 5.1 -PP&amp;E - CY'!$A:$A,$J495,'alb Note 5.1 -PP&amp;E - CY'!$B:$B)</f>
        <v>0</v>
      </c>
      <c r="L495" s="251">
        <f>SUMIF('alb Note 5.1 -PP&amp;E - CY'!$A:$A,$J495,'alb Note 5.1 -PP&amp;E - CY'!$M:$M)</f>
        <v>0</v>
      </c>
      <c r="M495" s="10"/>
      <c r="N495" s="273">
        <f>ROUND(SUM(O495:S495)+SUM(W495:AV495),0)</f>
        <v>32712</v>
      </c>
      <c r="O495" s="12"/>
      <c r="P495" s="12"/>
      <c r="Q495" s="12"/>
      <c r="R495" s="12"/>
      <c r="S495" s="6">
        <f t="shared" si="254"/>
        <v>0</v>
      </c>
      <c r="T495" s="273">
        <f t="shared" si="260"/>
        <v>32712</v>
      </c>
      <c r="U495" s="6">
        <f>SUM(BL495:BN495)</f>
        <v>0</v>
      </c>
      <c r="V495" s="6"/>
      <c r="W495" s="6">
        <f t="shared" ref="W495:W507" si="267">+H495</f>
        <v>32712</v>
      </c>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X495" s="6"/>
      <c r="AY495" s="6">
        <f>ROUND(AX495/1000/Update!$B$31*Update!$B$27,0)</f>
        <v>0</v>
      </c>
      <c r="BA495" s="6"/>
      <c r="BB495" s="6">
        <f>ROUND(BA495/1000/Update!$B$31,0)</f>
        <v>0</v>
      </c>
      <c r="BC495" s="6"/>
      <c r="BD495" s="29">
        <f t="shared" si="232"/>
        <v>0</v>
      </c>
      <c r="BE495" s="317"/>
      <c r="BF495" s="317"/>
      <c r="BG495" s="317"/>
      <c r="BH495" s="317"/>
      <c r="BI495" s="317"/>
      <c r="BJ495" s="317"/>
      <c r="BK495" s="29">
        <f t="shared" si="266"/>
        <v>0</v>
      </c>
      <c r="BL495" s="317"/>
      <c r="BM495" s="317"/>
      <c r="BN495" s="317"/>
      <c r="BO495" s="317"/>
      <c r="BP495" s="317"/>
      <c r="BQ495" s="317"/>
      <c r="BR495" s="317"/>
      <c r="BS495" s="317"/>
      <c r="BT495" s="317"/>
      <c r="BU495" s="317"/>
      <c r="BV495" s="317"/>
      <c r="BW495" s="317"/>
      <c r="BX495" s="317"/>
      <c r="BY495" s="317"/>
      <c r="BZ495" s="317"/>
      <c r="CA495" s="317"/>
      <c r="CB495" s="317"/>
      <c r="CC495" s="317"/>
      <c r="CD495" s="317"/>
      <c r="CE495" s="317"/>
      <c r="CF495" s="317"/>
      <c r="CG495" s="317"/>
      <c r="CH495" s="317"/>
      <c r="CI495" s="317"/>
      <c r="CM495" s="1139">
        <v>0</v>
      </c>
      <c r="CN495" s="1139">
        <v>0</v>
      </c>
      <c r="CP495" s="923">
        <f t="shared" si="241"/>
        <v>0</v>
      </c>
      <c r="CZ495" s="330"/>
    </row>
    <row r="496" spans="1:104" ht="15" customHeight="1" x14ac:dyDescent="0.25">
      <c r="A496" s="684">
        <f>MAX($A$6:A495)+1</f>
        <v>496</v>
      </c>
      <c r="B496" s="3">
        <f t="shared" si="264"/>
        <v>5.0999999999999996</v>
      </c>
      <c r="C496" s="11" t="str">
        <f t="shared" si="265"/>
        <v>Consolidated property, plant and equipment 2025-26</v>
      </c>
      <c r="D496" s="11" t="s">
        <v>195</v>
      </c>
      <c r="E496" s="7" t="s">
        <v>435</v>
      </c>
      <c r="F496" s="15"/>
      <c r="G496" s="1254" t="s">
        <v>435</v>
      </c>
      <c r="H496" s="6">
        <v>0</v>
      </c>
      <c r="I496" s="6">
        <v>0</v>
      </c>
      <c r="J496" s="1257" t="s">
        <v>184</v>
      </c>
      <c r="K496" s="251">
        <f>SUMIF('alb Note 5.1 -PP&amp;E - CY'!$A:$A,$J496,'alb Note 5.1 -PP&amp;E - CY'!$B:$B)</f>
        <v>0</v>
      </c>
      <c r="L496" s="251">
        <f>SUMIF('alb Note 5.1 -PP&amp;E - CY'!$A:$A,$J496,'alb Note 5.1 -PP&amp;E - CY'!$M:$M)</f>
        <v>0</v>
      </c>
      <c r="M496" s="10"/>
      <c r="N496" s="273">
        <f>ROUND(SUM(O496:S496)+SUM(W496:AV496),0)</f>
        <v>0</v>
      </c>
      <c r="O496" s="12"/>
      <c r="P496" s="12"/>
      <c r="Q496" s="12"/>
      <c r="R496" s="12"/>
      <c r="S496" s="6">
        <f t="shared" si="254"/>
        <v>0</v>
      </c>
      <c r="T496" s="273">
        <f>ROUND(SUM(U496:Y496),0)</f>
        <v>0</v>
      </c>
      <c r="U496" s="6">
        <f>SUM(BL496:BN496)</f>
        <v>0</v>
      </c>
      <c r="V496" s="6"/>
      <c r="W496" s="6">
        <f t="shared" si="267"/>
        <v>0</v>
      </c>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X496" s="6"/>
      <c r="AY496" s="6">
        <f>ROUND(AX496/1000/Update!$B$31*Update!$B$27,0)</f>
        <v>0</v>
      </c>
      <c r="BA496" s="6"/>
      <c r="BB496" s="6">
        <f>ROUND(BA496/1000/Update!$B$31,0)</f>
        <v>0</v>
      </c>
      <c r="BC496" s="6"/>
      <c r="BD496" s="29">
        <f t="shared" si="232"/>
        <v>0</v>
      </c>
      <c r="BE496" s="317"/>
      <c r="BF496" s="317"/>
      <c r="BG496" s="317"/>
      <c r="BH496" s="317"/>
      <c r="BI496" s="317"/>
      <c r="BJ496" s="317"/>
      <c r="BK496" s="29">
        <f t="shared" si="266"/>
        <v>0</v>
      </c>
      <c r="BL496" s="317"/>
      <c r="BM496" s="317"/>
      <c r="BN496" s="317"/>
      <c r="BO496" s="317"/>
      <c r="BP496" s="317"/>
      <c r="BQ496" s="317"/>
      <c r="BR496" s="317"/>
      <c r="BS496" s="317"/>
      <c r="BT496" s="317"/>
      <c r="BU496" s="317"/>
      <c r="BV496" s="317"/>
      <c r="BW496" s="317"/>
      <c r="BX496" s="317"/>
      <c r="BY496" s="317"/>
      <c r="BZ496" s="317"/>
      <c r="CA496" s="317"/>
      <c r="CB496" s="317"/>
      <c r="CC496" s="317"/>
      <c r="CD496" s="317"/>
      <c r="CE496" s="317"/>
      <c r="CF496" s="317"/>
      <c r="CG496" s="317"/>
      <c r="CH496" s="317"/>
      <c r="CI496" s="317"/>
      <c r="CM496" s="1139">
        <v>0</v>
      </c>
      <c r="CN496" s="1139">
        <v>0</v>
      </c>
      <c r="CP496" s="923">
        <f t="shared" si="241"/>
        <v>0</v>
      </c>
      <c r="CZ496" s="330"/>
    </row>
    <row r="497" spans="1:104" ht="15" customHeight="1" x14ac:dyDescent="0.25">
      <c r="A497" s="701">
        <f>MAX($A$6:A496)+1</f>
        <v>497</v>
      </c>
      <c r="B497" s="1291">
        <f t="shared" si="264"/>
        <v>5.0999999999999996</v>
      </c>
      <c r="C497" s="18" t="str">
        <f t="shared" si="265"/>
        <v>Consolidated property, plant and equipment 2025-26</v>
      </c>
      <c r="D497" s="18" t="s">
        <v>195</v>
      </c>
      <c r="E497" s="19" t="s">
        <v>869</v>
      </c>
      <c r="F497" s="20"/>
      <c r="G497" s="28"/>
      <c r="H497" s="14">
        <f>SUM(H493:H496)</f>
        <v>32712</v>
      </c>
      <c r="I497" s="14">
        <f>SUM(I493:I496)</f>
        <v>0</v>
      </c>
      <c r="J497" s="1258" t="s">
        <v>869</v>
      </c>
      <c r="K497" s="256">
        <f>SUM(K493:K496)</f>
        <v>0</v>
      </c>
      <c r="L497" s="256">
        <f>SUM(L493:L496)</f>
        <v>0</v>
      </c>
      <c r="M497" s="21"/>
      <c r="N497" s="14">
        <f>ROUND(SUM(O497:S497)+T497+SUM(Z497:AV497),0)</f>
        <v>32712</v>
      </c>
      <c r="O497" s="14">
        <f t="shared" ref="O497:W497" si="268">SUM(O493:O496)</f>
        <v>0</v>
      </c>
      <c r="P497" s="14">
        <f t="shared" si="268"/>
        <v>0</v>
      </c>
      <c r="Q497" s="14">
        <f t="shared" si="268"/>
        <v>0</v>
      </c>
      <c r="R497" s="14">
        <f t="shared" si="268"/>
        <v>0</v>
      </c>
      <c r="S497" s="14">
        <f t="shared" si="254"/>
        <v>0</v>
      </c>
      <c r="T497" s="14">
        <f t="shared" si="268"/>
        <v>32712</v>
      </c>
      <c r="U497" s="14">
        <f t="shared" si="268"/>
        <v>0</v>
      </c>
      <c r="V497" s="14">
        <f t="shared" si="268"/>
        <v>0</v>
      </c>
      <c r="W497" s="14">
        <f t="shared" si="268"/>
        <v>32712</v>
      </c>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2"/>
      <c r="AX497" s="14">
        <f>SUM(AX493:AX496)</f>
        <v>0</v>
      </c>
      <c r="AY497" s="14">
        <f>ROUND(AX497/1000/Update!$B$31*Update!$B$27,0)</f>
        <v>0</v>
      </c>
      <c r="AZ497" s="2"/>
      <c r="BA497" s="14">
        <f>SUM(BA493:BA496)</f>
        <v>0</v>
      </c>
      <c r="BB497" s="14">
        <f>ROUND(BA497/1000/Update!$B$31,0)</f>
        <v>0</v>
      </c>
      <c r="BC497" s="14"/>
      <c r="BD497" s="14">
        <f t="shared" si="232"/>
        <v>0</v>
      </c>
      <c r="BE497" s="318">
        <f t="shared" ref="BE497:BJ497" si="269">SUM(BE493:BE496)</f>
        <v>0</v>
      </c>
      <c r="BF497" s="318">
        <f t="shared" si="269"/>
        <v>0</v>
      </c>
      <c r="BG497" s="318">
        <f t="shared" si="269"/>
        <v>0</v>
      </c>
      <c r="BH497" s="318">
        <f t="shared" si="269"/>
        <v>0</v>
      </c>
      <c r="BI497" s="318">
        <f t="shared" si="269"/>
        <v>0</v>
      </c>
      <c r="BJ497" s="318">
        <f t="shared" si="269"/>
        <v>0</v>
      </c>
      <c r="BK497" s="14">
        <f t="shared" si="266"/>
        <v>0</v>
      </c>
      <c r="BL497" s="318"/>
      <c r="BM497" s="318"/>
      <c r="BN497" s="318"/>
      <c r="BO497" s="318"/>
      <c r="BP497" s="318"/>
      <c r="BQ497" s="318"/>
      <c r="BR497" s="318"/>
      <c r="BS497" s="318"/>
      <c r="BT497" s="318"/>
      <c r="BU497" s="318"/>
      <c r="BV497" s="318"/>
      <c r="BW497" s="318"/>
      <c r="BX497" s="318"/>
      <c r="BY497" s="318"/>
      <c r="BZ497" s="318"/>
      <c r="CA497" s="318"/>
      <c r="CB497" s="318"/>
      <c r="CC497" s="318"/>
      <c r="CD497" s="318"/>
      <c r="CE497" s="318"/>
      <c r="CF497" s="318"/>
      <c r="CG497" s="318"/>
      <c r="CH497" s="318"/>
      <c r="CI497" s="318"/>
      <c r="CJ497" s="2"/>
      <c r="CK497" s="2"/>
      <c r="CM497" s="1140">
        <v>0</v>
      </c>
      <c r="CN497" s="1140">
        <v>0</v>
      </c>
      <c r="CP497" s="923">
        <f t="shared" si="241"/>
        <v>0</v>
      </c>
      <c r="CZ497" s="330"/>
    </row>
    <row r="498" spans="1:104" ht="15" customHeight="1" x14ac:dyDescent="0.25">
      <c r="A498" s="684">
        <f>MAX($A$6:A497)+1</f>
        <v>498</v>
      </c>
      <c r="B498" s="3">
        <f t="shared" si="264"/>
        <v>5.0999999999999996</v>
      </c>
      <c r="C498" s="11" t="str">
        <f t="shared" si="265"/>
        <v>Consolidated property, plant and equipment 2025-26</v>
      </c>
      <c r="D498" s="11" t="s">
        <v>195</v>
      </c>
      <c r="E498" s="7" t="s">
        <v>185</v>
      </c>
      <c r="F498" s="15"/>
      <c r="G498" s="1254" t="s">
        <v>185</v>
      </c>
      <c r="H498" s="6">
        <v>0</v>
      </c>
      <c r="I498" s="6">
        <v>0</v>
      </c>
      <c r="J498" s="1257" t="s">
        <v>185</v>
      </c>
      <c r="K498" s="251">
        <f>SUMIF('alb Note 5.1 -PP&amp;E - CY'!$A:$A,$J498,'alb Note 5.1 -PP&amp;E - CY'!$B:$B)</f>
        <v>0</v>
      </c>
      <c r="L498" s="251">
        <f>SUMIF('alb Note 5.1 -PP&amp;E - CY'!$A:$A,$J498,'alb Note 5.1 -PP&amp;E - CY'!$M:$M)</f>
        <v>0</v>
      </c>
      <c r="M498" s="10"/>
      <c r="N498" s="273">
        <f t="shared" ref="N498:N507" si="270">ROUND(SUM(O498:S498)+SUM(W498:AV498),0)</f>
        <v>0</v>
      </c>
      <c r="O498" s="12"/>
      <c r="P498" s="12"/>
      <c r="Q498" s="12"/>
      <c r="R498" s="12"/>
      <c r="S498" s="6">
        <f t="shared" si="254"/>
        <v>0</v>
      </c>
      <c r="T498" s="273">
        <f t="shared" ref="T498:T507" si="271">ROUND(SUM(U498:Y498),0)</f>
        <v>0</v>
      </c>
      <c r="U498" s="6">
        <f t="shared" ref="U498:U507" si="272">SUM(BL498:BN498)</f>
        <v>0</v>
      </c>
      <c r="V498" s="6"/>
      <c r="W498" s="6">
        <f t="shared" si="267"/>
        <v>0</v>
      </c>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X498" s="6"/>
      <c r="AY498" s="6">
        <f>ROUND(AX498/1000/Update!$B$31*Update!$B$27,0)</f>
        <v>0</v>
      </c>
      <c r="BA498" s="6"/>
      <c r="BB498" s="6">
        <f>ROUND(BA498/1000/Update!$B$31,0)</f>
        <v>0</v>
      </c>
      <c r="BC498" s="6"/>
      <c r="BD498" s="29">
        <f t="shared" si="232"/>
        <v>0</v>
      </c>
      <c r="BE498" s="317"/>
      <c r="BF498" s="317"/>
      <c r="BG498" s="317"/>
      <c r="BH498" s="317"/>
      <c r="BI498" s="317"/>
      <c r="BJ498" s="317"/>
      <c r="BK498" s="29">
        <f t="shared" si="266"/>
        <v>0</v>
      </c>
      <c r="BL498" s="317"/>
      <c r="BM498" s="317"/>
      <c r="BN498" s="317"/>
      <c r="BO498" s="317"/>
      <c r="BP498" s="317"/>
      <c r="BQ498" s="317"/>
      <c r="BR498" s="317"/>
      <c r="BS498" s="317"/>
      <c r="BT498" s="317"/>
      <c r="BU498" s="317"/>
      <c r="BV498" s="317"/>
      <c r="BW498" s="317"/>
      <c r="BX498" s="317"/>
      <c r="BY498" s="317"/>
      <c r="BZ498" s="317"/>
      <c r="CA498" s="317"/>
      <c r="CB498" s="317"/>
      <c r="CC498" s="317"/>
      <c r="CD498" s="317"/>
      <c r="CE498" s="317"/>
      <c r="CF498" s="317"/>
      <c r="CG498" s="317"/>
      <c r="CH498" s="317"/>
      <c r="CI498" s="317"/>
      <c r="CM498" s="1139">
        <v>0</v>
      </c>
      <c r="CN498" s="1139">
        <v>0</v>
      </c>
      <c r="CP498" s="923">
        <f t="shared" si="241"/>
        <v>0</v>
      </c>
      <c r="CZ498" s="330"/>
    </row>
    <row r="499" spans="1:104" ht="30" customHeight="1" x14ac:dyDescent="0.25">
      <c r="A499" s="684">
        <f>MAX($A$6:A498)+1</f>
        <v>499</v>
      </c>
      <c r="B499" s="3">
        <f t="shared" si="264"/>
        <v>5.0999999999999996</v>
      </c>
      <c r="C499" s="11" t="str">
        <f t="shared" si="265"/>
        <v>Consolidated property, plant and equipment 2025-26</v>
      </c>
      <c r="D499" s="11" t="s">
        <v>195</v>
      </c>
      <c r="E499" s="7" t="s">
        <v>437</v>
      </c>
      <c r="F499" s="15"/>
      <c r="G499" s="1254" t="s">
        <v>437</v>
      </c>
      <c r="H499" s="6">
        <v>0</v>
      </c>
      <c r="I499" s="6">
        <v>0</v>
      </c>
      <c r="J499" s="1257" t="s">
        <v>437</v>
      </c>
      <c r="K499" s="251">
        <f>SUMIF('alb Note 5.1 -PP&amp;E - CY'!$A:$A,$J499,'alb Note 5.1 -PP&amp;E - CY'!$B:$B)</f>
        <v>0</v>
      </c>
      <c r="L499" s="251">
        <f>SUMIF('alb Note 5.1 -PP&amp;E - CY'!$A:$A,$J499,'alb Note 5.1 -PP&amp;E - CY'!$M:$M)</f>
        <v>0</v>
      </c>
      <c r="M499" s="10"/>
      <c r="N499" s="273">
        <f t="shared" si="270"/>
        <v>0</v>
      </c>
      <c r="O499" s="12"/>
      <c r="P499" s="12"/>
      <c r="Q499" s="12"/>
      <c r="R499" s="12"/>
      <c r="S499" s="6">
        <f t="shared" ref="S499:S562" si="273">-IF(ISNUMBER(BD499),BD499,0)</f>
        <v>0</v>
      </c>
      <c r="T499" s="273">
        <f t="shared" si="271"/>
        <v>0</v>
      </c>
      <c r="U499" s="6">
        <f t="shared" si="272"/>
        <v>0</v>
      </c>
      <c r="V499" s="6"/>
      <c r="W499" s="6">
        <f t="shared" si="267"/>
        <v>0</v>
      </c>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X499" s="6"/>
      <c r="AY499" s="6">
        <f>ROUND(AX499/1000/Update!$B$31*Update!$B$27,0)</f>
        <v>0</v>
      </c>
      <c r="BA499" s="6"/>
      <c r="BB499" s="6">
        <f>ROUND(BA499/1000/Update!$B$31,0)</f>
        <v>0</v>
      </c>
      <c r="BC499" s="6"/>
      <c r="BD499" s="29">
        <f t="shared" si="232"/>
        <v>0</v>
      </c>
      <c r="BE499" s="317"/>
      <c r="BF499" s="317"/>
      <c r="BG499" s="317"/>
      <c r="BH499" s="317"/>
      <c r="BI499" s="317"/>
      <c r="BJ499" s="317"/>
      <c r="BK499" s="29">
        <f t="shared" si="266"/>
        <v>0</v>
      </c>
      <c r="BL499" s="317"/>
      <c r="BM499" s="317"/>
      <c r="BN499" s="317"/>
      <c r="BO499" s="317"/>
      <c r="BP499" s="317"/>
      <c r="BQ499" s="317"/>
      <c r="BR499" s="317"/>
      <c r="BS499" s="317"/>
      <c r="BT499" s="317"/>
      <c r="BU499" s="317"/>
      <c r="BV499" s="317"/>
      <c r="BW499" s="317"/>
      <c r="BX499" s="317"/>
      <c r="BY499" s="317"/>
      <c r="BZ499" s="317"/>
      <c r="CA499" s="317"/>
      <c r="CB499" s="317"/>
      <c r="CC499" s="317"/>
      <c r="CD499" s="317"/>
      <c r="CE499" s="317"/>
      <c r="CF499" s="317"/>
      <c r="CG499" s="317"/>
      <c r="CH499" s="317"/>
      <c r="CI499" s="317"/>
      <c r="CM499" s="1139">
        <v>0</v>
      </c>
      <c r="CN499" s="1139">
        <v>0</v>
      </c>
      <c r="CP499" s="923">
        <f t="shared" si="241"/>
        <v>0</v>
      </c>
      <c r="CZ499" s="330"/>
    </row>
    <row r="500" spans="1:104" ht="15" customHeight="1" x14ac:dyDescent="0.25">
      <c r="A500" s="684">
        <f>MAX($A$6:A499)+1</f>
        <v>500</v>
      </c>
      <c r="B500" s="3">
        <f t="shared" si="264"/>
        <v>5.0999999999999996</v>
      </c>
      <c r="C500" s="11" t="str">
        <f t="shared" si="265"/>
        <v>Consolidated property, plant and equipment 2025-26</v>
      </c>
      <c r="D500" s="11" t="s">
        <v>195</v>
      </c>
      <c r="E500" s="7" t="s">
        <v>191</v>
      </c>
      <c r="F500" s="15"/>
      <c r="G500" s="1254" t="s">
        <v>191</v>
      </c>
      <c r="H500" s="6">
        <v>0</v>
      </c>
      <c r="I500" s="6">
        <v>0</v>
      </c>
      <c r="J500" s="1257" t="s">
        <v>191</v>
      </c>
      <c r="K500" s="251">
        <f>SUMIF('alb Note 5.1 -PP&amp;E - CY'!$A:$A,$J500,'alb Note 5.1 -PP&amp;E - CY'!$B:$B)</f>
        <v>0</v>
      </c>
      <c r="L500" s="251">
        <f>SUMIF('alb Note 5.1 -PP&amp;E - CY'!$A:$A,$J500,'alb Note 5.1 -PP&amp;E - CY'!$M:$M)</f>
        <v>0</v>
      </c>
      <c r="M500" s="10"/>
      <c r="N500" s="273">
        <f t="shared" si="270"/>
        <v>0</v>
      </c>
      <c r="O500" s="12"/>
      <c r="P500" s="12"/>
      <c r="Q500" s="12"/>
      <c r="R500" s="12"/>
      <c r="S500" s="6">
        <f t="shared" si="273"/>
        <v>0</v>
      </c>
      <c r="T500" s="273">
        <f t="shared" si="271"/>
        <v>0</v>
      </c>
      <c r="U500" s="6">
        <f t="shared" si="272"/>
        <v>0</v>
      </c>
      <c r="V500" s="6"/>
      <c r="W500" s="6">
        <f t="shared" si="267"/>
        <v>0</v>
      </c>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X500" s="6"/>
      <c r="AY500" s="6">
        <f>ROUND(AX500/1000/Update!$B$31*Update!$B$27,0)</f>
        <v>0</v>
      </c>
      <c r="BA500" s="6"/>
      <c r="BB500" s="6">
        <f>ROUND(BA500/1000/Update!$B$31,0)</f>
        <v>0</v>
      </c>
      <c r="BC500" s="6"/>
      <c r="BD500" s="29">
        <f t="shared" si="232"/>
        <v>0</v>
      </c>
      <c r="BE500" s="317"/>
      <c r="BF500" s="317"/>
      <c r="BG500" s="317"/>
      <c r="BH500" s="317"/>
      <c r="BI500" s="317"/>
      <c r="BJ500" s="317"/>
      <c r="BK500" s="29">
        <f t="shared" si="266"/>
        <v>0</v>
      </c>
      <c r="BL500" s="317"/>
      <c r="BM500" s="317"/>
      <c r="BN500" s="317"/>
      <c r="BO500" s="317"/>
      <c r="BP500" s="317"/>
      <c r="BQ500" s="317"/>
      <c r="BR500" s="317"/>
      <c r="BS500" s="317"/>
      <c r="BT500" s="317"/>
      <c r="BU500" s="317"/>
      <c r="BV500" s="317"/>
      <c r="BW500" s="317"/>
      <c r="BX500" s="317"/>
      <c r="BY500" s="317"/>
      <c r="BZ500" s="317"/>
      <c r="CA500" s="317"/>
      <c r="CB500" s="317"/>
      <c r="CC500" s="317"/>
      <c r="CD500" s="317"/>
      <c r="CE500" s="317"/>
      <c r="CF500" s="317"/>
      <c r="CG500" s="317"/>
      <c r="CH500" s="317"/>
      <c r="CI500" s="317"/>
      <c r="CM500" s="1139">
        <v>0</v>
      </c>
      <c r="CN500" s="1139">
        <v>0</v>
      </c>
      <c r="CP500" s="923">
        <f t="shared" si="241"/>
        <v>0</v>
      </c>
      <c r="CZ500" s="330"/>
    </row>
    <row r="501" spans="1:104" ht="15" customHeight="1" x14ac:dyDescent="0.25">
      <c r="A501" s="684">
        <f>MAX($A$6:A500)+1</f>
        <v>501</v>
      </c>
      <c r="B501" s="3">
        <f t="shared" si="264"/>
        <v>5.0999999999999996</v>
      </c>
      <c r="C501" s="11" t="str">
        <f t="shared" si="265"/>
        <v>Consolidated property, plant and equipment 2025-26</v>
      </c>
      <c r="D501" s="11" t="s">
        <v>195</v>
      </c>
      <c r="E501" s="7" t="s">
        <v>186</v>
      </c>
      <c r="F501" s="15"/>
      <c r="G501" s="1254" t="s">
        <v>186</v>
      </c>
      <c r="H501" s="6">
        <v>0</v>
      </c>
      <c r="I501" s="6">
        <v>0</v>
      </c>
      <c r="J501" s="1257" t="s">
        <v>186</v>
      </c>
      <c r="K501" s="251">
        <f>SUMIF('alb Note 5.1 -PP&amp;E - CY'!$A:$A,$J501,'alb Note 5.1 -PP&amp;E - CY'!$B:$B)</f>
        <v>0</v>
      </c>
      <c r="L501" s="251">
        <f>SUMIF('alb Note 5.1 -PP&amp;E - CY'!$A:$A,$J501,'alb Note 5.1 -PP&amp;E - CY'!$M:$M)</f>
        <v>0</v>
      </c>
      <c r="M501" s="10"/>
      <c r="N501" s="273">
        <f t="shared" si="270"/>
        <v>0</v>
      </c>
      <c r="O501" s="12"/>
      <c r="P501" s="12"/>
      <c r="Q501" s="12"/>
      <c r="R501" s="12"/>
      <c r="S501" s="6">
        <f t="shared" si="273"/>
        <v>0</v>
      </c>
      <c r="T501" s="273">
        <f t="shared" si="271"/>
        <v>0</v>
      </c>
      <c r="U501" s="6">
        <f t="shared" si="272"/>
        <v>0</v>
      </c>
      <c r="V501" s="6"/>
      <c r="W501" s="6">
        <f t="shared" si="267"/>
        <v>0</v>
      </c>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X501" s="6"/>
      <c r="AY501" s="6">
        <f>ROUND(AX501/1000/Update!$B$31*Update!$B$27,0)</f>
        <v>0</v>
      </c>
      <c r="BA501" s="6"/>
      <c r="BB501" s="6">
        <f>ROUND(BA501/1000/Update!$B$31,0)</f>
        <v>0</v>
      </c>
      <c r="BC501" s="6"/>
      <c r="BD501" s="29">
        <f t="shared" si="232"/>
        <v>0</v>
      </c>
      <c r="BE501" s="317"/>
      <c r="BF501" s="1191"/>
      <c r="BG501" s="317"/>
      <c r="BH501" s="317"/>
      <c r="BI501" s="317"/>
      <c r="BJ501" s="317"/>
      <c r="BK501" s="29">
        <f t="shared" si="266"/>
        <v>0</v>
      </c>
      <c r="BL501" s="317"/>
      <c r="BM501" s="317"/>
      <c r="BN501" s="317"/>
      <c r="BO501" s="317"/>
      <c r="BP501" s="317"/>
      <c r="BQ501" s="317"/>
      <c r="BR501" s="317"/>
      <c r="BS501" s="317"/>
      <c r="BT501" s="317"/>
      <c r="BU501" s="317"/>
      <c r="BV501" s="317"/>
      <c r="BW501" s="317"/>
      <c r="BX501" s="317"/>
      <c r="BY501" s="317"/>
      <c r="BZ501" s="317"/>
      <c r="CA501" s="317"/>
      <c r="CB501" s="317"/>
      <c r="CC501" s="317"/>
      <c r="CD501" s="317"/>
      <c r="CE501" s="317"/>
      <c r="CF501" s="317"/>
      <c r="CG501" s="317"/>
      <c r="CH501" s="317"/>
      <c r="CI501" s="317"/>
      <c r="CM501" s="1139">
        <v>0</v>
      </c>
      <c r="CN501" s="1139">
        <v>0</v>
      </c>
      <c r="CP501" s="923">
        <f t="shared" si="241"/>
        <v>0</v>
      </c>
      <c r="CZ501" s="330"/>
    </row>
    <row r="502" spans="1:104" ht="30" customHeight="1" x14ac:dyDescent="0.25">
      <c r="A502" s="684">
        <f>MAX($A$6:A501)+1</f>
        <v>502</v>
      </c>
      <c r="B502" s="3">
        <f t="shared" si="264"/>
        <v>5.0999999999999996</v>
      </c>
      <c r="C502" s="11" t="str">
        <f t="shared" si="265"/>
        <v>Consolidated property, plant and equipment 2025-26</v>
      </c>
      <c r="D502" s="11" t="s">
        <v>195</v>
      </c>
      <c r="E502" s="7" t="s">
        <v>192</v>
      </c>
      <c r="F502" s="15"/>
      <c r="G502" s="1254" t="s">
        <v>438</v>
      </c>
      <c r="H502" s="6">
        <v>0</v>
      </c>
      <c r="I502" s="6">
        <v>0</v>
      </c>
      <c r="J502" s="1257" t="s">
        <v>768</v>
      </c>
      <c r="K502" s="251">
        <f>SUMIF('alb Note 5.1 -PP&amp;E - CY'!$A:$A,$J502,'alb Note 5.1 -PP&amp;E - CY'!$B:$B)</f>
        <v>0</v>
      </c>
      <c r="L502" s="251">
        <f>SUMIF('alb Note 5.1 -PP&amp;E - CY'!$A:$A,$J502,'alb Note 5.1 -PP&amp;E - CY'!$M:$M)</f>
        <v>0</v>
      </c>
      <c r="M502" s="10"/>
      <c r="N502" s="273">
        <f t="shared" si="270"/>
        <v>0</v>
      </c>
      <c r="O502" s="12"/>
      <c r="P502" s="12"/>
      <c r="Q502" s="12"/>
      <c r="R502" s="12"/>
      <c r="S502" s="6">
        <f t="shared" si="273"/>
        <v>0</v>
      </c>
      <c r="T502" s="273">
        <f t="shared" si="271"/>
        <v>0</v>
      </c>
      <c r="U502" s="6">
        <f t="shared" si="272"/>
        <v>0</v>
      </c>
      <c r="V502" s="6"/>
      <c r="W502" s="6">
        <f t="shared" si="267"/>
        <v>0</v>
      </c>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X502" s="6"/>
      <c r="AY502" s="6">
        <f>ROUND(AX502/1000/Update!$B$31*Update!$B$27,0)</f>
        <v>0</v>
      </c>
      <c r="BA502" s="6"/>
      <c r="BB502" s="6">
        <f>ROUND(BA502/1000/Update!$B$31,0)</f>
        <v>0</v>
      </c>
      <c r="BC502" s="6"/>
      <c r="BD502" s="29">
        <f t="shared" si="232"/>
        <v>0</v>
      </c>
      <c r="BE502" s="317"/>
      <c r="BF502" s="317"/>
      <c r="BG502" s="317"/>
      <c r="BH502" s="317"/>
      <c r="BI502" s="317"/>
      <c r="BJ502" s="317"/>
      <c r="BK502" s="29">
        <f t="shared" si="266"/>
        <v>0</v>
      </c>
      <c r="BL502" s="317"/>
      <c r="BM502" s="317"/>
      <c r="BN502" s="317"/>
      <c r="BO502" s="317"/>
      <c r="BP502" s="317"/>
      <c r="BQ502" s="317"/>
      <c r="BR502" s="317"/>
      <c r="BS502" s="317"/>
      <c r="BT502" s="317"/>
      <c r="BU502" s="317"/>
      <c r="BV502" s="317"/>
      <c r="BW502" s="317"/>
      <c r="BX502" s="317"/>
      <c r="BY502" s="317"/>
      <c r="BZ502" s="317"/>
      <c r="CA502" s="317"/>
      <c r="CB502" s="317"/>
      <c r="CC502" s="317"/>
      <c r="CD502" s="317"/>
      <c r="CE502" s="317"/>
      <c r="CF502" s="317"/>
      <c r="CG502" s="317"/>
      <c r="CH502" s="317"/>
      <c r="CI502" s="317"/>
      <c r="CM502" s="1139">
        <v>0</v>
      </c>
      <c r="CN502" s="1139">
        <v>0</v>
      </c>
      <c r="CP502" s="923">
        <f t="shared" si="241"/>
        <v>0</v>
      </c>
      <c r="CZ502" s="330"/>
    </row>
    <row r="503" spans="1:104" ht="51" customHeight="1" x14ac:dyDescent="0.25">
      <c r="A503" s="684">
        <f>MAX($A$6:A502)+1</f>
        <v>503</v>
      </c>
      <c r="B503" s="3">
        <f t="shared" si="264"/>
        <v>5.0999999999999996</v>
      </c>
      <c r="C503" s="11" t="str">
        <f t="shared" si="265"/>
        <v>Consolidated property, plant and equipment 2025-26</v>
      </c>
      <c r="D503" s="11" t="s">
        <v>195</v>
      </c>
      <c r="E503" s="7" t="s">
        <v>193</v>
      </c>
      <c r="F503" s="15"/>
      <c r="G503" s="1254" t="s">
        <v>193</v>
      </c>
      <c r="H503" s="6">
        <v>0</v>
      </c>
      <c r="I503" s="6">
        <v>0</v>
      </c>
      <c r="J503" s="1257" t="s">
        <v>767</v>
      </c>
      <c r="K503" s="251">
        <f>SUMIF('alb Note 5.1 -PP&amp;E - CY'!$A:$A,$J503,'alb Note 5.1 -PP&amp;E - CY'!$B:$B)</f>
        <v>0</v>
      </c>
      <c r="L503" s="251">
        <f>SUMIF('alb Note 5.1 -PP&amp;E - CY'!$A:$A,$J503,'alb Note 5.1 -PP&amp;E - CY'!$M:$M)</f>
        <v>0</v>
      </c>
      <c r="M503" s="10"/>
      <c r="N503" s="273">
        <f t="shared" si="270"/>
        <v>0</v>
      </c>
      <c r="O503" s="12"/>
      <c r="P503" s="12"/>
      <c r="Q503" s="12"/>
      <c r="R503" s="12"/>
      <c r="S503" s="6">
        <f t="shared" si="273"/>
        <v>0</v>
      </c>
      <c r="T503" s="273">
        <f t="shared" si="271"/>
        <v>0</v>
      </c>
      <c r="U503" s="6">
        <f t="shared" si="272"/>
        <v>0</v>
      </c>
      <c r="V503" s="6"/>
      <c r="W503" s="6">
        <f t="shared" si="267"/>
        <v>0</v>
      </c>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X503" s="6"/>
      <c r="AY503" s="6">
        <f>ROUND(AX503/1000/Update!$B$31*Update!$B$27,0)</f>
        <v>0</v>
      </c>
      <c r="BA503" s="6"/>
      <c r="BB503" s="6">
        <f>ROUND(BA503/1000/Update!$B$31,0)</f>
        <v>0</v>
      </c>
      <c r="BC503" s="6"/>
      <c r="BD503" s="29">
        <f t="shared" si="232"/>
        <v>0</v>
      </c>
      <c r="BE503" s="317"/>
      <c r="BF503" s="317"/>
      <c r="BG503" s="317"/>
      <c r="BH503" s="317"/>
      <c r="BI503" s="317"/>
      <c r="BJ503" s="317"/>
      <c r="BK503" s="29">
        <f t="shared" si="266"/>
        <v>0</v>
      </c>
      <c r="BL503" s="317"/>
      <c r="BM503" s="317"/>
      <c r="BN503" s="317"/>
      <c r="BO503" s="317"/>
      <c r="BP503" s="317"/>
      <c r="BQ503" s="317"/>
      <c r="BR503" s="317"/>
      <c r="BS503" s="317"/>
      <c r="BT503" s="317"/>
      <c r="BU503" s="317"/>
      <c r="BV503" s="317"/>
      <c r="BW503" s="317"/>
      <c r="BX503" s="317"/>
      <c r="BY503" s="317"/>
      <c r="BZ503" s="317"/>
      <c r="CA503" s="317"/>
      <c r="CB503" s="317"/>
      <c r="CC503" s="317"/>
      <c r="CD503" s="317"/>
      <c r="CE503" s="317"/>
      <c r="CF503" s="317"/>
      <c r="CG503" s="317"/>
      <c r="CH503" s="317"/>
      <c r="CI503" s="317"/>
      <c r="CM503" s="1139">
        <v>0</v>
      </c>
      <c r="CN503" s="1139">
        <v>0</v>
      </c>
      <c r="CP503" s="923">
        <f t="shared" si="241"/>
        <v>0</v>
      </c>
      <c r="CZ503" s="330"/>
    </row>
    <row r="504" spans="1:104" ht="15" customHeight="1" x14ac:dyDescent="0.25">
      <c r="A504" s="684">
        <f>MAX($A$6:A503)+1</f>
        <v>504</v>
      </c>
      <c r="B504" s="3">
        <f t="shared" si="264"/>
        <v>5.0999999999999996</v>
      </c>
      <c r="C504" s="11" t="str">
        <f t="shared" si="265"/>
        <v>Consolidated property, plant and equipment 2025-26</v>
      </c>
      <c r="D504" s="11" t="str">
        <f>D503</f>
        <v>Land</v>
      </c>
      <c r="E504" s="7" t="s">
        <v>810</v>
      </c>
      <c r="F504" s="15"/>
      <c r="G504" s="1254"/>
      <c r="H504" s="6">
        <v>0</v>
      </c>
      <c r="I504" s="6">
        <v>0</v>
      </c>
      <c r="J504" s="1257" t="s">
        <v>810</v>
      </c>
      <c r="K504" s="251">
        <f>SUMIF('alb Note 5.1 -PP&amp;E - CY'!$A:$A,$J504,'alb Note 5.1 -PP&amp;E - CY'!$B:$B)</f>
        <v>0</v>
      </c>
      <c r="L504" s="251">
        <f>SUMIF('alb Note 5.1 -PP&amp;E - CY'!$A:$A,$J504,'alb Note 5.1 -PP&amp;E - CY'!$M:$M)</f>
        <v>0</v>
      </c>
      <c r="M504" s="10"/>
      <c r="N504" s="273">
        <f t="shared" si="270"/>
        <v>0</v>
      </c>
      <c r="O504" s="12"/>
      <c r="P504" s="12"/>
      <c r="Q504" s="12"/>
      <c r="R504" s="12"/>
      <c r="S504" s="6">
        <f t="shared" si="273"/>
        <v>0</v>
      </c>
      <c r="T504" s="273">
        <f t="shared" si="271"/>
        <v>0</v>
      </c>
      <c r="U504" s="6">
        <f t="shared" si="272"/>
        <v>0</v>
      </c>
      <c r="V504" s="6"/>
      <c r="W504" s="6">
        <f t="shared" si="267"/>
        <v>0</v>
      </c>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X504" s="6"/>
      <c r="AY504" s="6">
        <f>ROUND(AX504/1000/Update!$B$31*Update!$B$27,0)</f>
        <v>0</v>
      </c>
      <c r="BA504" s="6"/>
      <c r="BB504" s="6">
        <f>ROUND(BA504/1000/Update!$B$31,0)</f>
        <v>0</v>
      </c>
      <c r="BC504" s="6"/>
      <c r="BD504" s="29">
        <f t="shared" si="232"/>
        <v>0</v>
      </c>
      <c r="BE504" s="317"/>
      <c r="BF504" s="317"/>
      <c r="BG504" s="317"/>
      <c r="BH504" s="317"/>
      <c r="BI504" s="317"/>
      <c r="BJ504" s="317"/>
      <c r="BK504" s="29">
        <f t="shared" si="266"/>
        <v>0</v>
      </c>
      <c r="BL504" s="317"/>
      <c r="BM504" s="317"/>
      <c r="BN504" s="317"/>
      <c r="BO504" s="317"/>
      <c r="BP504" s="317"/>
      <c r="BQ504" s="317"/>
      <c r="BR504" s="317"/>
      <c r="BS504" s="317"/>
      <c r="BT504" s="317"/>
      <c r="BU504" s="317"/>
      <c r="BV504" s="317"/>
      <c r="BW504" s="317"/>
      <c r="BX504" s="317"/>
      <c r="BY504" s="317"/>
      <c r="BZ504" s="317"/>
      <c r="CA504" s="317"/>
      <c r="CB504" s="317"/>
      <c r="CC504" s="317"/>
      <c r="CD504" s="317"/>
      <c r="CE504" s="317"/>
      <c r="CF504" s="317"/>
      <c r="CG504" s="317"/>
      <c r="CH504" s="317"/>
      <c r="CI504" s="317"/>
      <c r="CM504" s="1139">
        <v>0</v>
      </c>
      <c r="CN504" s="1139">
        <v>0</v>
      </c>
      <c r="CP504" s="923">
        <f t="shared" si="241"/>
        <v>0</v>
      </c>
      <c r="CZ504" s="330"/>
    </row>
    <row r="505" spans="1:104" ht="15" customHeight="1" x14ac:dyDescent="0.25">
      <c r="A505" s="684">
        <f>MAX($A$6:A504)+1</f>
        <v>505</v>
      </c>
      <c r="B505" s="3">
        <f>B503</f>
        <v>5.0999999999999996</v>
      </c>
      <c r="C505" s="11" t="str">
        <f>C503</f>
        <v>Consolidated property, plant and equipment 2025-26</v>
      </c>
      <c r="D505" s="11" t="s">
        <v>195</v>
      </c>
      <c r="E505" s="7" t="s">
        <v>187</v>
      </c>
      <c r="F505" s="15"/>
      <c r="G505" s="1254" t="s">
        <v>187</v>
      </c>
      <c r="H505" s="6">
        <v>0</v>
      </c>
      <c r="I505" s="6">
        <v>0</v>
      </c>
      <c r="J505" s="1257" t="s">
        <v>187</v>
      </c>
      <c r="K505" s="251">
        <f>SUMIF('alb Note 5.1 -PP&amp;E - CY'!$A:$A,$J505,'alb Note 5.1 -PP&amp;E - CY'!$B:$B)</f>
        <v>0</v>
      </c>
      <c r="L505" s="251">
        <f>SUMIF('alb Note 5.1 -PP&amp;E - CY'!$A:$A,$J505,'alb Note 5.1 -PP&amp;E - CY'!$M:$M)</f>
        <v>0</v>
      </c>
      <c r="M505" s="10"/>
      <c r="N505" s="273">
        <f t="shared" si="270"/>
        <v>0</v>
      </c>
      <c r="O505" s="12"/>
      <c r="P505" s="12"/>
      <c r="Q505" s="12"/>
      <c r="R505" s="12"/>
      <c r="S505" s="6">
        <f t="shared" si="273"/>
        <v>0</v>
      </c>
      <c r="T505" s="273">
        <f t="shared" si="271"/>
        <v>0</v>
      </c>
      <c r="U505" s="6">
        <f t="shared" si="272"/>
        <v>0</v>
      </c>
      <c r="V505" s="6"/>
      <c r="W505" s="6">
        <f t="shared" si="267"/>
        <v>0</v>
      </c>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X505" s="6"/>
      <c r="AY505" s="6">
        <f>ROUND(AX505/1000/Update!$B$31*Update!$B$27,0)</f>
        <v>0</v>
      </c>
      <c r="BA505" s="6"/>
      <c r="BB505" s="6">
        <f>ROUND(BA505/1000/Update!$B$31,0)</f>
        <v>0</v>
      </c>
      <c r="BC505" s="6"/>
      <c r="BD505" s="29">
        <f t="shared" si="232"/>
        <v>0</v>
      </c>
      <c r="BE505" s="317"/>
      <c r="BF505" s="317"/>
      <c r="BG505" s="317"/>
      <c r="BH505" s="317"/>
      <c r="BI505" s="317"/>
      <c r="BJ505" s="317"/>
      <c r="BK505" s="29">
        <f t="shared" si="266"/>
        <v>0</v>
      </c>
      <c r="BL505" s="317"/>
      <c r="BM505" s="317"/>
      <c r="BN505" s="317"/>
      <c r="BO505" s="317"/>
      <c r="BP505" s="317"/>
      <c r="BQ505" s="317"/>
      <c r="BR505" s="317"/>
      <c r="BS505" s="317"/>
      <c r="BT505" s="317"/>
      <c r="BU505" s="317"/>
      <c r="BV505" s="317"/>
      <c r="BW505" s="317"/>
      <c r="BX505" s="317"/>
      <c r="BY505" s="317"/>
      <c r="BZ505" s="317"/>
      <c r="CA505" s="317"/>
      <c r="CB505" s="317"/>
      <c r="CC505" s="317"/>
      <c r="CD505" s="317"/>
      <c r="CE505" s="317"/>
      <c r="CF505" s="317"/>
      <c r="CG505" s="317"/>
      <c r="CH505" s="317"/>
      <c r="CI505" s="317"/>
      <c r="CM505" s="1139">
        <v>0</v>
      </c>
      <c r="CN505" s="1139">
        <v>0</v>
      </c>
      <c r="CP505" s="923">
        <f t="shared" si="241"/>
        <v>0</v>
      </c>
      <c r="CZ505" s="330"/>
    </row>
    <row r="506" spans="1:104" ht="15" customHeight="1" x14ac:dyDescent="0.25">
      <c r="A506" s="684">
        <f>MAX($A$6:A505)+1</f>
        <v>506</v>
      </c>
      <c r="B506" s="3">
        <f t="shared" si="264"/>
        <v>5.0999999999999996</v>
      </c>
      <c r="C506" s="11" t="str">
        <f t="shared" si="265"/>
        <v>Consolidated property, plant and equipment 2025-26</v>
      </c>
      <c r="D506" s="11" t="s">
        <v>195</v>
      </c>
      <c r="E506" s="7" t="s">
        <v>188</v>
      </c>
      <c r="F506" s="15"/>
      <c r="G506" s="1254" t="s">
        <v>188</v>
      </c>
      <c r="H506" s="6">
        <v>0</v>
      </c>
      <c r="I506" s="6">
        <v>0</v>
      </c>
      <c r="J506" s="1257" t="s">
        <v>188</v>
      </c>
      <c r="K506" s="251">
        <f>SUMIF('alb Note 5.1 -PP&amp;E - CY'!$A:$A,$J506,'alb Note 5.1 -PP&amp;E - CY'!$B:$B)</f>
        <v>0</v>
      </c>
      <c r="L506" s="251">
        <f>SUMIF('alb Note 5.1 -PP&amp;E - CY'!$A:$A,$J506,'alb Note 5.1 -PP&amp;E - CY'!$M:$M)</f>
        <v>0</v>
      </c>
      <c r="M506" s="10"/>
      <c r="N506" s="273">
        <f t="shared" si="270"/>
        <v>0</v>
      </c>
      <c r="O506" s="12"/>
      <c r="P506" s="12"/>
      <c r="Q506" s="12"/>
      <c r="R506" s="12"/>
      <c r="S506" s="6">
        <f t="shared" si="273"/>
        <v>0</v>
      </c>
      <c r="T506" s="273">
        <f t="shared" si="271"/>
        <v>0</v>
      </c>
      <c r="U506" s="6">
        <f t="shared" si="272"/>
        <v>0</v>
      </c>
      <c r="V506" s="6"/>
      <c r="W506" s="6">
        <f t="shared" si="267"/>
        <v>0</v>
      </c>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X506" s="6"/>
      <c r="AY506" s="6">
        <f>ROUND(AX506/1000/Update!$B$31*Update!$B$27,0)</f>
        <v>0</v>
      </c>
      <c r="BA506" s="6"/>
      <c r="BB506" s="6">
        <f>ROUND(BA506/1000/Update!$B$31,0)</f>
        <v>0</v>
      </c>
      <c r="BC506" s="6"/>
      <c r="BD506" s="29">
        <f t="shared" si="232"/>
        <v>0</v>
      </c>
      <c r="BE506" s="317"/>
      <c r="BF506" s="317"/>
      <c r="BG506" s="317"/>
      <c r="BH506" s="317"/>
      <c r="BI506" s="317"/>
      <c r="BJ506" s="317"/>
      <c r="BK506" s="29">
        <f t="shared" si="266"/>
        <v>0</v>
      </c>
      <c r="BL506" s="317"/>
      <c r="BM506" s="317"/>
      <c r="BN506" s="317"/>
      <c r="BO506" s="317"/>
      <c r="BP506" s="317"/>
      <c r="BQ506" s="317"/>
      <c r="BR506" s="317"/>
      <c r="BS506" s="317"/>
      <c r="BT506" s="317"/>
      <c r="BU506" s="317"/>
      <c r="BV506" s="317"/>
      <c r="BW506" s="317"/>
      <c r="BX506" s="317"/>
      <c r="BY506" s="317"/>
      <c r="BZ506" s="317"/>
      <c r="CA506" s="317"/>
      <c r="CB506" s="317"/>
      <c r="CC506" s="317"/>
      <c r="CD506" s="317"/>
      <c r="CE506" s="317"/>
      <c r="CF506" s="317"/>
      <c r="CG506" s="317"/>
      <c r="CH506" s="317"/>
      <c r="CI506" s="317"/>
      <c r="CM506" s="1139">
        <v>0</v>
      </c>
      <c r="CN506" s="1139">
        <v>0</v>
      </c>
      <c r="CP506" s="923">
        <f t="shared" si="241"/>
        <v>0</v>
      </c>
      <c r="CZ506" s="330"/>
    </row>
    <row r="507" spans="1:104" ht="15" customHeight="1" x14ac:dyDescent="0.25">
      <c r="A507" s="684">
        <f>MAX($A$6:A506)+1</f>
        <v>507</v>
      </c>
      <c r="B507" s="3">
        <f t="shared" si="264"/>
        <v>5.0999999999999996</v>
      </c>
      <c r="C507" s="11" t="str">
        <f t="shared" si="265"/>
        <v>Consolidated property, plant and equipment 2025-26</v>
      </c>
      <c r="D507" s="11" t="s">
        <v>195</v>
      </c>
      <c r="E507" s="7" t="s">
        <v>189</v>
      </c>
      <c r="F507" s="15"/>
      <c r="G507" s="1254" t="s">
        <v>189</v>
      </c>
      <c r="H507" s="6">
        <v>0</v>
      </c>
      <c r="I507" s="6">
        <v>0</v>
      </c>
      <c r="J507" s="1257" t="s">
        <v>557</v>
      </c>
      <c r="K507" s="251">
        <f>SUMIF('alb Note 5.1 -PP&amp;E - CY'!$A:$A,$J507,'alb Note 5.1 -PP&amp;E - CY'!$B:$B)</f>
        <v>0</v>
      </c>
      <c r="L507" s="251">
        <f>SUMIF('alb Note 5.1 -PP&amp;E - CY'!$A:$A,$J507,'alb Note 5.1 -PP&amp;E - CY'!$M:$M)</f>
        <v>0</v>
      </c>
      <c r="M507" s="10"/>
      <c r="N507" s="273">
        <f t="shared" si="270"/>
        <v>0</v>
      </c>
      <c r="O507" s="12"/>
      <c r="P507" s="12"/>
      <c r="Q507" s="12"/>
      <c r="R507" s="12"/>
      <c r="S507" s="6">
        <f t="shared" si="273"/>
        <v>0</v>
      </c>
      <c r="T507" s="273">
        <f t="shared" si="271"/>
        <v>0</v>
      </c>
      <c r="U507" s="6">
        <f t="shared" si="272"/>
        <v>0</v>
      </c>
      <c r="V507" s="6"/>
      <c r="W507" s="6">
        <f t="shared" si="267"/>
        <v>0</v>
      </c>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X507" s="6"/>
      <c r="AY507" s="6">
        <f>ROUND(AX507/1000/Update!$B$31*Update!$B$27,0)</f>
        <v>0</v>
      </c>
      <c r="BA507" s="6"/>
      <c r="BB507" s="6">
        <f>ROUND(BA507/1000/Update!$B$31,0)</f>
        <v>0</v>
      </c>
      <c r="BC507" s="6"/>
      <c r="BD507" s="29">
        <f t="shared" si="232"/>
        <v>0</v>
      </c>
      <c r="BE507" s="317"/>
      <c r="BF507" s="317"/>
      <c r="BG507" s="317"/>
      <c r="BH507" s="317"/>
      <c r="BI507" s="317"/>
      <c r="BJ507" s="317"/>
      <c r="BK507" s="29">
        <f t="shared" si="266"/>
        <v>0</v>
      </c>
      <c r="BL507" s="317"/>
      <c r="BM507" s="317"/>
      <c r="BN507" s="317"/>
      <c r="BO507" s="317"/>
      <c r="BP507" s="317"/>
      <c r="BQ507" s="317"/>
      <c r="BR507" s="317"/>
      <c r="BS507" s="317"/>
      <c r="BT507" s="317"/>
      <c r="BU507" s="317"/>
      <c r="BV507" s="317"/>
      <c r="BW507" s="317"/>
      <c r="BX507" s="317"/>
      <c r="BY507" s="317"/>
      <c r="BZ507" s="317"/>
      <c r="CA507" s="317"/>
      <c r="CB507" s="317"/>
      <c r="CC507" s="317"/>
      <c r="CD507" s="317"/>
      <c r="CE507" s="317"/>
      <c r="CF507" s="317"/>
      <c r="CG507" s="317"/>
      <c r="CH507" s="317"/>
      <c r="CI507" s="317"/>
      <c r="CM507" s="1139">
        <v>0</v>
      </c>
      <c r="CN507" s="1139">
        <v>0</v>
      </c>
      <c r="CP507" s="923">
        <f t="shared" si="241"/>
        <v>0</v>
      </c>
      <c r="CZ507" s="330"/>
    </row>
    <row r="508" spans="1:104" ht="15" customHeight="1" x14ac:dyDescent="0.25">
      <c r="A508" s="701">
        <f>MAX($A$6:A507)+1</f>
        <v>508</v>
      </c>
      <c r="B508" s="1291">
        <f t="shared" si="264"/>
        <v>5.0999999999999996</v>
      </c>
      <c r="C508" s="18" t="str">
        <f t="shared" si="265"/>
        <v>Consolidated property, plant and equipment 2025-26</v>
      </c>
      <c r="D508" s="18" t="s">
        <v>195</v>
      </c>
      <c r="E508" s="19" t="str">
        <f>"At"&amp;Update!$B$22</f>
        <v>At 31 March 2026</v>
      </c>
      <c r="F508" s="20"/>
      <c r="G508" s="28"/>
      <c r="H508" s="14">
        <f>SUM(H498:H507)+H497</f>
        <v>32712</v>
      </c>
      <c r="I508" s="14">
        <f>SUM(I498:I507)+I497</f>
        <v>0</v>
      </c>
      <c r="J508" s="1258" t="s">
        <v>2492</v>
      </c>
      <c r="K508" s="256">
        <f>SUM(K498:K507)+K497</f>
        <v>0</v>
      </c>
      <c r="L508" s="256">
        <f>SUM(L498:L507)+L497</f>
        <v>0</v>
      </c>
      <c r="M508" s="21"/>
      <c r="N508" s="14">
        <f>ROUND(SUM(O508:S508)+T508+SUM(Z508:AV508),0)</f>
        <v>32712</v>
      </c>
      <c r="O508" s="14">
        <f t="shared" ref="O508:W508" si="274">SUM(O498:O507)+O497</f>
        <v>0</v>
      </c>
      <c r="P508" s="14">
        <f t="shared" si="274"/>
        <v>0</v>
      </c>
      <c r="Q508" s="14">
        <f t="shared" si="274"/>
        <v>0</v>
      </c>
      <c r="R508" s="14">
        <f t="shared" si="274"/>
        <v>0</v>
      </c>
      <c r="S508" s="14">
        <f t="shared" si="273"/>
        <v>0</v>
      </c>
      <c r="T508" s="14">
        <f t="shared" si="274"/>
        <v>32712</v>
      </c>
      <c r="U508" s="14">
        <f t="shared" si="274"/>
        <v>0</v>
      </c>
      <c r="V508" s="14">
        <f t="shared" si="274"/>
        <v>0</v>
      </c>
      <c r="W508" s="14">
        <f t="shared" si="274"/>
        <v>32712</v>
      </c>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2"/>
      <c r="AX508" s="14">
        <f>SUM(AX498:AX507)+AX497</f>
        <v>0</v>
      </c>
      <c r="AY508" s="14">
        <f>ROUND(AX508/1000/Update!$B$31*Update!$B$27,0)</f>
        <v>0</v>
      </c>
      <c r="AZ508" s="2"/>
      <c r="BA508" s="14">
        <f>SUM(BA498:BA507)+BA497</f>
        <v>0</v>
      </c>
      <c r="BB508" s="14">
        <f>ROUND(BA508/1000/Update!$B$31,0)</f>
        <v>0</v>
      </c>
      <c r="BC508" s="14"/>
      <c r="BD508" s="14">
        <f t="shared" si="232"/>
        <v>0</v>
      </c>
      <c r="BE508" s="318">
        <f t="shared" ref="BE508:BJ508" si="275">SUM(BE498:BE507)+BE497</f>
        <v>0</v>
      </c>
      <c r="BF508" s="318">
        <f t="shared" si="275"/>
        <v>0</v>
      </c>
      <c r="BG508" s="318">
        <f t="shared" si="275"/>
        <v>0</v>
      </c>
      <c r="BH508" s="318">
        <f t="shared" si="275"/>
        <v>0</v>
      </c>
      <c r="BI508" s="318">
        <f t="shared" si="275"/>
        <v>0</v>
      </c>
      <c r="BJ508" s="318">
        <f t="shared" si="275"/>
        <v>0</v>
      </c>
      <c r="BK508" s="14">
        <f t="shared" si="266"/>
        <v>0</v>
      </c>
      <c r="BL508" s="318"/>
      <c r="BM508" s="318"/>
      <c r="BN508" s="318"/>
      <c r="BO508" s="318"/>
      <c r="BP508" s="318"/>
      <c r="BQ508" s="318"/>
      <c r="BR508" s="318"/>
      <c r="BS508" s="318"/>
      <c r="BT508" s="318"/>
      <c r="BU508" s="318"/>
      <c r="BV508" s="318"/>
      <c r="BW508" s="318"/>
      <c r="BX508" s="318"/>
      <c r="BY508" s="318"/>
      <c r="BZ508" s="318"/>
      <c r="CA508" s="318"/>
      <c r="CB508" s="318"/>
      <c r="CC508" s="318"/>
      <c r="CD508" s="318"/>
      <c r="CE508" s="318"/>
      <c r="CF508" s="318"/>
      <c r="CG508" s="318"/>
      <c r="CH508" s="318"/>
      <c r="CI508" s="318"/>
      <c r="CJ508" s="2"/>
      <c r="CK508" s="2"/>
      <c r="CM508" s="1140">
        <v>0</v>
      </c>
      <c r="CN508" s="1140">
        <v>0</v>
      </c>
      <c r="CP508" s="923">
        <f t="shared" si="241"/>
        <v>0</v>
      </c>
      <c r="CZ508" s="330"/>
    </row>
    <row r="509" spans="1:104" ht="18.75" customHeight="1" x14ac:dyDescent="0.25">
      <c r="A509" s="684">
        <f>MAX($A$6:A508)+1</f>
        <v>509</v>
      </c>
      <c r="B509" s="3">
        <f t="shared" si="264"/>
        <v>5.0999999999999996</v>
      </c>
      <c r="C509" s="11" t="str">
        <f t="shared" si="265"/>
        <v>Consolidated property, plant and equipment 2025-26</v>
      </c>
      <c r="D509" s="11" t="s">
        <v>195</v>
      </c>
      <c r="E509" s="277" t="s">
        <v>160</v>
      </c>
      <c r="F509" s="15"/>
      <c r="G509" s="26"/>
      <c r="H509" s="6">
        <v>0</v>
      </c>
      <c r="I509" s="6">
        <v>0</v>
      </c>
      <c r="J509" s="1257" t="s">
        <v>286</v>
      </c>
      <c r="K509" s="251">
        <f>SUMIF('alb Note 5.1 -PP&amp;E - CY'!$A:$A,$J509,'alb Note 5.1 -PP&amp;E - CY'!$B:$B)</f>
        <v>0</v>
      </c>
      <c r="L509" s="251">
        <f>SUMIF('alb Note 5.1 -PP&amp;E - CY'!$A:$A,$J509,'alb Note 5.1 -PP&amp;E - CY'!$M:$M)</f>
        <v>0</v>
      </c>
      <c r="M509" s="10"/>
      <c r="N509" s="273">
        <f>ROUND(SUM(O509:S509)+SUM(W509:AV509),0)</f>
        <v>0</v>
      </c>
      <c r="O509" s="12"/>
      <c r="P509" s="12"/>
      <c r="Q509" s="12"/>
      <c r="R509" s="12"/>
      <c r="S509" s="6">
        <f t="shared" si="273"/>
        <v>0</v>
      </c>
      <c r="T509" s="273">
        <f>ROUND(SUM(U509:Y509),0)</f>
        <v>0</v>
      </c>
      <c r="U509" s="6">
        <f>SUM(BL509:BN509)</f>
        <v>0</v>
      </c>
      <c r="V509" s="6"/>
      <c r="W509" s="6">
        <v>0</v>
      </c>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X509" s="6">
        <f>AX508-SUM(AX497:AX507)</f>
        <v>0</v>
      </c>
      <c r="AY509" s="6">
        <f>ROUND(AX509/1000/Update!$B$31*Update!$B$27,0)</f>
        <v>0</v>
      </c>
      <c r="BA509" s="6">
        <f>BA508-SUM(BA497:BA507)</f>
        <v>0</v>
      </c>
      <c r="BB509" s="6">
        <f>ROUND(BA509/1000/Update!$B$31,0)</f>
        <v>0</v>
      </c>
      <c r="BC509" s="6"/>
      <c r="BD509" s="29">
        <f t="shared" si="232"/>
        <v>0</v>
      </c>
      <c r="BE509" s="317">
        <f t="shared" ref="BE509:BJ509" si="276">BE508-SUM(BE497:BE507)</f>
        <v>0</v>
      </c>
      <c r="BF509" s="317">
        <f t="shared" si="276"/>
        <v>0</v>
      </c>
      <c r="BG509" s="317">
        <f t="shared" si="276"/>
        <v>0</v>
      </c>
      <c r="BH509" s="317">
        <f t="shared" si="276"/>
        <v>0</v>
      </c>
      <c r="BI509" s="317">
        <f t="shared" si="276"/>
        <v>0</v>
      </c>
      <c r="BJ509" s="317">
        <f t="shared" si="276"/>
        <v>0</v>
      </c>
      <c r="BK509" s="29">
        <f t="shared" si="266"/>
        <v>0</v>
      </c>
      <c r="BL509" s="317"/>
      <c r="BM509" s="317"/>
      <c r="BN509" s="317"/>
      <c r="BO509" s="317"/>
      <c r="BP509" s="317"/>
      <c r="BQ509" s="317"/>
      <c r="BR509" s="317"/>
      <c r="BS509" s="317"/>
      <c r="BT509" s="317"/>
      <c r="BU509" s="317"/>
      <c r="BV509" s="317"/>
      <c r="BW509" s="317"/>
      <c r="BX509" s="317"/>
      <c r="BY509" s="317"/>
      <c r="BZ509" s="317"/>
      <c r="CA509" s="317"/>
      <c r="CB509" s="317"/>
      <c r="CC509" s="317"/>
      <c r="CD509" s="317"/>
      <c r="CE509" s="317"/>
      <c r="CF509" s="317"/>
      <c r="CG509" s="317"/>
      <c r="CH509" s="317"/>
      <c r="CI509" s="317"/>
      <c r="CM509" s="1139">
        <v>0</v>
      </c>
      <c r="CN509" s="1139">
        <v>0</v>
      </c>
      <c r="CP509" s="923">
        <f t="shared" si="241"/>
        <v>0</v>
      </c>
      <c r="CZ509" s="330"/>
    </row>
    <row r="510" spans="1:104" ht="15" customHeight="1" x14ac:dyDescent="0.25">
      <c r="A510" s="684">
        <f>MAX($A$6:A509)+1</f>
        <v>510</v>
      </c>
      <c r="B510" s="3">
        <f t="shared" si="264"/>
        <v>5.0999999999999996</v>
      </c>
      <c r="C510" s="11" t="str">
        <f t="shared" si="265"/>
        <v>Consolidated property, plant and equipment 2025-26</v>
      </c>
      <c r="D510" s="11" t="s">
        <v>195</v>
      </c>
      <c r="E510" s="7" t="str">
        <f>"At"&amp;Update!$B$20&amp;" "</f>
        <v xml:space="preserve">At 1 April 2025 </v>
      </c>
      <c r="F510" s="15"/>
      <c r="G510" s="7" t="str">
        <f>"At"&amp;Update!$B$20</f>
        <v>At 1 April 2025</v>
      </c>
      <c r="H510" s="6">
        <v>0</v>
      </c>
      <c r="I510" s="6">
        <v>0</v>
      </c>
      <c r="J510" s="1257" t="str">
        <f>$E510</f>
        <v xml:space="preserve">At 1 April 2025 </v>
      </c>
      <c r="K510" s="251">
        <f>SUMIF('alb Note 5.1 -PP&amp;E - CY'!$A:$A,$J510,'alb Note 5.1 -PP&amp;E - CY'!$B:$B)</f>
        <v>0</v>
      </c>
      <c r="L510" s="251">
        <f>SUMIF('alb Note 5.1 -PP&amp;E - CY'!$A:$A,$J510,'alb Note 5.1 -PP&amp;E - CY'!$M:$M)</f>
        <v>0</v>
      </c>
      <c r="M510" s="10"/>
      <c r="N510" s="273">
        <f>ROUND(SUM(O510:S510)+SUM(W510:AV510),0)</f>
        <v>0</v>
      </c>
      <c r="O510" s="12"/>
      <c r="P510" s="12"/>
      <c r="Q510" s="12"/>
      <c r="R510" s="12"/>
      <c r="S510" s="6">
        <f t="shared" si="273"/>
        <v>0</v>
      </c>
      <c r="T510" s="273">
        <f>ROUND(SUM(U510:Y510),0)</f>
        <v>0</v>
      </c>
      <c r="U510" s="6">
        <f>SUM(BL510:BN510)</f>
        <v>0</v>
      </c>
      <c r="V510" s="6"/>
      <c r="W510" s="6">
        <f t="shared" ref="W510:W521" si="277">+H510</f>
        <v>0</v>
      </c>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X510" s="6"/>
      <c r="AY510" s="6">
        <f>ROUND(AX510/1000/Update!$B$31*Update!$B$27,0)</f>
        <v>0</v>
      </c>
      <c r="BA510" s="6"/>
      <c r="BB510" s="6">
        <f>ROUND(BA510/1000/Update!$B$31,0)</f>
        <v>0</v>
      </c>
      <c r="BC510" s="6"/>
      <c r="BD510" s="29">
        <f t="shared" si="232"/>
        <v>0</v>
      </c>
      <c r="BE510" s="317"/>
      <c r="BF510" s="317"/>
      <c r="BG510" s="317"/>
      <c r="BH510" s="317"/>
      <c r="BI510" s="317"/>
      <c r="BJ510" s="317"/>
      <c r="BK510" s="29">
        <f t="shared" si="266"/>
        <v>0</v>
      </c>
      <c r="BL510" s="317"/>
      <c r="BM510" s="317"/>
      <c r="BN510" s="317"/>
      <c r="BO510" s="317"/>
      <c r="BP510" s="317"/>
      <c r="BQ510" s="317"/>
      <c r="BR510" s="317"/>
      <c r="BS510" s="317"/>
      <c r="BT510" s="317"/>
      <c r="BU510" s="317"/>
      <c r="BV510" s="317"/>
      <c r="BW510" s="317"/>
      <c r="BX510" s="317"/>
      <c r="BY510" s="317"/>
      <c r="BZ510" s="317"/>
      <c r="CA510" s="317"/>
      <c r="CB510" s="317"/>
      <c r="CC510" s="317"/>
      <c r="CD510" s="317"/>
      <c r="CE510" s="317"/>
      <c r="CF510" s="317"/>
      <c r="CG510" s="317"/>
      <c r="CH510" s="317"/>
      <c r="CI510" s="317"/>
      <c r="CM510" s="1139">
        <v>0</v>
      </c>
      <c r="CN510" s="1139">
        <v>0</v>
      </c>
      <c r="CP510" s="923">
        <f t="shared" si="241"/>
        <v>0</v>
      </c>
      <c r="CZ510" s="330"/>
    </row>
    <row r="511" spans="1:104" ht="15" customHeight="1" x14ac:dyDescent="0.25">
      <c r="A511" s="684">
        <f>MAX($A$6:A510)+1</f>
        <v>511</v>
      </c>
      <c r="B511" s="3">
        <f t="shared" si="264"/>
        <v>5.0999999999999996</v>
      </c>
      <c r="C511" s="11" t="str">
        <f t="shared" si="265"/>
        <v>Consolidated property, plant and equipment 2025-26</v>
      </c>
      <c r="D511" s="11" t="s">
        <v>195</v>
      </c>
      <c r="E511" s="7" t="s">
        <v>1417</v>
      </c>
      <c r="F511" s="15"/>
      <c r="G511" s="1254" t="s">
        <v>435</v>
      </c>
      <c r="H511" s="6">
        <v>0</v>
      </c>
      <c r="I511" s="6">
        <v>0</v>
      </c>
      <c r="J511" s="1257" t="s">
        <v>435</v>
      </c>
      <c r="K511" s="251">
        <f>SUMIF('alb Note 5.1 -PP&amp;E - CY'!$A:$A,$J511,'alb Note 5.1 -PP&amp;E - CY'!$B:$B)</f>
        <v>0</v>
      </c>
      <c r="L511" s="251">
        <f>SUMIF('alb Note 5.1 -PP&amp;E - CY'!$A:$A,$J511,'alb Note 5.1 -PP&amp;E - CY'!$M:$M)</f>
        <v>0</v>
      </c>
      <c r="M511" s="10"/>
      <c r="N511" s="273">
        <f>ROUND(SUM(O511:S511)+SUM(W511:AV511),0)</f>
        <v>0</v>
      </c>
      <c r="O511" s="12"/>
      <c r="P511" s="12"/>
      <c r="Q511" s="12"/>
      <c r="R511" s="12"/>
      <c r="S511" s="6">
        <f t="shared" si="273"/>
        <v>0</v>
      </c>
      <c r="T511" s="273">
        <f>ROUND(SUM(U511:Y511),0)</f>
        <v>0</v>
      </c>
      <c r="U511" s="6">
        <f>SUM(BL511:BN511)</f>
        <v>0</v>
      </c>
      <c r="V511" s="6"/>
      <c r="W511" s="6">
        <f t="shared" si="277"/>
        <v>0</v>
      </c>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X511" s="6"/>
      <c r="AY511" s="6">
        <f>ROUND(AX511/1000/Update!$B$31*Update!$B$27,0)</f>
        <v>0</v>
      </c>
      <c r="BA511" s="6"/>
      <c r="BB511" s="6">
        <f>ROUND(BA511/1000/Update!$B$31,0)</f>
        <v>0</v>
      </c>
      <c r="BC511" s="6"/>
      <c r="BD511" s="29">
        <f t="shared" si="232"/>
        <v>0</v>
      </c>
      <c r="BE511" s="317"/>
      <c r="BF511" s="317"/>
      <c r="BG511" s="317"/>
      <c r="BH511" s="317"/>
      <c r="BI511" s="317"/>
      <c r="BJ511" s="317"/>
      <c r="BK511" s="29">
        <f t="shared" si="266"/>
        <v>0</v>
      </c>
      <c r="BL511" s="317"/>
      <c r="BM511" s="317"/>
      <c r="BN511" s="317"/>
      <c r="BO511" s="317"/>
      <c r="BP511" s="317"/>
      <c r="BQ511" s="317"/>
      <c r="BR511" s="317"/>
      <c r="BS511" s="317"/>
      <c r="BT511" s="317"/>
      <c r="BU511" s="317"/>
      <c r="BV511" s="317"/>
      <c r="BW511" s="317"/>
      <c r="BX511" s="317"/>
      <c r="BY511" s="317"/>
      <c r="BZ511" s="317"/>
      <c r="CA511" s="317"/>
      <c r="CB511" s="317"/>
      <c r="CC511" s="317"/>
      <c r="CD511" s="317"/>
      <c r="CE511" s="317"/>
      <c r="CF511" s="317"/>
      <c r="CG511" s="317"/>
      <c r="CH511" s="317"/>
      <c r="CI511" s="317"/>
      <c r="CM511" s="1139">
        <v>0</v>
      </c>
      <c r="CN511" s="1139">
        <v>0</v>
      </c>
      <c r="CP511" s="923">
        <f t="shared" si="241"/>
        <v>0</v>
      </c>
      <c r="CZ511" s="330"/>
    </row>
    <row r="512" spans="1:104" ht="15" customHeight="1" x14ac:dyDescent="0.25">
      <c r="A512" s="701">
        <f>MAX($A$6:A511)+1</f>
        <v>512</v>
      </c>
      <c r="B512" s="1291">
        <f t="shared" si="264"/>
        <v>5.0999999999999996</v>
      </c>
      <c r="C512" s="18" t="str">
        <f t="shared" si="265"/>
        <v>Consolidated property, plant and equipment 2025-26</v>
      </c>
      <c r="D512" s="18" t="s">
        <v>195</v>
      </c>
      <c r="E512" s="19" t="s">
        <v>442</v>
      </c>
      <c r="F512" s="20"/>
      <c r="G512" s="28"/>
      <c r="H512" s="14">
        <f>SUM(H510:H511)</f>
        <v>0</v>
      </c>
      <c r="I512" s="14">
        <f>SUM(I510:I511)</f>
        <v>0</v>
      </c>
      <c r="J512" s="1258" t="s">
        <v>442</v>
      </c>
      <c r="K512" s="256">
        <f>SUM(K510:K511)</f>
        <v>0</v>
      </c>
      <c r="L512" s="256">
        <f>SUM(L510:L511)</f>
        <v>0</v>
      </c>
      <c r="M512" s="21"/>
      <c r="N512" s="14">
        <f>ROUND(SUM(O512:S512)+T512+SUM(Z512:AV512),0)</f>
        <v>0</v>
      </c>
      <c r="O512" s="23">
        <f t="shared" ref="O512:W512" si="278">O511+O510</f>
        <v>0</v>
      </c>
      <c r="P512" s="23">
        <f t="shared" si="278"/>
        <v>0</v>
      </c>
      <c r="Q512" s="23">
        <f t="shared" si="278"/>
        <v>0</v>
      </c>
      <c r="R512" s="23">
        <f t="shared" si="278"/>
        <v>0</v>
      </c>
      <c r="S512" s="14">
        <f t="shared" si="273"/>
        <v>0</v>
      </c>
      <c r="T512" s="14">
        <f t="shared" si="278"/>
        <v>0</v>
      </c>
      <c r="U512" s="14">
        <f t="shared" si="278"/>
        <v>0</v>
      </c>
      <c r="V512" s="14">
        <f t="shared" si="278"/>
        <v>0</v>
      </c>
      <c r="W512" s="14">
        <f t="shared" si="278"/>
        <v>0</v>
      </c>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2"/>
      <c r="AX512" s="14"/>
      <c r="AY512" s="14">
        <f>ROUND(AX512/1000/Update!$B$31*Update!$B$27,0)</f>
        <v>0</v>
      </c>
      <c r="AZ512" s="2"/>
      <c r="BA512" s="14"/>
      <c r="BB512" s="14">
        <f>ROUND(BA512/1000/Update!$B$31,0)</f>
        <v>0</v>
      </c>
      <c r="BC512" s="14"/>
      <c r="BD512" s="14">
        <f t="shared" si="232"/>
        <v>0</v>
      </c>
      <c r="BE512" s="318"/>
      <c r="BF512" s="318"/>
      <c r="BG512" s="318"/>
      <c r="BH512" s="318"/>
      <c r="BI512" s="318"/>
      <c r="BJ512" s="318"/>
      <c r="BK512" s="14">
        <f t="shared" si="266"/>
        <v>0</v>
      </c>
      <c r="BL512" s="318"/>
      <c r="BM512" s="318"/>
      <c r="BN512" s="318"/>
      <c r="BO512" s="318"/>
      <c r="BP512" s="318"/>
      <c r="BQ512" s="318"/>
      <c r="BR512" s="318"/>
      <c r="BS512" s="318"/>
      <c r="BT512" s="318"/>
      <c r="BU512" s="318"/>
      <c r="BV512" s="318"/>
      <c r="BW512" s="318"/>
      <c r="BX512" s="318"/>
      <c r="BY512" s="318"/>
      <c r="BZ512" s="318"/>
      <c r="CA512" s="318"/>
      <c r="CB512" s="318"/>
      <c r="CC512" s="318"/>
      <c r="CD512" s="318"/>
      <c r="CE512" s="318"/>
      <c r="CF512" s="318"/>
      <c r="CG512" s="318"/>
      <c r="CH512" s="318"/>
      <c r="CI512" s="318"/>
      <c r="CJ512" s="2"/>
      <c r="CK512" s="2"/>
      <c r="CM512" s="1140">
        <v>0</v>
      </c>
      <c r="CN512" s="1140">
        <v>0</v>
      </c>
      <c r="CP512" s="923">
        <f t="shared" si="241"/>
        <v>0</v>
      </c>
      <c r="CZ512" s="330"/>
    </row>
    <row r="513" spans="1:104" ht="15" customHeight="1" x14ac:dyDescent="0.25">
      <c r="A513" s="684">
        <f>MAX($A$6:A512)+1</f>
        <v>513</v>
      </c>
      <c r="B513" s="3">
        <f t="shared" si="264"/>
        <v>5.0999999999999996</v>
      </c>
      <c r="C513" s="11" t="str">
        <f t="shared" si="265"/>
        <v>Consolidated property, plant and equipment 2025-26</v>
      </c>
      <c r="D513" s="11" t="s">
        <v>195</v>
      </c>
      <c r="E513" s="7" t="s">
        <v>1409</v>
      </c>
      <c r="F513" s="15"/>
      <c r="G513" s="1254" t="s">
        <v>190</v>
      </c>
      <c r="H513" s="6">
        <v>0</v>
      </c>
      <c r="I513" s="6">
        <v>0</v>
      </c>
      <c r="J513" s="1257" t="s">
        <v>190</v>
      </c>
      <c r="K513" s="251">
        <f>SUMIF('alb Note 5.1 -PP&amp;E - CY'!$A:$A,$J513,'alb Note 5.1 -PP&amp;E - CY'!$B:$B)</f>
        <v>0</v>
      </c>
      <c r="L513" s="251">
        <f>SUMIF('alb Note 5.1 -PP&amp;E - CY'!$A:$A,$J513,'alb Note 5.1 -PP&amp;E - CY'!$M:$M)</f>
        <v>0</v>
      </c>
      <c r="M513" s="10"/>
      <c r="N513" s="273">
        <f t="shared" ref="N513:N521" si="279">ROUND(SUM(O513:S513)+SUM(W513:AV513),0)</f>
        <v>0</v>
      </c>
      <c r="O513" s="12"/>
      <c r="P513" s="12"/>
      <c r="Q513" s="12"/>
      <c r="R513" s="12"/>
      <c r="S513" s="6">
        <f t="shared" si="273"/>
        <v>0</v>
      </c>
      <c r="T513" s="273">
        <f t="shared" ref="T513:T521" si="280">ROUND(SUM(U513:Y513),0)</f>
        <v>0</v>
      </c>
      <c r="U513" s="6">
        <f t="shared" ref="U513:U521" si="281">SUM(BL513:BN513)</f>
        <v>0</v>
      </c>
      <c r="V513" s="6"/>
      <c r="W513" s="6">
        <f t="shared" si="277"/>
        <v>0</v>
      </c>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X513" s="6"/>
      <c r="AY513" s="6">
        <f>ROUND(AX513/1000/Update!$B$31*Update!$B$27,0)</f>
        <v>0</v>
      </c>
      <c r="BA513" s="6"/>
      <c r="BB513" s="6">
        <f>ROUND(BA513/1000/Update!$B$31,0)</f>
        <v>0</v>
      </c>
      <c r="BC513" s="6"/>
      <c r="BD513" s="29">
        <f t="shared" si="232"/>
        <v>0</v>
      </c>
      <c r="BE513" s="317"/>
      <c r="BF513" s="317"/>
      <c r="BG513" s="317"/>
      <c r="BH513" s="317"/>
      <c r="BI513" s="317"/>
      <c r="BJ513" s="317"/>
      <c r="BK513" s="29">
        <f t="shared" si="266"/>
        <v>0</v>
      </c>
      <c r="BL513" s="317"/>
      <c r="BM513" s="317"/>
      <c r="BN513" s="317"/>
      <c r="BO513" s="317"/>
      <c r="BP513" s="317"/>
      <c r="BQ513" s="317"/>
      <c r="BR513" s="317"/>
      <c r="BS513" s="317"/>
      <c r="BT513" s="317"/>
      <c r="BU513" s="317"/>
      <c r="BV513" s="317"/>
      <c r="BW513" s="317"/>
      <c r="BX513" s="317"/>
      <c r="BY513" s="317"/>
      <c r="BZ513" s="317"/>
      <c r="CA513" s="317"/>
      <c r="CB513" s="317"/>
      <c r="CC513" s="317"/>
      <c r="CD513" s="317"/>
      <c r="CE513" s="317"/>
      <c r="CF513" s="317"/>
      <c r="CG513" s="317"/>
      <c r="CH513" s="317"/>
      <c r="CI513" s="317"/>
      <c r="CM513" s="1139">
        <v>0</v>
      </c>
      <c r="CN513" s="1139">
        <v>0</v>
      </c>
      <c r="CP513" s="923">
        <f t="shared" si="241"/>
        <v>0</v>
      </c>
      <c r="CZ513" s="330"/>
    </row>
    <row r="514" spans="1:104" ht="15" customHeight="1" x14ac:dyDescent="0.25">
      <c r="A514" s="684">
        <f>MAX($A$6:A513)+1</f>
        <v>514</v>
      </c>
      <c r="B514" s="3">
        <f t="shared" si="264"/>
        <v>5.0999999999999996</v>
      </c>
      <c r="C514" s="11" t="str">
        <f t="shared" si="265"/>
        <v>Consolidated property, plant and equipment 2025-26</v>
      </c>
      <c r="D514" s="11" t="s">
        <v>195</v>
      </c>
      <c r="E514" s="7" t="s">
        <v>457</v>
      </c>
      <c r="F514" s="15"/>
      <c r="G514" s="1254" t="s">
        <v>191</v>
      </c>
      <c r="H514" s="6">
        <v>0</v>
      </c>
      <c r="I514" s="6">
        <v>0</v>
      </c>
      <c r="J514" s="1257" t="s">
        <v>457</v>
      </c>
      <c r="K514" s="251">
        <f>SUMIF('alb Note 5.1 -PP&amp;E - CY'!$A:$A,$J514,'alb Note 5.1 -PP&amp;E - CY'!$B:$B)</f>
        <v>0</v>
      </c>
      <c r="L514" s="251">
        <f>SUMIF('alb Note 5.1 -PP&amp;E - CY'!$A:$A,$J514,'alb Note 5.1 -PP&amp;E - CY'!$M:$M)</f>
        <v>0</v>
      </c>
      <c r="M514" s="10"/>
      <c r="N514" s="273">
        <f t="shared" si="279"/>
        <v>0</v>
      </c>
      <c r="O514" s="12"/>
      <c r="P514" s="12"/>
      <c r="Q514" s="12"/>
      <c r="R514" s="12"/>
      <c r="S514" s="6">
        <f t="shared" si="273"/>
        <v>0</v>
      </c>
      <c r="T514" s="273">
        <f t="shared" si="280"/>
        <v>0</v>
      </c>
      <c r="U514" s="6">
        <f t="shared" si="281"/>
        <v>0</v>
      </c>
      <c r="V514" s="6"/>
      <c r="W514" s="6">
        <f t="shared" si="277"/>
        <v>0</v>
      </c>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X514" s="6"/>
      <c r="AY514" s="6">
        <f>ROUND(AX514/1000/Update!$B$31*Update!$B$27,0)</f>
        <v>0</v>
      </c>
      <c r="BA514" s="6"/>
      <c r="BB514" s="6">
        <f>ROUND(BA514/1000/Update!$B$31,0)</f>
        <v>0</v>
      </c>
      <c r="BC514" s="6"/>
      <c r="BD514" s="29">
        <f t="shared" si="232"/>
        <v>0</v>
      </c>
      <c r="BE514" s="317"/>
      <c r="BF514" s="317"/>
      <c r="BG514" s="317"/>
      <c r="BH514" s="317"/>
      <c r="BI514" s="317"/>
      <c r="BJ514" s="317"/>
      <c r="BK514" s="29">
        <f>ROUND(SUM(BO514:CI514),0)</f>
        <v>0</v>
      </c>
      <c r="BL514" s="317"/>
      <c r="BM514" s="317"/>
      <c r="BN514" s="317"/>
      <c r="BO514" s="317"/>
      <c r="BP514" s="317"/>
      <c r="BQ514" s="317"/>
      <c r="BR514" s="317"/>
      <c r="BS514" s="317"/>
      <c r="BT514" s="317"/>
      <c r="BU514" s="317"/>
      <c r="BV514" s="317"/>
      <c r="BW514" s="317"/>
      <c r="BX514" s="317"/>
      <c r="BY514" s="317"/>
      <c r="BZ514" s="317"/>
      <c r="CA514" s="317"/>
      <c r="CB514" s="317"/>
      <c r="CC514" s="317"/>
      <c r="CD514" s="317"/>
      <c r="CE514" s="317"/>
      <c r="CF514" s="317"/>
      <c r="CG514" s="317"/>
      <c r="CH514" s="317"/>
      <c r="CI514" s="317"/>
      <c r="CM514" s="1139">
        <v>0</v>
      </c>
      <c r="CN514" s="1139">
        <v>0</v>
      </c>
      <c r="CP514" s="923">
        <f t="shared" si="241"/>
        <v>0</v>
      </c>
      <c r="CZ514" s="330"/>
    </row>
    <row r="515" spans="1:104" ht="15" customHeight="1" x14ac:dyDescent="0.25">
      <c r="A515" s="684">
        <f>MAX($A$6:A514)+1</f>
        <v>515</v>
      </c>
      <c r="B515" s="3">
        <f t="shared" si="264"/>
        <v>5.0999999999999996</v>
      </c>
      <c r="C515" s="11" t="str">
        <f t="shared" si="265"/>
        <v>Consolidated property, plant and equipment 2025-26</v>
      </c>
      <c r="D515" s="11" t="s">
        <v>195</v>
      </c>
      <c r="E515" s="7" t="s">
        <v>863</v>
      </c>
      <c r="F515" s="15"/>
      <c r="G515" s="1254" t="s">
        <v>186</v>
      </c>
      <c r="H515" s="6">
        <v>0</v>
      </c>
      <c r="I515" s="6">
        <v>0</v>
      </c>
      <c r="J515" s="1257" t="s">
        <v>863</v>
      </c>
      <c r="K515" s="251">
        <f>SUMIF('alb Note 5.1 -PP&amp;E - CY'!$A:$A,$J515,'alb Note 5.1 -PP&amp;E - CY'!$B:$B)</f>
        <v>0</v>
      </c>
      <c r="L515" s="251">
        <f>SUMIF('alb Note 5.1 -PP&amp;E - CY'!$A:$A,$J515,'alb Note 5.1 -PP&amp;E - CY'!$M:$M)</f>
        <v>0</v>
      </c>
      <c r="M515" s="10"/>
      <c r="N515" s="273">
        <f t="shared" si="279"/>
        <v>0</v>
      </c>
      <c r="O515" s="12"/>
      <c r="P515" s="12"/>
      <c r="Q515" s="12"/>
      <c r="R515" s="12"/>
      <c r="S515" s="6">
        <f t="shared" si="273"/>
        <v>0</v>
      </c>
      <c r="T515" s="273">
        <f t="shared" si="280"/>
        <v>0</v>
      </c>
      <c r="U515" s="6">
        <f t="shared" si="281"/>
        <v>0</v>
      </c>
      <c r="V515" s="6"/>
      <c r="W515" s="6">
        <f t="shared" si="277"/>
        <v>0</v>
      </c>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X515" s="6"/>
      <c r="AY515" s="6">
        <f>ROUND(AX515/1000/Update!$B$31*Update!$B$27,0)</f>
        <v>0</v>
      </c>
      <c r="BA515" s="6"/>
      <c r="BB515" s="6">
        <f>ROUND(BA515/1000/Update!$B$31,0)</f>
        <v>0</v>
      </c>
      <c r="BC515" s="6"/>
      <c r="BD515" s="29">
        <f t="shared" si="232"/>
        <v>0</v>
      </c>
      <c r="BE515" s="317"/>
      <c r="BF515" s="317"/>
      <c r="BG515" s="317"/>
      <c r="BH515" s="317"/>
      <c r="BI515" s="317"/>
      <c r="BJ515" s="317"/>
      <c r="BK515" s="29">
        <f t="shared" si="266"/>
        <v>0</v>
      </c>
      <c r="BL515" s="317"/>
      <c r="BM515" s="317"/>
      <c r="BN515" s="317"/>
      <c r="BO515" s="317"/>
      <c r="BP515" s="317"/>
      <c r="BQ515" s="317"/>
      <c r="BR515" s="317"/>
      <c r="BS515" s="317"/>
      <c r="BT515" s="317"/>
      <c r="BU515" s="317"/>
      <c r="BV515" s="317"/>
      <c r="BW515" s="317"/>
      <c r="BX515" s="317"/>
      <c r="BY515" s="317"/>
      <c r="BZ515" s="317"/>
      <c r="CA515" s="317"/>
      <c r="CB515" s="317"/>
      <c r="CC515" s="317"/>
      <c r="CD515" s="317"/>
      <c r="CE515" s="317"/>
      <c r="CF515" s="317"/>
      <c r="CG515" s="317"/>
      <c r="CH515" s="317"/>
      <c r="CI515" s="317"/>
      <c r="CM515" s="1139">
        <v>0</v>
      </c>
      <c r="CN515" s="1139">
        <v>0</v>
      </c>
      <c r="CP515" s="923">
        <f t="shared" si="241"/>
        <v>0</v>
      </c>
      <c r="CZ515" s="330"/>
    </row>
    <row r="516" spans="1:104" ht="30" customHeight="1" x14ac:dyDescent="0.25">
      <c r="A516" s="684">
        <f>MAX($A$6:A515)+1</f>
        <v>516</v>
      </c>
      <c r="B516" s="3">
        <f t="shared" si="264"/>
        <v>5.0999999999999996</v>
      </c>
      <c r="C516" s="11" t="str">
        <f t="shared" si="265"/>
        <v>Consolidated property, plant and equipment 2025-26</v>
      </c>
      <c r="D516" s="11" t="s">
        <v>195</v>
      </c>
      <c r="E516" s="7" t="s">
        <v>1415</v>
      </c>
      <c r="F516" s="15"/>
      <c r="G516" s="1254" t="s">
        <v>438</v>
      </c>
      <c r="H516" s="6">
        <v>0</v>
      </c>
      <c r="I516" s="6">
        <v>0</v>
      </c>
      <c r="J516" s="1257" t="s">
        <v>864</v>
      </c>
      <c r="K516" s="251">
        <f>SUMIF('alb Note 5.1 -PP&amp;E - CY'!$A:$A,$J516,'alb Note 5.1 -PP&amp;E - CY'!$B:$B)</f>
        <v>0</v>
      </c>
      <c r="L516" s="251">
        <f>SUMIF('alb Note 5.1 -PP&amp;E - CY'!$A:$A,$J516,'alb Note 5.1 -PP&amp;E - CY'!$M:$M)</f>
        <v>0</v>
      </c>
      <c r="M516" s="10"/>
      <c r="N516" s="273">
        <f t="shared" si="279"/>
        <v>0</v>
      </c>
      <c r="O516" s="12"/>
      <c r="P516" s="12"/>
      <c r="Q516" s="12"/>
      <c r="R516" s="12"/>
      <c r="S516" s="6">
        <f t="shared" si="273"/>
        <v>0</v>
      </c>
      <c r="T516" s="273">
        <f t="shared" si="280"/>
        <v>0</v>
      </c>
      <c r="U516" s="6">
        <f t="shared" si="281"/>
        <v>0</v>
      </c>
      <c r="V516" s="6"/>
      <c r="W516" s="6">
        <f t="shared" si="277"/>
        <v>0</v>
      </c>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X516" s="6"/>
      <c r="AY516" s="6">
        <f>ROUND(AX516/1000/Update!$B$31*Update!$B$27,0)</f>
        <v>0</v>
      </c>
      <c r="BA516" s="6"/>
      <c r="BB516" s="6">
        <f>ROUND(BA516/1000/Update!$B$31,0)</f>
        <v>0</v>
      </c>
      <c r="BC516" s="6"/>
      <c r="BD516" s="29">
        <f t="shared" si="232"/>
        <v>0</v>
      </c>
      <c r="BE516" s="317"/>
      <c r="BF516" s="317"/>
      <c r="BG516" s="317"/>
      <c r="BH516" s="317"/>
      <c r="BI516" s="317"/>
      <c r="BJ516" s="317"/>
      <c r="BK516" s="29">
        <f t="shared" si="266"/>
        <v>0</v>
      </c>
      <c r="BL516" s="317"/>
      <c r="BM516" s="317"/>
      <c r="BN516" s="317"/>
      <c r="BO516" s="317"/>
      <c r="BP516" s="317"/>
      <c r="BQ516" s="317"/>
      <c r="BR516" s="317"/>
      <c r="BS516" s="317"/>
      <c r="BT516" s="317"/>
      <c r="BU516" s="317"/>
      <c r="BV516" s="317"/>
      <c r="BW516" s="317"/>
      <c r="BX516" s="317"/>
      <c r="BY516" s="317"/>
      <c r="BZ516" s="317"/>
      <c r="CA516" s="317"/>
      <c r="CB516" s="317"/>
      <c r="CC516" s="317"/>
      <c r="CD516" s="317"/>
      <c r="CE516" s="317"/>
      <c r="CF516" s="317"/>
      <c r="CG516" s="317"/>
      <c r="CH516" s="317"/>
      <c r="CI516" s="317"/>
      <c r="CM516" s="1139">
        <v>0</v>
      </c>
      <c r="CN516" s="1139">
        <v>0</v>
      </c>
      <c r="CP516" s="923">
        <f t="shared" si="241"/>
        <v>0</v>
      </c>
      <c r="CZ516" s="330"/>
    </row>
    <row r="517" spans="1:104" ht="51" customHeight="1" x14ac:dyDescent="0.25">
      <c r="A517" s="684">
        <f>MAX($A$6:A516)+1</f>
        <v>517</v>
      </c>
      <c r="B517" s="3">
        <f t="shared" si="264"/>
        <v>5.0999999999999996</v>
      </c>
      <c r="C517" s="11" t="str">
        <f t="shared" si="265"/>
        <v>Consolidated property, plant and equipment 2025-26</v>
      </c>
      <c r="D517" s="11" t="s">
        <v>195</v>
      </c>
      <c r="E517" s="7" t="s">
        <v>1410</v>
      </c>
      <c r="F517" s="15"/>
      <c r="G517" s="1254" t="s">
        <v>193</v>
      </c>
      <c r="H517" s="6">
        <v>0</v>
      </c>
      <c r="I517" s="6">
        <v>0</v>
      </c>
      <c r="J517" s="1257" t="s">
        <v>865</v>
      </c>
      <c r="K517" s="251">
        <f>SUMIF('alb Note 5.1 -PP&amp;E - CY'!$A:$A,$J517,'alb Note 5.1 -PP&amp;E - CY'!$B:$B)</f>
        <v>0</v>
      </c>
      <c r="L517" s="251">
        <f>SUMIF('alb Note 5.1 -PP&amp;E - CY'!$A:$A,$J517,'alb Note 5.1 -PP&amp;E - CY'!$M:$M)</f>
        <v>0</v>
      </c>
      <c r="M517" s="10"/>
      <c r="N517" s="273">
        <f t="shared" si="279"/>
        <v>0</v>
      </c>
      <c r="O517" s="12"/>
      <c r="P517" s="12"/>
      <c r="Q517" s="12"/>
      <c r="R517" s="12"/>
      <c r="S517" s="6">
        <f t="shared" si="273"/>
        <v>0</v>
      </c>
      <c r="T517" s="273">
        <f t="shared" si="280"/>
        <v>0</v>
      </c>
      <c r="U517" s="6">
        <f t="shared" si="281"/>
        <v>0</v>
      </c>
      <c r="V517" s="6"/>
      <c r="W517" s="6">
        <f t="shared" si="277"/>
        <v>0</v>
      </c>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X517" s="6"/>
      <c r="AY517" s="6">
        <f>ROUND(AX517/1000/Update!$B$31*Update!$B$27,0)</f>
        <v>0</v>
      </c>
      <c r="BA517" s="6"/>
      <c r="BB517" s="6">
        <f>ROUND(BA517/1000/Update!$B$31,0)</f>
        <v>0</v>
      </c>
      <c r="BC517" s="6"/>
      <c r="BD517" s="29">
        <f t="shared" si="232"/>
        <v>0</v>
      </c>
      <c r="BE517" s="317"/>
      <c r="BF517" s="317"/>
      <c r="BG517" s="317"/>
      <c r="BH517" s="317"/>
      <c r="BI517" s="317"/>
      <c r="BJ517" s="317"/>
      <c r="BK517" s="29">
        <f t="shared" si="266"/>
        <v>0</v>
      </c>
      <c r="BL517" s="317"/>
      <c r="BM517" s="317"/>
      <c r="BN517" s="317"/>
      <c r="BO517" s="317"/>
      <c r="BP517" s="317"/>
      <c r="BQ517" s="317"/>
      <c r="BR517" s="317"/>
      <c r="BS517" s="317"/>
      <c r="BT517" s="317"/>
      <c r="BU517" s="317"/>
      <c r="BV517" s="317"/>
      <c r="BW517" s="317"/>
      <c r="BX517" s="317"/>
      <c r="BY517" s="317"/>
      <c r="BZ517" s="317"/>
      <c r="CA517" s="317"/>
      <c r="CB517" s="317"/>
      <c r="CC517" s="317"/>
      <c r="CD517" s="317"/>
      <c r="CE517" s="317"/>
      <c r="CF517" s="317"/>
      <c r="CG517" s="317"/>
      <c r="CH517" s="317"/>
      <c r="CI517" s="317"/>
      <c r="CM517" s="1139">
        <v>0</v>
      </c>
      <c r="CN517" s="1139">
        <v>0</v>
      </c>
      <c r="CP517" s="923">
        <f t="shared" si="241"/>
        <v>0</v>
      </c>
      <c r="CZ517" s="330"/>
    </row>
    <row r="518" spans="1:104" ht="15" customHeight="1" x14ac:dyDescent="0.25">
      <c r="A518" s="684">
        <f>MAX($A$6:A517)+1</f>
        <v>518</v>
      </c>
      <c r="B518" s="3">
        <f t="shared" si="264"/>
        <v>5.0999999999999996</v>
      </c>
      <c r="C518" s="11" t="str">
        <f t="shared" si="265"/>
        <v>Consolidated property, plant and equipment 2025-26</v>
      </c>
      <c r="D518" s="11" t="str">
        <f>D517</f>
        <v>Land</v>
      </c>
      <c r="E518" s="7" t="s">
        <v>810</v>
      </c>
      <c r="F518" s="15"/>
      <c r="G518" s="1254"/>
      <c r="H518" s="6">
        <v>0</v>
      </c>
      <c r="I518" s="6">
        <v>0</v>
      </c>
      <c r="J518" s="1257" t="s">
        <v>866</v>
      </c>
      <c r="K518" s="251">
        <f>SUMIF('alb Note 5.1 -PP&amp;E - CY'!$A:$A,$J518,'alb Note 5.1 -PP&amp;E - CY'!$B:$B)</f>
        <v>0</v>
      </c>
      <c r="L518" s="251">
        <f>SUMIF('alb Note 5.1 -PP&amp;E - CY'!$A:$A,$J518,'alb Note 5.1 -PP&amp;E - CY'!$M:$M)</f>
        <v>0</v>
      </c>
      <c r="M518" s="10"/>
      <c r="N518" s="273">
        <f t="shared" si="279"/>
        <v>0</v>
      </c>
      <c r="O518" s="12"/>
      <c r="P518" s="12"/>
      <c r="Q518" s="12"/>
      <c r="R518" s="12"/>
      <c r="S518" s="6">
        <f t="shared" si="273"/>
        <v>0</v>
      </c>
      <c r="T518" s="273">
        <f t="shared" si="280"/>
        <v>0</v>
      </c>
      <c r="U518" s="6">
        <f t="shared" si="281"/>
        <v>0</v>
      </c>
      <c r="V518" s="6"/>
      <c r="W518" s="6">
        <f t="shared" si="277"/>
        <v>0</v>
      </c>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X518" s="6"/>
      <c r="AY518" s="6">
        <f>ROUND(AX518/1000/Update!$B$31*Update!$B$27,0)</f>
        <v>0</v>
      </c>
      <c r="BA518" s="6"/>
      <c r="BB518" s="6">
        <f>ROUND(BA518/1000/Update!$B$31,0)</f>
        <v>0</v>
      </c>
      <c r="BC518" s="6"/>
      <c r="BD518" s="29">
        <f t="shared" si="232"/>
        <v>0</v>
      </c>
      <c r="BE518" s="317"/>
      <c r="BF518" s="317"/>
      <c r="BG518" s="317"/>
      <c r="BH518" s="317"/>
      <c r="BI518" s="317"/>
      <c r="BJ518" s="317"/>
      <c r="BK518" s="29">
        <f t="shared" si="266"/>
        <v>0</v>
      </c>
      <c r="BL518" s="317"/>
      <c r="BM518" s="317"/>
      <c r="BN518" s="317"/>
      <c r="BO518" s="317"/>
      <c r="BP518" s="317"/>
      <c r="BQ518" s="317"/>
      <c r="BR518" s="317"/>
      <c r="BS518" s="317"/>
      <c r="BT518" s="317"/>
      <c r="BU518" s="317"/>
      <c r="BV518" s="317"/>
      <c r="BW518" s="317"/>
      <c r="BX518" s="317"/>
      <c r="BY518" s="317"/>
      <c r="BZ518" s="317"/>
      <c r="CA518" s="317"/>
      <c r="CB518" s="317"/>
      <c r="CC518" s="317"/>
      <c r="CD518" s="317"/>
      <c r="CE518" s="317"/>
      <c r="CF518" s="317"/>
      <c r="CG518" s="317"/>
      <c r="CH518" s="317"/>
      <c r="CI518" s="317"/>
      <c r="CM518" s="1139">
        <v>0</v>
      </c>
      <c r="CN518" s="1139">
        <v>0</v>
      </c>
      <c r="CP518" s="923">
        <f t="shared" si="241"/>
        <v>0</v>
      </c>
      <c r="CZ518" s="330"/>
    </row>
    <row r="519" spans="1:104" ht="15" customHeight="1" x14ac:dyDescent="0.25">
      <c r="A519" s="684">
        <f>MAX($A$6:A518)+1</f>
        <v>519</v>
      </c>
      <c r="B519" s="3">
        <f>B517</f>
        <v>5.0999999999999996</v>
      </c>
      <c r="C519" s="11" t="str">
        <f>C517</f>
        <v>Consolidated property, plant and equipment 2025-26</v>
      </c>
      <c r="D519" s="11" t="s">
        <v>195</v>
      </c>
      <c r="E519" s="7" t="s">
        <v>867</v>
      </c>
      <c r="F519" s="15"/>
      <c r="G519" s="1254" t="s">
        <v>187</v>
      </c>
      <c r="H519" s="6">
        <v>0</v>
      </c>
      <c r="I519" s="6">
        <v>0</v>
      </c>
      <c r="J519" s="1257" t="s">
        <v>867</v>
      </c>
      <c r="K519" s="251">
        <f>SUMIF('alb Note 5.1 -PP&amp;E - CY'!$A:$A,$J519,'alb Note 5.1 -PP&amp;E - CY'!$B:$B)</f>
        <v>0</v>
      </c>
      <c r="L519" s="251">
        <f>SUMIF('alb Note 5.1 -PP&amp;E - CY'!$A:$A,$J519,'alb Note 5.1 -PP&amp;E - CY'!$M:$M)</f>
        <v>0</v>
      </c>
      <c r="M519" s="10"/>
      <c r="N519" s="273">
        <f t="shared" si="279"/>
        <v>0</v>
      </c>
      <c r="O519" s="12"/>
      <c r="P519" s="12"/>
      <c r="Q519" s="12"/>
      <c r="R519" s="12"/>
      <c r="S519" s="6">
        <f t="shared" si="273"/>
        <v>0</v>
      </c>
      <c r="T519" s="273">
        <f t="shared" si="280"/>
        <v>0</v>
      </c>
      <c r="U519" s="6">
        <f t="shared" si="281"/>
        <v>0</v>
      </c>
      <c r="V519" s="6"/>
      <c r="W519" s="6">
        <f t="shared" si="277"/>
        <v>0</v>
      </c>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X519" s="6"/>
      <c r="AY519" s="6">
        <f>ROUND(AX519/1000/Update!$B$31*Update!$B$27,0)</f>
        <v>0</v>
      </c>
      <c r="BA519" s="6"/>
      <c r="BB519" s="6">
        <f>ROUND(BA519/1000/Update!$B$31,0)</f>
        <v>0</v>
      </c>
      <c r="BC519" s="6"/>
      <c r="BD519" s="29">
        <f t="shared" si="232"/>
        <v>0</v>
      </c>
      <c r="BE519" s="317"/>
      <c r="BF519" s="317"/>
      <c r="BG519" s="317"/>
      <c r="BH519" s="317"/>
      <c r="BI519" s="317"/>
      <c r="BJ519" s="317"/>
      <c r="BK519" s="29">
        <f t="shared" si="266"/>
        <v>0</v>
      </c>
      <c r="BL519" s="317"/>
      <c r="BM519" s="317"/>
      <c r="BN519" s="317"/>
      <c r="BO519" s="317"/>
      <c r="BP519" s="317"/>
      <c r="BQ519" s="317"/>
      <c r="BR519" s="317"/>
      <c r="BS519" s="317"/>
      <c r="BT519" s="317"/>
      <c r="BU519" s="317"/>
      <c r="BV519" s="317"/>
      <c r="BW519" s="317"/>
      <c r="BX519" s="317"/>
      <c r="BY519" s="317"/>
      <c r="BZ519" s="317"/>
      <c r="CA519" s="317"/>
      <c r="CB519" s="317"/>
      <c r="CC519" s="317"/>
      <c r="CD519" s="317"/>
      <c r="CE519" s="317"/>
      <c r="CF519" s="317"/>
      <c r="CG519" s="317"/>
      <c r="CH519" s="317"/>
      <c r="CI519" s="317"/>
      <c r="CM519" s="1139">
        <v>0</v>
      </c>
      <c r="CN519" s="1139">
        <v>0</v>
      </c>
      <c r="CP519" s="923">
        <f t="shared" si="241"/>
        <v>0</v>
      </c>
      <c r="CZ519" s="330"/>
    </row>
    <row r="520" spans="1:104" ht="15" customHeight="1" x14ac:dyDescent="0.25">
      <c r="A520" s="684">
        <f>MAX($A$6:A519)+1</f>
        <v>520</v>
      </c>
      <c r="B520" s="3">
        <f t="shared" ref="B520:C587" si="282">B519</f>
        <v>5.0999999999999996</v>
      </c>
      <c r="C520" s="11" t="str">
        <f t="shared" si="265"/>
        <v>Consolidated property, plant and equipment 2025-26</v>
      </c>
      <c r="D520" s="11" t="s">
        <v>195</v>
      </c>
      <c r="E520" s="7" t="s">
        <v>868</v>
      </c>
      <c r="F520" s="15"/>
      <c r="G520" s="1254" t="s">
        <v>188</v>
      </c>
      <c r="H520" s="6">
        <v>0</v>
      </c>
      <c r="I520" s="6">
        <v>0</v>
      </c>
      <c r="J520" s="1257" t="s">
        <v>868</v>
      </c>
      <c r="K520" s="251">
        <f>SUMIF('alb Note 5.1 -PP&amp;E - CY'!$A:$A,$J520,'alb Note 5.1 -PP&amp;E - CY'!$B:$B)</f>
        <v>0</v>
      </c>
      <c r="L520" s="251">
        <f>SUMIF('alb Note 5.1 -PP&amp;E - CY'!$A:$A,$J520,'alb Note 5.1 -PP&amp;E - CY'!$M:$M)</f>
        <v>0</v>
      </c>
      <c r="M520" s="10"/>
      <c r="N520" s="273">
        <f t="shared" si="279"/>
        <v>0</v>
      </c>
      <c r="O520" s="12"/>
      <c r="P520" s="12"/>
      <c r="Q520" s="12"/>
      <c r="R520" s="12"/>
      <c r="S520" s="6">
        <f t="shared" si="273"/>
        <v>0</v>
      </c>
      <c r="T520" s="273">
        <f t="shared" si="280"/>
        <v>0</v>
      </c>
      <c r="U520" s="6">
        <f t="shared" si="281"/>
        <v>0</v>
      </c>
      <c r="V520" s="6"/>
      <c r="W520" s="6">
        <f t="shared" si="277"/>
        <v>0</v>
      </c>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X520" s="6"/>
      <c r="AY520" s="6">
        <f>ROUND(AX520/1000/Update!$B$31*Update!$B$27,0)</f>
        <v>0</v>
      </c>
      <c r="BA520" s="6"/>
      <c r="BB520" s="6">
        <f>ROUND(BA520/1000/Update!$B$31,0)</f>
        <v>0</v>
      </c>
      <c r="BC520" s="6"/>
      <c r="BD520" s="29">
        <f t="shared" si="232"/>
        <v>0</v>
      </c>
      <c r="BE520" s="317"/>
      <c r="BF520" s="317"/>
      <c r="BG520" s="317"/>
      <c r="BH520" s="317"/>
      <c r="BI520" s="317"/>
      <c r="BJ520" s="317"/>
      <c r="BK520" s="29">
        <f t="shared" si="266"/>
        <v>0</v>
      </c>
      <c r="BL520" s="317"/>
      <c r="BM520" s="317"/>
      <c r="BN520" s="317"/>
      <c r="BO520" s="317"/>
      <c r="BP520" s="317"/>
      <c r="BQ520" s="317"/>
      <c r="BR520" s="317"/>
      <c r="BS520" s="317"/>
      <c r="BT520" s="317"/>
      <c r="BU520" s="317"/>
      <c r="BV520" s="317"/>
      <c r="BW520" s="317"/>
      <c r="BX520" s="317"/>
      <c r="BY520" s="317"/>
      <c r="BZ520" s="317"/>
      <c r="CA520" s="317"/>
      <c r="CB520" s="317"/>
      <c r="CC520" s="317"/>
      <c r="CD520" s="317"/>
      <c r="CE520" s="317"/>
      <c r="CF520" s="317"/>
      <c r="CG520" s="317"/>
      <c r="CH520" s="317"/>
      <c r="CI520" s="317"/>
      <c r="CM520" s="1139">
        <v>0</v>
      </c>
      <c r="CN520" s="1139">
        <v>0</v>
      </c>
      <c r="CP520" s="923">
        <f t="shared" ref="CP520:CP583" si="283">-V520+BL520+BM520+BN520+CM520</f>
        <v>0</v>
      </c>
      <c r="CZ520" s="330"/>
    </row>
    <row r="521" spans="1:104" ht="15" customHeight="1" x14ac:dyDescent="0.25">
      <c r="A521" s="684">
        <f>MAX($A$6:A520)+1</f>
        <v>521</v>
      </c>
      <c r="B521" s="3">
        <f t="shared" si="282"/>
        <v>5.0999999999999996</v>
      </c>
      <c r="C521" s="11" t="str">
        <f t="shared" si="265"/>
        <v>Consolidated property, plant and equipment 2025-26</v>
      </c>
      <c r="D521" s="11" t="s">
        <v>195</v>
      </c>
      <c r="E521" s="7" t="s">
        <v>1416</v>
      </c>
      <c r="F521" s="15"/>
      <c r="G521" s="1254" t="s">
        <v>189</v>
      </c>
      <c r="H521" s="6">
        <v>0</v>
      </c>
      <c r="I521" s="6">
        <v>0</v>
      </c>
      <c r="J521" s="1257" t="s">
        <v>870</v>
      </c>
      <c r="K521" s="251">
        <f>SUMIF('alb Note 5.1 -PP&amp;E - CY'!$A:$A,$J521,'alb Note 5.1 -PP&amp;E - CY'!$B:$B)</f>
        <v>0</v>
      </c>
      <c r="L521" s="251">
        <f>SUMIF('alb Note 5.1 -PP&amp;E - CY'!$A:$A,$J521,'alb Note 5.1 -PP&amp;E - CY'!$M:$M)</f>
        <v>0</v>
      </c>
      <c r="M521" s="10"/>
      <c r="N521" s="273">
        <f t="shared" si="279"/>
        <v>0</v>
      </c>
      <c r="O521" s="12"/>
      <c r="P521" s="12"/>
      <c r="Q521" s="12"/>
      <c r="R521" s="12"/>
      <c r="S521" s="6">
        <f t="shared" si="273"/>
        <v>0</v>
      </c>
      <c r="T521" s="273">
        <f t="shared" si="280"/>
        <v>0</v>
      </c>
      <c r="U521" s="6">
        <f t="shared" si="281"/>
        <v>0</v>
      </c>
      <c r="V521" s="6"/>
      <c r="W521" s="6">
        <f t="shared" si="277"/>
        <v>0</v>
      </c>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X521" s="6"/>
      <c r="AY521" s="6">
        <f>ROUND(AX521/1000/Update!$B$31*Update!$B$27,0)</f>
        <v>0</v>
      </c>
      <c r="BA521" s="6"/>
      <c r="BB521" s="6">
        <f>ROUND(BA521/1000/Update!$B$31,0)</f>
        <v>0</v>
      </c>
      <c r="BC521" s="6"/>
      <c r="BD521" s="29">
        <f t="shared" si="232"/>
        <v>0</v>
      </c>
      <c r="BE521" s="317"/>
      <c r="BF521" s="317"/>
      <c r="BG521" s="317"/>
      <c r="BH521" s="317"/>
      <c r="BI521" s="317"/>
      <c r="BJ521" s="317"/>
      <c r="BK521" s="29">
        <f t="shared" si="266"/>
        <v>0</v>
      </c>
      <c r="BL521" s="317"/>
      <c r="BM521" s="317"/>
      <c r="BN521" s="317"/>
      <c r="BO521" s="317"/>
      <c r="BP521" s="317"/>
      <c r="BQ521" s="317"/>
      <c r="BR521" s="317"/>
      <c r="BS521" s="317"/>
      <c r="BT521" s="317"/>
      <c r="BU521" s="317"/>
      <c r="BV521" s="317"/>
      <c r="BW521" s="317"/>
      <c r="BX521" s="317"/>
      <c r="BY521" s="317"/>
      <c r="BZ521" s="317"/>
      <c r="CA521" s="317"/>
      <c r="CB521" s="317"/>
      <c r="CC521" s="317"/>
      <c r="CD521" s="317"/>
      <c r="CE521" s="317"/>
      <c r="CF521" s="317"/>
      <c r="CG521" s="317"/>
      <c r="CH521" s="317"/>
      <c r="CI521" s="317"/>
      <c r="CM521" s="1139">
        <v>0</v>
      </c>
      <c r="CN521" s="1139">
        <v>0</v>
      </c>
      <c r="CP521" s="923">
        <f t="shared" si="283"/>
        <v>0</v>
      </c>
      <c r="CZ521" s="330"/>
    </row>
    <row r="522" spans="1:104" ht="15" customHeight="1" x14ac:dyDescent="0.25">
      <c r="A522" s="701">
        <f>MAX($A$6:A521)+1</f>
        <v>522</v>
      </c>
      <c r="B522" s="1291">
        <f t="shared" si="282"/>
        <v>5.0999999999999996</v>
      </c>
      <c r="C522" s="18" t="str">
        <f t="shared" si="265"/>
        <v>Consolidated property, plant and equipment 2025-26</v>
      </c>
      <c r="D522" s="18" t="s">
        <v>195</v>
      </c>
      <c r="E522" s="19" t="str">
        <f>"At"&amp;Update!$B$22</f>
        <v>At 31 March 2026</v>
      </c>
      <c r="F522" s="20"/>
      <c r="G522" s="28"/>
      <c r="H522" s="14">
        <f>SUM(H512:H521)</f>
        <v>0</v>
      </c>
      <c r="I522" s="14">
        <f>SUM(I512:I521)</f>
        <v>0</v>
      </c>
      <c r="J522" s="1258" t="s">
        <v>2492</v>
      </c>
      <c r="K522" s="256">
        <f>SUM(K512:K521)</f>
        <v>0</v>
      </c>
      <c r="L522" s="256">
        <f>SUM(L512:L521)</f>
        <v>0</v>
      </c>
      <c r="M522" s="21"/>
      <c r="N522" s="14">
        <f>ROUND(SUM(O522:S522)+T522+SUM(Z522:AV522),0)</f>
        <v>0</v>
      </c>
      <c r="O522" s="14">
        <f t="shared" ref="O522:V522" si="284">SUM(O512:O521)</f>
        <v>0</v>
      </c>
      <c r="P522" s="14">
        <f t="shared" si="284"/>
        <v>0</v>
      </c>
      <c r="Q522" s="14">
        <f t="shared" si="284"/>
        <v>0</v>
      </c>
      <c r="R522" s="14">
        <f t="shared" si="284"/>
        <v>0</v>
      </c>
      <c r="S522" s="14">
        <f t="shared" si="273"/>
        <v>0</v>
      </c>
      <c r="T522" s="14">
        <f>SUM(T512:T521)</f>
        <v>0</v>
      </c>
      <c r="U522" s="14">
        <f>SUM(U512:U521)</f>
        <v>0</v>
      </c>
      <c r="V522" s="14">
        <f t="shared" si="284"/>
        <v>0</v>
      </c>
      <c r="W522" s="14">
        <f>SUM(W512:W521)</f>
        <v>0</v>
      </c>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2"/>
      <c r="AX522" s="14">
        <f>SUM(AX512:AX521)</f>
        <v>0</v>
      </c>
      <c r="AY522" s="14">
        <f>ROUND(AX522/1000/Update!$B$31*Update!$B$27,0)</f>
        <v>0</v>
      </c>
      <c r="AZ522" s="2"/>
      <c r="BA522" s="14">
        <f>SUM(BA512:BA521)</f>
        <v>0</v>
      </c>
      <c r="BB522" s="14">
        <f>ROUND(BA522/1000/Update!$B$31,0)</f>
        <v>0</v>
      </c>
      <c r="BC522" s="14"/>
      <c r="BD522" s="14">
        <f t="shared" si="232"/>
        <v>0</v>
      </c>
      <c r="BE522" s="318">
        <f t="shared" ref="BE522:BJ522" si="285">SUM(BE512:BE521)</f>
        <v>0</v>
      </c>
      <c r="BF522" s="318">
        <f t="shared" si="285"/>
        <v>0</v>
      </c>
      <c r="BG522" s="318">
        <f t="shared" si="285"/>
        <v>0</v>
      </c>
      <c r="BH522" s="318">
        <f t="shared" si="285"/>
        <v>0</v>
      </c>
      <c r="BI522" s="318">
        <f t="shared" si="285"/>
        <v>0</v>
      </c>
      <c r="BJ522" s="318">
        <f t="shared" si="285"/>
        <v>0</v>
      </c>
      <c r="BK522" s="14">
        <f t="shared" si="266"/>
        <v>0</v>
      </c>
      <c r="BL522" s="318"/>
      <c r="BM522" s="318"/>
      <c r="BN522" s="318"/>
      <c r="BO522" s="318"/>
      <c r="BP522" s="318"/>
      <c r="BQ522" s="318"/>
      <c r="BR522" s="318"/>
      <c r="BS522" s="318"/>
      <c r="BT522" s="318"/>
      <c r="BU522" s="318"/>
      <c r="BV522" s="318"/>
      <c r="BW522" s="318"/>
      <c r="BX522" s="318"/>
      <c r="BY522" s="318"/>
      <c r="BZ522" s="318"/>
      <c r="CA522" s="318"/>
      <c r="CB522" s="318"/>
      <c r="CC522" s="318"/>
      <c r="CD522" s="318"/>
      <c r="CE522" s="318"/>
      <c r="CF522" s="318"/>
      <c r="CG522" s="318"/>
      <c r="CH522" s="318"/>
      <c r="CI522" s="318"/>
      <c r="CJ522" s="2"/>
      <c r="CK522" s="2"/>
      <c r="CM522" s="1140">
        <v>0</v>
      </c>
      <c r="CN522" s="1140">
        <v>0</v>
      </c>
      <c r="CP522" s="923">
        <f t="shared" si="283"/>
        <v>0</v>
      </c>
      <c r="CZ522" s="330"/>
    </row>
    <row r="523" spans="1:104" ht="15" customHeight="1" x14ac:dyDescent="0.25">
      <c r="A523" s="701">
        <f>MAX($A$6:A522)+1</f>
        <v>523</v>
      </c>
      <c r="B523" s="1291">
        <f t="shared" si="282"/>
        <v>5.0999999999999996</v>
      </c>
      <c r="C523" s="18" t="str">
        <f t="shared" si="265"/>
        <v>Consolidated property, plant and equipment 2025-26</v>
      </c>
      <c r="D523" s="18" t="s">
        <v>195</v>
      </c>
      <c r="E523" s="19" t="str">
        <f>"Carrying amount "&amp;Update!$B$22</f>
        <v>Carrying amount  31 March 2026</v>
      </c>
      <c r="F523" s="20"/>
      <c r="G523" s="28"/>
      <c r="H523" s="14">
        <f>H508-H522</f>
        <v>32712</v>
      </c>
      <c r="I523" s="14">
        <f>I508-I522</f>
        <v>0</v>
      </c>
      <c r="J523" s="1258" t="s">
        <v>2493</v>
      </c>
      <c r="K523" s="256">
        <f>K508-K522</f>
        <v>0</v>
      </c>
      <c r="L523" s="256">
        <f>L508-L522</f>
        <v>0</v>
      </c>
      <c r="M523" s="21"/>
      <c r="N523" s="14">
        <f>ROUND(SUM(O523:S523)+T523+SUM(Z523:AV523),0)</f>
        <v>32712</v>
      </c>
      <c r="O523" s="14">
        <f>O508-O522</f>
        <v>0</v>
      </c>
      <c r="P523" s="14">
        <f>P508-P522</f>
        <v>0</v>
      </c>
      <c r="Q523" s="14">
        <f>Q508-Q522</f>
        <v>0</v>
      </c>
      <c r="R523" s="14">
        <f>R508-R522</f>
        <v>0</v>
      </c>
      <c r="S523" s="14">
        <f t="shared" si="273"/>
        <v>0</v>
      </c>
      <c r="T523" s="14">
        <f>T508-T522</f>
        <v>32712</v>
      </c>
      <c r="U523" s="14">
        <f>U508-U522</f>
        <v>0</v>
      </c>
      <c r="V523" s="14">
        <f>V508-V522</f>
        <v>0</v>
      </c>
      <c r="W523" s="14">
        <f>W508-W522</f>
        <v>32712</v>
      </c>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2"/>
      <c r="AX523" s="14">
        <f>AX508-AX522</f>
        <v>0</v>
      </c>
      <c r="AY523" s="14">
        <f>ROUND(AX523/1000/Update!$B$31*Update!$B$27,0)</f>
        <v>0</v>
      </c>
      <c r="AZ523" s="2"/>
      <c r="BA523" s="14">
        <f>BA508-BA522</f>
        <v>0</v>
      </c>
      <c r="BB523" s="14">
        <f>ROUND(BA523/1000/Update!$B$31,0)</f>
        <v>0</v>
      </c>
      <c r="BC523" s="14"/>
      <c r="BD523" s="14">
        <f t="shared" ref="BD523:BD586" si="286">ROUND(SUM(BE523:BK523),0)</f>
        <v>0</v>
      </c>
      <c r="BE523" s="318">
        <f t="shared" ref="BE523:BJ523" si="287">BE508-BE522</f>
        <v>0</v>
      </c>
      <c r="BF523" s="318">
        <f t="shared" si="287"/>
        <v>0</v>
      </c>
      <c r="BG523" s="318">
        <f t="shared" si="287"/>
        <v>0</v>
      </c>
      <c r="BH523" s="318">
        <f t="shared" si="287"/>
        <v>0</v>
      </c>
      <c r="BI523" s="318">
        <f t="shared" si="287"/>
        <v>0</v>
      </c>
      <c r="BJ523" s="318">
        <f t="shared" si="287"/>
        <v>0</v>
      </c>
      <c r="BK523" s="14">
        <f t="shared" si="266"/>
        <v>0</v>
      </c>
      <c r="BL523" s="318"/>
      <c r="BM523" s="318"/>
      <c r="BN523" s="318"/>
      <c r="BO523" s="318"/>
      <c r="BP523" s="318"/>
      <c r="BQ523" s="318"/>
      <c r="BR523" s="318"/>
      <c r="BS523" s="318"/>
      <c r="BT523" s="318"/>
      <c r="BU523" s="318"/>
      <c r="BV523" s="318"/>
      <c r="BW523" s="318"/>
      <c r="BX523" s="318"/>
      <c r="BY523" s="318"/>
      <c r="BZ523" s="318"/>
      <c r="CA523" s="318"/>
      <c r="CB523" s="318"/>
      <c r="CC523" s="318"/>
      <c r="CD523" s="318"/>
      <c r="CE523" s="318"/>
      <c r="CF523" s="318"/>
      <c r="CG523" s="318"/>
      <c r="CH523" s="318"/>
      <c r="CI523" s="318"/>
      <c r="CJ523" s="2"/>
      <c r="CK523" s="2"/>
      <c r="CM523" s="1140">
        <v>0</v>
      </c>
      <c r="CN523" s="1140">
        <v>0</v>
      </c>
      <c r="CP523" s="923">
        <f t="shared" si="283"/>
        <v>0</v>
      </c>
      <c r="CZ523" s="330"/>
    </row>
    <row r="524" spans="1:104" ht="15" customHeight="1" x14ac:dyDescent="0.25">
      <c r="A524" s="701">
        <f>MAX($A$6:A523)+1</f>
        <v>524</v>
      </c>
      <c r="B524" s="1291">
        <f t="shared" si="282"/>
        <v>5.0999999999999996</v>
      </c>
      <c r="C524" s="18" t="str">
        <f t="shared" si="265"/>
        <v>Consolidated property, plant and equipment 2025-26</v>
      </c>
      <c r="D524" s="18" t="s">
        <v>195</v>
      </c>
      <c r="E524" s="19" t="str">
        <f>"Carrying amount "&amp;Update!$B$24</f>
        <v>Carrying amount  31 March 2025</v>
      </c>
      <c r="F524" s="20"/>
      <c r="G524" s="28"/>
      <c r="H524" s="14">
        <f>H495-H510</f>
        <v>32712</v>
      </c>
      <c r="I524" s="14">
        <f>I497-I510</f>
        <v>0</v>
      </c>
      <c r="J524" s="1258" t="s">
        <v>2494</v>
      </c>
      <c r="K524" s="256">
        <f>K495-K510</f>
        <v>0</v>
      </c>
      <c r="L524" s="256">
        <f>L495-L510</f>
        <v>0</v>
      </c>
      <c r="M524" s="21"/>
      <c r="N524" s="14">
        <f>ROUND(SUM(O524:S524)+T524+SUM(Z524:AV524),0)</f>
        <v>32712</v>
      </c>
      <c r="O524" s="14">
        <f>O497-O510</f>
        <v>0</v>
      </c>
      <c r="P524" s="14">
        <f>P497-P510</f>
        <v>0</v>
      </c>
      <c r="Q524" s="14">
        <f>Q497-Q510</f>
        <v>0</v>
      </c>
      <c r="R524" s="14">
        <f>R497-R510</f>
        <v>0</v>
      </c>
      <c r="S524" s="14">
        <f t="shared" si="273"/>
        <v>0</v>
      </c>
      <c r="T524" s="14">
        <f>T497-T510</f>
        <v>32712</v>
      </c>
      <c r="U524" s="14">
        <f>U497-U510</f>
        <v>0</v>
      </c>
      <c r="V524" s="14">
        <f>V497-V510</f>
        <v>0</v>
      </c>
      <c r="W524" s="14">
        <f>W497-W510</f>
        <v>32712</v>
      </c>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2"/>
      <c r="AX524" s="14">
        <f>AX497-AX510</f>
        <v>0</v>
      </c>
      <c r="AY524" s="14">
        <f>ROUND(AX524/1000/Update!$B$31*Update!$B$27,0)</f>
        <v>0</v>
      </c>
      <c r="AZ524" s="2"/>
      <c r="BA524" s="14">
        <f>BA497-BA510</f>
        <v>0</v>
      </c>
      <c r="BB524" s="14">
        <f>ROUND(BA524/1000/Update!$B$31,0)</f>
        <v>0</v>
      </c>
      <c r="BC524" s="14"/>
      <c r="BD524" s="14">
        <f t="shared" si="286"/>
        <v>0</v>
      </c>
      <c r="BE524" s="318">
        <f t="shared" ref="BE524:BJ524" si="288">BE497-BE510</f>
        <v>0</v>
      </c>
      <c r="BF524" s="318">
        <f t="shared" si="288"/>
        <v>0</v>
      </c>
      <c r="BG524" s="318">
        <f t="shared" si="288"/>
        <v>0</v>
      </c>
      <c r="BH524" s="318">
        <f t="shared" si="288"/>
        <v>0</v>
      </c>
      <c r="BI524" s="318">
        <f t="shared" si="288"/>
        <v>0</v>
      </c>
      <c r="BJ524" s="318">
        <f t="shared" si="288"/>
        <v>0</v>
      </c>
      <c r="BK524" s="14">
        <f t="shared" si="266"/>
        <v>0</v>
      </c>
      <c r="BL524" s="318"/>
      <c r="BM524" s="318"/>
      <c r="BN524" s="318"/>
      <c r="BO524" s="318"/>
      <c r="BP524" s="318"/>
      <c r="BQ524" s="318"/>
      <c r="BR524" s="318"/>
      <c r="BS524" s="318"/>
      <c r="BT524" s="318"/>
      <c r="BU524" s="318"/>
      <c r="BV524" s="318"/>
      <c r="BW524" s="318"/>
      <c r="BX524" s="318"/>
      <c r="BY524" s="318"/>
      <c r="BZ524" s="318"/>
      <c r="CA524" s="318"/>
      <c r="CB524" s="318"/>
      <c r="CC524" s="318"/>
      <c r="CD524" s="318"/>
      <c r="CE524" s="318"/>
      <c r="CF524" s="318"/>
      <c r="CG524" s="318"/>
      <c r="CH524" s="318"/>
      <c r="CI524" s="318"/>
      <c r="CJ524" s="2"/>
      <c r="CK524" s="2"/>
      <c r="CM524" s="1140">
        <v>0</v>
      </c>
      <c r="CN524" s="1140">
        <v>0</v>
      </c>
      <c r="CP524" s="923">
        <f t="shared" si="283"/>
        <v>0</v>
      </c>
      <c r="CZ524" s="330"/>
    </row>
    <row r="525" spans="1:104" ht="15" customHeight="1" x14ac:dyDescent="0.25">
      <c r="A525" s="684">
        <f>MAX($A$6:A524)+1</f>
        <v>525</v>
      </c>
      <c r="B525" s="3">
        <f t="shared" si="282"/>
        <v>5.0999999999999996</v>
      </c>
      <c r="C525" s="11" t="str">
        <f t="shared" si="265"/>
        <v>Consolidated property, plant and equipment 2025-26</v>
      </c>
      <c r="D525" s="11" t="s">
        <v>195</v>
      </c>
      <c r="E525" s="13" t="s">
        <v>194</v>
      </c>
      <c r="F525" s="15"/>
      <c r="G525" s="26"/>
      <c r="H525" s="6"/>
      <c r="I525" s="6"/>
      <c r="J525" s="1257" t="s">
        <v>286</v>
      </c>
      <c r="K525" s="251">
        <f>SUMIF('alb Note 5.1 -PP&amp;E - CY'!$A:$A,$J525,'alb Note 5.1 -PP&amp;E - CY'!$B:$B)</f>
        <v>0</v>
      </c>
      <c r="L525" s="251">
        <f>SUMIF('alb Note 5.1 -PP&amp;E - CY'!$A:$A,$J525,'alb Note 5.1 -PP&amp;E - CY'!$M:$M)</f>
        <v>0</v>
      </c>
      <c r="M525" s="10"/>
      <c r="N525" s="273">
        <f>ROUND(SUM(O525:S525)+SUM(W525:AV525),0)</f>
        <v>0</v>
      </c>
      <c r="O525" s="12"/>
      <c r="P525" s="12"/>
      <c r="Q525" s="12"/>
      <c r="R525" s="12"/>
      <c r="S525" s="6">
        <f t="shared" si="273"/>
        <v>0</v>
      </c>
      <c r="T525" s="273">
        <f>ROUND(SUM(U525:Y525),0)</f>
        <v>0</v>
      </c>
      <c r="U525" s="6">
        <f>SUM(BL525:BN525)</f>
        <v>0</v>
      </c>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X525" s="6"/>
      <c r="AY525" s="6">
        <f>ROUND(AX525/1000/Update!$B$31*Update!$B$27,0)</f>
        <v>0</v>
      </c>
      <c r="BA525" s="6"/>
      <c r="BB525" s="6">
        <f>ROUND(BA525/1000/Update!$B$31,0)</f>
        <v>0</v>
      </c>
      <c r="BC525" s="6"/>
      <c r="BD525" s="29">
        <f t="shared" si="286"/>
        <v>0</v>
      </c>
      <c r="BE525" s="317"/>
      <c r="BF525" s="317"/>
      <c r="BG525" s="317"/>
      <c r="BH525" s="317"/>
      <c r="BI525" s="317"/>
      <c r="BJ525" s="317"/>
      <c r="BK525" s="29">
        <f t="shared" si="266"/>
        <v>0</v>
      </c>
      <c r="BL525" s="317"/>
      <c r="BM525" s="317"/>
      <c r="BN525" s="317"/>
      <c r="BO525" s="317"/>
      <c r="BP525" s="317"/>
      <c r="BQ525" s="317"/>
      <c r="BR525" s="317"/>
      <c r="BS525" s="317"/>
      <c r="BT525" s="317"/>
      <c r="BU525" s="317"/>
      <c r="BV525" s="317"/>
      <c r="BW525" s="317"/>
      <c r="BX525" s="317"/>
      <c r="BY525" s="317"/>
      <c r="BZ525" s="317"/>
      <c r="CA525" s="317"/>
      <c r="CB525" s="317"/>
      <c r="CC525" s="317"/>
      <c r="CD525" s="317"/>
      <c r="CE525" s="317"/>
      <c r="CF525" s="317"/>
      <c r="CG525" s="317"/>
      <c r="CH525" s="317"/>
      <c r="CI525" s="317"/>
      <c r="CM525" s="1139">
        <v>0</v>
      </c>
      <c r="CN525" s="1139">
        <v>0</v>
      </c>
      <c r="CP525" s="923">
        <f t="shared" si="283"/>
        <v>0</v>
      </c>
      <c r="CZ525" s="330"/>
    </row>
    <row r="526" spans="1:104" ht="15" customHeight="1" x14ac:dyDescent="0.25">
      <c r="A526" s="684">
        <f>MAX($A$6:A525)+1</f>
        <v>526</v>
      </c>
      <c r="B526" s="3">
        <f t="shared" si="282"/>
        <v>5.0999999999999996</v>
      </c>
      <c r="C526" s="11" t="str">
        <f t="shared" si="265"/>
        <v>Consolidated property, plant and equipment 2025-26</v>
      </c>
      <c r="D526" s="11" t="s">
        <v>195</v>
      </c>
      <c r="E526" s="7" t="s">
        <v>197</v>
      </c>
      <c r="F526" s="15"/>
      <c r="G526" s="1254" t="s">
        <v>443</v>
      </c>
      <c r="H526" s="6">
        <v>32712</v>
      </c>
      <c r="I526" s="6">
        <v>0</v>
      </c>
      <c r="J526" s="1257" t="s">
        <v>197</v>
      </c>
      <c r="K526" s="251">
        <f>SUMIF('alb Note 5.1 -PP&amp;E - CY'!$A:$A,$J526,'alb Note 5.1 -PP&amp;E - CY'!$B:$B)</f>
        <v>0</v>
      </c>
      <c r="L526" s="251">
        <f>SUMIF('alb Note 5.1 -PP&amp;E - CY'!$A:$A,$J526,'alb Note 5.1 -PP&amp;E - CY'!$M:$M)</f>
        <v>0</v>
      </c>
      <c r="M526" s="10"/>
      <c r="N526" s="273">
        <f>ROUND(SUM(O526:S526)+SUM(W526:AV526),0)</f>
        <v>32712</v>
      </c>
      <c r="O526" s="12"/>
      <c r="P526" s="12"/>
      <c r="Q526" s="12"/>
      <c r="R526" s="12"/>
      <c r="S526" s="6">
        <f t="shared" si="273"/>
        <v>0</v>
      </c>
      <c r="T526" s="273">
        <f>ROUND(SUM(U526:Y526),0)</f>
        <v>32712</v>
      </c>
      <c r="U526" s="251">
        <f>SUM(BL526:BN526)</f>
        <v>0</v>
      </c>
      <c r="V526" s="251"/>
      <c r="W526" s="251">
        <f>+H526</f>
        <v>32712</v>
      </c>
      <c r="X526" s="251"/>
      <c r="Y526" s="251"/>
      <c r="Z526" s="251"/>
      <c r="AA526" s="251"/>
      <c r="AB526" s="251"/>
      <c r="AC526" s="251"/>
      <c r="AD526" s="251"/>
      <c r="AE526" s="251"/>
      <c r="AF526" s="251"/>
      <c r="AG526" s="251"/>
      <c r="AH526" s="251"/>
      <c r="AI526" s="251"/>
      <c r="AJ526" s="251"/>
      <c r="AK526" s="251"/>
      <c r="AL526" s="251"/>
      <c r="AM526" s="251"/>
      <c r="AN526" s="251"/>
      <c r="AO526" s="251"/>
      <c r="AP526" s="251"/>
      <c r="AQ526" s="251"/>
      <c r="AR526" s="251"/>
      <c r="AS526" s="251"/>
      <c r="AT526" s="251"/>
      <c r="AU526" s="251"/>
      <c r="AV526" s="251"/>
      <c r="AX526" s="6"/>
      <c r="AY526" s="6">
        <f>ROUND(AX526/1000/Update!$B$31*Update!$B$27,0)</f>
        <v>0</v>
      </c>
      <c r="BA526" s="6"/>
      <c r="BB526" s="6">
        <f>ROUND(BA526/1000/Update!$B$31,0)</f>
        <v>0</v>
      </c>
      <c r="BC526" s="6"/>
      <c r="BD526" s="29">
        <f t="shared" si="286"/>
        <v>0</v>
      </c>
      <c r="BE526" s="317"/>
      <c r="BF526" s="1191"/>
      <c r="BG526" s="317"/>
      <c r="BH526" s="317"/>
      <c r="BI526" s="317"/>
      <c r="BJ526" s="317"/>
      <c r="BK526" s="29">
        <f t="shared" si="266"/>
        <v>0</v>
      </c>
      <c r="BL526" s="317"/>
      <c r="BM526" s="317"/>
      <c r="BN526" s="317"/>
      <c r="BO526" s="317"/>
      <c r="BP526" s="317"/>
      <c r="BQ526" s="317"/>
      <c r="BR526" s="317"/>
      <c r="BS526" s="317"/>
      <c r="BT526" s="317"/>
      <c r="BU526" s="317"/>
      <c r="BV526" s="317"/>
      <c r="BW526" s="317"/>
      <c r="BX526" s="317"/>
      <c r="BY526" s="317"/>
      <c r="BZ526" s="317"/>
      <c r="CA526" s="317"/>
      <c r="CB526" s="317"/>
      <c r="CC526" s="317"/>
      <c r="CD526" s="317"/>
      <c r="CE526" s="317"/>
      <c r="CF526" s="317"/>
      <c r="CG526" s="317"/>
      <c r="CH526" s="317"/>
      <c r="CI526" s="317"/>
      <c r="CM526" s="1139">
        <v>0</v>
      </c>
      <c r="CN526" s="1139">
        <v>0</v>
      </c>
      <c r="CP526" s="923">
        <f t="shared" si="283"/>
        <v>0</v>
      </c>
      <c r="CZ526" s="330"/>
    </row>
    <row r="527" spans="1:104" ht="15" customHeight="1" x14ac:dyDescent="0.25">
      <c r="A527" s="684">
        <f>MAX($A$6:A526)+1</f>
        <v>527</v>
      </c>
      <c r="B527" s="3">
        <f t="shared" si="282"/>
        <v>5.0999999999999996</v>
      </c>
      <c r="C527" s="11" t="str">
        <f t="shared" si="265"/>
        <v>Consolidated property, plant and equipment 2025-26</v>
      </c>
      <c r="D527" s="11" t="s">
        <v>195</v>
      </c>
      <c r="E527" s="7" t="s">
        <v>198</v>
      </c>
      <c r="F527" s="15"/>
      <c r="G527" s="1254" t="s">
        <v>444</v>
      </c>
      <c r="H527" s="6">
        <v>0</v>
      </c>
      <c r="I527" s="6">
        <v>0</v>
      </c>
      <c r="J527" s="1257" t="s">
        <v>198</v>
      </c>
      <c r="K527" s="251">
        <f>SUMIF('alb Note 5.1 -PP&amp;E - CY'!$A:$A,$J527,'alb Note 5.1 -PP&amp;E - CY'!$B:$B)</f>
        <v>0</v>
      </c>
      <c r="L527" s="251">
        <f>SUMIF('alb Note 5.1 -PP&amp;E - CY'!$A:$A,$J527,'alb Note 5.1 -PP&amp;E - CY'!$M:$M)</f>
        <v>0</v>
      </c>
      <c r="M527" s="10"/>
      <c r="N527" s="273">
        <f>ROUND(SUM(O527:S527)+SUM(W527:AV527),0)</f>
        <v>0</v>
      </c>
      <c r="O527" s="12"/>
      <c r="P527" s="12"/>
      <c r="Q527" s="12"/>
      <c r="R527" s="12"/>
      <c r="S527" s="6">
        <f t="shared" si="273"/>
        <v>0</v>
      </c>
      <c r="T527" s="273">
        <f>ROUND(SUM(U527:Y527),0)</f>
        <v>0</v>
      </c>
      <c r="U527" s="6">
        <f>SUM(BL527:BN527)</f>
        <v>0</v>
      </c>
      <c r="V527" s="6"/>
      <c r="W527" s="6">
        <f>+H527</f>
        <v>0</v>
      </c>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X527" s="6"/>
      <c r="AY527" s="6">
        <f>ROUND(AX527/1000/Update!$B$31*Update!$B$27,0)</f>
        <v>0</v>
      </c>
      <c r="BA527" s="6"/>
      <c r="BB527" s="6">
        <f>ROUND(BA527/1000/Update!$B$31,0)</f>
        <v>0</v>
      </c>
      <c r="BC527" s="6"/>
      <c r="BD527" s="29">
        <f t="shared" si="286"/>
        <v>0</v>
      </c>
      <c r="BE527" s="317"/>
      <c r="BF527" s="317"/>
      <c r="BG527" s="317"/>
      <c r="BH527" s="317"/>
      <c r="BI527" s="317"/>
      <c r="BJ527" s="317"/>
      <c r="BK527" s="29">
        <f t="shared" si="266"/>
        <v>0</v>
      </c>
      <c r="BL527" s="317"/>
      <c r="BM527" s="317"/>
      <c r="BN527" s="317"/>
      <c r="BO527" s="317"/>
      <c r="BP527" s="317"/>
      <c r="BQ527" s="317"/>
      <c r="BR527" s="317"/>
      <c r="BS527" s="317"/>
      <c r="BT527" s="317"/>
      <c r="BU527" s="317"/>
      <c r="BV527" s="317"/>
      <c r="BW527" s="317"/>
      <c r="BX527" s="317"/>
      <c r="BY527" s="317"/>
      <c r="BZ527" s="317"/>
      <c r="CA527" s="317"/>
      <c r="CB527" s="317"/>
      <c r="CC527" s="317"/>
      <c r="CD527" s="317"/>
      <c r="CE527" s="317"/>
      <c r="CF527" s="317"/>
      <c r="CG527" s="317"/>
      <c r="CH527" s="317"/>
      <c r="CI527" s="317"/>
      <c r="CM527" s="1139">
        <v>0</v>
      </c>
      <c r="CN527" s="1139">
        <v>0</v>
      </c>
      <c r="CP527" s="923">
        <f t="shared" si="283"/>
        <v>0</v>
      </c>
      <c r="CZ527" s="330"/>
    </row>
    <row r="528" spans="1:104" ht="38.25" customHeight="1" x14ac:dyDescent="0.25">
      <c r="A528" s="684">
        <f>MAX($A$6:A527)+1</f>
        <v>528</v>
      </c>
      <c r="B528" s="3">
        <f t="shared" si="282"/>
        <v>5.0999999999999996</v>
      </c>
      <c r="C528" s="11" t="str">
        <f t="shared" si="265"/>
        <v>Consolidated property, plant and equipment 2025-26</v>
      </c>
      <c r="D528" s="11" t="s">
        <v>195</v>
      </c>
      <c r="E528" s="7" t="s">
        <v>199</v>
      </c>
      <c r="F528" s="15"/>
      <c r="G528" s="1254" t="s">
        <v>199</v>
      </c>
      <c r="H528" s="6">
        <v>0</v>
      </c>
      <c r="I528" s="6">
        <v>0</v>
      </c>
      <c r="J528" s="1257" t="s">
        <v>769</v>
      </c>
      <c r="K528" s="251">
        <f>SUMIF('alb Note 5.1 -PP&amp;E - CY'!$A:$A,$J528,'alb Note 5.1 -PP&amp;E - CY'!$B:$B)</f>
        <v>0</v>
      </c>
      <c r="L528" s="251">
        <f>SUMIF('alb Note 5.1 -PP&amp;E - CY'!$A:$A,$J528,'alb Note 5.1 -PP&amp;E - CY'!$M:$M)</f>
        <v>0</v>
      </c>
      <c r="M528" s="10"/>
      <c r="N528" s="273">
        <f>ROUND(SUM(O528:S528)+SUM(W528:AV528),0)</f>
        <v>0</v>
      </c>
      <c r="O528" s="12"/>
      <c r="P528" s="12"/>
      <c r="Q528" s="12"/>
      <c r="R528" s="12"/>
      <c r="S528" s="6">
        <f t="shared" si="273"/>
        <v>0</v>
      </c>
      <c r="T528" s="273">
        <f>ROUND(SUM(U528:Y528),0)</f>
        <v>0</v>
      </c>
      <c r="U528" s="6">
        <f>SUM(BL528:BN528)</f>
        <v>0</v>
      </c>
      <c r="V528" s="6"/>
      <c r="W528" s="6">
        <f>+H528</f>
        <v>0</v>
      </c>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X528" s="6"/>
      <c r="AY528" s="6">
        <f>ROUND(AX528/1000/Update!$B$31*Update!$B$27,0)</f>
        <v>0</v>
      </c>
      <c r="BA528" s="6"/>
      <c r="BB528" s="6">
        <f>ROUND(BA528/1000/Update!$B$31,0)</f>
        <v>0</v>
      </c>
      <c r="BC528" s="6"/>
      <c r="BD528" s="29">
        <f t="shared" si="286"/>
        <v>0</v>
      </c>
      <c r="BE528" s="317"/>
      <c r="BF528" s="317"/>
      <c r="BG528" s="317"/>
      <c r="BH528" s="317"/>
      <c r="BI528" s="317"/>
      <c r="BJ528" s="317"/>
      <c r="BK528" s="29">
        <f t="shared" si="266"/>
        <v>0</v>
      </c>
      <c r="BL528" s="317"/>
      <c r="BM528" s="317"/>
      <c r="BN528" s="317"/>
      <c r="BO528" s="317"/>
      <c r="BP528" s="317"/>
      <c r="BQ528" s="317"/>
      <c r="BR528" s="317"/>
      <c r="BS528" s="317"/>
      <c r="BT528" s="317"/>
      <c r="BU528" s="317"/>
      <c r="BV528" s="317"/>
      <c r="BW528" s="317"/>
      <c r="BX528" s="317"/>
      <c r="BY528" s="317"/>
      <c r="BZ528" s="317"/>
      <c r="CA528" s="317"/>
      <c r="CB528" s="317"/>
      <c r="CC528" s="317"/>
      <c r="CD528" s="317"/>
      <c r="CE528" s="317"/>
      <c r="CF528" s="317"/>
      <c r="CG528" s="317"/>
      <c r="CH528" s="317"/>
      <c r="CI528" s="317"/>
      <c r="CM528" s="1139">
        <v>0</v>
      </c>
      <c r="CN528" s="1139">
        <v>0</v>
      </c>
      <c r="CP528" s="923">
        <f t="shared" si="283"/>
        <v>0</v>
      </c>
      <c r="CZ528" s="330"/>
    </row>
    <row r="529" spans="1:104" ht="15" customHeight="1" x14ac:dyDescent="0.25">
      <c r="A529" s="684">
        <f>MAX($A$6:A528)+1</f>
        <v>529</v>
      </c>
      <c r="B529" s="3">
        <f t="shared" si="282"/>
        <v>5.0999999999999996</v>
      </c>
      <c r="C529" s="11" t="str">
        <f t="shared" si="265"/>
        <v>Consolidated property, plant and equipment 2025-26</v>
      </c>
      <c r="D529" s="11" t="s">
        <v>195</v>
      </c>
      <c r="E529" s="7" t="s">
        <v>1695</v>
      </c>
      <c r="F529" s="15"/>
      <c r="G529" s="1254" t="s">
        <v>1695</v>
      </c>
      <c r="H529" s="6">
        <v>0</v>
      </c>
      <c r="I529" s="6">
        <v>0</v>
      </c>
      <c r="J529" s="1257" t="s">
        <v>1695</v>
      </c>
      <c r="K529" s="251">
        <f>SUMIF('alb Note 5.1 -PP&amp;E - CY'!$A:$A,$J529,'alb Note 5.1 -PP&amp;E - CY'!$B:$B)</f>
        <v>0</v>
      </c>
      <c r="L529" s="251">
        <f>SUMIF('alb Note 5.1 -PP&amp;E - CY'!$A:$A,$J529,'alb Note 5.1 -PP&amp;E - CY'!$M:$M)</f>
        <v>0</v>
      </c>
      <c r="M529" s="10"/>
      <c r="N529" s="273">
        <f>ROUND(SUM(O529:S529)+SUM(W529:AV529),0)</f>
        <v>0</v>
      </c>
      <c r="O529" s="12"/>
      <c r="P529" s="12"/>
      <c r="Q529" s="12"/>
      <c r="R529" s="12"/>
      <c r="S529" s="6">
        <f t="shared" si="273"/>
        <v>0</v>
      </c>
      <c r="T529" s="273">
        <f>ROUND(SUM(U529:Y529),0)</f>
        <v>0</v>
      </c>
      <c r="U529" s="6">
        <f>SUM(BL529:BN529)</f>
        <v>0</v>
      </c>
      <c r="V529" s="6"/>
      <c r="W529" s="6">
        <f>+H529</f>
        <v>0</v>
      </c>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X529" s="6"/>
      <c r="AY529" s="6"/>
      <c r="BA529" s="6"/>
      <c r="BB529" s="6"/>
      <c r="BC529" s="6"/>
      <c r="BD529" s="29">
        <f t="shared" si="286"/>
        <v>0</v>
      </c>
      <c r="BE529" s="317"/>
      <c r="BF529" s="317"/>
      <c r="BG529" s="317"/>
      <c r="BH529" s="317"/>
      <c r="BI529" s="317"/>
      <c r="BJ529" s="317"/>
      <c r="BK529" s="29">
        <f t="shared" si="266"/>
        <v>0</v>
      </c>
      <c r="BL529" s="317"/>
      <c r="BM529" s="317"/>
      <c r="BN529" s="317"/>
      <c r="BO529" s="317"/>
      <c r="BP529" s="317"/>
      <c r="BQ529" s="317"/>
      <c r="BR529" s="317"/>
      <c r="BS529" s="317"/>
      <c r="BT529" s="317"/>
      <c r="BU529" s="317"/>
      <c r="BV529" s="317"/>
      <c r="BW529" s="317"/>
      <c r="BX529" s="317"/>
      <c r="BY529" s="317"/>
      <c r="BZ529" s="317"/>
      <c r="CA529" s="317"/>
      <c r="CB529" s="317"/>
      <c r="CC529" s="317"/>
      <c r="CD529" s="317"/>
      <c r="CE529" s="317"/>
      <c r="CF529" s="317"/>
      <c r="CG529" s="317"/>
      <c r="CH529" s="317"/>
      <c r="CI529" s="317"/>
      <c r="CM529" s="1139">
        <v>0</v>
      </c>
      <c r="CN529" s="1139">
        <v>0</v>
      </c>
      <c r="CP529" s="923">
        <f t="shared" si="283"/>
        <v>0</v>
      </c>
      <c r="CZ529" s="330"/>
    </row>
    <row r="530" spans="1:104" ht="15" customHeight="1" x14ac:dyDescent="0.25">
      <c r="A530" s="684">
        <f>MAX($A$6:A529)+1</f>
        <v>530</v>
      </c>
      <c r="B530" s="1291">
        <f t="shared" si="282"/>
        <v>5.0999999999999996</v>
      </c>
      <c r="C530" s="18" t="str">
        <f t="shared" si="265"/>
        <v>Consolidated property, plant and equipment 2025-26</v>
      </c>
      <c r="D530" s="18" t="s">
        <v>195</v>
      </c>
      <c r="E530" s="19" t="str">
        <f>"Carrying amount "&amp;Update!$B$22</f>
        <v>Carrying amount  31 March 2026</v>
      </c>
      <c r="F530" s="20"/>
      <c r="G530" s="1278"/>
      <c r="H530" s="14">
        <f>SUM(H525:H529)</f>
        <v>32712</v>
      </c>
      <c r="I530" s="14">
        <f>SUM(I525:I529)</f>
        <v>0</v>
      </c>
      <c r="J530" s="1258" t="s">
        <v>2493</v>
      </c>
      <c r="K530" s="256">
        <f>SUM(K525:K529)</f>
        <v>0</v>
      </c>
      <c r="L530" s="256">
        <f>SUM(L525:L529)</f>
        <v>0</v>
      </c>
      <c r="M530" s="21"/>
      <c r="N530" s="14">
        <f>ROUND(SUM(O530:S530)+T530+SUM(Z530:AV530),0)</f>
        <v>32712</v>
      </c>
      <c r="O530" s="14">
        <f t="shared" ref="O530:T530" si="289">SUM(O525:O528)</f>
        <v>0</v>
      </c>
      <c r="P530" s="14">
        <f t="shared" si="289"/>
        <v>0</v>
      </c>
      <c r="Q530" s="14">
        <f t="shared" si="289"/>
        <v>0</v>
      </c>
      <c r="R530" s="14">
        <f t="shared" si="289"/>
        <v>0</v>
      </c>
      <c r="S530" s="14">
        <f t="shared" si="273"/>
        <v>0</v>
      </c>
      <c r="T530" s="14">
        <f t="shared" si="289"/>
        <v>32712</v>
      </c>
      <c r="U530" s="14">
        <f>SUM(U525:U529)</f>
        <v>0</v>
      </c>
      <c r="V530" s="14">
        <f>SUM(V525:V529)</f>
        <v>0</v>
      </c>
      <c r="W530" s="14">
        <f>SUM(W525:W529)</f>
        <v>32712</v>
      </c>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2"/>
      <c r="AX530" s="14">
        <f>SUM(AX525:AX529)</f>
        <v>0</v>
      </c>
      <c r="AY530" s="14">
        <f>SUM(AY525:AY529)</f>
        <v>0</v>
      </c>
      <c r="AZ530" s="2"/>
      <c r="BA530" s="14">
        <f>SUM(BA525:BA529)</f>
        <v>0</v>
      </c>
      <c r="BB530" s="14">
        <f>SUM(BB525:BB529)</f>
        <v>0</v>
      </c>
      <c r="BC530" s="14"/>
      <c r="BD530" s="14">
        <f t="shared" ref="BD530:BJ530" si="290">SUM(BD525:BD529)</f>
        <v>0</v>
      </c>
      <c r="BE530" s="14">
        <f t="shared" si="290"/>
        <v>0</v>
      </c>
      <c r="BF530" s="14">
        <f t="shared" si="290"/>
        <v>0</v>
      </c>
      <c r="BG530" s="14">
        <f t="shared" si="290"/>
        <v>0</v>
      </c>
      <c r="BH530" s="14">
        <f t="shared" si="290"/>
        <v>0</v>
      </c>
      <c r="BI530" s="14">
        <f t="shared" si="290"/>
        <v>0</v>
      </c>
      <c r="BJ530" s="14">
        <f t="shared" si="290"/>
        <v>0</v>
      </c>
      <c r="BK530" s="14">
        <f t="shared" si="266"/>
        <v>0</v>
      </c>
      <c r="BL530" s="14"/>
      <c r="BM530" s="14"/>
      <c r="BN530" s="14"/>
      <c r="BO530" s="14"/>
      <c r="BP530" s="14"/>
      <c r="BQ530" s="14"/>
      <c r="BR530" s="14"/>
      <c r="BS530" s="14"/>
      <c r="BT530" s="318"/>
      <c r="BU530" s="318"/>
      <c r="BV530" s="318"/>
      <c r="BW530" s="318"/>
      <c r="BX530" s="318"/>
      <c r="BY530" s="318"/>
      <c r="BZ530" s="318"/>
      <c r="CA530" s="318"/>
      <c r="CB530" s="318"/>
      <c r="CC530" s="318"/>
      <c r="CD530" s="318"/>
      <c r="CE530" s="318"/>
      <c r="CF530" s="318"/>
      <c r="CG530" s="14"/>
      <c r="CH530" s="14"/>
      <c r="CI530" s="14"/>
      <c r="CJ530" s="2"/>
      <c r="CK530" s="2"/>
      <c r="CM530" s="1450">
        <v>0</v>
      </c>
      <c r="CN530" s="1450">
        <v>0</v>
      </c>
      <c r="CP530" s="923">
        <f t="shared" si="283"/>
        <v>0</v>
      </c>
      <c r="CZ530" s="330"/>
    </row>
    <row r="531" spans="1:104" ht="18.75" customHeight="1" x14ac:dyDescent="0.25">
      <c r="A531" s="684">
        <f>MAX($A$6:A530)+1</f>
        <v>531</v>
      </c>
      <c r="B531" s="3">
        <f t="shared" si="282"/>
        <v>5.0999999999999996</v>
      </c>
      <c r="C531" s="11" t="str">
        <f t="shared" si="265"/>
        <v>Consolidated property, plant and equipment 2025-26</v>
      </c>
      <c r="D531" s="11" t="s">
        <v>196</v>
      </c>
      <c r="E531" s="277" t="s">
        <v>183</v>
      </c>
      <c r="F531" s="15"/>
      <c r="G531" s="1254"/>
      <c r="H531" s="6"/>
      <c r="I531" s="6"/>
      <c r="J531" s="1257" t="s">
        <v>286</v>
      </c>
      <c r="K531" s="251">
        <f>SUMIF('alb Note 5.1 -PP&amp;E - CY'!$A:$A,$J531,'alb Note 5.1 -PP&amp;E - CY'!$C:$C)</f>
        <v>0</v>
      </c>
      <c r="L531" s="251">
        <f>SUMIF('alb Note 5.1 -PP&amp;E - CY'!$A:$A,$J531,'alb Note 5.1 -PP&amp;E - CY'!$N:$N)</f>
        <v>0</v>
      </c>
      <c r="M531" s="10"/>
      <c r="N531" s="273">
        <f>ROUND(SUM(O531:S531)+SUM(W531:AV531),0)</f>
        <v>0</v>
      </c>
      <c r="O531" s="12"/>
      <c r="P531" s="12"/>
      <c r="Q531" s="12"/>
      <c r="R531" s="12"/>
      <c r="S531" s="6">
        <f t="shared" si="273"/>
        <v>0</v>
      </c>
      <c r="T531" s="273">
        <f>ROUND(SUM(U531:Y531),0)</f>
        <v>0</v>
      </c>
      <c r="U531" s="6">
        <f>SUM(BL531:BN531)</f>
        <v>0</v>
      </c>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X531" s="6"/>
      <c r="AY531" s="6">
        <f>ROUND(AX531/1000/Update!$B$31*Update!$B$27,0)</f>
        <v>0</v>
      </c>
      <c r="BA531" s="6"/>
      <c r="BB531" s="6">
        <f>ROUND(BA531/1000/Update!$B$31,0)</f>
        <v>0</v>
      </c>
      <c r="BC531" s="6"/>
      <c r="BD531" s="29">
        <f t="shared" si="286"/>
        <v>0</v>
      </c>
      <c r="BE531" s="322"/>
      <c r="BF531" s="322"/>
      <c r="BG531" s="322"/>
      <c r="BH531" s="322"/>
      <c r="BI531" s="322"/>
      <c r="BJ531" s="322"/>
      <c r="BK531" s="29">
        <f t="shared" si="266"/>
        <v>0</v>
      </c>
      <c r="BL531" s="322"/>
      <c r="BM531" s="322"/>
      <c r="BN531" s="322"/>
      <c r="BO531" s="322"/>
      <c r="BP531" s="322"/>
      <c r="BQ531" s="322"/>
      <c r="BR531" s="322"/>
      <c r="BS531" s="322"/>
      <c r="BT531" s="322"/>
      <c r="BU531" s="322"/>
      <c r="BV531" s="322"/>
      <c r="BW531" s="322"/>
      <c r="BX531" s="322"/>
      <c r="BY531" s="322"/>
      <c r="BZ531" s="322"/>
      <c r="CA531" s="322"/>
      <c r="CB531" s="322"/>
      <c r="CC531" s="322"/>
      <c r="CD531" s="322"/>
      <c r="CE531" s="322"/>
      <c r="CF531" s="322"/>
      <c r="CG531" s="322"/>
      <c r="CH531" s="322"/>
      <c r="CI531" s="322"/>
      <c r="CM531" s="1139">
        <v>0</v>
      </c>
      <c r="CN531" s="1139">
        <v>0</v>
      </c>
      <c r="CP531" s="923">
        <f t="shared" si="283"/>
        <v>0</v>
      </c>
      <c r="CZ531" s="330"/>
    </row>
    <row r="532" spans="1:104" ht="15" customHeight="1" x14ac:dyDescent="0.25">
      <c r="A532" s="684">
        <f>MAX($A$6:A531)+1</f>
        <v>532</v>
      </c>
      <c r="B532" s="3">
        <f t="shared" si="282"/>
        <v>5.0999999999999996</v>
      </c>
      <c r="C532" s="11" t="str">
        <f t="shared" si="265"/>
        <v>Consolidated property, plant and equipment 2025-26</v>
      </c>
      <c r="D532" s="11" t="str">
        <f>D531</f>
        <v>Buildings</v>
      </c>
      <c r="E532" s="7" t="str">
        <f>"At"&amp;Update!$B$20</f>
        <v>At 1 April 2025</v>
      </c>
      <c r="F532" s="15"/>
      <c r="G532" s="1267" t="str">
        <f>"At"&amp;Update!$B$20</f>
        <v>At 1 April 2025</v>
      </c>
      <c r="H532" s="6">
        <v>3810</v>
      </c>
      <c r="I532" s="6">
        <v>0</v>
      </c>
      <c r="J532" s="1257" t="str">
        <f>$E532</f>
        <v>At 1 April 2025</v>
      </c>
      <c r="K532" s="251">
        <f>SUMIF('alb Note 5.1 -PP&amp;E - CY'!$A:$A,$J532,'alb Note 5.1 -PP&amp;E - CY'!$C:$C)</f>
        <v>0</v>
      </c>
      <c r="L532" s="251">
        <f>SUMIF('alb Note 5.1 -PP&amp;E - CY'!$A:$A,$J532,'alb Note 5.1 -PP&amp;E - CY'!$N:$N)</f>
        <v>0</v>
      </c>
      <c r="M532" s="10"/>
      <c r="N532" s="273">
        <f>ROUND(SUM(O532:S532)+SUM(W532:AV532),0)</f>
        <v>3810</v>
      </c>
      <c r="O532" s="12"/>
      <c r="P532" s="12"/>
      <c r="Q532" s="12"/>
      <c r="R532" s="12"/>
      <c r="S532" s="6">
        <f t="shared" si="273"/>
        <v>0</v>
      </c>
      <c r="T532" s="273">
        <f>ROUND(SUM(U532:Y532),0)</f>
        <v>3810</v>
      </c>
      <c r="U532" s="6">
        <f>SUM(BL532:BN532)</f>
        <v>0</v>
      </c>
      <c r="V532" s="6"/>
      <c r="W532" s="6">
        <f t="shared" ref="W532:W544" si="291">+H532</f>
        <v>3810</v>
      </c>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X532" s="6"/>
      <c r="AY532" s="6">
        <f>ROUND(AX532/1000/Update!$B$31*Update!$B$27,0)</f>
        <v>0</v>
      </c>
      <c r="BA532" s="6"/>
      <c r="BB532" s="6">
        <f>ROUND(BA532/1000/Update!$B$31,0)</f>
        <v>0</v>
      </c>
      <c r="BC532" s="6"/>
      <c r="BD532" s="29">
        <f t="shared" si="286"/>
        <v>0</v>
      </c>
      <c r="BE532" s="322"/>
      <c r="BF532" s="322"/>
      <c r="BG532" s="322"/>
      <c r="BH532" s="322"/>
      <c r="BI532" s="322"/>
      <c r="BJ532" s="322"/>
      <c r="BK532" s="29">
        <f t="shared" si="266"/>
        <v>0</v>
      </c>
      <c r="BL532" s="322"/>
      <c r="BM532" s="322"/>
      <c r="BN532" s="322"/>
      <c r="BO532" s="322"/>
      <c r="BP532" s="322"/>
      <c r="BQ532" s="322"/>
      <c r="BR532" s="322"/>
      <c r="BS532" s="322"/>
      <c r="BT532" s="322"/>
      <c r="BU532" s="322"/>
      <c r="BV532" s="322"/>
      <c r="BW532" s="322"/>
      <c r="BX532" s="322"/>
      <c r="BY532" s="322"/>
      <c r="BZ532" s="322"/>
      <c r="CA532" s="322"/>
      <c r="CB532" s="322"/>
      <c r="CC532" s="322"/>
      <c r="CD532" s="322"/>
      <c r="CE532" s="322"/>
      <c r="CF532" s="322"/>
      <c r="CG532" s="322"/>
      <c r="CH532" s="322"/>
      <c r="CI532" s="322"/>
      <c r="CM532" s="1139">
        <v>0</v>
      </c>
      <c r="CN532" s="1139">
        <v>0</v>
      </c>
      <c r="CP532" s="923">
        <f t="shared" si="283"/>
        <v>0</v>
      </c>
      <c r="CZ532" s="330"/>
    </row>
    <row r="533" spans="1:104" ht="15" customHeight="1" x14ac:dyDescent="0.25">
      <c r="A533" s="684">
        <f>MAX($A$6:A532)+1</f>
        <v>533</v>
      </c>
      <c r="B533" s="3">
        <f t="shared" si="282"/>
        <v>5.0999999999999996</v>
      </c>
      <c r="C533" s="11" t="str">
        <f t="shared" si="265"/>
        <v>Consolidated property, plant and equipment 2025-26</v>
      </c>
      <c r="D533" s="11" t="str">
        <f>D532</f>
        <v>Buildings</v>
      </c>
      <c r="E533" s="7" t="s">
        <v>435</v>
      </c>
      <c r="F533" s="15"/>
      <c r="G533" s="1254" t="s">
        <v>435</v>
      </c>
      <c r="H533" s="6">
        <v>0</v>
      </c>
      <c r="I533" s="6">
        <v>0</v>
      </c>
      <c r="J533" s="1257" t="s">
        <v>184</v>
      </c>
      <c r="K533" s="251">
        <f>SUMIF('alb Note 5.1 -PP&amp;E - CY'!$A:$A,$J533,'alb Note 5.1 -PP&amp;E - CY'!$C:$C)</f>
        <v>0</v>
      </c>
      <c r="L533" s="251">
        <f>SUMIF('alb Note 5.1 -PP&amp;E - CY'!$A:$A,$J533,'alb Note 5.1 -PP&amp;E - CY'!$N:$N)</f>
        <v>0</v>
      </c>
      <c r="M533" s="10"/>
      <c r="N533" s="273">
        <f>ROUND(SUM(O533:S533)+SUM(W533:AV533),0)</f>
        <v>0</v>
      </c>
      <c r="O533" s="12"/>
      <c r="P533" s="12"/>
      <c r="Q533" s="12"/>
      <c r="R533" s="12"/>
      <c r="S533" s="6">
        <f t="shared" si="273"/>
        <v>0</v>
      </c>
      <c r="T533" s="273">
        <f>ROUND(SUM(U533:Y533),0)</f>
        <v>0</v>
      </c>
      <c r="U533" s="6">
        <f>SUM(BL533:BN533)</f>
        <v>0</v>
      </c>
      <c r="V533" s="6"/>
      <c r="W533" s="6">
        <f t="shared" si="291"/>
        <v>0</v>
      </c>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X533" s="6"/>
      <c r="AY533" s="6">
        <f>ROUND(AX533/1000/Update!$B$31*Update!$B$27,0)</f>
        <v>0</v>
      </c>
      <c r="BA533" s="6"/>
      <c r="BB533" s="6">
        <f>ROUND(BA533/1000/Update!$B$31,0)</f>
        <v>0</v>
      </c>
      <c r="BC533" s="6"/>
      <c r="BD533" s="29">
        <f t="shared" si="286"/>
        <v>0</v>
      </c>
      <c r="BE533" s="322"/>
      <c r="BF533" s="322"/>
      <c r="BG533" s="322"/>
      <c r="BH533" s="322"/>
      <c r="BI533" s="322"/>
      <c r="BJ533" s="322"/>
      <c r="BK533" s="29">
        <f t="shared" si="266"/>
        <v>0</v>
      </c>
      <c r="BL533" s="322"/>
      <c r="BM533" s="322"/>
      <c r="BN533" s="322"/>
      <c r="BO533" s="322"/>
      <c r="BP533" s="322"/>
      <c r="BQ533" s="322"/>
      <c r="BR533" s="322"/>
      <c r="BS533" s="322"/>
      <c r="BT533" s="322"/>
      <c r="BU533" s="322"/>
      <c r="BV533" s="322"/>
      <c r="BW533" s="322"/>
      <c r="BX533" s="322"/>
      <c r="BY533" s="322"/>
      <c r="BZ533" s="322"/>
      <c r="CA533" s="322"/>
      <c r="CB533" s="322"/>
      <c r="CC533" s="322"/>
      <c r="CD533" s="322"/>
      <c r="CE533" s="322"/>
      <c r="CF533" s="322"/>
      <c r="CG533" s="322"/>
      <c r="CH533" s="322"/>
      <c r="CI533" s="322"/>
      <c r="CM533" s="1139">
        <v>0</v>
      </c>
      <c r="CN533" s="1139">
        <v>0</v>
      </c>
      <c r="CP533" s="923">
        <f t="shared" si="283"/>
        <v>0</v>
      </c>
      <c r="CZ533" s="330"/>
    </row>
    <row r="534" spans="1:104" ht="15" customHeight="1" x14ac:dyDescent="0.25">
      <c r="A534" s="684">
        <f>MAX($A$6:A533)+1</f>
        <v>534</v>
      </c>
      <c r="B534" s="1291">
        <f t="shared" si="282"/>
        <v>5.0999999999999996</v>
      </c>
      <c r="C534" s="18" t="str">
        <f t="shared" si="265"/>
        <v>Consolidated property, plant and equipment 2025-26</v>
      </c>
      <c r="D534" s="18" t="str">
        <f>D533</f>
        <v>Buildings</v>
      </c>
      <c r="E534" s="19" t="s">
        <v>869</v>
      </c>
      <c r="F534" s="20"/>
      <c r="G534" s="1278" t="s">
        <v>436</v>
      </c>
      <c r="H534" s="14">
        <f>SUM(H531:H533)</f>
        <v>3810</v>
      </c>
      <c r="I534" s="14">
        <f>SUM(I531:I533)</f>
        <v>0</v>
      </c>
      <c r="J534" s="1258" t="s">
        <v>869</v>
      </c>
      <c r="K534" s="256">
        <f>SUM(K531:K533)</f>
        <v>0</v>
      </c>
      <c r="L534" s="256">
        <f>SUM(L531:L533)</f>
        <v>0</v>
      </c>
      <c r="M534" s="21"/>
      <c r="N534" s="14">
        <f>ROUND(SUM(O534:S534)+T534+SUM(Z534:AV534),0)</f>
        <v>3810</v>
      </c>
      <c r="O534" s="14">
        <f>SUM(O531:O533)</f>
        <v>0</v>
      </c>
      <c r="P534" s="14">
        <f>SUM(P531:P533)</f>
        <v>0</v>
      </c>
      <c r="Q534" s="14">
        <f>SUM(Q531:Q533)</f>
        <v>0</v>
      </c>
      <c r="R534" s="14">
        <f>SUM(R531:R533)</f>
        <v>0</v>
      </c>
      <c r="S534" s="14">
        <f t="shared" si="273"/>
        <v>0</v>
      </c>
      <c r="T534" s="14">
        <f>SUM(T531:T533)</f>
        <v>3810</v>
      </c>
      <c r="U534" s="14">
        <f>SUM(U531:U533)</f>
        <v>0</v>
      </c>
      <c r="V534" s="14">
        <f>SUM(V531:V533)</f>
        <v>0</v>
      </c>
      <c r="W534" s="14">
        <f>SUM(W531:W533)</f>
        <v>3810</v>
      </c>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2"/>
      <c r="AX534" s="14">
        <f>SUM(AX531:AX533)</f>
        <v>0</v>
      </c>
      <c r="AY534" s="14">
        <f>ROUND(AX534/1000/Update!$B$31*Update!$B$27,0)</f>
        <v>0</v>
      </c>
      <c r="AZ534" s="2"/>
      <c r="BA534" s="14">
        <f>SUM(BA531:BA533)</f>
        <v>0</v>
      </c>
      <c r="BB534" s="14">
        <f>ROUND(BA534/1000/Update!$B$31,0)</f>
        <v>0</v>
      </c>
      <c r="BC534" s="14"/>
      <c r="BD534" s="14">
        <f t="shared" si="286"/>
        <v>0</v>
      </c>
      <c r="BE534" s="14">
        <f t="shared" ref="BE534:BJ534" si="292">SUM(BE531:BE533)</f>
        <v>0</v>
      </c>
      <c r="BF534" s="14">
        <f t="shared" si="292"/>
        <v>0</v>
      </c>
      <c r="BG534" s="14">
        <f t="shared" si="292"/>
        <v>0</v>
      </c>
      <c r="BH534" s="14">
        <f t="shared" si="292"/>
        <v>0</v>
      </c>
      <c r="BI534" s="14">
        <f t="shared" si="292"/>
        <v>0</v>
      </c>
      <c r="BJ534" s="14">
        <f t="shared" si="292"/>
        <v>0</v>
      </c>
      <c r="BK534" s="14">
        <f t="shared" si="266"/>
        <v>0</v>
      </c>
      <c r="BL534" s="14"/>
      <c r="BM534" s="14"/>
      <c r="BN534" s="14"/>
      <c r="BO534" s="14"/>
      <c r="BP534" s="14"/>
      <c r="BQ534" s="14"/>
      <c r="BR534" s="14"/>
      <c r="BS534" s="14"/>
      <c r="BT534" s="324"/>
      <c r="BU534" s="14"/>
      <c r="BV534" s="14"/>
      <c r="BW534" s="14"/>
      <c r="BX534" s="14"/>
      <c r="BY534" s="14"/>
      <c r="BZ534" s="14"/>
      <c r="CA534" s="14"/>
      <c r="CB534" s="14"/>
      <c r="CC534" s="14"/>
      <c r="CD534" s="14"/>
      <c r="CE534" s="14"/>
      <c r="CF534" s="14"/>
      <c r="CG534" s="14"/>
      <c r="CH534" s="14"/>
      <c r="CI534" s="14"/>
      <c r="CJ534" s="2"/>
      <c r="CK534" s="2"/>
      <c r="CM534" s="1450">
        <v>0</v>
      </c>
      <c r="CN534" s="1450">
        <v>0</v>
      </c>
      <c r="CP534" s="923">
        <f t="shared" si="283"/>
        <v>0</v>
      </c>
      <c r="CZ534" s="330"/>
    </row>
    <row r="535" spans="1:104" ht="15" customHeight="1" x14ac:dyDescent="0.25">
      <c r="A535" s="684">
        <f>MAX($A$6:A534)+1</f>
        <v>535</v>
      </c>
      <c r="B535" s="3">
        <f t="shared" si="282"/>
        <v>5.0999999999999996</v>
      </c>
      <c r="C535" s="11" t="str">
        <f t="shared" si="265"/>
        <v>Consolidated property, plant and equipment 2025-26</v>
      </c>
      <c r="D535" s="11" t="str">
        <f>D534</f>
        <v>Buildings</v>
      </c>
      <c r="E535" s="7" t="s">
        <v>185</v>
      </c>
      <c r="F535" s="15"/>
      <c r="G535" s="1254" t="s">
        <v>185</v>
      </c>
      <c r="H535" s="6">
        <v>0</v>
      </c>
      <c r="I535" s="6">
        <v>0</v>
      </c>
      <c r="J535" s="1257" t="s">
        <v>185</v>
      </c>
      <c r="K535" s="251">
        <f>SUMIF('alb Note 5.1 -PP&amp;E - CY'!$A:$A,$J535,'alb Note 5.1 -PP&amp;E - CY'!$C:$C)</f>
        <v>0</v>
      </c>
      <c r="L535" s="251">
        <f>SUMIF('alb Note 5.1 -PP&amp;E - CY'!$A:$A,$J535,'alb Note 5.1 -PP&amp;E - CY'!$N:$N)</f>
        <v>0</v>
      </c>
      <c r="M535" s="10"/>
      <c r="N535" s="273">
        <f t="shared" ref="N535:N544" si="293">ROUND(SUM(O535:S535)+SUM(W535:AV535),0)</f>
        <v>0</v>
      </c>
      <c r="O535" s="12"/>
      <c r="P535" s="12"/>
      <c r="Q535" s="12"/>
      <c r="R535" s="12"/>
      <c r="S535" s="6">
        <f t="shared" si="273"/>
        <v>0</v>
      </c>
      <c r="T535" s="273">
        <f t="shared" ref="T535:T548" si="294">ROUND(SUM(U535:Y535),0)</f>
        <v>0</v>
      </c>
      <c r="U535" s="6">
        <f t="shared" ref="U535:U544" si="295">SUM(BL535:BN535)</f>
        <v>0</v>
      </c>
      <c r="V535" s="6"/>
      <c r="W535" s="6">
        <f t="shared" si="291"/>
        <v>0</v>
      </c>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X535" s="6"/>
      <c r="AY535" s="6">
        <f>ROUND(AX535/1000/Update!$B$31*Update!$B$27,0)</f>
        <v>0</v>
      </c>
      <c r="BA535" s="6"/>
      <c r="BB535" s="6">
        <f>ROUND(BA535/1000/Update!$B$31,0)</f>
        <v>0</v>
      </c>
      <c r="BC535" s="6"/>
      <c r="BD535" s="29">
        <f t="shared" si="286"/>
        <v>0</v>
      </c>
      <c r="BE535" s="322"/>
      <c r="BF535" s="322"/>
      <c r="BG535" s="322"/>
      <c r="BH535" s="322"/>
      <c r="BI535" s="322"/>
      <c r="BJ535" s="322"/>
      <c r="BK535" s="29">
        <f t="shared" si="266"/>
        <v>0</v>
      </c>
      <c r="BL535" s="322"/>
      <c r="BM535" s="322"/>
      <c r="BN535" s="322"/>
      <c r="BO535" s="322"/>
      <c r="BP535" s="322"/>
      <c r="BQ535" s="322"/>
      <c r="BR535" s="322"/>
      <c r="BS535" s="322"/>
      <c r="BT535" s="322"/>
      <c r="BU535" s="322"/>
      <c r="BV535" s="322"/>
      <c r="BW535" s="322"/>
      <c r="BX535" s="322"/>
      <c r="BY535" s="322"/>
      <c r="BZ535" s="322"/>
      <c r="CA535" s="322"/>
      <c r="CB535" s="322"/>
      <c r="CC535" s="322"/>
      <c r="CD535" s="322"/>
      <c r="CE535" s="322"/>
      <c r="CF535" s="322"/>
      <c r="CG535" s="322"/>
      <c r="CH535" s="322"/>
      <c r="CI535" s="322"/>
      <c r="CM535" s="1139">
        <v>0</v>
      </c>
      <c r="CN535" s="1139">
        <v>0</v>
      </c>
      <c r="CP535" s="923">
        <f t="shared" si="283"/>
        <v>0</v>
      </c>
      <c r="CZ535" s="330"/>
    </row>
    <row r="536" spans="1:104" ht="30" customHeight="1" x14ac:dyDescent="0.25">
      <c r="A536" s="684">
        <f>MAX($A$6:A535)+1</f>
        <v>536</v>
      </c>
      <c r="B536" s="3">
        <f t="shared" si="282"/>
        <v>5.0999999999999996</v>
      </c>
      <c r="C536" s="11" t="str">
        <f t="shared" si="265"/>
        <v>Consolidated property, plant and equipment 2025-26</v>
      </c>
      <c r="D536" s="11" t="str">
        <f>D535</f>
        <v>Buildings</v>
      </c>
      <c r="E536" s="7" t="s">
        <v>437</v>
      </c>
      <c r="F536" s="15"/>
      <c r="G536" s="1254" t="s">
        <v>437</v>
      </c>
      <c r="H536" s="6">
        <v>0</v>
      </c>
      <c r="I536" s="6">
        <v>0</v>
      </c>
      <c r="J536" s="1257" t="s">
        <v>437</v>
      </c>
      <c r="K536" s="251">
        <f>SUMIF('alb Note 5.1 -PP&amp;E - CY'!$A:$A,$J536,'alb Note 5.1 -PP&amp;E - CY'!$C:$C)</f>
        <v>0</v>
      </c>
      <c r="L536" s="251">
        <f>SUMIF('alb Note 5.1 -PP&amp;E - CY'!$A:$A,$J536,'alb Note 5.1 -PP&amp;E - CY'!$N:$N)</f>
        <v>0</v>
      </c>
      <c r="M536" s="10"/>
      <c r="N536" s="273">
        <f t="shared" si="293"/>
        <v>0</v>
      </c>
      <c r="O536" s="12"/>
      <c r="P536" s="12"/>
      <c r="Q536" s="12"/>
      <c r="R536" s="12"/>
      <c r="S536" s="6">
        <f t="shared" si="273"/>
        <v>0</v>
      </c>
      <c r="T536" s="273">
        <f t="shared" si="294"/>
        <v>0</v>
      </c>
      <c r="U536" s="6">
        <f t="shared" si="295"/>
        <v>0</v>
      </c>
      <c r="V536" s="6"/>
      <c r="W536" s="6">
        <f t="shared" si="291"/>
        <v>0</v>
      </c>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X536" s="6"/>
      <c r="AY536" s="6">
        <f>ROUND(AX536/1000/Update!$B$31*Update!$B$27,0)</f>
        <v>0</v>
      </c>
      <c r="BA536" s="6"/>
      <c r="BB536" s="6">
        <f>ROUND(BA536/1000/Update!$B$31,0)</f>
        <v>0</v>
      </c>
      <c r="BC536" s="6"/>
      <c r="BD536" s="29">
        <f t="shared" si="286"/>
        <v>0</v>
      </c>
      <c r="BE536" s="322"/>
      <c r="BF536" s="322"/>
      <c r="BG536" s="322"/>
      <c r="BH536" s="322"/>
      <c r="BI536" s="322"/>
      <c r="BJ536" s="322"/>
      <c r="BK536" s="29">
        <f t="shared" si="266"/>
        <v>0</v>
      </c>
      <c r="BL536" s="322"/>
      <c r="BM536" s="322"/>
      <c r="BN536" s="322"/>
      <c r="BO536" s="322"/>
      <c r="BP536" s="322"/>
      <c r="BQ536" s="322"/>
      <c r="BR536" s="322"/>
      <c r="BS536" s="322"/>
      <c r="BT536" s="322"/>
      <c r="BU536" s="322"/>
      <c r="BV536" s="322"/>
      <c r="BW536" s="322"/>
      <c r="BX536" s="322"/>
      <c r="BY536" s="322"/>
      <c r="BZ536" s="322"/>
      <c r="CA536" s="322"/>
      <c r="CB536" s="322"/>
      <c r="CC536" s="322"/>
      <c r="CD536" s="322"/>
      <c r="CE536" s="322"/>
      <c r="CF536" s="322"/>
      <c r="CG536" s="322"/>
      <c r="CH536" s="322"/>
      <c r="CI536" s="322"/>
      <c r="CM536" s="1139">
        <v>0</v>
      </c>
      <c r="CN536" s="1139">
        <v>0</v>
      </c>
      <c r="CP536" s="923">
        <f t="shared" si="283"/>
        <v>0</v>
      </c>
      <c r="CZ536" s="330"/>
    </row>
    <row r="537" spans="1:104" ht="15" customHeight="1" x14ac:dyDescent="0.25">
      <c r="A537" s="684">
        <f>MAX($A$6:A536)+1</f>
        <v>537</v>
      </c>
      <c r="B537" s="3">
        <f t="shared" si="282"/>
        <v>5.0999999999999996</v>
      </c>
      <c r="C537" s="11" t="str">
        <f t="shared" si="265"/>
        <v>Consolidated property, plant and equipment 2025-26</v>
      </c>
      <c r="D537" s="11" t="str">
        <f t="shared" ref="D537:D567" si="296">D536</f>
        <v>Buildings</v>
      </c>
      <c r="E537" s="7" t="s">
        <v>191</v>
      </c>
      <c r="F537" s="15"/>
      <c r="G537" s="1254" t="s">
        <v>191</v>
      </c>
      <c r="H537" s="6">
        <v>0</v>
      </c>
      <c r="I537" s="6">
        <v>0</v>
      </c>
      <c r="J537" s="1257" t="s">
        <v>191</v>
      </c>
      <c r="K537" s="251">
        <f>SUMIF('alb Note 5.1 -PP&amp;E - CY'!$A:$A,$J537,'alb Note 5.1 -PP&amp;E - CY'!$C:$C)</f>
        <v>0</v>
      </c>
      <c r="L537" s="251">
        <f>SUMIF('alb Note 5.1 -PP&amp;E - CY'!$A:$A,$J537,'alb Note 5.1 -PP&amp;E - CY'!$N:$N)</f>
        <v>0</v>
      </c>
      <c r="M537" s="10"/>
      <c r="N537" s="273">
        <f t="shared" si="293"/>
        <v>0</v>
      </c>
      <c r="O537" s="12"/>
      <c r="P537" s="12"/>
      <c r="Q537" s="12"/>
      <c r="R537" s="12"/>
      <c r="S537" s="6">
        <f t="shared" si="273"/>
        <v>0</v>
      </c>
      <c r="T537" s="273">
        <f t="shared" si="294"/>
        <v>0</v>
      </c>
      <c r="U537" s="6">
        <f t="shared" si="295"/>
        <v>0</v>
      </c>
      <c r="V537" s="6"/>
      <c r="W537" s="6">
        <f t="shared" si="291"/>
        <v>0</v>
      </c>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X537" s="6"/>
      <c r="AY537" s="6">
        <f>ROUND(AX537/1000/Update!$B$31*Update!$B$27,0)</f>
        <v>0</v>
      </c>
      <c r="BA537" s="6"/>
      <c r="BB537" s="6">
        <f>ROUND(BA537/1000/Update!$B$31,0)</f>
        <v>0</v>
      </c>
      <c r="BC537" s="6"/>
      <c r="BD537" s="29">
        <f t="shared" si="286"/>
        <v>0</v>
      </c>
      <c r="BE537" s="322"/>
      <c r="BF537" s="322"/>
      <c r="BG537" s="322"/>
      <c r="BH537" s="322"/>
      <c r="BI537" s="322"/>
      <c r="BJ537" s="322"/>
      <c r="BK537" s="29">
        <f t="shared" si="266"/>
        <v>0</v>
      </c>
      <c r="BL537" s="322"/>
      <c r="BM537" s="322"/>
      <c r="BN537" s="322"/>
      <c r="BO537" s="322"/>
      <c r="BP537" s="322"/>
      <c r="BQ537" s="322"/>
      <c r="BR537" s="322"/>
      <c r="BS537" s="322"/>
      <c r="BT537" s="322"/>
      <c r="BU537" s="322"/>
      <c r="BV537" s="322"/>
      <c r="BW537" s="322"/>
      <c r="BX537" s="322"/>
      <c r="BY537" s="322"/>
      <c r="BZ537" s="322"/>
      <c r="CA537" s="322"/>
      <c r="CB537" s="322"/>
      <c r="CC537" s="322"/>
      <c r="CD537" s="322"/>
      <c r="CE537" s="322"/>
      <c r="CF537" s="322"/>
      <c r="CG537" s="322"/>
      <c r="CH537" s="322"/>
      <c r="CI537" s="322"/>
      <c r="CM537" s="1139">
        <v>0</v>
      </c>
      <c r="CN537" s="1139">
        <v>0</v>
      </c>
      <c r="CP537" s="923">
        <f t="shared" si="283"/>
        <v>0</v>
      </c>
      <c r="CZ537" s="330"/>
    </row>
    <row r="538" spans="1:104" ht="15" customHeight="1" x14ac:dyDescent="0.25">
      <c r="A538" s="684">
        <f>MAX($A$6:A537)+1</f>
        <v>538</v>
      </c>
      <c r="B538" s="3">
        <f t="shared" si="282"/>
        <v>5.0999999999999996</v>
      </c>
      <c r="C538" s="11" t="str">
        <f t="shared" si="265"/>
        <v>Consolidated property, plant and equipment 2025-26</v>
      </c>
      <c r="D538" s="11" t="str">
        <f t="shared" si="296"/>
        <v>Buildings</v>
      </c>
      <c r="E538" s="7" t="s">
        <v>186</v>
      </c>
      <c r="F538" s="15"/>
      <c r="G538" s="1254" t="s">
        <v>186</v>
      </c>
      <c r="H538" s="6">
        <v>0</v>
      </c>
      <c r="I538" s="6">
        <v>0</v>
      </c>
      <c r="J538" s="1257" t="s">
        <v>186</v>
      </c>
      <c r="K538" s="251">
        <f>SUMIF('alb Note 5.1 -PP&amp;E - CY'!$A:$A,$J538,'alb Note 5.1 -PP&amp;E - CY'!$C:$C)</f>
        <v>0</v>
      </c>
      <c r="L538" s="251">
        <f>SUMIF('alb Note 5.1 -PP&amp;E - CY'!$A:$A,$J538,'alb Note 5.1 -PP&amp;E - CY'!$N:$N)</f>
        <v>0</v>
      </c>
      <c r="M538" s="10"/>
      <c r="N538" s="273">
        <f t="shared" si="293"/>
        <v>0</v>
      </c>
      <c r="O538" s="12"/>
      <c r="P538" s="12"/>
      <c r="Q538" s="12"/>
      <c r="R538" s="12"/>
      <c r="S538" s="6">
        <f t="shared" si="273"/>
        <v>0</v>
      </c>
      <c r="T538" s="273">
        <f t="shared" si="294"/>
        <v>0</v>
      </c>
      <c r="U538" s="6">
        <f t="shared" si="295"/>
        <v>0</v>
      </c>
      <c r="V538" s="6"/>
      <c r="W538" s="6">
        <f t="shared" si="291"/>
        <v>0</v>
      </c>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X538" s="6"/>
      <c r="AY538" s="6">
        <f>ROUND(AX538/1000/Update!$B$31*Update!$B$27,0)</f>
        <v>0</v>
      </c>
      <c r="BA538" s="6"/>
      <c r="BB538" s="6">
        <f>ROUND(BA538/1000/Update!$B$31,0)</f>
        <v>0</v>
      </c>
      <c r="BC538" s="6"/>
      <c r="BD538" s="29">
        <f t="shared" si="286"/>
        <v>0</v>
      </c>
      <c r="BE538" s="322"/>
      <c r="BF538" s="322"/>
      <c r="BG538" s="322"/>
      <c r="BH538" s="322"/>
      <c r="BI538" s="322"/>
      <c r="BJ538" s="322"/>
      <c r="BK538" s="29">
        <f t="shared" si="266"/>
        <v>0</v>
      </c>
      <c r="BL538" s="322"/>
      <c r="BM538" s="322"/>
      <c r="BN538" s="322"/>
      <c r="BO538" s="322"/>
      <c r="BP538" s="322"/>
      <c r="BQ538" s="322"/>
      <c r="BR538" s="322"/>
      <c r="BS538" s="322"/>
      <c r="BT538" s="322"/>
      <c r="BU538" s="322"/>
      <c r="BV538" s="322"/>
      <c r="BW538" s="322"/>
      <c r="BX538" s="322"/>
      <c r="BY538" s="322"/>
      <c r="BZ538" s="322"/>
      <c r="CA538" s="322"/>
      <c r="CB538" s="322"/>
      <c r="CC538" s="322"/>
      <c r="CD538" s="322"/>
      <c r="CE538" s="322"/>
      <c r="CF538" s="322"/>
      <c r="CG538" s="322"/>
      <c r="CH538" s="322"/>
      <c r="CI538" s="322"/>
      <c r="CM538" s="1139">
        <v>0</v>
      </c>
      <c r="CN538" s="1139">
        <v>0</v>
      </c>
      <c r="CP538" s="923">
        <f t="shared" si="283"/>
        <v>0</v>
      </c>
      <c r="CZ538" s="330"/>
    </row>
    <row r="539" spans="1:104" ht="30" customHeight="1" x14ac:dyDescent="0.25">
      <c r="A539" s="684">
        <f>MAX($A$6:A538)+1</f>
        <v>539</v>
      </c>
      <c r="B539" s="3">
        <f t="shared" si="282"/>
        <v>5.0999999999999996</v>
      </c>
      <c r="C539" s="11" t="str">
        <f t="shared" si="265"/>
        <v>Consolidated property, plant and equipment 2025-26</v>
      </c>
      <c r="D539" s="11" t="str">
        <f t="shared" si="296"/>
        <v>Buildings</v>
      </c>
      <c r="E539" s="7" t="s">
        <v>192</v>
      </c>
      <c r="F539" s="15"/>
      <c r="G539" s="1254" t="s">
        <v>438</v>
      </c>
      <c r="H539" s="6">
        <v>0</v>
      </c>
      <c r="I539" s="6">
        <v>0</v>
      </c>
      <c r="J539" s="1257" t="s">
        <v>768</v>
      </c>
      <c r="K539" s="251">
        <f>SUMIF('alb Note 5.1 -PP&amp;E - CY'!$A:$A,$J539,'alb Note 5.1 -PP&amp;E - CY'!$C:$C)</f>
        <v>0</v>
      </c>
      <c r="L539" s="251">
        <f>SUMIF('alb Note 5.1 -PP&amp;E - CY'!$A:$A,$J539,'alb Note 5.1 -PP&amp;E - CY'!$N:$N)</f>
        <v>0</v>
      </c>
      <c r="M539" s="10"/>
      <c r="N539" s="273">
        <f t="shared" si="293"/>
        <v>0</v>
      </c>
      <c r="O539" s="12"/>
      <c r="P539" s="12"/>
      <c r="Q539" s="12"/>
      <c r="R539" s="12"/>
      <c r="S539" s="6">
        <f t="shared" si="273"/>
        <v>0</v>
      </c>
      <c r="T539" s="273">
        <f t="shared" si="294"/>
        <v>0</v>
      </c>
      <c r="U539" s="6">
        <f t="shared" si="295"/>
        <v>0</v>
      </c>
      <c r="V539" s="6"/>
      <c r="W539" s="6">
        <f t="shared" si="291"/>
        <v>0</v>
      </c>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X539" s="6"/>
      <c r="AY539" s="6">
        <f>ROUND(AX539/1000/Update!$B$31*Update!$B$27,0)</f>
        <v>0</v>
      </c>
      <c r="BA539" s="6"/>
      <c r="BB539" s="6">
        <f>ROUND(BA539/1000/Update!$B$31,0)</f>
        <v>0</v>
      </c>
      <c r="BC539" s="6"/>
      <c r="BD539" s="29">
        <f t="shared" si="286"/>
        <v>0</v>
      </c>
      <c r="BE539" s="322"/>
      <c r="BF539" s="322"/>
      <c r="BG539" s="322"/>
      <c r="BH539" s="322"/>
      <c r="BI539" s="322"/>
      <c r="BJ539" s="322"/>
      <c r="BK539" s="29">
        <f t="shared" si="266"/>
        <v>0</v>
      </c>
      <c r="BL539" s="322"/>
      <c r="BM539" s="322"/>
      <c r="BN539" s="322"/>
      <c r="BO539" s="322"/>
      <c r="BP539" s="322"/>
      <c r="BQ539" s="322"/>
      <c r="BR539" s="322"/>
      <c r="BS539" s="322"/>
      <c r="BT539" s="322"/>
      <c r="BU539" s="322"/>
      <c r="BV539" s="322"/>
      <c r="BW539" s="322"/>
      <c r="BX539" s="322"/>
      <c r="BY539" s="322"/>
      <c r="BZ539" s="322"/>
      <c r="CA539" s="322"/>
      <c r="CB539" s="322"/>
      <c r="CC539" s="322"/>
      <c r="CD539" s="322"/>
      <c r="CE539" s="322"/>
      <c r="CF539" s="322"/>
      <c r="CG539" s="322"/>
      <c r="CH539" s="322"/>
      <c r="CI539" s="322"/>
      <c r="CM539" s="1139">
        <v>0</v>
      </c>
      <c r="CN539" s="1139">
        <v>0</v>
      </c>
      <c r="CP539" s="923">
        <f t="shared" si="283"/>
        <v>0</v>
      </c>
      <c r="CZ539" s="330"/>
    </row>
    <row r="540" spans="1:104" ht="51" customHeight="1" x14ac:dyDescent="0.25">
      <c r="A540" s="684">
        <f>MAX($A$6:A539)+1</f>
        <v>540</v>
      </c>
      <c r="B540" s="3">
        <f t="shared" si="282"/>
        <v>5.0999999999999996</v>
      </c>
      <c r="C540" s="11" t="str">
        <f t="shared" si="265"/>
        <v>Consolidated property, plant and equipment 2025-26</v>
      </c>
      <c r="D540" s="11" t="str">
        <f t="shared" si="296"/>
        <v>Buildings</v>
      </c>
      <c r="E540" s="7" t="s">
        <v>193</v>
      </c>
      <c r="F540" s="15"/>
      <c r="G540" s="1254" t="s">
        <v>193</v>
      </c>
      <c r="H540" s="6">
        <v>0</v>
      </c>
      <c r="I540" s="6">
        <v>0</v>
      </c>
      <c r="J540" s="1257" t="s">
        <v>767</v>
      </c>
      <c r="K540" s="251">
        <f>SUMIF('alb Note 5.1 -PP&amp;E - CY'!$A:$A,$J540,'alb Note 5.1 -PP&amp;E - CY'!$C:$C)</f>
        <v>0</v>
      </c>
      <c r="L540" s="251">
        <f>SUMIF('alb Note 5.1 -PP&amp;E - CY'!$A:$A,$J540,'alb Note 5.1 -PP&amp;E - CY'!$N:$N)</f>
        <v>0</v>
      </c>
      <c r="M540" s="10"/>
      <c r="N540" s="273">
        <f t="shared" si="293"/>
        <v>0</v>
      </c>
      <c r="O540" s="12"/>
      <c r="P540" s="12"/>
      <c r="Q540" s="12"/>
      <c r="R540" s="12"/>
      <c r="S540" s="6">
        <f t="shared" si="273"/>
        <v>0</v>
      </c>
      <c r="T540" s="273">
        <f t="shared" si="294"/>
        <v>0</v>
      </c>
      <c r="U540" s="6">
        <f t="shared" si="295"/>
        <v>0</v>
      </c>
      <c r="V540" s="6"/>
      <c r="W540" s="6">
        <f t="shared" si="291"/>
        <v>0</v>
      </c>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X540" s="6"/>
      <c r="AY540" s="6">
        <f>ROUND(AX540/1000/Update!$B$31*Update!$B$27,0)</f>
        <v>0</v>
      </c>
      <c r="BA540" s="6"/>
      <c r="BB540" s="6">
        <f>ROUND(BA540/1000/Update!$B$31,0)</f>
        <v>0</v>
      </c>
      <c r="BC540" s="6"/>
      <c r="BD540" s="29">
        <f t="shared" si="286"/>
        <v>0</v>
      </c>
      <c r="BE540" s="322"/>
      <c r="BF540" s="322"/>
      <c r="BG540" s="322"/>
      <c r="BH540" s="322"/>
      <c r="BI540" s="322"/>
      <c r="BJ540" s="322"/>
      <c r="BK540" s="29">
        <f t="shared" si="266"/>
        <v>0</v>
      </c>
      <c r="BL540" s="322"/>
      <c r="BM540" s="322"/>
      <c r="BN540" s="322"/>
      <c r="BO540" s="322"/>
      <c r="BP540" s="322"/>
      <c r="BQ540" s="322"/>
      <c r="BR540" s="322"/>
      <c r="BS540" s="322"/>
      <c r="BT540" s="322"/>
      <c r="BU540" s="322"/>
      <c r="BV540" s="322"/>
      <c r="BW540" s="322"/>
      <c r="BX540" s="322"/>
      <c r="BY540" s="322"/>
      <c r="BZ540" s="322"/>
      <c r="CA540" s="322"/>
      <c r="CB540" s="322"/>
      <c r="CC540" s="322"/>
      <c r="CD540" s="322"/>
      <c r="CE540" s="322"/>
      <c r="CF540" s="322"/>
      <c r="CG540" s="322"/>
      <c r="CH540" s="322"/>
      <c r="CI540" s="322"/>
      <c r="CM540" s="1139">
        <v>0</v>
      </c>
      <c r="CN540" s="1139">
        <v>0</v>
      </c>
      <c r="CP540" s="923">
        <f t="shared" si="283"/>
        <v>0</v>
      </c>
      <c r="CZ540" s="330"/>
    </row>
    <row r="541" spans="1:104" ht="15" customHeight="1" x14ac:dyDescent="0.25">
      <c r="A541" s="684">
        <f>MAX($A$6:A540)+1</f>
        <v>541</v>
      </c>
      <c r="B541" s="3">
        <f t="shared" si="282"/>
        <v>5.0999999999999996</v>
      </c>
      <c r="C541" s="11" t="str">
        <f t="shared" si="265"/>
        <v>Consolidated property, plant and equipment 2025-26</v>
      </c>
      <c r="D541" s="11" t="str">
        <f>D540</f>
        <v>Buildings</v>
      </c>
      <c r="E541" s="7" t="s">
        <v>810</v>
      </c>
      <c r="F541" s="15"/>
      <c r="G541" s="1254"/>
      <c r="H541" s="6">
        <v>0</v>
      </c>
      <c r="I541" s="6">
        <v>0</v>
      </c>
      <c r="J541" s="1257" t="s">
        <v>810</v>
      </c>
      <c r="K541" s="251">
        <f>SUMIF('alb Note 5.1 -PP&amp;E - CY'!$A:$A,$J541,'alb Note 5.1 -PP&amp;E - CY'!$C:$C)</f>
        <v>0</v>
      </c>
      <c r="L541" s="251">
        <f>SUMIF('alb Note 5.1 -PP&amp;E - CY'!$A:$A,$J541,'alb Note 5.1 -PP&amp;E - CY'!$N:$N)</f>
        <v>0</v>
      </c>
      <c r="M541" s="10"/>
      <c r="N541" s="273">
        <f t="shared" si="293"/>
        <v>0</v>
      </c>
      <c r="O541" s="12"/>
      <c r="P541" s="12"/>
      <c r="Q541" s="12"/>
      <c r="R541" s="12"/>
      <c r="S541" s="6">
        <f t="shared" si="273"/>
        <v>0</v>
      </c>
      <c r="T541" s="273">
        <f t="shared" si="294"/>
        <v>0</v>
      </c>
      <c r="U541" s="6">
        <f t="shared" si="295"/>
        <v>0</v>
      </c>
      <c r="V541" s="6"/>
      <c r="W541" s="6">
        <f t="shared" si="291"/>
        <v>0</v>
      </c>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X541" s="6"/>
      <c r="AY541" s="6">
        <f>ROUND(AX541/1000/Update!$B$31*Update!$B$27,0)</f>
        <v>0</v>
      </c>
      <c r="BA541" s="6"/>
      <c r="BB541" s="6">
        <f>ROUND(BA541/1000/Update!$B$31,0)</f>
        <v>0</v>
      </c>
      <c r="BC541" s="6"/>
      <c r="BD541" s="29">
        <f t="shared" si="286"/>
        <v>0</v>
      </c>
      <c r="BE541" s="322"/>
      <c r="BF541" s="322"/>
      <c r="BG541" s="322"/>
      <c r="BH541" s="322"/>
      <c r="BI541" s="322"/>
      <c r="BJ541" s="322"/>
      <c r="BK541" s="29">
        <f t="shared" si="266"/>
        <v>0</v>
      </c>
      <c r="BL541" s="322"/>
      <c r="BM541" s="322"/>
      <c r="BN541" s="322"/>
      <c r="BO541" s="322"/>
      <c r="BP541" s="322"/>
      <c r="BQ541" s="322"/>
      <c r="BR541" s="322"/>
      <c r="BS541" s="322"/>
      <c r="BT541" s="322"/>
      <c r="BU541" s="322"/>
      <c r="BV541" s="322"/>
      <c r="BW541" s="322"/>
      <c r="BX541" s="322"/>
      <c r="BY541" s="322"/>
      <c r="BZ541" s="322"/>
      <c r="CA541" s="322"/>
      <c r="CB541" s="322"/>
      <c r="CC541" s="322"/>
      <c r="CD541" s="322"/>
      <c r="CE541" s="322"/>
      <c r="CF541" s="322"/>
      <c r="CG541" s="322"/>
      <c r="CH541" s="322"/>
      <c r="CI541" s="322"/>
      <c r="CM541" s="1139">
        <v>0</v>
      </c>
      <c r="CN541" s="1139">
        <v>0</v>
      </c>
      <c r="CP541" s="923">
        <f t="shared" si="283"/>
        <v>0</v>
      </c>
      <c r="CZ541" s="330"/>
    </row>
    <row r="542" spans="1:104" ht="15" customHeight="1" x14ac:dyDescent="0.25">
      <c r="A542" s="684">
        <f>MAX($A$6:A541)+1</f>
        <v>542</v>
      </c>
      <c r="B542" s="3">
        <f>B540</f>
        <v>5.0999999999999996</v>
      </c>
      <c r="C542" s="11" t="str">
        <f>C540</f>
        <v>Consolidated property, plant and equipment 2025-26</v>
      </c>
      <c r="D542" s="11" t="str">
        <f>D540</f>
        <v>Buildings</v>
      </c>
      <c r="E542" s="7" t="s">
        <v>187</v>
      </c>
      <c r="F542" s="15"/>
      <c r="G542" s="1254" t="s">
        <v>187</v>
      </c>
      <c r="H542" s="6">
        <v>0</v>
      </c>
      <c r="I542" s="6">
        <v>0</v>
      </c>
      <c r="J542" s="1257" t="s">
        <v>187</v>
      </c>
      <c r="K542" s="251">
        <f>SUMIF('alb Note 5.1 -PP&amp;E - CY'!$A:$A,$J542,'alb Note 5.1 -PP&amp;E - CY'!$C:$C)</f>
        <v>0</v>
      </c>
      <c r="L542" s="251">
        <f>SUMIF('alb Note 5.1 -PP&amp;E - CY'!$A:$A,$J542,'alb Note 5.1 -PP&amp;E - CY'!$N:$N)</f>
        <v>0</v>
      </c>
      <c r="M542" s="10"/>
      <c r="N542" s="273">
        <f t="shared" si="293"/>
        <v>0</v>
      </c>
      <c r="O542" s="12"/>
      <c r="P542" s="12"/>
      <c r="Q542" s="12"/>
      <c r="R542" s="12"/>
      <c r="S542" s="6">
        <f t="shared" si="273"/>
        <v>0</v>
      </c>
      <c r="T542" s="273">
        <f t="shared" si="294"/>
        <v>0</v>
      </c>
      <c r="U542" s="6">
        <f t="shared" si="295"/>
        <v>0</v>
      </c>
      <c r="V542" s="6"/>
      <c r="W542" s="6">
        <f t="shared" si="291"/>
        <v>0</v>
      </c>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X542" s="6"/>
      <c r="AY542" s="6">
        <f>ROUND(AX542/1000/Update!$B$31*Update!$B$27,0)</f>
        <v>0</v>
      </c>
      <c r="BA542" s="6"/>
      <c r="BB542" s="6">
        <f>ROUND(BA542/1000/Update!$B$31,0)</f>
        <v>0</v>
      </c>
      <c r="BC542" s="6"/>
      <c r="BD542" s="29">
        <f t="shared" si="286"/>
        <v>0</v>
      </c>
      <c r="BE542" s="322"/>
      <c r="BF542" s="322"/>
      <c r="BG542" s="322"/>
      <c r="BH542" s="322"/>
      <c r="BI542" s="322"/>
      <c r="BJ542" s="322"/>
      <c r="BK542" s="29">
        <f t="shared" si="266"/>
        <v>0</v>
      </c>
      <c r="BL542" s="322"/>
      <c r="BM542" s="322"/>
      <c r="BN542" s="322"/>
      <c r="BO542" s="322"/>
      <c r="BP542" s="322"/>
      <c r="BQ542" s="322"/>
      <c r="BR542" s="322"/>
      <c r="BS542" s="322"/>
      <c r="BT542" s="322"/>
      <c r="BU542" s="322"/>
      <c r="BV542" s="322"/>
      <c r="BW542" s="322"/>
      <c r="BX542" s="322"/>
      <c r="BY542" s="322"/>
      <c r="BZ542" s="322"/>
      <c r="CA542" s="322"/>
      <c r="CB542" s="322"/>
      <c r="CC542" s="322"/>
      <c r="CD542" s="322"/>
      <c r="CE542" s="322"/>
      <c r="CF542" s="322"/>
      <c r="CG542" s="322"/>
      <c r="CH542" s="322"/>
      <c r="CI542" s="322"/>
      <c r="CM542" s="1139">
        <v>0</v>
      </c>
      <c r="CN542" s="1139">
        <v>0</v>
      </c>
      <c r="CP542" s="923">
        <f t="shared" si="283"/>
        <v>0</v>
      </c>
      <c r="CZ542" s="330"/>
    </row>
    <row r="543" spans="1:104" ht="15" customHeight="1" x14ac:dyDescent="0.25">
      <c r="A543" s="684">
        <f>MAX($A$6:A542)+1</f>
        <v>543</v>
      </c>
      <c r="B543" s="3">
        <f t="shared" si="282"/>
        <v>5.0999999999999996</v>
      </c>
      <c r="C543" s="11" t="str">
        <f t="shared" si="265"/>
        <v>Consolidated property, plant and equipment 2025-26</v>
      </c>
      <c r="D543" s="11" t="str">
        <f t="shared" si="296"/>
        <v>Buildings</v>
      </c>
      <c r="E543" s="7" t="s">
        <v>188</v>
      </c>
      <c r="F543" s="15"/>
      <c r="G543" s="1254" t="s">
        <v>188</v>
      </c>
      <c r="H543" s="6">
        <v>0</v>
      </c>
      <c r="I543" s="6">
        <v>0</v>
      </c>
      <c r="J543" s="1257" t="s">
        <v>188</v>
      </c>
      <c r="K543" s="251">
        <f>SUMIF('alb Note 5.1 -PP&amp;E - CY'!$A:$A,$J543,'alb Note 5.1 -PP&amp;E - CY'!$C:$C)</f>
        <v>0</v>
      </c>
      <c r="L543" s="251">
        <f>SUMIF('alb Note 5.1 -PP&amp;E - CY'!$A:$A,$J543,'alb Note 5.1 -PP&amp;E - CY'!$N:$N)</f>
        <v>0</v>
      </c>
      <c r="M543" s="10"/>
      <c r="N543" s="273">
        <f t="shared" si="293"/>
        <v>0</v>
      </c>
      <c r="O543" s="12"/>
      <c r="P543" s="12"/>
      <c r="Q543" s="12"/>
      <c r="R543" s="12"/>
      <c r="S543" s="6">
        <f t="shared" si="273"/>
        <v>0</v>
      </c>
      <c r="T543" s="273">
        <f t="shared" si="294"/>
        <v>0</v>
      </c>
      <c r="U543" s="6">
        <f t="shared" si="295"/>
        <v>0</v>
      </c>
      <c r="V543" s="6"/>
      <c r="W543" s="6">
        <f t="shared" si="291"/>
        <v>0</v>
      </c>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X543" s="6"/>
      <c r="AY543" s="6">
        <f>ROUND(AX543/1000/Update!$B$31*Update!$B$27,0)</f>
        <v>0</v>
      </c>
      <c r="BA543" s="6"/>
      <c r="BB543" s="6">
        <f>ROUND(BA543/1000/Update!$B$31,0)</f>
        <v>0</v>
      </c>
      <c r="BC543" s="6"/>
      <c r="BD543" s="29">
        <f t="shared" si="286"/>
        <v>0</v>
      </c>
      <c r="BE543" s="322"/>
      <c r="BF543" s="322"/>
      <c r="BG543" s="322"/>
      <c r="BH543" s="322"/>
      <c r="BI543" s="322"/>
      <c r="BJ543" s="322"/>
      <c r="BK543" s="29">
        <f t="shared" si="266"/>
        <v>0</v>
      </c>
      <c r="BL543" s="322"/>
      <c r="BM543" s="322"/>
      <c r="BN543" s="322"/>
      <c r="BO543" s="322"/>
      <c r="BP543" s="322"/>
      <c r="BQ543" s="322"/>
      <c r="BR543" s="322"/>
      <c r="BS543" s="322"/>
      <c r="BT543" s="322"/>
      <c r="BU543" s="322"/>
      <c r="BV543" s="322"/>
      <c r="BW543" s="322"/>
      <c r="BX543" s="322"/>
      <c r="BY543" s="322"/>
      <c r="BZ543" s="322"/>
      <c r="CA543" s="322"/>
      <c r="CB543" s="322"/>
      <c r="CC543" s="322"/>
      <c r="CD543" s="322"/>
      <c r="CE543" s="322"/>
      <c r="CF543" s="322"/>
      <c r="CG543" s="322"/>
      <c r="CH543" s="322"/>
      <c r="CI543" s="322"/>
      <c r="CM543" s="1139">
        <v>0</v>
      </c>
      <c r="CN543" s="1139">
        <v>0</v>
      </c>
      <c r="CP543" s="923">
        <f t="shared" si="283"/>
        <v>0</v>
      </c>
      <c r="CZ543" s="330"/>
    </row>
    <row r="544" spans="1:104" ht="15" customHeight="1" x14ac:dyDescent="0.25">
      <c r="A544" s="684">
        <f>MAX($A$6:A543)+1</f>
        <v>544</v>
      </c>
      <c r="B544" s="3">
        <f t="shared" si="282"/>
        <v>5.0999999999999996</v>
      </c>
      <c r="C544" s="11" t="str">
        <f t="shared" si="265"/>
        <v>Consolidated property, plant and equipment 2025-26</v>
      </c>
      <c r="D544" s="11" t="str">
        <f t="shared" si="296"/>
        <v>Buildings</v>
      </c>
      <c r="E544" s="7" t="s">
        <v>189</v>
      </c>
      <c r="F544" s="15"/>
      <c r="G544" s="1254" t="s">
        <v>189</v>
      </c>
      <c r="H544" s="6">
        <v>0</v>
      </c>
      <c r="I544" s="6">
        <v>0</v>
      </c>
      <c r="J544" s="1257" t="s">
        <v>557</v>
      </c>
      <c r="K544" s="251">
        <f>SUMIF('alb Note 5.1 -PP&amp;E - CY'!$A:$A,$J544,'alb Note 5.1 -PP&amp;E - CY'!$C:$C)</f>
        <v>0</v>
      </c>
      <c r="L544" s="251">
        <f>SUMIF('alb Note 5.1 -PP&amp;E - CY'!$A:$A,$J544,'alb Note 5.1 -PP&amp;E - CY'!$N:$N)</f>
        <v>0</v>
      </c>
      <c r="M544" s="10"/>
      <c r="N544" s="273">
        <f t="shared" si="293"/>
        <v>0</v>
      </c>
      <c r="O544" s="12"/>
      <c r="P544" s="12"/>
      <c r="Q544" s="12"/>
      <c r="R544" s="12"/>
      <c r="S544" s="6">
        <f t="shared" si="273"/>
        <v>0</v>
      </c>
      <c r="T544" s="273">
        <f t="shared" si="294"/>
        <v>0</v>
      </c>
      <c r="U544" s="6">
        <f t="shared" si="295"/>
        <v>0</v>
      </c>
      <c r="V544" s="6"/>
      <c r="W544" s="6">
        <f t="shared" si="291"/>
        <v>0</v>
      </c>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X544" s="6"/>
      <c r="AY544" s="6">
        <f>ROUND(AX544/1000/Update!$B$31*Update!$B$27,0)</f>
        <v>0</v>
      </c>
      <c r="BA544" s="6"/>
      <c r="BB544" s="6">
        <f>ROUND(BA544/1000/Update!$B$31,0)</f>
        <v>0</v>
      </c>
      <c r="BC544" s="6"/>
      <c r="BD544" s="29">
        <f t="shared" si="286"/>
        <v>0</v>
      </c>
      <c r="BE544" s="322"/>
      <c r="BF544" s="322"/>
      <c r="BG544" s="322"/>
      <c r="BH544" s="322"/>
      <c r="BI544" s="322"/>
      <c r="BJ544" s="322"/>
      <c r="BK544" s="29">
        <f t="shared" si="266"/>
        <v>0</v>
      </c>
      <c r="BL544" s="322"/>
      <c r="BM544" s="322"/>
      <c r="BN544" s="322"/>
      <c r="BO544" s="322"/>
      <c r="BP544" s="322"/>
      <c r="BQ544" s="322"/>
      <c r="BR544" s="322"/>
      <c r="BS544" s="322"/>
      <c r="BT544" s="322"/>
      <c r="BU544" s="322"/>
      <c r="BV544" s="322"/>
      <c r="BW544" s="322"/>
      <c r="BX544" s="322"/>
      <c r="BY544" s="322"/>
      <c r="BZ544" s="322"/>
      <c r="CA544" s="322"/>
      <c r="CB544" s="322"/>
      <c r="CC544" s="322"/>
      <c r="CD544" s="322"/>
      <c r="CE544" s="322"/>
      <c r="CF544" s="322"/>
      <c r="CG544" s="322"/>
      <c r="CH544" s="322"/>
      <c r="CI544" s="322"/>
      <c r="CM544" s="1139">
        <v>0</v>
      </c>
      <c r="CN544" s="1139">
        <v>0</v>
      </c>
      <c r="CP544" s="923">
        <f t="shared" si="283"/>
        <v>0</v>
      </c>
      <c r="CZ544" s="330"/>
    </row>
    <row r="545" spans="1:104" ht="15" customHeight="1" x14ac:dyDescent="0.25">
      <c r="A545" s="701">
        <f>MAX($A$6:A544)+1</f>
        <v>545</v>
      </c>
      <c r="B545" s="1291">
        <f t="shared" si="282"/>
        <v>5.0999999999999996</v>
      </c>
      <c r="C545" s="18" t="str">
        <f t="shared" si="265"/>
        <v>Consolidated property, plant and equipment 2025-26</v>
      </c>
      <c r="D545" s="18" t="str">
        <f t="shared" si="296"/>
        <v>Buildings</v>
      </c>
      <c r="E545" s="19" t="str">
        <f>"At"&amp;Update!$B$22</f>
        <v>At 31 March 2026</v>
      </c>
      <c r="F545" s="20"/>
      <c r="G545" s="28"/>
      <c r="H545" s="14">
        <f>SUM(H535:H544)+H534</f>
        <v>3810</v>
      </c>
      <c r="I545" s="14">
        <f>SUM(I535:I544)+I534</f>
        <v>0</v>
      </c>
      <c r="J545" s="1258" t="s">
        <v>2492</v>
      </c>
      <c r="K545" s="256">
        <f>SUM(K535:K544)+K534</f>
        <v>0</v>
      </c>
      <c r="L545" s="256">
        <f>SUM(L535:L544)+L534</f>
        <v>0</v>
      </c>
      <c r="M545" s="21"/>
      <c r="N545" s="14">
        <f>ROUND(SUM(O545:S545)+T545+SUM(Z545:AV545),0)</f>
        <v>3810</v>
      </c>
      <c r="O545" s="14">
        <f>SUM(O534:O544)</f>
        <v>0</v>
      </c>
      <c r="P545" s="14">
        <f>SUM(P534:P544)</f>
        <v>0</v>
      </c>
      <c r="Q545" s="14">
        <f>SUM(Q534:Q544)</f>
        <v>0</v>
      </c>
      <c r="R545" s="14">
        <f>SUM(R534:R544)</f>
        <v>0</v>
      </c>
      <c r="S545" s="14">
        <f t="shared" si="273"/>
        <v>0</v>
      </c>
      <c r="T545" s="14">
        <f t="shared" si="294"/>
        <v>3810</v>
      </c>
      <c r="U545" s="14">
        <f>SUM(U534:U544)</f>
        <v>0</v>
      </c>
      <c r="V545" s="14">
        <f>SUM(V534:V544)</f>
        <v>0</v>
      </c>
      <c r="W545" s="14">
        <f>SUM(W534:W544)</f>
        <v>3810</v>
      </c>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2"/>
      <c r="AX545" s="14">
        <f>SUM(AX534:AX544)</f>
        <v>0</v>
      </c>
      <c r="AY545" s="14">
        <f>ROUND(AX545/1000/Update!$B$31*Update!$B$27,0)</f>
        <v>0</v>
      </c>
      <c r="AZ545" s="2"/>
      <c r="BA545" s="14">
        <f>SUM(BA534:BA544)</f>
        <v>0</v>
      </c>
      <c r="BB545" s="14">
        <f>ROUND(BA545/1000/Update!$B$31,0)</f>
        <v>0</v>
      </c>
      <c r="BC545" s="14"/>
      <c r="BD545" s="14">
        <f t="shared" si="286"/>
        <v>0</v>
      </c>
      <c r="BE545" s="14">
        <f t="shared" ref="BE545:BJ545" si="297">SUM(BE534:BE544)</f>
        <v>0</v>
      </c>
      <c r="BF545" s="14">
        <f t="shared" si="297"/>
        <v>0</v>
      </c>
      <c r="BG545" s="14">
        <f t="shared" si="297"/>
        <v>0</v>
      </c>
      <c r="BH545" s="14">
        <f t="shared" si="297"/>
        <v>0</v>
      </c>
      <c r="BI545" s="14">
        <f t="shared" si="297"/>
        <v>0</v>
      </c>
      <c r="BJ545" s="14">
        <f t="shared" si="297"/>
        <v>0</v>
      </c>
      <c r="BK545" s="14">
        <f t="shared" si="266"/>
        <v>0</v>
      </c>
      <c r="BL545" s="14"/>
      <c r="BM545" s="14"/>
      <c r="BN545" s="14"/>
      <c r="BO545" s="14"/>
      <c r="BP545" s="14"/>
      <c r="BQ545" s="14"/>
      <c r="BR545" s="14"/>
      <c r="BS545" s="14"/>
      <c r="BT545" s="324"/>
      <c r="BU545" s="14"/>
      <c r="BV545" s="14"/>
      <c r="BW545" s="14"/>
      <c r="BX545" s="14"/>
      <c r="BY545" s="14"/>
      <c r="BZ545" s="14"/>
      <c r="CA545" s="14"/>
      <c r="CB545" s="14"/>
      <c r="CC545" s="14"/>
      <c r="CD545" s="14"/>
      <c r="CE545" s="14"/>
      <c r="CF545" s="14"/>
      <c r="CG545" s="14"/>
      <c r="CH545" s="14"/>
      <c r="CI545" s="14"/>
      <c r="CJ545" s="2"/>
      <c r="CK545" s="2"/>
      <c r="CM545" s="1450">
        <v>0</v>
      </c>
      <c r="CN545" s="1450">
        <v>0</v>
      </c>
      <c r="CP545" s="923">
        <f t="shared" si="283"/>
        <v>0</v>
      </c>
      <c r="CZ545" s="330"/>
    </row>
    <row r="546" spans="1:104" ht="18.75" customHeight="1" x14ac:dyDescent="0.25">
      <c r="A546" s="684">
        <f>MAX($A$6:A545)+1</f>
        <v>546</v>
      </c>
      <c r="B546" s="3">
        <f t="shared" si="282"/>
        <v>5.0999999999999996</v>
      </c>
      <c r="C546" s="11" t="str">
        <f t="shared" si="265"/>
        <v>Consolidated property, plant and equipment 2025-26</v>
      </c>
      <c r="D546" s="11" t="str">
        <f t="shared" si="296"/>
        <v>Buildings</v>
      </c>
      <c r="E546" s="277" t="s">
        <v>160</v>
      </c>
      <c r="F546" s="15"/>
      <c r="G546" s="26"/>
      <c r="H546" s="6">
        <v>0</v>
      </c>
      <c r="I546" s="6">
        <v>0</v>
      </c>
      <c r="J546" s="1257" t="s">
        <v>286</v>
      </c>
      <c r="K546" s="251">
        <f>SUMIF('alb Note 5.1 -PP&amp;E - CY'!$A:$A,$J546,'alb Note 5.1 -PP&amp;E - CY'!$C:$C)</f>
        <v>0</v>
      </c>
      <c r="L546" s="251">
        <f>SUMIF('alb Note 5.1 -PP&amp;E - CY'!$A:$A,$J546,'alb Note 5.1 -PP&amp;E - CY'!$N:$N)</f>
        <v>0</v>
      </c>
      <c r="M546" s="10"/>
      <c r="N546" s="273">
        <f>ROUND(SUM(O546:S546)+SUM(W546:AV546),0)</f>
        <v>0</v>
      </c>
      <c r="O546" s="12"/>
      <c r="P546" s="12"/>
      <c r="Q546" s="12"/>
      <c r="R546" s="12"/>
      <c r="S546" s="6">
        <f t="shared" si="273"/>
        <v>0</v>
      </c>
      <c r="T546" s="273">
        <f t="shared" si="294"/>
        <v>0</v>
      </c>
      <c r="U546" s="6">
        <f>SUM(BL546:BN546)</f>
        <v>0</v>
      </c>
      <c r="V546" s="6"/>
      <c r="W546" s="6">
        <v>0</v>
      </c>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X546" s="6"/>
      <c r="AY546" s="6">
        <f>ROUND(AX546/1000/Update!$B$31*Update!$B$27,0)</f>
        <v>0</v>
      </c>
      <c r="BA546" s="6"/>
      <c r="BB546" s="6">
        <f>ROUND(BA546/1000/Update!$B$31,0)</f>
        <v>0</v>
      </c>
      <c r="BC546" s="6"/>
      <c r="BD546" s="29">
        <f t="shared" si="286"/>
        <v>0</v>
      </c>
      <c r="BE546" s="322"/>
      <c r="BF546" s="322"/>
      <c r="BG546" s="322"/>
      <c r="BH546" s="322"/>
      <c r="BI546" s="322"/>
      <c r="BJ546" s="322"/>
      <c r="BK546" s="29">
        <f t="shared" si="266"/>
        <v>0</v>
      </c>
      <c r="BL546" s="322"/>
      <c r="BM546" s="322"/>
      <c r="BN546" s="322"/>
      <c r="BO546" s="322"/>
      <c r="BP546" s="322"/>
      <c r="BQ546" s="322"/>
      <c r="BR546" s="322"/>
      <c r="BS546" s="322"/>
      <c r="BT546" s="322"/>
      <c r="BU546" s="322"/>
      <c r="BV546" s="322"/>
      <c r="BW546" s="322"/>
      <c r="BX546" s="322"/>
      <c r="BY546" s="322"/>
      <c r="BZ546" s="322"/>
      <c r="CA546" s="322"/>
      <c r="CB546" s="322"/>
      <c r="CC546" s="322"/>
      <c r="CD546" s="322"/>
      <c r="CE546" s="322"/>
      <c r="CF546" s="322"/>
      <c r="CG546" s="322"/>
      <c r="CH546" s="322"/>
      <c r="CI546" s="322"/>
      <c r="CM546" s="1139">
        <v>0</v>
      </c>
      <c r="CN546" s="1139">
        <v>0</v>
      </c>
      <c r="CP546" s="923">
        <f t="shared" si="283"/>
        <v>0</v>
      </c>
      <c r="CZ546" s="330"/>
    </row>
    <row r="547" spans="1:104" ht="15" customHeight="1" x14ac:dyDescent="0.25">
      <c r="A547" s="684">
        <f>MAX($A$6:A546)+1</f>
        <v>547</v>
      </c>
      <c r="B547" s="3">
        <f t="shared" si="282"/>
        <v>5.0999999999999996</v>
      </c>
      <c r="C547" s="11" t="str">
        <f t="shared" si="265"/>
        <v>Consolidated property, plant and equipment 2025-26</v>
      </c>
      <c r="D547" s="11" t="str">
        <f t="shared" si="296"/>
        <v>Buildings</v>
      </c>
      <c r="E547" s="7" t="str">
        <f>"At"&amp;Update!$B$20&amp;" "</f>
        <v xml:space="preserve">At 1 April 2025 </v>
      </c>
      <c r="F547" s="15"/>
      <c r="G547" s="1267" t="str">
        <f>"At"&amp;Update!$B$20</f>
        <v>At 1 April 2025</v>
      </c>
      <c r="H547" s="6">
        <v>481</v>
      </c>
      <c r="I547" s="6">
        <v>0</v>
      </c>
      <c r="J547" s="1257" t="str">
        <f>$E547</f>
        <v xml:space="preserve">At 1 April 2025 </v>
      </c>
      <c r="K547" s="251">
        <f>SUMIF('alb Note 5.1 -PP&amp;E - CY'!$A:$A,$J547,'alb Note 5.1 -PP&amp;E - CY'!$C:$C)</f>
        <v>0</v>
      </c>
      <c r="L547" s="251">
        <f>SUMIF('alb Note 5.1 -PP&amp;E - CY'!$A:$A,$J547,'alb Note 5.1 -PP&amp;E - CY'!$N:$N)</f>
        <v>0</v>
      </c>
      <c r="M547" s="10"/>
      <c r="N547" s="273">
        <f>ROUND(SUM(O547:S547)+SUM(W547:AV547),0)</f>
        <v>481</v>
      </c>
      <c r="O547" s="12"/>
      <c r="P547" s="12"/>
      <c r="Q547" s="12"/>
      <c r="R547" s="12"/>
      <c r="S547" s="6">
        <f t="shared" si="273"/>
        <v>0</v>
      </c>
      <c r="T547" s="273">
        <f t="shared" si="294"/>
        <v>481</v>
      </c>
      <c r="U547" s="6">
        <f>SUM(BL547:BN547)</f>
        <v>0</v>
      </c>
      <c r="V547" s="6"/>
      <c r="W547" s="6">
        <f t="shared" ref="W547:W558" si="298">+H547</f>
        <v>481</v>
      </c>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X547" s="6"/>
      <c r="AY547" s="6">
        <f>ROUND(AX547/1000/Update!$B$31*Update!$B$27,0)</f>
        <v>0</v>
      </c>
      <c r="BA547" s="6"/>
      <c r="BB547" s="6">
        <f>ROUND(BA547/1000/Update!$B$31,0)</f>
        <v>0</v>
      </c>
      <c r="BC547" s="6"/>
      <c r="BD547" s="29">
        <f t="shared" si="286"/>
        <v>0</v>
      </c>
      <c r="BE547" s="322"/>
      <c r="BF547" s="322"/>
      <c r="BG547" s="322"/>
      <c r="BH547" s="322"/>
      <c r="BI547" s="322"/>
      <c r="BJ547" s="322"/>
      <c r="BK547" s="29">
        <f t="shared" si="266"/>
        <v>0</v>
      </c>
      <c r="BL547" s="322"/>
      <c r="BM547" s="322"/>
      <c r="BN547" s="322"/>
      <c r="BO547" s="322"/>
      <c r="BP547" s="322"/>
      <c r="BQ547" s="322"/>
      <c r="BR547" s="322"/>
      <c r="BS547" s="322"/>
      <c r="BT547" s="322"/>
      <c r="BU547" s="322"/>
      <c r="BV547" s="322"/>
      <c r="BW547" s="322"/>
      <c r="BX547" s="322"/>
      <c r="BY547" s="322"/>
      <c r="BZ547" s="322"/>
      <c r="CA547" s="322"/>
      <c r="CB547" s="322"/>
      <c r="CC547" s="322"/>
      <c r="CD547" s="322"/>
      <c r="CE547" s="322"/>
      <c r="CF547" s="322"/>
      <c r="CG547" s="322"/>
      <c r="CH547" s="322"/>
      <c r="CI547" s="322"/>
      <c r="CM547" s="1139">
        <v>0</v>
      </c>
      <c r="CN547" s="1139">
        <v>0</v>
      </c>
      <c r="CP547" s="923">
        <f t="shared" si="283"/>
        <v>0</v>
      </c>
      <c r="CZ547" s="330"/>
    </row>
    <row r="548" spans="1:104" ht="15" customHeight="1" x14ac:dyDescent="0.25">
      <c r="A548" s="684">
        <f>MAX($A$6:A547)+1</f>
        <v>548</v>
      </c>
      <c r="B548" s="3">
        <f t="shared" si="282"/>
        <v>5.0999999999999996</v>
      </c>
      <c r="C548" s="11" t="str">
        <f t="shared" si="265"/>
        <v>Consolidated property, plant and equipment 2025-26</v>
      </c>
      <c r="D548" s="11" t="str">
        <f t="shared" si="296"/>
        <v>Buildings</v>
      </c>
      <c r="E548" s="7" t="s">
        <v>1417</v>
      </c>
      <c r="F548" s="15"/>
      <c r="G548" s="1254" t="s">
        <v>435</v>
      </c>
      <c r="H548" s="6">
        <v>0</v>
      </c>
      <c r="I548" s="6">
        <v>0</v>
      </c>
      <c r="J548" s="1257" t="s">
        <v>435</v>
      </c>
      <c r="K548" s="251">
        <f>SUMIF('alb Note 5.1 -PP&amp;E - CY'!$A:$A,$J548,'alb Note 5.1 -PP&amp;E - CY'!$C:$C)</f>
        <v>0</v>
      </c>
      <c r="L548" s="251">
        <f>SUMIF('alb Note 5.1 -PP&amp;E - CY'!$A:$A,$J548,'alb Note 5.1 -PP&amp;E - CY'!$N:$N)</f>
        <v>0</v>
      </c>
      <c r="M548" s="10"/>
      <c r="N548" s="273">
        <f>ROUND(SUM(O548:S548)+SUM(W548:AV548),0)</f>
        <v>0</v>
      </c>
      <c r="O548" s="12"/>
      <c r="P548" s="12"/>
      <c r="Q548" s="12"/>
      <c r="R548" s="12"/>
      <c r="S548" s="6">
        <f t="shared" si="273"/>
        <v>0</v>
      </c>
      <c r="T548" s="273">
        <f t="shared" si="294"/>
        <v>0</v>
      </c>
      <c r="U548" s="6">
        <f>SUM(BL548:BN548)</f>
        <v>0</v>
      </c>
      <c r="V548" s="6"/>
      <c r="W548" s="6">
        <f t="shared" si="298"/>
        <v>0</v>
      </c>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X548" s="6"/>
      <c r="AY548" s="6">
        <f>ROUND(AX548/1000/Update!$B$31*Update!$B$27,0)</f>
        <v>0</v>
      </c>
      <c r="BA548" s="6"/>
      <c r="BB548" s="6">
        <f>ROUND(BA548/1000/Update!$B$31,0)</f>
        <v>0</v>
      </c>
      <c r="BC548" s="6"/>
      <c r="BD548" s="29">
        <f t="shared" si="286"/>
        <v>0</v>
      </c>
      <c r="BE548" s="322"/>
      <c r="BF548" s="322"/>
      <c r="BG548" s="322"/>
      <c r="BH548" s="322"/>
      <c r="BI548" s="322"/>
      <c r="BJ548" s="322"/>
      <c r="BK548" s="29">
        <f t="shared" si="266"/>
        <v>0</v>
      </c>
      <c r="BL548" s="322"/>
      <c r="BM548" s="322"/>
      <c r="BN548" s="322"/>
      <c r="BO548" s="322"/>
      <c r="BP548" s="322"/>
      <c r="BQ548" s="322"/>
      <c r="BR548" s="322"/>
      <c r="BS548" s="322"/>
      <c r="BT548" s="322"/>
      <c r="BU548" s="322"/>
      <c r="BV548" s="322"/>
      <c r="BW548" s="322"/>
      <c r="BX548" s="322"/>
      <c r="BY548" s="322"/>
      <c r="BZ548" s="322"/>
      <c r="CA548" s="322"/>
      <c r="CB548" s="322"/>
      <c r="CC548" s="322"/>
      <c r="CD548" s="322"/>
      <c r="CE548" s="322"/>
      <c r="CF548" s="322"/>
      <c r="CG548" s="322"/>
      <c r="CH548" s="322"/>
      <c r="CI548" s="322"/>
      <c r="CM548" s="1139">
        <v>0</v>
      </c>
      <c r="CN548" s="1139">
        <v>0</v>
      </c>
      <c r="CP548" s="923">
        <f t="shared" si="283"/>
        <v>0</v>
      </c>
      <c r="CZ548" s="330"/>
    </row>
    <row r="549" spans="1:104" ht="15" customHeight="1" x14ac:dyDescent="0.25">
      <c r="A549" s="701">
        <f>MAX($A$6:A548)+1</f>
        <v>549</v>
      </c>
      <c r="B549" s="1291">
        <f t="shared" si="282"/>
        <v>5.0999999999999996</v>
      </c>
      <c r="C549" s="18" t="str">
        <f t="shared" si="265"/>
        <v>Consolidated property, plant and equipment 2025-26</v>
      </c>
      <c r="D549" s="18" t="str">
        <f t="shared" si="296"/>
        <v>Buildings</v>
      </c>
      <c r="E549" s="19" t="s">
        <v>442</v>
      </c>
      <c r="F549" s="20"/>
      <c r="G549" s="1278" t="s">
        <v>442</v>
      </c>
      <c r="H549" s="14">
        <f>SUM(H546:H548)</f>
        <v>481</v>
      </c>
      <c r="I549" s="14">
        <f>SUM(I546:I548)</f>
        <v>0</v>
      </c>
      <c r="J549" s="19" t="s">
        <v>442</v>
      </c>
      <c r="K549" s="256">
        <f>SUM(K547:K548)</f>
        <v>0</v>
      </c>
      <c r="L549" s="256">
        <f>SUM(L547:L548)</f>
        <v>0</v>
      </c>
      <c r="M549" s="21"/>
      <c r="N549" s="14">
        <f>ROUND(SUM(O549:S549)+T549+SUM(Z549:AV549),0)</f>
        <v>481</v>
      </c>
      <c r="O549" s="14">
        <f t="shared" ref="O549:W549" si="299">SUM(O546:O548)</f>
        <v>0</v>
      </c>
      <c r="P549" s="14">
        <f t="shared" si="299"/>
        <v>0</v>
      </c>
      <c r="Q549" s="14">
        <f t="shared" si="299"/>
        <v>0</v>
      </c>
      <c r="R549" s="14">
        <f t="shared" si="299"/>
        <v>0</v>
      </c>
      <c r="S549" s="14">
        <f t="shared" si="273"/>
        <v>0</v>
      </c>
      <c r="T549" s="14">
        <f t="shared" si="299"/>
        <v>481</v>
      </c>
      <c r="U549" s="14">
        <f t="shared" si="299"/>
        <v>0</v>
      </c>
      <c r="V549" s="14">
        <f t="shared" si="299"/>
        <v>0</v>
      </c>
      <c r="W549" s="14">
        <f t="shared" si="299"/>
        <v>481</v>
      </c>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2"/>
      <c r="AX549" s="14">
        <f>SUM(AX546:AX548)</f>
        <v>0</v>
      </c>
      <c r="AY549" s="14">
        <f>ROUND(AX549/1000/Update!$B$31*Update!$B$27,0)</f>
        <v>0</v>
      </c>
      <c r="AZ549" s="2"/>
      <c r="BA549" s="14">
        <f>SUM(BA546:BA548)</f>
        <v>0</v>
      </c>
      <c r="BB549" s="14">
        <f>ROUND(BA549/1000/Update!$B$31,0)</f>
        <v>0</v>
      </c>
      <c r="BC549" s="14"/>
      <c r="BD549" s="14">
        <f t="shared" si="286"/>
        <v>0</v>
      </c>
      <c r="BE549" s="14">
        <f t="shared" ref="BE549:BJ549" si="300">SUM(BE546:BE548)</f>
        <v>0</v>
      </c>
      <c r="BF549" s="14">
        <f t="shared" si="300"/>
        <v>0</v>
      </c>
      <c r="BG549" s="14">
        <f t="shared" si="300"/>
        <v>0</v>
      </c>
      <c r="BH549" s="14">
        <f t="shared" si="300"/>
        <v>0</v>
      </c>
      <c r="BI549" s="14">
        <f t="shared" si="300"/>
        <v>0</v>
      </c>
      <c r="BJ549" s="14">
        <f t="shared" si="300"/>
        <v>0</v>
      </c>
      <c r="BK549" s="14">
        <f t="shared" si="266"/>
        <v>0</v>
      </c>
      <c r="BL549" s="14"/>
      <c r="BM549" s="14"/>
      <c r="BN549" s="14"/>
      <c r="BO549" s="14"/>
      <c r="BP549" s="14"/>
      <c r="BQ549" s="14"/>
      <c r="BR549" s="14"/>
      <c r="BS549" s="14"/>
      <c r="BT549" s="324"/>
      <c r="BU549" s="14"/>
      <c r="BV549" s="14"/>
      <c r="BW549" s="14"/>
      <c r="BX549" s="14"/>
      <c r="BY549" s="14"/>
      <c r="BZ549" s="14"/>
      <c r="CA549" s="14"/>
      <c r="CB549" s="14"/>
      <c r="CC549" s="14"/>
      <c r="CD549" s="14"/>
      <c r="CE549" s="14"/>
      <c r="CF549" s="14"/>
      <c r="CG549" s="14"/>
      <c r="CH549" s="14"/>
      <c r="CI549" s="14"/>
      <c r="CJ549" s="2"/>
      <c r="CK549" s="2"/>
      <c r="CM549" s="1450">
        <v>0</v>
      </c>
      <c r="CN549" s="1450">
        <v>0</v>
      </c>
      <c r="CP549" s="923">
        <f t="shared" si="283"/>
        <v>0</v>
      </c>
      <c r="CZ549" s="330"/>
    </row>
    <row r="550" spans="1:104" ht="15" customHeight="1" x14ac:dyDescent="0.25">
      <c r="A550" s="684">
        <f>MAX($A$6:A549)+1</f>
        <v>550</v>
      </c>
      <c r="B550" s="3">
        <f t="shared" si="282"/>
        <v>5.0999999999999996</v>
      </c>
      <c r="C550" s="11" t="str">
        <f t="shared" si="265"/>
        <v>Consolidated property, plant and equipment 2025-26</v>
      </c>
      <c r="D550" s="11" t="str">
        <f t="shared" si="296"/>
        <v>Buildings</v>
      </c>
      <c r="E550" s="7" t="s">
        <v>1409</v>
      </c>
      <c r="F550" s="15"/>
      <c r="G550" s="1254" t="s">
        <v>190</v>
      </c>
      <c r="H550" s="6">
        <v>0</v>
      </c>
      <c r="I550" s="6">
        <v>0</v>
      </c>
      <c r="J550" s="1257" t="s">
        <v>190</v>
      </c>
      <c r="K550" s="251">
        <f>SUMIF('alb Note 5.1 -PP&amp;E - CY'!$A:$A,$J550,'alb Note 5.1 -PP&amp;E - CY'!$C:$C)</f>
        <v>0</v>
      </c>
      <c r="L550" s="251">
        <f>SUMIF('alb Note 5.1 -PP&amp;E - CY'!$A:$A,$J550,'alb Note 5.1 -PP&amp;E - CY'!$N:$N)</f>
        <v>0</v>
      </c>
      <c r="M550" s="10"/>
      <c r="N550" s="273">
        <f t="shared" ref="N550:N558" si="301">ROUND(SUM(O550:S550)+SUM(W550:AV550),0)</f>
        <v>0</v>
      </c>
      <c r="O550" s="12"/>
      <c r="P550" s="12"/>
      <c r="Q550" s="12"/>
      <c r="R550" s="12"/>
      <c r="S550" s="6">
        <f t="shared" si="273"/>
        <v>0</v>
      </c>
      <c r="T550" s="273">
        <f t="shared" ref="T550:T558" si="302">ROUND(SUM(U550:Y550),0)</f>
        <v>0</v>
      </c>
      <c r="U550" s="6">
        <f t="shared" ref="U550:U558" si="303">SUM(BL550:BN550)</f>
        <v>0</v>
      </c>
      <c r="V550" s="6"/>
      <c r="W550" s="6">
        <f t="shared" si="298"/>
        <v>0</v>
      </c>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X550" s="6"/>
      <c r="AY550" s="6">
        <f>ROUND(AX550/1000/Update!$B$31*Update!$B$27,0)</f>
        <v>0</v>
      </c>
      <c r="BA550" s="6"/>
      <c r="BB550" s="6">
        <f>ROUND(BA550/1000/Update!$B$31,0)</f>
        <v>0</v>
      </c>
      <c r="BC550" s="6"/>
      <c r="BD550" s="29">
        <f t="shared" si="286"/>
        <v>0</v>
      </c>
      <c r="BE550" s="322"/>
      <c r="BF550" s="322"/>
      <c r="BG550" s="322"/>
      <c r="BH550" s="322"/>
      <c r="BI550" s="322"/>
      <c r="BJ550" s="322"/>
      <c r="BK550" s="29">
        <f t="shared" si="266"/>
        <v>0</v>
      </c>
      <c r="BL550" s="322"/>
      <c r="BM550" s="322"/>
      <c r="BN550" s="322"/>
      <c r="BO550" s="322"/>
      <c r="BP550" s="322"/>
      <c r="BQ550" s="322"/>
      <c r="BR550" s="322"/>
      <c r="BS550" s="322"/>
      <c r="BT550" s="322"/>
      <c r="BU550" s="322"/>
      <c r="BV550" s="322"/>
      <c r="BW550" s="322"/>
      <c r="BX550" s="322"/>
      <c r="BY550" s="322"/>
      <c r="BZ550" s="322"/>
      <c r="CA550" s="322"/>
      <c r="CB550" s="322"/>
      <c r="CC550" s="322"/>
      <c r="CD550" s="322"/>
      <c r="CE550" s="322"/>
      <c r="CF550" s="322"/>
      <c r="CG550" s="322"/>
      <c r="CH550" s="322"/>
      <c r="CI550" s="322"/>
      <c r="CM550" s="1139">
        <v>0</v>
      </c>
      <c r="CN550" s="1139">
        <v>0</v>
      </c>
      <c r="CP550" s="923">
        <f t="shared" si="283"/>
        <v>0</v>
      </c>
      <c r="CZ550" s="330"/>
    </row>
    <row r="551" spans="1:104" ht="15" customHeight="1" x14ac:dyDescent="0.25">
      <c r="A551" s="684">
        <f>MAX($A$6:A550)+1</f>
        <v>551</v>
      </c>
      <c r="B551" s="3">
        <f t="shared" si="282"/>
        <v>5.0999999999999996</v>
      </c>
      <c r="C551" s="11" t="str">
        <f t="shared" si="265"/>
        <v>Consolidated property, plant and equipment 2025-26</v>
      </c>
      <c r="D551" s="11" t="str">
        <f t="shared" si="296"/>
        <v>Buildings</v>
      </c>
      <c r="E551" s="7" t="s">
        <v>457</v>
      </c>
      <c r="F551" s="15"/>
      <c r="G551" s="1254" t="s">
        <v>191</v>
      </c>
      <c r="H551" s="6">
        <v>0</v>
      </c>
      <c r="I551" s="6">
        <v>0</v>
      </c>
      <c r="J551" s="1257" t="s">
        <v>457</v>
      </c>
      <c r="K551" s="251">
        <f>SUMIF('alb Note 5.1 -PP&amp;E - CY'!$A:$A,$J551,'alb Note 5.1 -PP&amp;E - CY'!$C:$C)</f>
        <v>0</v>
      </c>
      <c r="L551" s="251">
        <f>SUMIF('alb Note 5.1 -PP&amp;E - CY'!$A:$A,$J551,'alb Note 5.1 -PP&amp;E - CY'!$N:$N)</f>
        <v>0</v>
      </c>
      <c r="M551" s="10"/>
      <c r="N551" s="273">
        <f t="shared" si="301"/>
        <v>0</v>
      </c>
      <c r="O551" s="12"/>
      <c r="P551" s="12"/>
      <c r="Q551" s="12"/>
      <c r="R551" s="12"/>
      <c r="S551" s="6">
        <f t="shared" si="273"/>
        <v>0</v>
      </c>
      <c r="T551" s="273">
        <f t="shared" si="302"/>
        <v>0</v>
      </c>
      <c r="U551" s="6">
        <f t="shared" si="303"/>
        <v>0</v>
      </c>
      <c r="V551" s="6"/>
      <c r="W551" s="6">
        <f t="shared" si="298"/>
        <v>0</v>
      </c>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X551" s="6"/>
      <c r="AY551" s="6">
        <f>ROUND(AX551/1000/Update!$B$31*Update!$B$27,0)</f>
        <v>0</v>
      </c>
      <c r="BA551" s="6"/>
      <c r="BB551" s="6">
        <f>ROUND(BA551/1000/Update!$B$31,0)</f>
        <v>0</v>
      </c>
      <c r="BC551" s="6"/>
      <c r="BD551" s="29">
        <f t="shared" si="286"/>
        <v>0</v>
      </c>
      <c r="BE551" s="322"/>
      <c r="BF551" s="322"/>
      <c r="BG551" s="322"/>
      <c r="BH551" s="322"/>
      <c r="BI551" s="322"/>
      <c r="BJ551" s="322"/>
      <c r="BK551" s="29">
        <f t="shared" si="266"/>
        <v>0</v>
      </c>
      <c r="BL551" s="322"/>
      <c r="BM551" s="322"/>
      <c r="BN551" s="322"/>
      <c r="BO551" s="322"/>
      <c r="BP551" s="322"/>
      <c r="BQ551" s="322"/>
      <c r="BR551" s="322"/>
      <c r="BS551" s="322"/>
      <c r="BT551" s="322"/>
      <c r="BU551" s="322"/>
      <c r="BV551" s="322"/>
      <c r="BW551" s="322"/>
      <c r="BX551" s="322"/>
      <c r="BY551" s="322"/>
      <c r="BZ551" s="322"/>
      <c r="CA551" s="322"/>
      <c r="CB551" s="322"/>
      <c r="CC551" s="322"/>
      <c r="CD551" s="322"/>
      <c r="CE551" s="322"/>
      <c r="CF551" s="322"/>
      <c r="CG551" s="322"/>
      <c r="CH551" s="322"/>
      <c r="CI551" s="322"/>
      <c r="CM551" s="1139">
        <v>0</v>
      </c>
      <c r="CN551" s="1139">
        <v>0</v>
      </c>
      <c r="CP551" s="923">
        <f t="shared" si="283"/>
        <v>0</v>
      </c>
      <c r="CZ551" s="330"/>
    </row>
    <row r="552" spans="1:104" ht="15" customHeight="1" x14ac:dyDescent="0.25">
      <c r="A552" s="684">
        <f>MAX($A$6:A551)+1</f>
        <v>552</v>
      </c>
      <c r="B552" s="3">
        <f t="shared" si="282"/>
        <v>5.0999999999999996</v>
      </c>
      <c r="C552" s="11" t="str">
        <f t="shared" si="265"/>
        <v>Consolidated property, plant and equipment 2025-26</v>
      </c>
      <c r="D552" s="11" t="str">
        <f t="shared" si="296"/>
        <v>Buildings</v>
      </c>
      <c r="E552" s="7" t="s">
        <v>863</v>
      </c>
      <c r="F552" s="15"/>
      <c r="G552" s="1254" t="s">
        <v>186</v>
      </c>
      <c r="H552" s="6">
        <v>0</v>
      </c>
      <c r="I552" s="6">
        <v>0</v>
      </c>
      <c r="J552" s="1257" t="s">
        <v>863</v>
      </c>
      <c r="K552" s="251">
        <f>SUMIF('alb Note 5.1 -PP&amp;E - CY'!$A:$A,$J552,'alb Note 5.1 -PP&amp;E - CY'!$C:$C)</f>
        <v>0</v>
      </c>
      <c r="L552" s="251">
        <f>SUMIF('alb Note 5.1 -PP&amp;E - CY'!$A:$A,$J552,'alb Note 5.1 -PP&amp;E - CY'!$N:$N)</f>
        <v>0</v>
      </c>
      <c r="M552" s="10"/>
      <c r="N552" s="273">
        <f t="shared" si="301"/>
        <v>0</v>
      </c>
      <c r="O552" s="12"/>
      <c r="P552" s="12"/>
      <c r="Q552" s="12"/>
      <c r="R552" s="12"/>
      <c r="S552" s="6">
        <f t="shared" si="273"/>
        <v>0</v>
      </c>
      <c r="T552" s="273">
        <f t="shared" si="302"/>
        <v>0</v>
      </c>
      <c r="U552" s="6">
        <f t="shared" si="303"/>
        <v>0</v>
      </c>
      <c r="V552" s="6"/>
      <c r="W552" s="6">
        <f t="shared" si="298"/>
        <v>0</v>
      </c>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X552" s="6"/>
      <c r="AY552" s="6">
        <f>ROUND(AX552/1000/Update!$B$31*Update!$B$27,0)</f>
        <v>0</v>
      </c>
      <c r="BA552" s="6"/>
      <c r="BB552" s="6">
        <f>ROUND(BA552/1000/Update!$B$31,0)</f>
        <v>0</v>
      </c>
      <c r="BC552" s="6"/>
      <c r="BD552" s="29">
        <f t="shared" si="286"/>
        <v>0</v>
      </c>
      <c r="BE552" s="322"/>
      <c r="BF552" s="322"/>
      <c r="BG552" s="322"/>
      <c r="BH552" s="322"/>
      <c r="BI552" s="322"/>
      <c r="BJ552" s="322"/>
      <c r="BK552" s="29">
        <f t="shared" si="266"/>
        <v>0</v>
      </c>
      <c r="BL552" s="322"/>
      <c r="BM552" s="322"/>
      <c r="BN552" s="322"/>
      <c r="BO552" s="322"/>
      <c r="BP552" s="322"/>
      <c r="BQ552" s="322"/>
      <c r="BR552" s="322"/>
      <c r="BS552" s="322"/>
      <c r="BT552" s="322"/>
      <c r="BU552" s="322"/>
      <c r="BV552" s="322"/>
      <c r="BW552" s="322"/>
      <c r="BX552" s="322"/>
      <c r="BY552" s="322"/>
      <c r="BZ552" s="322"/>
      <c r="CA552" s="322"/>
      <c r="CB552" s="322"/>
      <c r="CC552" s="322"/>
      <c r="CD552" s="322"/>
      <c r="CE552" s="322"/>
      <c r="CF552" s="322"/>
      <c r="CG552" s="322"/>
      <c r="CH552" s="322"/>
      <c r="CI552" s="322"/>
      <c r="CM552" s="1139">
        <v>0</v>
      </c>
      <c r="CN552" s="1139">
        <v>0</v>
      </c>
      <c r="CP552" s="923">
        <f t="shared" si="283"/>
        <v>0</v>
      </c>
      <c r="CZ552" s="330"/>
    </row>
    <row r="553" spans="1:104" ht="30" customHeight="1" x14ac:dyDescent="0.25">
      <c r="A553" s="684">
        <f>MAX($A$6:A552)+1</f>
        <v>553</v>
      </c>
      <c r="B553" s="3">
        <f t="shared" si="282"/>
        <v>5.0999999999999996</v>
      </c>
      <c r="C553" s="11" t="str">
        <f t="shared" si="265"/>
        <v>Consolidated property, plant and equipment 2025-26</v>
      </c>
      <c r="D553" s="11" t="str">
        <f t="shared" si="296"/>
        <v>Buildings</v>
      </c>
      <c r="E553" s="7" t="s">
        <v>1415</v>
      </c>
      <c r="F553" s="15"/>
      <c r="G553" s="1254" t="s">
        <v>438</v>
      </c>
      <c r="H553" s="6">
        <v>0</v>
      </c>
      <c r="I553" s="6">
        <v>0</v>
      </c>
      <c r="J553" s="1257" t="s">
        <v>864</v>
      </c>
      <c r="K553" s="251">
        <f>SUMIF('alb Note 5.1 -PP&amp;E - CY'!$A:$A,$J553,'alb Note 5.1 -PP&amp;E - CY'!$C:$C)</f>
        <v>0</v>
      </c>
      <c r="L553" s="251">
        <f>SUMIF('alb Note 5.1 -PP&amp;E - CY'!$A:$A,$J553,'alb Note 5.1 -PP&amp;E - CY'!$N:$N)</f>
        <v>0</v>
      </c>
      <c r="M553" s="10"/>
      <c r="N553" s="273">
        <f t="shared" si="301"/>
        <v>0</v>
      </c>
      <c r="O553" s="12"/>
      <c r="P553" s="12"/>
      <c r="Q553" s="12"/>
      <c r="R553" s="12"/>
      <c r="S553" s="6">
        <f t="shared" si="273"/>
        <v>0</v>
      </c>
      <c r="T553" s="273">
        <f t="shared" si="302"/>
        <v>0</v>
      </c>
      <c r="U553" s="6">
        <f t="shared" si="303"/>
        <v>0</v>
      </c>
      <c r="V553" s="6"/>
      <c r="W553" s="6">
        <f t="shared" si="298"/>
        <v>0</v>
      </c>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X553" s="6"/>
      <c r="AY553" s="6">
        <f>ROUND(AX553/1000/Update!$B$31*Update!$B$27,0)</f>
        <v>0</v>
      </c>
      <c r="BA553" s="6"/>
      <c r="BB553" s="6">
        <f>ROUND(BA553/1000/Update!$B$31,0)</f>
        <v>0</v>
      </c>
      <c r="BC553" s="6"/>
      <c r="BD553" s="29">
        <f t="shared" si="286"/>
        <v>0</v>
      </c>
      <c r="BE553" s="322"/>
      <c r="BF553" s="322"/>
      <c r="BG553" s="322"/>
      <c r="BH553" s="322"/>
      <c r="BI553" s="322"/>
      <c r="BJ553" s="322"/>
      <c r="BK553" s="29">
        <f t="shared" si="266"/>
        <v>0</v>
      </c>
      <c r="BL553" s="322"/>
      <c r="BM553" s="322"/>
      <c r="BN553" s="322"/>
      <c r="BO553" s="322"/>
      <c r="BP553" s="322"/>
      <c r="BQ553" s="322"/>
      <c r="BR553" s="322"/>
      <c r="BS553" s="322"/>
      <c r="BT553" s="322"/>
      <c r="BU553" s="322"/>
      <c r="BV553" s="322"/>
      <c r="BW553" s="322"/>
      <c r="BX553" s="322"/>
      <c r="BY553" s="322"/>
      <c r="BZ553" s="322"/>
      <c r="CA553" s="322"/>
      <c r="CB553" s="322"/>
      <c r="CC553" s="322"/>
      <c r="CD553" s="322"/>
      <c r="CE553" s="322"/>
      <c r="CF553" s="322"/>
      <c r="CG553" s="322"/>
      <c r="CH553" s="322"/>
      <c r="CI553" s="322"/>
      <c r="CM553" s="1139">
        <v>0</v>
      </c>
      <c r="CN553" s="1139">
        <v>0</v>
      </c>
      <c r="CP553" s="923">
        <f t="shared" si="283"/>
        <v>0</v>
      </c>
      <c r="CZ553" s="330"/>
    </row>
    <row r="554" spans="1:104" ht="51" customHeight="1" x14ac:dyDescent="0.25">
      <c r="A554" s="684">
        <f>MAX($A$6:A553)+1</f>
        <v>554</v>
      </c>
      <c r="B554" s="3">
        <f t="shared" si="282"/>
        <v>5.0999999999999996</v>
      </c>
      <c r="C554" s="11" t="str">
        <f t="shared" si="265"/>
        <v>Consolidated property, plant and equipment 2025-26</v>
      </c>
      <c r="D554" s="11" t="str">
        <f t="shared" si="296"/>
        <v>Buildings</v>
      </c>
      <c r="E554" s="7" t="s">
        <v>1410</v>
      </c>
      <c r="F554" s="15"/>
      <c r="G554" s="1254" t="s">
        <v>193</v>
      </c>
      <c r="H554" s="6">
        <v>0</v>
      </c>
      <c r="I554" s="6">
        <v>0</v>
      </c>
      <c r="J554" s="1257" t="s">
        <v>865</v>
      </c>
      <c r="K554" s="251">
        <f>SUMIF('alb Note 5.1 -PP&amp;E - CY'!$A:$A,$J554,'alb Note 5.1 -PP&amp;E - CY'!$C:$C)</f>
        <v>0</v>
      </c>
      <c r="L554" s="251">
        <f>SUMIF('alb Note 5.1 -PP&amp;E - CY'!$A:$A,$J554,'alb Note 5.1 -PP&amp;E - CY'!$N:$N)</f>
        <v>0</v>
      </c>
      <c r="M554" s="10"/>
      <c r="N554" s="273">
        <f t="shared" si="301"/>
        <v>0</v>
      </c>
      <c r="O554" s="12"/>
      <c r="P554" s="12"/>
      <c r="Q554" s="12"/>
      <c r="R554" s="12"/>
      <c r="S554" s="6">
        <f t="shared" si="273"/>
        <v>0</v>
      </c>
      <c r="T554" s="273">
        <f t="shared" si="302"/>
        <v>0</v>
      </c>
      <c r="U554" s="6">
        <f t="shared" si="303"/>
        <v>0</v>
      </c>
      <c r="V554" s="6"/>
      <c r="W554" s="6">
        <f t="shared" si="298"/>
        <v>0</v>
      </c>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X554" s="6"/>
      <c r="AY554" s="6">
        <f>ROUND(AX554/1000/Update!$B$31*Update!$B$27,0)</f>
        <v>0</v>
      </c>
      <c r="BA554" s="6"/>
      <c r="BB554" s="6">
        <f>ROUND(BA554/1000/Update!$B$31,0)</f>
        <v>0</v>
      </c>
      <c r="BC554" s="6"/>
      <c r="BD554" s="29">
        <f t="shared" si="286"/>
        <v>0</v>
      </c>
      <c r="BE554" s="322"/>
      <c r="BF554" s="322"/>
      <c r="BG554" s="322"/>
      <c r="BH554" s="322"/>
      <c r="BI554" s="322"/>
      <c r="BJ554" s="322"/>
      <c r="BK554" s="29">
        <f t="shared" si="266"/>
        <v>0</v>
      </c>
      <c r="BL554" s="322"/>
      <c r="BM554" s="322"/>
      <c r="BN554" s="322"/>
      <c r="BO554" s="322"/>
      <c r="BP554" s="322"/>
      <c r="BQ554" s="322"/>
      <c r="BR554" s="322"/>
      <c r="BS554" s="322"/>
      <c r="BT554" s="322"/>
      <c r="BU554" s="322"/>
      <c r="BV554" s="322"/>
      <c r="BW554" s="322"/>
      <c r="BX554" s="322"/>
      <c r="BY554" s="322"/>
      <c r="BZ554" s="322"/>
      <c r="CA554" s="322"/>
      <c r="CB554" s="322"/>
      <c r="CC554" s="322"/>
      <c r="CD554" s="322"/>
      <c r="CE554" s="322"/>
      <c r="CF554" s="322"/>
      <c r="CG554" s="322"/>
      <c r="CH554" s="322"/>
      <c r="CI554" s="322"/>
      <c r="CM554" s="1139">
        <v>0</v>
      </c>
      <c r="CN554" s="1139">
        <v>0</v>
      </c>
      <c r="CP554" s="923">
        <f t="shared" si="283"/>
        <v>0</v>
      </c>
      <c r="CZ554" s="330"/>
    </row>
    <row r="555" spans="1:104" ht="15" customHeight="1" x14ac:dyDescent="0.25">
      <c r="A555" s="684">
        <f>MAX($A$6:A554)+1</f>
        <v>555</v>
      </c>
      <c r="B555" s="3">
        <f t="shared" si="282"/>
        <v>5.0999999999999996</v>
      </c>
      <c r="C555" s="11" t="str">
        <f t="shared" si="265"/>
        <v>Consolidated property, plant and equipment 2025-26</v>
      </c>
      <c r="D555" s="11" t="str">
        <f>D554</f>
        <v>Buildings</v>
      </c>
      <c r="E555" s="7" t="s">
        <v>810</v>
      </c>
      <c r="F555" s="15"/>
      <c r="G555" s="1254"/>
      <c r="H555" s="6">
        <v>0</v>
      </c>
      <c r="I555" s="6">
        <v>0</v>
      </c>
      <c r="J555" s="1257" t="s">
        <v>866</v>
      </c>
      <c r="K555" s="251">
        <f>SUMIF('alb Note 5.1 -PP&amp;E - CY'!$A:$A,$J555,'alb Note 5.1 -PP&amp;E - CY'!$C:$C)</f>
        <v>0</v>
      </c>
      <c r="L555" s="251">
        <f>SUMIF('alb Note 5.1 -PP&amp;E - CY'!$A:$A,$J555,'alb Note 5.1 -PP&amp;E - CY'!$N:$N)</f>
        <v>0</v>
      </c>
      <c r="M555" s="10"/>
      <c r="N555" s="273">
        <f t="shared" si="301"/>
        <v>0</v>
      </c>
      <c r="O555" s="12"/>
      <c r="P555" s="12"/>
      <c r="Q555" s="12"/>
      <c r="R555" s="12"/>
      <c r="S555" s="6">
        <f t="shared" si="273"/>
        <v>0</v>
      </c>
      <c r="T555" s="273">
        <f t="shared" si="302"/>
        <v>0</v>
      </c>
      <c r="U555" s="6">
        <f t="shared" si="303"/>
        <v>0</v>
      </c>
      <c r="V555" s="6"/>
      <c r="W555" s="6">
        <f t="shared" si="298"/>
        <v>0</v>
      </c>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X555" s="6"/>
      <c r="AY555" s="6">
        <f>ROUND(AX555/1000/Update!$B$31*Update!$B$27,0)</f>
        <v>0</v>
      </c>
      <c r="BA555" s="6"/>
      <c r="BB555" s="6">
        <f>ROUND(BA555/1000/Update!$B$31,0)</f>
        <v>0</v>
      </c>
      <c r="BC555" s="6"/>
      <c r="BD555" s="29">
        <f t="shared" si="286"/>
        <v>0</v>
      </c>
      <c r="BE555" s="322"/>
      <c r="BF555" s="322"/>
      <c r="BG555" s="322"/>
      <c r="BH555" s="322"/>
      <c r="BI555" s="322"/>
      <c r="BJ555" s="322"/>
      <c r="BK555" s="29">
        <f t="shared" si="266"/>
        <v>0</v>
      </c>
      <c r="BL555" s="322"/>
      <c r="BM555" s="322"/>
      <c r="BN555" s="322"/>
      <c r="BO555" s="322"/>
      <c r="BP555" s="322"/>
      <c r="BQ555" s="322"/>
      <c r="BR555" s="322"/>
      <c r="BS555" s="322"/>
      <c r="BT555" s="322"/>
      <c r="BU555" s="322"/>
      <c r="BV555" s="322"/>
      <c r="BW555" s="322"/>
      <c r="BX555" s="322"/>
      <c r="BY555" s="322"/>
      <c r="BZ555" s="322"/>
      <c r="CA555" s="322"/>
      <c r="CB555" s="322"/>
      <c r="CC555" s="322"/>
      <c r="CD555" s="322"/>
      <c r="CE555" s="322"/>
      <c r="CF555" s="322"/>
      <c r="CG555" s="322"/>
      <c r="CH555" s="322"/>
      <c r="CI555" s="322"/>
      <c r="CM555" s="1139">
        <v>0</v>
      </c>
      <c r="CN555" s="1139">
        <v>0</v>
      </c>
      <c r="CP555" s="923">
        <f t="shared" si="283"/>
        <v>0</v>
      </c>
      <c r="CZ555" s="330"/>
    </row>
    <row r="556" spans="1:104" ht="15" customHeight="1" x14ac:dyDescent="0.25">
      <c r="A556" s="684">
        <f>MAX($A$6:A555)+1</f>
        <v>556</v>
      </c>
      <c r="B556" s="3">
        <f>B554</f>
        <v>5.0999999999999996</v>
      </c>
      <c r="C556" s="11" t="str">
        <f>C554</f>
        <v>Consolidated property, plant and equipment 2025-26</v>
      </c>
      <c r="D556" s="11" t="str">
        <f>D554</f>
        <v>Buildings</v>
      </c>
      <c r="E556" s="7" t="s">
        <v>867</v>
      </c>
      <c r="F556" s="15"/>
      <c r="G556" s="1254" t="s">
        <v>187</v>
      </c>
      <c r="H556" s="6">
        <v>0</v>
      </c>
      <c r="I556" s="6">
        <v>0</v>
      </c>
      <c r="J556" s="1257" t="s">
        <v>867</v>
      </c>
      <c r="K556" s="251">
        <f>SUMIF('alb Note 5.1 -PP&amp;E - CY'!$A:$A,$J556,'alb Note 5.1 -PP&amp;E - CY'!$C:$C)</f>
        <v>0</v>
      </c>
      <c r="L556" s="251">
        <f>SUMIF('alb Note 5.1 -PP&amp;E - CY'!$A:$A,$J556,'alb Note 5.1 -PP&amp;E - CY'!$N:$N)</f>
        <v>0</v>
      </c>
      <c r="M556" s="10"/>
      <c r="N556" s="273">
        <f t="shared" si="301"/>
        <v>0</v>
      </c>
      <c r="O556" s="12"/>
      <c r="P556" s="12"/>
      <c r="Q556" s="12"/>
      <c r="R556" s="12"/>
      <c r="S556" s="6">
        <f t="shared" si="273"/>
        <v>0</v>
      </c>
      <c r="T556" s="273">
        <f t="shared" si="302"/>
        <v>0</v>
      </c>
      <c r="U556" s="6">
        <f t="shared" si="303"/>
        <v>0</v>
      </c>
      <c r="V556" s="6"/>
      <c r="W556" s="6">
        <f t="shared" si="298"/>
        <v>0</v>
      </c>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X556" s="6"/>
      <c r="AY556" s="6">
        <f>ROUND(AX556/1000/Update!$B$31*Update!$B$27,0)</f>
        <v>0</v>
      </c>
      <c r="BA556" s="6"/>
      <c r="BB556" s="6">
        <f>ROUND(BA556/1000/Update!$B$31,0)</f>
        <v>0</v>
      </c>
      <c r="BC556" s="6"/>
      <c r="BD556" s="29">
        <f t="shared" si="286"/>
        <v>0</v>
      </c>
      <c r="BE556" s="322"/>
      <c r="BF556" s="322"/>
      <c r="BG556" s="322"/>
      <c r="BH556" s="322"/>
      <c r="BI556" s="322"/>
      <c r="BJ556" s="322"/>
      <c r="BK556" s="29">
        <f t="shared" si="266"/>
        <v>0</v>
      </c>
      <c r="BL556" s="322"/>
      <c r="BM556" s="322"/>
      <c r="BN556" s="322"/>
      <c r="BO556" s="322"/>
      <c r="BP556" s="322"/>
      <c r="BQ556" s="322"/>
      <c r="BR556" s="322"/>
      <c r="BS556" s="322"/>
      <c r="BT556" s="322"/>
      <c r="BU556" s="322"/>
      <c r="BV556" s="322"/>
      <c r="BW556" s="322"/>
      <c r="BX556" s="322"/>
      <c r="BY556" s="322"/>
      <c r="BZ556" s="322"/>
      <c r="CA556" s="322"/>
      <c r="CB556" s="322"/>
      <c r="CC556" s="322"/>
      <c r="CD556" s="322"/>
      <c r="CE556" s="322"/>
      <c r="CF556" s="322"/>
      <c r="CG556" s="322"/>
      <c r="CH556" s="322"/>
      <c r="CI556" s="322"/>
      <c r="CM556" s="1139">
        <v>0</v>
      </c>
      <c r="CN556" s="1139">
        <v>0</v>
      </c>
      <c r="CP556" s="923">
        <f t="shared" si="283"/>
        <v>0</v>
      </c>
      <c r="CZ556" s="330"/>
    </row>
    <row r="557" spans="1:104" ht="15" customHeight="1" x14ac:dyDescent="0.25">
      <c r="A557" s="684">
        <f>MAX($A$6:A556)+1</f>
        <v>557</v>
      </c>
      <c r="B557" s="3">
        <f t="shared" si="282"/>
        <v>5.0999999999999996</v>
      </c>
      <c r="C557" s="11" t="str">
        <f t="shared" si="265"/>
        <v>Consolidated property, plant and equipment 2025-26</v>
      </c>
      <c r="D557" s="11" t="str">
        <f t="shared" si="296"/>
        <v>Buildings</v>
      </c>
      <c r="E557" s="7" t="s">
        <v>868</v>
      </c>
      <c r="F557" s="15"/>
      <c r="G557" s="1254" t="s">
        <v>188</v>
      </c>
      <c r="H557" s="6">
        <v>0</v>
      </c>
      <c r="I557" s="6">
        <v>0</v>
      </c>
      <c r="J557" s="1257" t="s">
        <v>868</v>
      </c>
      <c r="K557" s="251">
        <f>SUMIF('alb Note 5.1 -PP&amp;E - CY'!$A:$A,$J557,'alb Note 5.1 -PP&amp;E - CY'!$C:$C)</f>
        <v>0</v>
      </c>
      <c r="L557" s="251">
        <f>SUMIF('alb Note 5.1 -PP&amp;E - CY'!$A:$A,$J557,'alb Note 5.1 -PP&amp;E - CY'!$N:$N)</f>
        <v>0</v>
      </c>
      <c r="M557" s="10"/>
      <c r="N557" s="273">
        <f t="shared" si="301"/>
        <v>0</v>
      </c>
      <c r="O557" s="12"/>
      <c r="P557" s="12"/>
      <c r="Q557" s="12"/>
      <c r="R557" s="12"/>
      <c r="S557" s="6">
        <f t="shared" si="273"/>
        <v>0</v>
      </c>
      <c r="T557" s="273">
        <f t="shared" si="302"/>
        <v>0</v>
      </c>
      <c r="U557" s="6">
        <f t="shared" si="303"/>
        <v>0</v>
      </c>
      <c r="V557" s="6"/>
      <c r="W557" s="6">
        <f t="shared" si="298"/>
        <v>0</v>
      </c>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X557" s="6"/>
      <c r="AY557" s="6">
        <f>ROUND(AX557/1000/Update!$B$31*Update!$B$27,0)</f>
        <v>0</v>
      </c>
      <c r="BA557" s="6"/>
      <c r="BB557" s="6">
        <f>ROUND(BA557/1000/Update!$B$31,0)</f>
        <v>0</v>
      </c>
      <c r="BC557" s="6"/>
      <c r="BD557" s="29">
        <f t="shared" si="286"/>
        <v>0</v>
      </c>
      <c r="BE557" s="322"/>
      <c r="BF557" s="322"/>
      <c r="BG557" s="322"/>
      <c r="BH557" s="322"/>
      <c r="BI557" s="322"/>
      <c r="BJ557" s="322"/>
      <c r="BK557" s="29">
        <f t="shared" si="266"/>
        <v>0</v>
      </c>
      <c r="BL557" s="322"/>
      <c r="BM557" s="322"/>
      <c r="BN557" s="322"/>
      <c r="BO557" s="322"/>
      <c r="BP557" s="322"/>
      <c r="BQ557" s="322"/>
      <c r="BR557" s="322"/>
      <c r="BS557" s="322"/>
      <c r="BT557" s="322"/>
      <c r="BU557" s="322"/>
      <c r="BV557" s="322"/>
      <c r="BW557" s="322"/>
      <c r="BX557" s="322"/>
      <c r="BY557" s="322"/>
      <c r="BZ557" s="322"/>
      <c r="CA557" s="322"/>
      <c r="CB557" s="322"/>
      <c r="CC557" s="322"/>
      <c r="CD557" s="322"/>
      <c r="CE557" s="322"/>
      <c r="CF557" s="322"/>
      <c r="CG557" s="322"/>
      <c r="CH557" s="322"/>
      <c r="CI557" s="322"/>
      <c r="CM557" s="1139">
        <v>0</v>
      </c>
      <c r="CN557" s="1139">
        <v>0</v>
      </c>
      <c r="CP557" s="923">
        <f t="shared" si="283"/>
        <v>0</v>
      </c>
      <c r="CZ557" s="330"/>
    </row>
    <row r="558" spans="1:104" ht="15" customHeight="1" x14ac:dyDescent="0.25">
      <c r="A558" s="684">
        <f>MAX($A$6:A557)+1</f>
        <v>558</v>
      </c>
      <c r="B558" s="3">
        <f t="shared" si="282"/>
        <v>5.0999999999999996</v>
      </c>
      <c r="C558" s="11" t="str">
        <f t="shared" si="265"/>
        <v>Consolidated property, plant and equipment 2025-26</v>
      </c>
      <c r="D558" s="11" t="str">
        <f t="shared" si="296"/>
        <v>Buildings</v>
      </c>
      <c r="E558" s="7" t="s">
        <v>1416</v>
      </c>
      <c r="F558" s="15"/>
      <c r="G558" s="1254" t="s">
        <v>189</v>
      </c>
      <c r="H558" s="6">
        <v>0</v>
      </c>
      <c r="I558" s="6">
        <v>0</v>
      </c>
      <c r="J558" s="1257" t="s">
        <v>870</v>
      </c>
      <c r="K558" s="251">
        <f>SUMIF('alb Note 5.1 -PP&amp;E - CY'!$A:$A,$J558,'alb Note 5.1 -PP&amp;E - CY'!$C:$C)</f>
        <v>0</v>
      </c>
      <c r="L558" s="251">
        <f>SUMIF('alb Note 5.1 -PP&amp;E - CY'!$A:$A,$J558,'alb Note 5.1 -PP&amp;E - CY'!$N:$N)</f>
        <v>0</v>
      </c>
      <c r="M558" s="10"/>
      <c r="N558" s="273">
        <f t="shared" si="301"/>
        <v>0</v>
      </c>
      <c r="O558" s="12"/>
      <c r="P558" s="12"/>
      <c r="Q558" s="12"/>
      <c r="R558" s="12"/>
      <c r="S558" s="6">
        <f t="shared" si="273"/>
        <v>0</v>
      </c>
      <c r="T558" s="273">
        <f t="shared" si="302"/>
        <v>0</v>
      </c>
      <c r="U558" s="6">
        <f t="shared" si="303"/>
        <v>0</v>
      </c>
      <c r="V558" s="6"/>
      <c r="W558" s="6">
        <f t="shared" si="298"/>
        <v>0</v>
      </c>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X558" s="6"/>
      <c r="AY558" s="6">
        <f>ROUND(AX558/1000/Update!$B$31*Update!$B$27,0)</f>
        <v>0</v>
      </c>
      <c r="BA558" s="6"/>
      <c r="BB558" s="6">
        <f>ROUND(BA558/1000/Update!$B$31,0)</f>
        <v>0</v>
      </c>
      <c r="BC558" s="6"/>
      <c r="BD558" s="29">
        <f t="shared" si="286"/>
        <v>0</v>
      </c>
      <c r="BE558" s="322"/>
      <c r="BF558" s="322"/>
      <c r="BG558" s="322"/>
      <c r="BH558" s="322"/>
      <c r="BI558" s="322"/>
      <c r="BJ558" s="322"/>
      <c r="BK558" s="29">
        <f t="shared" ref="BK558:BK621" si="304">ROUND(SUM(BO558:CI558),0)</f>
        <v>0</v>
      </c>
      <c r="BL558" s="322"/>
      <c r="BM558" s="322"/>
      <c r="BN558" s="322"/>
      <c r="BO558" s="322"/>
      <c r="BP558" s="322"/>
      <c r="BQ558" s="322"/>
      <c r="BR558" s="322"/>
      <c r="BS558" s="322"/>
      <c r="BT558" s="322"/>
      <c r="BU558" s="322"/>
      <c r="BV558" s="322"/>
      <c r="BW558" s="322"/>
      <c r="BX558" s="322"/>
      <c r="BY558" s="322"/>
      <c r="BZ558" s="322"/>
      <c r="CA558" s="322"/>
      <c r="CB558" s="322"/>
      <c r="CC558" s="322"/>
      <c r="CD558" s="322"/>
      <c r="CE558" s="322"/>
      <c r="CF558" s="322"/>
      <c r="CG558" s="322"/>
      <c r="CH558" s="322"/>
      <c r="CI558" s="322"/>
      <c r="CM558" s="1139">
        <v>0</v>
      </c>
      <c r="CN558" s="1139">
        <v>0</v>
      </c>
      <c r="CP558" s="923">
        <f t="shared" si="283"/>
        <v>0</v>
      </c>
      <c r="CZ558" s="330"/>
    </row>
    <row r="559" spans="1:104" ht="15" customHeight="1" x14ac:dyDescent="0.25">
      <c r="A559" s="701">
        <f>MAX($A$6:A558)+1</f>
        <v>559</v>
      </c>
      <c r="B559" s="1291">
        <f t="shared" si="282"/>
        <v>5.0999999999999996</v>
      </c>
      <c r="C559" s="18" t="str">
        <f t="shared" si="265"/>
        <v>Consolidated property, plant and equipment 2025-26</v>
      </c>
      <c r="D559" s="18" t="str">
        <f t="shared" si="296"/>
        <v>Buildings</v>
      </c>
      <c r="E559" s="19" t="str">
        <f>"At"&amp;Update!$B$22</f>
        <v>At 31 March 2026</v>
      </c>
      <c r="F559" s="20"/>
      <c r="G559" s="28"/>
      <c r="H559" s="14">
        <f>SUM(H549:H558)</f>
        <v>481</v>
      </c>
      <c r="I559" s="14">
        <f>SUM(I549:I558)</f>
        <v>0</v>
      </c>
      <c r="J559" s="1258" t="s">
        <v>2492</v>
      </c>
      <c r="K559" s="256">
        <f>SUM(K549:K558)</f>
        <v>0</v>
      </c>
      <c r="L559" s="256">
        <f>SUM(L549:L558)</f>
        <v>0</v>
      </c>
      <c r="M559" s="21"/>
      <c r="N559" s="14">
        <f>ROUND(SUM(O559:S559)+T559+SUM(Z559:AV559),0)</f>
        <v>481</v>
      </c>
      <c r="O559" s="14">
        <f t="shared" ref="O559:V559" si="305">SUM(O549:O558)</f>
        <v>0</v>
      </c>
      <c r="P559" s="14">
        <f t="shared" si="305"/>
        <v>0</v>
      </c>
      <c r="Q559" s="14">
        <f t="shared" si="305"/>
        <v>0</v>
      </c>
      <c r="R559" s="14">
        <f t="shared" si="305"/>
        <v>0</v>
      </c>
      <c r="S559" s="14">
        <f t="shared" si="273"/>
        <v>0</v>
      </c>
      <c r="T559" s="14">
        <f t="shared" si="305"/>
        <v>481</v>
      </c>
      <c r="U559" s="14">
        <f>SUM(U549:U558)</f>
        <v>0</v>
      </c>
      <c r="V559" s="14">
        <f t="shared" si="305"/>
        <v>0</v>
      </c>
      <c r="W559" s="14">
        <f>SUM(W549:W558)</f>
        <v>481</v>
      </c>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2"/>
      <c r="AX559" s="14">
        <f>SUM(AX549:AX558)</f>
        <v>0</v>
      </c>
      <c r="AY559" s="14">
        <f>ROUND(AX559/1000/Update!$B$31*Update!$B$27,0)</f>
        <v>0</v>
      </c>
      <c r="AZ559" s="2"/>
      <c r="BA559" s="14">
        <f>SUM(BA549:BA558)</f>
        <v>0</v>
      </c>
      <c r="BB559" s="14">
        <f>ROUND(BA559/1000/Update!$B$31,0)</f>
        <v>0</v>
      </c>
      <c r="BC559" s="14"/>
      <c r="BD559" s="14">
        <f t="shared" si="286"/>
        <v>0</v>
      </c>
      <c r="BE559" s="14">
        <f t="shared" ref="BE559:BJ559" si="306">SUM(BE549:BE558)</f>
        <v>0</v>
      </c>
      <c r="BF559" s="14">
        <f t="shared" si="306"/>
        <v>0</v>
      </c>
      <c r="BG559" s="14">
        <f t="shared" si="306"/>
        <v>0</v>
      </c>
      <c r="BH559" s="14">
        <f t="shared" si="306"/>
        <v>0</v>
      </c>
      <c r="BI559" s="14">
        <f t="shared" si="306"/>
        <v>0</v>
      </c>
      <c r="BJ559" s="14">
        <f t="shared" si="306"/>
        <v>0</v>
      </c>
      <c r="BK559" s="14">
        <f t="shared" si="304"/>
        <v>0</v>
      </c>
      <c r="BL559" s="14"/>
      <c r="BM559" s="14"/>
      <c r="BN559" s="14"/>
      <c r="BO559" s="14"/>
      <c r="BP559" s="14"/>
      <c r="BQ559" s="14"/>
      <c r="BR559" s="14"/>
      <c r="BS559" s="14"/>
      <c r="BT559" s="324"/>
      <c r="BU559" s="14"/>
      <c r="BV559" s="14"/>
      <c r="BW559" s="14"/>
      <c r="BX559" s="14"/>
      <c r="BY559" s="14"/>
      <c r="BZ559" s="14"/>
      <c r="CA559" s="14"/>
      <c r="CB559" s="14"/>
      <c r="CC559" s="14"/>
      <c r="CD559" s="14"/>
      <c r="CE559" s="14"/>
      <c r="CF559" s="14"/>
      <c r="CG559" s="14"/>
      <c r="CH559" s="14"/>
      <c r="CI559" s="14"/>
      <c r="CJ559" s="2"/>
      <c r="CK559" s="2"/>
      <c r="CM559" s="1450">
        <v>0</v>
      </c>
      <c r="CN559" s="1450">
        <v>0</v>
      </c>
      <c r="CP559" s="923">
        <f t="shared" si="283"/>
        <v>0</v>
      </c>
      <c r="CZ559" s="330"/>
    </row>
    <row r="560" spans="1:104" ht="15" customHeight="1" x14ac:dyDescent="0.25">
      <c r="A560" s="701">
        <f>MAX($A$6:A559)+1</f>
        <v>560</v>
      </c>
      <c r="B560" s="1291">
        <f t="shared" si="282"/>
        <v>5.0999999999999996</v>
      </c>
      <c r="C560" s="18" t="str">
        <f t="shared" si="265"/>
        <v>Consolidated property, plant and equipment 2025-26</v>
      </c>
      <c r="D560" s="18" t="str">
        <f t="shared" si="296"/>
        <v>Buildings</v>
      </c>
      <c r="E560" s="19" t="str">
        <f>"Carrying amount "&amp;Update!$B$22</f>
        <v>Carrying amount  31 March 2026</v>
      </c>
      <c r="F560" s="20"/>
      <c r="G560" s="28"/>
      <c r="H560" s="14">
        <f>H545-H559</f>
        <v>3329</v>
      </c>
      <c r="I560" s="14">
        <f>I545-I559</f>
        <v>0</v>
      </c>
      <c r="J560" s="1258" t="s">
        <v>2493</v>
      </c>
      <c r="K560" s="256">
        <f>K545-K559</f>
        <v>0</v>
      </c>
      <c r="L560" s="256">
        <f>L545-L559</f>
        <v>0</v>
      </c>
      <c r="M560" s="21"/>
      <c r="N560" s="14">
        <f>ROUND(SUM(O560:S560)+T560+SUM(Z560:AV560),0)</f>
        <v>3329</v>
      </c>
      <c r="O560" s="256">
        <f>O545-O559</f>
        <v>0</v>
      </c>
      <c r="P560" s="256">
        <f>P545-P559</f>
        <v>0</v>
      </c>
      <c r="Q560" s="256">
        <f>Q545-Q559</f>
        <v>0</v>
      </c>
      <c r="R560" s="256">
        <f>R545-R559</f>
        <v>0</v>
      </c>
      <c r="S560" s="256">
        <f>S545-S559</f>
        <v>0</v>
      </c>
      <c r="T560" s="14">
        <f>ROUND(SUM(U560:Y560),0)</f>
        <v>3329</v>
      </c>
      <c r="U560" s="14">
        <f>U545-U559</f>
        <v>0</v>
      </c>
      <c r="V560" s="14">
        <f>V545-V559</f>
        <v>0</v>
      </c>
      <c r="W560" s="14">
        <f>W545-W559</f>
        <v>3329</v>
      </c>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2"/>
      <c r="AX560" s="14">
        <f>AX545-AX559</f>
        <v>0</v>
      </c>
      <c r="AY560" s="14">
        <f>ROUND(AX560/1000/Update!$B$31*Update!$B$27,0)</f>
        <v>0</v>
      </c>
      <c r="AZ560" s="2"/>
      <c r="BA560" s="14">
        <f>BA545-BA559</f>
        <v>0</v>
      </c>
      <c r="BB560" s="14">
        <f>ROUND(BA560/1000/Update!$B$31,0)</f>
        <v>0</v>
      </c>
      <c r="BC560" s="14"/>
      <c r="BD560" s="14">
        <f t="shared" si="286"/>
        <v>0</v>
      </c>
      <c r="BE560" s="14">
        <f t="shared" ref="BE560:BJ560" si="307">BE545-BE559</f>
        <v>0</v>
      </c>
      <c r="BF560" s="14">
        <f t="shared" si="307"/>
        <v>0</v>
      </c>
      <c r="BG560" s="14">
        <f t="shared" si="307"/>
        <v>0</v>
      </c>
      <c r="BH560" s="14">
        <f t="shared" si="307"/>
        <v>0</v>
      </c>
      <c r="BI560" s="14">
        <f t="shared" si="307"/>
        <v>0</v>
      </c>
      <c r="BJ560" s="14">
        <f t="shared" si="307"/>
        <v>0</v>
      </c>
      <c r="BK560" s="14">
        <f t="shared" si="304"/>
        <v>0</v>
      </c>
      <c r="BL560" s="14"/>
      <c r="BM560" s="14"/>
      <c r="BN560" s="14"/>
      <c r="BO560" s="14"/>
      <c r="BP560" s="14"/>
      <c r="BQ560" s="14"/>
      <c r="BR560" s="14"/>
      <c r="BS560" s="14"/>
      <c r="BT560" s="324"/>
      <c r="BU560" s="14"/>
      <c r="BV560" s="14"/>
      <c r="BW560" s="14"/>
      <c r="BX560" s="14"/>
      <c r="BY560" s="14"/>
      <c r="BZ560" s="14"/>
      <c r="CA560" s="14"/>
      <c r="CB560" s="14"/>
      <c r="CC560" s="14"/>
      <c r="CD560" s="14"/>
      <c r="CE560" s="14"/>
      <c r="CF560" s="14"/>
      <c r="CG560" s="14"/>
      <c r="CH560" s="14"/>
      <c r="CI560" s="14"/>
      <c r="CJ560" s="2"/>
      <c r="CK560" s="2"/>
      <c r="CM560" s="1450">
        <v>0</v>
      </c>
      <c r="CN560" s="1450">
        <v>0</v>
      </c>
      <c r="CP560" s="923">
        <f t="shared" si="283"/>
        <v>0</v>
      </c>
      <c r="CZ560" s="330"/>
    </row>
    <row r="561" spans="1:104" ht="15" customHeight="1" x14ac:dyDescent="0.25">
      <c r="A561" s="701">
        <f>MAX($A$6:A560)+1</f>
        <v>561</v>
      </c>
      <c r="B561" s="1291">
        <f t="shared" si="282"/>
        <v>5.0999999999999996</v>
      </c>
      <c r="C561" s="18" t="str">
        <f t="shared" si="265"/>
        <v>Consolidated property, plant and equipment 2025-26</v>
      </c>
      <c r="D561" s="18" t="str">
        <f t="shared" si="296"/>
        <v>Buildings</v>
      </c>
      <c r="E561" s="19" t="str">
        <f>"Carrying amount "&amp;Update!$B$24</f>
        <v>Carrying amount  31 March 2025</v>
      </c>
      <c r="F561" s="20"/>
      <c r="G561" s="28"/>
      <c r="H561" s="14">
        <f>H532-H547</f>
        <v>3329</v>
      </c>
      <c r="I561" s="14">
        <f>I534-I547</f>
        <v>0</v>
      </c>
      <c r="J561" s="1258" t="s">
        <v>2494</v>
      </c>
      <c r="K561" s="256">
        <f>K532-K547</f>
        <v>0</v>
      </c>
      <c r="L561" s="256">
        <f>L532-L547</f>
        <v>0</v>
      </c>
      <c r="M561" s="21"/>
      <c r="N561" s="14">
        <f>ROUND(SUM(O561:S561)+T561+SUM(Z561:AV561),0)</f>
        <v>3329</v>
      </c>
      <c r="O561" s="14">
        <f t="shared" ref="O561:V561" si="308">O534-O547</f>
        <v>0</v>
      </c>
      <c r="P561" s="14">
        <f t="shared" si="308"/>
        <v>0</v>
      </c>
      <c r="Q561" s="14">
        <f t="shared" si="308"/>
        <v>0</v>
      </c>
      <c r="R561" s="14">
        <f t="shared" si="308"/>
        <v>0</v>
      </c>
      <c r="S561" s="14">
        <f t="shared" si="273"/>
        <v>0</v>
      </c>
      <c r="T561" s="14">
        <f t="shared" si="308"/>
        <v>3329</v>
      </c>
      <c r="U561" s="14">
        <f>U534-U547</f>
        <v>0</v>
      </c>
      <c r="V561" s="14">
        <f t="shared" si="308"/>
        <v>0</v>
      </c>
      <c r="W561" s="14">
        <f>W534-W547</f>
        <v>3329</v>
      </c>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2"/>
      <c r="AX561" s="14">
        <f>AX534-AX547</f>
        <v>0</v>
      </c>
      <c r="AY561" s="14">
        <f>ROUND(AX561/1000/Update!$B$31*Update!$B$27,0)</f>
        <v>0</v>
      </c>
      <c r="AZ561" s="2"/>
      <c r="BA561" s="14">
        <f>BA534-BA547</f>
        <v>0</v>
      </c>
      <c r="BB561" s="14">
        <f>ROUND(BA561/1000/Update!$B$31,0)</f>
        <v>0</v>
      </c>
      <c r="BC561" s="14"/>
      <c r="BD561" s="14">
        <f t="shared" si="286"/>
        <v>0</v>
      </c>
      <c r="BE561" s="14">
        <f t="shared" ref="BE561:BJ561" si="309">BE534-BE547</f>
        <v>0</v>
      </c>
      <c r="BF561" s="14">
        <f t="shared" si="309"/>
        <v>0</v>
      </c>
      <c r="BG561" s="14">
        <f t="shared" si="309"/>
        <v>0</v>
      </c>
      <c r="BH561" s="14">
        <f t="shared" si="309"/>
        <v>0</v>
      </c>
      <c r="BI561" s="14">
        <f t="shared" si="309"/>
        <v>0</v>
      </c>
      <c r="BJ561" s="14">
        <f t="shared" si="309"/>
        <v>0</v>
      </c>
      <c r="BK561" s="14">
        <f t="shared" si="304"/>
        <v>0</v>
      </c>
      <c r="BL561" s="14"/>
      <c r="BM561" s="14"/>
      <c r="BN561" s="14"/>
      <c r="BO561" s="14"/>
      <c r="BP561" s="14"/>
      <c r="BQ561" s="14"/>
      <c r="BR561" s="14"/>
      <c r="BS561" s="14"/>
      <c r="BT561" s="324"/>
      <c r="BU561" s="14"/>
      <c r="BV561" s="14"/>
      <c r="BW561" s="14"/>
      <c r="BX561" s="14"/>
      <c r="BY561" s="14"/>
      <c r="BZ561" s="14"/>
      <c r="CA561" s="14"/>
      <c r="CB561" s="14"/>
      <c r="CC561" s="14"/>
      <c r="CD561" s="14"/>
      <c r="CE561" s="14"/>
      <c r="CF561" s="14"/>
      <c r="CG561" s="14"/>
      <c r="CH561" s="14"/>
      <c r="CI561" s="14"/>
      <c r="CJ561" s="2"/>
      <c r="CK561" s="2"/>
      <c r="CM561" s="1450">
        <v>0</v>
      </c>
      <c r="CN561" s="1450">
        <v>0</v>
      </c>
      <c r="CP561" s="923">
        <f t="shared" si="283"/>
        <v>0</v>
      </c>
      <c r="CZ561" s="330"/>
    </row>
    <row r="562" spans="1:104" ht="15" customHeight="1" x14ac:dyDescent="0.25">
      <c r="A562" s="684">
        <f>MAX($A$6:A561)+1</f>
        <v>562</v>
      </c>
      <c r="B562" s="3">
        <f t="shared" si="282"/>
        <v>5.0999999999999996</v>
      </c>
      <c r="C562" s="11" t="str">
        <f t="shared" si="265"/>
        <v>Consolidated property, plant and equipment 2025-26</v>
      </c>
      <c r="D562" s="11" t="str">
        <f t="shared" si="296"/>
        <v>Buildings</v>
      </c>
      <c r="E562" s="13" t="s">
        <v>194</v>
      </c>
      <c r="F562" s="15"/>
      <c r="G562" s="26"/>
      <c r="H562" s="6"/>
      <c r="I562" s="6"/>
      <c r="J562" s="1257" t="s">
        <v>286</v>
      </c>
      <c r="K562" s="251">
        <f>SUMIF('alb Note 5.1 -PP&amp;E - CY'!$A:$A,$J562,'alb Note 5.1 -PP&amp;E - CY'!$C:$C)</f>
        <v>0</v>
      </c>
      <c r="L562" s="251">
        <f>SUMIF('alb Note 5.1 -PP&amp;E - CY'!$A:$A,$J562,'alb Note 5.1 -PP&amp;E - CY'!$N:$N)</f>
        <v>0</v>
      </c>
      <c r="M562" s="10"/>
      <c r="N562" s="273">
        <f>ROUND(SUM(O562:S562)+SUM(W562:AV562),0)</f>
        <v>0</v>
      </c>
      <c r="O562" s="12"/>
      <c r="P562" s="12"/>
      <c r="Q562" s="12"/>
      <c r="R562" s="12"/>
      <c r="S562" s="6">
        <f t="shared" si="273"/>
        <v>0</v>
      </c>
      <c r="T562" s="273">
        <f>ROUND(SUM(U562:Y562),0)</f>
        <v>0</v>
      </c>
      <c r="U562" s="6">
        <f>SUM(BL562:BN562)</f>
        <v>0</v>
      </c>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X562" s="6"/>
      <c r="AY562" s="6">
        <f>ROUND(AX562/1000/Update!$B$31*Update!$B$27,0)</f>
        <v>0</v>
      </c>
      <c r="BA562" s="6"/>
      <c r="BB562" s="6">
        <f>ROUND(BA562/1000/Update!$B$31,0)</f>
        <v>0</v>
      </c>
      <c r="BC562" s="6"/>
      <c r="BD562" s="29">
        <f t="shared" si="286"/>
        <v>0</v>
      </c>
      <c r="BE562" s="322"/>
      <c r="BF562" s="322"/>
      <c r="BG562" s="322"/>
      <c r="BH562" s="322"/>
      <c r="BI562" s="322"/>
      <c r="BJ562" s="322"/>
      <c r="BK562" s="29">
        <f t="shared" si="304"/>
        <v>0</v>
      </c>
      <c r="BL562" s="322"/>
      <c r="BM562" s="322"/>
      <c r="BN562" s="322"/>
      <c r="BO562" s="322"/>
      <c r="BP562" s="322"/>
      <c r="BQ562" s="322"/>
      <c r="BR562" s="322"/>
      <c r="BS562" s="322"/>
      <c r="BT562" s="322"/>
      <c r="BU562" s="322"/>
      <c r="BV562" s="322"/>
      <c r="BW562" s="322"/>
      <c r="BX562" s="322"/>
      <c r="BY562" s="322"/>
      <c r="BZ562" s="322"/>
      <c r="CA562" s="322"/>
      <c r="CB562" s="322"/>
      <c r="CC562" s="322"/>
      <c r="CD562" s="322"/>
      <c r="CE562" s="322"/>
      <c r="CF562" s="322"/>
      <c r="CG562" s="322"/>
      <c r="CH562" s="322"/>
      <c r="CI562" s="322"/>
      <c r="CM562" s="1139">
        <v>0</v>
      </c>
      <c r="CN562" s="1139">
        <v>0</v>
      </c>
      <c r="CP562" s="923">
        <f t="shared" si="283"/>
        <v>0</v>
      </c>
      <c r="CZ562" s="330"/>
    </row>
    <row r="563" spans="1:104" ht="15" customHeight="1" x14ac:dyDescent="0.25">
      <c r="A563" s="684">
        <f>MAX($A$6:A562)+1</f>
        <v>563</v>
      </c>
      <c r="B563" s="3">
        <f t="shared" si="282"/>
        <v>5.0999999999999996</v>
      </c>
      <c r="C563" s="11" t="str">
        <f t="shared" si="265"/>
        <v>Consolidated property, plant and equipment 2025-26</v>
      </c>
      <c r="D563" s="11" t="str">
        <f t="shared" si="296"/>
        <v>Buildings</v>
      </c>
      <c r="E563" s="7" t="s">
        <v>197</v>
      </c>
      <c r="F563" s="15"/>
      <c r="G563" s="1254" t="s">
        <v>443</v>
      </c>
      <c r="H563" s="6">
        <v>2963</v>
      </c>
      <c r="I563" s="6">
        <v>0</v>
      </c>
      <c r="J563" s="1257" t="s">
        <v>197</v>
      </c>
      <c r="K563" s="251">
        <f>SUMIF('alb Note 5.1 -PP&amp;E - CY'!$A:$A,$J563,'alb Note 5.1 -PP&amp;E - CY'!$C:$C)</f>
        <v>0</v>
      </c>
      <c r="L563" s="251">
        <f>SUMIF('alb Note 5.1 -PP&amp;E - CY'!$A:$A,$J563,'alb Note 5.1 -PP&amp;E - CY'!$N:$N)</f>
        <v>0</v>
      </c>
      <c r="M563" s="10"/>
      <c r="N563" s="273">
        <f>ROUND(SUM(O563:S563)+SUM(W563:AV563),0)</f>
        <v>2963</v>
      </c>
      <c r="O563" s="12"/>
      <c r="P563" s="12"/>
      <c r="Q563" s="12"/>
      <c r="R563" s="12"/>
      <c r="S563" s="6">
        <f t="shared" ref="S563:S628" si="310">-IF(ISNUMBER(BD563),BD563,0)</f>
        <v>0</v>
      </c>
      <c r="T563" s="273">
        <f>ROUND(SUM(U563:Y563),0)</f>
        <v>2963</v>
      </c>
      <c r="U563" s="6">
        <f>SUM(BL563:BN563)</f>
        <v>0</v>
      </c>
      <c r="V563" s="6"/>
      <c r="W563" s="6">
        <f>+H563</f>
        <v>2963</v>
      </c>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X563" s="6"/>
      <c r="AY563" s="6">
        <f>ROUND(AX563/1000/Update!$B$31*Update!$B$27,0)</f>
        <v>0</v>
      </c>
      <c r="BA563" s="6"/>
      <c r="BB563" s="6">
        <f>ROUND(BA563/1000/Update!$B$31,0)</f>
        <v>0</v>
      </c>
      <c r="BC563" s="6"/>
      <c r="BD563" s="29">
        <f t="shared" si="286"/>
        <v>0</v>
      </c>
      <c r="BE563" s="322"/>
      <c r="BF563" s="322"/>
      <c r="BG563" s="322"/>
      <c r="BH563" s="322"/>
      <c r="BI563" s="322"/>
      <c r="BJ563" s="322"/>
      <c r="BK563" s="29">
        <f t="shared" si="304"/>
        <v>0</v>
      </c>
      <c r="BL563" s="322"/>
      <c r="BM563" s="322"/>
      <c r="BN563" s="322"/>
      <c r="BO563" s="322"/>
      <c r="BP563" s="322"/>
      <c r="BQ563" s="322"/>
      <c r="BR563" s="322"/>
      <c r="BS563" s="322"/>
      <c r="BT563" s="322"/>
      <c r="BU563" s="322"/>
      <c r="BV563" s="322"/>
      <c r="BW563" s="322"/>
      <c r="BX563" s="322"/>
      <c r="BY563" s="322"/>
      <c r="BZ563" s="322"/>
      <c r="CA563" s="322"/>
      <c r="CB563" s="322"/>
      <c r="CC563" s="322"/>
      <c r="CD563" s="322"/>
      <c r="CE563" s="322"/>
      <c r="CF563" s="322"/>
      <c r="CG563" s="322"/>
      <c r="CH563" s="322"/>
      <c r="CI563" s="322"/>
      <c r="CM563" s="1139">
        <v>0</v>
      </c>
      <c r="CN563" s="1139">
        <v>0</v>
      </c>
      <c r="CP563" s="923">
        <f t="shared" si="283"/>
        <v>0</v>
      </c>
      <c r="CZ563" s="330"/>
    </row>
    <row r="564" spans="1:104" ht="15" customHeight="1" x14ac:dyDescent="0.25">
      <c r="A564" s="684">
        <f>MAX($A$6:A563)+1</f>
        <v>564</v>
      </c>
      <c r="B564" s="3">
        <f t="shared" si="282"/>
        <v>5.0999999999999996</v>
      </c>
      <c r="C564" s="11" t="str">
        <f t="shared" si="265"/>
        <v>Consolidated property, plant and equipment 2025-26</v>
      </c>
      <c r="D564" s="11" t="str">
        <f t="shared" si="296"/>
        <v>Buildings</v>
      </c>
      <c r="E564" s="7" t="s">
        <v>198</v>
      </c>
      <c r="F564" s="15"/>
      <c r="G564" s="1254" t="s">
        <v>444</v>
      </c>
      <c r="H564" s="6">
        <v>366</v>
      </c>
      <c r="I564" s="6">
        <v>0</v>
      </c>
      <c r="J564" s="1257" t="s">
        <v>198</v>
      </c>
      <c r="K564" s="251">
        <f>SUMIF('alb Note 5.1 -PP&amp;E - CY'!$A:$A,$J564,'alb Note 5.1 -PP&amp;E - CY'!$C:$C)</f>
        <v>0</v>
      </c>
      <c r="L564" s="251">
        <f>SUMIF('alb Note 5.1 -PP&amp;E - CY'!$A:$A,$J564,'alb Note 5.1 -PP&amp;E - CY'!$N:$N)</f>
        <v>0</v>
      </c>
      <c r="M564" s="10"/>
      <c r="N564" s="273">
        <f>ROUND(SUM(O564:S564)+SUM(W564:AV564),0)</f>
        <v>366</v>
      </c>
      <c r="O564" s="12"/>
      <c r="P564" s="12"/>
      <c r="Q564" s="12"/>
      <c r="R564" s="12"/>
      <c r="S564" s="6">
        <f t="shared" si="310"/>
        <v>0</v>
      </c>
      <c r="T564" s="273">
        <f>ROUND(SUM(U564:Y564),0)</f>
        <v>366</v>
      </c>
      <c r="U564" s="6">
        <f>SUM(BL564:BN564)</f>
        <v>0</v>
      </c>
      <c r="V564" s="6"/>
      <c r="W564" s="6">
        <f>+H564</f>
        <v>366</v>
      </c>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X564" s="6"/>
      <c r="AY564" s="6">
        <f>ROUND(AX564/1000/Update!$B$31*Update!$B$27,0)</f>
        <v>0</v>
      </c>
      <c r="BA564" s="6"/>
      <c r="BB564" s="6">
        <f>ROUND(BA564/1000/Update!$B$31,0)</f>
        <v>0</v>
      </c>
      <c r="BC564" s="6"/>
      <c r="BD564" s="29">
        <f t="shared" si="286"/>
        <v>0</v>
      </c>
      <c r="BE564" s="322"/>
      <c r="BF564" s="322"/>
      <c r="BG564" s="322"/>
      <c r="BH564" s="322"/>
      <c r="BI564" s="322"/>
      <c r="BJ564" s="322"/>
      <c r="BK564" s="29">
        <f t="shared" si="304"/>
        <v>0</v>
      </c>
      <c r="BL564" s="322"/>
      <c r="BM564" s="322"/>
      <c r="BN564" s="322"/>
      <c r="BO564" s="322"/>
      <c r="BP564" s="322"/>
      <c r="BQ564" s="322"/>
      <c r="BR564" s="322"/>
      <c r="BS564" s="322"/>
      <c r="BT564" s="322"/>
      <c r="BU564" s="322"/>
      <c r="BV564" s="322"/>
      <c r="BW564" s="322"/>
      <c r="BX564" s="322"/>
      <c r="BY564" s="322"/>
      <c r="BZ564" s="322"/>
      <c r="CA564" s="322"/>
      <c r="CB564" s="322"/>
      <c r="CC564" s="322"/>
      <c r="CD564" s="322"/>
      <c r="CE564" s="322"/>
      <c r="CF564" s="322"/>
      <c r="CG564" s="322"/>
      <c r="CH564" s="322"/>
      <c r="CI564" s="322"/>
      <c r="CM564" s="1139">
        <v>0</v>
      </c>
      <c r="CN564" s="1139">
        <v>0</v>
      </c>
      <c r="CP564" s="923">
        <f t="shared" si="283"/>
        <v>0</v>
      </c>
      <c r="CZ564" s="330"/>
    </row>
    <row r="565" spans="1:104" ht="45" customHeight="1" x14ac:dyDescent="0.25">
      <c r="A565" s="684">
        <f>MAX($A$6:A564)+1</f>
        <v>565</v>
      </c>
      <c r="B565" s="3">
        <f t="shared" si="282"/>
        <v>5.0999999999999996</v>
      </c>
      <c r="C565" s="11" t="str">
        <f t="shared" si="265"/>
        <v>Consolidated property, plant and equipment 2025-26</v>
      </c>
      <c r="D565" s="11" t="str">
        <f t="shared" si="296"/>
        <v>Buildings</v>
      </c>
      <c r="E565" s="7" t="s">
        <v>199</v>
      </c>
      <c r="F565" s="15"/>
      <c r="G565" s="1254" t="s">
        <v>199</v>
      </c>
      <c r="H565" s="6">
        <v>0</v>
      </c>
      <c r="I565" s="6">
        <v>0</v>
      </c>
      <c r="J565" s="1257" t="s">
        <v>769</v>
      </c>
      <c r="K565" s="251">
        <f>SUMIF('alb Note 5.1 -PP&amp;E - CY'!$A:$A,$J565,'alb Note 5.1 -PP&amp;E - CY'!$C:$C)</f>
        <v>0</v>
      </c>
      <c r="L565" s="251">
        <f>SUMIF('alb Note 5.1 -PP&amp;E - CY'!$A:$A,$J565,'alb Note 5.1 -PP&amp;E - CY'!$N:$N)</f>
        <v>0</v>
      </c>
      <c r="M565" s="10"/>
      <c r="N565" s="273">
        <f>ROUND(SUM(O565:S565)+SUM(W565:AV565),0)</f>
        <v>0</v>
      </c>
      <c r="O565" s="12"/>
      <c r="P565" s="12"/>
      <c r="Q565" s="12"/>
      <c r="R565" s="12"/>
      <c r="S565" s="6">
        <f t="shared" si="310"/>
        <v>0</v>
      </c>
      <c r="T565" s="273">
        <f>ROUND(SUM(U565:Y565),0)</f>
        <v>0</v>
      </c>
      <c r="U565" s="6">
        <f>SUM(BL565:BN565)</f>
        <v>0</v>
      </c>
      <c r="V565" s="6"/>
      <c r="W565" s="6">
        <f>+H565</f>
        <v>0</v>
      </c>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X565" s="6"/>
      <c r="AY565" s="6">
        <f>ROUND(AX565/1000/Update!$B$31*Update!$B$27,0)</f>
        <v>0</v>
      </c>
      <c r="BA565" s="6"/>
      <c r="BB565" s="6">
        <f>ROUND(BA565/1000/Update!$B$31,0)</f>
        <v>0</v>
      </c>
      <c r="BC565" s="6"/>
      <c r="BD565" s="29">
        <f t="shared" si="286"/>
        <v>0</v>
      </c>
      <c r="BE565" s="322"/>
      <c r="BF565" s="322"/>
      <c r="BG565" s="322"/>
      <c r="BH565" s="322"/>
      <c r="BI565" s="322"/>
      <c r="BJ565" s="322"/>
      <c r="BK565" s="29">
        <f t="shared" si="304"/>
        <v>0</v>
      </c>
      <c r="BL565" s="322"/>
      <c r="BM565" s="322"/>
      <c r="BN565" s="322"/>
      <c r="BO565" s="322"/>
      <c r="BP565" s="322"/>
      <c r="BQ565" s="322"/>
      <c r="BR565" s="322"/>
      <c r="BS565" s="322"/>
      <c r="BT565" s="322"/>
      <c r="BU565" s="322"/>
      <c r="BV565" s="322"/>
      <c r="BW565" s="322"/>
      <c r="BX565" s="322"/>
      <c r="BY565" s="322"/>
      <c r="BZ565" s="322"/>
      <c r="CA565" s="322"/>
      <c r="CB565" s="322"/>
      <c r="CC565" s="322"/>
      <c r="CD565" s="322"/>
      <c r="CE565" s="322"/>
      <c r="CF565" s="322"/>
      <c r="CG565" s="322"/>
      <c r="CH565" s="322"/>
      <c r="CI565" s="322"/>
      <c r="CM565" s="1139">
        <v>0</v>
      </c>
      <c r="CN565" s="1139">
        <v>0</v>
      </c>
      <c r="CP565" s="923">
        <f t="shared" si="283"/>
        <v>0</v>
      </c>
      <c r="CZ565" s="330"/>
    </row>
    <row r="566" spans="1:104" ht="15" customHeight="1" x14ac:dyDescent="0.25">
      <c r="A566" s="684">
        <f>MAX($A$6:A565)+1</f>
        <v>566</v>
      </c>
      <c r="B566" s="3">
        <f t="shared" si="282"/>
        <v>5.0999999999999996</v>
      </c>
      <c r="C566" s="11" t="str">
        <f t="shared" si="265"/>
        <v>Consolidated property, plant and equipment 2025-26</v>
      </c>
      <c r="D566" s="11" t="str">
        <f t="shared" si="296"/>
        <v>Buildings</v>
      </c>
      <c r="E566" s="7" t="s">
        <v>1695</v>
      </c>
      <c r="F566" s="15"/>
      <c r="G566" s="1257" t="s">
        <v>1695</v>
      </c>
      <c r="H566" s="6">
        <v>0</v>
      </c>
      <c r="I566" s="6">
        <v>0</v>
      </c>
      <c r="J566" s="1257" t="s">
        <v>1695</v>
      </c>
      <c r="K566" s="251">
        <f>SUMIF('alb Note 5.1 -PP&amp;E - CY'!$A:$A,$J566,'alb Note 5.1 -PP&amp;E - CY'!$C:$C)</f>
        <v>0</v>
      </c>
      <c r="L566" s="251">
        <f>SUMIF('alb Note 5.1 -PP&amp;E - CY'!$A:$A,$J566,'alb Note 5.1 -PP&amp;E - CY'!$N:$N)</f>
        <v>0</v>
      </c>
      <c r="M566" s="10"/>
      <c r="N566" s="273">
        <f>ROUND(SUM(O566:S566)+SUM(W566:AV566),0)</f>
        <v>0</v>
      </c>
      <c r="O566" s="12"/>
      <c r="P566" s="12"/>
      <c r="Q566" s="12"/>
      <c r="R566" s="12"/>
      <c r="S566" s="6">
        <f t="shared" si="310"/>
        <v>0</v>
      </c>
      <c r="T566" s="273">
        <f>ROUND(SUM(U566:Y566),0)</f>
        <v>0</v>
      </c>
      <c r="U566" s="6">
        <f>SUM(BL566:BN566)</f>
        <v>0</v>
      </c>
      <c r="V566" s="6"/>
      <c r="W566" s="6">
        <f>+H566</f>
        <v>0</v>
      </c>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X566" s="6"/>
      <c r="AY566" s="6"/>
      <c r="BA566" s="6"/>
      <c r="BB566" s="6"/>
      <c r="BC566" s="6"/>
      <c r="BD566" s="29">
        <f t="shared" si="286"/>
        <v>0</v>
      </c>
      <c r="BE566" s="322"/>
      <c r="BF566" s="322"/>
      <c r="BG566" s="322"/>
      <c r="BH566" s="322"/>
      <c r="BI566" s="322"/>
      <c r="BJ566" s="322"/>
      <c r="BK566" s="29">
        <f t="shared" si="304"/>
        <v>0</v>
      </c>
      <c r="BL566" s="322"/>
      <c r="BM566" s="322"/>
      <c r="BN566" s="322"/>
      <c r="BO566" s="322"/>
      <c r="BP566" s="322"/>
      <c r="BQ566" s="322"/>
      <c r="BR566" s="322"/>
      <c r="BS566" s="322"/>
      <c r="BT566" s="322"/>
      <c r="BU566" s="322"/>
      <c r="BV566" s="322"/>
      <c r="BW566" s="322"/>
      <c r="BX566" s="322"/>
      <c r="BY566" s="322"/>
      <c r="BZ566" s="322"/>
      <c r="CA566" s="322"/>
      <c r="CB566" s="322"/>
      <c r="CC566" s="322"/>
      <c r="CD566" s="322"/>
      <c r="CE566" s="322"/>
      <c r="CF566" s="322"/>
      <c r="CG566" s="322"/>
      <c r="CH566" s="322"/>
      <c r="CI566" s="322"/>
      <c r="CM566" s="1139">
        <v>0</v>
      </c>
      <c r="CN566" s="1139">
        <v>0</v>
      </c>
      <c r="CP566" s="923">
        <f t="shared" si="283"/>
        <v>0</v>
      </c>
      <c r="CZ566" s="330"/>
    </row>
    <row r="567" spans="1:104" ht="15" customHeight="1" x14ac:dyDescent="0.25">
      <c r="A567" s="701">
        <f>MAX($A$6:A566)+1</f>
        <v>567</v>
      </c>
      <c r="B567" s="1291">
        <f t="shared" si="282"/>
        <v>5.0999999999999996</v>
      </c>
      <c r="C567" s="18" t="str">
        <f t="shared" si="265"/>
        <v>Consolidated property, plant and equipment 2025-26</v>
      </c>
      <c r="D567" s="18" t="str">
        <f t="shared" si="296"/>
        <v>Buildings</v>
      </c>
      <c r="E567" s="19" t="str">
        <f>"Carrying amount "&amp;Update!$B$22</f>
        <v>Carrying amount  31 March 2026</v>
      </c>
      <c r="F567" s="20"/>
      <c r="G567" s="255"/>
      <c r="H567" s="14">
        <f>SUM(H562:H566)</f>
        <v>3329</v>
      </c>
      <c r="I567" s="14">
        <f>SUM(I562:I566)</f>
        <v>0</v>
      </c>
      <c r="J567" s="19" t="str">
        <f>"Carrying amount "&amp;Update!$B$22</f>
        <v>Carrying amount  31 March 2026</v>
      </c>
      <c r="K567" s="14">
        <f>SUM(K562:K566)</f>
        <v>0</v>
      </c>
      <c r="L567" s="14">
        <f>SUM(L562:L566)</f>
        <v>0</v>
      </c>
      <c r="M567" s="21"/>
      <c r="N567" s="14">
        <f>ROUND(SUM(O567:S567)+T567+SUM(Z567:AV567),0)</f>
        <v>3329</v>
      </c>
      <c r="O567" s="14">
        <f t="shared" ref="O567:W567" si="311">SUM(O562:O565)</f>
        <v>0</v>
      </c>
      <c r="P567" s="14">
        <f t="shared" si="311"/>
        <v>0</v>
      </c>
      <c r="Q567" s="14">
        <f t="shared" si="311"/>
        <v>0</v>
      </c>
      <c r="R567" s="14">
        <f t="shared" si="311"/>
        <v>0</v>
      </c>
      <c r="S567" s="14">
        <f t="shared" si="310"/>
        <v>0</v>
      </c>
      <c r="T567" s="14">
        <f t="shared" si="311"/>
        <v>3329</v>
      </c>
      <c r="U567" s="14">
        <f t="shared" si="311"/>
        <v>0</v>
      </c>
      <c r="V567" s="14">
        <f t="shared" si="311"/>
        <v>0</v>
      </c>
      <c r="W567" s="14">
        <f t="shared" si="311"/>
        <v>3329</v>
      </c>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2"/>
      <c r="AX567" s="14">
        <f>SUM(AX562:AX565)</f>
        <v>0</v>
      </c>
      <c r="AY567" s="14">
        <f>ROUND(AX567/1000/Update!$B$31*Update!$B$27,0)</f>
        <v>0</v>
      </c>
      <c r="AZ567" s="2"/>
      <c r="BA567" s="14">
        <f>SUM(BA562:BA565)</f>
        <v>0</v>
      </c>
      <c r="BB567" s="14">
        <f>ROUND(BA567/1000/Update!$B$31,0)</f>
        <v>0</v>
      </c>
      <c r="BC567" s="14"/>
      <c r="BD567" s="14">
        <f t="shared" si="286"/>
        <v>0</v>
      </c>
      <c r="BE567" s="14">
        <f t="shared" ref="BE567:BJ567" si="312">SUM(BE562:BE565)</f>
        <v>0</v>
      </c>
      <c r="BF567" s="14">
        <f t="shared" si="312"/>
        <v>0</v>
      </c>
      <c r="BG567" s="14">
        <f t="shared" si="312"/>
        <v>0</v>
      </c>
      <c r="BH567" s="14">
        <f t="shared" si="312"/>
        <v>0</v>
      </c>
      <c r="BI567" s="14">
        <f t="shared" si="312"/>
        <v>0</v>
      </c>
      <c r="BJ567" s="14">
        <f t="shared" si="312"/>
        <v>0</v>
      </c>
      <c r="BK567" s="14">
        <f t="shared" si="304"/>
        <v>0</v>
      </c>
      <c r="BL567" s="14"/>
      <c r="BM567" s="14"/>
      <c r="BN567" s="14"/>
      <c r="BO567" s="14"/>
      <c r="BP567" s="14"/>
      <c r="BQ567" s="14"/>
      <c r="BR567" s="14"/>
      <c r="BS567" s="14"/>
      <c r="BT567" s="324"/>
      <c r="BU567" s="14"/>
      <c r="BV567" s="14"/>
      <c r="BW567" s="14"/>
      <c r="BX567" s="14"/>
      <c r="BY567" s="14"/>
      <c r="BZ567" s="14"/>
      <c r="CA567" s="14"/>
      <c r="CB567" s="14"/>
      <c r="CC567" s="14"/>
      <c r="CD567" s="14"/>
      <c r="CE567" s="14"/>
      <c r="CF567" s="14"/>
      <c r="CG567" s="14"/>
      <c r="CH567" s="14"/>
      <c r="CI567" s="14"/>
      <c r="CJ567" s="2"/>
      <c r="CK567" s="2"/>
      <c r="CM567" s="1450">
        <v>0</v>
      </c>
      <c r="CN567" s="1450">
        <v>0</v>
      </c>
      <c r="CP567" s="923">
        <f t="shared" si="283"/>
        <v>0</v>
      </c>
      <c r="CZ567" s="330"/>
    </row>
    <row r="568" spans="1:104" ht="15" customHeight="1" x14ac:dyDescent="0.25">
      <c r="A568" s="684">
        <f>MAX($A$6:A567)+1</f>
        <v>568</v>
      </c>
      <c r="B568" s="3">
        <f>B567</f>
        <v>5.0999999999999996</v>
      </c>
      <c r="C568" s="11" t="str">
        <f>C567</f>
        <v>Consolidated property, plant and equipment 2025-26</v>
      </c>
      <c r="D568" s="11" t="s">
        <v>200</v>
      </c>
      <c r="E568" s="7"/>
      <c r="F568" s="15"/>
      <c r="G568" s="250"/>
      <c r="H568" s="6"/>
      <c r="I568" s="6"/>
      <c r="J568" s="1257" t="s">
        <v>286</v>
      </c>
      <c r="K568" s="251">
        <f>SUMIF('alb Note 5.1 -PP&amp;E - CY'!$A:$A,$J568,'alb Note 5.1 -PP&amp;E - CY'!$D:$D)</f>
        <v>0</v>
      </c>
      <c r="L568" s="251">
        <f>SUMIF('alb Note 5.1 -PP&amp;E - CY'!$A:$A,$J568,'alb Note 5.1 -PP&amp;E - CY'!$O:$O)</f>
        <v>0</v>
      </c>
      <c r="M568" s="10"/>
      <c r="N568" s="273">
        <f>ROUND(SUM(O568:S568)+SUM(W568:AV568),0)</f>
        <v>0</v>
      </c>
      <c r="O568" s="12"/>
      <c r="P568" s="12"/>
      <c r="Q568" s="12"/>
      <c r="R568" s="12"/>
      <c r="S568" s="6">
        <f t="shared" si="310"/>
        <v>0</v>
      </c>
      <c r="T568" s="273">
        <f t="shared" ref="T568:T586" si="313">ROUND(SUM(U568:Y568),0)</f>
        <v>0</v>
      </c>
      <c r="U568" s="6">
        <f>SUM(BL568:BN568)</f>
        <v>0</v>
      </c>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X568" s="6"/>
      <c r="AY568" s="6">
        <f>ROUND(AX568/1000/Update!$B$31*Update!$B$27,0)</f>
        <v>0</v>
      </c>
      <c r="BA568" s="6"/>
      <c r="BB568" s="6">
        <f>ROUND(BA568/1000/Update!$B$31,0)</f>
        <v>0</v>
      </c>
      <c r="BC568" s="6"/>
      <c r="BD568" s="29">
        <f t="shared" si="286"/>
        <v>0</v>
      </c>
      <c r="BE568" s="322"/>
      <c r="BF568" s="322"/>
      <c r="BG568" s="322"/>
      <c r="BH568" s="322"/>
      <c r="BI568" s="322"/>
      <c r="BJ568" s="322"/>
      <c r="BK568" s="29">
        <f t="shared" si="304"/>
        <v>0</v>
      </c>
      <c r="BL568" s="322"/>
      <c r="BM568" s="322"/>
      <c r="BN568" s="322"/>
      <c r="BO568" s="322"/>
      <c r="BP568" s="322"/>
      <c r="BQ568" s="322"/>
      <c r="BR568" s="322"/>
      <c r="BS568" s="322"/>
      <c r="BT568" s="322"/>
      <c r="BU568" s="322"/>
      <c r="BV568" s="322"/>
      <c r="BW568" s="322"/>
      <c r="BX568" s="322"/>
      <c r="BY568" s="322"/>
      <c r="BZ568" s="322"/>
      <c r="CA568" s="322"/>
      <c r="CB568" s="322"/>
      <c r="CC568" s="322"/>
      <c r="CD568" s="322"/>
      <c r="CE568" s="322"/>
      <c r="CF568" s="322"/>
      <c r="CG568" s="322"/>
      <c r="CH568" s="322"/>
      <c r="CI568" s="322"/>
      <c r="CM568" s="1139">
        <v>0</v>
      </c>
      <c r="CN568" s="1139">
        <v>0</v>
      </c>
      <c r="CP568" s="923">
        <f t="shared" si="283"/>
        <v>0</v>
      </c>
      <c r="CZ568" s="330"/>
    </row>
    <row r="569" spans="1:104" ht="18.75" customHeight="1" x14ac:dyDescent="0.25">
      <c r="A569" s="684">
        <f>MAX($A$6:A568)+1</f>
        <v>569</v>
      </c>
      <c r="B569" s="3">
        <f t="shared" si="282"/>
        <v>5.0999999999999996</v>
      </c>
      <c r="C569" s="11" t="str">
        <f t="shared" si="282"/>
        <v>Consolidated property, plant and equipment 2025-26</v>
      </c>
      <c r="D569" s="11" t="s">
        <v>200</v>
      </c>
      <c r="E569" s="277" t="s">
        <v>183</v>
      </c>
      <c r="F569" s="15"/>
      <c r="G569" s="250"/>
      <c r="H569" s="6"/>
      <c r="I569" s="6"/>
      <c r="J569" s="1257" t="s">
        <v>286</v>
      </c>
      <c r="K569" s="251">
        <f>SUMIF('alb Note 5.1 -PP&amp;E - CY'!$A:$A,$J569,'alb Note 5.1 -PP&amp;E - CY'!$D:$D)</f>
        <v>0</v>
      </c>
      <c r="L569" s="251">
        <f>SUMIF('alb Note 5.1 -PP&amp;E - CY'!$A:$A,$J569,'alb Note 5.1 -PP&amp;E - CY'!$O:$O)</f>
        <v>0</v>
      </c>
      <c r="M569" s="10"/>
      <c r="N569" s="273">
        <f>ROUND(SUM(O569:S569)+SUM(W569:AV569),0)</f>
        <v>0</v>
      </c>
      <c r="O569" s="12"/>
      <c r="P569" s="12"/>
      <c r="Q569" s="12"/>
      <c r="R569" s="12"/>
      <c r="S569" s="6">
        <f t="shared" si="310"/>
        <v>0</v>
      </c>
      <c r="T569" s="273">
        <f t="shared" si="313"/>
        <v>0</v>
      </c>
      <c r="U569" s="6">
        <f>SUM(BL569:BN569)</f>
        <v>0</v>
      </c>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X569" s="6"/>
      <c r="AY569" s="6">
        <f>ROUND(AX569/1000/Update!$B$31*Update!$B$27,0)</f>
        <v>0</v>
      </c>
      <c r="BA569" s="6"/>
      <c r="BB569" s="6">
        <f>ROUND(BA569/1000/Update!$B$31,0)</f>
        <v>0</v>
      </c>
      <c r="BC569" s="6"/>
      <c r="BD569" s="29">
        <f t="shared" si="286"/>
        <v>0</v>
      </c>
      <c r="BE569" s="322"/>
      <c r="BF569" s="322"/>
      <c r="BG569" s="322"/>
      <c r="BH569" s="322"/>
      <c r="BI569" s="322"/>
      <c r="BJ569" s="322"/>
      <c r="BK569" s="29">
        <f t="shared" si="304"/>
        <v>0</v>
      </c>
      <c r="BL569" s="322"/>
      <c r="BM569" s="322"/>
      <c r="BN569" s="322"/>
      <c r="BO569" s="322"/>
      <c r="BP569" s="322"/>
      <c r="BQ569" s="322"/>
      <c r="BR569" s="322"/>
      <c r="BS569" s="322"/>
      <c r="BT569" s="322"/>
      <c r="BU569" s="322"/>
      <c r="BV569" s="322"/>
      <c r="BW569" s="322"/>
      <c r="BX569" s="322"/>
      <c r="BY569" s="322"/>
      <c r="BZ569" s="322"/>
      <c r="CA569" s="322"/>
      <c r="CB569" s="322"/>
      <c r="CC569" s="322"/>
      <c r="CD569" s="322"/>
      <c r="CE569" s="322"/>
      <c r="CF569" s="322"/>
      <c r="CG569" s="322"/>
      <c r="CH569" s="322"/>
      <c r="CI569" s="322"/>
      <c r="CM569" s="1139">
        <v>0</v>
      </c>
      <c r="CN569" s="1139">
        <v>0</v>
      </c>
      <c r="CP569" s="923">
        <f t="shared" si="283"/>
        <v>0</v>
      </c>
      <c r="CZ569" s="330"/>
    </row>
    <row r="570" spans="1:104" ht="15" customHeight="1" x14ac:dyDescent="0.25">
      <c r="A570" s="684">
        <f>MAX($A$6:A569)+1</f>
        <v>570</v>
      </c>
      <c r="B570" s="3">
        <f t="shared" si="282"/>
        <v>5.0999999999999996</v>
      </c>
      <c r="C570" s="11" t="str">
        <f t="shared" si="282"/>
        <v>Consolidated property, plant and equipment 2025-26</v>
      </c>
      <c r="D570" s="11" t="str">
        <f>D569</f>
        <v>Dwellings</v>
      </c>
      <c r="E570" s="7" t="str">
        <f>"At"&amp;Update!$B$20</f>
        <v>At 1 April 2025</v>
      </c>
      <c r="F570" s="15"/>
      <c r="G570" s="1267" t="str">
        <f>"At"&amp;Update!$B$20</f>
        <v>At 1 April 2025</v>
      </c>
      <c r="H570" s="6">
        <v>446</v>
      </c>
      <c r="I570" s="6">
        <v>0</v>
      </c>
      <c r="J570" s="1257" t="str">
        <f>$E570</f>
        <v>At 1 April 2025</v>
      </c>
      <c r="K570" s="251">
        <f>SUMIF('alb Note 5.1 -PP&amp;E - CY'!$A:$A,$J570,'alb Note 5.1 -PP&amp;E - CY'!$D:$D)</f>
        <v>0</v>
      </c>
      <c r="L570" s="251">
        <f>SUMIF('alb Note 5.1 -PP&amp;E - CY'!$A:$A,$J570,'alb Note 5.1 -PP&amp;E - CY'!$O:$O)</f>
        <v>0</v>
      </c>
      <c r="M570" s="10"/>
      <c r="N570" s="273">
        <f>ROUND(SUM(O570:S570)+SUM(W570:AV570),0)</f>
        <v>446</v>
      </c>
      <c r="O570" s="12"/>
      <c r="P570" s="12"/>
      <c r="Q570" s="12"/>
      <c r="R570" s="12"/>
      <c r="S570" s="6">
        <f t="shared" si="310"/>
        <v>0</v>
      </c>
      <c r="T570" s="273">
        <f t="shared" si="313"/>
        <v>446</v>
      </c>
      <c r="U570" s="6">
        <f>SUM(BL570:BN570)</f>
        <v>0</v>
      </c>
      <c r="V570" s="6"/>
      <c r="W570" s="6">
        <f t="shared" ref="W570:W582" si="314">+H570</f>
        <v>446</v>
      </c>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X570" s="6"/>
      <c r="AY570" s="6">
        <f>ROUND(AX570/1000/Update!$B$31*Update!$B$27,0)</f>
        <v>0</v>
      </c>
      <c r="BA570" s="6"/>
      <c r="BB570" s="6">
        <f>ROUND(BA570/1000/Update!$B$31,0)</f>
        <v>0</v>
      </c>
      <c r="BC570" s="6"/>
      <c r="BD570" s="29">
        <f t="shared" si="286"/>
        <v>0</v>
      </c>
      <c r="BE570" s="322"/>
      <c r="BF570" s="322"/>
      <c r="BG570" s="322"/>
      <c r="BH570" s="322"/>
      <c r="BI570" s="322"/>
      <c r="BJ570" s="322"/>
      <c r="BK570" s="29">
        <f t="shared" si="304"/>
        <v>0</v>
      </c>
      <c r="BL570" s="322"/>
      <c r="BM570" s="322"/>
      <c r="BN570" s="322"/>
      <c r="BO570" s="322"/>
      <c r="BP570" s="322"/>
      <c r="BQ570" s="322"/>
      <c r="BR570" s="322"/>
      <c r="BS570" s="322"/>
      <c r="BT570" s="322"/>
      <c r="BU570" s="322"/>
      <c r="BV570" s="322"/>
      <c r="BW570" s="322"/>
      <c r="BX570" s="322"/>
      <c r="BY570" s="322"/>
      <c r="BZ570" s="322"/>
      <c r="CA570" s="322"/>
      <c r="CB570" s="322"/>
      <c r="CC570" s="322"/>
      <c r="CD570" s="322"/>
      <c r="CE570" s="322"/>
      <c r="CF570" s="322"/>
      <c r="CG570" s="322"/>
      <c r="CH570" s="322"/>
      <c r="CI570" s="322"/>
      <c r="CM570" s="1139">
        <v>0</v>
      </c>
      <c r="CN570" s="1139">
        <v>0</v>
      </c>
      <c r="CP570" s="923">
        <f t="shared" si="283"/>
        <v>0</v>
      </c>
      <c r="CZ570" s="330"/>
    </row>
    <row r="571" spans="1:104" ht="15" customHeight="1" x14ac:dyDescent="0.25">
      <c r="A571" s="684">
        <f>MAX($A$6:A570)+1</f>
        <v>571</v>
      </c>
      <c r="B571" s="3">
        <f t="shared" si="282"/>
        <v>5.0999999999999996</v>
      </c>
      <c r="C571" s="11" t="str">
        <f t="shared" si="282"/>
        <v>Consolidated property, plant and equipment 2025-26</v>
      </c>
      <c r="D571" s="11" t="str">
        <f t="shared" ref="D571:D603" si="315">D570</f>
        <v>Dwellings</v>
      </c>
      <c r="E571" s="7" t="s">
        <v>435</v>
      </c>
      <c r="F571" s="15"/>
      <c r="G571" s="1254" t="s">
        <v>435</v>
      </c>
      <c r="H571" s="6">
        <v>0</v>
      </c>
      <c r="I571" s="6">
        <v>0</v>
      </c>
      <c r="J571" s="7" t="s">
        <v>184</v>
      </c>
      <c r="K571" s="251">
        <f>SUMIF('alb Note 5.1 -PP&amp;E - CY'!$A:$A,$J571,'alb Note 5.1 -PP&amp;E - CY'!$D:$D)</f>
        <v>0</v>
      </c>
      <c r="L571" s="251">
        <f>SUMIF('alb Note 5.1 -PP&amp;E - CY'!$A:$A,$J571,'alb Note 5.1 -PP&amp;E - CY'!$O:$O)</f>
        <v>0</v>
      </c>
      <c r="M571" s="10"/>
      <c r="N571" s="273">
        <f>ROUND(SUM(O571:S571)+SUM(W571:AV571),0)</f>
        <v>0</v>
      </c>
      <c r="O571" s="12"/>
      <c r="P571" s="12"/>
      <c r="Q571" s="12"/>
      <c r="R571" s="12"/>
      <c r="S571" s="6">
        <f t="shared" si="310"/>
        <v>0</v>
      </c>
      <c r="T571" s="273">
        <f t="shared" si="313"/>
        <v>0</v>
      </c>
      <c r="U571" s="6">
        <f>SUM(BL571:BN571)</f>
        <v>0</v>
      </c>
      <c r="V571" s="6"/>
      <c r="W571" s="6">
        <f t="shared" si="314"/>
        <v>0</v>
      </c>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X571" s="6"/>
      <c r="AY571" s="6">
        <f>ROUND(AX571/1000/Update!$B$31*Update!$B$27,0)</f>
        <v>0</v>
      </c>
      <c r="BA571" s="6"/>
      <c r="BB571" s="6">
        <f>ROUND(BA571/1000/Update!$B$31,0)</f>
        <v>0</v>
      </c>
      <c r="BC571" s="6"/>
      <c r="BD571" s="29">
        <f t="shared" si="286"/>
        <v>0</v>
      </c>
      <c r="BE571" s="322"/>
      <c r="BF571" s="322"/>
      <c r="BG571" s="322"/>
      <c r="BH571" s="322"/>
      <c r="BI571" s="322"/>
      <c r="BJ571" s="322"/>
      <c r="BK571" s="29">
        <f t="shared" si="304"/>
        <v>0</v>
      </c>
      <c r="BL571" s="322"/>
      <c r="BM571" s="322"/>
      <c r="BN571" s="322"/>
      <c r="BO571" s="322"/>
      <c r="BP571" s="322"/>
      <c r="BQ571" s="322"/>
      <c r="BR571" s="322"/>
      <c r="BS571" s="322"/>
      <c r="BT571" s="322"/>
      <c r="BU571" s="322"/>
      <c r="BV571" s="322"/>
      <c r="BW571" s="322"/>
      <c r="BX571" s="322"/>
      <c r="BY571" s="322"/>
      <c r="BZ571" s="322"/>
      <c r="CA571" s="322"/>
      <c r="CB571" s="322"/>
      <c r="CC571" s="322"/>
      <c r="CD571" s="322"/>
      <c r="CE571" s="322"/>
      <c r="CF571" s="322"/>
      <c r="CG571" s="322"/>
      <c r="CH571" s="322"/>
      <c r="CI571" s="322"/>
      <c r="CM571" s="1139">
        <v>0</v>
      </c>
      <c r="CN571" s="1139">
        <v>0</v>
      </c>
      <c r="CP571" s="923">
        <f t="shared" si="283"/>
        <v>0</v>
      </c>
      <c r="CZ571" s="330"/>
    </row>
    <row r="572" spans="1:104" ht="15" customHeight="1" x14ac:dyDescent="0.25">
      <c r="A572" s="701">
        <f>MAX($A$6:A571)+1</f>
        <v>572</v>
      </c>
      <c r="B572" s="1291">
        <f t="shared" si="282"/>
        <v>5.0999999999999996</v>
      </c>
      <c r="C572" s="18" t="str">
        <f t="shared" si="282"/>
        <v>Consolidated property, plant and equipment 2025-26</v>
      </c>
      <c r="D572" s="18" t="str">
        <f t="shared" si="315"/>
        <v>Dwellings</v>
      </c>
      <c r="E572" s="19" t="s">
        <v>869</v>
      </c>
      <c r="F572" s="20"/>
      <c r="G572" s="1278" t="s">
        <v>436</v>
      </c>
      <c r="H572" s="14">
        <f>SUM(H568:H571)</f>
        <v>446</v>
      </c>
      <c r="I572" s="14">
        <f>SUM(I568:I571)</f>
        <v>0</v>
      </c>
      <c r="J572" s="19" t="s">
        <v>869</v>
      </c>
      <c r="K572" s="256">
        <f>SUM(K568:K571)</f>
        <v>0</v>
      </c>
      <c r="L572" s="256">
        <f>SUM(L568:L571)</f>
        <v>0</v>
      </c>
      <c r="M572" s="21"/>
      <c r="N572" s="14">
        <f>ROUND(SUM(O572:S572)+T572+SUM(Z572:AV572),0)</f>
        <v>446</v>
      </c>
      <c r="O572" s="14">
        <f>SUM(O568:O571)</f>
        <v>0</v>
      </c>
      <c r="P572" s="14">
        <f>SUM(P568:P571)</f>
        <v>0</v>
      </c>
      <c r="Q572" s="14">
        <f>SUM(Q568:Q571)</f>
        <v>0</v>
      </c>
      <c r="R572" s="14">
        <f>SUM(R568:R571)</f>
        <v>0</v>
      </c>
      <c r="S572" s="14">
        <f t="shared" si="310"/>
        <v>0</v>
      </c>
      <c r="T572" s="14">
        <f>SUM(T568:T571)</f>
        <v>446</v>
      </c>
      <c r="U572" s="14">
        <f>SUM(U568:U571)</f>
        <v>0</v>
      </c>
      <c r="V572" s="14">
        <f>SUM(V568:V571)</f>
        <v>0</v>
      </c>
      <c r="W572" s="14">
        <f>SUM(W568:W571)</f>
        <v>446</v>
      </c>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2"/>
      <c r="AX572" s="14">
        <f>SUM(AX568:AX571)</f>
        <v>0</v>
      </c>
      <c r="AY572" s="14">
        <f>ROUND(AX572/1000/Update!$B$31*Update!$B$27,0)</f>
        <v>0</v>
      </c>
      <c r="AZ572" s="2"/>
      <c r="BA572" s="14">
        <f>SUM(BA568:BA571)</f>
        <v>0</v>
      </c>
      <c r="BB572" s="14">
        <f>ROUND(BA572/1000/Update!$B$31,0)</f>
        <v>0</v>
      </c>
      <c r="BC572" s="14"/>
      <c r="BD572" s="14">
        <f t="shared" si="286"/>
        <v>0</v>
      </c>
      <c r="BE572" s="14">
        <f t="shared" ref="BE572:BJ572" si="316">SUM(BE568:BE571)</f>
        <v>0</v>
      </c>
      <c r="BF572" s="14">
        <f t="shared" si="316"/>
        <v>0</v>
      </c>
      <c r="BG572" s="14">
        <f t="shared" si="316"/>
        <v>0</v>
      </c>
      <c r="BH572" s="14">
        <f t="shared" si="316"/>
        <v>0</v>
      </c>
      <c r="BI572" s="14">
        <f t="shared" si="316"/>
        <v>0</v>
      </c>
      <c r="BJ572" s="14">
        <f t="shared" si="316"/>
        <v>0</v>
      </c>
      <c r="BK572" s="14">
        <f t="shared" si="304"/>
        <v>0</v>
      </c>
      <c r="BL572" s="14"/>
      <c r="BM572" s="14"/>
      <c r="BN572" s="14"/>
      <c r="BO572" s="14"/>
      <c r="BP572" s="14"/>
      <c r="BQ572" s="14"/>
      <c r="BR572" s="14"/>
      <c r="BS572" s="14"/>
      <c r="BT572" s="324"/>
      <c r="BU572" s="14"/>
      <c r="BV572" s="14"/>
      <c r="BW572" s="14"/>
      <c r="BX572" s="14"/>
      <c r="BY572" s="14"/>
      <c r="BZ572" s="14"/>
      <c r="CA572" s="14"/>
      <c r="CB572" s="14"/>
      <c r="CC572" s="14"/>
      <c r="CD572" s="14"/>
      <c r="CE572" s="14"/>
      <c r="CF572" s="14"/>
      <c r="CG572" s="14"/>
      <c r="CH572" s="14"/>
      <c r="CI572" s="14"/>
      <c r="CJ572" s="2"/>
      <c r="CK572" s="2"/>
      <c r="CM572" s="1450">
        <v>0</v>
      </c>
      <c r="CN572" s="1450">
        <v>0</v>
      </c>
      <c r="CP572" s="923">
        <f t="shared" si="283"/>
        <v>0</v>
      </c>
      <c r="CZ572" s="330"/>
    </row>
    <row r="573" spans="1:104" ht="15" customHeight="1" x14ac:dyDescent="0.25">
      <c r="A573" s="684">
        <f>MAX($A$6:A572)+1</f>
        <v>573</v>
      </c>
      <c r="B573" s="3">
        <f t="shared" si="282"/>
        <v>5.0999999999999996</v>
      </c>
      <c r="C573" s="11" t="str">
        <f t="shared" si="282"/>
        <v>Consolidated property, plant and equipment 2025-26</v>
      </c>
      <c r="D573" s="11" t="str">
        <f t="shared" si="315"/>
        <v>Dwellings</v>
      </c>
      <c r="E573" s="7" t="s">
        <v>185</v>
      </c>
      <c r="F573" s="15"/>
      <c r="G573" s="1254" t="s">
        <v>185</v>
      </c>
      <c r="H573" s="6">
        <v>0</v>
      </c>
      <c r="I573" s="6">
        <v>0</v>
      </c>
      <c r="J573" s="1257" t="s">
        <v>185</v>
      </c>
      <c r="K573" s="251">
        <f>SUMIF('alb Note 5.1 -PP&amp;E - CY'!$A:$A,$J573,'alb Note 5.1 -PP&amp;E - CY'!$D:$D)</f>
        <v>0</v>
      </c>
      <c r="L573" s="251">
        <f>SUMIF('alb Note 5.1 -PP&amp;E - CY'!$A:$A,$J573,'alb Note 5.1 -PP&amp;E - CY'!$O:$O)</f>
        <v>0</v>
      </c>
      <c r="M573" s="10"/>
      <c r="N573" s="273">
        <f t="shared" ref="N573:N582" si="317">ROUND(SUM(O573:S573)+SUM(W573:AV573),0)</f>
        <v>0</v>
      </c>
      <c r="O573" s="12"/>
      <c r="P573" s="12"/>
      <c r="Q573" s="12"/>
      <c r="R573" s="12"/>
      <c r="S573" s="6">
        <f t="shared" si="310"/>
        <v>0</v>
      </c>
      <c r="T573" s="273">
        <f t="shared" si="313"/>
        <v>0</v>
      </c>
      <c r="U573" s="6">
        <f t="shared" ref="U573:U582" si="318">SUM(BL573:BN573)</f>
        <v>0</v>
      </c>
      <c r="V573" s="6"/>
      <c r="W573" s="6">
        <f t="shared" si="314"/>
        <v>0</v>
      </c>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X573" s="6"/>
      <c r="AY573" s="6">
        <f>ROUND(AX573/1000/Update!$B$31*Update!$B$27,0)</f>
        <v>0</v>
      </c>
      <c r="BA573" s="6"/>
      <c r="BB573" s="6">
        <f>ROUND(BA573/1000/Update!$B$31,0)</f>
        <v>0</v>
      </c>
      <c r="BC573" s="6"/>
      <c r="BD573" s="29">
        <f t="shared" si="286"/>
        <v>0</v>
      </c>
      <c r="BE573" s="322"/>
      <c r="BF573" s="322"/>
      <c r="BG573" s="322"/>
      <c r="BH573" s="322"/>
      <c r="BI573" s="322"/>
      <c r="BJ573" s="322"/>
      <c r="BK573" s="29">
        <f t="shared" si="304"/>
        <v>0</v>
      </c>
      <c r="BL573" s="322"/>
      <c r="BM573" s="322"/>
      <c r="BN573" s="322"/>
      <c r="BO573" s="322"/>
      <c r="BP573" s="322"/>
      <c r="BQ573" s="322"/>
      <c r="BR573" s="322"/>
      <c r="BS573" s="322"/>
      <c r="BT573" s="322"/>
      <c r="BU573" s="322"/>
      <c r="BV573" s="322"/>
      <c r="BW573" s="322"/>
      <c r="BX573" s="322"/>
      <c r="BY573" s="322"/>
      <c r="BZ573" s="322"/>
      <c r="CA573" s="322"/>
      <c r="CB573" s="322"/>
      <c r="CC573" s="322"/>
      <c r="CD573" s="322"/>
      <c r="CE573" s="322"/>
      <c r="CF573" s="322"/>
      <c r="CG573" s="322"/>
      <c r="CH573" s="322"/>
      <c r="CI573" s="322"/>
      <c r="CM573" s="1139">
        <v>0</v>
      </c>
      <c r="CN573" s="1139">
        <v>0</v>
      </c>
      <c r="CP573" s="923">
        <f t="shared" si="283"/>
        <v>0</v>
      </c>
      <c r="CZ573" s="330"/>
    </row>
    <row r="574" spans="1:104" ht="30" customHeight="1" x14ac:dyDescent="0.25">
      <c r="A574" s="684">
        <f>MAX($A$6:A573)+1</f>
        <v>574</v>
      </c>
      <c r="B574" s="3">
        <f t="shared" si="282"/>
        <v>5.0999999999999996</v>
      </c>
      <c r="C574" s="11" t="str">
        <f t="shared" si="282"/>
        <v>Consolidated property, plant and equipment 2025-26</v>
      </c>
      <c r="D574" s="11" t="str">
        <f t="shared" si="315"/>
        <v>Dwellings</v>
      </c>
      <c r="E574" s="7" t="s">
        <v>437</v>
      </c>
      <c r="F574" s="15"/>
      <c r="G574" s="1254" t="s">
        <v>437</v>
      </c>
      <c r="H574" s="6">
        <v>0</v>
      </c>
      <c r="I574" s="6">
        <v>0</v>
      </c>
      <c r="J574" s="1257" t="s">
        <v>437</v>
      </c>
      <c r="K574" s="251">
        <f>SUMIF('alb Note 5.1 -PP&amp;E - CY'!$A:$A,$J574,'alb Note 5.1 -PP&amp;E - CY'!$D:$D)</f>
        <v>0</v>
      </c>
      <c r="L574" s="251">
        <f>SUMIF('alb Note 5.1 -PP&amp;E - CY'!$A:$A,$J574,'alb Note 5.1 -PP&amp;E - CY'!$O:$O)</f>
        <v>0</v>
      </c>
      <c r="M574" s="10"/>
      <c r="N574" s="273">
        <f t="shared" si="317"/>
        <v>0</v>
      </c>
      <c r="O574" s="12"/>
      <c r="P574" s="12"/>
      <c r="Q574" s="12"/>
      <c r="R574" s="12"/>
      <c r="S574" s="6">
        <f t="shared" si="310"/>
        <v>0</v>
      </c>
      <c r="T574" s="273">
        <f t="shared" si="313"/>
        <v>0</v>
      </c>
      <c r="U574" s="6">
        <f t="shared" si="318"/>
        <v>0</v>
      </c>
      <c r="V574" s="6"/>
      <c r="W574" s="6">
        <f t="shared" si="314"/>
        <v>0</v>
      </c>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X574" s="6"/>
      <c r="AY574" s="6">
        <f>ROUND(AX574/1000/Update!$B$31*Update!$B$27,0)</f>
        <v>0</v>
      </c>
      <c r="BA574" s="6"/>
      <c r="BB574" s="6">
        <f>ROUND(BA574/1000/Update!$B$31,0)</f>
        <v>0</v>
      </c>
      <c r="BC574" s="6"/>
      <c r="BD574" s="29">
        <f t="shared" si="286"/>
        <v>0</v>
      </c>
      <c r="BE574" s="322"/>
      <c r="BF574" s="322"/>
      <c r="BG574" s="322"/>
      <c r="BH574" s="322"/>
      <c r="BI574" s="322"/>
      <c r="BJ574" s="322"/>
      <c r="BK574" s="29">
        <f t="shared" si="304"/>
        <v>0</v>
      </c>
      <c r="BL574" s="322"/>
      <c r="BM574" s="322"/>
      <c r="BN574" s="322"/>
      <c r="BO574" s="322"/>
      <c r="BP574" s="322"/>
      <c r="BQ574" s="322"/>
      <c r="BR574" s="322"/>
      <c r="BS574" s="322"/>
      <c r="BT574" s="322"/>
      <c r="BU574" s="322"/>
      <c r="BV574" s="322"/>
      <c r="BW574" s="322"/>
      <c r="BX574" s="322"/>
      <c r="BY574" s="322"/>
      <c r="BZ574" s="322"/>
      <c r="CA574" s="322"/>
      <c r="CB574" s="322"/>
      <c r="CC574" s="322"/>
      <c r="CD574" s="322"/>
      <c r="CE574" s="322"/>
      <c r="CF574" s="322"/>
      <c r="CG574" s="322"/>
      <c r="CH574" s="322"/>
      <c r="CI574" s="322"/>
      <c r="CM574" s="1139">
        <v>0</v>
      </c>
      <c r="CN574" s="1139">
        <v>0</v>
      </c>
      <c r="CP574" s="923">
        <f t="shared" si="283"/>
        <v>0</v>
      </c>
      <c r="CZ574" s="330"/>
    </row>
    <row r="575" spans="1:104" ht="15" customHeight="1" x14ac:dyDescent="0.25">
      <c r="A575" s="684">
        <f>MAX($A$6:A574)+1</f>
        <v>575</v>
      </c>
      <c r="B575" s="3">
        <f t="shared" si="282"/>
        <v>5.0999999999999996</v>
      </c>
      <c r="C575" s="11" t="str">
        <f t="shared" si="282"/>
        <v>Consolidated property, plant and equipment 2025-26</v>
      </c>
      <c r="D575" s="11" t="str">
        <f t="shared" si="315"/>
        <v>Dwellings</v>
      </c>
      <c r="E575" s="7" t="s">
        <v>191</v>
      </c>
      <c r="F575" s="15"/>
      <c r="G575" s="1254" t="s">
        <v>191</v>
      </c>
      <c r="H575" s="6">
        <v>0</v>
      </c>
      <c r="I575" s="6">
        <v>0</v>
      </c>
      <c r="J575" s="1257" t="s">
        <v>191</v>
      </c>
      <c r="K575" s="251">
        <f>SUMIF('alb Note 5.1 -PP&amp;E - CY'!$A:$A,$J575,'alb Note 5.1 -PP&amp;E - CY'!$D:$D)</f>
        <v>0</v>
      </c>
      <c r="L575" s="251">
        <f>SUMIF('alb Note 5.1 -PP&amp;E - CY'!$A:$A,$J575,'alb Note 5.1 -PP&amp;E - CY'!$O:$O)</f>
        <v>0</v>
      </c>
      <c r="M575" s="10"/>
      <c r="N575" s="273">
        <f t="shared" si="317"/>
        <v>0</v>
      </c>
      <c r="O575" s="12"/>
      <c r="P575" s="12"/>
      <c r="Q575" s="12"/>
      <c r="R575" s="12"/>
      <c r="S575" s="6">
        <f t="shared" si="310"/>
        <v>0</v>
      </c>
      <c r="T575" s="273">
        <f t="shared" si="313"/>
        <v>0</v>
      </c>
      <c r="U575" s="6">
        <f t="shared" si="318"/>
        <v>0</v>
      </c>
      <c r="V575" s="6"/>
      <c r="W575" s="6">
        <f t="shared" si="314"/>
        <v>0</v>
      </c>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X575" s="6"/>
      <c r="AY575" s="6">
        <f>ROUND(AX575/1000/Update!$B$31*Update!$B$27,0)</f>
        <v>0</v>
      </c>
      <c r="BA575" s="6"/>
      <c r="BB575" s="6">
        <f>ROUND(BA575/1000/Update!$B$31,0)</f>
        <v>0</v>
      </c>
      <c r="BC575" s="6"/>
      <c r="BD575" s="29">
        <f t="shared" si="286"/>
        <v>0</v>
      </c>
      <c r="BE575" s="322"/>
      <c r="BF575" s="322"/>
      <c r="BG575" s="322"/>
      <c r="BH575" s="322"/>
      <c r="BI575" s="322"/>
      <c r="BJ575" s="322"/>
      <c r="BK575" s="29">
        <f t="shared" si="304"/>
        <v>0</v>
      </c>
      <c r="BL575" s="322"/>
      <c r="BM575" s="322"/>
      <c r="BN575" s="322"/>
      <c r="BO575" s="322"/>
      <c r="BP575" s="322"/>
      <c r="BQ575" s="322"/>
      <c r="BR575" s="322"/>
      <c r="BS575" s="322"/>
      <c r="BT575" s="322"/>
      <c r="BU575" s="322"/>
      <c r="BV575" s="322"/>
      <c r="BW575" s="322"/>
      <c r="BX575" s="322"/>
      <c r="BY575" s="322"/>
      <c r="BZ575" s="322"/>
      <c r="CA575" s="322"/>
      <c r="CB575" s="322"/>
      <c r="CC575" s="322"/>
      <c r="CD575" s="322"/>
      <c r="CE575" s="322"/>
      <c r="CF575" s="322"/>
      <c r="CG575" s="322"/>
      <c r="CH575" s="322"/>
      <c r="CI575" s="322"/>
      <c r="CM575" s="1139">
        <v>0</v>
      </c>
      <c r="CN575" s="1139">
        <v>0</v>
      </c>
      <c r="CP575" s="923">
        <f t="shared" si="283"/>
        <v>0</v>
      </c>
      <c r="CZ575" s="330"/>
    </row>
    <row r="576" spans="1:104" ht="15" customHeight="1" x14ac:dyDescent="0.25">
      <c r="A576" s="684">
        <f>MAX($A$6:A575)+1</f>
        <v>576</v>
      </c>
      <c r="B576" s="3">
        <f t="shared" si="282"/>
        <v>5.0999999999999996</v>
      </c>
      <c r="C576" s="11" t="str">
        <f t="shared" si="282"/>
        <v>Consolidated property, plant and equipment 2025-26</v>
      </c>
      <c r="D576" s="11" t="str">
        <f t="shared" si="315"/>
        <v>Dwellings</v>
      </c>
      <c r="E576" s="7" t="s">
        <v>186</v>
      </c>
      <c r="F576" s="15"/>
      <c r="G576" s="1254" t="s">
        <v>186</v>
      </c>
      <c r="H576" s="6">
        <v>0</v>
      </c>
      <c r="I576" s="6">
        <v>0</v>
      </c>
      <c r="J576" s="1257" t="s">
        <v>186</v>
      </c>
      <c r="K576" s="251">
        <f>SUMIF('alb Note 5.1 -PP&amp;E - CY'!$A:$A,$J576,'alb Note 5.1 -PP&amp;E - CY'!$D:$D)</f>
        <v>0</v>
      </c>
      <c r="L576" s="251">
        <f>SUMIF('alb Note 5.1 -PP&amp;E - CY'!$A:$A,$J576,'alb Note 5.1 -PP&amp;E - CY'!$O:$O)</f>
        <v>0</v>
      </c>
      <c r="M576" s="10"/>
      <c r="N576" s="273">
        <f t="shared" si="317"/>
        <v>0</v>
      </c>
      <c r="O576" s="12"/>
      <c r="P576" s="12"/>
      <c r="Q576" s="12"/>
      <c r="R576" s="12"/>
      <c r="S576" s="6">
        <f t="shared" si="310"/>
        <v>0</v>
      </c>
      <c r="T576" s="273">
        <f t="shared" si="313"/>
        <v>0</v>
      </c>
      <c r="U576" s="6">
        <f t="shared" si="318"/>
        <v>0</v>
      </c>
      <c r="V576" s="6"/>
      <c r="W576" s="6">
        <f t="shared" si="314"/>
        <v>0</v>
      </c>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X576" s="6"/>
      <c r="AY576" s="6">
        <f>ROUND(AX576/1000/Update!$B$31*Update!$B$27,0)</f>
        <v>0</v>
      </c>
      <c r="BA576" s="6"/>
      <c r="BB576" s="6">
        <f>ROUND(BA576/1000/Update!$B$31,0)</f>
        <v>0</v>
      </c>
      <c r="BC576" s="6"/>
      <c r="BD576" s="29">
        <f t="shared" si="286"/>
        <v>0</v>
      </c>
      <c r="BE576" s="322"/>
      <c r="BF576" s="322"/>
      <c r="BG576" s="322"/>
      <c r="BH576" s="322"/>
      <c r="BI576" s="322"/>
      <c r="BJ576" s="322"/>
      <c r="BK576" s="29">
        <f t="shared" si="304"/>
        <v>0</v>
      </c>
      <c r="BL576" s="322"/>
      <c r="BM576" s="322"/>
      <c r="BN576" s="322"/>
      <c r="BO576" s="322"/>
      <c r="BP576" s="322"/>
      <c r="BQ576" s="322"/>
      <c r="BR576" s="322"/>
      <c r="BS576" s="322"/>
      <c r="BT576" s="322"/>
      <c r="BU576" s="322"/>
      <c r="BV576" s="322"/>
      <c r="BW576" s="322"/>
      <c r="BX576" s="322"/>
      <c r="BY576" s="322"/>
      <c r="BZ576" s="322"/>
      <c r="CA576" s="322"/>
      <c r="CB576" s="322"/>
      <c r="CC576" s="322"/>
      <c r="CD576" s="322"/>
      <c r="CE576" s="322"/>
      <c r="CF576" s="322"/>
      <c r="CG576" s="322"/>
      <c r="CH576" s="322"/>
      <c r="CI576" s="322"/>
      <c r="CM576" s="1139">
        <v>0</v>
      </c>
      <c r="CN576" s="1139">
        <v>0</v>
      </c>
      <c r="CP576" s="923">
        <f t="shared" si="283"/>
        <v>0</v>
      </c>
      <c r="CZ576" s="330"/>
    </row>
    <row r="577" spans="1:104" ht="30" customHeight="1" x14ac:dyDescent="0.25">
      <c r="A577" s="684">
        <f>MAX($A$6:A576)+1</f>
        <v>577</v>
      </c>
      <c r="B577" s="3">
        <f t="shared" si="282"/>
        <v>5.0999999999999996</v>
      </c>
      <c r="C577" s="11" t="str">
        <f t="shared" si="282"/>
        <v>Consolidated property, plant and equipment 2025-26</v>
      </c>
      <c r="D577" s="11" t="str">
        <f t="shared" si="315"/>
        <v>Dwellings</v>
      </c>
      <c r="E577" s="7" t="s">
        <v>192</v>
      </c>
      <c r="F577" s="15"/>
      <c r="G577" s="1254" t="s">
        <v>438</v>
      </c>
      <c r="H577" s="6">
        <v>0</v>
      </c>
      <c r="I577" s="6">
        <v>0</v>
      </c>
      <c r="J577" s="1257" t="s">
        <v>768</v>
      </c>
      <c r="K577" s="251">
        <f>SUMIF('alb Note 5.1 -PP&amp;E - CY'!$A:$A,$J577,'alb Note 5.1 -PP&amp;E - CY'!$D:$D)</f>
        <v>0</v>
      </c>
      <c r="L577" s="251">
        <f>SUMIF('alb Note 5.1 -PP&amp;E - CY'!$A:$A,$J577,'alb Note 5.1 -PP&amp;E - CY'!$O:$O)</f>
        <v>0</v>
      </c>
      <c r="M577" s="10"/>
      <c r="N577" s="273">
        <f t="shared" si="317"/>
        <v>0</v>
      </c>
      <c r="O577" s="12"/>
      <c r="P577" s="12"/>
      <c r="Q577" s="12"/>
      <c r="R577" s="12"/>
      <c r="S577" s="6">
        <f t="shared" si="310"/>
        <v>0</v>
      </c>
      <c r="T577" s="273">
        <f t="shared" si="313"/>
        <v>0</v>
      </c>
      <c r="U577" s="6">
        <f t="shared" si="318"/>
        <v>0</v>
      </c>
      <c r="V577" s="6"/>
      <c r="W577" s="6">
        <f t="shared" si="314"/>
        <v>0</v>
      </c>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X577" s="6"/>
      <c r="AY577" s="6">
        <f>ROUND(AX577/1000/Update!$B$31*Update!$B$27,0)</f>
        <v>0</v>
      </c>
      <c r="BA577" s="6"/>
      <c r="BB577" s="6">
        <f>ROUND(BA577/1000/Update!$B$31,0)</f>
        <v>0</v>
      </c>
      <c r="BC577" s="6"/>
      <c r="BD577" s="29">
        <f t="shared" si="286"/>
        <v>0</v>
      </c>
      <c r="BE577" s="322"/>
      <c r="BF577" s="322"/>
      <c r="BG577" s="322"/>
      <c r="BH577" s="322"/>
      <c r="BI577" s="322"/>
      <c r="BJ577" s="322"/>
      <c r="BK577" s="29">
        <f t="shared" si="304"/>
        <v>0</v>
      </c>
      <c r="BL577" s="322"/>
      <c r="BM577" s="322"/>
      <c r="BN577" s="322"/>
      <c r="BO577" s="322"/>
      <c r="BP577" s="322"/>
      <c r="BQ577" s="322"/>
      <c r="BR577" s="322"/>
      <c r="BS577" s="322"/>
      <c r="BT577" s="322"/>
      <c r="BU577" s="322"/>
      <c r="BV577" s="322"/>
      <c r="BW577" s="322"/>
      <c r="BX577" s="322"/>
      <c r="BY577" s="322"/>
      <c r="BZ577" s="322"/>
      <c r="CA577" s="322"/>
      <c r="CB577" s="322"/>
      <c r="CC577" s="322"/>
      <c r="CD577" s="322"/>
      <c r="CE577" s="322"/>
      <c r="CF577" s="322"/>
      <c r="CG577" s="322"/>
      <c r="CH577" s="322"/>
      <c r="CI577" s="322"/>
      <c r="CM577" s="1139">
        <v>0</v>
      </c>
      <c r="CN577" s="1139">
        <v>0</v>
      </c>
      <c r="CP577" s="923">
        <f t="shared" si="283"/>
        <v>0</v>
      </c>
      <c r="CZ577" s="330"/>
    </row>
    <row r="578" spans="1:104" ht="51" customHeight="1" x14ac:dyDescent="0.25">
      <c r="A578" s="684">
        <f>MAX($A$6:A577)+1</f>
        <v>578</v>
      </c>
      <c r="B578" s="3">
        <f t="shared" si="282"/>
        <v>5.0999999999999996</v>
      </c>
      <c r="C578" s="11" t="str">
        <f t="shared" si="282"/>
        <v>Consolidated property, plant and equipment 2025-26</v>
      </c>
      <c r="D578" s="11" t="str">
        <f t="shared" si="315"/>
        <v>Dwellings</v>
      </c>
      <c r="E578" s="7" t="s">
        <v>193</v>
      </c>
      <c r="F578" s="15"/>
      <c r="G578" s="1254" t="s">
        <v>193</v>
      </c>
      <c r="H578" s="6">
        <v>0</v>
      </c>
      <c r="I578" s="6">
        <v>0</v>
      </c>
      <c r="J578" s="1257" t="s">
        <v>767</v>
      </c>
      <c r="K578" s="251">
        <f>SUMIF('alb Note 5.1 -PP&amp;E - CY'!$A:$A,$J578,'alb Note 5.1 -PP&amp;E - CY'!$D:$D)</f>
        <v>0</v>
      </c>
      <c r="L578" s="251">
        <f>SUMIF('alb Note 5.1 -PP&amp;E - CY'!$A:$A,$J578,'alb Note 5.1 -PP&amp;E - CY'!$O:$O)</f>
        <v>0</v>
      </c>
      <c r="M578" s="10"/>
      <c r="N578" s="273">
        <f t="shared" si="317"/>
        <v>0</v>
      </c>
      <c r="O578" s="12"/>
      <c r="P578" s="12"/>
      <c r="Q578" s="12"/>
      <c r="R578" s="12"/>
      <c r="S578" s="6">
        <f t="shared" si="310"/>
        <v>0</v>
      </c>
      <c r="T578" s="273">
        <f t="shared" si="313"/>
        <v>0</v>
      </c>
      <c r="U578" s="6">
        <f t="shared" si="318"/>
        <v>0</v>
      </c>
      <c r="V578" s="6"/>
      <c r="W578" s="6">
        <f t="shared" si="314"/>
        <v>0</v>
      </c>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X578" s="6"/>
      <c r="AY578" s="6">
        <f>ROUND(AX578/1000/Update!$B$31*Update!$B$27,0)</f>
        <v>0</v>
      </c>
      <c r="BA578" s="6"/>
      <c r="BB578" s="6">
        <f>ROUND(BA578/1000/Update!$B$31,0)</f>
        <v>0</v>
      </c>
      <c r="BC578" s="6"/>
      <c r="BD578" s="29">
        <f t="shared" si="286"/>
        <v>0</v>
      </c>
      <c r="BE578" s="322"/>
      <c r="BF578" s="322"/>
      <c r="BG578" s="322"/>
      <c r="BH578" s="322"/>
      <c r="BI578" s="322"/>
      <c r="BJ578" s="322"/>
      <c r="BK578" s="29">
        <f t="shared" si="304"/>
        <v>0</v>
      </c>
      <c r="BL578" s="322"/>
      <c r="BM578" s="322"/>
      <c r="BN578" s="322"/>
      <c r="BO578" s="322"/>
      <c r="BP578" s="322"/>
      <c r="BQ578" s="322"/>
      <c r="BR578" s="322"/>
      <c r="BS578" s="322"/>
      <c r="BT578" s="322"/>
      <c r="BU578" s="322"/>
      <c r="BV578" s="322"/>
      <c r="BW578" s="322"/>
      <c r="BX578" s="322"/>
      <c r="BY578" s="322"/>
      <c r="BZ578" s="322"/>
      <c r="CA578" s="322"/>
      <c r="CB578" s="322"/>
      <c r="CC578" s="322"/>
      <c r="CD578" s="322"/>
      <c r="CE578" s="322"/>
      <c r="CF578" s="322"/>
      <c r="CG578" s="322"/>
      <c r="CH578" s="322"/>
      <c r="CI578" s="322"/>
      <c r="CM578" s="1139">
        <v>0</v>
      </c>
      <c r="CN578" s="1139">
        <v>0</v>
      </c>
      <c r="CP578" s="923">
        <f t="shared" si="283"/>
        <v>0</v>
      </c>
      <c r="CZ578" s="330"/>
    </row>
    <row r="579" spans="1:104" ht="15" customHeight="1" x14ac:dyDescent="0.25">
      <c r="A579" s="684">
        <f>MAX($A$6:A578)+1</f>
        <v>579</v>
      </c>
      <c r="B579" s="3">
        <f t="shared" si="282"/>
        <v>5.0999999999999996</v>
      </c>
      <c r="C579" s="11" t="str">
        <f t="shared" si="282"/>
        <v>Consolidated property, plant and equipment 2025-26</v>
      </c>
      <c r="D579" s="11" t="str">
        <f>D578</f>
        <v>Dwellings</v>
      </c>
      <c r="E579" s="7" t="s">
        <v>810</v>
      </c>
      <c r="F579" s="15"/>
      <c r="G579" s="1254"/>
      <c r="H579" s="6">
        <v>0</v>
      </c>
      <c r="I579" s="6">
        <v>0</v>
      </c>
      <c r="J579" s="1257" t="s">
        <v>810</v>
      </c>
      <c r="K579" s="251">
        <f>SUMIF('alb Note 5.1 -PP&amp;E - CY'!$A:$A,$J579,'alb Note 5.1 -PP&amp;E - CY'!$D:$D)</f>
        <v>0</v>
      </c>
      <c r="L579" s="251">
        <f>SUMIF('alb Note 5.1 -PP&amp;E - CY'!$A:$A,$J579,'alb Note 5.1 -PP&amp;E - CY'!$O:$O)</f>
        <v>0</v>
      </c>
      <c r="M579" s="10"/>
      <c r="N579" s="273">
        <f t="shared" si="317"/>
        <v>0</v>
      </c>
      <c r="O579" s="12"/>
      <c r="P579" s="12"/>
      <c r="Q579" s="12"/>
      <c r="R579" s="12"/>
      <c r="S579" s="6">
        <f t="shared" si="310"/>
        <v>0</v>
      </c>
      <c r="T579" s="273">
        <f t="shared" si="313"/>
        <v>0</v>
      </c>
      <c r="U579" s="6">
        <f t="shared" si="318"/>
        <v>0</v>
      </c>
      <c r="V579" s="6"/>
      <c r="W579" s="6">
        <f t="shared" si="314"/>
        <v>0</v>
      </c>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X579" s="6"/>
      <c r="AY579" s="6">
        <f>ROUND(AX579/1000/Update!$B$31*Update!$B$27,0)</f>
        <v>0</v>
      </c>
      <c r="BA579" s="6"/>
      <c r="BB579" s="6">
        <f>ROUND(BA579/1000/Update!$B$31,0)</f>
        <v>0</v>
      </c>
      <c r="BC579" s="6"/>
      <c r="BD579" s="29">
        <f t="shared" si="286"/>
        <v>0</v>
      </c>
      <c r="BE579" s="322"/>
      <c r="BF579" s="322"/>
      <c r="BG579" s="322"/>
      <c r="BH579" s="322"/>
      <c r="BI579" s="322"/>
      <c r="BJ579" s="322"/>
      <c r="BK579" s="29">
        <f t="shared" si="304"/>
        <v>0</v>
      </c>
      <c r="BL579" s="322"/>
      <c r="BM579" s="322"/>
      <c r="BN579" s="322"/>
      <c r="BO579" s="322"/>
      <c r="BP579" s="322"/>
      <c r="BQ579" s="322"/>
      <c r="BR579" s="322"/>
      <c r="BS579" s="322"/>
      <c r="BT579" s="322"/>
      <c r="BU579" s="322"/>
      <c r="BV579" s="322"/>
      <c r="BW579" s="322"/>
      <c r="BX579" s="322"/>
      <c r="BY579" s="322"/>
      <c r="BZ579" s="322"/>
      <c r="CA579" s="322"/>
      <c r="CB579" s="322"/>
      <c r="CC579" s="322"/>
      <c r="CD579" s="322"/>
      <c r="CE579" s="322"/>
      <c r="CF579" s="322"/>
      <c r="CG579" s="322"/>
      <c r="CH579" s="322"/>
      <c r="CI579" s="322"/>
      <c r="CM579" s="1139">
        <v>0</v>
      </c>
      <c r="CN579" s="1139">
        <v>0</v>
      </c>
      <c r="CP579" s="923">
        <f t="shared" si="283"/>
        <v>0</v>
      </c>
      <c r="CZ579" s="330"/>
    </row>
    <row r="580" spans="1:104" ht="15" customHeight="1" x14ac:dyDescent="0.25">
      <c r="A580" s="684">
        <f>MAX($A$6:A579)+1</f>
        <v>580</v>
      </c>
      <c r="B580" s="3">
        <f>B578</f>
        <v>5.0999999999999996</v>
      </c>
      <c r="C580" s="11" t="str">
        <f>C578</f>
        <v>Consolidated property, plant and equipment 2025-26</v>
      </c>
      <c r="D580" s="11" t="str">
        <f>D578</f>
        <v>Dwellings</v>
      </c>
      <c r="E580" s="7" t="s">
        <v>187</v>
      </c>
      <c r="F580" s="15"/>
      <c r="G580" s="1254" t="s">
        <v>187</v>
      </c>
      <c r="H580" s="6">
        <v>0</v>
      </c>
      <c r="I580" s="6">
        <v>0</v>
      </c>
      <c r="J580" s="1257" t="s">
        <v>187</v>
      </c>
      <c r="K580" s="251">
        <f>SUMIF('alb Note 5.1 -PP&amp;E - CY'!$A:$A,$J580,'alb Note 5.1 -PP&amp;E - CY'!$D:$D)</f>
        <v>0</v>
      </c>
      <c r="L580" s="251">
        <f>SUMIF('alb Note 5.1 -PP&amp;E - CY'!$A:$A,$J580,'alb Note 5.1 -PP&amp;E - CY'!$O:$O)</f>
        <v>0</v>
      </c>
      <c r="M580" s="10"/>
      <c r="N580" s="273">
        <f t="shared" si="317"/>
        <v>0</v>
      </c>
      <c r="O580" s="12"/>
      <c r="P580" s="12"/>
      <c r="Q580" s="12"/>
      <c r="R580" s="12"/>
      <c r="S580" s="6">
        <f t="shared" si="310"/>
        <v>0</v>
      </c>
      <c r="T580" s="273">
        <f t="shared" si="313"/>
        <v>0</v>
      </c>
      <c r="U580" s="6">
        <f t="shared" si="318"/>
        <v>0</v>
      </c>
      <c r="V580" s="6"/>
      <c r="W580" s="6">
        <f t="shared" si="314"/>
        <v>0</v>
      </c>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X580" s="6"/>
      <c r="AY580" s="6">
        <f>ROUND(AX580/1000/Update!$B$31*Update!$B$27,0)</f>
        <v>0</v>
      </c>
      <c r="BA580" s="6"/>
      <c r="BB580" s="6">
        <f>ROUND(BA580/1000/Update!$B$31,0)</f>
        <v>0</v>
      </c>
      <c r="BC580" s="6"/>
      <c r="BD580" s="29">
        <f t="shared" si="286"/>
        <v>0</v>
      </c>
      <c r="BE580" s="322"/>
      <c r="BF580" s="322"/>
      <c r="BG580" s="322"/>
      <c r="BH580" s="322"/>
      <c r="BI580" s="322"/>
      <c r="BJ580" s="322"/>
      <c r="BK580" s="29">
        <f t="shared" si="304"/>
        <v>0</v>
      </c>
      <c r="BL580" s="322"/>
      <c r="BM580" s="322"/>
      <c r="BN580" s="322"/>
      <c r="BO580" s="322"/>
      <c r="BP580" s="322"/>
      <c r="BQ580" s="322"/>
      <c r="BR580" s="322"/>
      <c r="BS580" s="322"/>
      <c r="BT580" s="322"/>
      <c r="BU580" s="322"/>
      <c r="BV580" s="322"/>
      <c r="BW580" s="322"/>
      <c r="BX580" s="322"/>
      <c r="BY580" s="322"/>
      <c r="BZ580" s="322"/>
      <c r="CA580" s="322"/>
      <c r="CB580" s="322"/>
      <c r="CC580" s="322"/>
      <c r="CD580" s="322"/>
      <c r="CE580" s="322"/>
      <c r="CF580" s="322"/>
      <c r="CG580" s="322"/>
      <c r="CH580" s="322"/>
      <c r="CI580" s="322"/>
      <c r="CM580" s="1139">
        <v>0</v>
      </c>
      <c r="CN580" s="1139">
        <v>0</v>
      </c>
      <c r="CP580" s="923">
        <f t="shared" si="283"/>
        <v>0</v>
      </c>
      <c r="CZ580" s="330"/>
    </row>
    <row r="581" spans="1:104" ht="15" customHeight="1" x14ac:dyDescent="0.25">
      <c r="A581" s="684">
        <f>MAX($A$6:A580)+1</f>
        <v>581</v>
      </c>
      <c r="B581" s="3">
        <f t="shared" si="282"/>
        <v>5.0999999999999996</v>
      </c>
      <c r="C581" s="11" t="str">
        <f t="shared" si="282"/>
        <v>Consolidated property, plant and equipment 2025-26</v>
      </c>
      <c r="D581" s="11" t="str">
        <f t="shared" si="315"/>
        <v>Dwellings</v>
      </c>
      <c r="E581" s="7" t="s">
        <v>188</v>
      </c>
      <c r="F581" s="15"/>
      <c r="G581" s="1254" t="s">
        <v>188</v>
      </c>
      <c r="H581" s="6">
        <v>0</v>
      </c>
      <c r="I581" s="6">
        <v>0</v>
      </c>
      <c r="J581" s="1257" t="s">
        <v>188</v>
      </c>
      <c r="K581" s="251">
        <f>SUMIF('alb Note 5.1 -PP&amp;E - CY'!$A:$A,$J581,'alb Note 5.1 -PP&amp;E - CY'!$D:$D)</f>
        <v>0</v>
      </c>
      <c r="L581" s="251">
        <f>SUMIF('alb Note 5.1 -PP&amp;E - CY'!$A:$A,$J581,'alb Note 5.1 -PP&amp;E - CY'!$O:$O)</f>
        <v>0</v>
      </c>
      <c r="M581" s="10"/>
      <c r="N581" s="273">
        <f t="shared" si="317"/>
        <v>0</v>
      </c>
      <c r="O581" s="12"/>
      <c r="P581" s="12"/>
      <c r="Q581" s="12"/>
      <c r="R581" s="12"/>
      <c r="S581" s="6">
        <f t="shared" si="310"/>
        <v>0</v>
      </c>
      <c r="T581" s="273">
        <f t="shared" si="313"/>
        <v>0</v>
      </c>
      <c r="U581" s="6">
        <f t="shared" si="318"/>
        <v>0</v>
      </c>
      <c r="V581" s="6"/>
      <c r="W581" s="6">
        <f t="shared" si="314"/>
        <v>0</v>
      </c>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X581" s="6"/>
      <c r="AY581" s="6">
        <f>ROUND(AX581/1000/Update!$B$31*Update!$B$27,0)</f>
        <v>0</v>
      </c>
      <c r="BA581" s="6"/>
      <c r="BB581" s="6">
        <f>ROUND(BA581/1000/Update!$B$31,0)</f>
        <v>0</v>
      </c>
      <c r="BC581" s="6"/>
      <c r="BD581" s="29">
        <f t="shared" si="286"/>
        <v>0</v>
      </c>
      <c r="BE581" s="322"/>
      <c r="BF581" s="322"/>
      <c r="BG581" s="322"/>
      <c r="BH581" s="322"/>
      <c r="BI581" s="322"/>
      <c r="BJ581" s="322"/>
      <c r="BK581" s="29">
        <f t="shared" si="304"/>
        <v>0</v>
      </c>
      <c r="BL581" s="322"/>
      <c r="BM581" s="322"/>
      <c r="BN581" s="322"/>
      <c r="BO581" s="322"/>
      <c r="BP581" s="322"/>
      <c r="BQ581" s="322"/>
      <c r="BR581" s="322"/>
      <c r="BS581" s="322"/>
      <c r="BT581" s="322"/>
      <c r="BU581" s="322"/>
      <c r="BV581" s="322"/>
      <c r="BW581" s="322"/>
      <c r="BX581" s="322"/>
      <c r="BY581" s="322"/>
      <c r="BZ581" s="322"/>
      <c r="CA581" s="322"/>
      <c r="CB581" s="322"/>
      <c r="CC581" s="322"/>
      <c r="CD581" s="322"/>
      <c r="CE581" s="322"/>
      <c r="CF581" s="322"/>
      <c r="CG581" s="322"/>
      <c r="CH581" s="322"/>
      <c r="CI581" s="322"/>
      <c r="CM581" s="1139">
        <v>0</v>
      </c>
      <c r="CN581" s="1139">
        <v>0</v>
      </c>
      <c r="CP581" s="923">
        <f t="shared" si="283"/>
        <v>0</v>
      </c>
      <c r="CZ581" s="330"/>
    </row>
    <row r="582" spans="1:104" ht="15" customHeight="1" x14ac:dyDescent="0.25">
      <c r="A582" s="684">
        <f>MAX($A$6:A581)+1</f>
        <v>582</v>
      </c>
      <c r="B582" s="3">
        <f t="shared" si="282"/>
        <v>5.0999999999999996</v>
      </c>
      <c r="C582" s="11" t="str">
        <f t="shared" si="282"/>
        <v>Consolidated property, plant and equipment 2025-26</v>
      </c>
      <c r="D582" s="11" t="str">
        <f t="shared" si="315"/>
        <v>Dwellings</v>
      </c>
      <c r="E582" s="7" t="s">
        <v>189</v>
      </c>
      <c r="F582" s="15"/>
      <c r="G582" s="1254" t="s">
        <v>189</v>
      </c>
      <c r="H582" s="6">
        <v>0</v>
      </c>
      <c r="I582" s="6">
        <v>0</v>
      </c>
      <c r="J582" s="1257" t="s">
        <v>557</v>
      </c>
      <c r="K582" s="251">
        <f>SUMIF('alb Note 5.1 -PP&amp;E - CY'!$A:$A,$J582,'alb Note 5.1 -PP&amp;E - CY'!$D:$D)</f>
        <v>0</v>
      </c>
      <c r="L582" s="251">
        <f>SUMIF('alb Note 5.1 -PP&amp;E - CY'!$A:$A,$J582,'alb Note 5.1 -PP&amp;E - CY'!$O:$O)</f>
        <v>0</v>
      </c>
      <c r="M582" s="10"/>
      <c r="N582" s="273">
        <f t="shared" si="317"/>
        <v>0</v>
      </c>
      <c r="O582" s="12"/>
      <c r="P582" s="12"/>
      <c r="Q582" s="12"/>
      <c r="R582" s="12"/>
      <c r="S582" s="6">
        <f t="shared" si="310"/>
        <v>0</v>
      </c>
      <c r="T582" s="273">
        <f t="shared" si="313"/>
        <v>0</v>
      </c>
      <c r="U582" s="6">
        <f t="shared" si="318"/>
        <v>0</v>
      </c>
      <c r="V582" s="6"/>
      <c r="W582" s="6">
        <f t="shared" si="314"/>
        <v>0</v>
      </c>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X582" s="6"/>
      <c r="AY582" s="6">
        <f>ROUND(AX582/1000/Update!$B$31*Update!$B$27,0)</f>
        <v>0</v>
      </c>
      <c r="BA582" s="6"/>
      <c r="BB582" s="6">
        <f>ROUND(BA582/1000/Update!$B$31,0)</f>
        <v>0</v>
      </c>
      <c r="BC582" s="6"/>
      <c r="BD582" s="29">
        <f t="shared" si="286"/>
        <v>0</v>
      </c>
      <c r="BE582" s="322"/>
      <c r="BF582" s="322"/>
      <c r="BG582" s="322"/>
      <c r="BH582" s="322"/>
      <c r="BI582" s="322"/>
      <c r="BJ582" s="322"/>
      <c r="BK582" s="29">
        <f t="shared" si="304"/>
        <v>0</v>
      </c>
      <c r="BL582" s="322"/>
      <c r="BM582" s="322"/>
      <c r="BN582" s="322"/>
      <c r="BO582" s="322"/>
      <c r="BP582" s="322"/>
      <c r="BQ582" s="322"/>
      <c r="BR582" s="322"/>
      <c r="BS582" s="322"/>
      <c r="BT582" s="322"/>
      <c r="BU582" s="322"/>
      <c r="BV582" s="322"/>
      <c r="BW582" s="322"/>
      <c r="BX582" s="322"/>
      <c r="BY582" s="322"/>
      <c r="BZ582" s="322"/>
      <c r="CA582" s="322"/>
      <c r="CB582" s="322"/>
      <c r="CC582" s="322"/>
      <c r="CD582" s="322"/>
      <c r="CE582" s="322"/>
      <c r="CF582" s="322"/>
      <c r="CG582" s="322"/>
      <c r="CH582" s="322"/>
      <c r="CI582" s="322"/>
      <c r="CM582" s="1139">
        <v>0</v>
      </c>
      <c r="CN582" s="1139">
        <v>0</v>
      </c>
      <c r="CP582" s="923">
        <f t="shared" si="283"/>
        <v>0</v>
      </c>
      <c r="CZ582" s="330"/>
    </row>
    <row r="583" spans="1:104" ht="15" customHeight="1" x14ac:dyDescent="0.25">
      <c r="A583" s="701">
        <f>MAX($A$6:A582)+1</f>
        <v>583</v>
      </c>
      <c r="B583" s="1291">
        <f t="shared" si="282"/>
        <v>5.0999999999999996</v>
      </c>
      <c r="C583" s="18" t="str">
        <f t="shared" si="282"/>
        <v>Consolidated property, plant and equipment 2025-26</v>
      </c>
      <c r="D583" s="18" t="str">
        <f t="shared" si="315"/>
        <v>Dwellings</v>
      </c>
      <c r="E583" s="19" t="str">
        <f>"At"&amp;Update!$B$22</f>
        <v>At 31 March 2026</v>
      </c>
      <c r="F583" s="20"/>
      <c r="G583" s="28"/>
      <c r="H583" s="14">
        <f>SUM(H573:H582)+H572</f>
        <v>446</v>
      </c>
      <c r="I583" s="14">
        <f>SUM(I573:I582)+I572</f>
        <v>0</v>
      </c>
      <c r="J583" s="19" t="str">
        <f>"At"&amp;Update!$B$22</f>
        <v>At 31 March 2026</v>
      </c>
      <c r="K583" s="256">
        <f>SUM(K573:K582)+K572</f>
        <v>0</v>
      </c>
      <c r="L583" s="256">
        <f>SUM(L573:L582)+L572</f>
        <v>0</v>
      </c>
      <c r="M583" s="21"/>
      <c r="N583" s="14">
        <f>ROUND(SUM(O583:S583)+T583+SUM(Z583:AV583),0)</f>
        <v>446</v>
      </c>
      <c r="O583" s="14">
        <f>SUM(O573:O582)+O572</f>
        <v>0</v>
      </c>
      <c r="P583" s="14">
        <f>SUM(P573:P582)+P572</f>
        <v>0</v>
      </c>
      <c r="Q583" s="14">
        <f>SUM(Q573:Q582)+Q572</f>
        <v>0</v>
      </c>
      <c r="R583" s="14">
        <f>SUM(R573:R582)+R572</f>
        <v>0</v>
      </c>
      <c r="S583" s="14">
        <f t="shared" si="310"/>
        <v>0</v>
      </c>
      <c r="T583" s="14">
        <f>ROUND(SUM(U583:Y583),0)</f>
        <v>446</v>
      </c>
      <c r="U583" s="14">
        <f>SUM(U573:U582)+U572</f>
        <v>0</v>
      </c>
      <c r="V583" s="14">
        <f>SUM(V573:V582)+V572</f>
        <v>0</v>
      </c>
      <c r="W583" s="14">
        <f>SUM(W573:W582)+W572</f>
        <v>446</v>
      </c>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2"/>
      <c r="AX583" s="14">
        <f>SUM(AX573:AX582)+AX572</f>
        <v>0</v>
      </c>
      <c r="AY583" s="14">
        <f>ROUND(AX583/1000/Update!$B$31*Update!$B$27,0)</f>
        <v>0</v>
      </c>
      <c r="AZ583" s="2"/>
      <c r="BA583" s="14">
        <f>SUM(BA573:BA582)+BA572</f>
        <v>0</v>
      </c>
      <c r="BB583" s="14">
        <f>ROUND(BA583/1000/Update!$B$31,0)</f>
        <v>0</v>
      </c>
      <c r="BC583" s="14"/>
      <c r="BD583" s="14">
        <f t="shared" si="286"/>
        <v>0</v>
      </c>
      <c r="BE583" s="14">
        <f t="shared" ref="BE583:BJ583" si="319">SUM(BE573:BE582)+BE572</f>
        <v>0</v>
      </c>
      <c r="BF583" s="14">
        <f t="shared" si="319"/>
        <v>0</v>
      </c>
      <c r="BG583" s="14">
        <f t="shared" si="319"/>
        <v>0</v>
      </c>
      <c r="BH583" s="14">
        <f t="shared" si="319"/>
        <v>0</v>
      </c>
      <c r="BI583" s="14">
        <f t="shared" si="319"/>
        <v>0</v>
      </c>
      <c r="BJ583" s="14">
        <f t="shared" si="319"/>
        <v>0</v>
      </c>
      <c r="BK583" s="14">
        <f t="shared" si="304"/>
        <v>0</v>
      </c>
      <c r="BL583" s="14"/>
      <c r="BM583" s="14"/>
      <c r="BN583" s="14"/>
      <c r="BO583" s="14"/>
      <c r="BP583" s="14"/>
      <c r="BQ583" s="14"/>
      <c r="BR583" s="14"/>
      <c r="BS583" s="14"/>
      <c r="BT583" s="324"/>
      <c r="BU583" s="14"/>
      <c r="BV583" s="14"/>
      <c r="BW583" s="14"/>
      <c r="BX583" s="14"/>
      <c r="BY583" s="14"/>
      <c r="BZ583" s="14"/>
      <c r="CA583" s="14"/>
      <c r="CB583" s="14"/>
      <c r="CC583" s="14"/>
      <c r="CD583" s="14"/>
      <c r="CE583" s="14"/>
      <c r="CF583" s="14"/>
      <c r="CG583" s="14"/>
      <c r="CH583" s="14"/>
      <c r="CI583" s="14"/>
      <c r="CJ583" s="2"/>
      <c r="CK583" s="2"/>
      <c r="CM583" s="1450">
        <v>0</v>
      </c>
      <c r="CN583" s="1450">
        <v>0</v>
      </c>
      <c r="CP583" s="923">
        <f t="shared" si="283"/>
        <v>0</v>
      </c>
      <c r="CZ583" s="330"/>
    </row>
    <row r="584" spans="1:104" ht="18.75" customHeight="1" x14ac:dyDescent="0.25">
      <c r="A584" s="684">
        <f>MAX($A$6:A583)+1</f>
        <v>584</v>
      </c>
      <c r="B584" s="3">
        <f t="shared" si="282"/>
        <v>5.0999999999999996</v>
      </c>
      <c r="C584" s="11" t="str">
        <f t="shared" si="282"/>
        <v>Consolidated property, plant and equipment 2025-26</v>
      </c>
      <c r="D584" s="11" t="str">
        <f t="shared" si="315"/>
        <v>Dwellings</v>
      </c>
      <c r="E584" s="277" t="s">
        <v>160</v>
      </c>
      <c r="F584" s="15"/>
      <c r="G584" s="26"/>
      <c r="H584" s="6">
        <v>0</v>
      </c>
      <c r="I584" s="6">
        <v>0</v>
      </c>
      <c r="J584" s="1257" t="s">
        <v>286</v>
      </c>
      <c r="K584" s="251">
        <f>SUMIF('alb Note 5.1 -PP&amp;E - CY'!$A:$A,$J584,'alb Note 5.1 -PP&amp;E - CY'!$D:$D)</f>
        <v>0</v>
      </c>
      <c r="L584" s="251">
        <f>SUMIF('alb Note 5.1 -PP&amp;E - CY'!$A:$A,$J584,'alb Note 5.1 -PP&amp;E - CY'!$O:$O)</f>
        <v>0</v>
      </c>
      <c r="M584" s="10"/>
      <c r="N584" s="273">
        <f>ROUND(SUM(O584:S584)+SUM(W584:AV584),0)</f>
        <v>0</v>
      </c>
      <c r="O584" s="12"/>
      <c r="P584" s="12"/>
      <c r="Q584" s="12"/>
      <c r="R584" s="12"/>
      <c r="S584" s="6">
        <f t="shared" si="310"/>
        <v>0</v>
      </c>
      <c r="T584" s="273">
        <f t="shared" si="313"/>
        <v>0</v>
      </c>
      <c r="U584" s="6">
        <f>SUM(BL584:BN584)</f>
        <v>0</v>
      </c>
      <c r="V584" s="6"/>
      <c r="W584" s="6">
        <v>0</v>
      </c>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X584" s="6"/>
      <c r="AY584" s="6">
        <f>ROUND(AX584/1000/Update!$B$31*Update!$B$27,0)</f>
        <v>0</v>
      </c>
      <c r="BA584" s="6"/>
      <c r="BB584" s="6">
        <f>ROUND(BA584/1000/Update!$B$31,0)</f>
        <v>0</v>
      </c>
      <c r="BC584" s="6"/>
      <c r="BD584" s="29">
        <f t="shared" si="286"/>
        <v>0</v>
      </c>
      <c r="BE584" s="322"/>
      <c r="BF584" s="322"/>
      <c r="BG584" s="322"/>
      <c r="BH584" s="322"/>
      <c r="BI584" s="322"/>
      <c r="BJ584" s="322"/>
      <c r="BK584" s="29">
        <f t="shared" si="304"/>
        <v>0</v>
      </c>
      <c r="BL584" s="322"/>
      <c r="BM584" s="322"/>
      <c r="BN584" s="322"/>
      <c r="BO584" s="322"/>
      <c r="BP584" s="322"/>
      <c r="BQ584" s="322"/>
      <c r="BR584" s="322"/>
      <c r="BS584" s="322"/>
      <c r="BT584" s="322"/>
      <c r="BU584" s="322"/>
      <c r="BV584" s="322"/>
      <c r="BW584" s="322"/>
      <c r="BX584" s="322"/>
      <c r="BY584" s="322"/>
      <c r="BZ584" s="322"/>
      <c r="CA584" s="322"/>
      <c r="CB584" s="322"/>
      <c r="CC584" s="322"/>
      <c r="CD584" s="322"/>
      <c r="CE584" s="322"/>
      <c r="CF584" s="322"/>
      <c r="CG584" s="322"/>
      <c r="CH584" s="322"/>
      <c r="CI584" s="322"/>
      <c r="CM584" s="1139">
        <v>0</v>
      </c>
      <c r="CN584" s="1139">
        <v>0</v>
      </c>
      <c r="CP584" s="923">
        <f t="shared" ref="CP584:CP647" si="320">-V584+BL584+BM584+BN584+CM584</f>
        <v>0</v>
      </c>
      <c r="CZ584" s="330"/>
    </row>
    <row r="585" spans="1:104" ht="15" customHeight="1" x14ac:dyDescent="0.25">
      <c r="A585" s="684">
        <f>MAX($A$6:A584)+1</f>
        <v>585</v>
      </c>
      <c r="B585" s="3">
        <f t="shared" si="282"/>
        <v>5.0999999999999996</v>
      </c>
      <c r="C585" s="11" t="str">
        <f t="shared" si="282"/>
        <v>Consolidated property, plant and equipment 2025-26</v>
      </c>
      <c r="D585" s="11" t="str">
        <f t="shared" si="315"/>
        <v>Dwellings</v>
      </c>
      <c r="E585" s="7" t="str">
        <f>"At"&amp;Update!$B$20&amp;" "</f>
        <v xml:space="preserve">At 1 April 2025 </v>
      </c>
      <c r="F585" s="15"/>
      <c r="G585" s="1267" t="str">
        <f>"At"&amp;Update!$B$20</f>
        <v>At 1 April 2025</v>
      </c>
      <c r="H585" s="6">
        <v>1</v>
      </c>
      <c r="I585" s="6">
        <v>0</v>
      </c>
      <c r="J585" s="1257" t="str">
        <f>$E585</f>
        <v xml:space="preserve">At 1 April 2025 </v>
      </c>
      <c r="K585" s="251">
        <f>SUMIF('alb Note 5.1 -PP&amp;E - CY'!$A:$A,$J585,'alb Note 5.1 -PP&amp;E - CY'!$D:$D)</f>
        <v>0</v>
      </c>
      <c r="L585" s="251">
        <f>SUMIF('alb Note 5.1 -PP&amp;E - CY'!$A:$A,$J585,'alb Note 5.1 -PP&amp;E - CY'!$O:$O)</f>
        <v>0</v>
      </c>
      <c r="M585" s="10"/>
      <c r="N585" s="273">
        <f>ROUND(SUM(O585:S585)+SUM(W585:AV585),0)</f>
        <v>1</v>
      </c>
      <c r="O585" s="12"/>
      <c r="P585" s="12"/>
      <c r="Q585" s="12"/>
      <c r="R585" s="12"/>
      <c r="S585" s="6">
        <f t="shared" si="310"/>
        <v>0</v>
      </c>
      <c r="T585" s="273">
        <f t="shared" si="313"/>
        <v>1</v>
      </c>
      <c r="U585" s="6">
        <f>SUM(BL585:BN585)</f>
        <v>0</v>
      </c>
      <c r="V585" s="6"/>
      <c r="W585" s="6">
        <f t="shared" ref="W585:W596" si="321">+H585</f>
        <v>1</v>
      </c>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X585" s="6"/>
      <c r="AY585" s="6">
        <f>ROUND(AX585/1000/Update!$B$31*Update!$B$27,0)</f>
        <v>0</v>
      </c>
      <c r="BA585" s="6"/>
      <c r="BB585" s="6">
        <f>ROUND(BA585/1000/Update!$B$31,0)</f>
        <v>0</v>
      </c>
      <c r="BC585" s="6"/>
      <c r="BD585" s="29">
        <f t="shared" si="286"/>
        <v>0</v>
      </c>
      <c r="BE585" s="322"/>
      <c r="BF585" s="322"/>
      <c r="BG585" s="322"/>
      <c r="BH585" s="322"/>
      <c r="BI585" s="322"/>
      <c r="BJ585" s="322"/>
      <c r="BK585" s="29">
        <f t="shared" si="304"/>
        <v>0</v>
      </c>
      <c r="BL585" s="322"/>
      <c r="BM585" s="322"/>
      <c r="BN585" s="322"/>
      <c r="BO585" s="322"/>
      <c r="BP585" s="322"/>
      <c r="BQ585" s="322"/>
      <c r="BR585" s="322"/>
      <c r="BS585" s="322"/>
      <c r="BT585" s="322"/>
      <c r="BU585" s="322"/>
      <c r="BV585" s="322"/>
      <c r="BW585" s="322"/>
      <c r="BX585" s="322"/>
      <c r="BY585" s="322"/>
      <c r="BZ585" s="322"/>
      <c r="CA585" s="322"/>
      <c r="CB585" s="322"/>
      <c r="CC585" s="322"/>
      <c r="CD585" s="322"/>
      <c r="CE585" s="322"/>
      <c r="CF585" s="322"/>
      <c r="CG585" s="322"/>
      <c r="CH585" s="322"/>
      <c r="CI585" s="322"/>
      <c r="CM585" s="1139">
        <v>0</v>
      </c>
      <c r="CN585" s="1139">
        <v>0</v>
      </c>
      <c r="CP585" s="923">
        <f t="shared" si="320"/>
        <v>0</v>
      </c>
      <c r="CZ585" s="330"/>
    </row>
    <row r="586" spans="1:104" ht="15" customHeight="1" x14ac:dyDescent="0.25">
      <c r="A586" s="684">
        <f>MAX($A$6:A585)+1</f>
        <v>586</v>
      </c>
      <c r="B586" s="3">
        <f t="shared" si="282"/>
        <v>5.0999999999999996</v>
      </c>
      <c r="C586" s="11" t="str">
        <f t="shared" si="282"/>
        <v>Consolidated property, plant and equipment 2025-26</v>
      </c>
      <c r="D586" s="11" t="str">
        <f t="shared" si="315"/>
        <v>Dwellings</v>
      </c>
      <c r="E586" s="7" t="s">
        <v>1417</v>
      </c>
      <c r="F586" s="15"/>
      <c r="G586" s="1254" t="s">
        <v>435</v>
      </c>
      <c r="H586" s="6">
        <v>0</v>
      </c>
      <c r="I586" s="6">
        <v>0</v>
      </c>
      <c r="J586" s="7" t="s">
        <v>435</v>
      </c>
      <c r="K586" s="251">
        <f>SUMIF('alb Note 5.1 -PP&amp;E - CY'!$A:$A,$J586,'alb Note 5.1 -PP&amp;E - CY'!$D:$D)</f>
        <v>0</v>
      </c>
      <c r="L586" s="251">
        <f>SUMIF('alb Note 5.1 -PP&amp;E - CY'!$A:$A,$J586,'alb Note 5.1 -PP&amp;E - CY'!$O:$O)</f>
        <v>0</v>
      </c>
      <c r="M586" s="10"/>
      <c r="N586" s="273">
        <f>ROUND(SUM(O586:S586)+SUM(W586:AV586),0)</f>
        <v>0</v>
      </c>
      <c r="O586" s="12"/>
      <c r="P586" s="12"/>
      <c r="Q586" s="12"/>
      <c r="R586" s="12"/>
      <c r="S586" s="6">
        <f t="shared" si="310"/>
        <v>0</v>
      </c>
      <c r="T586" s="273">
        <f t="shared" si="313"/>
        <v>0</v>
      </c>
      <c r="U586" s="6">
        <f>SUM(BL586:BN586)</f>
        <v>0</v>
      </c>
      <c r="V586" s="6"/>
      <c r="W586" s="6">
        <f t="shared" si="321"/>
        <v>0</v>
      </c>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X586" s="6"/>
      <c r="AY586" s="6">
        <f>ROUND(AX586/1000/Update!$B$31*Update!$B$27,0)</f>
        <v>0</v>
      </c>
      <c r="BA586" s="6"/>
      <c r="BB586" s="6">
        <f>ROUND(BA586/1000/Update!$B$31,0)</f>
        <v>0</v>
      </c>
      <c r="BC586" s="6"/>
      <c r="BD586" s="29">
        <f t="shared" si="286"/>
        <v>0</v>
      </c>
      <c r="BE586" s="322"/>
      <c r="BF586" s="322"/>
      <c r="BG586" s="322"/>
      <c r="BH586" s="322"/>
      <c r="BI586" s="322"/>
      <c r="BJ586" s="322"/>
      <c r="BK586" s="29">
        <f t="shared" si="304"/>
        <v>0</v>
      </c>
      <c r="BL586" s="322"/>
      <c r="BM586" s="322"/>
      <c r="BN586" s="322"/>
      <c r="BO586" s="322"/>
      <c r="BP586" s="322"/>
      <c r="BQ586" s="322"/>
      <c r="BR586" s="322"/>
      <c r="BS586" s="322"/>
      <c r="BT586" s="322"/>
      <c r="BU586" s="322"/>
      <c r="BV586" s="322"/>
      <c r="BW586" s="322"/>
      <c r="BX586" s="322"/>
      <c r="BY586" s="322"/>
      <c r="BZ586" s="322"/>
      <c r="CA586" s="322"/>
      <c r="CB586" s="322"/>
      <c r="CC586" s="322"/>
      <c r="CD586" s="322"/>
      <c r="CE586" s="322"/>
      <c r="CF586" s="322"/>
      <c r="CG586" s="322"/>
      <c r="CH586" s="322"/>
      <c r="CI586" s="322"/>
      <c r="CM586" s="1139">
        <v>0</v>
      </c>
      <c r="CN586" s="1139">
        <v>0</v>
      </c>
      <c r="CP586" s="923">
        <f t="shared" si="320"/>
        <v>0</v>
      </c>
      <c r="CZ586" s="330"/>
    </row>
    <row r="587" spans="1:104" ht="15" customHeight="1" x14ac:dyDescent="0.25">
      <c r="A587" s="701">
        <f>MAX($A$6:A586)+1</f>
        <v>587</v>
      </c>
      <c r="B587" s="1291">
        <f t="shared" si="282"/>
        <v>5.0999999999999996</v>
      </c>
      <c r="C587" s="18" t="str">
        <f t="shared" si="282"/>
        <v>Consolidated property, plant and equipment 2025-26</v>
      </c>
      <c r="D587" s="18" t="str">
        <f t="shared" si="315"/>
        <v>Dwellings</v>
      </c>
      <c r="E587" s="19" t="s">
        <v>442</v>
      </c>
      <c r="F587" s="20"/>
      <c r="G587" s="1278" t="s">
        <v>442</v>
      </c>
      <c r="H587" s="14">
        <f>SUM(H584:H586)</f>
        <v>1</v>
      </c>
      <c r="I587" s="14">
        <f>SUM(I584:I586)</f>
        <v>0</v>
      </c>
      <c r="J587" s="19" t="s">
        <v>442</v>
      </c>
      <c r="K587" s="256">
        <f>SUM(K585:K586)</f>
        <v>0</v>
      </c>
      <c r="L587" s="256">
        <f>SUM(L585:L586)</f>
        <v>0</v>
      </c>
      <c r="M587" s="21"/>
      <c r="N587" s="14">
        <f>ROUND(SUM(O587:S587)+T587+SUM(Z587:AV587),0)</f>
        <v>1</v>
      </c>
      <c r="O587" s="14">
        <f t="shared" ref="O587:W587" si="322">SUM(O584:O586)</f>
        <v>0</v>
      </c>
      <c r="P587" s="14">
        <f t="shared" si="322"/>
        <v>0</v>
      </c>
      <c r="Q587" s="14">
        <f t="shared" si="322"/>
        <v>0</v>
      </c>
      <c r="R587" s="14">
        <f t="shared" si="322"/>
        <v>0</v>
      </c>
      <c r="S587" s="14">
        <f t="shared" si="310"/>
        <v>0</v>
      </c>
      <c r="T587" s="14">
        <f t="shared" si="322"/>
        <v>1</v>
      </c>
      <c r="U587" s="14">
        <f t="shared" si="322"/>
        <v>0</v>
      </c>
      <c r="V587" s="14">
        <f t="shared" si="322"/>
        <v>0</v>
      </c>
      <c r="W587" s="14">
        <f t="shared" si="322"/>
        <v>1</v>
      </c>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2"/>
      <c r="AX587" s="14">
        <f>SUM(AX584:AX586)</f>
        <v>0</v>
      </c>
      <c r="AY587" s="14">
        <f>ROUND(AX587/1000/Update!$B$31*Update!$B$27,0)</f>
        <v>0</v>
      </c>
      <c r="AZ587" s="2"/>
      <c r="BA587" s="14">
        <f>SUM(BA584:BA586)</f>
        <v>0</v>
      </c>
      <c r="BB587" s="14">
        <f>ROUND(BA587/1000/Update!$B$31,0)</f>
        <v>0</v>
      </c>
      <c r="BC587" s="14"/>
      <c r="BD587" s="14">
        <f t="shared" ref="BD587:BD651" si="323">ROUND(SUM(BE587:BK587),0)</f>
        <v>0</v>
      </c>
      <c r="BE587" s="14">
        <f t="shared" ref="BE587:BJ587" si="324">SUM(BE584:BE586)</f>
        <v>0</v>
      </c>
      <c r="BF587" s="14">
        <f t="shared" si="324"/>
        <v>0</v>
      </c>
      <c r="BG587" s="14">
        <f t="shared" si="324"/>
        <v>0</v>
      </c>
      <c r="BH587" s="14">
        <f t="shared" si="324"/>
        <v>0</v>
      </c>
      <c r="BI587" s="14">
        <f t="shared" si="324"/>
        <v>0</v>
      </c>
      <c r="BJ587" s="14">
        <f t="shared" si="324"/>
        <v>0</v>
      </c>
      <c r="BK587" s="14">
        <f t="shared" si="304"/>
        <v>0</v>
      </c>
      <c r="BL587" s="14"/>
      <c r="BM587" s="14"/>
      <c r="BN587" s="14"/>
      <c r="BO587" s="14"/>
      <c r="BP587" s="14"/>
      <c r="BQ587" s="14"/>
      <c r="BR587" s="14"/>
      <c r="BS587" s="14"/>
      <c r="BT587" s="324"/>
      <c r="BU587" s="14"/>
      <c r="BV587" s="14"/>
      <c r="BW587" s="14"/>
      <c r="BX587" s="14"/>
      <c r="BY587" s="14"/>
      <c r="BZ587" s="14"/>
      <c r="CA587" s="14"/>
      <c r="CB587" s="14"/>
      <c r="CC587" s="14"/>
      <c r="CD587" s="14"/>
      <c r="CE587" s="14"/>
      <c r="CF587" s="14"/>
      <c r="CG587" s="14"/>
      <c r="CH587" s="14"/>
      <c r="CI587" s="14"/>
      <c r="CJ587" s="2"/>
      <c r="CK587" s="2"/>
      <c r="CM587" s="1450">
        <v>0</v>
      </c>
      <c r="CN587" s="1450">
        <v>0</v>
      </c>
      <c r="CP587" s="923">
        <f t="shared" si="320"/>
        <v>0</v>
      </c>
      <c r="CZ587" s="330"/>
    </row>
    <row r="588" spans="1:104" ht="15" customHeight="1" x14ac:dyDescent="0.25">
      <c r="A588" s="684">
        <f>MAX($A$6:A587)+1</f>
        <v>588</v>
      </c>
      <c r="B588" s="3">
        <f t="shared" ref="B588:C657" si="325">B587</f>
        <v>5.0999999999999996</v>
      </c>
      <c r="C588" s="11" t="str">
        <f t="shared" si="325"/>
        <v>Consolidated property, plant and equipment 2025-26</v>
      </c>
      <c r="D588" s="11" t="str">
        <f t="shared" si="315"/>
        <v>Dwellings</v>
      </c>
      <c r="E588" s="7" t="s">
        <v>1409</v>
      </c>
      <c r="F588" s="15"/>
      <c r="G588" s="1254" t="s">
        <v>190</v>
      </c>
      <c r="H588" s="6">
        <v>0</v>
      </c>
      <c r="I588" s="6">
        <v>0</v>
      </c>
      <c r="J588" s="1257" t="s">
        <v>190</v>
      </c>
      <c r="K588" s="251">
        <f>SUMIF('alb Note 5.1 -PP&amp;E - CY'!$A:$A,$J588,'alb Note 5.1 -PP&amp;E - CY'!$D:$D)</f>
        <v>0</v>
      </c>
      <c r="L588" s="251">
        <f>SUMIF('alb Note 5.1 -PP&amp;E - CY'!$A:$A,$J588,'alb Note 5.1 -PP&amp;E - CY'!$O:$O)</f>
        <v>0</v>
      </c>
      <c r="M588" s="10"/>
      <c r="N588" s="273">
        <f t="shared" ref="N588:N596" si="326">ROUND(SUM(O588:S588)+SUM(W588:AV588),0)</f>
        <v>0</v>
      </c>
      <c r="O588" s="12"/>
      <c r="P588" s="12"/>
      <c r="Q588" s="12"/>
      <c r="R588" s="12"/>
      <c r="S588" s="6">
        <f t="shared" si="310"/>
        <v>0</v>
      </c>
      <c r="T588" s="273">
        <f t="shared" ref="T588:T596" si="327">ROUND(SUM(U588:Y588),0)</f>
        <v>0</v>
      </c>
      <c r="U588" s="6">
        <f t="shared" ref="U588:U596" si="328">SUM(BL588:BN588)</f>
        <v>0</v>
      </c>
      <c r="V588" s="6"/>
      <c r="W588" s="6">
        <f t="shared" si="321"/>
        <v>0</v>
      </c>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X588" s="6"/>
      <c r="AY588" s="6">
        <f>ROUND(AX588/1000/Update!$B$31*Update!$B$27,0)</f>
        <v>0</v>
      </c>
      <c r="BA588" s="6"/>
      <c r="BB588" s="6">
        <f>ROUND(BA588/1000/Update!$B$31,0)</f>
        <v>0</v>
      </c>
      <c r="BC588" s="6"/>
      <c r="BD588" s="29">
        <f t="shared" si="323"/>
        <v>0</v>
      </c>
      <c r="BE588" s="322"/>
      <c r="BF588" s="322"/>
      <c r="BG588" s="322"/>
      <c r="BH588" s="322"/>
      <c r="BI588" s="322"/>
      <c r="BJ588" s="322"/>
      <c r="BK588" s="29">
        <f t="shared" si="304"/>
        <v>0</v>
      </c>
      <c r="BL588" s="322"/>
      <c r="BM588" s="322"/>
      <c r="BN588" s="322"/>
      <c r="BO588" s="322"/>
      <c r="BP588" s="322"/>
      <c r="BQ588" s="322"/>
      <c r="BR588" s="322"/>
      <c r="BS588" s="322"/>
      <c r="BT588" s="322"/>
      <c r="BU588" s="322"/>
      <c r="BV588" s="322"/>
      <c r="BW588" s="322"/>
      <c r="BX588" s="322"/>
      <c r="BY588" s="322"/>
      <c r="BZ588" s="322"/>
      <c r="CA588" s="322"/>
      <c r="CB588" s="322"/>
      <c r="CC588" s="322"/>
      <c r="CD588" s="322"/>
      <c r="CE588" s="322"/>
      <c r="CF588" s="322"/>
      <c r="CG588" s="322"/>
      <c r="CH588" s="322"/>
      <c r="CI588" s="322"/>
      <c r="CM588" s="1139">
        <v>0</v>
      </c>
      <c r="CN588" s="1139">
        <v>0</v>
      </c>
      <c r="CP588" s="923">
        <f t="shared" si="320"/>
        <v>0</v>
      </c>
      <c r="CZ588" s="330"/>
    </row>
    <row r="589" spans="1:104" ht="15" customHeight="1" x14ac:dyDescent="0.25">
      <c r="A589" s="684">
        <f>MAX($A$6:A588)+1</f>
        <v>589</v>
      </c>
      <c r="B589" s="3">
        <f t="shared" si="325"/>
        <v>5.0999999999999996</v>
      </c>
      <c r="C589" s="11" t="str">
        <f t="shared" si="325"/>
        <v>Consolidated property, plant and equipment 2025-26</v>
      </c>
      <c r="D589" s="11" t="str">
        <f t="shared" si="315"/>
        <v>Dwellings</v>
      </c>
      <c r="E589" s="7" t="s">
        <v>457</v>
      </c>
      <c r="F589" s="15"/>
      <c r="G589" s="1254" t="s">
        <v>191</v>
      </c>
      <c r="H589" s="6">
        <v>0</v>
      </c>
      <c r="I589" s="6">
        <v>0</v>
      </c>
      <c r="J589" s="1257" t="s">
        <v>457</v>
      </c>
      <c r="K589" s="251">
        <f>SUMIF('alb Note 5.1 -PP&amp;E - CY'!$A:$A,$J589,'alb Note 5.1 -PP&amp;E - CY'!$D:$D)</f>
        <v>0</v>
      </c>
      <c r="L589" s="251">
        <f>SUMIF('alb Note 5.1 -PP&amp;E - CY'!$A:$A,$J589,'alb Note 5.1 -PP&amp;E - CY'!$O:$O)</f>
        <v>0</v>
      </c>
      <c r="M589" s="10"/>
      <c r="N589" s="273">
        <f t="shared" si="326"/>
        <v>0</v>
      </c>
      <c r="O589" s="12"/>
      <c r="P589" s="12"/>
      <c r="Q589" s="12"/>
      <c r="R589" s="12"/>
      <c r="S589" s="6">
        <f t="shared" si="310"/>
        <v>0</v>
      </c>
      <c r="T589" s="273">
        <f t="shared" si="327"/>
        <v>0</v>
      </c>
      <c r="U589" s="6">
        <f t="shared" si="328"/>
        <v>0</v>
      </c>
      <c r="V589" s="6"/>
      <c r="W589" s="6">
        <f t="shared" si="321"/>
        <v>0</v>
      </c>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X589" s="6"/>
      <c r="AY589" s="6">
        <f>ROUND(AX589/1000/Update!$B$31*Update!$B$27,0)</f>
        <v>0</v>
      </c>
      <c r="BA589" s="6"/>
      <c r="BB589" s="6">
        <f>ROUND(BA589/1000/Update!$B$31,0)</f>
        <v>0</v>
      </c>
      <c r="BC589" s="6"/>
      <c r="BD589" s="29">
        <f t="shared" si="323"/>
        <v>0</v>
      </c>
      <c r="BE589" s="322"/>
      <c r="BF589" s="322"/>
      <c r="BG589" s="322"/>
      <c r="BH589" s="322"/>
      <c r="BI589" s="322"/>
      <c r="BJ589" s="322"/>
      <c r="BK589" s="29">
        <f t="shared" si="304"/>
        <v>0</v>
      </c>
      <c r="BL589" s="322"/>
      <c r="BM589" s="322"/>
      <c r="BN589" s="322"/>
      <c r="BO589" s="322"/>
      <c r="BP589" s="322"/>
      <c r="BQ589" s="322"/>
      <c r="BR589" s="322"/>
      <c r="BS589" s="322"/>
      <c r="BT589" s="322"/>
      <c r="BU589" s="322"/>
      <c r="BV589" s="322"/>
      <c r="BW589" s="322"/>
      <c r="BX589" s="322"/>
      <c r="BY589" s="322"/>
      <c r="BZ589" s="322"/>
      <c r="CA589" s="322"/>
      <c r="CB589" s="322"/>
      <c r="CC589" s="322"/>
      <c r="CD589" s="322"/>
      <c r="CE589" s="322"/>
      <c r="CF589" s="322"/>
      <c r="CG589" s="322"/>
      <c r="CH589" s="322"/>
      <c r="CI589" s="322"/>
      <c r="CM589" s="1139">
        <v>0</v>
      </c>
      <c r="CN589" s="1139">
        <v>0</v>
      </c>
      <c r="CP589" s="923">
        <f t="shared" si="320"/>
        <v>0</v>
      </c>
      <c r="CZ589" s="330"/>
    </row>
    <row r="590" spans="1:104" ht="15" customHeight="1" x14ac:dyDescent="0.25">
      <c r="A590" s="684">
        <f>MAX($A$6:A589)+1</f>
        <v>590</v>
      </c>
      <c r="B590" s="3">
        <f t="shared" si="325"/>
        <v>5.0999999999999996</v>
      </c>
      <c r="C590" s="11" t="str">
        <f t="shared" si="325"/>
        <v>Consolidated property, plant and equipment 2025-26</v>
      </c>
      <c r="D590" s="11" t="str">
        <f t="shared" si="315"/>
        <v>Dwellings</v>
      </c>
      <c r="E590" s="7" t="s">
        <v>863</v>
      </c>
      <c r="F590" s="15"/>
      <c r="G590" s="1254" t="s">
        <v>186</v>
      </c>
      <c r="H590" s="6">
        <v>0</v>
      </c>
      <c r="I590" s="6">
        <v>0</v>
      </c>
      <c r="J590" s="1257" t="s">
        <v>863</v>
      </c>
      <c r="K590" s="251">
        <f>SUMIF('alb Note 5.1 -PP&amp;E - CY'!$A:$A,$J590,'alb Note 5.1 -PP&amp;E - CY'!$D:$D)</f>
        <v>0</v>
      </c>
      <c r="L590" s="251">
        <f>SUMIF('alb Note 5.1 -PP&amp;E - CY'!$A:$A,$J590,'alb Note 5.1 -PP&amp;E - CY'!$O:$O)</f>
        <v>0</v>
      </c>
      <c r="M590" s="10"/>
      <c r="N590" s="273">
        <f t="shared" si="326"/>
        <v>0</v>
      </c>
      <c r="O590" s="12"/>
      <c r="P590" s="12"/>
      <c r="Q590" s="12"/>
      <c r="R590" s="12"/>
      <c r="S590" s="6">
        <f t="shared" si="310"/>
        <v>0</v>
      </c>
      <c r="T590" s="273">
        <f t="shared" si="327"/>
        <v>0</v>
      </c>
      <c r="U590" s="6">
        <f t="shared" si="328"/>
        <v>0</v>
      </c>
      <c r="V590" s="6"/>
      <c r="W590" s="6">
        <f t="shared" si="321"/>
        <v>0</v>
      </c>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X590" s="6"/>
      <c r="AY590" s="6">
        <f>ROUND(AX590/1000/Update!$B$31*Update!$B$27,0)</f>
        <v>0</v>
      </c>
      <c r="BA590" s="6"/>
      <c r="BB590" s="6">
        <f>ROUND(BA590/1000/Update!$B$31,0)</f>
        <v>0</v>
      </c>
      <c r="BC590" s="6"/>
      <c r="BD590" s="29">
        <f t="shared" si="323"/>
        <v>0</v>
      </c>
      <c r="BE590" s="322"/>
      <c r="BF590" s="322"/>
      <c r="BG590" s="322"/>
      <c r="BH590" s="322"/>
      <c r="BI590" s="322"/>
      <c r="BJ590" s="322"/>
      <c r="BK590" s="29">
        <f t="shared" si="304"/>
        <v>0</v>
      </c>
      <c r="BL590" s="322"/>
      <c r="BM590" s="322"/>
      <c r="BN590" s="322"/>
      <c r="BO590" s="322"/>
      <c r="BP590" s="322"/>
      <c r="BQ590" s="322"/>
      <c r="BR590" s="322"/>
      <c r="BS590" s="322"/>
      <c r="BT590" s="322"/>
      <c r="BU590" s="322"/>
      <c r="BV590" s="322"/>
      <c r="BW590" s="322"/>
      <c r="BX590" s="322"/>
      <c r="BY590" s="322"/>
      <c r="BZ590" s="322"/>
      <c r="CA590" s="322"/>
      <c r="CB590" s="322"/>
      <c r="CC590" s="322"/>
      <c r="CD590" s="322"/>
      <c r="CE590" s="322"/>
      <c r="CF590" s="322"/>
      <c r="CG590" s="322"/>
      <c r="CH590" s="322"/>
      <c r="CI590" s="322"/>
      <c r="CM590" s="1139">
        <v>0</v>
      </c>
      <c r="CN590" s="1139">
        <v>0</v>
      </c>
      <c r="CP590" s="923">
        <f t="shared" si="320"/>
        <v>0</v>
      </c>
      <c r="CZ590" s="330"/>
    </row>
    <row r="591" spans="1:104" ht="30" customHeight="1" x14ac:dyDescent="0.25">
      <c r="A591" s="684">
        <f>MAX($A$6:A590)+1</f>
        <v>591</v>
      </c>
      <c r="B591" s="3">
        <f t="shared" si="325"/>
        <v>5.0999999999999996</v>
      </c>
      <c r="C591" s="11" t="str">
        <f t="shared" si="325"/>
        <v>Consolidated property, plant and equipment 2025-26</v>
      </c>
      <c r="D591" s="11" t="str">
        <f t="shared" si="315"/>
        <v>Dwellings</v>
      </c>
      <c r="E591" s="7" t="s">
        <v>1415</v>
      </c>
      <c r="F591" s="15"/>
      <c r="G591" s="1254" t="s">
        <v>438</v>
      </c>
      <c r="H591" s="6">
        <v>0</v>
      </c>
      <c r="I591" s="6">
        <v>0</v>
      </c>
      <c r="J591" s="1257" t="s">
        <v>864</v>
      </c>
      <c r="K591" s="251">
        <f>SUMIF('alb Note 5.1 -PP&amp;E - CY'!$A:$A,$J591,'alb Note 5.1 -PP&amp;E - CY'!$D:$D)</f>
        <v>0</v>
      </c>
      <c r="L591" s="251">
        <f>SUMIF('alb Note 5.1 -PP&amp;E - CY'!$A:$A,$J591,'alb Note 5.1 -PP&amp;E - CY'!$O:$O)</f>
        <v>0</v>
      </c>
      <c r="M591" s="10"/>
      <c r="N591" s="273">
        <f t="shared" si="326"/>
        <v>0</v>
      </c>
      <c r="O591" s="12"/>
      <c r="P591" s="12"/>
      <c r="Q591" s="12"/>
      <c r="R591" s="12"/>
      <c r="S591" s="6">
        <f t="shared" si="310"/>
        <v>0</v>
      </c>
      <c r="T591" s="273">
        <f t="shared" si="327"/>
        <v>0</v>
      </c>
      <c r="U591" s="6">
        <f t="shared" si="328"/>
        <v>0</v>
      </c>
      <c r="V591" s="6"/>
      <c r="W591" s="6">
        <f t="shared" si="321"/>
        <v>0</v>
      </c>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X591" s="6"/>
      <c r="AY591" s="6">
        <f>ROUND(AX591/1000/Update!$B$31*Update!$B$27,0)</f>
        <v>0</v>
      </c>
      <c r="BA591" s="6"/>
      <c r="BB591" s="6">
        <f>ROUND(BA591/1000/Update!$B$31,0)</f>
        <v>0</v>
      </c>
      <c r="BC591" s="6"/>
      <c r="BD591" s="29">
        <f t="shared" si="323"/>
        <v>0</v>
      </c>
      <c r="BE591" s="322"/>
      <c r="BF591" s="322"/>
      <c r="BG591" s="322"/>
      <c r="BH591" s="322"/>
      <c r="BI591" s="322"/>
      <c r="BJ591" s="322"/>
      <c r="BK591" s="29">
        <f t="shared" si="304"/>
        <v>0</v>
      </c>
      <c r="BL591" s="322"/>
      <c r="BM591" s="322"/>
      <c r="BN591" s="322"/>
      <c r="BO591" s="322"/>
      <c r="BP591" s="322"/>
      <c r="BQ591" s="322"/>
      <c r="BR591" s="322"/>
      <c r="BS591" s="322"/>
      <c r="BT591" s="322"/>
      <c r="BU591" s="322"/>
      <c r="BV591" s="322"/>
      <c r="BW591" s="322"/>
      <c r="BX591" s="322"/>
      <c r="BY591" s="322"/>
      <c r="BZ591" s="322"/>
      <c r="CA591" s="322"/>
      <c r="CB591" s="322"/>
      <c r="CC591" s="322"/>
      <c r="CD591" s="322"/>
      <c r="CE591" s="322"/>
      <c r="CF591" s="322"/>
      <c r="CG591" s="322"/>
      <c r="CH591" s="322"/>
      <c r="CI591" s="322"/>
      <c r="CM591" s="1139">
        <v>0</v>
      </c>
      <c r="CN591" s="1139">
        <v>0</v>
      </c>
      <c r="CP591" s="923">
        <f t="shared" si="320"/>
        <v>0</v>
      </c>
      <c r="CZ591" s="330"/>
    </row>
    <row r="592" spans="1:104" ht="51" customHeight="1" x14ac:dyDescent="0.25">
      <c r="A592" s="684">
        <f>MAX($A$6:A591)+1</f>
        <v>592</v>
      </c>
      <c r="B592" s="3">
        <f t="shared" si="325"/>
        <v>5.0999999999999996</v>
      </c>
      <c r="C592" s="11" t="str">
        <f t="shared" si="325"/>
        <v>Consolidated property, plant and equipment 2025-26</v>
      </c>
      <c r="D592" s="11" t="str">
        <f t="shared" si="315"/>
        <v>Dwellings</v>
      </c>
      <c r="E592" s="7" t="s">
        <v>1410</v>
      </c>
      <c r="F592" s="15"/>
      <c r="G592" s="1254" t="s">
        <v>193</v>
      </c>
      <c r="H592" s="6">
        <v>0</v>
      </c>
      <c r="I592" s="6">
        <v>0</v>
      </c>
      <c r="J592" s="1257" t="s">
        <v>865</v>
      </c>
      <c r="K592" s="251">
        <f>SUMIF('alb Note 5.1 -PP&amp;E - CY'!$A:$A,$J592,'alb Note 5.1 -PP&amp;E - CY'!$D:$D)</f>
        <v>0</v>
      </c>
      <c r="L592" s="251">
        <f>SUMIF('alb Note 5.1 -PP&amp;E - CY'!$A:$A,$J592,'alb Note 5.1 -PP&amp;E - CY'!$O:$O)</f>
        <v>0</v>
      </c>
      <c r="M592" s="10"/>
      <c r="N592" s="273">
        <f t="shared" si="326"/>
        <v>0</v>
      </c>
      <c r="O592" s="12"/>
      <c r="P592" s="12"/>
      <c r="Q592" s="12"/>
      <c r="R592" s="12"/>
      <c r="S592" s="6">
        <f t="shared" si="310"/>
        <v>0</v>
      </c>
      <c r="T592" s="273">
        <f t="shared" si="327"/>
        <v>0</v>
      </c>
      <c r="U592" s="6">
        <f t="shared" si="328"/>
        <v>0</v>
      </c>
      <c r="V592" s="6"/>
      <c r="W592" s="6">
        <f t="shared" si="321"/>
        <v>0</v>
      </c>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X592" s="6"/>
      <c r="AY592" s="6">
        <f>ROUND(AX592/1000/Update!$B$31*Update!$B$27,0)</f>
        <v>0</v>
      </c>
      <c r="BA592" s="6"/>
      <c r="BB592" s="6">
        <f>ROUND(BA592/1000/Update!$B$31,0)</f>
        <v>0</v>
      </c>
      <c r="BC592" s="6"/>
      <c r="BD592" s="29">
        <f t="shared" si="323"/>
        <v>0</v>
      </c>
      <c r="BE592" s="322"/>
      <c r="BF592" s="322"/>
      <c r="BG592" s="322"/>
      <c r="BH592" s="322"/>
      <c r="BI592" s="322"/>
      <c r="BJ592" s="322"/>
      <c r="BK592" s="29">
        <f t="shared" si="304"/>
        <v>0</v>
      </c>
      <c r="BL592" s="322"/>
      <c r="BM592" s="322"/>
      <c r="BN592" s="322"/>
      <c r="BO592" s="322"/>
      <c r="BP592" s="322"/>
      <c r="BQ592" s="322"/>
      <c r="BR592" s="322"/>
      <c r="BS592" s="322"/>
      <c r="BT592" s="322"/>
      <c r="BU592" s="322"/>
      <c r="BV592" s="322"/>
      <c r="BW592" s="322"/>
      <c r="BX592" s="322"/>
      <c r="BY592" s="322"/>
      <c r="BZ592" s="322"/>
      <c r="CA592" s="322"/>
      <c r="CB592" s="322"/>
      <c r="CC592" s="322"/>
      <c r="CD592" s="322"/>
      <c r="CE592" s="322"/>
      <c r="CF592" s="322"/>
      <c r="CG592" s="322"/>
      <c r="CH592" s="322"/>
      <c r="CI592" s="322"/>
      <c r="CM592" s="1139">
        <v>0</v>
      </c>
      <c r="CN592" s="1139">
        <v>0</v>
      </c>
      <c r="CP592" s="923">
        <f t="shared" si="320"/>
        <v>0</v>
      </c>
      <c r="CZ592" s="330"/>
    </row>
    <row r="593" spans="1:104" ht="15" customHeight="1" x14ac:dyDescent="0.25">
      <c r="A593" s="684">
        <f>MAX($A$6:A592)+1</f>
        <v>593</v>
      </c>
      <c r="B593" s="3">
        <f t="shared" si="325"/>
        <v>5.0999999999999996</v>
      </c>
      <c r="C593" s="11" t="str">
        <f t="shared" si="325"/>
        <v>Consolidated property, plant and equipment 2025-26</v>
      </c>
      <c r="D593" s="11" t="str">
        <f>D592</f>
        <v>Dwellings</v>
      </c>
      <c r="E593" s="7" t="s">
        <v>810</v>
      </c>
      <c r="F593" s="15"/>
      <c r="G593" s="1254"/>
      <c r="H593" s="6">
        <v>0</v>
      </c>
      <c r="I593" s="6">
        <v>0</v>
      </c>
      <c r="J593" s="1257" t="s">
        <v>866</v>
      </c>
      <c r="K593" s="251">
        <f>SUMIF('alb Note 5.1 -PP&amp;E - CY'!$A:$A,$J593,'alb Note 5.1 -PP&amp;E - CY'!$D:$D)</f>
        <v>0</v>
      </c>
      <c r="L593" s="251">
        <f>SUMIF('alb Note 5.1 -PP&amp;E - CY'!$A:$A,$J593,'alb Note 5.1 -PP&amp;E - CY'!$O:$O)</f>
        <v>0</v>
      </c>
      <c r="M593" s="10"/>
      <c r="N593" s="273">
        <f t="shared" si="326"/>
        <v>0</v>
      </c>
      <c r="O593" s="12"/>
      <c r="P593" s="12"/>
      <c r="Q593" s="12"/>
      <c r="R593" s="12"/>
      <c r="S593" s="6">
        <f t="shared" si="310"/>
        <v>0</v>
      </c>
      <c r="T593" s="273">
        <f t="shared" si="327"/>
        <v>0</v>
      </c>
      <c r="U593" s="6">
        <f t="shared" si="328"/>
        <v>0</v>
      </c>
      <c r="V593" s="6"/>
      <c r="W593" s="6">
        <f t="shared" si="321"/>
        <v>0</v>
      </c>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X593" s="6"/>
      <c r="AY593" s="6">
        <f>ROUND(AX593/1000/Update!$B$31*Update!$B$27,0)</f>
        <v>0</v>
      </c>
      <c r="BA593" s="6"/>
      <c r="BB593" s="6">
        <f>ROUND(BA593/1000/Update!$B$31,0)</f>
        <v>0</v>
      </c>
      <c r="BC593" s="6"/>
      <c r="BD593" s="29">
        <f t="shared" si="323"/>
        <v>0</v>
      </c>
      <c r="BE593" s="322"/>
      <c r="BF593" s="322"/>
      <c r="BG593" s="322"/>
      <c r="BH593" s="322"/>
      <c r="BI593" s="322"/>
      <c r="BJ593" s="322"/>
      <c r="BK593" s="29">
        <f t="shared" si="304"/>
        <v>0</v>
      </c>
      <c r="BL593" s="322"/>
      <c r="BM593" s="322"/>
      <c r="BN593" s="322"/>
      <c r="BO593" s="322"/>
      <c r="BP593" s="322"/>
      <c r="BQ593" s="322"/>
      <c r="BR593" s="322"/>
      <c r="BS593" s="322"/>
      <c r="BT593" s="322"/>
      <c r="BU593" s="322"/>
      <c r="BV593" s="322"/>
      <c r="BW593" s="322"/>
      <c r="BX593" s="322"/>
      <c r="BY593" s="322"/>
      <c r="BZ593" s="322"/>
      <c r="CA593" s="322"/>
      <c r="CB593" s="322"/>
      <c r="CC593" s="322"/>
      <c r="CD593" s="322"/>
      <c r="CE593" s="322"/>
      <c r="CF593" s="322"/>
      <c r="CG593" s="322"/>
      <c r="CH593" s="322"/>
      <c r="CI593" s="322"/>
      <c r="CM593" s="1139">
        <v>0</v>
      </c>
      <c r="CN593" s="1139">
        <v>0</v>
      </c>
      <c r="CP593" s="923">
        <f t="shared" si="320"/>
        <v>0</v>
      </c>
      <c r="CZ593" s="330"/>
    </row>
    <row r="594" spans="1:104" ht="15" customHeight="1" x14ac:dyDescent="0.25">
      <c r="A594" s="684">
        <f>MAX($A$6:A593)+1</f>
        <v>594</v>
      </c>
      <c r="B594" s="3">
        <f>B592</f>
        <v>5.0999999999999996</v>
      </c>
      <c r="C594" s="11" t="str">
        <f>C592</f>
        <v>Consolidated property, plant and equipment 2025-26</v>
      </c>
      <c r="D594" s="11" t="str">
        <f>D592</f>
        <v>Dwellings</v>
      </c>
      <c r="E594" s="7" t="s">
        <v>867</v>
      </c>
      <c r="F594" s="15"/>
      <c r="G594" s="1254" t="s">
        <v>187</v>
      </c>
      <c r="H594" s="6">
        <v>0</v>
      </c>
      <c r="I594" s="6">
        <v>0</v>
      </c>
      <c r="J594" s="1257" t="s">
        <v>867</v>
      </c>
      <c r="K594" s="251">
        <f>SUMIF('alb Note 5.1 -PP&amp;E - CY'!$A:$A,$J594,'alb Note 5.1 -PP&amp;E - CY'!$D:$D)</f>
        <v>0</v>
      </c>
      <c r="L594" s="251">
        <f>SUMIF('alb Note 5.1 -PP&amp;E - CY'!$A:$A,$J594,'alb Note 5.1 -PP&amp;E - CY'!$O:$O)</f>
        <v>0</v>
      </c>
      <c r="M594" s="10"/>
      <c r="N594" s="273">
        <f t="shared" si="326"/>
        <v>0</v>
      </c>
      <c r="O594" s="12"/>
      <c r="P594" s="12"/>
      <c r="Q594" s="12"/>
      <c r="R594" s="12"/>
      <c r="S594" s="6">
        <f t="shared" si="310"/>
        <v>0</v>
      </c>
      <c r="T594" s="273">
        <f t="shared" si="327"/>
        <v>0</v>
      </c>
      <c r="U594" s="6">
        <f t="shared" si="328"/>
        <v>0</v>
      </c>
      <c r="V594" s="6"/>
      <c r="W594" s="6">
        <f t="shared" si="321"/>
        <v>0</v>
      </c>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X594" s="6"/>
      <c r="AY594" s="6">
        <f>ROUND(AX594/1000/Update!$B$31*Update!$B$27,0)</f>
        <v>0</v>
      </c>
      <c r="BA594" s="6"/>
      <c r="BB594" s="6">
        <f>ROUND(BA594/1000/Update!$B$31,0)</f>
        <v>0</v>
      </c>
      <c r="BC594" s="6"/>
      <c r="BD594" s="29">
        <f t="shared" si="323"/>
        <v>0</v>
      </c>
      <c r="BE594" s="322"/>
      <c r="BF594" s="322"/>
      <c r="BG594" s="322"/>
      <c r="BH594" s="322"/>
      <c r="BI594" s="322"/>
      <c r="BJ594" s="322"/>
      <c r="BK594" s="29">
        <f t="shared" si="304"/>
        <v>0</v>
      </c>
      <c r="BL594" s="322"/>
      <c r="BM594" s="322"/>
      <c r="BN594" s="322"/>
      <c r="BO594" s="322"/>
      <c r="BP594" s="322"/>
      <c r="BQ594" s="322"/>
      <c r="BR594" s="322"/>
      <c r="BS594" s="322"/>
      <c r="BT594" s="322"/>
      <c r="BU594" s="322"/>
      <c r="BV594" s="322"/>
      <c r="BW594" s="322"/>
      <c r="BX594" s="322"/>
      <c r="BY594" s="322"/>
      <c r="BZ594" s="322"/>
      <c r="CA594" s="322"/>
      <c r="CB594" s="322"/>
      <c r="CC594" s="322"/>
      <c r="CD594" s="322"/>
      <c r="CE594" s="322"/>
      <c r="CF594" s="322"/>
      <c r="CG594" s="322"/>
      <c r="CH594" s="322"/>
      <c r="CI594" s="322"/>
      <c r="CM594" s="1139">
        <v>0</v>
      </c>
      <c r="CN594" s="1139">
        <v>0</v>
      </c>
      <c r="CP594" s="923">
        <f t="shared" si="320"/>
        <v>0</v>
      </c>
      <c r="CZ594" s="330"/>
    </row>
    <row r="595" spans="1:104" ht="15" customHeight="1" x14ac:dyDescent="0.25">
      <c r="A595" s="684">
        <f>MAX($A$6:A594)+1</f>
        <v>595</v>
      </c>
      <c r="B595" s="3">
        <f t="shared" si="325"/>
        <v>5.0999999999999996</v>
      </c>
      <c r="C595" s="11" t="str">
        <f t="shared" si="325"/>
        <v>Consolidated property, plant and equipment 2025-26</v>
      </c>
      <c r="D595" s="11" t="str">
        <f t="shared" si="315"/>
        <v>Dwellings</v>
      </c>
      <c r="E595" s="7" t="s">
        <v>868</v>
      </c>
      <c r="F595" s="15"/>
      <c r="G595" s="1254" t="s">
        <v>188</v>
      </c>
      <c r="H595" s="6">
        <v>0</v>
      </c>
      <c r="I595" s="6">
        <v>0</v>
      </c>
      <c r="J595" s="1257" t="s">
        <v>868</v>
      </c>
      <c r="K595" s="251">
        <f>SUMIF('alb Note 5.1 -PP&amp;E - CY'!$A:$A,$J595,'alb Note 5.1 -PP&amp;E - CY'!$D:$D)</f>
        <v>0</v>
      </c>
      <c r="L595" s="251">
        <f>SUMIF('alb Note 5.1 -PP&amp;E - CY'!$A:$A,$J595,'alb Note 5.1 -PP&amp;E - CY'!$O:$O)</f>
        <v>0</v>
      </c>
      <c r="M595" s="10"/>
      <c r="N595" s="273">
        <f t="shared" si="326"/>
        <v>0</v>
      </c>
      <c r="O595" s="12"/>
      <c r="P595" s="12"/>
      <c r="Q595" s="12"/>
      <c r="R595" s="12"/>
      <c r="S595" s="6">
        <f t="shared" si="310"/>
        <v>0</v>
      </c>
      <c r="T595" s="273">
        <f t="shared" si="327"/>
        <v>0</v>
      </c>
      <c r="U595" s="6">
        <f t="shared" si="328"/>
        <v>0</v>
      </c>
      <c r="V595" s="6"/>
      <c r="W595" s="6">
        <f t="shared" si="321"/>
        <v>0</v>
      </c>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X595" s="6"/>
      <c r="AY595" s="6">
        <f>ROUND(AX595/1000/Update!$B$31*Update!$B$27,0)</f>
        <v>0</v>
      </c>
      <c r="BA595" s="6"/>
      <c r="BB595" s="6">
        <f>ROUND(BA595/1000/Update!$B$31,0)</f>
        <v>0</v>
      </c>
      <c r="BC595" s="6"/>
      <c r="BD595" s="29">
        <f t="shared" si="323"/>
        <v>0</v>
      </c>
      <c r="BE595" s="322"/>
      <c r="BF595" s="322"/>
      <c r="BG595" s="322"/>
      <c r="BH595" s="322"/>
      <c r="BI595" s="322"/>
      <c r="BJ595" s="322"/>
      <c r="BK595" s="29">
        <f t="shared" si="304"/>
        <v>0</v>
      </c>
      <c r="BL595" s="322"/>
      <c r="BM595" s="322"/>
      <c r="BN595" s="322"/>
      <c r="BO595" s="322"/>
      <c r="BP595" s="322"/>
      <c r="BQ595" s="322"/>
      <c r="BR595" s="322"/>
      <c r="BS595" s="322"/>
      <c r="BT595" s="322"/>
      <c r="BU595" s="322"/>
      <c r="BV595" s="322"/>
      <c r="BW595" s="322"/>
      <c r="BX595" s="322"/>
      <c r="BY595" s="322"/>
      <c r="BZ595" s="322"/>
      <c r="CA595" s="322"/>
      <c r="CB595" s="322"/>
      <c r="CC595" s="322"/>
      <c r="CD595" s="322"/>
      <c r="CE595" s="322"/>
      <c r="CF595" s="322"/>
      <c r="CG595" s="322"/>
      <c r="CH595" s="322"/>
      <c r="CI595" s="322"/>
      <c r="CM595" s="1139">
        <v>0</v>
      </c>
      <c r="CN595" s="1139">
        <v>0</v>
      </c>
      <c r="CP595" s="923">
        <f t="shared" si="320"/>
        <v>0</v>
      </c>
      <c r="CZ595" s="330"/>
    </row>
    <row r="596" spans="1:104" ht="15" customHeight="1" x14ac:dyDescent="0.25">
      <c r="A596" s="684">
        <f>MAX($A$6:A595)+1</f>
        <v>596</v>
      </c>
      <c r="B596" s="3">
        <f t="shared" si="325"/>
        <v>5.0999999999999996</v>
      </c>
      <c r="C596" s="11" t="str">
        <f t="shared" si="325"/>
        <v>Consolidated property, plant and equipment 2025-26</v>
      </c>
      <c r="D596" s="11" t="str">
        <f t="shared" si="315"/>
        <v>Dwellings</v>
      </c>
      <c r="E596" s="7" t="s">
        <v>1416</v>
      </c>
      <c r="F596" s="15"/>
      <c r="G596" s="1254" t="s">
        <v>189</v>
      </c>
      <c r="H596" s="6">
        <v>0</v>
      </c>
      <c r="I596" s="6">
        <v>0</v>
      </c>
      <c r="J596" s="1257" t="s">
        <v>870</v>
      </c>
      <c r="K596" s="251">
        <f>SUMIF('alb Note 5.1 -PP&amp;E - CY'!$A:$A,$J596,'alb Note 5.1 -PP&amp;E - CY'!$D:$D)</f>
        <v>0</v>
      </c>
      <c r="L596" s="251">
        <f>SUMIF('alb Note 5.1 -PP&amp;E - CY'!$A:$A,$J596,'alb Note 5.1 -PP&amp;E - CY'!$O:$O)</f>
        <v>0</v>
      </c>
      <c r="M596" s="10"/>
      <c r="N596" s="273">
        <f t="shared" si="326"/>
        <v>0</v>
      </c>
      <c r="O596" s="12"/>
      <c r="P596" s="12"/>
      <c r="Q596" s="12"/>
      <c r="R596" s="12"/>
      <c r="S596" s="6">
        <f t="shared" si="310"/>
        <v>0</v>
      </c>
      <c r="T596" s="273">
        <f t="shared" si="327"/>
        <v>0</v>
      </c>
      <c r="U596" s="6">
        <f t="shared" si="328"/>
        <v>0</v>
      </c>
      <c r="V596" s="6"/>
      <c r="W596" s="6">
        <f t="shared" si="321"/>
        <v>0</v>
      </c>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X596" s="6"/>
      <c r="AY596" s="6">
        <f>ROUND(AX596/1000/Update!$B$31*Update!$B$27,0)</f>
        <v>0</v>
      </c>
      <c r="BA596" s="6"/>
      <c r="BB596" s="6">
        <f>ROUND(BA596/1000/Update!$B$31,0)</f>
        <v>0</v>
      </c>
      <c r="BC596" s="6"/>
      <c r="BD596" s="29">
        <f t="shared" si="323"/>
        <v>0</v>
      </c>
      <c r="BE596" s="322"/>
      <c r="BF596" s="322"/>
      <c r="BG596" s="322"/>
      <c r="BH596" s="322"/>
      <c r="BI596" s="322"/>
      <c r="BJ596" s="322"/>
      <c r="BK596" s="29">
        <f t="shared" si="304"/>
        <v>0</v>
      </c>
      <c r="BL596" s="322"/>
      <c r="BM596" s="322"/>
      <c r="BN596" s="322"/>
      <c r="BO596" s="322"/>
      <c r="BP596" s="322"/>
      <c r="BQ596" s="322"/>
      <c r="BR596" s="322"/>
      <c r="BS596" s="322"/>
      <c r="BT596" s="322"/>
      <c r="BU596" s="322"/>
      <c r="BV596" s="322"/>
      <c r="BW596" s="322"/>
      <c r="BX596" s="322"/>
      <c r="BY596" s="322"/>
      <c r="BZ596" s="322"/>
      <c r="CA596" s="322"/>
      <c r="CB596" s="322"/>
      <c r="CC596" s="322"/>
      <c r="CD596" s="322"/>
      <c r="CE596" s="322"/>
      <c r="CF596" s="322"/>
      <c r="CG596" s="322"/>
      <c r="CH596" s="322"/>
      <c r="CI596" s="322"/>
      <c r="CM596" s="1139">
        <v>0</v>
      </c>
      <c r="CN596" s="1139">
        <v>0</v>
      </c>
      <c r="CP596" s="923">
        <f t="shared" si="320"/>
        <v>0</v>
      </c>
      <c r="CZ596" s="330"/>
    </row>
    <row r="597" spans="1:104" ht="15" customHeight="1" x14ac:dyDescent="0.25">
      <c r="A597" s="701">
        <f>MAX($A$6:A596)+1</f>
        <v>597</v>
      </c>
      <c r="B597" s="1291">
        <f t="shared" si="325"/>
        <v>5.0999999999999996</v>
      </c>
      <c r="C597" s="18" t="str">
        <f t="shared" si="325"/>
        <v>Consolidated property, plant and equipment 2025-26</v>
      </c>
      <c r="D597" s="18" t="str">
        <f t="shared" si="315"/>
        <v>Dwellings</v>
      </c>
      <c r="E597" s="19" t="str">
        <f>"At"&amp;Update!$B$22</f>
        <v>At 31 March 2026</v>
      </c>
      <c r="F597" s="20"/>
      <c r="G597" s="28"/>
      <c r="H597" s="14">
        <f>SUM(H587:H596)</f>
        <v>1</v>
      </c>
      <c r="I597" s="14">
        <f>SUM(I587:I596)</f>
        <v>0</v>
      </c>
      <c r="J597" s="1258" t="s">
        <v>2492</v>
      </c>
      <c r="K597" s="256">
        <f>SUM(K587:K596)</f>
        <v>0</v>
      </c>
      <c r="L597" s="256">
        <f>SUM(L587:L596)</f>
        <v>0</v>
      </c>
      <c r="M597" s="14">
        <f>SUM(M587:M596)</f>
        <v>0</v>
      </c>
      <c r="N597" s="14">
        <f>ROUND(SUM(O597:S597)+T597+SUM(Z597:AV597),0)</f>
        <v>1</v>
      </c>
      <c r="O597" s="14">
        <f t="shared" ref="O597:V597" si="329">SUM(O587:O596)</f>
        <v>0</v>
      </c>
      <c r="P597" s="14">
        <f t="shared" si="329"/>
        <v>0</v>
      </c>
      <c r="Q597" s="14">
        <f t="shared" si="329"/>
        <v>0</v>
      </c>
      <c r="R597" s="14">
        <f t="shared" si="329"/>
        <v>0</v>
      </c>
      <c r="S597" s="14">
        <f t="shared" si="310"/>
        <v>0</v>
      </c>
      <c r="T597" s="14">
        <f t="shared" si="329"/>
        <v>1</v>
      </c>
      <c r="U597" s="14">
        <f t="shared" si="329"/>
        <v>0</v>
      </c>
      <c r="V597" s="14">
        <f t="shared" si="329"/>
        <v>0</v>
      </c>
      <c r="W597" s="14">
        <f>SUM(W587:W596)</f>
        <v>1</v>
      </c>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2"/>
      <c r="AX597" s="14">
        <f>SUM(AX587:AX596)</f>
        <v>0</v>
      </c>
      <c r="AY597" s="14">
        <f>ROUND(AX597/1000/Update!$B$31*Update!$B$27,0)</f>
        <v>0</v>
      </c>
      <c r="AZ597" s="2"/>
      <c r="BA597" s="14">
        <f>SUM(BA587:BA596)</f>
        <v>0</v>
      </c>
      <c r="BB597" s="14">
        <f>ROUND(BA597/1000/Update!$B$31,0)</f>
        <v>0</v>
      </c>
      <c r="BC597" s="14"/>
      <c r="BD597" s="14">
        <f t="shared" si="323"/>
        <v>0</v>
      </c>
      <c r="BE597" s="14">
        <f t="shared" ref="BE597:BJ597" si="330">SUM(BE587:BE596)</f>
        <v>0</v>
      </c>
      <c r="BF597" s="14">
        <f t="shared" si="330"/>
        <v>0</v>
      </c>
      <c r="BG597" s="14">
        <f t="shared" si="330"/>
        <v>0</v>
      </c>
      <c r="BH597" s="14">
        <f t="shared" si="330"/>
        <v>0</v>
      </c>
      <c r="BI597" s="14">
        <f t="shared" si="330"/>
        <v>0</v>
      </c>
      <c r="BJ597" s="14">
        <f t="shared" si="330"/>
        <v>0</v>
      </c>
      <c r="BK597" s="14">
        <f t="shared" si="304"/>
        <v>0</v>
      </c>
      <c r="BL597" s="14"/>
      <c r="BM597" s="14"/>
      <c r="BN597" s="14"/>
      <c r="BO597" s="14"/>
      <c r="BP597" s="14"/>
      <c r="BQ597" s="14"/>
      <c r="BR597" s="14"/>
      <c r="BS597" s="14"/>
      <c r="BT597" s="324"/>
      <c r="BU597" s="14"/>
      <c r="BV597" s="14"/>
      <c r="BW597" s="14"/>
      <c r="BX597" s="14"/>
      <c r="BY597" s="14"/>
      <c r="BZ597" s="14"/>
      <c r="CA597" s="14"/>
      <c r="CB597" s="14"/>
      <c r="CC597" s="14"/>
      <c r="CD597" s="14"/>
      <c r="CE597" s="14"/>
      <c r="CF597" s="14"/>
      <c r="CG597" s="14"/>
      <c r="CH597" s="14"/>
      <c r="CI597" s="14"/>
      <c r="CJ597" s="2"/>
      <c r="CK597" s="2"/>
      <c r="CM597" s="1450">
        <v>0</v>
      </c>
      <c r="CN597" s="1450">
        <v>0</v>
      </c>
      <c r="CP597" s="923">
        <f t="shared" si="320"/>
        <v>0</v>
      </c>
      <c r="CZ597" s="330"/>
    </row>
    <row r="598" spans="1:104" ht="15" customHeight="1" x14ac:dyDescent="0.25">
      <c r="A598" s="701">
        <f>MAX($A$6:A597)+1</f>
        <v>598</v>
      </c>
      <c r="B598" s="1291">
        <f t="shared" si="325"/>
        <v>5.0999999999999996</v>
      </c>
      <c r="C598" s="18" t="str">
        <f t="shared" si="325"/>
        <v>Consolidated property, plant and equipment 2025-26</v>
      </c>
      <c r="D598" s="18" t="str">
        <f t="shared" si="315"/>
        <v>Dwellings</v>
      </c>
      <c r="E598" s="19" t="str">
        <f>"Carrying amount "&amp;Update!$B$22</f>
        <v>Carrying amount  31 March 2026</v>
      </c>
      <c r="F598" s="20"/>
      <c r="G598" s="28"/>
      <c r="H598" s="14">
        <f>H583-H597</f>
        <v>445</v>
      </c>
      <c r="I598" s="14">
        <f>I583-I597</f>
        <v>0</v>
      </c>
      <c r="J598" s="1258" t="s">
        <v>2493</v>
      </c>
      <c r="K598" s="256">
        <f>K583-K597</f>
        <v>0</v>
      </c>
      <c r="L598" s="256">
        <f>L583-L597</f>
        <v>0</v>
      </c>
      <c r="M598" s="21"/>
      <c r="N598" s="14">
        <f>ROUND(SUM(O598:S598)+T598+SUM(Z598:AV598),0)</f>
        <v>445</v>
      </c>
      <c r="O598" s="14">
        <f t="shared" ref="O598:V598" si="331">O583-O597</f>
        <v>0</v>
      </c>
      <c r="P598" s="14">
        <f t="shared" si="331"/>
        <v>0</v>
      </c>
      <c r="Q598" s="14">
        <f t="shared" si="331"/>
        <v>0</v>
      </c>
      <c r="R598" s="14">
        <f t="shared" si="331"/>
        <v>0</v>
      </c>
      <c r="S598" s="14">
        <f t="shared" si="310"/>
        <v>0</v>
      </c>
      <c r="T598" s="14">
        <f t="shared" si="331"/>
        <v>445</v>
      </c>
      <c r="U598" s="14">
        <f t="shared" si="331"/>
        <v>0</v>
      </c>
      <c r="V598" s="14">
        <f t="shared" si="331"/>
        <v>0</v>
      </c>
      <c r="W598" s="14">
        <f>W583-W597</f>
        <v>445</v>
      </c>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2"/>
      <c r="AX598" s="14">
        <f>AX583-AX597</f>
        <v>0</v>
      </c>
      <c r="AY598" s="14">
        <f>ROUND(AX598/1000/Update!$B$31*Update!$B$27,0)</f>
        <v>0</v>
      </c>
      <c r="AZ598" s="2"/>
      <c r="BA598" s="14">
        <f>BA583-BA597</f>
        <v>0</v>
      </c>
      <c r="BB598" s="14">
        <f>ROUND(BA598/1000/Update!$B$31,0)</f>
        <v>0</v>
      </c>
      <c r="BC598" s="14"/>
      <c r="BD598" s="14">
        <f t="shared" si="323"/>
        <v>0</v>
      </c>
      <c r="BE598" s="14">
        <f t="shared" ref="BE598:BJ598" si="332">BE583-BE597</f>
        <v>0</v>
      </c>
      <c r="BF598" s="14">
        <f t="shared" si="332"/>
        <v>0</v>
      </c>
      <c r="BG598" s="14">
        <f t="shared" si="332"/>
        <v>0</v>
      </c>
      <c r="BH598" s="14">
        <f t="shared" si="332"/>
        <v>0</v>
      </c>
      <c r="BI598" s="14">
        <f t="shared" si="332"/>
        <v>0</v>
      </c>
      <c r="BJ598" s="14">
        <f t="shared" si="332"/>
        <v>0</v>
      </c>
      <c r="BK598" s="14">
        <f t="shared" si="304"/>
        <v>0</v>
      </c>
      <c r="BL598" s="14"/>
      <c r="BM598" s="14"/>
      <c r="BN598" s="14"/>
      <c r="BO598" s="14"/>
      <c r="BP598" s="14"/>
      <c r="BQ598" s="14"/>
      <c r="BR598" s="14"/>
      <c r="BS598" s="14"/>
      <c r="BT598" s="324"/>
      <c r="BU598" s="14"/>
      <c r="BV598" s="14"/>
      <c r="BW598" s="14"/>
      <c r="BX598" s="14"/>
      <c r="BY598" s="14"/>
      <c r="BZ598" s="14"/>
      <c r="CA598" s="14"/>
      <c r="CB598" s="14"/>
      <c r="CC598" s="14"/>
      <c r="CD598" s="14"/>
      <c r="CE598" s="14"/>
      <c r="CF598" s="14"/>
      <c r="CG598" s="14"/>
      <c r="CH598" s="14"/>
      <c r="CI598" s="14"/>
      <c r="CJ598" s="2"/>
      <c r="CK598" s="2"/>
      <c r="CM598" s="1450">
        <v>0</v>
      </c>
      <c r="CN598" s="1450">
        <v>0</v>
      </c>
      <c r="CP598" s="923">
        <f t="shared" si="320"/>
        <v>0</v>
      </c>
      <c r="CZ598" s="330"/>
    </row>
    <row r="599" spans="1:104" ht="15" customHeight="1" x14ac:dyDescent="0.25">
      <c r="A599" s="701">
        <f>MAX($A$6:A598)+1</f>
        <v>599</v>
      </c>
      <c r="B599" s="1291">
        <f t="shared" si="325"/>
        <v>5.0999999999999996</v>
      </c>
      <c r="C599" s="18" t="str">
        <f t="shared" si="325"/>
        <v>Consolidated property, plant and equipment 2025-26</v>
      </c>
      <c r="D599" s="18" t="str">
        <f t="shared" si="315"/>
        <v>Dwellings</v>
      </c>
      <c r="E599" s="19" t="str">
        <f>"Carrying amount "&amp;Update!$B$24</f>
        <v>Carrying amount  31 March 2025</v>
      </c>
      <c r="F599" s="20"/>
      <c r="G599" s="28"/>
      <c r="H599" s="14">
        <f>H570-H585</f>
        <v>445</v>
      </c>
      <c r="I599" s="14">
        <f>I572-I585</f>
        <v>0</v>
      </c>
      <c r="J599" s="1258" t="s">
        <v>2494</v>
      </c>
      <c r="K599" s="256">
        <f>K570-K585</f>
        <v>0</v>
      </c>
      <c r="L599" s="256">
        <f>L570-L585</f>
        <v>0</v>
      </c>
      <c r="M599" s="21"/>
      <c r="N599" s="14">
        <f>ROUND(SUM(O599:S599)+T599+SUM(Z599:AV599),0)</f>
        <v>445</v>
      </c>
      <c r="O599" s="14">
        <f t="shared" ref="O599:V599" si="333">O572-O585</f>
        <v>0</v>
      </c>
      <c r="P599" s="14">
        <f t="shared" si="333"/>
        <v>0</v>
      </c>
      <c r="Q599" s="14">
        <f t="shared" si="333"/>
        <v>0</v>
      </c>
      <c r="R599" s="14">
        <f t="shared" si="333"/>
        <v>0</v>
      </c>
      <c r="S599" s="14">
        <f t="shared" si="310"/>
        <v>0</v>
      </c>
      <c r="T599" s="14">
        <f t="shared" si="333"/>
        <v>445</v>
      </c>
      <c r="U599" s="14">
        <f t="shared" si="333"/>
        <v>0</v>
      </c>
      <c r="V599" s="14">
        <f t="shared" si="333"/>
        <v>0</v>
      </c>
      <c r="W599" s="14">
        <f>W572-W585</f>
        <v>445</v>
      </c>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2"/>
      <c r="AX599" s="14">
        <f>AX572-AX585</f>
        <v>0</v>
      </c>
      <c r="AY599" s="14">
        <f>ROUND(AX599/1000/Update!$B$31*Update!$B$27,0)</f>
        <v>0</v>
      </c>
      <c r="AZ599" s="2"/>
      <c r="BA599" s="14">
        <f>BA572-BA585</f>
        <v>0</v>
      </c>
      <c r="BB599" s="14">
        <f>ROUND(BA599/1000/Update!$B$31,0)</f>
        <v>0</v>
      </c>
      <c r="BC599" s="14"/>
      <c r="BD599" s="14">
        <f t="shared" si="323"/>
        <v>0</v>
      </c>
      <c r="BE599" s="14">
        <f t="shared" ref="BE599:BJ599" si="334">BE572-BE585</f>
        <v>0</v>
      </c>
      <c r="BF599" s="14">
        <f t="shared" si="334"/>
        <v>0</v>
      </c>
      <c r="BG599" s="14">
        <f t="shared" si="334"/>
        <v>0</v>
      </c>
      <c r="BH599" s="14">
        <f t="shared" si="334"/>
        <v>0</v>
      </c>
      <c r="BI599" s="14">
        <f t="shared" si="334"/>
        <v>0</v>
      </c>
      <c r="BJ599" s="14">
        <f t="shared" si="334"/>
        <v>0</v>
      </c>
      <c r="BK599" s="14">
        <f t="shared" si="304"/>
        <v>0</v>
      </c>
      <c r="BL599" s="14"/>
      <c r="BM599" s="14"/>
      <c r="BN599" s="14"/>
      <c r="BO599" s="14"/>
      <c r="BP599" s="14"/>
      <c r="BQ599" s="14"/>
      <c r="BR599" s="14"/>
      <c r="BS599" s="14"/>
      <c r="BT599" s="324"/>
      <c r="BU599" s="14"/>
      <c r="BV599" s="14"/>
      <c r="BW599" s="14"/>
      <c r="BX599" s="14"/>
      <c r="BY599" s="14"/>
      <c r="BZ599" s="14"/>
      <c r="CA599" s="14"/>
      <c r="CB599" s="14"/>
      <c r="CC599" s="14"/>
      <c r="CD599" s="14"/>
      <c r="CE599" s="14"/>
      <c r="CF599" s="14"/>
      <c r="CG599" s="14"/>
      <c r="CH599" s="14"/>
      <c r="CI599" s="14"/>
      <c r="CJ599" s="2"/>
      <c r="CK599" s="2"/>
      <c r="CM599" s="1450">
        <v>0</v>
      </c>
      <c r="CN599" s="1450">
        <v>0</v>
      </c>
      <c r="CP599" s="923">
        <f t="shared" si="320"/>
        <v>0</v>
      </c>
      <c r="CZ599" s="330"/>
    </row>
    <row r="600" spans="1:104" ht="15" customHeight="1" x14ac:dyDescent="0.25">
      <c r="A600" s="684">
        <f>MAX($A$6:A599)+1</f>
        <v>600</v>
      </c>
      <c r="B600" s="3">
        <f t="shared" si="325"/>
        <v>5.0999999999999996</v>
      </c>
      <c r="C600" s="11" t="str">
        <f t="shared" si="325"/>
        <v>Consolidated property, plant and equipment 2025-26</v>
      </c>
      <c r="D600" s="11" t="str">
        <f t="shared" si="315"/>
        <v>Dwellings</v>
      </c>
      <c r="E600" s="13" t="s">
        <v>194</v>
      </c>
      <c r="F600" s="15"/>
      <c r="G600" s="26"/>
      <c r="H600" s="6"/>
      <c r="I600" s="6"/>
      <c r="J600" s="1257" t="s">
        <v>286</v>
      </c>
      <c r="K600" s="251">
        <f>SUMIF('alb Note 5.1 -PP&amp;E - CY'!$A:$A,$J600,'alb Note 5.1 -PP&amp;E - CY'!$D:$D)</f>
        <v>0</v>
      </c>
      <c r="L600" s="251">
        <f>SUMIF('alb Note 5.1 -PP&amp;E - CY'!$A:$A,$J600,'alb Note 5.1 -PP&amp;E - CY'!$O:$O)</f>
        <v>0</v>
      </c>
      <c r="M600" s="10"/>
      <c r="N600" s="273">
        <f>ROUND(SUM(O600:S600)+SUM(W600:AV600),0)</f>
        <v>0</v>
      </c>
      <c r="O600" s="12"/>
      <c r="P600" s="12"/>
      <c r="Q600" s="12"/>
      <c r="R600" s="12"/>
      <c r="S600" s="6">
        <f t="shared" si="310"/>
        <v>0</v>
      </c>
      <c r="T600" s="273">
        <f>ROUND(SUM(U600:Y600),0)</f>
        <v>0</v>
      </c>
      <c r="U600" s="6">
        <f>SUM(BL600:BN600)</f>
        <v>0</v>
      </c>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X600" s="6"/>
      <c r="AY600" s="6">
        <f>ROUND(AX600/1000/Update!$B$31*Update!$B$27,0)</f>
        <v>0</v>
      </c>
      <c r="BA600" s="6"/>
      <c r="BB600" s="6">
        <f>ROUND(BA600/1000/Update!$B$31,0)</f>
        <v>0</v>
      </c>
      <c r="BC600" s="6"/>
      <c r="BD600" s="29">
        <f t="shared" si="323"/>
        <v>0</v>
      </c>
      <c r="BE600" s="322"/>
      <c r="BF600" s="322"/>
      <c r="BG600" s="322"/>
      <c r="BH600" s="322"/>
      <c r="BI600" s="322"/>
      <c r="BJ600" s="322"/>
      <c r="BK600" s="29">
        <f t="shared" si="304"/>
        <v>0</v>
      </c>
      <c r="BL600" s="322"/>
      <c r="BM600" s="322"/>
      <c r="BN600" s="322"/>
      <c r="BO600" s="322"/>
      <c r="BP600" s="322"/>
      <c r="BQ600" s="322"/>
      <c r="BR600" s="322"/>
      <c r="BS600" s="322"/>
      <c r="BT600" s="322"/>
      <c r="BU600" s="322"/>
      <c r="BV600" s="322"/>
      <c r="BW600" s="322"/>
      <c r="BX600" s="322"/>
      <c r="BY600" s="322"/>
      <c r="BZ600" s="322"/>
      <c r="CA600" s="322"/>
      <c r="CB600" s="322"/>
      <c r="CC600" s="322"/>
      <c r="CD600" s="322"/>
      <c r="CE600" s="322"/>
      <c r="CF600" s="322"/>
      <c r="CG600" s="322"/>
      <c r="CH600" s="322"/>
      <c r="CI600" s="322"/>
      <c r="CM600" s="1139">
        <v>0</v>
      </c>
      <c r="CN600" s="1139">
        <v>0</v>
      </c>
      <c r="CP600" s="923">
        <f t="shared" si="320"/>
        <v>0</v>
      </c>
      <c r="CZ600" s="330"/>
    </row>
    <row r="601" spans="1:104" ht="15" customHeight="1" x14ac:dyDescent="0.25">
      <c r="A601" s="684">
        <f>MAX($A$6:A600)+1</f>
        <v>601</v>
      </c>
      <c r="B601" s="3">
        <f t="shared" si="325"/>
        <v>5.0999999999999996</v>
      </c>
      <c r="C601" s="11" t="str">
        <f t="shared" si="325"/>
        <v>Consolidated property, plant and equipment 2025-26</v>
      </c>
      <c r="D601" s="11" t="str">
        <f t="shared" si="315"/>
        <v>Dwellings</v>
      </c>
      <c r="E601" s="7" t="s">
        <v>197</v>
      </c>
      <c r="F601" s="15"/>
      <c r="G601" s="26" t="s">
        <v>443</v>
      </c>
      <c r="H601" s="6">
        <v>445</v>
      </c>
      <c r="I601" s="6">
        <v>0</v>
      </c>
      <c r="J601" s="1257" t="s">
        <v>197</v>
      </c>
      <c r="K601" s="251">
        <f>SUMIF('alb Note 5.1 -PP&amp;E - CY'!$A:$A,$J601,'alb Note 5.1 -PP&amp;E - CY'!$D:$D)</f>
        <v>0</v>
      </c>
      <c r="L601" s="251">
        <f>SUMIF('alb Note 5.1 -PP&amp;E - CY'!$A:$A,$J601,'alb Note 5.1 -PP&amp;E - CY'!$O:$O)</f>
        <v>0</v>
      </c>
      <c r="M601" s="10"/>
      <c r="N601" s="273">
        <f>ROUND(SUM(O601:S601)+SUM(W601:AV601),0)</f>
        <v>445</v>
      </c>
      <c r="O601" s="12"/>
      <c r="P601" s="12"/>
      <c r="Q601" s="12"/>
      <c r="R601" s="12"/>
      <c r="S601" s="6">
        <f t="shared" si="310"/>
        <v>0</v>
      </c>
      <c r="T601" s="273">
        <f>ROUND(SUM(U601:Y601),0)</f>
        <v>445</v>
      </c>
      <c r="U601" s="6">
        <f>SUM(BL601:BN601)</f>
        <v>0</v>
      </c>
      <c r="V601" s="6"/>
      <c r="W601" s="6">
        <f>+H601</f>
        <v>445</v>
      </c>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X601" s="6"/>
      <c r="AY601" s="6">
        <f>ROUND(AX601/1000/Update!$B$31*Update!$B$27,0)</f>
        <v>0</v>
      </c>
      <c r="BA601" s="6"/>
      <c r="BB601" s="6">
        <f>ROUND(BA601/1000/Update!$B$31,0)</f>
        <v>0</v>
      </c>
      <c r="BC601" s="6"/>
      <c r="BD601" s="29">
        <f t="shared" si="323"/>
        <v>0</v>
      </c>
      <c r="BE601" s="322"/>
      <c r="BF601" s="322"/>
      <c r="BG601" s="322"/>
      <c r="BH601" s="322"/>
      <c r="BI601" s="322"/>
      <c r="BJ601" s="322"/>
      <c r="BK601" s="29">
        <f t="shared" si="304"/>
        <v>0</v>
      </c>
      <c r="BL601" s="322"/>
      <c r="BM601" s="322"/>
      <c r="BN601" s="322"/>
      <c r="BO601" s="322"/>
      <c r="BP601" s="322"/>
      <c r="BQ601" s="322"/>
      <c r="BR601" s="322"/>
      <c r="BS601" s="322"/>
      <c r="BT601" s="322"/>
      <c r="BU601" s="322"/>
      <c r="BV601" s="322"/>
      <c r="BW601" s="322"/>
      <c r="BX601" s="322"/>
      <c r="BY601" s="322"/>
      <c r="BZ601" s="322"/>
      <c r="CA601" s="322"/>
      <c r="CB601" s="322"/>
      <c r="CC601" s="322"/>
      <c r="CD601" s="322"/>
      <c r="CE601" s="322"/>
      <c r="CF601" s="322"/>
      <c r="CG601" s="322"/>
      <c r="CH601" s="322"/>
      <c r="CI601" s="322"/>
      <c r="CM601" s="1139">
        <v>0</v>
      </c>
      <c r="CN601" s="1139">
        <v>0</v>
      </c>
      <c r="CP601" s="923">
        <f t="shared" si="320"/>
        <v>0</v>
      </c>
      <c r="CZ601" s="330"/>
    </row>
    <row r="602" spans="1:104" ht="15" customHeight="1" x14ac:dyDescent="0.25">
      <c r="A602" s="684">
        <f>MAX($A$6:A601)+1</f>
        <v>602</v>
      </c>
      <c r="B602" s="3">
        <f t="shared" si="325"/>
        <v>5.0999999999999996</v>
      </c>
      <c r="C602" s="11" t="str">
        <f t="shared" si="325"/>
        <v>Consolidated property, plant and equipment 2025-26</v>
      </c>
      <c r="D602" s="11" t="str">
        <f t="shared" si="315"/>
        <v>Dwellings</v>
      </c>
      <c r="E602" s="7" t="s">
        <v>198</v>
      </c>
      <c r="F602" s="15"/>
      <c r="G602" s="26" t="s">
        <v>444</v>
      </c>
      <c r="H602" s="6">
        <v>0</v>
      </c>
      <c r="I602" s="6">
        <v>0</v>
      </c>
      <c r="J602" s="1257" t="s">
        <v>198</v>
      </c>
      <c r="K602" s="251">
        <f>SUMIF('alb Note 5.1 -PP&amp;E - CY'!$A:$A,$J602,'alb Note 5.1 -PP&amp;E - CY'!$D:$D)</f>
        <v>0</v>
      </c>
      <c r="L602" s="251">
        <f>SUMIF('alb Note 5.1 -PP&amp;E - CY'!$A:$A,$J602,'alb Note 5.1 -PP&amp;E - CY'!$O:$O)</f>
        <v>0</v>
      </c>
      <c r="M602" s="10"/>
      <c r="N602" s="273">
        <f>ROUND(SUM(O602:S602)+SUM(W602:AV602),0)</f>
        <v>0</v>
      </c>
      <c r="O602" s="12"/>
      <c r="P602" s="12"/>
      <c r="Q602" s="12"/>
      <c r="R602" s="12"/>
      <c r="S602" s="6">
        <f t="shared" si="310"/>
        <v>0</v>
      </c>
      <c r="T602" s="273">
        <f>ROUND(SUM(U602:Y602),0)</f>
        <v>0</v>
      </c>
      <c r="U602" s="6">
        <f>SUM(BL602:BN602)</f>
        <v>0</v>
      </c>
      <c r="V602" s="6"/>
      <c r="W602" s="6">
        <f>+H602</f>
        <v>0</v>
      </c>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X602" s="6"/>
      <c r="AY602" s="6">
        <f>ROUND(AX602/1000/Update!$B$31*Update!$B$27,0)</f>
        <v>0</v>
      </c>
      <c r="BA602" s="6"/>
      <c r="BB602" s="6">
        <f>ROUND(BA602/1000/Update!$B$31,0)</f>
        <v>0</v>
      </c>
      <c r="BC602" s="6"/>
      <c r="BD602" s="29">
        <f t="shared" si="323"/>
        <v>0</v>
      </c>
      <c r="BE602" s="322"/>
      <c r="BF602" s="322"/>
      <c r="BG602" s="322"/>
      <c r="BH602" s="322"/>
      <c r="BI602" s="322"/>
      <c r="BJ602" s="322"/>
      <c r="BK602" s="29">
        <f t="shared" si="304"/>
        <v>0</v>
      </c>
      <c r="BL602" s="322"/>
      <c r="BM602" s="322"/>
      <c r="BN602" s="322"/>
      <c r="BO602" s="322"/>
      <c r="BP602" s="322"/>
      <c r="BQ602" s="322"/>
      <c r="BR602" s="322"/>
      <c r="BS602" s="322"/>
      <c r="BT602" s="322"/>
      <c r="BU602" s="322"/>
      <c r="BV602" s="322"/>
      <c r="BW602" s="322"/>
      <c r="BX602" s="322"/>
      <c r="BY602" s="322"/>
      <c r="BZ602" s="322"/>
      <c r="CA602" s="322"/>
      <c r="CB602" s="322"/>
      <c r="CC602" s="322"/>
      <c r="CD602" s="322"/>
      <c r="CE602" s="322"/>
      <c r="CF602" s="322"/>
      <c r="CG602" s="322"/>
      <c r="CH602" s="322"/>
      <c r="CI602" s="322"/>
      <c r="CM602" s="1139">
        <v>0</v>
      </c>
      <c r="CN602" s="1139">
        <v>0</v>
      </c>
      <c r="CP602" s="923">
        <f t="shared" si="320"/>
        <v>0</v>
      </c>
      <c r="CZ602" s="330"/>
    </row>
    <row r="603" spans="1:104" ht="38.25" customHeight="1" x14ac:dyDescent="0.25">
      <c r="A603" s="684">
        <f>MAX($A$6:A602)+1</f>
        <v>603</v>
      </c>
      <c r="B603" s="3">
        <f t="shared" si="325"/>
        <v>5.0999999999999996</v>
      </c>
      <c r="C603" s="11" t="str">
        <f t="shared" si="325"/>
        <v>Consolidated property, plant and equipment 2025-26</v>
      </c>
      <c r="D603" s="11" t="str">
        <f t="shared" si="315"/>
        <v>Dwellings</v>
      </c>
      <c r="E603" s="7" t="s">
        <v>199</v>
      </c>
      <c r="F603" s="15"/>
      <c r="G603" s="26" t="s">
        <v>199</v>
      </c>
      <c r="H603" s="6">
        <v>0</v>
      </c>
      <c r="I603" s="6">
        <v>0</v>
      </c>
      <c r="J603" s="1257" t="s">
        <v>769</v>
      </c>
      <c r="K603" s="251">
        <f>SUMIF('alb Note 5.1 -PP&amp;E - CY'!$A:$A,$J603,'alb Note 5.1 -PP&amp;E - CY'!$D:$D)</f>
        <v>0</v>
      </c>
      <c r="L603" s="251">
        <f>SUMIF('alb Note 5.1 -PP&amp;E - CY'!$A:$A,$J603,'alb Note 5.1 -PP&amp;E - CY'!$O:$O)</f>
        <v>0</v>
      </c>
      <c r="M603" s="10"/>
      <c r="N603" s="273">
        <f>ROUND(SUM(O603:S603)+SUM(W603:AV603),0)</f>
        <v>0</v>
      </c>
      <c r="O603" s="12"/>
      <c r="P603" s="12"/>
      <c r="Q603" s="12"/>
      <c r="R603" s="12"/>
      <c r="S603" s="6">
        <f t="shared" si="310"/>
        <v>0</v>
      </c>
      <c r="T603" s="273">
        <f>ROUND(SUM(U603:Y603),0)</f>
        <v>0</v>
      </c>
      <c r="U603" s="6">
        <f>SUM(BL603:BN603)</f>
        <v>0</v>
      </c>
      <c r="V603" s="6"/>
      <c r="W603" s="6">
        <f>+H603</f>
        <v>0</v>
      </c>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X603" s="6"/>
      <c r="AY603" s="6">
        <f>ROUND(AX603/1000/Update!$B$31*Update!$B$27,0)</f>
        <v>0</v>
      </c>
      <c r="BA603" s="6"/>
      <c r="BB603" s="6">
        <f>ROUND(BA603/1000/Update!$B$31,0)</f>
        <v>0</v>
      </c>
      <c r="BC603" s="6"/>
      <c r="BD603" s="29">
        <f t="shared" si="323"/>
        <v>0</v>
      </c>
      <c r="BE603" s="322"/>
      <c r="BF603" s="322"/>
      <c r="BG603" s="322"/>
      <c r="BH603" s="322"/>
      <c r="BI603" s="322"/>
      <c r="BJ603" s="322"/>
      <c r="BK603" s="29">
        <f t="shared" si="304"/>
        <v>0</v>
      </c>
      <c r="BL603" s="322"/>
      <c r="BM603" s="322"/>
      <c r="BN603" s="322"/>
      <c r="BO603" s="322"/>
      <c r="BP603" s="322"/>
      <c r="BQ603" s="322"/>
      <c r="BR603" s="322"/>
      <c r="BS603" s="322"/>
      <c r="BT603" s="322"/>
      <c r="BU603" s="322"/>
      <c r="BV603" s="322"/>
      <c r="BW603" s="322"/>
      <c r="BX603" s="322"/>
      <c r="BY603" s="322"/>
      <c r="BZ603" s="322"/>
      <c r="CA603" s="322"/>
      <c r="CB603" s="322"/>
      <c r="CC603" s="322"/>
      <c r="CD603" s="322"/>
      <c r="CE603" s="322"/>
      <c r="CF603" s="322"/>
      <c r="CG603" s="322"/>
      <c r="CH603" s="322"/>
      <c r="CI603" s="322"/>
      <c r="CM603" s="1139">
        <v>0</v>
      </c>
      <c r="CN603" s="1139">
        <v>0</v>
      </c>
      <c r="CP603" s="923">
        <f t="shared" si="320"/>
        <v>0</v>
      </c>
      <c r="CZ603" s="330"/>
    </row>
    <row r="604" spans="1:104" ht="15" customHeight="1" x14ac:dyDescent="0.25">
      <c r="A604" s="684">
        <f>MAX($A$6:A603)+1</f>
        <v>604</v>
      </c>
      <c r="B604" s="3">
        <f t="shared" ref="B604:B667" si="335">B603</f>
        <v>5.0999999999999996</v>
      </c>
      <c r="C604" s="11" t="str">
        <f t="shared" si="325"/>
        <v>Consolidated property, plant and equipment 2025-26</v>
      </c>
      <c r="D604" s="11" t="s">
        <v>200</v>
      </c>
      <c r="E604" s="7" t="s">
        <v>1695</v>
      </c>
      <c r="F604" s="15"/>
      <c r="G604" s="26" t="s">
        <v>1695</v>
      </c>
      <c r="H604" s="6">
        <v>0</v>
      </c>
      <c r="I604" s="6">
        <v>0</v>
      </c>
      <c r="J604" s="1257" t="s">
        <v>1695</v>
      </c>
      <c r="K604" s="251">
        <f>SUMIF('alb Note 5.1 -PP&amp;E - CY'!$A:$A,$J604,'alb Note 5.1 -PP&amp;E - CY'!$D:$D)</f>
        <v>0</v>
      </c>
      <c r="L604" s="251">
        <f>SUMIF('alb Note 5.1 -PP&amp;E - CY'!$A:$A,$J604,'alb Note 5.1 -PP&amp;E - CY'!$O:$O)</f>
        <v>0</v>
      </c>
      <c r="M604" s="10"/>
      <c r="N604" s="273">
        <f>ROUND(SUM(O604:S604)+SUM(W604:AV604),0)</f>
        <v>0</v>
      </c>
      <c r="O604" s="12"/>
      <c r="P604" s="12"/>
      <c r="Q604" s="12"/>
      <c r="R604" s="12"/>
      <c r="S604" s="6">
        <f t="shared" si="310"/>
        <v>0</v>
      </c>
      <c r="T604" s="273">
        <f>ROUND(SUM(U604:Y604),0)</f>
        <v>0</v>
      </c>
      <c r="U604" s="6">
        <f>SUM(BL604:BN604)</f>
        <v>0</v>
      </c>
      <c r="V604" s="6"/>
      <c r="W604" s="6">
        <f>+H604</f>
        <v>0</v>
      </c>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X604" s="6"/>
      <c r="AY604" s="6"/>
      <c r="BA604" s="6"/>
      <c r="BB604" s="6"/>
      <c r="BC604" s="6"/>
      <c r="BD604" s="29">
        <f t="shared" si="323"/>
        <v>0</v>
      </c>
      <c r="BE604" s="322"/>
      <c r="BF604" s="322"/>
      <c r="BG604" s="322"/>
      <c r="BH604" s="322"/>
      <c r="BI604" s="322"/>
      <c r="BJ604" s="322"/>
      <c r="BK604" s="29">
        <f t="shared" si="304"/>
        <v>0</v>
      </c>
      <c r="BL604" s="322"/>
      <c r="BM604" s="322"/>
      <c r="BN604" s="322"/>
      <c r="BO604" s="322"/>
      <c r="BP604" s="322"/>
      <c r="BQ604" s="322"/>
      <c r="BR604" s="322"/>
      <c r="BS604" s="322"/>
      <c r="BT604" s="322"/>
      <c r="BU604" s="322"/>
      <c r="BV604" s="322"/>
      <c r="BW604" s="322"/>
      <c r="BX604" s="322"/>
      <c r="BY604" s="322"/>
      <c r="BZ604" s="322"/>
      <c r="CA604" s="322"/>
      <c r="CB604" s="322"/>
      <c r="CC604" s="322"/>
      <c r="CD604" s="322"/>
      <c r="CE604" s="322"/>
      <c r="CF604" s="322"/>
      <c r="CG604" s="322"/>
      <c r="CH604" s="322"/>
      <c r="CI604" s="322"/>
      <c r="CM604" s="1139">
        <v>0</v>
      </c>
      <c r="CN604" s="1139">
        <v>0</v>
      </c>
      <c r="CP604" s="923">
        <f t="shared" si="320"/>
        <v>0</v>
      </c>
      <c r="CZ604" s="330"/>
    </row>
    <row r="605" spans="1:104" ht="15" customHeight="1" x14ac:dyDescent="0.25">
      <c r="A605" s="701">
        <f>MAX($A$6:A604)+1</f>
        <v>605</v>
      </c>
      <c r="B605" s="1291">
        <f t="shared" si="335"/>
        <v>5.0999999999999996</v>
      </c>
      <c r="C605" s="18" t="str">
        <f t="shared" si="325"/>
        <v>Consolidated property, plant and equipment 2025-26</v>
      </c>
      <c r="D605" s="18" t="s">
        <v>200</v>
      </c>
      <c r="E605" s="19" t="str">
        <f>"Carrying amount "&amp;Update!$B$22</f>
        <v>Carrying amount  31 March 2026</v>
      </c>
      <c r="F605" s="20"/>
      <c r="G605" s="28"/>
      <c r="H605" s="14">
        <f>SUM(H600:H604)</f>
        <v>445</v>
      </c>
      <c r="I605" s="14">
        <f>SUM(I600:I604)</f>
        <v>0</v>
      </c>
      <c r="J605" s="19" t="str">
        <f>"Carrying amount "&amp;Update!$B$22</f>
        <v>Carrying amount  31 March 2026</v>
      </c>
      <c r="K605" s="256">
        <f>SUM(K600:K603)</f>
        <v>0</v>
      </c>
      <c r="L605" s="256">
        <f>SUM(L600:L603)</f>
        <v>0</v>
      </c>
      <c r="M605" s="21"/>
      <c r="N605" s="14">
        <f>ROUND(SUM(O605:S605)+T605+SUM(Z605:AV605),0)</f>
        <v>445</v>
      </c>
      <c r="O605" s="14">
        <f>SUM(O600:O604)</f>
        <v>0</v>
      </c>
      <c r="P605" s="14">
        <f t="shared" ref="P605:W605" si="336">SUM(P600:P604)</f>
        <v>0</v>
      </c>
      <c r="Q605" s="14">
        <f t="shared" si="336"/>
        <v>0</v>
      </c>
      <c r="R605" s="14">
        <f t="shared" si="336"/>
        <v>0</v>
      </c>
      <c r="S605" s="14">
        <f t="shared" si="336"/>
        <v>0</v>
      </c>
      <c r="T605" s="14">
        <f t="shared" si="336"/>
        <v>445</v>
      </c>
      <c r="U605" s="14">
        <f t="shared" si="336"/>
        <v>0</v>
      </c>
      <c r="V605" s="14">
        <f t="shared" si="336"/>
        <v>0</v>
      </c>
      <c r="W605" s="14">
        <f t="shared" si="336"/>
        <v>445</v>
      </c>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2"/>
      <c r="AX605" s="14">
        <f>SUM(AX600:AX603)</f>
        <v>0</v>
      </c>
      <c r="AY605" s="14">
        <f>ROUND(AX605/1000/Update!$B$31*Update!$B$27,0)</f>
        <v>0</v>
      </c>
      <c r="AZ605" s="2"/>
      <c r="BA605" s="14">
        <f>SUM(BA600:BA603)</f>
        <v>0</v>
      </c>
      <c r="BB605" s="14">
        <f>ROUND(BA605/1000/Update!$B$31,0)</f>
        <v>0</v>
      </c>
      <c r="BC605" s="14"/>
      <c r="BD605" s="14">
        <f t="shared" si="323"/>
        <v>0</v>
      </c>
      <c r="BE605" s="14">
        <f t="shared" ref="BE605:BJ605" si="337">SUM(BE600:BE603)</f>
        <v>0</v>
      </c>
      <c r="BF605" s="14">
        <f t="shared" si="337"/>
        <v>0</v>
      </c>
      <c r="BG605" s="14">
        <f t="shared" si="337"/>
        <v>0</v>
      </c>
      <c r="BH605" s="14">
        <f t="shared" si="337"/>
        <v>0</v>
      </c>
      <c r="BI605" s="14">
        <f t="shared" si="337"/>
        <v>0</v>
      </c>
      <c r="BJ605" s="14">
        <f t="shared" si="337"/>
        <v>0</v>
      </c>
      <c r="BK605" s="14">
        <f t="shared" si="304"/>
        <v>0</v>
      </c>
      <c r="BL605" s="14"/>
      <c r="BM605" s="14"/>
      <c r="BN605" s="14"/>
      <c r="BO605" s="14"/>
      <c r="BP605" s="14"/>
      <c r="BQ605" s="14"/>
      <c r="BR605" s="14"/>
      <c r="BS605" s="14"/>
      <c r="BT605" s="324"/>
      <c r="BU605" s="14"/>
      <c r="BV605" s="14"/>
      <c r="BW605" s="14"/>
      <c r="BX605" s="14"/>
      <c r="BY605" s="14"/>
      <c r="BZ605" s="14"/>
      <c r="CA605" s="14"/>
      <c r="CB605" s="14"/>
      <c r="CC605" s="14"/>
      <c r="CD605" s="14"/>
      <c r="CE605" s="14"/>
      <c r="CF605" s="14"/>
      <c r="CG605" s="14"/>
      <c r="CH605" s="14"/>
      <c r="CI605" s="14"/>
      <c r="CJ605" s="2"/>
      <c r="CK605" s="2"/>
      <c r="CM605" s="1450">
        <v>0</v>
      </c>
      <c r="CN605" s="1450">
        <v>0</v>
      </c>
      <c r="CP605" s="923">
        <f t="shared" si="320"/>
        <v>0</v>
      </c>
      <c r="CZ605" s="330"/>
    </row>
    <row r="606" spans="1:104" ht="15" customHeight="1" x14ac:dyDescent="0.25">
      <c r="A606" s="684">
        <f>MAX($A$6:A605)+1</f>
        <v>606</v>
      </c>
      <c r="B606" s="3">
        <f t="shared" si="335"/>
        <v>5.0999999999999996</v>
      </c>
      <c r="C606" s="11" t="str">
        <f t="shared" si="325"/>
        <v>Consolidated property, plant and equipment 2025-26</v>
      </c>
      <c r="D606" s="11"/>
      <c r="E606" s="7"/>
      <c r="F606" s="15"/>
      <c r="G606" s="26"/>
      <c r="H606" s="6"/>
      <c r="I606" s="6"/>
      <c r="J606" s="1257" t="s">
        <v>286</v>
      </c>
      <c r="K606" s="251">
        <f>SUMIF('alb Note 5.1 -PP&amp;E - CY'!$A:$A,$J606,'alb Note 5.1 -PP&amp;E - CY'!$G:$G)</f>
        <v>0</v>
      </c>
      <c r="L606" s="251">
        <f>SUMIF('alb Note 5.1 -PP&amp;E - CY'!$A:$A,$J606,'alb Note 5.1 -PP&amp;E - CY'!$R:$R)</f>
        <v>0</v>
      </c>
      <c r="M606" s="10"/>
      <c r="N606" s="273">
        <f>ROUND(SUM(O606:S606)+SUM(W606:AV606),0)</f>
        <v>0</v>
      </c>
      <c r="O606" s="12"/>
      <c r="P606" s="12"/>
      <c r="Q606" s="12"/>
      <c r="R606" s="12"/>
      <c r="S606" s="6">
        <f t="shared" si="310"/>
        <v>0</v>
      </c>
      <c r="T606" s="273">
        <f t="shared" ref="T606:T624" si="338">ROUND(SUM(U606:Y606),0)</f>
        <v>0</v>
      </c>
      <c r="U606" s="6">
        <f>SUM(BL606:BN606)</f>
        <v>0</v>
      </c>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X606" s="6"/>
      <c r="AY606" s="6">
        <f>ROUND(AX606/1000/Update!$B$31*Update!$B$27,0)</f>
        <v>0</v>
      </c>
      <c r="BA606" s="6"/>
      <c r="BB606" s="6">
        <f>ROUND(BA606/1000/Update!$B$31,0)</f>
        <v>0</v>
      </c>
      <c r="BC606" s="6"/>
      <c r="BD606" s="29">
        <f t="shared" si="323"/>
        <v>0</v>
      </c>
      <c r="BE606" s="322"/>
      <c r="BF606" s="322"/>
      <c r="BG606" s="322"/>
      <c r="BH606" s="322"/>
      <c r="BI606" s="322"/>
      <c r="BJ606" s="322"/>
      <c r="BK606" s="29">
        <f t="shared" si="304"/>
        <v>0</v>
      </c>
      <c r="BL606" s="322"/>
      <c r="BM606" s="322"/>
      <c r="BN606" s="322"/>
      <c r="BO606" s="322"/>
      <c r="BP606" s="322"/>
      <c r="BQ606" s="322"/>
      <c r="BR606" s="322"/>
      <c r="BS606" s="322"/>
      <c r="BT606" s="322"/>
      <c r="BU606" s="322"/>
      <c r="BV606" s="322"/>
      <c r="BW606" s="322"/>
      <c r="BX606" s="322"/>
      <c r="BY606" s="322"/>
      <c r="BZ606" s="322"/>
      <c r="CA606" s="322"/>
      <c r="CB606" s="322"/>
      <c r="CC606" s="322"/>
      <c r="CD606" s="322"/>
      <c r="CE606" s="322"/>
      <c r="CF606" s="322"/>
      <c r="CG606" s="322"/>
      <c r="CH606" s="322"/>
      <c r="CI606" s="322"/>
      <c r="CM606" s="1139">
        <v>0</v>
      </c>
      <c r="CN606" s="1139">
        <v>0</v>
      </c>
      <c r="CP606" s="923">
        <f t="shared" si="320"/>
        <v>0</v>
      </c>
      <c r="CZ606" s="330"/>
    </row>
    <row r="607" spans="1:104" ht="18.75" customHeight="1" x14ac:dyDescent="0.25">
      <c r="A607" s="684">
        <f>MAX($A$6:A606)+1</f>
        <v>607</v>
      </c>
      <c r="B607" s="3">
        <f t="shared" si="335"/>
        <v>5.0999999999999996</v>
      </c>
      <c r="C607" s="11" t="str">
        <f t="shared" si="325"/>
        <v>Consolidated property, plant and equipment 2025-26</v>
      </c>
      <c r="D607" s="11" t="s">
        <v>201</v>
      </c>
      <c r="E607" s="277" t="s">
        <v>183</v>
      </c>
      <c r="F607" s="15"/>
      <c r="G607" s="26"/>
      <c r="H607" s="6"/>
      <c r="I607" s="6"/>
      <c r="J607" s="1257" t="s">
        <v>286</v>
      </c>
      <c r="K607" s="251">
        <f>SUMIF('alb Note 5.1 -PP&amp;E - CY'!$A:$A,$J607,'alb Note 5.1 -PP&amp;E - CY'!$G:$G)</f>
        <v>0</v>
      </c>
      <c r="L607" s="251">
        <f>SUMIF('alb Note 5.1 -PP&amp;E - CY'!$A:$A,$J607,'alb Note 5.1 -PP&amp;E - CY'!$R:$R)</f>
        <v>0</v>
      </c>
      <c r="M607" s="10"/>
      <c r="N607" s="273">
        <f>ROUND(SUM(O607:S607)+SUM(W607:AV607),0)</f>
        <v>0</v>
      </c>
      <c r="O607" s="12"/>
      <c r="P607" s="12"/>
      <c r="Q607" s="12"/>
      <c r="R607" s="12"/>
      <c r="S607" s="6">
        <f t="shared" si="310"/>
        <v>0</v>
      </c>
      <c r="T607" s="273">
        <f t="shared" si="338"/>
        <v>0</v>
      </c>
      <c r="U607" s="6">
        <f>SUM(BL607:BN607)</f>
        <v>0</v>
      </c>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X607" s="6"/>
      <c r="AY607" s="6">
        <f>ROUND(AX607/1000/Update!$B$31*Update!$B$27,0)</f>
        <v>0</v>
      </c>
      <c r="BA607" s="6"/>
      <c r="BB607" s="6">
        <f>ROUND(BA607/1000/Update!$B$31,0)</f>
        <v>0</v>
      </c>
      <c r="BC607" s="6"/>
      <c r="BD607" s="29">
        <f t="shared" si="323"/>
        <v>0</v>
      </c>
      <c r="BE607" s="322"/>
      <c r="BF607" s="322"/>
      <c r="BG607" s="322"/>
      <c r="BH607" s="322"/>
      <c r="BI607" s="322"/>
      <c r="BJ607" s="322"/>
      <c r="BK607" s="29">
        <f t="shared" si="304"/>
        <v>0</v>
      </c>
      <c r="BL607" s="322"/>
      <c r="BM607" s="322"/>
      <c r="BN607" s="322"/>
      <c r="BO607" s="322"/>
      <c r="BP607" s="322"/>
      <c r="BQ607" s="322"/>
      <c r="BR607" s="322"/>
      <c r="BS607" s="322"/>
      <c r="BT607" s="322"/>
      <c r="BU607" s="322"/>
      <c r="BV607" s="322"/>
      <c r="BW607" s="322"/>
      <c r="BX607" s="322"/>
      <c r="BY607" s="322"/>
      <c r="BZ607" s="322"/>
      <c r="CA607" s="322"/>
      <c r="CB607" s="322"/>
      <c r="CC607" s="322"/>
      <c r="CD607" s="322"/>
      <c r="CE607" s="322"/>
      <c r="CF607" s="322"/>
      <c r="CG607" s="322"/>
      <c r="CH607" s="322"/>
      <c r="CI607" s="322"/>
      <c r="CM607" s="1139">
        <v>0</v>
      </c>
      <c r="CN607" s="1139">
        <v>0</v>
      </c>
      <c r="CP607" s="923">
        <f t="shared" si="320"/>
        <v>0</v>
      </c>
      <c r="CZ607" s="330"/>
    </row>
    <row r="608" spans="1:104" ht="15" customHeight="1" x14ac:dyDescent="0.25">
      <c r="A608" s="684">
        <f>MAX($A$6:A607)+1</f>
        <v>608</v>
      </c>
      <c r="B608" s="3">
        <f t="shared" si="335"/>
        <v>5.0999999999999996</v>
      </c>
      <c r="C608" s="11" t="str">
        <f t="shared" si="325"/>
        <v>Consolidated property, plant and equipment 2025-26</v>
      </c>
      <c r="D608" s="11" t="str">
        <f>D607</f>
        <v>Information Technology</v>
      </c>
      <c r="E608" s="7" t="str">
        <f>"At"&amp;Update!$B$20</f>
        <v>At 1 April 2025</v>
      </c>
      <c r="F608" s="15"/>
      <c r="G608" s="1267" t="str">
        <f>"At"&amp;Update!$B$20</f>
        <v>At 1 April 2025</v>
      </c>
      <c r="H608" s="6">
        <v>0</v>
      </c>
      <c r="I608" s="6">
        <v>0</v>
      </c>
      <c r="J608" s="1257" t="str">
        <f>$E608</f>
        <v>At 1 April 2025</v>
      </c>
      <c r="K608" s="251">
        <f>SUMIF('alb Note 5.1 -PP&amp;E - CY'!$A:$A,$J608,'alb Note 5.1 -PP&amp;E - CY'!$G:$G)</f>
        <v>0</v>
      </c>
      <c r="L608" s="251">
        <f>SUMIF('alb Note 5.1 -PP&amp;E - CY'!$A:$A,$J608,'alb Note 5.1 -PP&amp;E - CY'!$R:$R)</f>
        <v>0</v>
      </c>
      <c r="M608" s="10"/>
      <c r="N608" s="273">
        <f>ROUND(SUM(O608:S608)+SUM(W608:AV608),0)</f>
        <v>0</v>
      </c>
      <c r="O608" s="12"/>
      <c r="P608" s="12"/>
      <c r="Q608" s="12"/>
      <c r="R608" s="12"/>
      <c r="S608" s="6">
        <f t="shared" si="310"/>
        <v>0</v>
      </c>
      <c r="T608" s="273">
        <f t="shared" si="338"/>
        <v>0</v>
      </c>
      <c r="U608" s="6">
        <f>SUM(BL608:BN608)</f>
        <v>0</v>
      </c>
      <c r="V608" s="6"/>
      <c r="W608" s="6">
        <f t="shared" ref="W608:W620" si="339">+H608</f>
        <v>0</v>
      </c>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X608" s="6"/>
      <c r="AY608" s="6">
        <f>ROUND(AX608/1000/Update!$B$31*Update!$B$27,0)</f>
        <v>0</v>
      </c>
      <c r="BA608" s="6"/>
      <c r="BB608" s="6">
        <f>ROUND(BA608/1000/Update!$B$31,0)</f>
        <v>0</v>
      </c>
      <c r="BC608" s="6"/>
      <c r="BD608" s="29">
        <f t="shared" si="323"/>
        <v>0</v>
      </c>
      <c r="BE608" s="322"/>
      <c r="BF608" s="322"/>
      <c r="BG608" s="322"/>
      <c r="BH608" s="322"/>
      <c r="BI608" s="322"/>
      <c r="BJ608" s="322"/>
      <c r="BK608" s="29">
        <f t="shared" si="304"/>
        <v>0</v>
      </c>
      <c r="BL608" s="322"/>
      <c r="BM608" s="322"/>
      <c r="BN608" s="322"/>
      <c r="BO608" s="322"/>
      <c r="BP608" s="322"/>
      <c r="BQ608" s="322"/>
      <c r="BR608" s="322"/>
      <c r="BS608" s="322"/>
      <c r="BT608" s="322"/>
      <c r="BU608" s="322"/>
      <c r="BV608" s="322"/>
      <c r="BW608" s="322"/>
      <c r="BX608" s="322"/>
      <c r="BY608" s="322"/>
      <c r="BZ608" s="322"/>
      <c r="CA608" s="322"/>
      <c r="CB608" s="322"/>
      <c r="CC608" s="322"/>
      <c r="CD608" s="322"/>
      <c r="CE608" s="322"/>
      <c r="CF608" s="322"/>
      <c r="CG608" s="322"/>
      <c r="CH608" s="322"/>
      <c r="CI608" s="322"/>
      <c r="CM608" s="1139">
        <v>0</v>
      </c>
      <c r="CN608" s="1139">
        <v>0</v>
      </c>
      <c r="CP608" s="923">
        <f t="shared" si="320"/>
        <v>0</v>
      </c>
      <c r="CZ608" s="330"/>
    </row>
    <row r="609" spans="1:104" ht="15" customHeight="1" x14ac:dyDescent="0.25">
      <c r="A609" s="684">
        <f>MAX($A$6:A608)+1</f>
        <v>609</v>
      </c>
      <c r="B609" s="3">
        <f t="shared" si="335"/>
        <v>5.0999999999999996</v>
      </c>
      <c r="C609" s="11" t="str">
        <f t="shared" si="325"/>
        <v>Consolidated property, plant and equipment 2025-26</v>
      </c>
      <c r="D609" s="11" t="str">
        <f t="shared" ref="D609:D643" si="340">D608</f>
        <v>Information Technology</v>
      </c>
      <c r="E609" s="7" t="s">
        <v>435</v>
      </c>
      <c r="F609" s="15"/>
      <c r="G609" s="1254" t="s">
        <v>435</v>
      </c>
      <c r="H609" s="6">
        <v>0</v>
      </c>
      <c r="I609" s="6">
        <v>0</v>
      </c>
      <c r="J609" s="7" t="s">
        <v>184</v>
      </c>
      <c r="K609" s="251">
        <f>SUMIF('alb Note 5.1 -PP&amp;E - CY'!$A:$A,$J609,'alb Note 5.1 -PP&amp;E - CY'!$G:$G)</f>
        <v>0</v>
      </c>
      <c r="L609" s="251">
        <f>SUMIF('alb Note 5.1 -PP&amp;E - CY'!$A:$A,$J609,'alb Note 5.1 -PP&amp;E - CY'!$R:$R)</f>
        <v>0</v>
      </c>
      <c r="M609" s="10"/>
      <c r="N609" s="273">
        <f>ROUND(SUM(O609:S609)+SUM(W609:AV609),0)</f>
        <v>0</v>
      </c>
      <c r="O609" s="12"/>
      <c r="P609" s="12"/>
      <c r="Q609" s="12"/>
      <c r="R609" s="12"/>
      <c r="S609" s="6">
        <f t="shared" si="310"/>
        <v>0</v>
      </c>
      <c r="T609" s="273">
        <f t="shared" si="338"/>
        <v>0</v>
      </c>
      <c r="U609" s="6">
        <f>SUM(BL609:BN609)</f>
        <v>0</v>
      </c>
      <c r="V609" s="6"/>
      <c r="W609" s="6">
        <f t="shared" si="339"/>
        <v>0</v>
      </c>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X609" s="6"/>
      <c r="AY609" s="6">
        <f>ROUND(AX609/1000/Update!$B$31*Update!$B$27,0)</f>
        <v>0</v>
      </c>
      <c r="BA609" s="6"/>
      <c r="BB609" s="6">
        <f>ROUND(BA609/1000/Update!$B$31,0)</f>
        <v>0</v>
      </c>
      <c r="BC609" s="6"/>
      <c r="BD609" s="29">
        <f t="shared" si="323"/>
        <v>0</v>
      </c>
      <c r="BE609" s="322"/>
      <c r="BF609" s="322"/>
      <c r="BG609" s="322"/>
      <c r="BH609" s="322"/>
      <c r="BI609" s="322"/>
      <c r="BJ609" s="322"/>
      <c r="BK609" s="29">
        <f t="shared" si="304"/>
        <v>0</v>
      </c>
      <c r="BL609" s="322"/>
      <c r="BM609" s="322"/>
      <c r="BN609" s="322"/>
      <c r="BO609" s="322"/>
      <c r="BP609" s="322"/>
      <c r="BQ609" s="322"/>
      <c r="BR609" s="322"/>
      <c r="BS609" s="322"/>
      <c r="BT609" s="322"/>
      <c r="BU609" s="322"/>
      <c r="BV609" s="322"/>
      <c r="BW609" s="322"/>
      <c r="BX609" s="322"/>
      <c r="BY609" s="322"/>
      <c r="BZ609" s="322"/>
      <c r="CA609" s="322"/>
      <c r="CB609" s="322"/>
      <c r="CC609" s="322"/>
      <c r="CD609" s="322"/>
      <c r="CE609" s="322"/>
      <c r="CF609" s="322"/>
      <c r="CG609" s="322"/>
      <c r="CH609" s="322"/>
      <c r="CI609" s="322"/>
      <c r="CM609" s="1139">
        <v>0</v>
      </c>
      <c r="CN609" s="1139">
        <v>0</v>
      </c>
      <c r="CP609" s="923">
        <f t="shared" si="320"/>
        <v>0</v>
      </c>
      <c r="CZ609" s="330"/>
    </row>
    <row r="610" spans="1:104" ht="15" customHeight="1" x14ac:dyDescent="0.25">
      <c r="A610" s="701">
        <f>MAX($A$6:A609)+1</f>
        <v>610</v>
      </c>
      <c r="B610" s="1291">
        <f t="shared" si="335"/>
        <v>5.0999999999999996</v>
      </c>
      <c r="C610" s="18" t="str">
        <f t="shared" si="325"/>
        <v>Consolidated property, plant and equipment 2025-26</v>
      </c>
      <c r="D610" s="18" t="str">
        <f t="shared" si="340"/>
        <v>Information Technology</v>
      </c>
      <c r="E610" s="19" t="s">
        <v>869</v>
      </c>
      <c r="F610" s="20"/>
      <c r="G610" s="1278" t="s">
        <v>436</v>
      </c>
      <c r="H610" s="14">
        <f>SUM(H607:H609)</f>
        <v>0</v>
      </c>
      <c r="I610" s="14">
        <f>SUM(I607:I609)</f>
        <v>0</v>
      </c>
      <c r="J610" s="19" t="s">
        <v>869</v>
      </c>
      <c r="K610" s="256">
        <f>SUM(K606:K609)</f>
        <v>0</v>
      </c>
      <c r="L610" s="256">
        <f>SUM(L606:L609)</f>
        <v>0</v>
      </c>
      <c r="M610" s="21"/>
      <c r="N610" s="14">
        <f>ROUND(SUM(O610:S610)+T610+SUM(Z610:AV610),0)</f>
        <v>0</v>
      </c>
      <c r="O610" s="14">
        <f>SUM(O607:O609)</f>
        <v>0</v>
      </c>
      <c r="P610" s="14">
        <f>SUM(P607:P609)</f>
        <v>0</v>
      </c>
      <c r="Q610" s="14">
        <f>SUM(Q607:Q609)</f>
        <v>0</v>
      </c>
      <c r="R610" s="14">
        <f>SUM(R607:R609)</f>
        <v>0</v>
      </c>
      <c r="S610" s="14">
        <f t="shared" si="310"/>
        <v>0</v>
      </c>
      <c r="T610" s="14">
        <f t="shared" si="338"/>
        <v>0</v>
      </c>
      <c r="U610" s="14">
        <f>SUM(U607:U609)</f>
        <v>0</v>
      </c>
      <c r="V610" s="14">
        <f>SUM(V607:V609)</f>
        <v>0</v>
      </c>
      <c r="W610" s="14">
        <f>SUM(W607:W609)</f>
        <v>0</v>
      </c>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2"/>
      <c r="AX610" s="14">
        <f>SUM(AX607:AX609)</f>
        <v>0</v>
      </c>
      <c r="AY610" s="14">
        <f>ROUND(AX610/1000/Update!$B$31*Update!$B$27,0)</f>
        <v>0</v>
      </c>
      <c r="AZ610" s="2"/>
      <c r="BA610" s="14">
        <f>SUM(BA607:BA609)</f>
        <v>0</v>
      </c>
      <c r="BB610" s="14">
        <f>ROUND(BA610/1000/Update!$B$31,0)</f>
        <v>0</v>
      </c>
      <c r="BC610" s="14"/>
      <c r="BD610" s="14">
        <f t="shared" si="323"/>
        <v>0</v>
      </c>
      <c r="BE610" s="14">
        <f t="shared" ref="BE610:BJ610" si="341">SUM(BE607:BE609)</f>
        <v>0</v>
      </c>
      <c r="BF610" s="14">
        <f t="shared" si="341"/>
        <v>0</v>
      </c>
      <c r="BG610" s="14">
        <f t="shared" si="341"/>
        <v>0</v>
      </c>
      <c r="BH610" s="14">
        <f t="shared" si="341"/>
        <v>0</v>
      </c>
      <c r="BI610" s="14">
        <f t="shared" si="341"/>
        <v>0</v>
      </c>
      <c r="BJ610" s="14">
        <f t="shared" si="341"/>
        <v>0</v>
      </c>
      <c r="BK610" s="14">
        <f t="shared" si="304"/>
        <v>0</v>
      </c>
      <c r="BL610" s="14"/>
      <c r="BM610" s="14"/>
      <c r="BN610" s="14"/>
      <c r="BO610" s="14"/>
      <c r="BP610" s="14"/>
      <c r="BQ610" s="14"/>
      <c r="BR610" s="14"/>
      <c r="BS610" s="14"/>
      <c r="BT610" s="324"/>
      <c r="BU610" s="14"/>
      <c r="BV610" s="14"/>
      <c r="BW610" s="14"/>
      <c r="BX610" s="14"/>
      <c r="BY610" s="14"/>
      <c r="BZ610" s="14"/>
      <c r="CA610" s="14"/>
      <c r="CB610" s="14"/>
      <c r="CC610" s="14"/>
      <c r="CD610" s="14"/>
      <c r="CE610" s="14"/>
      <c r="CF610" s="14"/>
      <c r="CG610" s="14"/>
      <c r="CH610" s="14"/>
      <c r="CI610" s="14"/>
      <c r="CJ610" s="2"/>
      <c r="CK610" s="2"/>
      <c r="CM610" s="1450">
        <v>0</v>
      </c>
      <c r="CN610" s="1450">
        <v>0</v>
      </c>
      <c r="CP610" s="923">
        <f t="shared" si="320"/>
        <v>0</v>
      </c>
      <c r="CZ610" s="330"/>
    </row>
    <row r="611" spans="1:104" ht="15" customHeight="1" x14ac:dyDescent="0.25">
      <c r="A611" s="684">
        <f>MAX($A$6:A610)+1</f>
        <v>611</v>
      </c>
      <c r="B611" s="3">
        <f t="shared" si="335"/>
        <v>5.0999999999999996</v>
      </c>
      <c r="C611" s="11" t="str">
        <f t="shared" si="325"/>
        <v>Consolidated property, plant and equipment 2025-26</v>
      </c>
      <c r="D611" s="11" t="str">
        <f t="shared" si="340"/>
        <v>Information Technology</v>
      </c>
      <c r="E611" s="7" t="s">
        <v>185</v>
      </c>
      <c r="F611" s="15"/>
      <c r="G611" s="1254" t="s">
        <v>185</v>
      </c>
      <c r="H611" s="6">
        <v>0</v>
      </c>
      <c r="I611" s="6">
        <v>0</v>
      </c>
      <c r="J611" s="1257" t="s">
        <v>185</v>
      </c>
      <c r="K611" s="251">
        <f>SUMIF('alb Note 5.1 -PP&amp;E - CY'!$A:$A,$J611,'alb Note 5.1 -PP&amp;E - CY'!$G:$G)</f>
        <v>0</v>
      </c>
      <c r="L611" s="251">
        <f>SUMIF('alb Note 5.1 -PP&amp;E - CY'!$A:$A,$J611,'alb Note 5.1 -PP&amp;E - CY'!$R:$R)</f>
        <v>0</v>
      </c>
      <c r="M611" s="10"/>
      <c r="N611" s="273">
        <f t="shared" ref="N611:N620" si="342">ROUND(SUM(O611:S611)+SUM(W611:AV611),0)</f>
        <v>0</v>
      </c>
      <c r="O611" s="12"/>
      <c r="P611" s="12"/>
      <c r="Q611" s="12"/>
      <c r="R611" s="12"/>
      <c r="S611" s="6">
        <f t="shared" si="310"/>
        <v>0</v>
      </c>
      <c r="T611" s="273">
        <f t="shared" si="338"/>
        <v>0</v>
      </c>
      <c r="U611" s="6">
        <f t="shared" ref="U611:U620" si="343">SUM(BL611:BN611)</f>
        <v>0</v>
      </c>
      <c r="V611" s="6"/>
      <c r="W611" s="6">
        <f t="shared" si="339"/>
        <v>0</v>
      </c>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X611" s="6"/>
      <c r="AY611" s="6">
        <f>ROUND(AX611/1000/Update!$B$31*Update!$B$27,0)</f>
        <v>0</v>
      </c>
      <c r="BA611" s="6"/>
      <c r="BB611" s="6">
        <f>ROUND(BA611/1000/Update!$B$31,0)</f>
        <v>0</v>
      </c>
      <c r="BC611" s="6"/>
      <c r="BD611" s="29">
        <f t="shared" si="323"/>
        <v>0</v>
      </c>
      <c r="BE611" s="322"/>
      <c r="BF611" s="322"/>
      <c r="BG611" s="322"/>
      <c r="BH611" s="322"/>
      <c r="BI611" s="322"/>
      <c r="BJ611" s="322"/>
      <c r="BK611" s="29">
        <f t="shared" si="304"/>
        <v>0</v>
      </c>
      <c r="BL611" s="322"/>
      <c r="BM611" s="322"/>
      <c r="BN611" s="322"/>
      <c r="BO611" s="322"/>
      <c r="BP611" s="322"/>
      <c r="BQ611" s="322"/>
      <c r="BR611" s="322"/>
      <c r="BS611" s="322"/>
      <c r="BT611" s="322"/>
      <c r="BU611" s="322"/>
      <c r="BV611" s="322"/>
      <c r="BW611" s="322"/>
      <c r="BX611" s="322"/>
      <c r="BY611" s="322"/>
      <c r="BZ611" s="322"/>
      <c r="CA611" s="322"/>
      <c r="CB611" s="322"/>
      <c r="CC611" s="322"/>
      <c r="CD611" s="322"/>
      <c r="CE611" s="322"/>
      <c r="CF611" s="322"/>
      <c r="CG611" s="322"/>
      <c r="CH611" s="322"/>
      <c r="CI611" s="322"/>
      <c r="CM611" s="1139">
        <v>0</v>
      </c>
      <c r="CN611" s="1139">
        <v>0</v>
      </c>
      <c r="CP611" s="923">
        <f t="shared" si="320"/>
        <v>0</v>
      </c>
      <c r="CZ611" s="330"/>
    </row>
    <row r="612" spans="1:104" ht="30" customHeight="1" x14ac:dyDescent="0.25">
      <c r="A612" s="684">
        <f>MAX($A$6:A611)+1</f>
        <v>612</v>
      </c>
      <c r="B612" s="3">
        <f t="shared" si="335"/>
        <v>5.0999999999999996</v>
      </c>
      <c r="C612" s="11" t="str">
        <f t="shared" si="325"/>
        <v>Consolidated property, plant and equipment 2025-26</v>
      </c>
      <c r="D612" s="11" t="str">
        <f t="shared" si="340"/>
        <v>Information Technology</v>
      </c>
      <c r="E612" s="7" t="s">
        <v>437</v>
      </c>
      <c r="F612" s="15"/>
      <c r="G612" s="1254" t="s">
        <v>437</v>
      </c>
      <c r="H612" s="6">
        <v>0</v>
      </c>
      <c r="I612" s="6">
        <v>0</v>
      </c>
      <c r="J612" s="1257" t="s">
        <v>437</v>
      </c>
      <c r="K612" s="251">
        <f>SUMIF('alb Note 5.1 -PP&amp;E - CY'!$A:$A,$J612,'alb Note 5.1 -PP&amp;E - CY'!$G:$G)</f>
        <v>0</v>
      </c>
      <c r="L612" s="251">
        <f>SUMIF('alb Note 5.1 -PP&amp;E - CY'!$A:$A,$J612,'alb Note 5.1 -PP&amp;E - CY'!$R:$R)</f>
        <v>0</v>
      </c>
      <c r="M612" s="10"/>
      <c r="N612" s="273">
        <f t="shared" si="342"/>
        <v>0</v>
      </c>
      <c r="O612" s="12"/>
      <c r="P612" s="12"/>
      <c r="Q612" s="12"/>
      <c r="R612" s="12"/>
      <c r="S612" s="6">
        <f t="shared" si="310"/>
        <v>0</v>
      </c>
      <c r="T612" s="273">
        <f t="shared" si="338"/>
        <v>0</v>
      </c>
      <c r="U612" s="6">
        <f t="shared" si="343"/>
        <v>0</v>
      </c>
      <c r="V612" s="6"/>
      <c r="W612" s="6">
        <f t="shared" si="339"/>
        <v>0</v>
      </c>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X612" s="6"/>
      <c r="AY612" s="6">
        <f>ROUND(AX612/1000/Update!$B$31*Update!$B$27,0)</f>
        <v>0</v>
      </c>
      <c r="BA612" s="6"/>
      <c r="BB612" s="6">
        <f>ROUND(BA612/1000/Update!$B$31,0)</f>
        <v>0</v>
      </c>
      <c r="BC612" s="6"/>
      <c r="BD612" s="29">
        <f t="shared" si="323"/>
        <v>0</v>
      </c>
      <c r="BE612" s="322"/>
      <c r="BF612" s="322"/>
      <c r="BG612" s="322"/>
      <c r="BH612" s="322"/>
      <c r="BI612" s="322"/>
      <c r="BJ612" s="322"/>
      <c r="BK612" s="29">
        <f t="shared" si="304"/>
        <v>0</v>
      </c>
      <c r="BL612" s="322"/>
      <c r="BM612" s="322"/>
      <c r="BN612" s="322"/>
      <c r="BO612" s="322"/>
      <c r="BP612" s="322"/>
      <c r="BQ612" s="322"/>
      <c r="BR612" s="322"/>
      <c r="BS612" s="322"/>
      <c r="BT612" s="322"/>
      <c r="BU612" s="322"/>
      <c r="BV612" s="322"/>
      <c r="BW612" s="322"/>
      <c r="BX612" s="322"/>
      <c r="BY612" s="322"/>
      <c r="BZ612" s="322"/>
      <c r="CA612" s="322"/>
      <c r="CB612" s="322"/>
      <c r="CC612" s="322"/>
      <c r="CD612" s="322"/>
      <c r="CE612" s="322"/>
      <c r="CF612" s="322"/>
      <c r="CG612" s="322"/>
      <c r="CH612" s="322"/>
      <c r="CI612" s="322"/>
      <c r="CM612" s="1139">
        <v>0</v>
      </c>
      <c r="CN612" s="1139">
        <v>0</v>
      </c>
      <c r="CP612" s="923">
        <f t="shared" si="320"/>
        <v>0</v>
      </c>
      <c r="CZ612" s="330"/>
    </row>
    <row r="613" spans="1:104" ht="15" customHeight="1" x14ac:dyDescent="0.25">
      <c r="A613" s="684">
        <f>MAX($A$6:A612)+1</f>
        <v>613</v>
      </c>
      <c r="B613" s="3">
        <f t="shared" si="335"/>
        <v>5.0999999999999996</v>
      </c>
      <c r="C613" s="11" t="str">
        <f t="shared" si="325"/>
        <v>Consolidated property, plant and equipment 2025-26</v>
      </c>
      <c r="D613" s="11" t="str">
        <f t="shared" si="340"/>
        <v>Information Technology</v>
      </c>
      <c r="E613" s="7" t="s">
        <v>191</v>
      </c>
      <c r="F613" s="15"/>
      <c r="G613" s="1254" t="s">
        <v>191</v>
      </c>
      <c r="H613" s="6">
        <v>0</v>
      </c>
      <c r="I613" s="6">
        <v>0</v>
      </c>
      <c r="J613" s="1257" t="s">
        <v>191</v>
      </c>
      <c r="K613" s="251">
        <f>SUMIF('alb Note 5.1 -PP&amp;E - CY'!$A:$A,$J613,'alb Note 5.1 -PP&amp;E - CY'!$G:$G)</f>
        <v>0</v>
      </c>
      <c r="L613" s="251">
        <f>SUMIF('alb Note 5.1 -PP&amp;E - CY'!$A:$A,$J613,'alb Note 5.1 -PP&amp;E - CY'!$R:$R)</f>
        <v>0</v>
      </c>
      <c r="M613" s="10"/>
      <c r="N613" s="273">
        <f t="shared" si="342"/>
        <v>0</v>
      </c>
      <c r="O613" s="12"/>
      <c r="P613" s="12"/>
      <c r="Q613" s="12"/>
      <c r="R613" s="12"/>
      <c r="S613" s="6">
        <f t="shared" si="310"/>
        <v>0</v>
      </c>
      <c r="T613" s="273">
        <f t="shared" si="338"/>
        <v>0</v>
      </c>
      <c r="U613" s="6">
        <f t="shared" si="343"/>
        <v>0</v>
      </c>
      <c r="V613" s="6"/>
      <c r="W613" s="6">
        <f t="shared" si="339"/>
        <v>0</v>
      </c>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X613" s="6"/>
      <c r="AY613" s="6">
        <f>ROUND(AX613/1000/Update!$B$31*Update!$B$27,0)</f>
        <v>0</v>
      </c>
      <c r="BA613" s="6"/>
      <c r="BB613" s="6">
        <f>ROUND(BA613/1000/Update!$B$31,0)</f>
        <v>0</v>
      </c>
      <c r="BC613" s="6"/>
      <c r="BD613" s="29">
        <f t="shared" si="323"/>
        <v>0</v>
      </c>
      <c r="BE613" s="322"/>
      <c r="BF613" s="322"/>
      <c r="BG613" s="322"/>
      <c r="BH613" s="322"/>
      <c r="BI613" s="322"/>
      <c r="BJ613" s="322"/>
      <c r="BK613" s="29">
        <f t="shared" si="304"/>
        <v>0</v>
      </c>
      <c r="BL613" s="322"/>
      <c r="BM613" s="322"/>
      <c r="BN613" s="322"/>
      <c r="BO613" s="322"/>
      <c r="BP613" s="322"/>
      <c r="BQ613" s="322"/>
      <c r="BR613" s="322"/>
      <c r="BS613" s="322"/>
      <c r="BT613" s="322"/>
      <c r="BU613" s="322"/>
      <c r="BV613" s="322"/>
      <c r="BW613" s="322"/>
      <c r="BX613" s="322"/>
      <c r="BY613" s="322"/>
      <c r="BZ613" s="322"/>
      <c r="CA613" s="322"/>
      <c r="CB613" s="322"/>
      <c r="CC613" s="322"/>
      <c r="CD613" s="322"/>
      <c r="CE613" s="322"/>
      <c r="CF613" s="322"/>
      <c r="CG613" s="322"/>
      <c r="CH613" s="322"/>
      <c r="CI613" s="322"/>
      <c r="CM613" s="1139">
        <v>0</v>
      </c>
      <c r="CN613" s="1139">
        <v>0</v>
      </c>
      <c r="CP613" s="923">
        <f t="shared" si="320"/>
        <v>0</v>
      </c>
      <c r="CZ613" s="330"/>
    </row>
    <row r="614" spans="1:104" ht="15" customHeight="1" x14ac:dyDescent="0.25">
      <c r="A614" s="684">
        <f>MAX($A$6:A613)+1</f>
        <v>614</v>
      </c>
      <c r="B614" s="3">
        <f t="shared" si="335"/>
        <v>5.0999999999999996</v>
      </c>
      <c r="C614" s="11" t="str">
        <f t="shared" si="325"/>
        <v>Consolidated property, plant and equipment 2025-26</v>
      </c>
      <c r="D614" s="11" t="str">
        <f t="shared" si="340"/>
        <v>Information Technology</v>
      </c>
      <c r="E614" s="7" t="s">
        <v>186</v>
      </c>
      <c r="F614" s="15"/>
      <c r="G614" s="1254" t="s">
        <v>186</v>
      </c>
      <c r="H614" s="6">
        <v>0</v>
      </c>
      <c r="I614" s="6">
        <v>0</v>
      </c>
      <c r="J614" s="1257" t="s">
        <v>186</v>
      </c>
      <c r="K614" s="251">
        <f>SUMIF('alb Note 5.1 -PP&amp;E - CY'!$A:$A,$J614,'alb Note 5.1 -PP&amp;E - CY'!$G:$G)</f>
        <v>0</v>
      </c>
      <c r="L614" s="251">
        <f>SUMIF('alb Note 5.1 -PP&amp;E - CY'!$A:$A,$J614,'alb Note 5.1 -PP&amp;E - CY'!$R:$R)</f>
        <v>0</v>
      </c>
      <c r="M614" s="10"/>
      <c r="N614" s="273">
        <f t="shared" si="342"/>
        <v>0</v>
      </c>
      <c r="O614" s="12"/>
      <c r="P614" s="12"/>
      <c r="Q614" s="12"/>
      <c r="R614" s="12"/>
      <c r="S614" s="6">
        <f t="shared" si="310"/>
        <v>0</v>
      </c>
      <c r="T614" s="273">
        <f t="shared" si="338"/>
        <v>0</v>
      </c>
      <c r="U614" s="6">
        <f t="shared" si="343"/>
        <v>0</v>
      </c>
      <c r="V614" s="6"/>
      <c r="W614" s="6">
        <f t="shared" si="339"/>
        <v>0</v>
      </c>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X614" s="6"/>
      <c r="AY614" s="6">
        <f>ROUND(AX614/1000/Update!$B$31*Update!$B$27,0)</f>
        <v>0</v>
      </c>
      <c r="BA614" s="6"/>
      <c r="BB614" s="6">
        <f>ROUND(BA614/1000/Update!$B$31,0)</f>
        <v>0</v>
      </c>
      <c r="BC614" s="6"/>
      <c r="BD614" s="29">
        <f t="shared" si="323"/>
        <v>0</v>
      </c>
      <c r="BE614" s="322"/>
      <c r="BF614" s="322"/>
      <c r="BG614" s="322"/>
      <c r="BH614" s="322"/>
      <c r="BI614" s="322"/>
      <c r="BJ614" s="322"/>
      <c r="BK614" s="29">
        <f t="shared" si="304"/>
        <v>0</v>
      </c>
      <c r="BL614" s="322"/>
      <c r="BM614" s="322"/>
      <c r="BN614" s="322"/>
      <c r="BO614" s="322"/>
      <c r="BP614" s="322"/>
      <c r="BQ614" s="322"/>
      <c r="BR614" s="322"/>
      <c r="BS614" s="322"/>
      <c r="BT614" s="322"/>
      <c r="BU614" s="322"/>
      <c r="BV614" s="322"/>
      <c r="BW614" s="322"/>
      <c r="BX614" s="322"/>
      <c r="BY614" s="322"/>
      <c r="BZ614" s="322"/>
      <c r="CA614" s="322"/>
      <c r="CB614" s="322"/>
      <c r="CC614" s="322"/>
      <c r="CD614" s="322"/>
      <c r="CE614" s="322"/>
      <c r="CF614" s="322"/>
      <c r="CG614" s="322"/>
      <c r="CH614" s="322"/>
      <c r="CI614" s="322"/>
      <c r="CM614" s="1139">
        <v>0</v>
      </c>
      <c r="CN614" s="1139">
        <v>0</v>
      </c>
      <c r="CP614" s="923">
        <f t="shared" si="320"/>
        <v>0</v>
      </c>
      <c r="CZ614" s="330"/>
    </row>
    <row r="615" spans="1:104" ht="30" customHeight="1" x14ac:dyDescent="0.25">
      <c r="A615" s="684">
        <f>MAX($A$6:A614)+1</f>
        <v>615</v>
      </c>
      <c r="B615" s="3">
        <f t="shared" si="335"/>
        <v>5.0999999999999996</v>
      </c>
      <c r="C615" s="11" t="str">
        <f t="shared" si="325"/>
        <v>Consolidated property, plant and equipment 2025-26</v>
      </c>
      <c r="D615" s="11" t="str">
        <f t="shared" si="340"/>
        <v>Information Technology</v>
      </c>
      <c r="E615" s="7" t="s">
        <v>192</v>
      </c>
      <c r="F615" s="15"/>
      <c r="G615" s="1254" t="s">
        <v>438</v>
      </c>
      <c r="H615" s="6">
        <v>0</v>
      </c>
      <c r="I615" s="6">
        <v>0</v>
      </c>
      <c r="J615" s="1257" t="s">
        <v>768</v>
      </c>
      <c r="K615" s="251">
        <f>SUMIF('alb Note 5.1 -PP&amp;E - CY'!$A:$A,$J615,'alb Note 5.1 -PP&amp;E - CY'!$G:$G)</f>
        <v>0</v>
      </c>
      <c r="L615" s="251">
        <f>SUMIF('alb Note 5.1 -PP&amp;E - CY'!$A:$A,$J615,'alb Note 5.1 -PP&amp;E - CY'!$R:$R)</f>
        <v>0</v>
      </c>
      <c r="M615" s="10"/>
      <c r="N615" s="273">
        <f t="shared" si="342"/>
        <v>0</v>
      </c>
      <c r="O615" s="12"/>
      <c r="P615" s="12"/>
      <c r="Q615" s="12"/>
      <c r="R615" s="12"/>
      <c r="S615" s="6">
        <f t="shared" si="310"/>
        <v>0</v>
      </c>
      <c r="T615" s="273">
        <f t="shared" si="338"/>
        <v>0</v>
      </c>
      <c r="U615" s="6">
        <f t="shared" si="343"/>
        <v>0</v>
      </c>
      <c r="V615" s="6"/>
      <c r="W615" s="6">
        <f t="shared" si="339"/>
        <v>0</v>
      </c>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X615" s="6"/>
      <c r="AY615" s="6">
        <f>ROUND(AX615/1000/Update!$B$31*Update!$B$27,0)</f>
        <v>0</v>
      </c>
      <c r="BA615" s="6"/>
      <c r="BB615" s="6">
        <f>ROUND(BA615/1000/Update!$B$31,0)</f>
        <v>0</v>
      </c>
      <c r="BC615" s="6"/>
      <c r="BD615" s="29">
        <f t="shared" si="323"/>
        <v>0</v>
      </c>
      <c r="BE615" s="322"/>
      <c r="BF615" s="322"/>
      <c r="BG615" s="322"/>
      <c r="BH615" s="322"/>
      <c r="BI615" s="322"/>
      <c r="BJ615" s="322"/>
      <c r="BK615" s="29">
        <f t="shared" si="304"/>
        <v>0</v>
      </c>
      <c r="BL615" s="322"/>
      <c r="BM615" s="322"/>
      <c r="BN615" s="322"/>
      <c r="BO615" s="322"/>
      <c r="BP615" s="322"/>
      <c r="BQ615" s="322"/>
      <c r="BR615" s="322"/>
      <c r="BS615" s="322"/>
      <c r="BT615" s="322"/>
      <c r="BU615" s="322"/>
      <c r="BV615" s="322"/>
      <c r="BW615" s="322"/>
      <c r="BX615" s="322"/>
      <c r="BY615" s="322"/>
      <c r="BZ615" s="322"/>
      <c r="CA615" s="322"/>
      <c r="CB615" s="322"/>
      <c r="CC615" s="322"/>
      <c r="CD615" s="322"/>
      <c r="CE615" s="322"/>
      <c r="CF615" s="322"/>
      <c r="CG615" s="322"/>
      <c r="CH615" s="322"/>
      <c r="CI615" s="322"/>
      <c r="CM615" s="1139">
        <v>0</v>
      </c>
      <c r="CN615" s="1139">
        <v>0</v>
      </c>
      <c r="CP615" s="923">
        <f t="shared" si="320"/>
        <v>0</v>
      </c>
      <c r="CZ615" s="330"/>
    </row>
    <row r="616" spans="1:104" ht="51" customHeight="1" x14ac:dyDescent="0.25">
      <c r="A616" s="684">
        <f>MAX($A$6:A615)+1</f>
        <v>616</v>
      </c>
      <c r="B616" s="3">
        <f t="shared" si="335"/>
        <v>5.0999999999999996</v>
      </c>
      <c r="C616" s="11" t="str">
        <f t="shared" si="325"/>
        <v>Consolidated property, plant and equipment 2025-26</v>
      </c>
      <c r="D616" s="11" t="str">
        <f t="shared" si="340"/>
        <v>Information Technology</v>
      </c>
      <c r="E616" s="7" t="s">
        <v>193</v>
      </c>
      <c r="F616" s="15"/>
      <c r="G616" s="1254" t="s">
        <v>193</v>
      </c>
      <c r="H616" s="6">
        <v>0</v>
      </c>
      <c r="I616" s="6">
        <v>0</v>
      </c>
      <c r="J616" s="1257" t="s">
        <v>767</v>
      </c>
      <c r="K616" s="251">
        <f>SUMIF('alb Note 5.1 -PP&amp;E - CY'!$A:$A,$J616,'alb Note 5.1 -PP&amp;E - CY'!$G:$G)</f>
        <v>0</v>
      </c>
      <c r="L616" s="251">
        <f>SUMIF('alb Note 5.1 -PP&amp;E - CY'!$A:$A,$J616,'alb Note 5.1 -PP&amp;E - CY'!$R:$R)</f>
        <v>0</v>
      </c>
      <c r="M616" s="10"/>
      <c r="N616" s="273">
        <f t="shared" si="342"/>
        <v>0</v>
      </c>
      <c r="O616" s="12"/>
      <c r="P616" s="12"/>
      <c r="Q616" s="12"/>
      <c r="R616" s="12"/>
      <c r="S616" s="6">
        <f t="shared" si="310"/>
        <v>0</v>
      </c>
      <c r="T616" s="273">
        <f t="shared" si="338"/>
        <v>0</v>
      </c>
      <c r="U616" s="6">
        <f t="shared" si="343"/>
        <v>0</v>
      </c>
      <c r="V616" s="6"/>
      <c r="W616" s="6">
        <f t="shared" si="339"/>
        <v>0</v>
      </c>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X616" s="6"/>
      <c r="AY616" s="6">
        <f>ROUND(AX616/1000/Update!$B$31*Update!$B$27,0)</f>
        <v>0</v>
      </c>
      <c r="BA616" s="6"/>
      <c r="BB616" s="6">
        <f>ROUND(BA616/1000/Update!$B$31,0)</f>
        <v>0</v>
      </c>
      <c r="BC616" s="6"/>
      <c r="BD616" s="29">
        <f t="shared" si="323"/>
        <v>0</v>
      </c>
      <c r="BE616" s="322"/>
      <c r="BF616" s="322"/>
      <c r="BG616" s="322"/>
      <c r="BH616" s="322"/>
      <c r="BI616" s="322"/>
      <c r="BJ616" s="322"/>
      <c r="BK616" s="29">
        <f t="shared" si="304"/>
        <v>0</v>
      </c>
      <c r="BL616" s="322"/>
      <c r="BM616" s="322"/>
      <c r="BN616" s="322"/>
      <c r="BO616" s="322"/>
      <c r="BP616" s="322"/>
      <c r="BQ616" s="322"/>
      <c r="BR616" s="322"/>
      <c r="BS616" s="322"/>
      <c r="BT616" s="322"/>
      <c r="BU616" s="322"/>
      <c r="BV616" s="322"/>
      <c r="BW616" s="322"/>
      <c r="BX616" s="322"/>
      <c r="BY616" s="322"/>
      <c r="BZ616" s="322"/>
      <c r="CA616" s="322"/>
      <c r="CB616" s="322"/>
      <c r="CC616" s="322"/>
      <c r="CD616" s="322"/>
      <c r="CE616" s="322"/>
      <c r="CF616" s="322"/>
      <c r="CG616" s="322"/>
      <c r="CH616" s="322"/>
      <c r="CI616" s="322"/>
      <c r="CM616" s="1139">
        <v>0</v>
      </c>
      <c r="CN616" s="1139">
        <v>0</v>
      </c>
      <c r="CP616" s="923">
        <f t="shared" si="320"/>
        <v>0</v>
      </c>
      <c r="CZ616" s="330"/>
    </row>
    <row r="617" spans="1:104" ht="15" customHeight="1" x14ac:dyDescent="0.25">
      <c r="A617" s="684">
        <f>MAX($A$6:A616)+1</f>
        <v>617</v>
      </c>
      <c r="B617" s="3">
        <f t="shared" si="335"/>
        <v>5.0999999999999996</v>
      </c>
      <c r="C617" s="11" t="str">
        <f t="shared" si="325"/>
        <v>Consolidated property, plant and equipment 2025-26</v>
      </c>
      <c r="D617" s="11" t="str">
        <f>D616</f>
        <v>Information Technology</v>
      </c>
      <c r="E617" s="7" t="s">
        <v>810</v>
      </c>
      <c r="F617" s="15"/>
      <c r="G617" s="1254"/>
      <c r="H617" s="6">
        <v>0</v>
      </c>
      <c r="I617" s="6">
        <v>0</v>
      </c>
      <c r="J617" s="1257" t="s">
        <v>810</v>
      </c>
      <c r="K617" s="251">
        <f>SUMIF('alb Note 5.1 -PP&amp;E - CY'!$A:$A,$J617,'alb Note 5.1 -PP&amp;E - CY'!$G:$G)</f>
        <v>0</v>
      </c>
      <c r="L617" s="251">
        <f>SUMIF('alb Note 5.1 -PP&amp;E - CY'!$A:$A,$J617,'alb Note 5.1 -PP&amp;E - CY'!$R:$R)</f>
        <v>0</v>
      </c>
      <c r="M617" s="10"/>
      <c r="N617" s="273">
        <f t="shared" si="342"/>
        <v>0</v>
      </c>
      <c r="O617" s="12"/>
      <c r="P617" s="12"/>
      <c r="Q617" s="12"/>
      <c r="R617" s="12"/>
      <c r="S617" s="6">
        <f t="shared" si="310"/>
        <v>0</v>
      </c>
      <c r="T617" s="273">
        <f t="shared" si="338"/>
        <v>0</v>
      </c>
      <c r="U617" s="6">
        <f t="shared" si="343"/>
        <v>0</v>
      </c>
      <c r="V617" s="6"/>
      <c r="W617" s="6">
        <f t="shared" si="339"/>
        <v>0</v>
      </c>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X617" s="6"/>
      <c r="AY617" s="6">
        <f>ROUND(AX617/1000/Update!$B$31*Update!$B$27,0)</f>
        <v>0</v>
      </c>
      <c r="BA617" s="6"/>
      <c r="BB617" s="6">
        <f>ROUND(BA617/1000/Update!$B$31,0)</f>
        <v>0</v>
      </c>
      <c r="BC617" s="6"/>
      <c r="BD617" s="29">
        <f t="shared" si="323"/>
        <v>0</v>
      </c>
      <c r="BE617" s="322"/>
      <c r="BF617" s="322"/>
      <c r="BG617" s="322"/>
      <c r="BH617" s="322"/>
      <c r="BI617" s="322"/>
      <c r="BJ617" s="322"/>
      <c r="BK617" s="29">
        <f t="shared" si="304"/>
        <v>0</v>
      </c>
      <c r="BL617" s="322"/>
      <c r="BM617" s="322"/>
      <c r="BN617" s="322"/>
      <c r="BO617" s="322"/>
      <c r="BP617" s="322"/>
      <c r="BQ617" s="322"/>
      <c r="BR617" s="322"/>
      <c r="BS617" s="322"/>
      <c r="BT617" s="322"/>
      <c r="BU617" s="322"/>
      <c r="BV617" s="322"/>
      <c r="BW617" s="322"/>
      <c r="BX617" s="322"/>
      <c r="BY617" s="322"/>
      <c r="BZ617" s="322"/>
      <c r="CA617" s="322"/>
      <c r="CB617" s="322"/>
      <c r="CC617" s="322"/>
      <c r="CD617" s="322"/>
      <c r="CE617" s="322"/>
      <c r="CF617" s="322"/>
      <c r="CG617" s="322"/>
      <c r="CH617" s="322"/>
      <c r="CI617" s="322"/>
      <c r="CM617" s="1139">
        <v>0</v>
      </c>
      <c r="CN617" s="1139">
        <v>0</v>
      </c>
      <c r="CP617" s="923">
        <f t="shared" si="320"/>
        <v>0</v>
      </c>
      <c r="CZ617" s="330"/>
    </row>
    <row r="618" spans="1:104" ht="15" customHeight="1" x14ac:dyDescent="0.25">
      <c r="A618" s="684">
        <f>MAX($A$6:A617)+1</f>
        <v>618</v>
      </c>
      <c r="B618" s="3">
        <f t="shared" si="335"/>
        <v>5.0999999999999996</v>
      </c>
      <c r="C618" s="11" t="str">
        <f>C616</f>
        <v>Consolidated property, plant and equipment 2025-26</v>
      </c>
      <c r="D618" s="11" t="str">
        <f>D616</f>
        <v>Information Technology</v>
      </c>
      <c r="E618" s="7" t="s">
        <v>187</v>
      </c>
      <c r="F618" s="15"/>
      <c r="G618" s="1254" t="s">
        <v>187</v>
      </c>
      <c r="H618" s="6">
        <v>0</v>
      </c>
      <c r="I618" s="6">
        <v>0</v>
      </c>
      <c r="J618" s="1257" t="s">
        <v>187</v>
      </c>
      <c r="K618" s="251">
        <f>SUMIF('alb Note 5.1 -PP&amp;E - CY'!$A:$A,$J618,'alb Note 5.1 -PP&amp;E - CY'!$G:$G)</f>
        <v>0</v>
      </c>
      <c r="L618" s="251">
        <f>SUMIF('alb Note 5.1 -PP&amp;E - CY'!$A:$A,$J618,'alb Note 5.1 -PP&amp;E - CY'!$R:$R)</f>
        <v>0</v>
      </c>
      <c r="M618" s="10"/>
      <c r="N618" s="273">
        <f t="shared" si="342"/>
        <v>0</v>
      </c>
      <c r="O618" s="12"/>
      <c r="P618" s="12"/>
      <c r="Q618" s="12"/>
      <c r="R618" s="12"/>
      <c r="S618" s="6">
        <f t="shared" si="310"/>
        <v>0</v>
      </c>
      <c r="T618" s="273">
        <f t="shared" si="338"/>
        <v>0</v>
      </c>
      <c r="U618" s="6">
        <f t="shared" si="343"/>
        <v>0</v>
      </c>
      <c r="V618" s="6"/>
      <c r="W618" s="6">
        <f t="shared" si="339"/>
        <v>0</v>
      </c>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X618" s="6"/>
      <c r="AY618" s="6">
        <f>ROUND(AX618/1000/Update!$B$31*Update!$B$27,0)</f>
        <v>0</v>
      </c>
      <c r="BA618" s="6"/>
      <c r="BB618" s="6">
        <f>ROUND(BA618/1000/Update!$B$31,0)</f>
        <v>0</v>
      </c>
      <c r="BC618" s="6"/>
      <c r="BD618" s="29">
        <f t="shared" si="323"/>
        <v>0</v>
      </c>
      <c r="BE618" s="322"/>
      <c r="BF618" s="322"/>
      <c r="BG618" s="322"/>
      <c r="BH618" s="322"/>
      <c r="BI618" s="322"/>
      <c r="BJ618" s="322"/>
      <c r="BK618" s="29">
        <f t="shared" si="304"/>
        <v>0</v>
      </c>
      <c r="BL618" s="322"/>
      <c r="BM618" s="322"/>
      <c r="BN618" s="322"/>
      <c r="BO618" s="322"/>
      <c r="BP618" s="322"/>
      <c r="BQ618" s="322"/>
      <c r="BR618" s="322"/>
      <c r="BS618" s="322"/>
      <c r="BT618" s="322"/>
      <c r="BU618" s="322"/>
      <c r="BV618" s="322"/>
      <c r="BW618" s="322"/>
      <c r="BX618" s="322"/>
      <c r="BY618" s="322"/>
      <c r="BZ618" s="322"/>
      <c r="CA618" s="322"/>
      <c r="CB618" s="322"/>
      <c r="CC618" s="322"/>
      <c r="CD618" s="322"/>
      <c r="CE618" s="322"/>
      <c r="CF618" s="322"/>
      <c r="CG618" s="322"/>
      <c r="CH618" s="322"/>
      <c r="CI618" s="322"/>
      <c r="CM618" s="1139">
        <v>0</v>
      </c>
      <c r="CN618" s="1139">
        <v>0</v>
      </c>
      <c r="CP618" s="923">
        <f t="shared" si="320"/>
        <v>0</v>
      </c>
      <c r="CZ618" s="330"/>
    </row>
    <row r="619" spans="1:104" ht="15" customHeight="1" x14ac:dyDescent="0.25">
      <c r="A619" s="684">
        <f>MAX($A$6:A618)+1</f>
        <v>619</v>
      </c>
      <c r="B619" s="3">
        <f t="shared" si="335"/>
        <v>5.0999999999999996</v>
      </c>
      <c r="C619" s="11" t="str">
        <f t="shared" si="325"/>
        <v>Consolidated property, plant and equipment 2025-26</v>
      </c>
      <c r="D619" s="11" t="str">
        <f t="shared" si="340"/>
        <v>Information Technology</v>
      </c>
      <c r="E619" s="7" t="s">
        <v>188</v>
      </c>
      <c r="F619" s="15"/>
      <c r="G619" s="1254" t="s">
        <v>188</v>
      </c>
      <c r="H619" s="6">
        <v>0</v>
      </c>
      <c r="I619" s="6">
        <v>0</v>
      </c>
      <c r="J619" s="1257" t="s">
        <v>188</v>
      </c>
      <c r="K619" s="251">
        <f>SUMIF('alb Note 5.1 -PP&amp;E - CY'!$A:$A,$J619,'alb Note 5.1 -PP&amp;E - CY'!$G:$G)</f>
        <v>0</v>
      </c>
      <c r="L619" s="251">
        <f>SUMIF('alb Note 5.1 -PP&amp;E - CY'!$A:$A,$J619,'alb Note 5.1 -PP&amp;E - CY'!$R:$R)</f>
        <v>0</v>
      </c>
      <c r="M619" s="10"/>
      <c r="N619" s="273">
        <f t="shared" si="342"/>
        <v>0</v>
      </c>
      <c r="O619" s="12"/>
      <c r="P619" s="12"/>
      <c r="Q619" s="12"/>
      <c r="R619" s="12"/>
      <c r="S619" s="6">
        <f t="shared" si="310"/>
        <v>0</v>
      </c>
      <c r="T619" s="273">
        <f t="shared" si="338"/>
        <v>0</v>
      </c>
      <c r="U619" s="6">
        <f t="shared" si="343"/>
        <v>0</v>
      </c>
      <c r="V619" s="6"/>
      <c r="W619" s="6">
        <f t="shared" si="339"/>
        <v>0</v>
      </c>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X619" s="6"/>
      <c r="AY619" s="6">
        <f>ROUND(AX619/1000/Update!$B$31*Update!$B$27,0)</f>
        <v>0</v>
      </c>
      <c r="BA619" s="6"/>
      <c r="BB619" s="6">
        <f>ROUND(BA619/1000/Update!$B$31,0)</f>
        <v>0</v>
      </c>
      <c r="BC619" s="6"/>
      <c r="BD619" s="29">
        <f t="shared" si="323"/>
        <v>0</v>
      </c>
      <c r="BE619" s="322"/>
      <c r="BF619" s="322"/>
      <c r="BG619" s="322"/>
      <c r="BH619" s="322"/>
      <c r="BI619" s="322"/>
      <c r="BJ619" s="322"/>
      <c r="BK619" s="29">
        <f t="shared" si="304"/>
        <v>0</v>
      </c>
      <c r="BL619" s="322"/>
      <c r="BM619" s="322"/>
      <c r="BN619" s="322"/>
      <c r="BO619" s="322"/>
      <c r="BP619" s="322"/>
      <c r="BQ619" s="322"/>
      <c r="BR619" s="322"/>
      <c r="BS619" s="322"/>
      <c r="BT619" s="322"/>
      <c r="BU619" s="322"/>
      <c r="BV619" s="322"/>
      <c r="BW619" s="322"/>
      <c r="BX619" s="322"/>
      <c r="BY619" s="322"/>
      <c r="BZ619" s="322"/>
      <c r="CA619" s="322"/>
      <c r="CB619" s="322"/>
      <c r="CC619" s="322"/>
      <c r="CD619" s="322"/>
      <c r="CE619" s="322"/>
      <c r="CF619" s="322"/>
      <c r="CG619" s="322"/>
      <c r="CH619" s="322"/>
      <c r="CI619" s="322"/>
      <c r="CM619" s="1139">
        <v>0</v>
      </c>
      <c r="CN619" s="1139">
        <v>0</v>
      </c>
      <c r="CP619" s="923">
        <f t="shared" si="320"/>
        <v>0</v>
      </c>
      <c r="CZ619" s="330"/>
    </row>
    <row r="620" spans="1:104" ht="15" customHeight="1" x14ac:dyDescent="0.25">
      <c r="A620" s="684">
        <f>MAX($A$6:A619)+1</f>
        <v>620</v>
      </c>
      <c r="B620" s="3">
        <f t="shared" si="335"/>
        <v>5.0999999999999996</v>
      </c>
      <c r="C620" s="11" t="str">
        <f t="shared" si="325"/>
        <v>Consolidated property, plant and equipment 2025-26</v>
      </c>
      <c r="D620" s="11" t="str">
        <f t="shared" si="340"/>
        <v>Information Technology</v>
      </c>
      <c r="E620" s="7" t="s">
        <v>189</v>
      </c>
      <c r="F620" s="15"/>
      <c r="G620" s="1254" t="s">
        <v>189</v>
      </c>
      <c r="H620" s="6">
        <v>0</v>
      </c>
      <c r="I620" s="6">
        <v>0</v>
      </c>
      <c r="J620" s="1257" t="s">
        <v>557</v>
      </c>
      <c r="K620" s="251">
        <f>SUMIF('alb Note 5.1 -PP&amp;E - CY'!$A:$A,$J620,'alb Note 5.1 -PP&amp;E - CY'!$G:$G)</f>
        <v>0</v>
      </c>
      <c r="L620" s="251">
        <f>SUMIF('alb Note 5.1 -PP&amp;E - CY'!$A:$A,$J620,'alb Note 5.1 -PP&amp;E - CY'!$R:$R)</f>
        <v>0</v>
      </c>
      <c r="M620" s="10"/>
      <c r="N620" s="273">
        <f t="shared" si="342"/>
        <v>0</v>
      </c>
      <c r="O620" s="12"/>
      <c r="P620" s="12"/>
      <c r="Q620" s="12"/>
      <c r="R620" s="12"/>
      <c r="S620" s="6">
        <f t="shared" si="310"/>
        <v>0</v>
      </c>
      <c r="T620" s="273">
        <f t="shared" si="338"/>
        <v>0</v>
      </c>
      <c r="U620" s="6">
        <f t="shared" si="343"/>
        <v>0</v>
      </c>
      <c r="V620" s="6"/>
      <c r="W620" s="6">
        <f t="shared" si="339"/>
        <v>0</v>
      </c>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X620" s="6"/>
      <c r="AY620" s="6">
        <f>ROUND(AX620/1000/Update!$B$31*Update!$B$27,0)</f>
        <v>0</v>
      </c>
      <c r="BA620" s="6"/>
      <c r="BB620" s="6">
        <f>ROUND(BA620/1000/Update!$B$31,0)</f>
        <v>0</v>
      </c>
      <c r="BC620" s="6"/>
      <c r="BD620" s="29">
        <f t="shared" si="323"/>
        <v>0</v>
      </c>
      <c r="BE620" s="322"/>
      <c r="BF620" s="322"/>
      <c r="BG620" s="322"/>
      <c r="BH620" s="322"/>
      <c r="BI620" s="322"/>
      <c r="BJ620" s="322"/>
      <c r="BK620" s="29">
        <f t="shared" si="304"/>
        <v>0</v>
      </c>
      <c r="BL620" s="322"/>
      <c r="BM620" s="322"/>
      <c r="BN620" s="322"/>
      <c r="BO620" s="322"/>
      <c r="BP620" s="322"/>
      <c r="BQ620" s="322"/>
      <c r="BR620" s="322"/>
      <c r="BS620" s="322"/>
      <c r="BT620" s="322"/>
      <c r="BU620" s="322"/>
      <c r="BV620" s="322"/>
      <c r="BW620" s="322"/>
      <c r="BX620" s="322"/>
      <c r="BY620" s="322"/>
      <c r="BZ620" s="322"/>
      <c r="CA620" s="322"/>
      <c r="CB620" s="322"/>
      <c r="CC620" s="322"/>
      <c r="CD620" s="322"/>
      <c r="CE620" s="322"/>
      <c r="CF620" s="322"/>
      <c r="CG620" s="322"/>
      <c r="CH620" s="322"/>
      <c r="CI620" s="322"/>
      <c r="CM620" s="1139">
        <v>0</v>
      </c>
      <c r="CN620" s="1139">
        <v>0</v>
      </c>
      <c r="CP620" s="923">
        <f t="shared" si="320"/>
        <v>0</v>
      </c>
      <c r="CZ620" s="330"/>
    </row>
    <row r="621" spans="1:104" ht="15" customHeight="1" x14ac:dyDescent="0.25">
      <c r="A621" s="701">
        <f>MAX($A$6:A620)+1</f>
        <v>621</v>
      </c>
      <c r="B621" s="1291">
        <f t="shared" si="335"/>
        <v>5.0999999999999996</v>
      </c>
      <c r="C621" s="18" t="str">
        <f t="shared" si="325"/>
        <v>Consolidated property, plant and equipment 2025-26</v>
      </c>
      <c r="D621" s="18" t="str">
        <f t="shared" si="340"/>
        <v>Information Technology</v>
      </c>
      <c r="E621" s="19" t="str">
        <f>"At"&amp;Update!$B$22</f>
        <v>At 31 March 2026</v>
      </c>
      <c r="F621" s="20"/>
      <c r="G621" s="28"/>
      <c r="H621" s="14">
        <f>SUM(H611:H620)+H610</f>
        <v>0</v>
      </c>
      <c r="I621" s="14">
        <f>SUM(I611:I620)+I610</f>
        <v>0</v>
      </c>
      <c r="J621" s="19" t="str">
        <f>"At"&amp;Update!$B$22</f>
        <v>At 31 March 2026</v>
      </c>
      <c r="K621" s="256">
        <f>SUM(K611:K620)+K610</f>
        <v>0</v>
      </c>
      <c r="L621" s="256">
        <f>SUM(L611:L620)+L610</f>
        <v>0</v>
      </c>
      <c r="M621" s="21"/>
      <c r="N621" s="14">
        <f>ROUND(SUM(O621:S621)+T621+SUM(Z621:AV621),0)</f>
        <v>0</v>
      </c>
      <c r="O621" s="14">
        <f>SUM(O611:O620)+O610</f>
        <v>0</v>
      </c>
      <c r="P621" s="14">
        <f>SUM(P611:P620)+P610</f>
        <v>0</v>
      </c>
      <c r="Q621" s="14">
        <f>SUM(Q611:Q620)+Q610</f>
        <v>0</v>
      </c>
      <c r="R621" s="14">
        <f>SUM(R611:R620)+R610</f>
        <v>0</v>
      </c>
      <c r="S621" s="14">
        <f t="shared" si="310"/>
        <v>0</v>
      </c>
      <c r="T621" s="14">
        <f t="shared" si="338"/>
        <v>0</v>
      </c>
      <c r="U621" s="14">
        <f>SUM(U611:U620)+U610</f>
        <v>0</v>
      </c>
      <c r="V621" s="14">
        <f>SUM(V611:V620)+V610</f>
        <v>0</v>
      </c>
      <c r="W621" s="14">
        <f>SUM(W611:W620)+W610</f>
        <v>0</v>
      </c>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2"/>
      <c r="AX621" s="14">
        <f>SUM(AX611:AX620)+AX610</f>
        <v>0</v>
      </c>
      <c r="AY621" s="14">
        <f>ROUND(AX621/1000/Update!$B$31*Update!$B$27,0)</f>
        <v>0</v>
      </c>
      <c r="AZ621" s="2"/>
      <c r="BA621" s="14">
        <f>SUM(BA611:BA620)+BA610</f>
        <v>0</v>
      </c>
      <c r="BB621" s="14">
        <f>ROUND(BA621/1000/Update!$B$31,0)</f>
        <v>0</v>
      </c>
      <c r="BC621" s="14"/>
      <c r="BD621" s="14">
        <f t="shared" si="323"/>
        <v>0</v>
      </c>
      <c r="BE621" s="14">
        <f t="shared" ref="BE621:BJ621" si="344">SUM(BE611:BE620)+BE610</f>
        <v>0</v>
      </c>
      <c r="BF621" s="14">
        <f t="shared" si="344"/>
        <v>0</v>
      </c>
      <c r="BG621" s="14">
        <f t="shared" si="344"/>
        <v>0</v>
      </c>
      <c r="BH621" s="14">
        <f t="shared" si="344"/>
        <v>0</v>
      </c>
      <c r="BI621" s="14">
        <f t="shared" si="344"/>
        <v>0</v>
      </c>
      <c r="BJ621" s="14">
        <f t="shared" si="344"/>
        <v>0</v>
      </c>
      <c r="BK621" s="14">
        <f t="shared" si="304"/>
        <v>0</v>
      </c>
      <c r="BL621" s="14"/>
      <c r="BM621" s="14"/>
      <c r="BN621" s="14"/>
      <c r="BO621" s="14"/>
      <c r="BP621" s="14"/>
      <c r="BQ621" s="14"/>
      <c r="BR621" s="14"/>
      <c r="BS621" s="14"/>
      <c r="BT621" s="324"/>
      <c r="BU621" s="14"/>
      <c r="BV621" s="14"/>
      <c r="BW621" s="14"/>
      <c r="BX621" s="14"/>
      <c r="BY621" s="14"/>
      <c r="BZ621" s="14"/>
      <c r="CA621" s="14"/>
      <c r="CB621" s="14"/>
      <c r="CC621" s="14"/>
      <c r="CD621" s="14"/>
      <c r="CE621" s="14"/>
      <c r="CF621" s="14"/>
      <c r="CG621" s="14"/>
      <c r="CH621" s="14"/>
      <c r="CI621" s="14"/>
      <c r="CJ621" s="2"/>
      <c r="CK621" s="2"/>
      <c r="CM621" s="1450">
        <v>0</v>
      </c>
      <c r="CN621" s="1450">
        <v>0</v>
      </c>
      <c r="CP621" s="923">
        <f t="shared" si="320"/>
        <v>0</v>
      </c>
      <c r="CZ621" s="330"/>
    </row>
    <row r="622" spans="1:104" ht="18.75" customHeight="1" x14ac:dyDescent="0.25">
      <c r="A622" s="684">
        <f>MAX($A$6:A621)+1</f>
        <v>622</v>
      </c>
      <c r="B622" s="3">
        <f t="shared" si="335"/>
        <v>5.0999999999999996</v>
      </c>
      <c r="C622" s="11" t="str">
        <f t="shared" si="325"/>
        <v>Consolidated property, plant and equipment 2025-26</v>
      </c>
      <c r="D622" s="11" t="str">
        <f t="shared" si="340"/>
        <v>Information Technology</v>
      </c>
      <c r="E622" s="277" t="s">
        <v>160</v>
      </c>
      <c r="F622" s="15"/>
      <c r="G622" s="26"/>
      <c r="H622" s="6">
        <v>0</v>
      </c>
      <c r="I622" s="6">
        <v>0</v>
      </c>
      <c r="J622" s="1257" t="s">
        <v>286</v>
      </c>
      <c r="K622" s="251">
        <f>SUMIF('alb Note 5.1 -PP&amp;E - CY'!$A:$A,$J622,'alb Note 5.1 -PP&amp;E - CY'!$G:$G)</f>
        <v>0</v>
      </c>
      <c r="L622" s="251">
        <f>SUMIF('alb Note 5.1 -PP&amp;E - CY'!$A:$A,$J622,'alb Note 5.1 -PP&amp;E - CY'!$R:$R)</f>
        <v>0</v>
      </c>
      <c r="M622" s="10"/>
      <c r="N622" s="273">
        <f>ROUND(SUM(O622:S622)+SUM(W622:AV622),0)</f>
        <v>0</v>
      </c>
      <c r="O622" s="12"/>
      <c r="P622" s="12"/>
      <c r="Q622" s="12"/>
      <c r="R622" s="12"/>
      <c r="S622" s="6">
        <f t="shared" si="310"/>
        <v>0</v>
      </c>
      <c r="T622" s="273">
        <f t="shared" si="338"/>
        <v>0</v>
      </c>
      <c r="U622" s="6">
        <f>SUM(BL622:BN622)</f>
        <v>0</v>
      </c>
      <c r="V622" s="6"/>
      <c r="W622" s="6">
        <v>0</v>
      </c>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X622" s="6"/>
      <c r="AY622" s="6">
        <f>ROUND(AX622/1000/Update!$B$31*Update!$B$27,0)</f>
        <v>0</v>
      </c>
      <c r="BA622" s="6"/>
      <c r="BB622" s="6">
        <f>ROUND(BA622/1000/Update!$B$31,0)</f>
        <v>0</v>
      </c>
      <c r="BC622" s="6"/>
      <c r="BD622" s="29">
        <f t="shared" si="323"/>
        <v>0</v>
      </c>
      <c r="BE622" s="322"/>
      <c r="BF622" s="322"/>
      <c r="BG622" s="322"/>
      <c r="BH622" s="322"/>
      <c r="BI622" s="322"/>
      <c r="BJ622" s="322"/>
      <c r="BK622" s="29">
        <f t="shared" ref="BK622:BK685" si="345">ROUND(SUM(BO622:CI622),0)</f>
        <v>0</v>
      </c>
      <c r="BL622" s="322"/>
      <c r="BM622" s="322"/>
      <c r="BN622" s="322"/>
      <c r="BO622" s="322"/>
      <c r="BP622" s="322"/>
      <c r="BQ622" s="322"/>
      <c r="BR622" s="322"/>
      <c r="BS622" s="322"/>
      <c r="BT622" s="322"/>
      <c r="BU622" s="322"/>
      <c r="BV622" s="322"/>
      <c r="BW622" s="322"/>
      <c r="BX622" s="322"/>
      <c r="BY622" s="322"/>
      <c r="BZ622" s="322"/>
      <c r="CA622" s="322"/>
      <c r="CB622" s="322"/>
      <c r="CC622" s="322"/>
      <c r="CD622" s="322"/>
      <c r="CE622" s="322"/>
      <c r="CF622" s="322"/>
      <c r="CG622" s="322"/>
      <c r="CH622" s="322"/>
      <c r="CI622" s="322"/>
      <c r="CM622" s="1139">
        <v>0</v>
      </c>
      <c r="CN622" s="1139">
        <v>0</v>
      </c>
      <c r="CP622" s="923">
        <f t="shared" si="320"/>
        <v>0</v>
      </c>
      <c r="CZ622" s="330"/>
    </row>
    <row r="623" spans="1:104" ht="15" customHeight="1" x14ac:dyDescent="0.25">
      <c r="A623" s="684">
        <f>MAX($A$6:A622)+1</f>
        <v>623</v>
      </c>
      <c r="B623" s="3">
        <f t="shared" si="335"/>
        <v>5.0999999999999996</v>
      </c>
      <c r="C623" s="11" t="str">
        <f t="shared" si="325"/>
        <v>Consolidated property, plant and equipment 2025-26</v>
      </c>
      <c r="D623" s="11" t="str">
        <f t="shared" si="340"/>
        <v>Information Technology</v>
      </c>
      <c r="E623" s="7" t="str">
        <f>"At"&amp;Update!$B$20&amp;" "</f>
        <v xml:space="preserve">At 1 April 2025 </v>
      </c>
      <c r="F623" s="15"/>
      <c r="G623" s="1267" t="str">
        <f>"At"&amp;Update!$B$20</f>
        <v>At 1 April 2025</v>
      </c>
      <c r="H623" s="6">
        <v>0</v>
      </c>
      <c r="I623" s="6">
        <v>0</v>
      </c>
      <c r="J623" s="1257" t="str">
        <f>$E623</f>
        <v xml:space="preserve">At 1 April 2025 </v>
      </c>
      <c r="K623" s="251">
        <f>SUMIF('alb Note 5.1 -PP&amp;E - CY'!$A:$A,$J623,'alb Note 5.1 -PP&amp;E - CY'!$G:$G)</f>
        <v>0</v>
      </c>
      <c r="L623" s="251">
        <f>SUMIF('alb Note 5.1 -PP&amp;E - CY'!$A:$A,$J623,'alb Note 5.1 -PP&amp;E - CY'!$R:$R)</f>
        <v>0</v>
      </c>
      <c r="M623" s="10"/>
      <c r="N623" s="273">
        <f>ROUND(SUM(O623:S623)+SUM(W623:AV623),0)</f>
        <v>0</v>
      </c>
      <c r="O623" s="12"/>
      <c r="P623" s="12"/>
      <c r="Q623" s="12"/>
      <c r="R623" s="12"/>
      <c r="S623" s="6">
        <f t="shared" si="310"/>
        <v>0</v>
      </c>
      <c r="T623" s="273">
        <f t="shared" si="338"/>
        <v>0</v>
      </c>
      <c r="U623" s="6">
        <f>SUM(BL623:BN623)</f>
        <v>0</v>
      </c>
      <c r="V623" s="6"/>
      <c r="W623" s="6">
        <f t="shared" ref="W623:W634" si="346">+H623</f>
        <v>0</v>
      </c>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X623" s="6"/>
      <c r="AY623" s="6">
        <f>ROUND(AX623/1000/Update!$B$31*Update!$B$27,0)</f>
        <v>0</v>
      </c>
      <c r="BA623" s="6"/>
      <c r="BB623" s="6">
        <f>ROUND(BA623/1000/Update!$B$31,0)</f>
        <v>0</v>
      </c>
      <c r="BC623" s="6"/>
      <c r="BD623" s="29">
        <f t="shared" si="323"/>
        <v>0</v>
      </c>
      <c r="BE623" s="322"/>
      <c r="BF623" s="322"/>
      <c r="BG623" s="322"/>
      <c r="BH623" s="322"/>
      <c r="BI623" s="322"/>
      <c r="BJ623" s="322"/>
      <c r="BK623" s="29">
        <f t="shared" si="345"/>
        <v>0</v>
      </c>
      <c r="BL623" s="322"/>
      <c r="BM623" s="322"/>
      <c r="BN623" s="322"/>
      <c r="BO623" s="322"/>
      <c r="BP623" s="322"/>
      <c r="BQ623" s="322"/>
      <c r="BR623" s="322"/>
      <c r="BS623" s="322"/>
      <c r="BT623" s="322"/>
      <c r="BU623" s="322"/>
      <c r="BV623" s="322"/>
      <c r="BW623" s="322"/>
      <c r="BX623" s="322"/>
      <c r="BY623" s="322"/>
      <c r="BZ623" s="322"/>
      <c r="CA623" s="322"/>
      <c r="CB623" s="322"/>
      <c r="CC623" s="322"/>
      <c r="CD623" s="322"/>
      <c r="CE623" s="322"/>
      <c r="CF623" s="322"/>
      <c r="CG623" s="322"/>
      <c r="CH623" s="322"/>
      <c r="CI623" s="322"/>
      <c r="CM623" s="1139">
        <v>0</v>
      </c>
      <c r="CN623" s="1139">
        <v>0</v>
      </c>
      <c r="CP623" s="923">
        <f t="shared" si="320"/>
        <v>0</v>
      </c>
      <c r="CZ623" s="330"/>
    </row>
    <row r="624" spans="1:104" ht="15" customHeight="1" x14ac:dyDescent="0.25">
      <c r="A624" s="684">
        <f>MAX($A$6:A623)+1</f>
        <v>624</v>
      </c>
      <c r="B624" s="3">
        <f t="shared" si="335"/>
        <v>5.0999999999999996</v>
      </c>
      <c r="C624" s="11" t="str">
        <f t="shared" si="325"/>
        <v>Consolidated property, plant and equipment 2025-26</v>
      </c>
      <c r="D624" s="11" t="str">
        <f t="shared" si="340"/>
        <v>Information Technology</v>
      </c>
      <c r="E624" s="7" t="s">
        <v>1417</v>
      </c>
      <c r="F624" s="15"/>
      <c r="G624" s="1254" t="s">
        <v>435</v>
      </c>
      <c r="H624" s="6">
        <v>0</v>
      </c>
      <c r="I624" s="6">
        <v>0</v>
      </c>
      <c r="J624" s="7" t="s">
        <v>435</v>
      </c>
      <c r="K624" s="251">
        <f>SUMIF('alb Note 5.1 -PP&amp;E - CY'!$A:$A,$J624,'alb Note 5.1 -PP&amp;E - CY'!$G:$G)</f>
        <v>0</v>
      </c>
      <c r="L624" s="251">
        <f>SUMIF('alb Note 5.1 -PP&amp;E - CY'!$A:$A,$J624,'alb Note 5.1 -PP&amp;E - CY'!$R:$R)</f>
        <v>0</v>
      </c>
      <c r="M624" s="10"/>
      <c r="N624" s="273">
        <f>ROUND(SUM(O624:S624)+SUM(W624:AV624),0)</f>
        <v>0</v>
      </c>
      <c r="O624" s="12"/>
      <c r="P624" s="12"/>
      <c r="Q624" s="12"/>
      <c r="R624" s="12"/>
      <c r="S624" s="6">
        <f t="shared" si="310"/>
        <v>0</v>
      </c>
      <c r="T624" s="273">
        <f t="shared" si="338"/>
        <v>0</v>
      </c>
      <c r="U624" s="6">
        <f>SUM(BL624:BN624)</f>
        <v>0</v>
      </c>
      <c r="V624" s="6"/>
      <c r="W624" s="6">
        <f t="shared" si="346"/>
        <v>0</v>
      </c>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X624" s="6"/>
      <c r="AY624" s="6">
        <f>ROUND(AX624/1000/Update!$B$31*Update!$B$27,0)</f>
        <v>0</v>
      </c>
      <c r="BA624" s="6"/>
      <c r="BB624" s="6">
        <f>ROUND(BA624/1000/Update!$B$31,0)</f>
        <v>0</v>
      </c>
      <c r="BC624" s="6"/>
      <c r="BD624" s="29">
        <f t="shared" si="323"/>
        <v>0</v>
      </c>
      <c r="BE624" s="322"/>
      <c r="BF624" s="322"/>
      <c r="BG624" s="322"/>
      <c r="BH624" s="322"/>
      <c r="BI624" s="322"/>
      <c r="BJ624" s="322"/>
      <c r="BK624" s="29">
        <f t="shared" si="345"/>
        <v>0</v>
      </c>
      <c r="BL624" s="322"/>
      <c r="BM624" s="322"/>
      <c r="BN624" s="322"/>
      <c r="BO624" s="322"/>
      <c r="BP624" s="322"/>
      <c r="BQ624" s="322"/>
      <c r="BR624" s="322"/>
      <c r="BS624" s="322"/>
      <c r="BT624" s="322"/>
      <c r="BU624" s="322"/>
      <c r="BV624" s="322"/>
      <c r="BW624" s="322"/>
      <c r="BX624" s="322"/>
      <c r="BY624" s="322"/>
      <c r="BZ624" s="322"/>
      <c r="CA624" s="322"/>
      <c r="CB624" s="322"/>
      <c r="CC624" s="322"/>
      <c r="CD624" s="322"/>
      <c r="CE624" s="322"/>
      <c r="CF624" s="322"/>
      <c r="CG624" s="322"/>
      <c r="CH624" s="322"/>
      <c r="CI624" s="322"/>
      <c r="CM624" s="1139">
        <v>0</v>
      </c>
      <c r="CN624" s="1139">
        <v>0</v>
      </c>
      <c r="CP624" s="923">
        <f t="shared" si="320"/>
        <v>0</v>
      </c>
      <c r="CZ624" s="330"/>
    </row>
    <row r="625" spans="1:104" ht="15" customHeight="1" x14ac:dyDescent="0.25">
      <c r="A625" s="701">
        <f>MAX($A$6:A624)+1</f>
        <v>625</v>
      </c>
      <c r="B625" s="1291">
        <f t="shared" si="335"/>
        <v>5.0999999999999996</v>
      </c>
      <c r="C625" s="18" t="str">
        <f t="shared" si="325"/>
        <v>Consolidated property, plant and equipment 2025-26</v>
      </c>
      <c r="D625" s="18" t="str">
        <f t="shared" si="340"/>
        <v>Information Technology</v>
      </c>
      <c r="E625" s="19" t="s">
        <v>442</v>
      </c>
      <c r="F625" s="20"/>
      <c r="G625" s="1278" t="s">
        <v>442</v>
      </c>
      <c r="H625" s="14">
        <f>SUM(H622:H624)</f>
        <v>0</v>
      </c>
      <c r="I625" s="14">
        <f>SUM(I622:I624)</f>
        <v>0</v>
      </c>
      <c r="J625" s="19" t="s">
        <v>442</v>
      </c>
      <c r="K625" s="256">
        <f>SUM(K623:K624)</f>
        <v>0</v>
      </c>
      <c r="L625" s="256">
        <f>SUM(L623:L624)</f>
        <v>0</v>
      </c>
      <c r="M625" s="21"/>
      <c r="N625" s="14">
        <f>ROUND(SUM(O625:S625)+T625+SUM(Z625:AV625),0)</f>
        <v>0</v>
      </c>
      <c r="O625" s="14">
        <f t="shared" ref="O625:W625" si="347">SUM(O622:O624)</f>
        <v>0</v>
      </c>
      <c r="P625" s="14">
        <f t="shared" si="347"/>
        <v>0</v>
      </c>
      <c r="Q625" s="14">
        <f t="shared" si="347"/>
        <v>0</v>
      </c>
      <c r="R625" s="14">
        <f t="shared" si="347"/>
        <v>0</v>
      </c>
      <c r="S625" s="14">
        <f t="shared" si="310"/>
        <v>0</v>
      </c>
      <c r="T625" s="14">
        <f t="shared" si="347"/>
        <v>0</v>
      </c>
      <c r="U625" s="14">
        <f t="shared" si="347"/>
        <v>0</v>
      </c>
      <c r="V625" s="14">
        <f t="shared" si="347"/>
        <v>0</v>
      </c>
      <c r="W625" s="14">
        <f t="shared" si="347"/>
        <v>0</v>
      </c>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2"/>
      <c r="AX625" s="14">
        <f>SUM(AX622:AX624)</f>
        <v>0</v>
      </c>
      <c r="AY625" s="14">
        <f>ROUND(AX625/1000/Update!$B$31*Update!$B$27,0)</f>
        <v>0</v>
      </c>
      <c r="AZ625" s="2"/>
      <c r="BA625" s="14">
        <f>SUM(BA622:BA624)</f>
        <v>0</v>
      </c>
      <c r="BB625" s="14">
        <f>ROUND(BA625/1000/Update!$B$31,0)</f>
        <v>0</v>
      </c>
      <c r="BC625" s="14"/>
      <c r="BD625" s="14">
        <f t="shared" si="323"/>
        <v>0</v>
      </c>
      <c r="BE625" s="14">
        <f t="shared" ref="BE625:BJ625" si="348">SUM(BE622:BE624)</f>
        <v>0</v>
      </c>
      <c r="BF625" s="14">
        <f t="shared" si="348"/>
        <v>0</v>
      </c>
      <c r="BG625" s="14">
        <f t="shared" si="348"/>
        <v>0</v>
      </c>
      <c r="BH625" s="14">
        <f t="shared" si="348"/>
        <v>0</v>
      </c>
      <c r="BI625" s="14">
        <f t="shared" si="348"/>
        <v>0</v>
      </c>
      <c r="BJ625" s="14">
        <f t="shared" si="348"/>
        <v>0</v>
      </c>
      <c r="BK625" s="14">
        <f t="shared" si="345"/>
        <v>0</v>
      </c>
      <c r="BL625" s="14"/>
      <c r="BM625" s="14"/>
      <c r="BN625" s="14"/>
      <c r="BO625" s="14"/>
      <c r="BP625" s="14"/>
      <c r="BQ625" s="14"/>
      <c r="BR625" s="14"/>
      <c r="BS625" s="14"/>
      <c r="BT625" s="324"/>
      <c r="BU625" s="14"/>
      <c r="BV625" s="14"/>
      <c r="BW625" s="14"/>
      <c r="BX625" s="14"/>
      <c r="BY625" s="14"/>
      <c r="BZ625" s="14"/>
      <c r="CA625" s="14"/>
      <c r="CB625" s="14"/>
      <c r="CC625" s="14"/>
      <c r="CD625" s="14"/>
      <c r="CE625" s="14"/>
      <c r="CF625" s="14"/>
      <c r="CG625" s="14"/>
      <c r="CH625" s="14"/>
      <c r="CI625" s="14"/>
      <c r="CJ625" s="2"/>
      <c r="CK625" s="2"/>
      <c r="CM625" s="1450">
        <v>0</v>
      </c>
      <c r="CN625" s="1450">
        <v>0</v>
      </c>
      <c r="CP625" s="923">
        <f t="shared" si="320"/>
        <v>0</v>
      </c>
      <c r="CZ625" s="330"/>
    </row>
    <row r="626" spans="1:104" ht="15" customHeight="1" x14ac:dyDescent="0.25">
      <c r="A626" s="684">
        <f>MAX($A$6:A625)+1</f>
        <v>626</v>
      </c>
      <c r="B626" s="3">
        <f t="shared" si="335"/>
        <v>5.0999999999999996</v>
      </c>
      <c r="C626" s="11" t="str">
        <f t="shared" si="325"/>
        <v>Consolidated property, plant and equipment 2025-26</v>
      </c>
      <c r="D626" s="11" t="str">
        <f t="shared" si="340"/>
        <v>Information Technology</v>
      </c>
      <c r="E626" s="7" t="s">
        <v>1409</v>
      </c>
      <c r="F626" s="15"/>
      <c r="G626" s="1254" t="s">
        <v>190</v>
      </c>
      <c r="H626" s="6">
        <v>0</v>
      </c>
      <c r="I626" s="6">
        <v>0</v>
      </c>
      <c r="J626" s="1257" t="s">
        <v>190</v>
      </c>
      <c r="K626" s="251">
        <f>SUMIF('alb Note 5.1 -PP&amp;E - CY'!$A:$A,$J626,'alb Note 5.1 -PP&amp;E - CY'!$G:$G)</f>
        <v>0</v>
      </c>
      <c r="L626" s="251">
        <f>SUMIF('alb Note 5.1 -PP&amp;E - CY'!$A:$A,$J626,'alb Note 5.1 -PP&amp;E - CY'!$R:$R)</f>
        <v>0</v>
      </c>
      <c r="M626" s="10"/>
      <c r="N626" s="273">
        <f t="shared" ref="N626:N634" si="349">ROUND(SUM(O626:S626)+SUM(W626:AV626),0)</f>
        <v>0</v>
      </c>
      <c r="O626" s="12"/>
      <c r="P626" s="12"/>
      <c r="Q626" s="12"/>
      <c r="R626" s="12"/>
      <c r="S626" s="6">
        <f t="shared" si="310"/>
        <v>0</v>
      </c>
      <c r="T626" s="273">
        <f t="shared" ref="T626:T634" si="350">ROUND(SUM(U626:Y626),0)</f>
        <v>0</v>
      </c>
      <c r="U626" s="6">
        <f t="shared" ref="U626:U634" si="351">SUM(BL626:BN626)</f>
        <v>0</v>
      </c>
      <c r="V626" s="6"/>
      <c r="W626" s="6">
        <f t="shared" si="346"/>
        <v>0</v>
      </c>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X626" s="6"/>
      <c r="AY626" s="6">
        <f>ROUND(AX626/1000/Update!$B$31*Update!$B$27,0)</f>
        <v>0</v>
      </c>
      <c r="BA626" s="6"/>
      <c r="BB626" s="6">
        <f>ROUND(BA626/1000/Update!$B$31,0)</f>
        <v>0</v>
      </c>
      <c r="BC626" s="6"/>
      <c r="BD626" s="29">
        <f t="shared" si="323"/>
        <v>0</v>
      </c>
      <c r="BE626" s="322"/>
      <c r="BF626" s="322"/>
      <c r="BG626" s="322"/>
      <c r="BH626" s="322"/>
      <c r="BI626" s="322"/>
      <c r="BJ626" s="322"/>
      <c r="BK626" s="29">
        <f t="shared" si="345"/>
        <v>0</v>
      </c>
      <c r="BL626" s="322"/>
      <c r="BM626" s="322"/>
      <c r="BN626" s="322"/>
      <c r="BO626" s="322"/>
      <c r="BP626" s="322"/>
      <c r="BQ626" s="322"/>
      <c r="BR626" s="322"/>
      <c r="BS626" s="322"/>
      <c r="BT626" s="322"/>
      <c r="BU626" s="322"/>
      <c r="BV626" s="322"/>
      <c r="BW626" s="322"/>
      <c r="BX626" s="322"/>
      <c r="BY626" s="322"/>
      <c r="BZ626" s="322"/>
      <c r="CA626" s="322"/>
      <c r="CB626" s="322"/>
      <c r="CC626" s="322"/>
      <c r="CD626" s="322"/>
      <c r="CE626" s="322"/>
      <c r="CF626" s="322"/>
      <c r="CG626" s="322"/>
      <c r="CH626" s="322"/>
      <c r="CI626" s="322"/>
      <c r="CM626" s="1139">
        <v>0</v>
      </c>
      <c r="CN626" s="1139">
        <v>0</v>
      </c>
      <c r="CP626" s="923">
        <f t="shared" si="320"/>
        <v>0</v>
      </c>
      <c r="CZ626" s="330"/>
    </row>
    <row r="627" spans="1:104" ht="15" customHeight="1" x14ac:dyDescent="0.25">
      <c r="A627" s="684">
        <f>MAX($A$6:A626)+1</f>
        <v>627</v>
      </c>
      <c r="B627" s="3">
        <f t="shared" si="335"/>
        <v>5.0999999999999996</v>
      </c>
      <c r="C627" s="11" t="str">
        <f t="shared" si="325"/>
        <v>Consolidated property, plant and equipment 2025-26</v>
      </c>
      <c r="D627" s="11" t="str">
        <f t="shared" si="340"/>
        <v>Information Technology</v>
      </c>
      <c r="E627" s="7" t="s">
        <v>457</v>
      </c>
      <c r="F627" s="15"/>
      <c r="G627" s="1254" t="s">
        <v>191</v>
      </c>
      <c r="H627" s="6">
        <v>0</v>
      </c>
      <c r="I627" s="6">
        <v>0</v>
      </c>
      <c r="J627" s="1257" t="s">
        <v>457</v>
      </c>
      <c r="K627" s="251">
        <f>SUMIF('alb Note 5.1 -PP&amp;E - CY'!$A:$A,$J627,'alb Note 5.1 -PP&amp;E - CY'!$G:$G)</f>
        <v>0</v>
      </c>
      <c r="L627" s="251">
        <f>SUMIF('alb Note 5.1 -PP&amp;E - CY'!$A:$A,$J627,'alb Note 5.1 -PP&amp;E - CY'!$R:$R)</f>
        <v>0</v>
      </c>
      <c r="M627" s="10"/>
      <c r="N627" s="273">
        <f t="shared" si="349"/>
        <v>0</v>
      </c>
      <c r="O627" s="12"/>
      <c r="P627" s="12"/>
      <c r="Q627" s="12"/>
      <c r="R627" s="12"/>
      <c r="S627" s="6">
        <f t="shared" si="310"/>
        <v>0</v>
      </c>
      <c r="T627" s="273">
        <f t="shared" si="350"/>
        <v>0</v>
      </c>
      <c r="U627" s="6">
        <f t="shared" si="351"/>
        <v>0</v>
      </c>
      <c r="V627" s="6"/>
      <c r="W627" s="6">
        <f t="shared" si="346"/>
        <v>0</v>
      </c>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X627" s="6"/>
      <c r="AY627" s="6">
        <f>ROUND(AX627/1000/Update!$B$31*Update!$B$27,0)</f>
        <v>0</v>
      </c>
      <c r="BA627" s="6"/>
      <c r="BB627" s="6">
        <f>ROUND(BA627/1000/Update!$B$31,0)</f>
        <v>0</v>
      </c>
      <c r="BC627" s="6"/>
      <c r="BD627" s="29">
        <f t="shared" si="323"/>
        <v>0</v>
      </c>
      <c r="BE627" s="322"/>
      <c r="BF627" s="322"/>
      <c r="BG627" s="322"/>
      <c r="BH627" s="322"/>
      <c r="BI627" s="322"/>
      <c r="BJ627" s="322"/>
      <c r="BK627" s="29">
        <f t="shared" si="345"/>
        <v>0</v>
      </c>
      <c r="BL627" s="322"/>
      <c r="BM627" s="322"/>
      <c r="BN627" s="322"/>
      <c r="BO627" s="322"/>
      <c r="BP627" s="322"/>
      <c r="BQ627" s="322"/>
      <c r="BR627" s="322"/>
      <c r="BS627" s="322"/>
      <c r="BT627" s="322"/>
      <c r="BU627" s="322"/>
      <c r="BV627" s="322"/>
      <c r="BW627" s="322"/>
      <c r="BX627" s="322"/>
      <c r="BY627" s="322"/>
      <c r="BZ627" s="322"/>
      <c r="CA627" s="322"/>
      <c r="CB627" s="322"/>
      <c r="CC627" s="322"/>
      <c r="CD627" s="322"/>
      <c r="CE627" s="322"/>
      <c r="CF627" s="322"/>
      <c r="CG627" s="322"/>
      <c r="CH627" s="322"/>
      <c r="CI627" s="322"/>
      <c r="CM627" s="1139">
        <v>0</v>
      </c>
      <c r="CN627" s="1139">
        <v>0</v>
      </c>
      <c r="CP627" s="923">
        <f t="shared" si="320"/>
        <v>0</v>
      </c>
      <c r="CZ627" s="330"/>
    </row>
    <row r="628" spans="1:104" ht="15" customHeight="1" x14ac:dyDescent="0.25">
      <c r="A628" s="684">
        <f>MAX($A$6:A627)+1</f>
        <v>628</v>
      </c>
      <c r="B628" s="3">
        <f t="shared" si="335"/>
        <v>5.0999999999999996</v>
      </c>
      <c r="C628" s="11" t="str">
        <f t="shared" si="325"/>
        <v>Consolidated property, plant and equipment 2025-26</v>
      </c>
      <c r="D628" s="11" t="str">
        <f t="shared" si="340"/>
        <v>Information Technology</v>
      </c>
      <c r="E628" s="7" t="s">
        <v>863</v>
      </c>
      <c r="F628" s="15"/>
      <c r="G628" s="1254" t="s">
        <v>186</v>
      </c>
      <c r="H628" s="6">
        <v>0</v>
      </c>
      <c r="I628" s="6">
        <v>0</v>
      </c>
      <c r="J628" s="1257" t="s">
        <v>863</v>
      </c>
      <c r="K628" s="251">
        <f>SUMIF('alb Note 5.1 -PP&amp;E - CY'!$A:$A,$J628,'alb Note 5.1 -PP&amp;E - CY'!$G:$G)</f>
        <v>0</v>
      </c>
      <c r="L628" s="251">
        <f>SUMIF('alb Note 5.1 -PP&amp;E - CY'!$A:$A,$J628,'alb Note 5.1 -PP&amp;E - CY'!$R:$R)</f>
        <v>0</v>
      </c>
      <c r="M628" s="10"/>
      <c r="N628" s="273">
        <f t="shared" si="349"/>
        <v>0</v>
      </c>
      <c r="O628" s="12"/>
      <c r="P628" s="12"/>
      <c r="Q628" s="12"/>
      <c r="R628" s="12"/>
      <c r="S628" s="6">
        <f t="shared" si="310"/>
        <v>0</v>
      </c>
      <c r="T628" s="273">
        <f t="shared" si="350"/>
        <v>0</v>
      </c>
      <c r="U628" s="6">
        <f t="shared" si="351"/>
        <v>0</v>
      </c>
      <c r="V628" s="6"/>
      <c r="W628" s="6">
        <f t="shared" si="346"/>
        <v>0</v>
      </c>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X628" s="6"/>
      <c r="AY628" s="6">
        <f>ROUND(AX628/1000/Update!$B$31*Update!$B$27,0)</f>
        <v>0</v>
      </c>
      <c r="BA628" s="6"/>
      <c r="BB628" s="6">
        <f>ROUND(BA628/1000/Update!$B$31,0)</f>
        <v>0</v>
      </c>
      <c r="BC628" s="6"/>
      <c r="BD628" s="29">
        <f t="shared" si="323"/>
        <v>0</v>
      </c>
      <c r="BE628" s="322"/>
      <c r="BF628" s="322"/>
      <c r="BG628" s="322"/>
      <c r="BH628" s="322"/>
      <c r="BI628" s="322"/>
      <c r="BJ628" s="322"/>
      <c r="BK628" s="29">
        <f t="shared" si="345"/>
        <v>0</v>
      </c>
      <c r="BL628" s="322"/>
      <c r="BM628" s="322"/>
      <c r="BN628" s="322"/>
      <c r="BO628" s="322"/>
      <c r="BP628" s="322"/>
      <c r="BQ628" s="322"/>
      <c r="BR628" s="322"/>
      <c r="BS628" s="322"/>
      <c r="BT628" s="322"/>
      <c r="BU628" s="322"/>
      <c r="BV628" s="322"/>
      <c r="BW628" s="322"/>
      <c r="BX628" s="322"/>
      <c r="BY628" s="322"/>
      <c r="BZ628" s="322"/>
      <c r="CA628" s="322"/>
      <c r="CB628" s="322"/>
      <c r="CC628" s="322"/>
      <c r="CD628" s="322"/>
      <c r="CE628" s="322"/>
      <c r="CF628" s="322"/>
      <c r="CG628" s="322"/>
      <c r="CH628" s="322"/>
      <c r="CI628" s="322"/>
      <c r="CM628" s="1139">
        <v>0</v>
      </c>
      <c r="CN628" s="1139">
        <v>0</v>
      </c>
      <c r="CP628" s="923">
        <f t="shared" si="320"/>
        <v>0</v>
      </c>
      <c r="CZ628" s="330"/>
    </row>
    <row r="629" spans="1:104" ht="30" customHeight="1" x14ac:dyDescent="0.25">
      <c r="A629" s="684">
        <f>MAX($A$6:A628)+1</f>
        <v>629</v>
      </c>
      <c r="B629" s="3">
        <f t="shared" si="335"/>
        <v>5.0999999999999996</v>
      </c>
      <c r="C629" s="11" t="str">
        <f t="shared" si="325"/>
        <v>Consolidated property, plant and equipment 2025-26</v>
      </c>
      <c r="D629" s="11" t="str">
        <f t="shared" si="340"/>
        <v>Information Technology</v>
      </c>
      <c r="E629" s="7" t="s">
        <v>1415</v>
      </c>
      <c r="F629" s="15"/>
      <c r="G629" s="1254" t="s">
        <v>438</v>
      </c>
      <c r="H629" s="6">
        <v>0</v>
      </c>
      <c r="I629" s="6">
        <v>0</v>
      </c>
      <c r="J629" s="1257" t="s">
        <v>864</v>
      </c>
      <c r="K629" s="251">
        <f>SUMIF('alb Note 5.1 -PP&amp;E - CY'!$A:$A,$J629,'alb Note 5.1 -PP&amp;E - CY'!$G:$G)</f>
        <v>0</v>
      </c>
      <c r="L629" s="251">
        <f>SUMIF('alb Note 5.1 -PP&amp;E - CY'!$A:$A,$J629,'alb Note 5.1 -PP&amp;E - CY'!$R:$R)</f>
        <v>0</v>
      </c>
      <c r="M629" s="10"/>
      <c r="N629" s="273">
        <f t="shared" si="349"/>
        <v>0</v>
      </c>
      <c r="O629" s="12"/>
      <c r="P629" s="12"/>
      <c r="Q629" s="12"/>
      <c r="R629" s="12"/>
      <c r="S629" s="6">
        <f t="shared" ref="S629:S694" si="352">-IF(ISNUMBER(BD629),BD629,0)</f>
        <v>0</v>
      </c>
      <c r="T629" s="273">
        <f t="shared" si="350"/>
        <v>0</v>
      </c>
      <c r="U629" s="6">
        <f t="shared" si="351"/>
        <v>0</v>
      </c>
      <c r="V629" s="6"/>
      <c r="W629" s="6">
        <f t="shared" si="346"/>
        <v>0</v>
      </c>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X629" s="6"/>
      <c r="AY629" s="6">
        <f>ROUND(AX629/1000/Update!$B$31*Update!$B$27,0)</f>
        <v>0</v>
      </c>
      <c r="BA629" s="6"/>
      <c r="BB629" s="6">
        <f>ROUND(BA629/1000/Update!$B$31,0)</f>
        <v>0</v>
      </c>
      <c r="BC629" s="6"/>
      <c r="BD629" s="29">
        <f t="shared" si="323"/>
        <v>0</v>
      </c>
      <c r="BE629" s="322"/>
      <c r="BF629" s="322"/>
      <c r="BG629" s="322"/>
      <c r="BH629" s="322"/>
      <c r="BI629" s="322"/>
      <c r="BJ629" s="322"/>
      <c r="BK629" s="29">
        <f t="shared" si="345"/>
        <v>0</v>
      </c>
      <c r="BL629" s="322"/>
      <c r="BM629" s="322"/>
      <c r="BN629" s="322"/>
      <c r="BO629" s="322"/>
      <c r="BP629" s="322"/>
      <c r="BQ629" s="322"/>
      <c r="BR629" s="322"/>
      <c r="BS629" s="322"/>
      <c r="BT629" s="322"/>
      <c r="BU629" s="322"/>
      <c r="BV629" s="322"/>
      <c r="BW629" s="322"/>
      <c r="BX629" s="322"/>
      <c r="BY629" s="322"/>
      <c r="BZ629" s="322"/>
      <c r="CA629" s="322"/>
      <c r="CB629" s="322"/>
      <c r="CC629" s="322"/>
      <c r="CD629" s="322"/>
      <c r="CE629" s="322"/>
      <c r="CF629" s="322"/>
      <c r="CG629" s="322"/>
      <c r="CH629" s="322"/>
      <c r="CI629" s="322"/>
      <c r="CM629" s="1139">
        <v>0</v>
      </c>
      <c r="CN629" s="1139">
        <v>0</v>
      </c>
      <c r="CP629" s="923">
        <f t="shared" si="320"/>
        <v>0</v>
      </c>
      <c r="CZ629" s="330"/>
    </row>
    <row r="630" spans="1:104" ht="51" customHeight="1" x14ac:dyDescent="0.25">
      <c r="A630" s="684">
        <f>MAX($A$6:A629)+1</f>
        <v>630</v>
      </c>
      <c r="B630" s="3">
        <f t="shared" si="335"/>
        <v>5.0999999999999996</v>
      </c>
      <c r="C630" s="11" t="str">
        <f t="shared" si="325"/>
        <v>Consolidated property, plant and equipment 2025-26</v>
      </c>
      <c r="D630" s="11" t="str">
        <f t="shared" si="340"/>
        <v>Information Technology</v>
      </c>
      <c r="E630" s="7" t="s">
        <v>1410</v>
      </c>
      <c r="F630" s="15"/>
      <c r="G630" s="1254" t="s">
        <v>193</v>
      </c>
      <c r="H630" s="6">
        <v>0</v>
      </c>
      <c r="I630" s="6">
        <v>0</v>
      </c>
      <c r="J630" s="1257" t="s">
        <v>865</v>
      </c>
      <c r="K630" s="251">
        <f>SUMIF('alb Note 5.1 -PP&amp;E - CY'!$A:$A,$J630,'alb Note 5.1 -PP&amp;E - CY'!$G:$G)</f>
        <v>0</v>
      </c>
      <c r="L630" s="251">
        <f>SUMIF('alb Note 5.1 -PP&amp;E - CY'!$A:$A,$J630,'alb Note 5.1 -PP&amp;E - CY'!$R:$R)</f>
        <v>0</v>
      </c>
      <c r="M630" s="10"/>
      <c r="N630" s="273">
        <f t="shared" si="349"/>
        <v>0</v>
      </c>
      <c r="O630" s="12"/>
      <c r="P630" s="12"/>
      <c r="Q630" s="12"/>
      <c r="R630" s="12"/>
      <c r="S630" s="6">
        <f t="shared" si="352"/>
        <v>0</v>
      </c>
      <c r="T630" s="273">
        <f t="shared" si="350"/>
        <v>0</v>
      </c>
      <c r="U630" s="6">
        <f t="shared" si="351"/>
        <v>0</v>
      </c>
      <c r="V630" s="6"/>
      <c r="W630" s="6">
        <f t="shared" si="346"/>
        <v>0</v>
      </c>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X630" s="6"/>
      <c r="AY630" s="6">
        <f>ROUND(AX630/1000/Update!$B$31*Update!$B$27,0)</f>
        <v>0</v>
      </c>
      <c r="BA630" s="6"/>
      <c r="BB630" s="6">
        <f>ROUND(BA630/1000/Update!$B$31,0)</f>
        <v>0</v>
      </c>
      <c r="BC630" s="6"/>
      <c r="BD630" s="29">
        <f t="shared" si="323"/>
        <v>0</v>
      </c>
      <c r="BE630" s="322"/>
      <c r="BF630" s="322"/>
      <c r="BG630" s="322"/>
      <c r="BH630" s="322"/>
      <c r="BI630" s="322"/>
      <c r="BJ630" s="322"/>
      <c r="BK630" s="29">
        <f t="shared" si="345"/>
        <v>0</v>
      </c>
      <c r="BL630" s="322"/>
      <c r="BM630" s="322"/>
      <c r="BN630" s="322"/>
      <c r="BO630" s="322"/>
      <c r="BP630" s="322"/>
      <c r="BQ630" s="322"/>
      <c r="BR630" s="322"/>
      <c r="BS630" s="322"/>
      <c r="BT630" s="322"/>
      <c r="BU630" s="322"/>
      <c r="BV630" s="322"/>
      <c r="BW630" s="322"/>
      <c r="BX630" s="322"/>
      <c r="BY630" s="322"/>
      <c r="BZ630" s="322"/>
      <c r="CA630" s="322"/>
      <c r="CB630" s="322"/>
      <c r="CC630" s="322"/>
      <c r="CD630" s="322"/>
      <c r="CE630" s="322"/>
      <c r="CF630" s="322"/>
      <c r="CG630" s="322"/>
      <c r="CH630" s="322"/>
      <c r="CI630" s="322"/>
      <c r="CM630" s="1139">
        <v>0</v>
      </c>
      <c r="CN630" s="1139">
        <v>0</v>
      </c>
      <c r="CP630" s="923">
        <f t="shared" si="320"/>
        <v>0</v>
      </c>
      <c r="CZ630" s="330"/>
    </row>
    <row r="631" spans="1:104" ht="15" customHeight="1" x14ac:dyDescent="0.25">
      <c r="A631" s="684">
        <f>MAX($A$6:A630)+1</f>
        <v>631</v>
      </c>
      <c r="B631" s="3">
        <f t="shared" si="335"/>
        <v>5.0999999999999996</v>
      </c>
      <c r="C631" s="11" t="str">
        <f t="shared" si="325"/>
        <v>Consolidated property, plant and equipment 2025-26</v>
      </c>
      <c r="D631" s="11" t="str">
        <f>D630</f>
        <v>Information Technology</v>
      </c>
      <c r="E631" s="7" t="s">
        <v>810</v>
      </c>
      <c r="F631" s="15"/>
      <c r="G631" s="1254"/>
      <c r="H631" s="6">
        <v>0</v>
      </c>
      <c r="I631" s="6">
        <v>0</v>
      </c>
      <c r="J631" s="1257" t="s">
        <v>866</v>
      </c>
      <c r="K631" s="251">
        <f>SUMIF('alb Note 5.1 -PP&amp;E - CY'!$A:$A,$J631,'alb Note 5.1 -PP&amp;E - CY'!$G:$G)</f>
        <v>0</v>
      </c>
      <c r="L631" s="251">
        <f>SUMIF('alb Note 5.1 -PP&amp;E - CY'!$A:$A,$J631,'alb Note 5.1 -PP&amp;E - CY'!$R:$R)</f>
        <v>0</v>
      </c>
      <c r="M631" s="10"/>
      <c r="N631" s="273">
        <f t="shared" si="349"/>
        <v>0</v>
      </c>
      <c r="O631" s="12"/>
      <c r="P631" s="12"/>
      <c r="Q631" s="12"/>
      <c r="R631" s="12"/>
      <c r="S631" s="6">
        <f t="shared" si="352"/>
        <v>0</v>
      </c>
      <c r="T631" s="273">
        <f t="shared" si="350"/>
        <v>0</v>
      </c>
      <c r="U631" s="6">
        <f t="shared" si="351"/>
        <v>0</v>
      </c>
      <c r="V631" s="6"/>
      <c r="W631" s="6">
        <f t="shared" si="346"/>
        <v>0</v>
      </c>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X631" s="6"/>
      <c r="AY631" s="6">
        <f>ROUND(AX631/1000/Update!$B$31*Update!$B$27,0)</f>
        <v>0</v>
      </c>
      <c r="BA631" s="6"/>
      <c r="BB631" s="6">
        <f>ROUND(BA631/1000/Update!$B$31,0)</f>
        <v>0</v>
      </c>
      <c r="BC631" s="6"/>
      <c r="BD631" s="29">
        <f t="shared" si="323"/>
        <v>0</v>
      </c>
      <c r="BE631" s="322"/>
      <c r="BF631" s="322"/>
      <c r="BG631" s="322"/>
      <c r="BH631" s="322"/>
      <c r="BI631" s="322"/>
      <c r="BJ631" s="322"/>
      <c r="BK631" s="29">
        <f t="shared" si="345"/>
        <v>0</v>
      </c>
      <c r="BL631" s="322"/>
      <c r="BM631" s="322"/>
      <c r="BN631" s="322"/>
      <c r="BO631" s="322"/>
      <c r="BP631" s="322"/>
      <c r="BQ631" s="322"/>
      <c r="BR631" s="322"/>
      <c r="BS631" s="322"/>
      <c r="BT631" s="322"/>
      <c r="BU631" s="322"/>
      <c r="BV631" s="322"/>
      <c r="BW631" s="322"/>
      <c r="BX631" s="322"/>
      <c r="BY631" s="322"/>
      <c r="BZ631" s="322"/>
      <c r="CA631" s="322"/>
      <c r="CB631" s="322"/>
      <c r="CC631" s="322"/>
      <c r="CD631" s="322"/>
      <c r="CE631" s="322"/>
      <c r="CF631" s="322"/>
      <c r="CG631" s="322"/>
      <c r="CH631" s="322"/>
      <c r="CI631" s="322"/>
      <c r="CM631" s="1139">
        <v>0</v>
      </c>
      <c r="CN631" s="1139">
        <v>0</v>
      </c>
      <c r="CP631" s="923">
        <f t="shared" si="320"/>
        <v>0</v>
      </c>
      <c r="CZ631" s="330"/>
    </row>
    <row r="632" spans="1:104" ht="15" customHeight="1" x14ac:dyDescent="0.25">
      <c r="A632" s="684">
        <f>MAX($A$6:A631)+1</f>
        <v>632</v>
      </c>
      <c r="B632" s="3">
        <f t="shared" si="335"/>
        <v>5.0999999999999996</v>
      </c>
      <c r="C632" s="11" t="str">
        <f>C630</f>
        <v>Consolidated property, plant and equipment 2025-26</v>
      </c>
      <c r="D632" s="11" t="str">
        <f>D630</f>
        <v>Information Technology</v>
      </c>
      <c r="E632" s="7" t="s">
        <v>867</v>
      </c>
      <c r="F632" s="15"/>
      <c r="G632" s="1254" t="s">
        <v>187</v>
      </c>
      <c r="H632" s="6">
        <v>0</v>
      </c>
      <c r="I632" s="6">
        <v>0</v>
      </c>
      <c r="J632" s="1257" t="s">
        <v>867</v>
      </c>
      <c r="K632" s="251">
        <f>SUMIF('alb Note 5.1 -PP&amp;E - CY'!$A:$A,$J632,'alb Note 5.1 -PP&amp;E - CY'!$G:$G)</f>
        <v>0</v>
      </c>
      <c r="L632" s="251">
        <f>SUMIF('alb Note 5.1 -PP&amp;E - CY'!$A:$A,$J632,'alb Note 5.1 -PP&amp;E - CY'!$R:$R)</f>
        <v>0</v>
      </c>
      <c r="M632" s="10"/>
      <c r="N632" s="273">
        <f t="shared" si="349"/>
        <v>0</v>
      </c>
      <c r="O632" s="12"/>
      <c r="P632" s="12"/>
      <c r="Q632" s="12"/>
      <c r="R632" s="12"/>
      <c r="S632" s="6">
        <f t="shared" si="352"/>
        <v>0</v>
      </c>
      <c r="T632" s="273">
        <f t="shared" si="350"/>
        <v>0</v>
      </c>
      <c r="U632" s="6">
        <f t="shared" si="351"/>
        <v>0</v>
      </c>
      <c r="V632" s="6"/>
      <c r="W632" s="6">
        <f t="shared" si="346"/>
        <v>0</v>
      </c>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X632" s="6"/>
      <c r="AY632" s="6">
        <f>ROUND(AX632/1000/Update!$B$31*Update!$B$27,0)</f>
        <v>0</v>
      </c>
      <c r="BA632" s="6"/>
      <c r="BB632" s="6">
        <f>ROUND(BA632/1000/Update!$B$31,0)</f>
        <v>0</v>
      </c>
      <c r="BC632" s="6"/>
      <c r="BD632" s="29">
        <f t="shared" si="323"/>
        <v>0</v>
      </c>
      <c r="BE632" s="322"/>
      <c r="BF632" s="322"/>
      <c r="BG632" s="322"/>
      <c r="BH632" s="322"/>
      <c r="BI632" s="322"/>
      <c r="BJ632" s="322"/>
      <c r="BK632" s="29">
        <f t="shared" si="345"/>
        <v>0</v>
      </c>
      <c r="BL632" s="322"/>
      <c r="BM632" s="322"/>
      <c r="BN632" s="322"/>
      <c r="BO632" s="322"/>
      <c r="BP632" s="322"/>
      <c r="BQ632" s="322"/>
      <c r="BR632" s="322"/>
      <c r="BS632" s="322"/>
      <c r="BT632" s="322"/>
      <c r="BU632" s="322"/>
      <c r="BV632" s="322"/>
      <c r="BW632" s="322"/>
      <c r="BX632" s="322"/>
      <c r="BY632" s="322"/>
      <c r="BZ632" s="322"/>
      <c r="CA632" s="322"/>
      <c r="CB632" s="322"/>
      <c r="CC632" s="322"/>
      <c r="CD632" s="322"/>
      <c r="CE632" s="322"/>
      <c r="CF632" s="322"/>
      <c r="CG632" s="322"/>
      <c r="CH632" s="322"/>
      <c r="CI632" s="322"/>
      <c r="CM632" s="1139">
        <v>0</v>
      </c>
      <c r="CN632" s="1139">
        <v>0</v>
      </c>
      <c r="CP632" s="923">
        <f t="shared" si="320"/>
        <v>0</v>
      </c>
      <c r="CZ632" s="330"/>
    </row>
    <row r="633" spans="1:104" ht="15" customHeight="1" x14ac:dyDescent="0.25">
      <c r="A633" s="684">
        <f>MAX($A$6:A632)+1</f>
        <v>633</v>
      </c>
      <c r="B633" s="3">
        <f t="shared" si="335"/>
        <v>5.0999999999999996</v>
      </c>
      <c r="C633" s="11" t="str">
        <f t="shared" si="325"/>
        <v>Consolidated property, plant and equipment 2025-26</v>
      </c>
      <c r="D633" s="11" t="str">
        <f t="shared" si="340"/>
        <v>Information Technology</v>
      </c>
      <c r="E633" s="7" t="s">
        <v>868</v>
      </c>
      <c r="F633" s="15"/>
      <c r="G633" s="1254" t="s">
        <v>188</v>
      </c>
      <c r="H633" s="6">
        <v>0</v>
      </c>
      <c r="I633" s="6">
        <v>0</v>
      </c>
      <c r="J633" s="1257" t="s">
        <v>868</v>
      </c>
      <c r="K633" s="251">
        <f>SUMIF('alb Note 5.1 -PP&amp;E - CY'!$A:$A,$J633,'alb Note 5.1 -PP&amp;E - CY'!$G:$G)</f>
        <v>0</v>
      </c>
      <c r="L633" s="251">
        <f>SUMIF('alb Note 5.1 -PP&amp;E - CY'!$A:$A,$J633,'alb Note 5.1 -PP&amp;E - CY'!$R:$R)</f>
        <v>0</v>
      </c>
      <c r="M633" s="10"/>
      <c r="N633" s="273">
        <f t="shared" si="349"/>
        <v>0</v>
      </c>
      <c r="O633" s="12"/>
      <c r="P633" s="12"/>
      <c r="Q633" s="12"/>
      <c r="R633" s="12"/>
      <c r="S633" s="6">
        <f t="shared" si="352"/>
        <v>0</v>
      </c>
      <c r="T633" s="273">
        <f t="shared" si="350"/>
        <v>0</v>
      </c>
      <c r="U633" s="6">
        <f t="shared" si="351"/>
        <v>0</v>
      </c>
      <c r="V633" s="6"/>
      <c r="W633" s="6">
        <f t="shared" si="346"/>
        <v>0</v>
      </c>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X633" s="6"/>
      <c r="AY633" s="6">
        <f>ROUND(AX633/1000/Update!$B$31*Update!$B$27,0)</f>
        <v>0</v>
      </c>
      <c r="BA633" s="6"/>
      <c r="BB633" s="6">
        <f>ROUND(BA633/1000/Update!$B$31,0)</f>
        <v>0</v>
      </c>
      <c r="BC633" s="6"/>
      <c r="BD633" s="29">
        <f t="shared" si="323"/>
        <v>0</v>
      </c>
      <c r="BE633" s="322"/>
      <c r="BF633" s="322"/>
      <c r="BG633" s="322"/>
      <c r="BH633" s="322"/>
      <c r="BI633" s="322"/>
      <c r="BJ633" s="322"/>
      <c r="BK633" s="29">
        <f t="shared" si="345"/>
        <v>0</v>
      </c>
      <c r="BL633" s="322"/>
      <c r="BM633" s="322"/>
      <c r="BN633" s="322"/>
      <c r="BO633" s="322"/>
      <c r="BP633" s="322"/>
      <c r="BQ633" s="322"/>
      <c r="BR633" s="322"/>
      <c r="BS633" s="322"/>
      <c r="BT633" s="322"/>
      <c r="BU633" s="322"/>
      <c r="BV633" s="322"/>
      <c r="BW633" s="322"/>
      <c r="BX633" s="322"/>
      <c r="BY633" s="322"/>
      <c r="BZ633" s="322"/>
      <c r="CA633" s="322"/>
      <c r="CB633" s="322"/>
      <c r="CC633" s="322"/>
      <c r="CD633" s="322"/>
      <c r="CE633" s="322"/>
      <c r="CF633" s="322"/>
      <c r="CG633" s="322"/>
      <c r="CH633" s="322"/>
      <c r="CI633" s="322"/>
      <c r="CM633" s="1139">
        <v>0</v>
      </c>
      <c r="CN633" s="1139">
        <v>0</v>
      </c>
      <c r="CP633" s="923">
        <f t="shared" si="320"/>
        <v>0</v>
      </c>
      <c r="CZ633" s="330"/>
    </row>
    <row r="634" spans="1:104" ht="15" customHeight="1" x14ac:dyDescent="0.25">
      <c r="A634" s="684">
        <f>MAX($A$6:A633)+1</f>
        <v>634</v>
      </c>
      <c r="B634" s="3">
        <f t="shared" si="335"/>
        <v>5.0999999999999996</v>
      </c>
      <c r="C634" s="11" t="str">
        <f t="shared" si="325"/>
        <v>Consolidated property, plant and equipment 2025-26</v>
      </c>
      <c r="D634" s="11" t="str">
        <f t="shared" si="340"/>
        <v>Information Technology</v>
      </c>
      <c r="E634" s="7" t="s">
        <v>1416</v>
      </c>
      <c r="F634" s="15"/>
      <c r="G634" s="1254" t="s">
        <v>189</v>
      </c>
      <c r="H634" s="6">
        <v>0</v>
      </c>
      <c r="I634" s="6">
        <v>0</v>
      </c>
      <c r="J634" s="1257" t="s">
        <v>870</v>
      </c>
      <c r="K634" s="251">
        <f>SUMIF('alb Note 5.1 -PP&amp;E - CY'!$A:$A,$J634,'alb Note 5.1 -PP&amp;E - CY'!$G:$G)</f>
        <v>0</v>
      </c>
      <c r="L634" s="251">
        <f>SUMIF('alb Note 5.1 -PP&amp;E - CY'!$A:$A,$J634,'alb Note 5.1 -PP&amp;E - CY'!$R:$R)</f>
        <v>0</v>
      </c>
      <c r="M634" s="10"/>
      <c r="N634" s="273">
        <f t="shared" si="349"/>
        <v>0</v>
      </c>
      <c r="O634" s="12"/>
      <c r="P634" s="12"/>
      <c r="Q634" s="12"/>
      <c r="R634" s="12"/>
      <c r="S634" s="6">
        <f t="shared" si="352"/>
        <v>0</v>
      </c>
      <c r="T634" s="273">
        <f t="shared" si="350"/>
        <v>0</v>
      </c>
      <c r="U634" s="6">
        <f t="shared" si="351"/>
        <v>0</v>
      </c>
      <c r="V634" s="6"/>
      <c r="W634" s="6">
        <f t="shared" si="346"/>
        <v>0</v>
      </c>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X634" s="6"/>
      <c r="AY634" s="6">
        <f>ROUND(AX634/1000/Update!$B$31*Update!$B$27,0)</f>
        <v>0</v>
      </c>
      <c r="BA634" s="6"/>
      <c r="BB634" s="6">
        <f>ROUND(BA634/1000/Update!$B$31,0)</f>
        <v>0</v>
      </c>
      <c r="BC634" s="6"/>
      <c r="BD634" s="29">
        <f t="shared" si="323"/>
        <v>0</v>
      </c>
      <c r="BE634" s="322"/>
      <c r="BF634" s="322"/>
      <c r="BG634" s="322"/>
      <c r="BH634" s="322"/>
      <c r="BI634" s="322"/>
      <c r="BJ634" s="322"/>
      <c r="BK634" s="29">
        <f t="shared" si="345"/>
        <v>0</v>
      </c>
      <c r="BL634" s="322"/>
      <c r="BM634" s="322"/>
      <c r="BN634" s="322"/>
      <c r="BO634" s="322"/>
      <c r="BP634" s="322"/>
      <c r="BQ634" s="322"/>
      <c r="BR634" s="322"/>
      <c r="BS634" s="322"/>
      <c r="BT634" s="322"/>
      <c r="BU634" s="322"/>
      <c r="BV634" s="322"/>
      <c r="BW634" s="322"/>
      <c r="BX634" s="322"/>
      <c r="BY634" s="322"/>
      <c r="BZ634" s="322"/>
      <c r="CA634" s="322"/>
      <c r="CB634" s="322"/>
      <c r="CC634" s="322"/>
      <c r="CD634" s="322"/>
      <c r="CE634" s="322"/>
      <c r="CF634" s="322"/>
      <c r="CG634" s="322"/>
      <c r="CH634" s="322"/>
      <c r="CI634" s="322"/>
      <c r="CM634" s="1139">
        <v>0</v>
      </c>
      <c r="CN634" s="1139">
        <v>0</v>
      </c>
      <c r="CP634" s="923">
        <f t="shared" si="320"/>
        <v>0</v>
      </c>
      <c r="CZ634" s="330"/>
    </row>
    <row r="635" spans="1:104" ht="15" customHeight="1" x14ac:dyDescent="0.25">
      <c r="A635" s="701">
        <f>MAX($A$6:A634)+1</f>
        <v>635</v>
      </c>
      <c r="B635" s="1291">
        <f t="shared" si="335"/>
        <v>5.0999999999999996</v>
      </c>
      <c r="C635" s="18" t="str">
        <f t="shared" si="325"/>
        <v>Consolidated property, plant and equipment 2025-26</v>
      </c>
      <c r="D635" s="18" t="str">
        <f t="shared" si="340"/>
        <v>Information Technology</v>
      </c>
      <c r="E635" s="19" t="str">
        <f>Update!$B$22</f>
        <v xml:space="preserve"> 31 March 2026</v>
      </c>
      <c r="F635" s="20"/>
      <c r="G635" s="28"/>
      <c r="H635" s="14">
        <f>SUM(H625:H634)</f>
        <v>0</v>
      </c>
      <c r="I635" s="14">
        <f>SUM(I625:I634)</f>
        <v>0</v>
      </c>
      <c r="J635" s="19" t="str">
        <f>Update!$B$22</f>
        <v xml:space="preserve"> 31 March 2026</v>
      </c>
      <c r="K635" s="256">
        <f>SUM(K625:K634)</f>
        <v>0</v>
      </c>
      <c r="L635" s="256">
        <f>SUM(L625:L634)</f>
        <v>0</v>
      </c>
      <c r="M635" s="21"/>
      <c r="N635" s="14">
        <f>ROUND(SUM(O635:S635)+T635+SUM(Z635:AV635),0)</f>
        <v>0</v>
      </c>
      <c r="O635" s="14">
        <f t="shared" ref="O635:V635" si="353">SUM(O625:O634)</f>
        <v>0</v>
      </c>
      <c r="P635" s="14">
        <f t="shared" si="353"/>
        <v>0</v>
      </c>
      <c r="Q635" s="14">
        <f t="shared" si="353"/>
        <v>0</v>
      </c>
      <c r="R635" s="14">
        <f t="shared" si="353"/>
        <v>0</v>
      </c>
      <c r="S635" s="14">
        <f t="shared" si="352"/>
        <v>0</v>
      </c>
      <c r="T635" s="14">
        <f t="shared" si="353"/>
        <v>0</v>
      </c>
      <c r="U635" s="14">
        <f>SUM(U625:U634)</f>
        <v>0</v>
      </c>
      <c r="V635" s="14">
        <f t="shared" si="353"/>
        <v>0</v>
      </c>
      <c r="W635" s="14">
        <f>SUM(W625:W634)</f>
        <v>0</v>
      </c>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2"/>
      <c r="AX635" s="14">
        <f>SUM(AX625:AX634)</f>
        <v>0</v>
      </c>
      <c r="AY635" s="14">
        <f>ROUND(AX635/1000/Update!$B$31*Update!$B$27,0)</f>
        <v>0</v>
      </c>
      <c r="AZ635" s="2"/>
      <c r="BA635" s="14">
        <f>SUM(BA625:BA634)</f>
        <v>0</v>
      </c>
      <c r="BB635" s="14">
        <f>ROUND(BA635/1000/Update!$B$31,0)</f>
        <v>0</v>
      </c>
      <c r="BC635" s="14"/>
      <c r="BD635" s="14">
        <f t="shared" si="323"/>
        <v>0</v>
      </c>
      <c r="BE635" s="14">
        <f t="shared" ref="BE635:BJ635" si="354">SUM(BE625:BE634)</f>
        <v>0</v>
      </c>
      <c r="BF635" s="14">
        <f t="shared" si="354"/>
        <v>0</v>
      </c>
      <c r="BG635" s="14">
        <f t="shared" si="354"/>
        <v>0</v>
      </c>
      <c r="BH635" s="14">
        <f t="shared" si="354"/>
        <v>0</v>
      </c>
      <c r="BI635" s="14">
        <f t="shared" si="354"/>
        <v>0</v>
      </c>
      <c r="BJ635" s="14">
        <f t="shared" si="354"/>
        <v>0</v>
      </c>
      <c r="BK635" s="14">
        <f t="shared" si="345"/>
        <v>0</v>
      </c>
      <c r="BL635" s="14"/>
      <c r="BM635" s="14"/>
      <c r="BN635" s="14"/>
      <c r="BO635" s="14"/>
      <c r="BP635" s="14"/>
      <c r="BQ635" s="14"/>
      <c r="BR635" s="14"/>
      <c r="BS635" s="14"/>
      <c r="BT635" s="324"/>
      <c r="BU635" s="14"/>
      <c r="BV635" s="14"/>
      <c r="BW635" s="14"/>
      <c r="BX635" s="14"/>
      <c r="BY635" s="14"/>
      <c r="BZ635" s="14"/>
      <c r="CA635" s="14"/>
      <c r="CB635" s="14"/>
      <c r="CC635" s="14"/>
      <c r="CD635" s="14"/>
      <c r="CE635" s="14"/>
      <c r="CF635" s="14"/>
      <c r="CG635" s="14"/>
      <c r="CH635" s="14"/>
      <c r="CI635" s="14"/>
      <c r="CJ635" s="2"/>
      <c r="CK635" s="2"/>
      <c r="CM635" s="1450">
        <v>0</v>
      </c>
      <c r="CN635" s="1450">
        <v>0</v>
      </c>
      <c r="CP635" s="923">
        <f t="shared" si="320"/>
        <v>0</v>
      </c>
      <c r="CZ635" s="330"/>
    </row>
    <row r="636" spans="1:104" ht="15" customHeight="1" x14ac:dyDescent="0.25">
      <c r="A636" s="701">
        <f>MAX($A$6:A635)+1</f>
        <v>636</v>
      </c>
      <c r="B636" s="1291">
        <f t="shared" si="335"/>
        <v>5.0999999999999996</v>
      </c>
      <c r="C636" s="18" t="str">
        <f t="shared" si="325"/>
        <v>Consolidated property, plant and equipment 2025-26</v>
      </c>
      <c r="D636" s="18" t="str">
        <f t="shared" si="340"/>
        <v>Information Technology</v>
      </c>
      <c r="E636" s="19" t="str">
        <f>"Carrying amount "&amp;Update!$B$22</f>
        <v>Carrying amount  31 March 2026</v>
      </c>
      <c r="F636" s="20"/>
      <c r="G636" s="28"/>
      <c r="H636" s="14">
        <f>H621-H635</f>
        <v>0</v>
      </c>
      <c r="I636" s="14">
        <f>I621-I635</f>
        <v>0</v>
      </c>
      <c r="J636" s="19" t="str">
        <f>"Carrying amount "&amp;Update!$B$22</f>
        <v>Carrying amount  31 March 2026</v>
      </c>
      <c r="K636" s="256">
        <f>K621-K635</f>
        <v>0</v>
      </c>
      <c r="L636" s="256">
        <f>L621-L635</f>
        <v>0</v>
      </c>
      <c r="M636" s="21"/>
      <c r="N636" s="14">
        <f>ROUND(SUM(O636:S636)+T636+SUM(Z636:AV636),0)</f>
        <v>0</v>
      </c>
      <c r="O636" s="14">
        <f t="shared" ref="O636:V636" si="355">O621-O635</f>
        <v>0</v>
      </c>
      <c r="P636" s="14">
        <f t="shared" si="355"/>
        <v>0</v>
      </c>
      <c r="Q636" s="14">
        <f t="shared" si="355"/>
        <v>0</v>
      </c>
      <c r="R636" s="14">
        <f t="shared" si="355"/>
        <v>0</v>
      </c>
      <c r="S636" s="14">
        <f t="shared" si="352"/>
        <v>0</v>
      </c>
      <c r="T636" s="14">
        <f t="shared" si="355"/>
        <v>0</v>
      </c>
      <c r="U636" s="14">
        <f t="shared" si="355"/>
        <v>0</v>
      </c>
      <c r="V636" s="14">
        <f t="shared" si="355"/>
        <v>0</v>
      </c>
      <c r="W636" s="14">
        <f>W621-W635</f>
        <v>0</v>
      </c>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2"/>
      <c r="AX636" s="14">
        <f>AX621-AX635</f>
        <v>0</v>
      </c>
      <c r="AY636" s="14">
        <f>ROUND(AX636/1000/Update!$B$31*Update!$B$27,0)</f>
        <v>0</v>
      </c>
      <c r="AZ636" s="2"/>
      <c r="BA636" s="14">
        <f>BA621-BA635</f>
        <v>0</v>
      </c>
      <c r="BB636" s="14">
        <f>ROUND(BA636/1000/Update!$B$31,0)</f>
        <v>0</v>
      </c>
      <c r="BC636" s="14"/>
      <c r="BD636" s="14">
        <f t="shared" si="323"/>
        <v>0</v>
      </c>
      <c r="BE636" s="14">
        <f t="shared" ref="BE636:BJ636" si="356">BE621-BE635</f>
        <v>0</v>
      </c>
      <c r="BF636" s="14">
        <f t="shared" si="356"/>
        <v>0</v>
      </c>
      <c r="BG636" s="14">
        <f t="shared" si="356"/>
        <v>0</v>
      </c>
      <c r="BH636" s="14">
        <f t="shared" si="356"/>
        <v>0</v>
      </c>
      <c r="BI636" s="14">
        <f t="shared" si="356"/>
        <v>0</v>
      </c>
      <c r="BJ636" s="14">
        <f t="shared" si="356"/>
        <v>0</v>
      </c>
      <c r="BK636" s="14">
        <f t="shared" si="345"/>
        <v>0</v>
      </c>
      <c r="BL636" s="14"/>
      <c r="BM636" s="14"/>
      <c r="BN636" s="14"/>
      <c r="BO636" s="14"/>
      <c r="BP636" s="14"/>
      <c r="BQ636" s="14"/>
      <c r="BR636" s="14"/>
      <c r="BS636" s="14"/>
      <c r="BT636" s="324"/>
      <c r="BU636" s="14"/>
      <c r="BV636" s="14"/>
      <c r="BW636" s="14"/>
      <c r="BX636" s="14"/>
      <c r="BY636" s="14"/>
      <c r="BZ636" s="14"/>
      <c r="CA636" s="14"/>
      <c r="CB636" s="14"/>
      <c r="CC636" s="14"/>
      <c r="CD636" s="14"/>
      <c r="CE636" s="14"/>
      <c r="CF636" s="14"/>
      <c r="CG636" s="14"/>
      <c r="CH636" s="14"/>
      <c r="CI636" s="14"/>
      <c r="CJ636" s="2"/>
      <c r="CK636" s="2"/>
      <c r="CM636" s="1450">
        <v>0</v>
      </c>
      <c r="CN636" s="1450">
        <v>0</v>
      </c>
      <c r="CP636" s="923">
        <f t="shared" si="320"/>
        <v>0</v>
      </c>
      <c r="CZ636" s="330"/>
    </row>
    <row r="637" spans="1:104" ht="15" customHeight="1" x14ac:dyDescent="0.25">
      <c r="A637" s="701">
        <f>MAX($A$6:A636)+1</f>
        <v>637</v>
      </c>
      <c r="B637" s="1291">
        <f t="shared" si="335"/>
        <v>5.0999999999999996</v>
      </c>
      <c r="C637" s="18" t="str">
        <f t="shared" si="325"/>
        <v>Consolidated property, plant and equipment 2025-26</v>
      </c>
      <c r="D637" s="18" t="str">
        <f t="shared" si="340"/>
        <v>Information Technology</v>
      </c>
      <c r="E637" s="19" t="str">
        <f>"Carrying amount "&amp;Update!$B$24</f>
        <v>Carrying amount  31 March 2025</v>
      </c>
      <c r="F637" s="20"/>
      <c r="G637" s="28"/>
      <c r="H637" s="14">
        <f>H608-H623</f>
        <v>0</v>
      </c>
      <c r="I637" s="14">
        <f>I610-I623</f>
        <v>0</v>
      </c>
      <c r="J637" s="19" t="str">
        <f>"Carrying amount "&amp;Update!$B$24</f>
        <v>Carrying amount  31 March 2025</v>
      </c>
      <c r="K637" s="256">
        <f>K608-K623</f>
        <v>0</v>
      </c>
      <c r="L637" s="256">
        <f>L608-L623</f>
        <v>0</v>
      </c>
      <c r="M637" s="21"/>
      <c r="N637" s="14">
        <f>ROUND(SUM(O637:S637)+T637+SUM(Z637:AV637),0)</f>
        <v>0</v>
      </c>
      <c r="O637" s="14">
        <f t="shared" ref="O637:V637" si="357">O610-O623</f>
        <v>0</v>
      </c>
      <c r="P637" s="14">
        <f t="shared" si="357"/>
        <v>0</v>
      </c>
      <c r="Q637" s="14">
        <f t="shared" si="357"/>
        <v>0</v>
      </c>
      <c r="R637" s="14">
        <f t="shared" si="357"/>
        <v>0</v>
      </c>
      <c r="S637" s="14">
        <f t="shared" si="352"/>
        <v>0</v>
      </c>
      <c r="T637" s="14">
        <f t="shared" si="357"/>
        <v>0</v>
      </c>
      <c r="U637" s="14">
        <f t="shared" si="357"/>
        <v>0</v>
      </c>
      <c r="V637" s="14">
        <f t="shared" si="357"/>
        <v>0</v>
      </c>
      <c r="W637" s="14">
        <f>W610-W623</f>
        <v>0</v>
      </c>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2"/>
      <c r="AX637" s="14">
        <f>AX610-AX623</f>
        <v>0</v>
      </c>
      <c r="AY637" s="14">
        <f>ROUND(AX637/1000/Update!$B$31*Update!$B$27,0)</f>
        <v>0</v>
      </c>
      <c r="AZ637" s="2"/>
      <c r="BA637" s="14">
        <f>BA610-BA623</f>
        <v>0</v>
      </c>
      <c r="BB637" s="14">
        <f>ROUND(BA637/1000/Update!$B$31,0)</f>
        <v>0</v>
      </c>
      <c r="BC637" s="14"/>
      <c r="BD637" s="14">
        <f t="shared" si="323"/>
        <v>0</v>
      </c>
      <c r="BE637" s="14">
        <f t="shared" ref="BE637:BJ637" si="358">BE610-BE623</f>
        <v>0</v>
      </c>
      <c r="BF637" s="14">
        <f t="shared" si="358"/>
        <v>0</v>
      </c>
      <c r="BG637" s="14">
        <f t="shared" si="358"/>
        <v>0</v>
      </c>
      <c r="BH637" s="14">
        <f t="shared" si="358"/>
        <v>0</v>
      </c>
      <c r="BI637" s="14">
        <f t="shared" si="358"/>
        <v>0</v>
      </c>
      <c r="BJ637" s="14">
        <f t="shared" si="358"/>
        <v>0</v>
      </c>
      <c r="BK637" s="14">
        <f t="shared" si="345"/>
        <v>0</v>
      </c>
      <c r="BL637" s="14"/>
      <c r="BM637" s="14"/>
      <c r="BN637" s="14"/>
      <c r="BO637" s="14"/>
      <c r="BP637" s="14"/>
      <c r="BQ637" s="14"/>
      <c r="BR637" s="14"/>
      <c r="BS637" s="14"/>
      <c r="BT637" s="324"/>
      <c r="BU637" s="14"/>
      <c r="BV637" s="14"/>
      <c r="BW637" s="14"/>
      <c r="BX637" s="14"/>
      <c r="BY637" s="14"/>
      <c r="BZ637" s="14"/>
      <c r="CA637" s="14"/>
      <c r="CB637" s="14"/>
      <c r="CC637" s="14"/>
      <c r="CD637" s="14"/>
      <c r="CE637" s="14"/>
      <c r="CF637" s="14"/>
      <c r="CG637" s="14"/>
      <c r="CH637" s="14"/>
      <c r="CI637" s="14"/>
      <c r="CJ637" s="2"/>
      <c r="CK637" s="2"/>
      <c r="CM637" s="1450">
        <v>0</v>
      </c>
      <c r="CN637" s="1450">
        <v>0</v>
      </c>
      <c r="CP637" s="923">
        <f t="shared" si="320"/>
        <v>0</v>
      </c>
      <c r="CZ637" s="330"/>
    </row>
    <row r="638" spans="1:104" ht="15" customHeight="1" x14ac:dyDescent="0.25">
      <c r="A638" s="684">
        <f>MAX($A$6:A637)+1</f>
        <v>638</v>
      </c>
      <c r="B638" s="3">
        <f t="shared" si="335"/>
        <v>5.0999999999999996</v>
      </c>
      <c r="C638" s="11" t="str">
        <f t="shared" si="325"/>
        <v>Consolidated property, plant and equipment 2025-26</v>
      </c>
      <c r="D638" s="11" t="str">
        <f t="shared" si="340"/>
        <v>Information Technology</v>
      </c>
      <c r="E638" s="13" t="s">
        <v>194</v>
      </c>
      <c r="F638" s="15"/>
      <c r="G638" s="26"/>
      <c r="H638" s="6"/>
      <c r="I638" s="6"/>
      <c r="J638" s="1257" t="s">
        <v>286</v>
      </c>
      <c r="K638" s="251">
        <f>SUMIF('alb Note 5.1 -PP&amp;E - CY'!$A:$A,$J638,'alb Note 5.1 -PP&amp;E - CY'!$G:$G)</f>
        <v>0</v>
      </c>
      <c r="L638" s="251">
        <f>SUMIF('alb Note 5.1 -PP&amp;E - CY'!$A:$A,$J638,'alb Note 5.1 -PP&amp;E - CY'!$R:$R)</f>
        <v>0</v>
      </c>
      <c r="M638" s="10"/>
      <c r="N638" s="273">
        <f>ROUND(SUM(O638:S638)+SUM(W638:AV638),0)</f>
        <v>0</v>
      </c>
      <c r="O638" s="12"/>
      <c r="P638" s="12"/>
      <c r="Q638" s="12"/>
      <c r="R638" s="12"/>
      <c r="S638" s="6">
        <f t="shared" si="352"/>
        <v>0</v>
      </c>
      <c r="T638" s="273">
        <f>ROUND(SUM(U638:Y638),0)</f>
        <v>0</v>
      </c>
      <c r="U638" s="6">
        <f>SUM(BL638:BN638)</f>
        <v>0</v>
      </c>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X638" s="6"/>
      <c r="AY638" s="6">
        <f>ROUND(AX638/1000/Update!$B$31*Update!$B$27,0)</f>
        <v>0</v>
      </c>
      <c r="BA638" s="6"/>
      <c r="BB638" s="6">
        <f>ROUND(BA638/1000/Update!$B$31,0)</f>
        <v>0</v>
      </c>
      <c r="BC638" s="6"/>
      <c r="BD638" s="29">
        <f t="shared" si="323"/>
        <v>0</v>
      </c>
      <c r="BE638" s="322"/>
      <c r="BF638" s="322"/>
      <c r="BG638" s="322"/>
      <c r="BH638" s="322"/>
      <c r="BI638" s="322"/>
      <c r="BJ638" s="322"/>
      <c r="BK638" s="29">
        <f t="shared" si="345"/>
        <v>0</v>
      </c>
      <c r="BL638" s="322"/>
      <c r="BM638" s="322"/>
      <c r="BN638" s="322"/>
      <c r="BO638" s="322"/>
      <c r="BP638" s="322"/>
      <c r="BQ638" s="322"/>
      <c r="BR638" s="322"/>
      <c r="BS638" s="322"/>
      <c r="BT638" s="322"/>
      <c r="BU638" s="322"/>
      <c r="BV638" s="322"/>
      <c r="BW638" s="322"/>
      <c r="BX638" s="322"/>
      <c r="BY638" s="322"/>
      <c r="BZ638" s="322"/>
      <c r="CA638" s="322"/>
      <c r="CB638" s="322"/>
      <c r="CC638" s="322"/>
      <c r="CD638" s="322"/>
      <c r="CE638" s="322"/>
      <c r="CF638" s="322"/>
      <c r="CG638" s="322"/>
      <c r="CH638" s="322"/>
      <c r="CI638" s="322"/>
      <c r="CM638" s="1139">
        <v>0</v>
      </c>
      <c r="CN638" s="1139">
        <v>0</v>
      </c>
      <c r="CP638" s="923">
        <f t="shared" si="320"/>
        <v>0</v>
      </c>
      <c r="CZ638" s="330"/>
    </row>
    <row r="639" spans="1:104" ht="15" customHeight="1" x14ac:dyDescent="0.25">
      <c r="A639" s="684">
        <f>MAX($A$6:A638)+1</f>
        <v>639</v>
      </c>
      <c r="B639" s="3">
        <f t="shared" si="335"/>
        <v>5.0999999999999996</v>
      </c>
      <c r="C639" s="11" t="str">
        <f t="shared" si="325"/>
        <v>Consolidated property, plant and equipment 2025-26</v>
      </c>
      <c r="D639" s="11" t="str">
        <f t="shared" si="340"/>
        <v>Information Technology</v>
      </c>
      <c r="E639" s="7" t="s">
        <v>197</v>
      </c>
      <c r="F639" s="15"/>
      <c r="G639" s="1254" t="s">
        <v>443</v>
      </c>
      <c r="H639" s="6">
        <v>0</v>
      </c>
      <c r="I639" s="6">
        <v>0</v>
      </c>
      <c r="J639" s="1257" t="s">
        <v>197</v>
      </c>
      <c r="K639" s="251">
        <f>SUMIF('alb Note 5.1 -PP&amp;E - CY'!$A:$A,$J639,'alb Note 5.1 -PP&amp;E - CY'!$G:$G)</f>
        <v>0</v>
      </c>
      <c r="L639" s="251">
        <f>SUMIF('alb Note 5.1 -PP&amp;E - CY'!$A:$A,$J639,'alb Note 5.1 -PP&amp;E - CY'!$R:$R)</f>
        <v>0</v>
      </c>
      <c r="M639" s="10"/>
      <c r="N639" s="273">
        <f>ROUND(SUM(O639:S639)+SUM(W639:AV639),0)</f>
        <v>0</v>
      </c>
      <c r="O639" s="12"/>
      <c r="P639" s="12"/>
      <c r="Q639" s="12"/>
      <c r="R639" s="12"/>
      <c r="S639" s="6">
        <f t="shared" si="352"/>
        <v>0</v>
      </c>
      <c r="T639" s="273">
        <f>ROUND(SUM(U639:Y639),0)</f>
        <v>0</v>
      </c>
      <c r="U639" s="6">
        <f>SUM(BL639:BN639)</f>
        <v>0</v>
      </c>
      <c r="V639" s="6"/>
      <c r="W639" s="6">
        <f>+H639</f>
        <v>0</v>
      </c>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X639" s="6"/>
      <c r="AY639" s="6">
        <f>ROUND(AX639/1000/Update!$B$31*Update!$B$27,0)</f>
        <v>0</v>
      </c>
      <c r="BA639" s="6"/>
      <c r="BB639" s="6">
        <f>ROUND(BA639/1000/Update!$B$31,0)</f>
        <v>0</v>
      </c>
      <c r="BC639" s="6"/>
      <c r="BD639" s="29">
        <f t="shared" si="323"/>
        <v>0</v>
      </c>
      <c r="BE639" s="322"/>
      <c r="BF639" s="322"/>
      <c r="BG639" s="322"/>
      <c r="BH639" s="322"/>
      <c r="BI639" s="322"/>
      <c r="BJ639" s="322"/>
      <c r="BK639" s="29">
        <f t="shared" si="345"/>
        <v>0</v>
      </c>
      <c r="BL639" s="322"/>
      <c r="BM639" s="322"/>
      <c r="BN639" s="322"/>
      <c r="BO639" s="322"/>
      <c r="BP639" s="322"/>
      <c r="BQ639" s="322"/>
      <c r="BR639" s="322"/>
      <c r="BS639" s="322"/>
      <c r="BT639" s="322"/>
      <c r="BU639" s="322"/>
      <c r="BV639" s="322"/>
      <c r="BW639" s="322"/>
      <c r="BX639" s="322"/>
      <c r="BY639" s="322"/>
      <c r="BZ639" s="322"/>
      <c r="CA639" s="322"/>
      <c r="CB639" s="322"/>
      <c r="CC639" s="322"/>
      <c r="CD639" s="322"/>
      <c r="CE639" s="322"/>
      <c r="CF639" s="322"/>
      <c r="CG639" s="322"/>
      <c r="CH639" s="322"/>
      <c r="CI639" s="322"/>
      <c r="CM639" s="1139">
        <v>0</v>
      </c>
      <c r="CN639" s="1139">
        <v>0</v>
      </c>
      <c r="CP639" s="923">
        <f t="shared" si="320"/>
        <v>0</v>
      </c>
      <c r="CZ639" s="330"/>
    </row>
    <row r="640" spans="1:104" ht="15" customHeight="1" x14ac:dyDescent="0.25">
      <c r="A640" s="684">
        <f>MAX($A$6:A639)+1</f>
        <v>640</v>
      </c>
      <c r="B640" s="3">
        <f t="shared" si="335"/>
        <v>5.0999999999999996</v>
      </c>
      <c r="C640" s="11" t="str">
        <f t="shared" si="325"/>
        <v>Consolidated property, plant and equipment 2025-26</v>
      </c>
      <c r="D640" s="11" t="str">
        <f t="shared" si="340"/>
        <v>Information Technology</v>
      </c>
      <c r="E640" s="7" t="s">
        <v>198</v>
      </c>
      <c r="F640" s="15"/>
      <c r="G640" s="1254" t="s">
        <v>444</v>
      </c>
      <c r="H640" s="6">
        <v>0</v>
      </c>
      <c r="I640" s="6">
        <v>0</v>
      </c>
      <c r="J640" s="1257" t="s">
        <v>198</v>
      </c>
      <c r="K640" s="251">
        <f>SUMIF('alb Note 5.1 -PP&amp;E - CY'!$A:$A,$J640,'alb Note 5.1 -PP&amp;E - CY'!$G:$G)</f>
        <v>0</v>
      </c>
      <c r="L640" s="251">
        <f>SUMIF('alb Note 5.1 -PP&amp;E - CY'!$A:$A,$J640,'alb Note 5.1 -PP&amp;E - CY'!$R:$R)</f>
        <v>0</v>
      </c>
      <c r="M640" s="10"/>
      <c r="N640" s="273">
        <f>ROUND(SUM(O640:S640)+SUM(W640:AV640),0)</f>
        <v>0</v>
      </c>
      <c r="O640" s="12"/>
      <c r="P640" s="12"/>
      <c r="Q640" s="12"/>
      <c r="R640" s="12"/>
      <c r="S640" s="6">
        <f t="shared" si="352"/>
        <v>0</v>
      </c>
      <c r="T640" s="273">
        <f>ROUND(SUM(U640:Y640),0)</f>
        <v>0</v>
      </c>
      <c r="U640" s="6">
        <f>SUM(BL640:BN640)</f>
        <v>0</v>
      </c>
      <c r="V640" s="6"/>
      <c r="W640" s="6">
        <f>+H640</f>
        <v>0</v>
      </c>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X640" s="6"/>
      <c r="AY640" s="6">
        <f>ROUND(AX640/1000/Update!$B$31*Update!$B$27,0)</f>
        <v>0</v>
      </c>
      <c r="BA640" s="6"/>
      <c r="BB640" s="6">
        <f>ROUND(BA640/1000/Update!$B$31,0)</f>
        <v>0</v>
      </c>
      <c r="BC640" s="6"/>
      <c r="BD640" s="29">
        <f t="shared" si="323"/>
        <v>0</v>
      </c>
      <c r="BE640" s="322"/>
      <c r="BF640" s="322"/>
      <c r="BG640" s="322"/>
      <c r="BH640" s="322"/>
      <c r="BI640" s="322"/>
      <c r="BJ640" s="322"/>
      <c r="BK640" s="29">
        <f t="shared" si="345"/>
        <v>0</v>
      </c>
      <c r="BL640" s="322"/>
      <c r="BM640" s="322"/>
      <c r="BN640" s="322"/>
      <c r="BO640" s="322"/>
      <c r="BP640" s="322"/>
      <c r="BQ640" s="322"/>
      <c r="BR640" s="322"/>
      <c r="BS640" s="322"/>
      <c r="BT640" s="322"/>
      <c r="BU640" s="322"/>
      <c r="BV640" s="322"/>
      <c r="BW640" s="322"/>
      <c r="BX640" s="322"/>
      <c r="BY640" s="322"/>
      <c r="BZ640" s="322"/>
      <c r="CA640" s="322"/>
      <c r="CB640" s="322"/>
      <c r="CC640" s="322"/>
      <c r="CD640" s="322"/>
      <c r="CE640" s="322"/>
      <c r="CF640" s="322"/>
      <c r="CG640" s="322"/>
      <c r="CH640" s="322"/>
      <c r="CI640" s="322"/>
      <c r="CM640" s="1139">
        <v>0</v>
      </c>
      <c r="CN640" s="1139">
        <v>0</v>
      </c>
      <c r="CP640" s="923">
        <f t="shared" si="320"/>
        <v>0</v>
      </c>
      <c r="CZ640" s="330"/>
    </row>
    <row r="641" spans="1:104" ht="45" customHeight="1" x14ac:dyDescent="0.25">
      <c r="A641" s="684">
        <f>MAX($A$6:A640)+1</f>
        <v>641</v>
      </c>
      <c r="B641" s="3">
        <f t="shared" si="335"/>
        <v>5.0999999999999996</v>
      </c>
      <c r="C641" s="11" t="str">
        <f t="shared" si="325"/>
        <v>Consolidated property, plant and equipment 2025-26</v>
      </c>
      <c r="D641" s="11" t="str">
        <f t="shared" si="340"/>
        <v>Information Technology</v>
      </c>
      <c r="E641" s="7" t="s">
        <v>199</v>
      </c>
      <c r="F641" s="15"/>
      <c r="G641" s="1254" t="s">
        <v>199</v>
      </c>
      <c r="H641" s="6">
        <v>0</v>
      </c>
      <c r="I641" s="6">
        <v>0</v>
      </c>
      <c r="J641" s="1257" t="s">
        <v>769</v>
      </c>
      <c r="K641" s="251">
        <f>SUMIF('alb Note 5.1 -PP&amp;E - CY'!$A:$A,$J641,'alb Note 5.1 -PP&amp;E - CY'!$G:$G)</f>
        <v>0</v>
      </c>
      <c r="L641" s="251">
        <f>SUMIF('alb Note 5.1 -PP&amp;E - CY'!$A:$A,$J641,'alb Note 5.1 -PP&amp;E - CY'!$R:$R)</f>
        <v>0</v>
      </c>
      <c r="M641" s="10"/>
      <c r="N641" s="273">
        <f>ROUND(SUM(O641:S641)+SUM(W641:AV641),0)</f>
        <v>0</v>
      </c>
      <c r="O641" s="12"/>
      <c r="P641" s="12"/>
      <c r="Q641" s="12"/>
      <c r="R641" s="12"/>
      <c r="S641" s="6">
        <f t="shared" si="352"/>
        <v>0</v>
      </c>
      <c r="T641" s="273">
        <f>ROUND(SUM(U641:Y641),0)</f>
        <v>0</v>
      </c>
      <c r="U641" s="6">
        <f>SUM(BL641:BN641)</f>
        <v>0</v>
      </c>
      <c r="V641" s="6"/>
      <c r="W641" s="6">
        <f>+H641</f>
        <v>0</v>
      </c>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X641" s="6"/>
      <c r="AY641" s="6">
        <f>ROUND(AX641/1000/Update!$B$31*Update!$B$27,0)</f>
        <v>0</v>
      </c>
      <c r="BA641" s="6"/>
      <c r="BB641" s="6">
        <f>ROUND(BA641/1000/Update!$B$31,0)</f>
        <v>0</v>
      </c>
      <c r="BC641" s="6"/>
      <c r="BD641" s="29">
        <f t="shared" si="323"/>
        <v>0</v>
      </c>
      <c r="BE641" s="322"/>
      <c r="BF641" s="322"/>
      <c r="BG641" s="322"/>
      <c r="BH641" s="322"/>
      <c r="BI641" s="322"/>
      <c r="BJ641" s="322"/>
      <c r="BK641" s="29">
        <f t="shared" si="345"/>
        <v>0</v>
      </c>
      <c r="BL641" s="322"/>
      <c r="BM641" s="322"/>
      <c r="BN641" s="322"/>
      <c r="BO641" s="322"/>
      <c r="BP641" s="322"/>
      <c r="BQ641" s="322"/>
      <c r="BR641" s="322"/>
      <c r="BS641" s="322"/>
      <c r="BT641" s="322"/>
      <c r="BU641" s="322"/>
      <c r="BV641" s="322"/>
      <c r="BW641" s="322"/>
      <c r="BX641" s="322"/>
      <c r="BY641" s="322"/>
      <c r="BZ641" s="322"/>
      <c r="CA641" s="322"/>
      <c r="CB641" s="322"/>
      <c r="CC641" s="322"/>
      <c r="CD641" s="322"/>
      <c r="CE641" s="322"/>
      <c r="CF641" s="322"/>
      <c r="CG641" s="322"/>
      <c r="CH641" s="322"/>
      <c r="CI641" s="322"/>
      <c r="CM641" s="1139">
        <v>0</v>
      </c>
      <c r="CN641" s="1139">
        <v>0</v>
      </c>
      <c r="CP641" s="923">
        <f t="shared" si="320"/>
        <v>0</v>
      </c>
      <c r="CZ641" s="330"/>
    </row>
    <row r="642" spans="1:104" ht="15" customHeight="1" x14ac:dyDescent="0.25">
      <c r="A642" s="684">
        <f>MAX($A$6:A641)+1</f>
        <v>642</v>
      </c>
      <c r="B642" s="3">
        <f t="shared" si="335"/>
        <v>5.0999999999999996</v>
      </c>
      <c r="C642" s="11" t="str">
        <f t="shared" si="325"/>
        <v>Consolidated property, plant and equipment 2025-26</v>
      </c>
      <c r="D642" s="11" t="str">
        <f t="shared" si="340"/>
        <v>Information Technology</v>
      </c>
      <c r="E642" s="7" t="s">
        <v>1695</v>
      </c>
      <c r="F642" s="15"/>
      <c r="G642" s="1254" t="s">
        <v>1695</v>
      </c>
      <c r="H642" s="6">
        <v>0</v>
      </c>
      <c r="I642" s="6">
        <v>0</v>
      </c>
      <c r="J642" s="1254" t="s">
        <v>1695</v>
      </c>
      <c r="K642" s="251">
        <f>SUMIF('alb Note 5.1 -PP&amp;E - CY'!$A:$A,$J642,'alb Note 5.1 -PP&amp;E - CY'!$G:$G)</f>
        <v>0</v>
      </c>
      <c r="L642" s="251">
        <f>SUMIF('alb Note 5.1 -PP&amp;E - CY'!$A:$A,$J642,'alb Note 5.1 -PP&amp;E - CY'!$R:$R)</f>
        <v>0</v>
      </c>
      <c r="M642" s="10"/>
      <c r="N642" s="273">
        <f>ROUND(SUM(O642:S642)+SUM(W642:AV642),0)</f>
        <v>0</v>
      </c>
      <c r="O642" s="12"/>
      <c r="P642" s="12"/>
      <c r="Q642" s="12"/>
      <c r="R642" s="12"/>
      <c r="S642" s="6"/>
      <c r="T642" s="273">
        <f>ROUND(SUM(U642:Y642),0)</f>
        <v>0</v>
      </c>
      <c r="U642" s="6">
        <f>SUM(BL642:BN642)</f>
        <v>0</v>
      </c>
      <c r="V642" s="6"/>
      <c r="W642" s="6">
        <f>+H642</f>
        <v>0</v>
      </c>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X642" s="6"/>
      <c r="AY642" s="6"/>
      <c r="BA642" s="6"/>
      <c r="BB642" s="6"/>
      <c r="BC642" s="6"/>
      <c r="BD642" s="29">
        <f t="shared" si="323"/>
        <v>0</v>
      </c>
      <c r="BE642" s="322"/>
      <c r="BF642" s="322"/>
      <c r="BG642" s="322"/>
      <c r="BH642" s="322"/>
      <c r="BI642" s="322"/>
      <c r="BJ642" s="322"/>
      <c r="BK642" s="29">
        <f t="shared" si="345"/>
        <v>0</v>
      </c>
      <c r="BL642" s="322"/>
      <c r="BM642" s="322"/>
      <c r="BN642" s="322"/>
      <c r="BO642" s="322"/>
      <c r="BP642" s="322"/>
      <c r="BQ642" s="322"/>
      <c r="BR642" s="322"/>
      <c r="BS642" s="322"/>
      <c r="BT642" s="322"/>
      <c r="BU642" s="322"/>
      <c r="BV642" s="322"/>
      <c r="BW642" s="322"/>
      <c r="BX642" s="322"/>
      <c r="BY642" s="322"/>
      <c r="BZ642" s="322"/>
      <c r="CA642" s="322"/>
      <c r="CB642" s="322"/>
      <c r="CC642" s="322"/>
      <c r="CD642" s="322"/>
      <c r="CE642" s="322"/>
      <c r="CF642" s="322"/>
      <c r="CG642" s="322"/>
      <c r="CH642" s="322"/>
      <c r="CI642" s="322"/>
      <c r="CM642" s="1139">
        <v>0</v>
      </c>
      <c r="CN642" s="1139">
        <v>0</v>
      </c>
      <c r="CP642" s="923">
        <f t="shared" si="320"/>
        <v>0</v>
      </c>
      <c r="CZ642" s="330"/>
    </row>
    <row r="643" spans="1:104" ht="15" customHeight="1" x14ac:dyDescent="0.25">
      <c r="A643" s="701">
        <f>MAX($A$6:A642)+1</f>
        <v>643</v>
      </c>
      <c r="B643" s="1291">
        <f t="shared" si="335"/>
        <v>5.0999999999999996</v>
      </c>
      <c r="C643" s="18" t="str">
        <f t="shared" si="325"/>
        <v>Consolidated property, plant and equipment 2025-26</v>
      </c>
      <c r="D643" s="18" t="str">
        <f t="shared" si="340"/>
        <v>Information Technology</v>
      </c>
      <c r="E643" s="19" t="str">
        <f>"Carrying amount "&amp;Update!$B$22</f>
        <v>Carrying amount  31 March 2026</v>
      </c>
      <c r="F643" s="20"/>
      <c r="G643" s="28"/>
      <c r="H643" s="14">
        <f>SUM(H638:H642)</f>
        <v>0</v>
      </c>
      <c r="I643" s="14">
        <f>SUM(I638:I642)</f>
        <v>0</v>
      </c>
      <c r="J643" s="1258" t="s">
        <v>2493</v>
      </c>
      <c r="K643" s="14">
        <f>SUM(K638:K642)</f>
        <v>0</v>
      </c>
      <c r="L643" s="14">
        <f>SUM(L638:L642)</f>
        <v>0</v>
      </c>
      <c r="M643" s="21"/>
      <c r="N643" s="14">
        <f>ROUND(SUM(O643:S643)+T643+SUM(Z643:AV643),0)</f>
        <v>0</v>
      </c>
      <c r="O643" s="14">
        <f t="shared" ref="O643:W643" si="359">SUM(O638:O642)</f>
        <v>0</v>
      </c>
      <c r="P643" s="14">
        <f t="shared" si="359"/>
        <v>0</v>
      </c>
      <c r="Q643" s="14">
        <f t="shared" si="359"/>
        <v>0</v>
      </c>
      <c r="R643" s="14">
        <f t="shared" si="359"/>
        <v>0</v>
      </c>
      <c r="S643" s="14">
        <f t="shared" si="359"/>
        <v>0</v>
      </c>
      <c r="T643" s="14">
        <f t="shared" si="359"/>
        <v>0</v>
      </c>
      <c r="U643" s="14">
        <f t="shared" si="359"/>
        <v>0</v>
      </c>
      <c r="V643" s="14">
        <f t="shared" si="359"/>
        <v>0</v>
      </c>
      <c r="W643" s="14">
        <f t="shared" si="359"/>
        <v>0</v>
      </c>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2"/>
      <c r="AX643" s="14">
        <f>SUM(AX638:AX641)</f>
        <v>0</v>
      </c>
      <c r="AY643" s="14">
        <f>ROUND(AX643/1000/Update!$B$31*Update!$B$27,0)</f>
        <v>0</v>
      </c>
      <c r="AZ643" s="2"/>
      <c r="BA643" s="14">
        <f>SUM(BA638:BA641)</f>
        <v>0</v>
      </c>
      <c r="BB643" s="14">
        <f>ROUND(BA643/1000/Update!$B$31,0)</f>
        <v>0</v>
      </c>
      <c r="BC643" s="14"/>
      <c r="BD643" s="14">
        <f t="shared" si="323"/>
        <v>0</v>
      </c>
      <c r="BE643" s="14">
        <f t="shared" ref="BE643:BJ643" si="360">SUM(BE638:BE641)</f>
        <v>0</v>
      </c>
      <c r="BF643" s="14">
        <f t="shared" si="360"/>
        <v>0</v>
      </c>
      <c r="BG643" s="14">
        <f t="shared" si="360"/>
        <v>0</v>
      </c>
      <c r="BH643" s="14">
        <f t="shared" si="360"/>
        <v>0</v>
      </c>
      <c r="BI643" s="14">
        <f t="shared" si="360"/>
        <v>0</v>
      </c>
      <c r="BJ643" s="14">
        <f t="shared" si="360"/>
        <v>0</v>
      </c>
      <c r="BK643" s="14">
        <f t="shared" si="345"/>
        <v>0</v>
      </c>
      <c r="BL643" s="14"/>
      <c r="BM643" s="14"/>
      <c r="BN643" s="14"/>
      <c r="BO643" s="14"/>
      <c r="BP643" s="14"/>
      <c r="BQ643" s="14"/>
      <c r="BR643" s="14"/>
      <c r="BS643" s="14"/>
      <c r="BT643" s="324"/>
      <c r="BU643" s="14"/>
      <c r="BV643" s="14"/>
      <c r="BW643" s="14"/>
      <c r="BX643" s="14"/>
      <c r="BY643" s="14"/>
      <c r="BZ643" s="14"/>
      <c r="CA643" s="14"/>
      <c r="CB643" s="14"/>
      <c r="CC643" s="14"/>
      <c r="CD643" s="14"/>
      <c r="CE643" s="14"/>
      <c r="CF643" s="14"/>
      <c r="CG643" s="14"/>
      <c r="CH643" s="14"/>
      <c r="CI643" s="14"/>
      <c r="CJ643" s="2"/>
      <c r="CK643" s="2"/>
      <c r="CM643" s="1450">
        <v>0</v>
      </c>
      <c r="CN643" s="1450">
        <v>0</v>
      </c>
      <c r="CP643" s="923">
        <f t="shared" si="320"/>
        <v>0</v>
      </c>
      <c r="CZ643" s="330"/>
    </row>
    <row r="644" spans="1:104" ht="15" customHeight="1" x14ac:dyDescent="0.25">
      <c r="A644" s="684">
        <f>MAX($A$6:A643)+1</f>
        <v>644</v>
      </c>
      <c r="B644" s="3">
        <f t="shared" si="335"/>
        <v>5.0999999999999996</v>
      </c>
      <c r="C644" s="11" t="str">
        <f t="shared" si="325"/>
        <v>Consolidated property, plant and equipment 2025-26</v>
      </c>
      <c r="D644" s="11"/>
      <c r="E644" s="7"/>
      <c r="F644" s="15"/>
      <c r="G644" s="26"/>
      <c r="H644" s="6"/>
      <c r="I644" s="6"/>
      <c r="J644" s="1257" t="s">
        <v>286</v>
      </c>
      <c r="K644" s="251">
        <f>SUMIF('alb Note 5.1 -PP&amp;E - CY'!$A:$A,$J644,'alb Note 5.1 -PP&amp;E - CY'!$E:$E)</f>
        <v>0</v>
      </c>
      <c r="L644" s="251">
        <f>SUMIF('alb Note 5.1 -PP&amp;E - CY'!$A:$A,$J644,'alb Note 5.1 -PP&amp;E - CY'!$P:$P)</f>
        <v>0</v>
      </c>
      <c r="M644" s="10"/>
      <c r="N644" s="273">
        <f>ROUND(SUM(O644:S644)+SUM(W644:AV644),0)</f>
        <v>0</v>
      </c>
      <c r="O644" s="12"/>
      <c r="P644" s="12"/>
      <c r="Q644" s="12"/>
      <c r="R644" s="12"/>
      <c r="S644" s="6">
        <f t="shared" si="352"/>
        <v>0</v>
      </c>
      <c r="T644" s="273">
        <f>ROUND(SUM(U644:Y644),0)</f>
        <v>0</v>
      </c>
      <c r="U644" s="6">
        <f>SUM(BL644:BN644)</f>
        <v>0</v>
      </c>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X644" s="6"/>
      <c r="AY644" s="6">
        <f>ROUND(AX644/1000/Update!$B$31*Update!$B$27,0)</f>
        <v>0</v>
      </c>
      <c r="BA644" s="6"/>
      <c r="BB644" s="6">
        <f>ROUND(BA644/1000/Update!$B$31,0)</f>
        <v>0</v>
      </c>
      <c r="BC644" s="6"/>
      <c r="BD644" s="29">
        <f t="shared" si="323"/>
        <v>0</v>
      </c>
      <c r="BE644" s="322"/>
      <c r="BF644" s="322"/>
      <c r="BG644" s="322"/>
      <c r="BH644" s="322"/>
      <c r="BI644" s="322"/>
      <c r="BJ644" s="322"/>
      <c r="BK644" s="29">
        <f t="shared" si="345"/>
        <v>0</v>
      </c>
      <c r="BL644" s="322"/>
      <c r="BM644" s="322"/>
      <c r="BN644" s="322"/>
      <c r="BO644" s="322"/>
      <c r="BP644" s="322"/>
      <c r="BQ644" s="322"/>
      <c r="BR644" s="322"/>
      <c r="BS644" s="322"/>
      <c r="BT644" s="322"/>
      <c r="BU644" s="322"/>
      <c r="BV644" s="322"/>
      <c r="BW644" s="322"/>
      <c r="BX644" s="322"/>
      <c r="BY644" s="322"/>
      <c r="BZ644" s="322"/>
      <c r="CA644" s="322"/>
      <c r="CB644" s="322"/>
      <c r="CC644" s="322"/>
      <c r="CD644" s="322"/>
      <c r="CE644" s="322"/>
      <c r="CF644" s="322"/>
      <c r="CG644" s="322"/>
      <c r="CH644" s="322"/>
      <c r="CI644" s="322"/>
      <c r="CM644" s="1139">
        <v>0</v>
      </c>
      <c r="CN644" s="1139">
        <v>0</v>
      </c>
      <c r="CP644" s="923">
        <f t="shared" si="320"/>
        <v>0</v>
      </c>
      <c r="CZ644" s="330"/>
    </row>
    <row r="645" spans="1:104" ht="18.75" customHeight="1" x14ac:dyDescent="0.25">
      <c r="A645" s="684">
        <f>MAX($A$6:A644)+1</f>
        <v>645</v>
      </c>
      <c r="B645" s="3">
        <f t="shared" si="335"/>
        <v>5.0999999999999996</v>
      </c>
      <c r="C645" s="11" t="str">
        <f t="shared" si="325"/>
        <v>Consolidated property, plant and equipment 2025-26</v>
      </c>
      <c r="D645" s="11" t="s">
        <v>202</v>
      </c>
      <c r="E645" s="277" t="s">
        <v>183</v>
      </c>
      <c r="F645" s="15"/>
      <c r="G645" s="26"/>
      <c r="H645" s="6"/>
      <c r="I645" s="6"/>
      <c r="J645" s="1257" t="s">
        <v>286</v>
      </c>
      <c r="K645" s="251">
        <f>SUMIF('alb Note 5.1 -PP&amp;E - CY'!$A:$A,$J645,'alb Note 5.1 -PP&amp;E - CY'!$E:$E)</f>
        <v>0</v>
      </c>
      <c r="L645" s="251">
        <f>SUMIF('alb Note 5.1 -PP&amp;E - CY'!$A:$A,$J645,'alb Note 5.1 -PP&amp;E - CY'!$P:$P)</f>
        <v>0</v>
      </c>
      <c r="M645" s="10"/>
      <c r="N645" s="273">
        <f>ROUND(SUM(O645:S645)+SUM(W645:AV645),0)</f>
        <v>0</v>
      </c>
      <c r="O645" s="12"/>
      <c r="P645" s="12"/>
      <c r="Q645" s="12"/>
      <c r="R645" s="12"/>
      <c r="S645" s="6">
        <f t="shared" si="352"/>
        <v>0</v>
      </c>
      <c r="T645" s="273">
        <f>ROUND(SUM(U645:Y645),0)</f>
        <v>0</v>
      </c>
      <c r="U645" s="6">
        <f>SUM(BL645:BN645)</f>
        <v>0</v>
      </c>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X645" s="6"/>
      <c r="AY645" s="6">
        <f>ROUND(AX645/1000/Update!$B$31*Update!$B$27,0)</f>
        <v>0</v>
      </c>
      <c r="BA645" s="6"/>
      <c r="BB645" s="6">
        <f>ROUND(BA645/1000/Update!$B$31,0)</f>
        <v>0</v>
      </c>
      <c r="BC645" s="6"/>
      <c r="BD645" s="29">
        <f t="shared" si="323"/>
        <v>0</v>
      </c>
      <c r="BE645" s="322"/>
      <c r="BF645" s="322"/>
      <c r="BG645" s="322"/>
      <c r="BH645" s="322"/>
      <c r="BI645" s="322"/>
      <c r="BJ645" s="322"/>
      <c r="BK645" s="29">
        <f t="shared" si="345"/>
        <v>0</v>
      </c>
      <c r="BL645" s="322"/>
      <c r="BM645" s="322"/>
      <c r="BN645" s="322"/>
      <c r="BO645" s="322"/>
      <c r="BP645" s="322"/>
      <c r="BQ645" s="322"/>
      <c r="BR645" s="322"/>
      <c r="BS645" s="322"/>
      <c r="BT645" s="322"/>
      <c r="BU645" s="322"/>
      <c r="BV645" s="322"/>
      <c r="BW645" s="322"/>
      <c r="BX645" s="322"/>
      <c r="BY645" s="322"/>
      <c r="BZ645" s="322"/>
      <c r="CA645" s="322"/>
      <c r="CB645" s="322"/>
      <c r="CC645" s="322"/>
      <c r="CD645" s="322"/>
      <c r="CE645" s="322"/>
      <c r="CF645" s="322"/>
      <c r="CG645" s="322"/>
      <c r="CH645" s="322"/>
      <c r="CI645" s="322"/>
      <c r="CM645" s="1139">
        <v>0</v>
      </c>
      <c r="CN645" s="1139">
        <v>0</v>
      </c>
      <c r="CP645" s="923">
        <f t="shared" si="320"/>
        <v>0</v>
      </c>
      <c r="CZ645" s="330"/>
    </row>
    <row r="646" spans="1:104" ht="15" customHeight="1" x14ac:dyDescent="0.25">
      <c r="A646" s="684">
        <f>MAX($A$6:A645)+1</f>
        <v>646</v>
      </c>
      <c r="B646" s="3">
        <f t="shared" si="335"/>
        <v>5.0999999999999996</v>
      </c>
      <c r="C646" s="11" t="str">
        <f t="shared" si="325"/>
        <v>Consolidated property, plant and equipment 2025-26</v>
      </c>
      <c r="D646" s="11" t="s">
        <v>202</v>
      </c>
      <c r="E646" s="7" t="str">
        <f>"At"&amp;Update!$B$20</f>
        <v>At 1 April 2025</v>
      </c>
      <c r="F646" s="15"/>
      <c r="G646" s="1267" t="str">
        <f>"At"&amp;Update!$B$20</f>
        <v>At 1 April 2025</v>
      </c>
      <c r="H646" s="6">
        <v>18930</v>
      </c>
      <c r="I646" s="6">
        <v>0</v>
      </c>
      <c r="J646" s="1257" t="str">
        <f>$E646</f>
        <v>At 1 April 2025</v>
      </c>
      <c r="K646" s="251">
        <f>SUMIF('alb Note 5.1 -PP&amp;E - CY'!$A:$A,$J646,'alb Note 5.1 -PP&amp;E - CY'!$E:$E)</f>
        <v>0</v>
      </c>
      <c r="L646" s="251">
        <f>SUMIF('alb Note 5.1 -PP&amp;E - CY'!$A:$A,$J646,'alb Note 5.1 -PP&amp;E - CY'!$P:$P)</f>
        <v>0</v>
      </c>
      <c r="M646" s="10"/>
      <c r="N646" s="273">
        <f>ROUND(SUM(O646:S646)+SUM(W646:AV646),0)</f>
        <v>18930</v>
      </c>
      <c r="O646" s="12"/>
      <c r="P646" s="12"/>
      <c r="Q646" s="12"/>
      <c r="R646" s="12"/>
      <c r="S646" s="6">
        <f t="shared" si="352"/>
        <v>0</v>
      </c>
      <c r="T646" s="273">
        <f>ROUND(SUM(U646:Y646),0)</f>
        <v>18930</v>
      </c>
      <c r="U646" s="6">
        <f>SUM(BL646:BN646)</f>
        <v>0</v>
      </c>
      <c r="V646" s="6"/>
      <c r="W646" s="6">
        <f t="shared" ref="W646:W658" si="361">+H646</f>
        <v>18930</v>
      </c>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X646" s="6"/>
      <c r="AY646" s="6">
        <f>ROUND(AX646/1000/Update!$B$31*Update!$B$27,0)</f>
        <v>0</v>
      </c>
      <c r="BA646" s="6"/>
      <c r="BB646" s="6">
        <f>ROUND(BA646/1000/Update!$B$31,0)</f>
        <v>0</v>
      </c>
      <c r="BC646" s="6"/>
      <c r="BD646" s="29">
        <f t="shared" si="323"/>
        <v>0</v>
      </c>
      <c r="BE646" s="322"/>
      <c r="BF646" s="322"/>
      <c r="BG646" s="322"/>
      <c r="BH646" s="322"/>
      <c r="BI646" s="322"/>
      <c r="BJ646" s="322"/>
      <c r="BK646" s="29">
        <f t="shared" si="345"/>
        <v>0</v>
      </c>
      <c r="BL646" s="322"/>
      <c r="BM646" s="322"/>
      <c r="BN646" s="322"/>
      <c r="BO646" s="322"/>
      <c r="BP646" s="322"/>
      <c r="BQ646" s="322"/>
      <c r="BR646" s="322"/>
      <c r="BS646" s="322"/>
      <c r="BT646" s="322"/>
      <c r="BU646" s="322"/>
      <c r="BV646" s="322"/>
      <c r="BW646" s="322"/>
      <c r="BX646" s="322"/>
      <c r="BY646" s="322"/>
      <c r="BZ646" s="322"/>
      <c r="CA646" s="322"/>
      <c r="CB646" s="322"/>
      <c r="CC646" s="322"/>
      <c r="CD646" s="322"/>
      <c r="CE646" s="322"/>
      <c r="CF646" s="322"/>
      <c r="CG646" s="322"/>
      <c r="CH646" s="322"/>
      <c r="CI646" s="322"/>
      <c r="CM646" s="1139">
        <v>0</v>
      </c>
      <c r="CN646" s="1139">
        <v>0</v>
      </c>
      <c r="CP646" s="923">
        <f t="shared" si="320"/>
        <v>0</v>
      </c>
      <c r="CZ646" s="330"/>
    </row>
    <row r="647" spans="1:104" ht="15" customHeight="1" x14ac:dyDescent="0.25">
      <c r="A647" s="684">
        <f>MAX($A$6:A646)+1</f>
        <v>647</v>
      </c>
      <c r="B647" s="3">
        <f t="shared" si="335"/>
        <v>5.0999999999999996</v>
      </c>
      <c r="C647" s="11" t="str">
        <f t="shared" si="325"/>
        <v>Consolidated property, plant and equipment 2025-26</v>
      </c>
      <c r="D647" s="11" t="s">
        <v>202</v>
      </c>
      <c r="E647" s="7" t="s">
        <v>435</v>
      </c>
      <c r="F647" s="15"/>
      <c r="G647" s="1254" t="s">
        <v>435</v>
      </c>
      <c r="H647" s="6">
        <v>0</v>
      </c>
      <c r="I647" s="6">
        <v>0</v>
      </c>
      <c r="J647" s="1257" t="s">
        <v>184</v>
      </c>
      <c r="K647" s="251">
        <f>SUMIF('alb Note 5.1 -PP&amp;E - CY'!$A:$A,$J647,'alb Note 5.1 -PP&amp;E - CY'!$E:$E)</f>
        <v>0</v>
      </c>
      <c r="L647" s="251">
        <f>SUMIF('alb Note 5.1 -PP&amp;E - CY'!$A:$A,$J647,'alb Note 5.1 -PP&amp;E - CY'!$P:$P)</f>
        <v>0</v>
      </c>
      <c r="M647" s="10"/>
      <c r="N647" s="273">
        <f>ROUND(SUM(O647:S647)+SUM(W647:AV647),0)</f>
        <v>0</v>
      </c>
      <c r="O647" s="12"/>
      <c r="P647" s="12"/>
      <c r="Q647" s="12"/>
      <c r="R647" s="12"/>
      <c r="S647" s="6">
        <f t="shared" si="352"/>
        <v>0</v>
      </c>
      <c r="T647" s="273">
        <f>ROUND(SUM(U647:Y647),0)</f>
        <v>0</v>
      </c>
      <c r="U647" s="6">
        <f>SUM(BL647:BN647)</f>
        <v>0</v>
      </c>
      <c r="V647" s="6"/>
      <c r="W647" s="6">
        <f t="shared" si="361"/>
        <v>0</v>
      </c>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X647" s="6"/>
      <c r="AY647" s="6">
        <f>ROUND(AX647/1000/Update!$B$31*Update!$B$27,0)</f>
        <v>0</v>
      </c>
      <c r="BA647" s="6"/>
      <c r="BB647" s="6">
        <f>ROUND(BA647/1000/Update!$B$31,0)</f>
        <v>0</v>
      </c>
      <c r="BC647" s="6"/>
      <c r="BD647" s="29">
        <f t="shared" si="323"/>
        <v>0</v>
      </c>
      <c r="BE647" s="322"/>
      <c r="BF647" s="322"/>
      <c r="BG647" s="322"/>
      <c r="BH647" s="322"/>
      <c r="BI647" s="322"/>
      <c r="BJ647" s="322"/>
      <c r="BK647" s="29">
        <f t="shared" si="345"/>
        <v>0</v>
      </c>
      <c r="BL647" s="322"/>
      <c r="BM647" s="322"/>
      <c r="BN647" s="322"/>
      <c r="BO647" s="322"/>
      <c r="BP647" s="322"/>
      <c r="BQ647" s="322"/>
      <c r="BR647" s="322"/>
      <c r="BS647" s="322"/>
      <c r="BT647" s="322"/>
      <c r="BU647" s="322"/>
      <c r="BV647" s="322"/>
      <c r="BW647" s="322"/>
      <c r="BX647" s="322"/>
      <c r="BY647" s="322"/>
      <c r="BZ647" s="322"/>
      <c r="CA647" s="322"/>
      <c r="CB647" s="322"/>
      <c r="CC647" s="322"/>
      <c r="CD647" s="322"/>
      <c r="CE647" s="322"/>
      <c r="CF647" s="322"/>
      <c r="CG647" s="322"/>
      <c r="CH647" s="322"/>
      <c r="CI647" s="322"/>
      <c r="CM647" s="1139">
        <v>0</v>
      </c>
      <c r="CN647" s="1139">
        <v>0</v>
      </c>
      <c r="CP647" s="923">
        <f t="shared" si="320"/>
        <v>0</v>
      </c>
      <c r="CZ647" s="330"/>
    </row>
    <row r="648" spans="1:104" ht="15" customHeight="1" x14ac:dyDescent="0.25">
      <c r="A648" s="701">
        <f>MAX($A$6:A647)+1</f>
        <v>648</v>
      </c>
      <c r="B648" s="1291">
        <f t="shared" si="335"/>
        <v>5.0999999999999996</v>
      </c>
      <c r="C648" s="18" t="str">
        <f t="shared" si="325"/>
        <v>Consolidated property, plant and equipment 2025-26</v>
      </c>
      <c r="D648" s="18" t="s">
        <v>202</v>
      </c>
      <c r="E648" s="19" t="s">
        <v>869</v>
      </c>
      <c r="F648" s="20"/>
      <c r="G648" s="1278" t="s">
        <v>436</v>
      </c>
      <c r="H648" s="14">
        <f>SUM(H644:H647)</f>
        <v>18930</v>
      </c>
      <c r="I648" s="14">
        <f>SUM(I644:I647)</f>
        <v>0</v>
      </c>
      <c r="J648" s="1258" t="s">
        <v>869</v>
      </c>
      <c r="K648" s="256">
        <f>SUM(K644:K647)</f>
        <v>0</v>
      </c>
      <c r="L648" s="256">
        <f>SUM(L644:L647)</f>
        <v>0</v>
      </c>
      <c r="M648" s="21"/>
      <c r="N648" s="14">
        <f>ROUND(SUM(O648:S648)+T648+SUM(Z648:AV648),0)</f>
        <v>18930</v>
      </c>
      <c r="O648" s="14">
        <f t="shared" ref="O648:V648" si="362">SUM(O644:O647)</f>
        <v>0</v>
      </c>
      <c r="P648" s="14">
        <f t="shared" si="362"/>
        <v>0</v>
      </c>
      <c r="Q648" s="14">
        <f t="shared" si="362"/>
        <v>0</v>
      </c>
      <c r="R648" s="14">
        <f t="shared" si="362"/>
        <v>0</v>
      </c>
      <c r="S648" s="14">
        <f t="shared" si="352"/>
        <v>0</v>
      </c>
      <c r="T648" s="14">
        <f t="shared" si="362"/>
        <v>18930</v>
      </c>
      <c r="U648" s="14">
        <f>SUM(U644:U647)</f>
        <v>0</v>
      </c>
      <c r="V648" s="14">
        <f t="shared" si="362"/>
        <v>0</v>
      </c>
      <c r="W648" s="14">
        <f>SUM(W644:W647)</f>
        <v>18930</v>
      </c>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2"/>
      <c r="AX648" s="14">
        <f>SUM(AX644:AX647)</f>
        <v>0</v>
      </c>
      <c r="AY648" s="14">
        <f>ROUND(AX648/1000/Update!$B$31*Update!$B$27,0)</f>
        <v>0</v>
      </c>
      <c r="AZ648" s="2"/>
      <c r="BA648" s="14">
        <f>SUM(BA644:BA647)</f>
        <v>0</v>
      </c>
      <c r="BB648" s="14">
        <f>ROUND(BA648/1000/Update!$B$31,0)</f>
        <v>0</v>
      </c>
      <c r="BC648" s="14"/>
      <c r="BD648" s="14">
        <f t="shared" si="323"/>
        <v>0</v>
      </c>
      <c r="BE648" s="14">
        <f t="shared" ref="BE648:BJ648" si="363">SUM(BE644:BE647)</f>
        <v>0</v>
      </c>
      <c r="BF648" s="14">
        <f t="shared" si="363"/>
        <v>0</v>
      </c>
      <c r="BG648" s="14">
        <f t="shared" si="363"/>
        <v>0</v>
      </c>
      <c r="BH648" s="14">
        <f t="shared" si="363"/>
        <v>0</v>
      </c>
      <c r="BI648" s="14">
        <f t="shared" si="363"/>
        <v>0</v>
      </c>
      <c r="BJ648" s="14">
        <f t="shared" si="363"/>
        <v>0</v>
      </c>
      <c r="BK648" s="14">
        <f t="shared" si="345"/>
        <v>0</v>
      </c>
      <c r="BL648" s="14"/>
      <c r="BM648" s="14"/>
      <c r="BN648" s="14"/>
      <c r="BO648" s="14"/>
      <c r="BP648" s="14"/>
      <c r="BQ648" s="14"/>
      <c r="BR648" s="14"/>
      <c r="BS648" s="14"/>
      <c r="BT648" s="324"/>
      <c r="BU648" s="14"/>
      <c r="BV648" s="14"/>
      <c r="BW648" s="14"/>
      <c r="BX648" s="14"/>
      <c r="BY648" s="14"/>
      <c r="BZ648" s="14"/>
      <c r="CA648" s="14"/>
      <c r="CB648" s="14"/>
      <c r="CC648" s="14"/>
      <c r="CD648" s="14"/>
      <c r="CE648" s="14"/>
      <c r="CF648" s="14"/>
      <c r="CG648" s="14"/>
      <c r="CH648" s="14"/>
      <c r="CI648" s="14"/>
      <c r="CJ648" s="2"/>
      <c r="CK648" s="2"/>
      <c r="CM648" s="1450">
        <v>0</v>
      </c>
      <c r="CN648" s="1450">
        <v>0</v>
      </c>
      <c r="CP648" s="923">
        <f t="shared" ref="CP648:CP711" si="364">-V648+BL648+BM648+BN648+CM648</f>
        <v>0</v>
      </c>
      <c r="CZ648" s="330"/>
    </row>
    <row r="649" spans="1:104" ht="15" customHeight="1" x14ac:dyDescent="0.25">
      <c r="A649" s="684">
        <f>MAX($A$6:A648)+1</f>
        <v>649</v>
      </c>
      <c r="B649" s="3">
        <f t="shared" si="335"/>
        <v>5.0999999999999996</v>
      </c>
      <c r="C649" s="11" t="str">
        <f t="shared" si="325"/>
        <v>Consolidated property, plant and equipment 2025-26</v>
      </c>
      <c r="D649" s="11" t="s">
        <v>202</v>
      </c>
      <c r="E649" s="7" t="s">
        <v>185</v>
      </c>
      <c r="F649" s="15"/>
      <c r="G649" s="1254" t="s">
        <v>185</v>
      </c>
      <c r="H649" s="6">
        <v>0</v>
      </c>
      <c r="I649" s="6">
        <v>0</v>
      </c>
      <c r="J649" s="1257" t="s">
        <v>185</v>
      </c>
      <c r="K649" s="251">
        <f>SUMIF('alb Note 5.1 -PP&amp;E - CY'!$A:$A,$J649,'alb Note 5.1 -PP&amp;E - CY'!$E:$E)</f>
        <v>0</v>
      </c>
      <c r="L649" s="251">
        <f>SUMIF('alb Note 5.1 -PP&amp;E - CY'!$A:$A,$J649,'alb Note 5.1 -PP&amp;E - CY'!$P:$P)</f>
        <v>0</v>
      </c>
      <c r="M649" s="10"/>
      <c r="N649" s="273">
        <f t="shared" ref="N649:N658" si="365">ROUND(SUM(O649:S649)+SUM(W649:AV649),0)</f>
        <v>0</v>
      </c>
      <c r="O649" s="12"/>
      <c r="P649" s="12"/>
      <c r="Q649" s="12"/>
      <c r="R649" s="12"/>
      <c r="S649" s="6">
        <f t="shared" si="352"/>
        <v>0</v>
      </c>
      <c r="T649" s="273">
        <f t="shared" ref="T649:T662" si="366">ROUND(SUM(U649:Y649),0)</f>
        <v>0</v>
      </c>
      <c r="U649" s="6">
        <f t="shared" ref="U649:U658" si="367">SUM(BL649:BN649)</f>
        <v>0</v>
      </c>
      <c r="V649" s="6"/>
      <c r="W649" s="6">
        <f t="shared" si="361"/>
        <v>0</v>
      </c>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X649" s="6"/>
      <c r="AY649" s="6">
        <f>ROUND(AX649/1000/Update!$B$31*Update!$B$27,0)</f>
        <v>0</v>
      </c>
      <c r="BA649" s="6"/>
      <c r="BB649" s="6">
        <f>ROUND(BA649/1000/Update!$B$31,0)</f>
        <v>0</v>
      </c>
      <c r="BC649" s="6"/>
      <c r="BD649" s="29">
        <f t="shared" si="323"/>
        <v>0</v>
      </c>
      <c r="BE649" s="322"/>
      <c r="BF649" s="322"/>
      <c r="BG649" s="322"/>
      <c r="BH649" s="322"/>
      <c r="BI649" s="322"/>
      <c r="BJ649" s="322"/>
      <c r="BK649" s="29">
        <f t="shared" si="345"/>
        <v>0</v>
      </c>
      <c r="BL649" s="322"/>
      <c r="BM649" s="322"/>
      <c r="BN649" s="322"/>
      <c r="BO649" s="322"/>
      <c r="BP649" s="322"/>
      <c r="BQ649" s="322"/>
      <c r="BR649" s="322"/>
      <c r="BS649" s="322"/>
      <c r="BT649" s="322"/>
      <c r="BU649" s="322"/>
      <c r="BV649" s="322"/>
      <c r="BW649" s="322"/>
      <c r="BX649" s="322"/>
      <c r="BY649" s="322"/>
      <c r="BZ649" s="322"/>
      <c r="CA649" s="322"/>
      <c r="CB649" s="322"/>
      <c r="CC649" s="322"/>
      <c r="CD649" s="322"/>
      <c r="CE649" s="322"/>
      <c r="CF649" s="322"/>
      <c r="CG649" s="322"/>
      <c r="CH649" s="322"/>
      <c r="CI649" s="322"/>
      <c r="CM649" s="1139">
        <v>0</v>
      </c>
      <c r="CN649" s="1139">
        <v>0</v>
      </c>
      <c r="CP649" s="923">
        <f t="shared" si="364"/>
        <v>0</v>
      </c>
      <c r="CZ649" s="330"/>
    </row>
    <row r="650" spans="1:104" ht="30" customHeight="1" x14ac:dyDescent="0.25">
      <c r="A650" s="684">
        <f>MAX($A$6:A649)+1</f>
        <v>650</v>
      </c>
      <c r="B650" s="3">
        <f t="shared" si="335"/>
        <v>5.0999999999999996</v>
      </c>
      <c r="C650" s="11" t="str">
        <f t="shared" si="325"/>
        <v>Consolidated property, plant and equipment 2025-26</v>
      </c>
      <c r="D650" s="11" t="s">
        <v>202</v>
      </c>
      <c r="E650" s="7" t="s">
        <v>437</v>
      </c>
      <c r="F650" s="15"/>
      <c r="G650" s="1254" t="s">
        <v>437</v>
      </c>
      <c r="H650" s="6">
        <v>0</v>
      </c>
      <c r="I650" s="6">
        <v>0</v>
      </c>
      <c r="J650" s="1257" t="s">
        <v>437</v>
      </c>
      <c r="K650" s="251">
        <f>SUMIF('alb Note 5.1 -PP&amp;E - CY'!$A:$A,$J650,'alb Note 5.1 -PP&amp;E - CY'!$E:$E)</f>
        <v>0</v>
      </c>
      <c r="L650" s="251">
        <f>SUMIF('alb Note 5.1 -PP&amp;E - CY'!$A:$A,$J650,'alb Note 5.1 -PP&amp;E - CY'!$P:$P)</f>
        <v>0</v>
      </c>
      <c r="M650" s="10"/>
      <c r="N650" s="273">
        <f t="shared" si="365"/>
        <v>0</v>
      </c>
      <c r="O650" s="12"/>
      <c r="P650" s="12"/>
      <c r="Q650" s="12"/>
      <c r="R650" s="12"/>
      <c r="S650" s="6">
        <f t="shared" si="352"/>
        <v>0</v>
      </c>
      <c r="T650" s="273">
        <f t="shared" si="366"/>
        <v>0</v>
      </c>
      <c r="U650" s="6">
        <f t="shared" si="367"/>
        <v>0</v>
      </c>
      <c r="V650" s="6"/>
      <c r="W650" s="6">
        <f t="shared" si="361"/>
        <v>0</v>
      </c>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X650" s="6"/>
      <c r="AY650" s="6">
        <f>ROUND(AX650/1000/Update!$B$31*Update!$B$27,0)</f>
        <v>0</v>
      </c>
      <c r="BA650" s="6"/>
      <c r="BB650" s="6">
        <f>ROUND(BA650/1000/Update!$B$31,0)</f>
        <v>0</v>
      </c>
      <c r="BC650" s="6"/>
      <c r="BD650" s="29">
        <f t="shared" si="323"/>
        <v>0</v>
      </c>
      <c r="BE650" s="322"/>
      <c r="BF650" s="322"/>
      <c r="BG650" s="322"/>
      <c r="BH650" s="322"/>
      <c r="BI650" s="322"/>
      <c r="BJ650" s="322"/>
      <c r="BK650" s="29">
        <f t="shared" si="345"/>
        <v>0</v>
      </c>
      <c r="BL650" s="322"/>
      <c r="BM650" s="322"/>
      <c r="BN650" s="322"/>
      <c r="BO650" s="322"/>
      <c r="BP650" s="322"/>
      <c r="BQ650" s="322"/>
      <c r="BR650" s="322"/>
      <c r="BS650" s="322"/>
      <c r="BT650" s="322"/>
      <c r="BU650" s="322"/>
      <c r="BV650" s="322"/>
      <c r="BW650" s="322"/>
      <c r="BX650" s="322"/>
      <c r="BY650" s="322"/>
      <c r="BZ650" s="322"/>
      <c r="CA650" s="322"/>
      <c r="CB650" s="322"/>
      <c r="CC650" s="322"/>
      <c r="CD650" s="322"/>
      <c r="CE650" s="322"/>
      <c r="CF650" s="322"/>
      <c r="CG650" s="322"/>
      <c r="CH650" s="322"/>
      <c r="CI650" s="322"/>
      <c r="CM650" s="1139">
        <v>0</v>
      </c>
      <c r="CN650" s="1139">
        <v>0</v>
      </c>
      <c r="CP650" s="923">
        <f t="shared" si="364"/>
        <v>0</v>
      </c>
      <c r="CZ650" s="330"/>
    </row>
    <row r="651" spans="1:104" ht="15" customHeight="1" x14ac:dyDescent="0.25">
      <c r="A651" s="684">
        <f>MAX($A$6:A650)+1</f>
        <v>651</v>
      </c>
      <c r="B651" s="3">
        <f t="shared" si="335"/>
        <v>5.0999999999999996</v>
      </c>
      <c r="C651" s="11" t="str">
        <f t="shared" si="325"/>
        <v>Consolidated property, plant and equipment 2025-26</v>
      </c>
      <c r="D651" s="11" t="s">
        <v>202</v>
      </c>
      <c r="E651" s="7" t="s">
        <v>191</v>
      </c>
      <c r="F651" s="15"/>
      <c r="G651" s="1254" t="s">
        <v>191</v>
      </c>
      <c r="H651" s="6">
        <v>0</v>
      </c>
      <c r="I651" s="6">
        <v>0</v>
      </c>
      <c r="J651" s="1257" t="s">
        <v>191</v>
      </c>
      <c r="K651" s="251">
        <f>SUMIF('alb Note 5.1 -PP&amp;E - CY'!$A:$A,$J651,'alb Note 5.1 -PP&amp;E - CY'!$E:$E)</f>
        <v>0</v>
      </c>
      <c r="L651" s="251">
        <f>SUMIF('alb Note 5.1 -PP&amp;E - CY'!$A:$A,$J651,'alb Note 5.1 -PP&amp;E - CY'!$P:$P)</f>
        <v>0</v>
      </c>
      <c r="M651" s="10"/>
      <c r="N651" s="273">
        <f t="shared" si="365"/>
        <v>0</v>
      </c>
      <c r="O651" s="12"/>
      <c r="P651" s="12"/>
      <c r="Q651" s="12"/>
      <c r="R651" s="12"/>
      <c r="S651" s="6">
        <f t="shared" si="352"/>
        <v>0</v>
      </c>
      <c r="T651" s="273">
        <f t="shared" si="366"/>
        <v>0</v>
      </c>
      <c r="U651" s="6">
        <f t="shared" si="367"/>
        <v>0</v>
      </c>
      <c r="V651" s="6"/>
      <c r="W651" s="6">
        <f t="shared" si="361"/>
        <v>0</v>
      </c>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X651" s="6"/>
      <c r="AY651" s="6">
        <f>ROUND(AX651/1000/Update!$B$31*Update!$B$27,0)</f>
        <v>0</v>
      </c>
      <c r="BA651" s="6"/>
      <c r="BB651" s="6">
        <f>ROUND(BA651/1000/Update!$B$31,0)</f>
        <v>0</v>
      </c>
      <c r="BC651" s="6"/>
      <c r="BD651" s="29">
        <f t="shared" si="323"/>
        <v>0</v>
      </c>
      <c r="BE651" s="322"/>
      <c r="BF651" s="322"/>
      <c r="BG651" s="322"/>
      <c r="BH651" s="322"/>
      <c r="BI651" s="322"/>
      <c r="BJ651" s="322"/>
      <c r="BK651" s="29">
        <f t="shared" si="345"/>
        <v>0</v>
      </c>
      <c r="BL651" s="322"/>
      <c r="BM651" s="322"/>
      <c r="BN651" s="322"/>
      <c r="BO651" s="322"/>
      <c r="BP651" s="322"/>
      <c r="BQ651" s="322"/>
      <c r="BR651" s="322"/>
      <c r="BS651" s="322"/>
      <c r="BT651" s="322"/>
      <c r="BU651" s="322"/>
      <c r="BV651" s="322"/>
      <c r="BW651" s="322"/>
      <c r="BX651" s="322"/>
      <c r="BY651" s="322"/>
      <c r="BZ651" s="322"/>
      <c r="CA651" s="322"/>
      <c r="CB651" s="322"/>
      <c r="CC651" s="322"/>
      <c r="CD651" s="322"/>
      <c r="CE651" s="322"/>
      <c r="CF651" s="322"/>
      <c r="CG651" s="322"/>
      <c r="CH651" s="322"/>
      <c r="CI651" s="322"/>
      <c r="CM651" s="1139">
        <v>0</v>
      </c>
      <c r="CN651" s="1139">
        <v>0</v>
      </c>
      <c r="CP651" s="923">
        <f t="shared" si="364"/>
        <v>0</v>
      </c>
      <c r="CZ651" s="330"/>
    </row>
    <row r="652" spans="1:104" ht="15" customHeight="1" x14ac:dyDescent="0.25">
      <c r="A652" s="684">
        <f>MAX($A$6:A651)+1</f>
        <v>652</v>
      </c>
      <c r="B652" s="3">
        <f t="shared" si="335"/>
        <v>5.0999999999999996</v>
      </c>
      <c r="C652" s="11" t="str">
        <f t="shared" si="325"/>
        <v>Consolidated property, plant and equipment 2025-26</v>
      </c>
      <c r="D652" s="11" t="s">
        <v>202</v>
      </c>
      <c r="E652" s="7" t="s">
        <v>186</v>
      </c>
      <c r="F652" s="15"/>
      <c r="G652" s="1254" t="s">
        <v>186</v>
      </c>
      <c r="H652" s="6">
        <v>0</v>
      </c>
      <c r="I652" s="6">
        <v>0</v>
      </c>
      <c r="J652" s="1257" t="s">
        <v>186</v>
      </c>
      <c r="K652" s="251">
        <f>SUMIF('alb Note 5.1 -PP&amp;E - CY'!$A:$A,$J652,'alb Note 5.1 -PP&amp;E - CY'!$E:$E)</f>
        <v>0</v>
      </c>
      <c r="L652" s="251">
        <f>SUMIF('alb Note 5.1 -PP&amp;E - CY'!$A:$A,$J652,'alb Note 5.1 -PP&amp;E - CY'!$P:$P)</f>
        <v>0</v>
      </c>
      <c r="M652" s="10"/>
      <c r="N652" s="273">
        <f t="shared" si="365"/>
        <v>0</v>
      </c>
      <c r="O652" s="12"/>
      <c r="P652" s="12"/>
      <c r="Q652" s="12"/>
      <c r="R652" s="12"/>
      <c r="S652" s="6">
        <f t="shared" si="352"/>
        <v>0</v>
      </c>
      <c r="T652" s="273">
        <f t="shared" si="366"/>
        <v>0</v>
      </c>
      <c r="U652" s="6">
        <f t="shared" si="367"/>
        <v>0</v>
      </c>
      <c r="V652" s="6"/>
      <c r="W652" s="6">
        <f t="shared" si="361"/>
        <v>0</v>
      </c>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X652" s="6"/>
      <c r="AY652" s="6">
        <f>ROUND(AX652/1000/Update!$B$31*Update!$B$27,0)</f>
        <v>0</v>
      </c>
      <c r="BA652" s="6"/>
      <c r="BB652" s="6">
        <f>ROUND(BA652/1000/Update!$B$31,0)</f>
        <v>0</v>
      </c>
      <c r="BC652" s="6"/>
      <c r="BD652" s="29">
        <f t="shared" ref="BD652:BD717" si="368">ROUND(SUM(BE652:BK652),0)</f>
        <v>0</v>
      </c>
      <c r="BE652" s="322"/>
      <c r="BF652" s="322"/>
      <c r="BG652" s="322"/>
      <c r="BH652" s="322"/>
      <c r="BI652" s="322"/>
      <c r="BJ652" s="322"/>
      <c r="BK652" s="29">
        <f t="shared" si="345"/>
        <v>0</v>
      </c>
      <c r="BL652" s="322"/>
      <c r="BM652" s="322"/>
      <c r="BN652" s="322"/>
      <c r="BO652" s="322"/>
      <c r="BP652" s="322"/>
      <c r="BQ652" s="322"/>
      <c r="BR652" s="322"/>
      <c r="BS652" s="322"/>
      <c r="BT652" s="322"/>
      <c r="BU652" s="322"/>
      <c r="BV652" s="322"/>
      <c r="BW652" s="322"/>
      <c r="BX652" s="322"/>
      <c r="BY652" s="322"/>
      <c r="BZ652" s="322"/>
      <c r="CA652" s="322"/>
      <c r="CB652" s="322"/>
      <c r="CC652" s="322"/>
      <c r="CD652" s="322"/>
      <c r="CE652" s="322"/>
      <c r="CF652" s="322"/>
      <c r="CG652" s="322"/>
      <c r="CH652" s="322"/>
      <c r="CI652" s="322"/>
      <c r="CM652" s="1139">
        <v>0</v>
      </c>
      <c r="CN652" s="1139">
        <v>0</v>
      </c>
      <c r="CP652" s="923">
        <f t="shared" si="364"/>
        <v>0</v>
      </c>
      <c r="CZ652" s="330"/>
    </row>
    <row r="653" spans="1:104" ht="30" customHeight="1" x14ac:dyDescent="0.25">
      <c r="A653" s="684">
        <f>MAX($A$6:A652)+1</f>
        <v>653</v>
      </c>
      <c r="B653" s="3">
        <f t="shared" si="335"/>
        <v>5.0999999999999996</v>
      </c>
      <c r="C653" s="11" t="str">
        <f t="shared" si="325"/>
        <v>Consolidated property, plant and equipment 2025-26</v>
      </c>
      <c r="D653" s="11" t="s">
        <v>202</v>
      </c>
      <c r="E653" s="7" t="s">
        <v>192</v>
      </c>
      <c r="F653" s="15"/>
      <c r="G653" s="1254" t="s">
        <v>438</v>
      </c>
      <c r="H653" s="6">
        <v>0</v>
      </c>
      <c r="I653" s="6">
        <v>0</v>
      </c>
      <c r="J653" s="1257" t="s">
        <v>768</v>
      </c>
      <c r="K653" s="251">
        <f>SUMIF('alb Note 5.1 -PP&amp;E - CY'!$A:$A,$J653,'alb Note 5.1 -PP&amp;E - CY'!$E:$E)</f>
        <v>0</v>
      </c>
      <c r="L653" s="251">
        <f>SUMIF('alb Note 5.1 -PP&amp;E - CY'!$A:$A,$J653,'alb Note 5.1 -PP&amp;E - CY'!$P:$P)</f>
        <v>0</v>
      </c>
      <c r="M653" s="10"/>
      <c r="N653" s="273">
        <f t="shared" si="365"/>
        <v>0</v>
      </c>
      <c r="O653" s="12"/>
      <c r="P653" s="12"/>
      <c r="Q653" s="12"/>
      <c r="R653" s="12"/>
      <c r="S653" s="6">
        <f t="shared" si="352"/>
        <v>0</v>
      </c>
      <c r="T653" s="273">
        <f t="shared" si="366"/>
        <v>0</v>
      </c>
      <c r="U653" s="6">
        <f t="shared" si="367"/>
        <v>0</v>
      </c>
      <c r="V653" s="6"/>
      <c r="W653" s="6">
        <f t="shared" si="361"/>
        <v>0</v>
      </c>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X653" s="6"/>
      <c r="AY653" s="6">
        <f>ROUND(AX653/1000/Update!$B$31*Update!$B$27,0)</f>
        <v>0</v>
      </c>
      <c r="BA653" s="6"/>
      <c r="BB653" s="6">
        <f>ROUND(BA653/1000/Update!$B$31,0)</f>
        <v>0</v>
      </c>
      <c r="BC653" s="6"/>
      <c r="BD653" s="29">
        <f t="shared" si="368"/>
        <v>0</v>
      </c>
      <c r="BE653" s="322"/>
      <c r="BF653" s="322"/>
      <c r="BG653" s="322"/>
      <c r="BH653" s="322"/>
      <c r="BI653" s="322"/>
      <c r="BJ653" s="322"/>
      <c r="BK653" s="29">
        <f t="shared" si="345"/>
        <v>0</v>
      </c>
      <c r="BL653" s="322"/>
      <c r="BM653" s="322"/>
      <c r="BN653" s="322"/>
      <c r="BO653" s="322"/>
      <c r="BP653" s="322"/>
      <c r="BQ653" s="322"/>
      <c r="BR653" s="322"/>
      <c r="BS653" s="322"/>
      <c r="BT653" s="322"/>
      <c r="BU653" s="322"/>
      <c r="BV653" s="322"/>
      <c r="BW653" s="322"/>
      <c r="BX653" s="322"/>
      <c r="BY653" s="322"/>
      <c r="BZ653" s="322"/>
      <c r="CA653" s="322"/>
      <c r="CB653" s="322"/>
      <c r="CC653" s="322"/>
      <c r="CD653" s="322"/>
      <c r="CE653" s="322"/>
      <c r="CF653" s="322"/>
      <c r="CG653" s="322"/>
      <c r="CH653" s="322"/>
      <c r="CI653" s="322"/>
      <c r="CM653" s="1139">
        <v>0</v>
      </c>
      <c r="CN653" s="1139">
        <v>0</v>
      </c>
      <c r="CP653" s="923">
        <f t="shared" si="364"/>
        <v>0</v>
      </c>
      <c r="CZ653" s="330"/>
    </row>
    <row r="654" spans="1:104" ht="51" customHeight="1" x14ac:dyDescent="0.25">
      <c r="A654" s="684">
        <f>MAX($A$6:A653)+1</f>
        <v>654</v>
      </c>
      <c r="B654" s="3">
        <f t="shared" si="335"/>
        <v>5.0999999999999996</v>
      </c>
      <c r="C654" s="11" t="str">
        <f t="shared" si="325"/>
        <v>Consolidated property, plant and equipment 2025-26</v>
      </c>
      <c r="D654" s="11" t="s">
        <v>202</v>
      </c>
      <c r="E654" s="7" t="s">
        <v>193</v>
      </c>
      <c r="F654" s="15"/>
      <c r="G654" s="1254" t="s">
        <v>193</v>
      </c>
      <c r="H654" s="6">
        <v>0</v>
      </c>
      <c r="I654" s="6">
        <v>0</v>
      </c>
      <c r="J654" s="1257" t="s">
        <v>767</v>
      </c>
      <c r="K654" s="251">
        <f>SUMIF('alb Note 5.1 -PP&amp;E - CY'!$A:$A,$J654,'alb Note 5.1 -PP&amp;E - CY'!$E:$E)</f>
        <v>0</v>
      </c>
      <c r="L654" s="251">
        <f>SUMIF('alb Note 5.1 -PP&amp;E - CY'!$A:$A,$J654,'alb Note 5.1 -PP&amp;E - CY'!$P:$P)</f>
        <v>0</v>
      </c>
      <c r="M654" s="10"/>
      <c r="N654" s="273">
        <f t="shared" si="365"/>
        <v>0</v>
      </c>
      <c r="O654" s="12"/>
      <c r="P654" s="12"/>
      <c r="Q654" s="12"/>
      <c r="R654" s="12"/>
      <c r="S654" s="6">
        <f t="shared" si="352"/>
        <v>0</v>
      </c>
      <c r="T654" s="273">
        <f t="shared" si="366"/>
        <v>0</v>
      </c>
      <c r="U654" s="6">
        <f t="shared" si="367"/>
        <v>0</v>
      </c>
      <c r="V654" s="6"/>
      <c r="W654" s="6">
        <f t="shared" si="361"/>
        <v>0</v>
      </c>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X654" s="6"/>
      <c r="AY654" s="6">
        <f>ROUND(AX654/1000/Update!$B$31*Update!$B$27,0)</f>
        <v>0</v>
      </c>
      <c r="BA654" s="6"/>
      <c r="BB654" s="6">
        <f>ROUND(BA654/1000/Update!$B$31,0)</f>
        <v>0</v>
      </c>
      <c r="BC654" s="6"/>
      <c r="BD654" s="29">
        <f t="shared" si="368"/>
        <v>0</v>
      </c>
      <c r="BE654" s="322"/>
      <c r="BF654" s="322"/>
      <c r="BG654" s="322"/>
      <c r="BH654" s="322"/>
      <c r="BI654" s="322"/>
      <c r="BJ654" s="322"/>
      <c r="BK654" s="29">
        <f t="shared" si="345"/>
        <v>0</v>
      </c>
      <c r="BL654" s="322"/>
      <c r="BM654" s="322"/>
      <c r="BN654" s="322"/>
      <c r="BO654" s="322"/>
      <c r="BP654" s="322"/>
      <c r="BQ654" s="322"/>
      <c r="BR654" s="322"/>
      <c r="BS654" s="322"/>
      <c r="BT654" s="322"/>
      <c r="BU654" s="322"/>
      <c r="BV654" s="322"/>
      <c r="BW654" s="322"/>
      <c r="BX654" s="322"/>
      <c r="BY654" s="322"/>
      <c r="BZ654" s="322"/>
      <c r="CA654" s="322"/>
      <c r="CB654" s="322"/>
      <c r="CC654" s="322"/>
      <c r="CD654" s="322"/>
      <c r="CE654" s="322"/>
      <c r="CF654" s="322"/>
      <c r="CG654" s="322"/>
      <c r="CH654" s="322"/>
      <c r="CI654" s="322"/>
      <c r="CM654" s="1139">
        <v>0</v>
      </c>
      <c r="CN654" s="1139">
        <v>0</v>
      </c>
      <c r="CP654" s="923">
        <f t="shared" si="364"/>
        <v>0</v>
      </c>
      <c r="CZ654" s="330"/>
    </row>
    <row r="655" spans="1:104" ht="15" customHeight="1" x14ac:dyDescent="0.25">
      <c r="A655" s="684">
        <f>MAX($A$6:A654)+1</f>
        <v>655</v>
      </c>
      <c r="B655" s="3">
        <f t="shared" si="335"/>
        <v>5.0999999999999996</v>
      </c>
      <c r="C655" s="11" t="str">
        <f t="shared" si="325"/>
        <v>Consolidated property, plant and equipment 2025-26</v>
      </c>
      <c r="D655" s="11" t="str">
        <f>D654</f>
        <v>Plant &amp; Machinery</v>
      </c>
      <c r="E655" s="7" t="s">
        <v>810</v>
      </c>
      <c r="F655" s="15"/>
      <c r="G655" s="1254"/>
      <c r="H655" s="6">
        <v>0</v>
      </c>
      <c r="I655" s="6">
        <v>0</v>
      </c>
      <c r="J655" s="1257" t="s">
        <v>810</v>
      </c>
      <c r="K655" s="251">
        <f>SUMIF('alb Note 5.1 -PP&amp;E - CY'!$A:$A,$J655,'alb Note 5.1 -PP&amp;E - CY'!$E:$E)</f>
        <v>0</v>
      </c>
      <c r="L655" s="251">
        <f>SUMIF('alb Note 5.1 -PP&amp;E - CY'!$A:$A,$J655,'alb Note 5.1 -PP&amp;E - CY'!$P:$P)</f>
        <v>0</v>
      </c>
      <c r="M655" s="10"/>
      <c r="N655" s="273">
        <f t="shared" si="365"/>
        <v>0</v>
      </c>
      <c r="O655" s="12"/>
      <c r="P655" s="12"/>
      <c r="Q655" s="12"/>
      <c r="R655" s="12"/>
      <c r="S655" s="6">
        <f t="shared" si="352"/>
        <v>0</v>
      </c>
      <c r="T655" s="273">
        <f t="shared" si="366"/>
        <v>0</v>
      </c>
      <c r="U655" s="6">
        <f t="shared" si="367"/>
        <v>0</v>
      </c>
      <c r="V655" s="6"/>
      <c r="W655" s="6">
        <f t="shared" si="361"/>
        <v>0</v>
      </c>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X655" s="6"/>
      <c r="AY655" s="6">
        <f>ROUND(AX655/1000/Update!$B$31*Update!$B$27,0)</f>
        <v>0</v>
      </c>
      <c r="BA655" s="6"/>
      <c r="BB655" s="6">
        <f>ROUND(BA655/1000/Update!$B$31,0)</f>
        <v>0</v>
      </c>
      <c r="BC655" s="6"/>
      <c r="BD655" s="29">
        <f t="shared" si="368"/>
        <v>0</v>
      </c>
      <c r="BE655" s="322"/>
      <c r="BF655" s="322"/>
      <c r="BG655" s="322"/>
      <c r="BH655" s="322"/>
      <c r="BI655" s="322"/>
      <c r="BJ655" s="322"/>
      <c r="BK655" s="29">
        <f t="shared" si="345"/>
        <v>0</v>
      </c>
      <c r="BL655" s="322"/>
      <c r="BM655" s="322"/>
      <c r="BN655" s="322"/>
      <c r="BO655" s="322"/>
      <c r="BP655" s="322"/>
      <c r="BQ655" s="322"/>
      <c r="BR655" s="322"/>
      <c r="BS655" s="322"/>
      <c r="BT655" s="322"/>
      <c r="BU655" s="322"/>
      <c r="BV655" s="322"/>
      <c r="BW655" s="322"/>
      <c r="BX655" s="322"/>
      <c r="BY655" s="322"/>
      <c r="BZ655" s="322"/>
      <c r="CA655" s="322"/>
      <c r="CB655" s="322"/>
      <c r="CC655" s="322"/>
      <c r="CD655" s="322"/>
      <c r="CE655" s="322"/>
      <c r="CF655" s="322"/>
      <c r="CG655" s="322"/>
      <c r="CH655" s="322"/>
      <c r="CI655" s="322"/>
      <c r="CM655" s="1139">
        <v>0</v>
      </c>
      <c r="CN655" s="1139">
        <v>0</v>
      </c>
      <c r="CP655" s="923">
        <f t="shared" si="364"/>
        <v>0</v>
      </c>
      <c r="CZ655" s="330"/>
    </row>
    <row r="656" spans="1:104" ht="15" customHeight="1" x14ac:dyDescent="0.25">
      <c r="A656" s="684">
        <f>MAX($A$6:A655)+1</f>
        <v>656</v>
      </c>
      <c r="B656" s="3">
        <f t="shared" si="335"/>
        <v>5.0999999999999996</v>
      </c>
      <c r="C656" s="11" t="str">
        <f>C654</f>
        <v>Consolidated property, plant and equipment 2025-26</v>
      </c>
      <c r="D656" s="11" t="s">
        <v>202</v>
      </c>
      <c r="E656" s="7" t="s">
        <v>187</v>
      </c>
      <c r="F656" s="15"/>
      <c r="G656" s="1254" t="s">
        <v>187</v>
      </c>
      <c r="H656" s="6">
        <v>0</v>
      </c>
      <c r="I656" s="6">
        <v>0</v>
      </c>
      <c r="J656" s="1257" t="s">
        <v>187</v>
      </c>
      <c r="K656" s="251">
        <f>SUMIF('alb Note 5.1 -PP&amp;E - CY'!$A:$A,$J656,'alb Note 5.1 -PP&amp;E - CY'!$E:$E)</f>
        <v>0</v>
      </c>
      <c r="L656" s="251">
        <f>SUMIF('alb Note 5.1 -PP&amp;E - CY'!$A:$A,$J656,'alb Note 5.1 -PP&amp;E - CY'!$P:$P)</f>
        <v>0</v>
      </c>
      <c r="M656" s="10"/>
      <c r="N656" s="273">
        <f t="shared" si="365"/>
        <v>0</v>
      </c>
      <c r="O656" s="12"/>
      <c r="P656" s="12"/>
      <c r="Q656" s="12"/>
      <c r="R656" s="12"/>
      <c r="S656" s="6">
        <f t="shared" si="352"/>
        <v>0</v>
      </c>
      <c r="T656" s="273">
        <f t="shared" si="366"/>
        <v>0</v>
      </c>
      <c r="U656" s="6">
        <f t="shared" si="367"/>
        <v>0</v>
      </c>
      <c r="V656" s="6"/>
      <c r="W656" s="6">
        <f t="shared" si="361"/>
        <v>0</v>
      </c>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X656" s="6"/>
      <c r="AY656" s="6">
        <f>ROUND(AX656/1000/Update!$B$31*Update!$B$27,0)</f>
        <v>0</v>
      </c>
      <c r="BA656" s="6"/>
      <c r="BB656" s="6">
        <f>ROUND(BA656/1000/Update!$B$31,0)</f>
        <v>0</v>
      </c>
      <c r="BC656" s="6"/>
      <c r="BD656" s="29">
        <f t="shared" si="368"/>
        <v>0</v>
      </c>
      <c r="BE656" s="322"/>
      <c r="BF656" s="322"/>
      <c r="BG656" s="322"/>
      <c r="BH656" s="322"/>
      <c r="BI656" s="322"/>
      <c r="BJ656" s="322"/>
      <c r="BK656" s="29">
        <f t="shared" si="345"/>
        <v>0</v>
      </c>
      <c r="BL656" s="322"/>
      <c r="BM656" s="322"/>
      <c r="BN656" s="322"/>
      <c r="BO656" s="322"/>
      <c r="BP656" s="322"/>
      <c r="BQ656" s="322"/>
      <c r="BR656" s="322"/>
      <c r="BS656" s="322"/>
      <c r="BT656" s="322"/>
      <c r="BU656" s="322"/>
      <c r="BV656" s="322"/>
      <c r="BW656" s="322"/>
      <c r="BX656" s="322"/>
      <c r="BY656" s="322"/>
      <c r="BZ656" s="322"/>
      <c r="CA656" s="322"/>
      <c r="CB656" s="322"/>
      <c r="CC656" s="322"/>
      <c r="CD656" s="322"/>
      <c r="CE656" s="322"/>
      <c r="CF656" s="322"/>
      <c r="CG656" s="322"/>
      <c r="CH656" s="322"/>
      <c r="CI656" s="322"/>
      <c r="CM656" s="1139">
        <v>0</v>
      </c>
      <c r="CN656" s="1139">
        <v>0</v>
      </c>
      <c r="CP656" s="923">
        <f t="shared" si="364"/>
        <v>0</v>
      </c>
      <c r="CZ656" s="330"/>
    </row>
    <row r="657" spans="1:104" ht="15" customHeight="1" x14ac:dyDescent="0.25">
      <c r="A657" s="684">
        <f>MAX($A$6:A656)+1</f>
        <v>657</v>
      </c>
      <c r="B657" s="3">
        <f t="shared" si="335"/>
        <v>5.0999999999999996</v>
      </c>
      <c r="C657" s="11" t="str">
        <f t="shared" si="325"/>
        <v>Consolidated property, plant and equipment 2025-26</v>
      </c>
      <c r="D657" s="11" t="s">
        <v>202</v>
      </c>
      <c r="E657" s="7" t="s">
        <v>188</v>
      </c>
      <c r="F657" s="15"/>
      <c r="G657" s="1254" t="s">
        <v>188</v>
      </c>
      <c r="H657" s="6">
        <v>0</v>
      </c>
      <c r="I657" s="6">
        <v>0</v>
      </c>
      <c r="J657" s="1257" t="s">
        <v>188</v>
      </c>
      <c r="K657" s="251">
        <f>SUMIF('alb Note 5.1 -PP&amp;E - CY'!$A:$A,$J657,'alb Note 5.1 -PP&amp;E - CY'!$E:$E)</f>
        <v>0</v>
      </c>
      <c r="L657" s="251">
        <f>SUMIF('alb Note 5.1 -PP&amp;E - CY'!$A:$A,$J657,'alb Note 5.1 -PP&amp;E - CY'!$P:$P)</f>
        <v>0</v>
      </c>
      <c r="M657" s="10"/>
      <c r="N657" s="273">
        <f t="shared" si="365"/>
        <v>0</v>
      </c>
      <c r="O657" s="12"/>
      <c r="P657" s="12"/>
      <c r="Q657" s="12"/>
      <c r="R657" s="12"/>
      <c r="S657" s="6">
        <f t="shared" si="352"/>
        <v>0</v>
      </c>
      <c r="T657" s="273">
        <f t="shared" si="366"/>
        <v>0</v>
      </c>
      <c r="U657" s="6">
        <f t="shared" si="367"/>
        <v>0</v>
      </c>
      <c r="V657" s="6"/>
      <c r="W657" s="6">
        <f t="shared" si="361"/>
        <v>0</v>
      </c>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X657" s="6"/>
      <c r="AY657" s="6">
        <f>ROUND(AX657/1000/Update!$B$31*Update!$B$27,0)</f>
        <v>0</v>
      </c>
      <c r="BA657" s="6"/>
      <c r="BB657" s="6">
        <f>ROUND(BA657/1000/Update!$B$31,0)</f>
        <v>0</v>
      </c>
      <c r="BC657" s="6"/>
      <c r="BD657" s="29">
        <f t="shared" si="368"/>
        <v>0</v>
      </c>
      <c r="BE657" s="322"/>
      <c r="BF657" s="322"/>
      <c r="BG657" s="322"/>
      <c r="BH657" s="322"/>
      <c r="BI657" s="322"/>
      <c r="BJ657" s="322"/>
      <c r="BK657" s="29">
        <f t="shared" si="345"/>
        <v>0</v>
      </c>
      <c r="BL657" s="322"/>
      <c r="BM657" s="322"/>
      <c r="BN657" s="322"/>
      <c r="BO657" s="322"/>
      <c r="BP657" s="322"/>
      <c r="BQ657" s="322"/>
      <c r="BR657" s="322"/>
      <c r="BS657" s="322"/>
      <c r="BT657" s="322"/>
      <c r="BU657" s="322"/>
      <c r="BV657" s="322"/>
      <c r="BW657" s="322"/>
      <c r="BX657" s="322"/>
      <c r="BY657" s="322"/>
      <c r="BZ657" s="322"/>
      <c r="CA657" s="322"/>
      <c r="CB657" s="322"/>
      <c r="CC657" s="322"/>
      <c r="CD657" s="322"/>
      <c r="CE657" s="322"/>
      <c r="CF657" s="322"/>
      <c r="CG657" s="322"/>
      <c r="CH657" s="322"/>
      <c r="CI657" s="322"/>
      <c r="CM657" s="1139">
        <v>0</v>
      </c>
      <c r="CN657" s="1139">
        <v>0</v>
      </c>
      <c r="CP657" s="923">
        <f t="shared" si="364"/>
        <v>0</v>
      </c>
      <c r="CZ657" s="330"/>
    </row>
    <row r="658" spans="1:104" ht="15" customHeight="1" x14ac:dyDescent="0.25">
      <c r="A658" s="684">
        <f>MAX($A$6:A657)+1</f>
        <v>658</v>
      </c>
      <c r="B658" s="3">
        <f t="shared" si="335"/>
        <v>5.0999999999999996</v>
      </c>
      <c r="C658" s="11" t="str">
        <f t="shared" ref="C658:C726" si="369">C657</f>
        <v>Consolidated property, plant and equipment 2025-26</v>
      </c>
      <c r="D658" s="11" t="s">
        <v>202</v>
      </c>
      <c r="E658" s="7" t="s">
        <v>189</v>
      </c>
      <c r="F658" s="15"/>
      <c r="G658" s="1254" t="s">
        <v>189</v>
      </c>
      <c r="H658" s="6">
        <v>0</v>
      </c>
      <c r="I658" s="6">
        <v>0</v>
      </c>
      <c r="J658" s="1257" t="s">
        <v>557</v>
      </c>
      <c r="K658" s="251">
        <f>SUMIF('alb Note 5.1 -PP&amp;E - CY'!$A:$A,$J658,'alb Note 5.1 -PP&amp;E - CY'!$E:$E)</f>
        <v>0</v>
      </c>
      <c r="L658" s="251">
        <f>SUMIF('alb Note 5.1 -PP&amp;E - CY'!$A:$A,$J658,'alb Note 5.1 -PP&amp;E - CY'!$P:$P)</f>
        <v>0</v>
      </c>
      <c r="M658" s="10"/>
      <c r="N658" s="273">
        <f t="shared" si="365"/>
        <v>0</v>
      </c>
      <c r="O658" s="12"/>
      <c r="P658" s="12"/>
      <c r="Q658" s="12"/>
      <c r="R658" s="12"/>
      <c r="S658" s="6">
        <f t="shared" si="352"/>
        <v>0</v>
      </c>
      <c r="T658" s="273">
        <f t="shared" si="366"/>
        <v>0</v>
      </c>
      <c r="U658" s="6">
        <f t="shared" si="367"/>
        <v>0</v>
      </c>
      <c r="V658" s="6"/>
      <c r="W658" s="6">
        <f t="shared" si="361"/>
        <v>0</v>
      </c>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X658" s="6"/>
      <c r="AY658" s="6">
        <f>ROUND(AX658/1000/Update!$B$31*Update!$B$27,0)</f>
        <v>0</v>
      </c>
      <c r="BA658" s="6"/>
      <c r="BB658" s="6">
        <f>ROUND(BA658/1000/Update!$B$31,0)</f>
        <v>0</v>
      </c>
      <c r="BC658" s="6"/>
      <c r="BD658" s="29">
        <f t="shared" si="368"/>
        <v>0</v>
      </c>
      <c r="BE658" s="322"/>
      <c r="BF658" s="322"/>
      <c r="BG658" s="322"/>
      <c r="BH658" s="322"/>
      <c r="BI658" s="322"/>
      <c r="BJ658" s="322"/>
      <c r="BK658" s="29">
        <f t="shared" si="345"/>
        <v>0</v>
      </c>
      <c r="BL658" s="322"/>
      <c r="BM658" s="322"/>
      <c r="BN658" s="322"/>
      <c r="BO658" s="322"/>
      <c r="BP658" s="322"/>
      <c r="BQ658" s="322"/>
      <c r="BR658" s="322"/>
      <c r="BS658" s="322"/>
      <c r="BT658" s="322"/>
      <c r="BU658" s="322"/>
      <c r="BV658" s="322"/>
      <c r="BW658" s="322"/>
      <c r="BX658" s="322"/>
      <c r="BY658" s="322"/>
      <c r="BZ658" s="322"/>
      <c r="CA658" s="322"/>
      <c r="CB658" s="322"/>
      <c r="CC658" s="322"/>
      <c r="CD658" s="322"/>
      <c r="CE658" s="322"/>
      <c r="CF658" s="322"/>
      <c r="CG658" s="322"/>
      <c r="CH658" s="322"/>
      <c r="CI658" s="322"/>
      <c r="CM658" s="1139">
        <v>0</v>
      </c>
      <c r="CN658" s="1139">
        <v>0</v>
      </c>
      <c r="CP658" s="923">
        <f t="shared" si="364"/>
        <v>0</v>
      </c>
      <c r="CZ658" s="330"/>
    </row>
    <row r="659" spans="1:104" ht="15" customHeight="1" x14ac:dyDescent="0.25">
      <c r="A659" s="701">
        <f>MAX($A$6:A658)+1</f>
        <v>659</v>
      </c>
      <c r="B659" s="1291">
        <f t="shared" si="335"/>
        <v>5.0999999999999996</v>
      </c>
      <c r="C659" s="18" t="str">
        <f t="shared" si="369"/>
        <v>Consolidated property, plant and equipment 2025-26</v>
      </c>
      <c r="D659" s="18" t="s">
        <v>202</v>
      </c>
      <c r="E659" s="19" t="str">
        <f>"At"&amp;Update!$B$22</f>
        <v>At 31 March 2026</v>
      </c>
      <c r="F659" s="20"/>
      <c r="G659" s="28"/>
      <c r="H659" s="14">
        <f>SUM(H649:H658)+H648</f>
        <v>18930</v>
      </c>
      <c r="I659" s="14">
        <f>SUM(I649:I658)+I648</f>
        <v>0</v>
      </c>
      <c r="J659" s="19" t="str">
        <f>"At"&amp;Update!$B$22</f>
        <v>At 31 March 2026</v>
      </c>
      <c r="K659" s="256">
        <f>SUM(K649:K658)+K648</f>
        <v>0</v>
      </c>
      <c r="L659" s="256">
        <f>SUM(L649:L658)+L648</f>
        <v>0</v>
      </c>
      <c r="M659" s="21"/>
      <c r="N659" s="14">
        <f>ROUND(SUM(O659:S659)+T659+SUM(Z659:AV659),0)</f>
        <v>18930</v>
      </c>
      <c r="O659" s="14">
        <f>SUM(O649:O658)+O648</f>
        <v>0</v>
      </c>
      <c r="P659" s="14">
        <f>SUM(P649:P658)+P648</f>
        <v>0</v>
      </c>
      <c r="Q659" s="14">
        <f>SUM(Q649:Q658)+Q648</f>
        <v>0</v>
      </c>
      <c r="R659" s="14">
        <f>SUM(R649:R658)+R648</f>
        <v>0</v>
      </c>
      <c r="S659" s="14">
        <f t="shared" si="352"/>
        <v>0</v>
      </c>
      <c r="T659" s="14">
        <f t="shared" si="366"/>
        <v>18930</v>
      </c>
      <c r="U659" s="14">
        <f>SUM(U649:U658)+U648</f>
        <v>0</v>
      </c>
      <c r="V659" s="14">
        <f>SUM(V649:V658)+V648</f>
        <v>0</v>
      </c>
      <c r="W659" s="14">
        <f>SUM(W649:W658)+W648</f>
        <v>18930</v>
      </c>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2"/>
      <c r="AX659" s="14">
        <f>SUM(AX649:AX658)+AX648</f>
        <v>0</v>
      </c>
      <c r="AY659" s="14">
        <f>ROUND(AX659/1000/Update!$B$31*Update!$B$27,0)</f>
        <v>0</v>
      </c>
      <c r="AZ659" s="2"/>
      <c r="BA659" s="14">
        <f>SUM(BA649:BA658)+BA648</f>
        <v>0</v>
      </c>
      <c r="BB659" s="14">
        <f>ROUND(BA659/1000/Update!$B$31,0)</f>
        <v>0</v>
      </c>
      <c r="BC659" s="14"/>
      <c r="BD659" s="14">
        <f t="shared" si="368"/>
        <v>0</v>
      </c>
      <c r="BE659" s="14">
        <f t="shared" ref="BE659:BJ659" si="370">SUM(BE649:BE658)+BE648</f>
        <v>0</v>
      </c>
      <c r="BF659" s="14">
        <f t="shared" si="370"/>
        <v>0</v>
      </c>
      <c r="BG659" s="14">
        <f t="shared" si="370"/>
        <v>0</v>
      </c>
      <c r="BH659" s="14">
        <f t="shared" si="370"/>
        <v>0</v>
      </c>
      <c r="BI659" s="14">
        <f t="shared" si="370"/>
        <v>0</v>
      </c>
      <c r="BJ659" s="14">
        <f t="shared" si="370"/>
        <v>0</v>
      </c>
      <c r="BK659" s="14">
        <f t="shared" si="345"/>
        <v>0</v>
      </c>
      <c r="BL659" s="14"/>
      <c r="BM659" s="14"/>
      <c r="BN659" s="14"/>
      <c r="BO659" s="14"/>
      <c r="BP659" s="14"/>
      <c r="BQ659" s="14"/>
      <c r="BR659" s="14"/>
      <c r="BS659" s="14"/>
      <c r="BT659" s="324"/>
      <c r="BU659" s="14"/>
      <c r="BV659" s="14"/>
      <c r="BW659" s="14"/>
      <c r="BX659" s="14"/>
      <c r="BY659" s="14"/>
      <c r="BZ659" s="14"/>
      <c r="CA659" s="14"/>
      <c r="CB659" s="14"/>
      <c r="CC659" s="14"/>
      <c r="CD659" s="14"/>
      <c r="CE659" s="14"/>
      <c r="CF659" s="14"/>
      <c r="CG659" s="14"/>
      <c r="CH659" s="14"/>
      <c r="CI659" s="14"/>
      <c r="CJ659" s="2"/>
      <c r="CK659" s="2"/>
      <c r="CM659" s="1450">
        <v>0</v>
      </c>
      <c r="CN659" s="1450">
        <v>0</v>
      </c>
      <c r="CP659" s="923">
        <f t="shared" si="364"/>
        <v>0</v>
      </c>
      <c r="CZ659" s="330"/>
    </row>
    <row r="660" spans="1:104" ht="18.75" customHeight="1" x14ac:dyDescent="0.25">
      <c r="A660" s="684">
        <f>MAX($A$6:A659)+1</f>
        <v>660</v>
      </c>
      <c r="B660" s="3">
        <f t="shared" si="335"/>
        <v>5.0999999999999996</v>
      </c>
      <c r="C660" s="11" t="str">
        <f t="shared" si="369"/>
        <v>Consolidated property, plant and equipment 2025-26</v>
      </c>
      <c r="D660" s="11" t="s">
        <v>202</v>
      </c>
      <c r="E660" s="277" t="s">
        <v>160</v>
      </c>
      <c r="F660" s="15"/>
      <c r="G660" s="26"/>
      <c r="H660" s="6">
        <v>0</v>
      </c>
      <c r="I660" s="6">
        <v>0</v>
      </c>
      <c r="J660" s="1257" t="s">
        <v>286</v>
      </c>
      <c r="K660" s="251">
        <f>SUMIF('alb Note 5.1 -PP&amp;E - CY'!$A:$A,$J660,'alb Note 5.1 -PP&amp;E - CY'!$E:$E)</f>
        <v>0</v>
      </c>
      <c r="L660" s="251">
        <f>SUMIF('alb Note 5.1 -PP&amp;E - CY'!$A:$A,$J660,'alb Note 5.1 -PP&amp;E - CY'!$P:$P)</f>
        <v>0</v>
      </c>
      <c r="M660" s="10"/>
      <c r="N660" s="273">
        <f>ROUND(SUM(O660:S660)+SUM(W660:AV660),0)</f>
        <v>0</v>
      </c>
      <c r="O660" s="12"/>
      <c r="P660" s="12"/>
      <c r="Q660" s="12"/>
      <c r="R660" s="12"/>
      <c r="S660" s="6">
        <f t="shared" si="352"/>
        <v>0</v>
      </c>
      <c r="T660" s="273">
        <f t="shared" si="366"/>
        <v>0</v>
      </c>
      <c r="U660" s="6">
        <f>SUM(BL660:BN660)</f>
        <v>0</v>
      </c>
      <c r="V660" s="6"/>
      <c r="W660" s="6">
        <v>0</v>
      </c>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X660" s="6"/>
      <c r="AY660" s="6">
        <f>ROUND(AX660/1000/Update!$B$31*Update!$B$27,0)</f>
        <v>0</v>
      </c>
      <c r="BA660" s="6"/>
      <c r="BB660" s="6">
        <f>ROUND(BA660/1000/Update!$B$31,0)</f>
        <v>0</v>
      </c>
      <c r="BC660" s="6"/>
      <c r="BD660" s="29">
        <f t="shared" si="368"/>
        <v>0</v>
      </c>
      <c r="BE660" s="322"/>
      <c r="BF660" s="322"/>
      <c r="BG660" s="322"/>
      <c r="BH660" s="322"/>
      <c r="BI660" s="322"/>
      <c r="BJ660" s="322"/>
      <c r="BK660" s="29">
        <f t="shared" si="345"/>
        <v>0</v>
      </c>
      <c r="BL660" s="322"/>
      <c r="BM660" s="322"/>
      <c r="BN660" s="322"/>
      <c r="BO660" s="322"/>
      <c r="BP660" s="322"/>
      <c r="BQ660" s="322"/>
      <c r="BR660" s="322"/>
      <c r="BS660" s="322"/>
      <c r="BT660" s="322"/>
      <c r="BU660" s="322"/>
      <c r="BV660" s="322"/>
      <c r="BW660" s="322"/>
      <c r="BX660" s="322"/>
      <c r="BY660" s="322"/>
      <c r="BZ660" s="322"/>
      <c r="CA660" s="322"/>
      <c r="CB660" s="322"/>
      <c r="CC660" s="322"/>
      <c r="CD660" s="322"/>
      <c r="CE660" s="322"/>
      <c r="CF660" s="322"/>
      <c r="CG660" s="322"/>
      <c r="CH660" s="322"/>
      <c r="CI660" s="322"/>
      <c r="CM660" s="1139">
        <v>0</v>
      </c>
      <c r="CN660" s="1139">
        <v>0</v>
      </c>
      <c r="CP660" s="923">
        <f t="shared" si="364"/>
        <v>0</v>
      </c>
      <c r="CZ660" s="330"/>
    </row>
    <row r="661" spans="1:104" ht="15" customHeight="1" x14ac:dyDescent="0.25">
      <c r="A661" s="684">
        <f>MAX($A$6:A660)+1</f>
        <v>661</v>
      </c>
      <c r="B661" s="3">
        <f t="shared" si="335"/>
        <v>5.0999999999999996</v>
      </c>
      <c r="C661" s="11" t="str">
        <f t="shared" si="369"/>
        <v>Consolidated property, plant and equipment 2025-26</v>
      </c>
      <c r="D661" s="11" t="s">
        <v>202</v>
      </c>
      <c r="E661" s="7" t="str">
        <f>"At"&amp;Update!$B$20&amp;" "</f>
        <v xml:space="preserve">At 1 April 2025 </v>
      </c>
      <c r="F661" s="15"/>
      <c r="G661" s="1267" t="str">
        <f>"At"&amp;Update!$B$20</f>
        <v>At 1 April 2025</v>
      </c>
      <c r="H661" s="6">
        <v>158</v>
      </c>
      <c r="I661" s="6">
        <v>0</v>
      </c>
      <c r="J661" s="1257" t="str">
        <f>$E661</f>
        <v xml:space="preserve">At 1 April 2025 </v>
      </c>
      <c r="K661" s="251">
        <f>SUMIF('alb Note 5.1 -PP&amp;E - CY'!$A:$A,$J661,'alb Note 5.1 -PP&amp;E - CY'!$E:$E)</f>
        <v>0</v>
      </c>
      <c r="L661" s="251">
        <f>SUMIF('alb Note 5.1 -PP&amp;E - CY'!$A:$A,$J661,'alb Note 5.1 -PP&amp;E - CY'!$P:$P)</f>
        <v>0</v>
      </c>
      <c r="M661" s="10"/>
      <c r="N661" s="273">
        <f>ROUND(SUM(O661:S661)+SUM(W661:AV661),0)</f>
        <v>158</v>
      </c>
      <c r="O661" s="12"/>
      <c r="P661" s="12"/>
      <c r="Q661" s="12"/>
      <c r="R661" s="12"/>
      <c r="S661" s="6">
        <f t="shared" si="352"/>
        <v>0</v>
      </c>
      <c r="T661" s="273">
        <f t="shared" si="366"/>
        <v>158</v>
      </c>
      <c r="U661" s="6">
        <f>SUM(BL661:BN661)</f>
        <v>0</v>
      </c>
      <c r="V661" s="6"/>
      <c r="W661" s="6">
        <f t="shared" ref="W661:W672" si="371">+H661</f>
        <v>158</v>
      </c>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X661" s="6"/>
      <c r="AY661" s="6">
        <f>ROUND(AX661/1000/Update!$B$31*Update!$B$27,0)</f>
        <v>0</v>
      </c>
      <c r="BA661" s="6"/>
      <c r="BB661" s="6">
        <f>ROUND(BA661/1000/Update!$B$31,0)</f>
        <v>0</v>
      </c>
      <c r="BC661" s="6"/>
      <c r="BD661" s="29">
        <f t="shared" si="368"/>
        <v>0</v>
      </c>
      <c r="BE661" s="322"/>
      <c r="BF661" s="322"/>
      <c r="BG661" s="322"/>
      <c r="BH661" s="322"/>
      <c r="BI661" s="322"/>
      <c r="BJ661" s="322"/>
      <c r="BK661" s="29">
        <f t="shared" si="345"/>
        <v>0</v>
      </c>
      <c r="BL661" s="322"/>
      <c r="BM661" s="322"/>
      <c r="BN661" s="322"/>
      <c r="BO661" s="322"/>
      <c r="BP661" s="322"/>
      <c r="BQ661" s="322"/>
      <c r="BR661" s="322"/>
      <c r="BS661" s="322"/>
      <c r="BT661" s="322"/>
      <c r="BU661" s="322"/>
      <c r="BV661" s="322"/>
      <c r="BW661" s="322"/>
      <c r="BX661" s="322"/>
      <c r="BY661" s="322"/>
      <c r="BZ661" s="322"/>
      <c r="CA661" s="322"/>
      <c r="CB661" s="322"/>
      <c r="CC661" s="322"/>
      <c r="CD661" s="322"/>
      <c r="CE661" s="322"/>
      <c r="CF661" s="322"/>
      <c r="CG661" s="322"/>
      <c r="CH661" s="322"/>
      <c r="CI661" s="322"/>
      <c r="CM661" s="1139">
        <v>0</v>
      </c>
      <c r="CN661" s="1139">
        <v>0</v>
      </c>
      <c r="CP661" s="923">
        <f t="shared" si="364"/>
        <v>0</v>
      </c>
      <c r="CZ661" s="330"/>
    </row>
    <row r="662" spans="1:104" ht="15" customHeight="1" x14ac:dyDescent="0.25">
      <c r="A662" s="684">
        <f>MAX($A$6:A661)+1</f>
        <v>662</v>
      </c>
      <c r="B662" s="3">
        <f t="shared" si="335"/>
        <v>5.0999999999999996</v>
      </c>
      <c r="C662" s="11" t="str">
        <f t="shared" si="369"/>
        <v>Consolidated property, plant and equipment 2025-26</v>
      </c>
      <c r="D662" s="11" t="s">
        <v>202</v>
      </c>
      <c r="E662" s="7" t="s">
        <v>1417</v>
      </c>
      <c r="F662" s="15"/>
      <c r="G662" s="1254" t="s">
        <v>435</v>
      </c>
      <c r="H662" s="6">
        <v>0</v>
      </c>
      <c r="I662" s="6">
        <v>0</v>
      </c>
      <c r="J662" s="7" t="s">
        <v>435</v>
      </c>
      <c r="K662" s="251">
        <f>SUMIF('alb Note 5.1 -PP&amp;E - CY'!$A:$A,$J662,'alb Note 5.1 -PP&amp;E - CY'!$E:$E)</f>
        <v>0</v>
      </c>
      <c r="L662" s="251">
        <f>SUMIF('alb Note 5.1 -PP&amp;E - CY'!$A:$A,$J662,'alb Note 5.1 -PP&amp;E - CY'!$P:$P)</f>
        <v>0</v>
      </c>
      <c r="M662" s="10"/>
      <c r="N662" s="273">
        <f>ROUND(SUM(O662:S662)+SUM(W662:AV662),0)</f>
        <v>0</v>
      </c>
      <c r="O662" s="12"/>
      <c r="P662" s="12"/>
      <c r="Q662" s="12"/>
      <c r="R662" s="12"/>
      <c r="S662" s="6">
        <f t="shared" si="352"/>
        <v>0</v>
      </c>
      <c r="T662" s="273">
        <f t="shared" si="366"/>
        <v>0</v>
      </c>
      <c r="U662" s="6">
        <f>SUM(BL662:BN662)</f>
        <v>0</v>
      </c>
      <c r="V662" s="6"/>
      <c r="W662" s="6">
        <f t="shared" si="371"/>
        <v>0</v>
      </c>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X662" s="6"/>
      <c r="AY662" s="6">
        <f>ROUND(AX662/1000/Update!$B$31*Update!$B$27,0)</f>
        <v>0</v>
      </c>
      <c r="BA662" s="6"/>
      <c r="BB662" s="6">
        <f>ROUND(BA662/1000/Update!$B$31,0)</f>
        <v>0</v>
      </c>
      <c r="BC662" s="6"/>
      <c r="BD662" s="29">
        <f t="shared" si="368"/>
        <v>0</v>
      </c>
      <c r="BE662" s="322"/>
      <c r="BF662" s="322"/>
      <c r="BG662" s="322"/>
      <c r="BH662" s="322"/>
      <c r="BI662" s="322"/>
      <c r="BJ662" s="322"/>
      <c r="BK662" s="29">
        <f t="shared" si="345"/>
        <v>0</v>
      </c>
      <c r="BL662" s="322"/>
      <c r="BM662" s="322"/>
      <c r="BN662" s="322"/>
      <c r="BO662" s="322"/>
      <c r="BP662" s="322"/>
      <c r="BQ662" s="322"/>
      <c r="BR662" s="322"/>
      <c r="BS662" s="322"/>
      <c r="BT662" s="322"/>
      <c r="BU662" s="322"/>
      <c r="BV662" s="322"/>
      <c r="BW662" s="322"/>
      <c r="BX662" s="322"/>
      <c r="BY662" s="322"/>
      <c r="BZ662" s="322"/>
      <c r="CA662" s="322"/>
      <c r="CB662" s="322"/>
      <c r="CC662" s="322"/>
      <c r="CD662" s="322"/>
      <c r="CE662" s="322"/>
      <c r="CF662" s="322"/>
      <c r="CG662" s="322"/>
      <c r="CH662" s="322"/>
      <c r="CI662" s="322"/>
      <c r="CM662" s="1139">
        <v>0</v>
      </c>
      <c r="CN662" s="1139">
        <v>0</v>
      </c>
      <c r="CP662" s="923">
        <f t="shared" si="364"/>
        <v>0</v>
      </c>
      <c r="CZ662" s="330"/>
    </row>
    <row r="663" spans="1:104" ht="15" customHeight="1" x14ac:dyDescent="0.25">
      <c r="A663" s="701">
        <f>MAX($A$6:A662)+1</f>
        <v>663</v>
      </c>
      <c r="B663" s="1291">
        <f t="shared" si="335"/>
        <v>5.0999999999999996</v>
      </c>
      <c r="C663" s="18" t="str">
        <f t="shared" si="369"/>
        <v>Consolidated property, plant and equipment 2025-26</v>
      </c>
      <c r="D663" s="18" t="s">
        <v>202</v>
      </c>
      <c r="E663" s="19" t="s">
        <v>442</v>
      </c>
      <c r="F663" s="20"/>
      <c r="G663" s="1278" t="s">
        <v>442</v>
      </c>
      <c r="H663" s="14">
        <f>SUM(H660:H662)</f>
        <v>158</v>
      </c>
      <c r="I663" s="14">
        <f>SUM(I660:I662)</f>
        <v>0</v>
      </c>
      <c r="J663" s="19" t="s">
        <v>442</v>
      </c>
      <c r="K663" s="256">
        <f>SUM(K661:K662)</f>
        <v>0</v>
      </c>
      <c r="L663" s="256">
        <f>SUM(L661:L662)</f>
        <v>0</v>
      </c>
      <c r="M663" s="21"/>
      <c r="N663" s="14">
        <f>ROUND(SUM(O663:S663)+T663+SUM(Z663:AV663),0)</f>
        <v>158</v>
      </c>
      <c r="O663" s="14">
        <f t="shared" ref="O663:W663" si="372">SUM(O660:O662)</f>
        <v>0</v>
      </c>
      <c r="P663" s="14">
        <f t="shared" si="372"/>
        <v>0</v>
      </c>
      <c r="Q663" s="14">
        <f t="shared" si="372"/>
        <v>0</v>
      </c>
      <c r="R663" s="14">
        <f t="shared" si="372"/>
        <v>0</v>
      </c>
      <c r="S663" s="14">
        <f t="shared" si="352"/>
        <v>0</v>
      </c>
      <c r="T663" s="14">
        <f t="shared" si="372"/>
        <v>158</v>
      </c>
      <c r="U663" s="14">
        <f t="shared" si="372"/>
        <v>0</v>
      </c>
      <c r="V663" s="14">
        <f t="shared" si="372"/>
        <v>0</v>
      </c>
      <c r="W663" s="14">
        <f t="shared" si="372"/>
        <v>158</v>
      </c>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2"/>
      <c r="AX663" s="14">
        <f>SUM(AX660:AX662)</f>
        <v>0</v>
      </c>
      <c r="AY663" s="14">
        <f>ROUND(AX663/1000/Update!$B$31*Update!$B$27,0)</f>
        <v>0</v>
      </c>
      <c r="AZ663" s="2"/>
      <c r="BA663" s="14">
        <f>SUM(BA660:BA662)</f>
        <v>0</v>
      </c>
      <c r="BB663" s="14">
        <f>ROUND(BA663/1000/Update!$B$31,0)</f>
        <v>0</v>
      </c>
      <c r="BC663" s="14"/>
      <c r="BD663" s="14">
        <f t="shared" si="368"/>
        <v>0</v>
      </c>
      <c r="BE663" s="14">
        <f t="shared" ref="BE663:BJ663" si="373">SUM(BE660:BE662)</f>
        <v>0</v>
      </c>
      <c r="BF663" s="14">
        <f t="shared" si="373"/>
        <v>0</v>
      </c>
      <c r="BG663" s="14">
        <f t="shared" si="373"/>
        <v>0</v>
      </c>
      <c r="BH663" s="14">
        <f t="shared" si="373"/>
        <v>0</v>
      </c>
      <c r="BI663" s="14">
        <f t="shared" si="373"/>
        <v>0</v>
      </c>
      <c r="BJ663" s="14">
        <f t="shared" si="373"/>
        <v>0</v>
      </c>
      <c r="BK663" s="14">
        <f t="shared" si="345"/>
        <v>0</v>
      </c>
      <c r="BL663" s="14"/>
      <c r="BM663" s="14"/>
      <c r="BN663" s="14"/>
      <c r="BO663" s="14"/>
      <c r="BP663" s="14"/>
      <c r="BQ663" s="14"/>
      <c r="BR663" s="14"/>
      <c r="BS663" s="14"/>
      <c r="BT663" s="324"/>
      <c r="BU663" s="14"/>
      <c r="BV663" s="14"/>
      <c r="BW663" s="14"/>
      <c r="BX663" s="14"/>
      <c r="BY663" s="14"/>
      <c r="BZ663" s="14"/>
      <c r="CA663" s="14"/>
      <c r="CB663" s="14"/>
      <c r="CC663" s="14"/>
      <c r="CD663" s="14"/>
      <c r="CE663" s="14"/>
      <c r="CF663" s="14"/>
      <c r="CG663" s="14"/>
      <c r="CH663" s="14"/>
      <c r="CI663" s="14"/>
      <c r="CJ663" s="2"/>
      <c r="CK663" s="2"/>
      <c r="CM663" s="1450">
        <v>0</v>
      </c>
      <c r="CN663" s="1450">
        <v>0</v>
      </c>
      <c r="CP663" s="923">
        <f t="shared" si="364"/>
        <v>0</v>
      </c>
      <c r="CZ663" s="330"/>
    </row>
    <row r="664" spans="1:104" ht="15" customHeight="1" x14ac:dyDescent="0.25">
      <c r="A664" s="684">
        <f>MAX($A$6:A663)+1</f>
        <v>664</v>
      </c>
      <c r="B664" s="3">
        <f t="shared" si="335"/>
        <v>5.0999999999999996</v>
      </c>
      <c r="C664" s="11" t="str">
        <f t="shared" si="369"/>
        <v>Consolidated property, plant and equipment 2025-26</v>
      </c>
      <c r="D664" s="11" t="s">
        <v>202</v>
      </c>
      <c r="E664" s="7" t="s">
        <v>1409</v>
      </c>
      <c r="F664" s="15"/>
      <c r="G664" s="1254" t="s">
        <v>190</v>
      </c>
      <c r="H664" s="6">
        <v>0</v>
      </c>
      <c r="I664" s="6">
        <v>0</v>
      </c>
      <c r="J664" s="1257" t="s">
        <v>190</v>
      </c>
      <c r="K664" s="251">
        <f>SUMIF('alb Note 5.1 -PP&amp;E - CY'!$A:$A,$J664,'alb Note 5.1 -PP&amp;E - CY'!$E:$E)</f>
        <v>0</v>
      </c>
      <c r="L664" s="251">
        <f>SUMIF('alb Note 5.1 -PP&amp;E - CY'!$A:$A,$J664,'alb Note 5.1 -PP&amp;E - CY'!$P:$P)</f>
        <v>0</v>
      </c>
      <c r="M664" s="10"/>
      <c r="N664" s="273">
        <f t="shared" ref="N664:N672" si="374">ROUND(SUM(O664:S664)+SUM(W664:AV664),0)</f>
        <v>0</v>
      </c>
      <c r="O664" s="12"/>
      <c r="P664" s="12"/>
      <c r="Q664" s="12"/>
      <c r="R664" s="12"/>
      <c r="S664" s="6">
        <f t="shared" si="352"/>
        <v>0</v>
      </c>
      <c r="T664" s="273">
        <f t="shared" ref="T664:T672" si="375">ROUND(SUM(U664:Y664),0)</f>
        <v>0</v>
      </c>
      <c r="U664" s="6">
        <f t="shared" ref="U664:U672" si="376">SUM(BL664:BN664)</f>
        <v>0</v>
      </c>
      <c r="V664" s="6"/>
      <c r="W664" s="6">
        <f t="shared" si="371"/>
        <v>0</v>
      </c>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X664" s="6"/>
      <c r="AY664" s="6">
        <f>ROUND(AX664/1000/Update!$B$31*Update!$B$27,0)</f>
        <v>0</v>
      </c>
      <c r="BA664" s="6"/>
      <c r="BB664" s="6">
        <f>ROUND(BA664/1000/Update!$B$31,0)</f>
        <v>0</v>
      </c>
      <c r="BC664" s="6"/>
      <c r="BD664" s="29">
        <f t="shared" si="368"/>
        <v>0</v>
      </c>
      <c r="BE664" s="322"/>
      <c r="BF664" s="322"/>
      <c r="BG664" s="322"/>
      <c r="BH664" s="322"/>
      <c r="BI664" s="322"/>
      <c r="BJ664" s="322"/>
      <c r="BK664" s="29">
        <f t="shared" si="345"/>
        <v>0</v>
      </c>
      <c r="BL664" s="322"/>
      <c r="BM664" s="322"/>
      <c r="BN664" s="322"/>
      <c r="BO664" s="322"/>
      <c r="BP664" s="322"/>
      <c r="BQ664" s="322"/>
      <c r="BR664" s="322"/>
      <c r="BS664" s="322"/>
      <c r="BT664" s="322"/>
      <c r="BU664" s="322"/>
      <c r="BV664" s="322"/>
      <c r="BW664" s="322"/>
      <c r="BX664" s="322"/>
      <c r="BY664" s="322"/>
      <c r="BZ664" s="322"/>
      <c r="CA664" s="322"/>
      <c r="CB664" s="322"/>
      <c r="CC664" s="322"/>
      <c r="CD664" s="322"/>
      <c r="CE664" s="322"/>
      <c r="CF664" s="322"/>
      <c r="CG664" s="322"/>
      <c r="CH664" s="322"/>
      <c r="CI664" s="322"/>
      <c r="CM664" s="1139">
        <v>0</v>
      </c>
      <c r="CN664" s="1139">
        <v>0</v>
      </c>
      <c r="CP664" s="923">
        <f t="shared" si="364"/>
        <v>0</v>
      </c>
      <c r="CZ664" s="330"/>
    </row>
    <row r="665" spans="1:104" ht="15" customHeight="1" x14ac:dyDescent="0.25">
      <c r="A665" s="684">
        <f>MAX($A$6:A664)+1</f>
        <v>665</v>
      </c>
      <c r="B665" s="3">
        <f t="shared" si="335"/>
        <v>5.0999999999999996</v>
      </c>
      <c r="C665" s="11" t="str">
        <f t="shared" si="369"/>
        <v>Consolidated property, plant and equipment 2025-26</v>
      </c>
      <c r="D665" s="11" t="str">
        <f t="shared" ref="D665:D681" si="377">D664</f>
        <v>Plant &amp; Machinery</v>
      </c>
      <c r="E665" s="7" t="s">
        <v>457</v>
      </c>
      <c r="F665" s="15"/>
      <c r="G665" s="1254" t="s">
        <v>191</v>
      </c>
      <c r="H665" s="6">
        <v>0</v>
      </c>
      <c r="I665" s="6">
        <v>0</v>
      </c>
      <c r="J665" s="1257" t="s">
        <v>457</v>
      </c>
      <c r="K665" s="251">
        <f>SUMIF('alb Note 5.1 -PP&amp;E - CY'!$A:$A,$J665,'alb Note 5.1 -PP&amp;E - CY'!$E:$E)</f>
        <v>0</v>
      </c>
      <c r="L665" s="251">
        <f>SUMIF('alb Note 5.1 -PP&amp;E - CY'!$A:$A,$J665,'alb Note 5.1 -PP&amp;E - CY'!$P:$P)</f>
        <v>0</v>
      </c>
      <c r="M665" s="10"/>
      <c r="N665" s="273">
        <f t="shared" si="374"/>
        <v>0</v>
      </c>
      <c r="O665" s="12"/>
      <c r="P665" s="12"/>
      <c r="Q665" s="12"/>
      <c r="R665" s="12"/>
      <c r="S665" s="6">
        <f t="shared" si="352"/>
        <v>0</v>
      </c>
      <c r="T665" s="273">
        <f t="shared" si="375"/>
        <v>0</v>
      </c>
      <c r="U665" s="6">
        <f t="shared" si="376"/>
        <v>0</v>
      </c>
      <c r="V665" s="6"/>
      <c r="W665" s="6">
        <f t="shared" si="371"/>
        <v>0</v>
      </c>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X665" s="6"/>
      <c r="AY665" s="6">
        <f>ROUND(AX665/1000/Update!$B$31*Update!$B$27,0)</f>
        <v>0</v>
      </c>
      <c r="BA665" s="6"/>
      <c r="BB665" s="6">
        <f>ROUND(BA665/1000/Update!$B$31,0)</f>
        <v>0</v>
      </c>
      <c r="BC665" s="6"/>
      <c r="BD665" s="29">
        <f t="shared" si="368"/>
        <v>0</v>
      </c>
      <c r="BE665" s="322"/>
      <c r="BF665" s="322"/>
      <c r="BG665" s="322"/>
      <c r="BH665" s="322"/>
      <c r="BI665" s="322"/>
      <c r="BJ665" s="322"/>
      <c r="BK665" s="29">
        <f t="shared" si="345"/>
        <v>0</v>
      </c>
      <c r="BL665" s="322"/>
      <c r="BM665" s="322"/>
      <c r="BN665" s="322"/>
      <c r="BO665" s="322"/>
      <c r="BP665" s="322"/>
      <c r="BQ665" s="322"/>
      <c r="BR665" s="322"/>
      <c r="BS665" s="322"/>
      <c r="BT665" s="322"/>
      <c r="BU665" s="322"/>
      <c r="BV665" s="322"/>
      <c r="BW665" s="322"/>
      <c r="BX665" s="322"/>
      <c r="BY665" s="322"/>
      <c r="BZ665" s="322"/>
      <c r="CA665" s="322"/>
      <c r="CB665" s="322"/>
      <c r="CC665" s="322"/>
      <c r="CD665" s="322"/>
      <c r="CE665" s="322"/>
      <c r="CF665" s="322"/>
      <c r="CG665" s="322"/>
      <c r="CH665" s="322"/>
      <c r="CI665" s="322"/>
      <c r="CM665" s="1139">
        <v>0</v>
      </c>
      <c r="CN665" s="1139">
        <v>0</v>
      </c>
      <c r="CP665" s="923">
        <f t="shared" si="364"/>
        <v>0</v>
      </c>
      <c r="CZ665" s="330"/>
    </row>
    <row r="666" spans="1:104" ht="15" customHeight="1" x14ac:dyDescent="0.25">
      <c r="A666" s="684">
        <f>MAX($A$6:A665)+1</f>
        <v>666</v>
      </c>
      <c r="B666" s="3">
        <f t="shared" si="335"/>
        <v>5.0999999999999996</v>
      </c>
      <c r="C666" s="11" t="str">
        <f t="shared" si="369"/>
        <v>Consolidated property, plant and equipment 2025-26</v>
      </c>
      <c r="D666" s="11" t="str">
        <f t="shared" si="377"/>
        <v>Plant &amp; Machinery</v>
      </c>
      <c r="E666" s="7" t="s">
        <v>863</v>
      </c>
      <c r="F666" s="15"/>
      <c r="G666" s="1254" t="s">
        <v>186</v>
      </c>
      <c r="H666" s="6">
        <v>0</v>
      </c>
      <c r="I666" s="6">
        <v>0</v>
      </c>
      <c r="J666" s="1257" t="s">
        <v>863</v>
      </c>
      <c r="K666" s="251">
        <f>SUMIF('alb Note 5.1 -PP&amp;E - CY'!$A:$A,$J666,'alb Note 5.1 -PP&amp;E - CY'!$E:$E)</f>
        <v>0</v>
      </c>
      <c r="L666" s="251">
        <f>SUMIF('alb Note 5.1 -PP&amp;E - CY'!$A:$A,$J666,'alb Note 5.1 -PP&amp;E - CY'!$P:$P)</f>
        <v>0</v>
      </c>
      <c r="M666" s="10"/>
      <c r="N666" s="273">
        <f t="shared" si="374"/>
        <v>0</v>
      </c>
      <c r="O666" s="12"/>
      <c r="P666" s="12"/>
      <c r="Q666" s="12"/>
      <c r="R666" s="12"/>
      <c r="S666" s="6">
        <f t="shared" si="352"/>
        <v>0</v>
      </c>
      <c r="T666" s="273">
        <f t="shared" si="375"/>
        <v>0</v>
      </c>
      <c r="U666" s="6">
        <f t="shared" si="376"/>
        <v>0</v>
      </c>
      <c r="V666" s="6"/>
      <c r="W666" s="6">
        <f t="shared" si="371"/>
        <v>0</v>
      </c>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X666" s="6"/>
      <c r="AY666" s="6">
        <f>ROUND(AX666/1000/Update!$B$31*Update!$B$27,0)</f>
        <v>0</v>
      </c>
      <c r="BA666" s="6"/>
      <c r="BB666" s="6">
        <f>ROUND(BA666/1000/Update!$B$31,0)</f>
        <v>0</v>
      </c>
      <c r="BC666" s="6"/>
      <c r="BD666" s="29">
        <f t="shared" si="368"/>
        <v>0</v>
      </c>
      <c r="BE666" s="322"/>
      <c r="BF666" s="322"/>
      <c r="BG666" s="322"/>
      <c r="BH666" s="322"/>
      <c r="BI666" s="322"/>
      <c r="BJ666" s="322"/>
      <c r="BK666" s="29">
        <f t="shared" si="345"/>
        <v>0</v>
      </c>
      <c r="BL666" s="322"/>
      <c r="BM666" s="322"/>
      <c r="BN666" s="322"/>
      <c r="BO666" s="322"/>
      <c r="BP666" s="322"/>
      <c r="BQ666" s="322"/>
      <c r="BR666" s="322"/>
      <c r="BS666" s="322"/>
      <c r="BT666" s="322"/>
      <c r="BU666" s="322"/>
      <c r="BV666" s="322"/>
      <c r="BW666" s="322"/>
      <c r="BX666" s="322"/>
      <c r="BY666" s="322"/>
      <c r="BZ666" s="322"/>
      <c r="CA666" s="322"/>
      <c r="CB666" s="322"/>
      <c r="CC666" s="322"/>
      <c r="CD666" s="322"/>
      <c r="CE666" s="322"/>
      <c r="CF666" s="322"/>
      <c r="CG666" s="322"/>
      <c r="CH666" s="322"/>
      <c r="CI666" s="322"/>
      <c r="CM666" s="1139">
        <v>0</v>
      </c>
      <c r="CN666" s="1139">
        <v>0</v>
      </c>
      <c r="CP666" s="923">
        <f t="shared" si="364"/>
        <v>0</v>
      </c>
      <c r="CZ666" s="330"/>
    </row>
    <row r="667" spans="1:104" ht="30" customHeight="1" x14ac:dyDescent="0.25">
      <c r="A667" s="684">
        <f>MAX($A$6:A666)+1</f>
        <v>667</v>
      </c>
      <c r="B667" s="3">
        <f t="shared" si="335"/>
        <v>5.0999999999999996</v>
      </c>
      <c r="C667" s="11" t="str">
        <f t="shared" si="369"/>
        <v>Consolidated property, plant and equipment 2025-26</v>
      </c>
      <c r="D667" s="11" t="str">
        <f t="shared" si="377"/>
        <v>Plant &amp; Machinery</v>
      </c>
      <c r="E667" s="7" t="s">
        <v>1415</v>
      </c>
      <c r="F667" s="15"/>
      <c r="G667" s="1254" t="s">
        <v>438</v>
      </c>
      <c r="H667" s="6">
        <v>0</v>
      </c>
      <c r="I667" s="6">
        <v>0</v>
      </c>
      <c r="J667" s="1257" t="s">
        <v>864</v>
      </c>
      <c r="K667" s="251">
        <f>SUMIF('alb Note 5.1 -PP&amp;E - CY'!$A:$A,$J667,'alb Note 5.1 -PP&amp;E - CY'!$E:$E)</f>
        <v>0</v>
      </c>
      <c r="L667" s="251">
        <f>SUMIF('alb Note 5.1 -PP&amp;E - CY'!$A:$A,$J667,'alb Note 5.1 -PP&amp;E - CY'!$P:$P)</f>
        <v>0</v>
      </c>
      <c r="M667" s="10"/>
      <c r="N667" s="273">
        <f t="shared" si="374"/>
        <v>0</v>
      </c>
      <c r="O667" s="12"/>
      <c r="P667" s="12"/>
      <c r="Q667" s="12"/>
      <c r="R667" s="12"/>
      <c r="S667" s="6">
        <f t="shared" si="352"/>
        <v>0</v>
      </c>
      <c r="T667" s="273">
        <f t="shared" si="375"/>
        <v>0</v>
      </c>
      <c r="U667" s="6">
        <f t="shared" si="376"/>
        <v>0</v>
      </c>
      <c r="V667" s="6"/>
      <c r="W667" s="6">
        <f t="shared" si="371"/>
        <v>0</v>
      </c>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X667" s="6"/>
      <c r="AY667" s="6">
        <f>ROUND(AX667/1000/Update!$B$31*Update!$B$27,0)</f>
        <v>0</v>
      </c>
      <c r="BA667" s="6"/>
      <c r="BB667" s="6">
        <f>ROUND(BA667/1000/Update!$B$31,0)</f>
        <v>0</v>
      </c>
      <c r="BC667" s="6"/>
      <c r="BD667" s="29">
        <f t="shared" si="368"/>
        <v>0</v>
      </c>
      <c r="BE667" s="322"/>
      <c r="BF667" s="322"/>
      <c r="BG667" s="322"/>
      <c r="BH667" s="322"/>
      <c r="BI667" s="322"/>
      <c r="BJ667" s="322"/>
      <c r="BK667" s="29">
        <f t="shared" si="345"/>
        <v>0</v>
      </c>
      <c r="BL667" s="322"/>
      <c r="BM667" s="322"/>
      <c r="BN667" s="322"/>
      <c r="BO667" s="322"/>
      <c r="BP667" s="322"/>
      <c r="BQ667" s="322"/>
      <c r="BR667" s="322"/>
      <c r="BS667" s="322"/>
      <c r="BT667" s="322"/>
      <c r="BU667" s="322"/>
      <c r="BV667" s="322"/>
      <c r="BW667" s="322"/>
      <c r="BX667" s="322"/>
      <c r="BY667" s="322"/>
      <c r="BZ667" s="322"/>
      <c r="CA667" s="322"/>
      <c r="CB667" s="322"/>
      <c r="CC667" s="322"/>
      <c r="CD667" s="322"/>
      <c r="CE667" s="322"/>
      <c r="CF667" s="322"/>
      <c r="CG667" s="322"/>
      <c r="CH667" s="322"/>
      <c r="CI667" s="322"/>
      <c r="CM667" s="1139">
        <v>0</v>
      </c>
      <c r="CN667" s="1139">
        <v>0</v>
      </c>
      <c r="CP667" s="923">
        <f t="shared" si="364"/>
        <v>0</v>
      </c>
      <c r="CZ667" s="330"/>
    </row>
    <row r="668" spans="1:104" ht="51" customHeight="1" x14ac:dyDescent="0.25">
      <c r="A668" s="684">
        <f>MAX($A$6:A667)+1</f>
        <v>668</v>
      </c>
      <c r="B668" s="3">
        <f t="shared" ref="B668:B731" si="378">B667</f>
        <v>5.0999999999999996</v>
      </c>
      <c r="C668" s="11" t="str">
        <f t="shared" si="369"/>
        <v>Consolidated property, plant and equipment 2025-26</v>
      </c>
      <c r="D668" s="11" t="str">
        <f t="shared" si="377"/>
        <v>Plant &amp; Machinery</v>
      </c>
      <c r="E668" s="7" t="s">
        <v>1410</v>
      </c>
      <c r="F668" s="15"/>
      <c r="G668" s="1254" t="s">
        <v>193</v>
      </c>
      <c r="H668" s="6">
        <v>0</v>
      </c>
      <c r="I668" s="6">
        <v>0</v>
      </c>
      <c r="J668" s="1257" t="s">
        <v>865</v>
      </c>
      <c r="K668" s="251">
        <f>SUMIF('alb Note 5.1 -PP&amp;E - CY'!$A:$A,$J668,'alb Note 5.1 -PP&amp;E - CY'!$E:$E)</f>
        <v>0</v>
      </c>
      <c r="L668" s="251">
        <f>SUMIF('alb Note 5.1 -PP&amp;E - CY'!$A:$A,$J668,'alb Note 5.1 -PP&amp;E - CY'!$P:$P)</f>
        <v>0</v>
      </c>
      <c r="M668" s="10"/>
      <c r="N668" s="273">
        <f t="shared" si="374"/>
        <v>0</v>
      </c>
      <c r="O668" s="12"/>
      <c r="P668" s="12"/>
      <c r="Q668" s="12"/>
      <c r="R668" s="12"/>
      <c r="S668" s="6">
        <f t="shared" si="352"/>
        <v>0</v>
      </c>
      <c r="T668" s="273">
        <f t="shared" si="375"/>
        <v>0</v>
      </c>
      <c r="U668" s="6">
        <f t="shared" si="376"/>
        <v>0</v>
      </c>
      <c r="V668" s="6"/>
      <c r="W668" s="6">
        <f t="shared" si="371"/>
        <v>0</v>
      </c>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X668" s="6"/>
      <c r="AY668" s="6">
        <f>ROUND(AX668/1000/Update!$B$31*Update!$B$27,0)</f>
        <v>0</v>
      </c>
      <c r="BA668" s="6"/>
      <c r="BB668" s="6">
        <f>ROUND(BA668/1000/Update!$B$31,0)</f>
        <v>0</v>
      </c>
      <c r="BC668" s="6"/>
      <c r="BD668" s="29">
        <f t="shared" si="368"/>
        <v>0</v>
      </c>
      <c r="BE668" s="322"/>
      <c r="BF668" s="322"/>
      <c r="BG668" s="322"/>
      <c r="BH668" s="322"/>
      <c r="BI668" s="322"/>
      <c r="BJ668" s="322"/>
      <c r="BK668" s="29">
        <f t="shared" si="345"/>
        <v>0</v>
      </c>
      <c r="BL668" s="322"/>
      <c r="BM668" s="322"/>
      <c r="BN668" s="322"/>
      <c r="BO668" s="322"/>
      <c r="BP668" s="322"/>
      <c r="BQ668" s="322"/>
      <c r="BR668" s="322"/>
      <c r="BS668" s="322"/>
      <c r="BT668" s="322"/>
      <c r="BU668" s="322"/>
      <c r="BV668" s="322"/>
      <c r="BW668" s="322"/>
      <c r="BX668" s="322"/>
      <c r="BY668" s="322"/>
      <c r="BZ668" s="322"/>
      <c r="CA668" s="322"/>
      <c r="CB668" s="322"/>
      <c r="CC668" s="322"/>
      <c r="CD668" s="322"/>
      <c r="CE668" s="322"/>
      <c r="CF668" s="322"/>
      <c r="CG668" s="322"/>
      <c r="CH668" s="322"/>
      <c r="CI668" s="322"/>
      <c r="CM668" s="1139">
        <v>0</v>
      </c>
      <c r="CN668" s="1139">
        <v>0</v>
      </c>
      <c r="CP668" s="923">
        <f t="shared" si="364"/>
        <v>0</v>
      </c>
      <c r="CZ668" s="330"/>
    </row>
    <row r="669" spans="1:104" ht="15" customHeight="1" x14ac:dyDescent="0.25">
      <c r="A669" s="684">
        <f>MAX($A$6:A668)+1</f>
        <v>669</v>
      </c>
      <c r="B669" s="3">
        <f t="shared" si="378"/>
        <v>5.0999999999999996</v>
      </c>
      <c r="C669" s="11" t="str">
        <f t="shared" si="369"/>
        <v>Consolidated property, plant and equipment 2025-26</v>
      </c>
      <c r="D669" s="11" t="str">
        <f>D668</f>
        <v>Plant &amp; Machinery</v>
      </c>
      <c r="E669" s="7" t="s">
        <v>810</v>
      </c>
      <c r="F669" s="15"/>
      <c r="G669" s="1254"/>
      <c r="H669" s="6">
        <v>0</v>
      </c>
      <c r="I669" s="6">
        <v>0</v>
      </c>
      <c r="J669" s="1257" t="s">
        <v>866</v>
      </c>
      <c r="K669" s="251">
        <f>SUMIF('alb Note 5.1 -PP&amp;E - CY'!$A:$A,$J669,'alb Note 5.1 -PP&amp;E - CY'!$E:$E)</f>
        <v>0</v>
      </c>
      <c r="L669" s="251">
        <f>SUMIF('alb Note 5.1 -PP&amp;E - CY'!$A:$A,$J669,'alb Note 5.1 -PP&amp;E - CY'!$P:$P)</f>
        <v>0</v>
      </c>
      <c r="M669" s="10"/>
      <c r="N669" s="273">
        <f t="shared" si="374"/>
        <v>0</v>
      </c>
      <c r="O669" s="12"/>
      <c r="P669" s="12"/>
      <c r="Q669" s="12"/>
      <c r="R669" s="12"/>
      <c r="S669" s="6">
        <f t="shared" si="352"/>
        <v>0</v>
      </c>
      <c r="T669" s="273">
        <f t="shared" si="375"/>
        <v>0</v>
      </c>
      <c r="U669" s="6">
        <f t="shared" si="376"/>
        <v>0</v>
      </c>
      <c r="V669" s="6"/>
      <c r="W669" s="6">
        <f t="shared" si="371"/>
        <v>0</v>
      </c>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X669" s="6"/>
      <c r="AY669" s="6">
        <f>ROUND(AX669/1000/Update!$B$31*Update!$B$27,0)</f>
        <v>0</v>
      </c>
      <c r="BA669" s="6"/>
      <c r="BB669" s="6">
        <f>ROUND(BA669/1000/Update!$B$31,0)</f>
        <v>0</v>
      </c>
      <c r="BC669" s="6"/>
      <c r="BD669" s="29">
        <f t="shared" si="368"/>
        <v>0</v>
      </c>
      <c r="BE669" s="322"/>
      <c r="BF669" s="322"/>
      <c r="BG669" s="322"/>
      <c r="BH669" s="322"/>
      <c r="BI669" s="322"/>
      <c r="BJ669" s="322"/>
      <c r="BK669" s="29">
        <f t="shared" si="345"/>
        <v>0</v>
      </c>
      <c r="BL669" s="322"/>
      <c r="BM669" s="322"/>
      <c r="BN669" s="322"/>
      <c r="BO669" s="322"/>
      <c r="BP669" s="322"/>
      <c r="BQ669" s="322"/>
      <c r="BR669" s="322"/>
      <c r="BS669" s="322"/>
      <c r="BT669" s="322"/>
      <c r="BU669" s="322"/>
      <c r="BV669" s="322"/>
      <c r="BW669" s="322"/>
      <c r="BX669" s="322"/>
      <c r="BY669" s="322"/>
      <c r="BZ669" s="322"/>
      <c r="CA669" s="322"/>
      <c r="CB669" s="322"/>
      <c r="CC669" s="322"/>
      <c r="CD669" s="322"/>
      <c r="CE669" s="322"/>
      <c r="CF669" s="322"/>
      <c r="CG669" s="322"/>
      <c r="CH669" s="322"/>
      <c r="CI669" s="322"/>
      <c r="CM669" s="1139">
        <v>0</v>
      </c>
      <c r="CN669" s="1139">
        <v>0</v>
      </c>
      <c r="CP669" s="923">
        <f t="shared" si="364"/>
        <v>0</v>
      </c>
      <c r="CZ669" s="330"/>
    </row>
    <row r="670" spans="1:104" ht="15" customHeight="1" x14ac:dyDescent="0.25">
      <c r="A670" s="684">
        <f>MAX($A$6:A669)+1</f>
        <v>670</v>
      </c>
      <c r="B670" s="3">
        <f t="shared" si="378"/>
        <v>5.0999999999999996</v>
      </c>
      <c r="C670" s="11" t="str">
        <f>C668</f>
        <v>Consolidated property, plant and equipment 2025-26</v>
      </c>
      <c r="D670" s="11" t="str">
        <f>D668</f>
        <v>Plant &amp; Machinery</v>
      </c>
      <c r="E670" s="7" t="s">
        <v>867</v>
      </c>
      <c r="F670" s="15"/>
      <c r="G670" s="1254" t="s">
        <v>187</v>
      </c>
      <c r="H670" s="6">
        <v>0</v>
      </c>
      <c r="I670" s="6">
        <v>0</v>
      </c>
      <c r="J670" s="1257" t="s">
        <v>867</v>
      </c>
      <c r="K670" s="251">
        <f>SUMIF('alb Note 5.1 -PP&amp;E - CY'!$A:$A,$J670,'alb Note 5.1 -PP&amp;E - CY'!$E:$E)</f>
        <v>0</v>
      </c>
      <c r="L670" s="251">
        <f>SUMIF('alb Note 5.1 -PP&amp;E - CY'!$A:$A,$J670,'alb Note 5.1 -PP&amp;E - CY'!$P:$P)</f>
        <v>0</v>
      </c>
      <c r="M670" s="10"/>
      <c r="N670" s="273">
        <f t="shared" si="374"/>
        <v>0</v>
      </c>
      <c r="O670" s="12"/>
      <c r="P670" s="12"/>
      <c r="Q670" s="12"/>
      <c r="R670" s="12"/>
      <c r="S670" s="6">
        <f t="shared" si="352"/>
        <v>0</v>
      </c>
      <c r="T670" s="273">
        <f t="shared" si="375"/>
        <v>0</v>
      </c>
      <c r="U670" s="6">
        <f t="shared" si="376"/>
        <v>0</v>
      </c>
      <c r="V670" s="6"/>
      <c r="W670" s="6">
        <f t="shared" si="371"/>
        <v>0</v>
      </c>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X670" s="6"/>
      <c r="AY670" s="6">
        <f>ROUND(AX670/1000/Update!$B$31*Update!$B$27,0)</f>
        <v>0</v>
      </c>
      <c r="BA670" s="6"/>
      <c r="BB670" s="6">
        <f>ROUND(BA670/1000/Update!$B$31,0)</f>
        <v>0</v>
      </c>
      <c r="BC670" s="6"/>
      <c r="BD670" s="29">
        <f t="shared" si="368"/>
        <v>0</v>
      </c>
      <c r="BE670" s="322"/>
      <c r="BF670" s="322"/>
      <c r="BG670" s="322"/>
      <c r="BH670" s="322"/>
      <c r="BI670" s="322"/>
      <c r="BJ670" s="322"/>
      <c r="BK670" s="29">
        <f t="shared" si="345"/>
        <v>0</v>
      </c>
      <c r="BL670" s="322"/>
      <c r="BM670" s="322"/>
      <c r="BN670" s="322"/>
      <c r="BO670" s="322"/>
      <c r="BP670" s="322"/>
      <c r="BQ670" s="322"/>
      <c r="BR670" s="322"/>
      <c r="BS670" s="322"/>
      <c r="BT670" s="322"/>
      <c r="BU670" s="322"/>
      <c r="BV670" s="322"/>
      <c r="BW670" s="322"/>
      <c r="BX670" s="322"/>
      <c r="BY670" s="322"/>
      <c r="BZ670" s="322"/>
      <c r="CA670" s="322"/>
      <c r="CB670" s="322"/>
      <c r="CC670" s="322"/>
      <c r="CD670" s="322"/>
      <c r="CE670" s="322"/>
      <c r="CF670" s="322"/>
      <c r="CG670" s="322"/>
      <c r="CH670" s="322"/>
      <c r="CI670" s="322"/>
      <c r="CM670" s="1139">
        <v>0</v>
      </c>
      <c r="CN670" s="1139">
        <v>0</v>
      </c>
      <c r="CP670" s="923">
        <f t="shared" si="364"/>
        <v>0</v>
      </c>
      <c r="CZ670" s="330"/>
    </row>
    <row r="671" spans="1:104" ht="15" customHeight="1" x14ac:dyDescent="0.25">
      <c r="A671" s="684">
        <f>MAX($A$6:A670)+1</f>
        <v>671</v>
      </c>
      <c r="B671" s="3">
        <f t="shared" si="378"/>
        <v>5.0999999999999996</v>
      </c>
      <c r="C671" s="11" t="str">
        <f t="shared" si="369"/>
        <v>Consolidated property, plant and equipment 2025-26</v>
      </c>
      <c r="D671" s="11" t="str">
        <f t="shared" si="377"/>
        <v>Plant &amp; Machinery</v>
      </c>
      <c r="E671" s="7" t="s">
        <v>868</v>
      </c>
      <c r="F671" s="15"/>
      <c r="G671" s="1254" t="s">
        <v>188</v>
      </c>
      <c r="H671" s="6">
        <v>0</v>
      </c>
      <c r="I671" s="6">
        <v>0</v>
      </c>
      <c r="J671" s="1257" t="s">
        <v>868</v>
      </c>
      <c r="K671" s="251">
        <f>SUMIF('alb Note 5.1 -PP&amp;E - CY'!$A:$A,$J671,'alb Note 5.1 -PP&amp;E - CY'!$E:$E)</f>
        <v>0</v>
      </c>
      <c r="L671" s="251">
        <f>SUMIF('alb Note 5.1 -PP&amp;E - CY'!$A:$A,$J671,'alb Note 5.1 -PP&amp;E - CY'!$P:$P)</f>
        <v>0</v>
      </c>
      <c r="M671" s="10"/>
      <c r="N671" s="273">
        <f t="shared" si="374"/>
        <v>0</v>
      </c>
      <c r="O671" s="12"/>
      <c r="P671" s="12"/>
      <c r="Q671" s="12"/>
      <c r="R671" s="12"/>
      <c r="S671" s="6">
        <f t="shared" si="352"/>
        <v>0</v>
      </c>
      <c r="T671" s="273">
        <f t="shared" si="375"/>
        <v>0</v>
      </c>
      <c r="U671" s="6">
        <f t="shared" si="376"/>
        <v>0</v>
      </c>
      <c r="V671" s="6"/>
      <c r="W671" s="6">
        <f t="shared" si="371"/>
        <v>0</v>
      </c>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X671" s="6"/>
      <c r="AY671" s="6">
        <f>ROUND(AX671/1000/Update!$B$31*Update!$B$27,0)</f>
        <v>0</v>
      </c>
      <c r="BA671" s="6"/>
      <c r="BB671" s="6">
        <f>ROUND(BA671/1000/Update!$B$31,0)</f>
        <v>0</v>
      </c>
      <c r="BC671" s="6"/>
      <c r="BD671" s="29">
        <f t="shared" si="368"/>
        <v>0</v>
      </c>
      <c r="BE671" s="322"/>
      <c r="BF671" s="322"/>
      <c r="BG671" s="322"/>
      <c r="BH671" s="322"/>
      <c r="BI671" s="322"/>
      <c r="BJ671" s="322"/>
      <c r="BK671" s="29">
        <f t="shared" si="345"/>
        <v>0</v>
      </c>
      <c r="BL671" s="322"/>
      <c r="BM671" s="322"/>
      <c r="BN671" s="322"/>
      <c r="BO671" s="322"/>
      <c r="BP671" s="322"/>
      <c r="BQ671" s="322"/>
      <c r="BR671" s="322"/>
      <c r="BS671" s="322"/>
      <c r="BT671" s="322"/>
      <c r="BU671" s="322"/>
      <c r="BV671" s="322"/>
      <c r="BW671" s="322"/>
      <c r="BX671" s="322"/>
      <c r="BY671" s="322"/>
      <c r="BZ671" s="322"/>
      <c r="CA671" s="322"/>
      <c r="CB671" s="322"/>
      <c r="CC671" s="322"/>
      <c r="CD671" s="322"/>
      <c r="CE671" s="322"/>
      <c r="CF671" s="322"/>
      <c r="CG671" s="322"/>
      <c r="CH671" s="322"/>
      <c r="CI671" s="322"/>
      <c r="CM671" s="1139">
        <v>0</v>
      </c>
      <c r="CN671" s="1139">
        <v>0</v>
      </c>
      <c r="CP671" s="923">
        <f t="shared" si="364"/>
        <v>0</v>
      </c>
      <c r="CZ671" s="330"/>
    </row>
    <row r="672" spans="1:104" ht="15" customHeight="1" x14ac:dyDescent="0.25">
      <c r="A672" s="684">
        <f>MAX($A$6:A671)+1</f>
        <v>672</v>
      </c>
      <c r="B672" s="3">
        <f t="shared" si="378"/>
        <v>5.0999999999999996</v>
      </c>
      <c r="C672" s="11" t="str">
        <f t="shared" si="369"/>
        <v>Consolidated property, plant and equipment 2025-26</v>
      </c>
      <c r="D672" s="11" t="str">
        <f t="shared" si="377"/>
        <v>Plant &amp; Machinery</v>
      </c>
      <c r="E672" s="7" t="s">
        <v>1416</v>
      </c>
      <c r="F672" s="15"/>
      <c r="G672" s="1254" t="s">
        <v>189</v>
      </c>
      <c r="H672" s="6">
        <v>0</v>
      </c>
      <c r="I672" s="6">
        <v>0</v>
      </c>
      <c r="J672" s="1257" t="s">
        <v>870</v>
      </c>
      <c r="K672" s="251">
        <f>SUMIF('alb Note 5.1 -PP&amp;E - CY'!$A:$A,$J672,'alb Note 5.1 -PP&amp;E - CY'!$E:$E)</f>
        <v>0</v>
      </c>
      <c r="L672" s="251">
        <f>SUMIF('alb Note 5.1 -PP&amp;E - CY'!$A:$A,$J672,'alb Note 5.1 -PP&amp;E - CY'!$P:$P)</f>
        <v>0</v>
      </c>
      <c r="M672" s="10"/>
      <c r="N672" s="273">
        <f t="shared" si="374"/>
        <v>0</v>
      </c>
      <c r="O672" s="12"/>
      <c r="P672" s="12"/>
      <c r="Q672" s="12"/>
      <c r="R672" s="12"/>
      <c r="S672" s="6">
        <f t="shared" si="352"/>
        <v>0</v>
      </c>
      <c r="T672" s="273">
        <f t="shared" si="375"/>
        <v>0</v>
      </c>
      <c r="U672" s="6">
        <f t="shared" si="376"/>
        <v>0</v>
      </c>
      <c r="V672" s="6"/>
      <c r="W672" s="6">
        <f t="shared" si="371"/>
        <v>0</v>
      </c>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X672" s="6"/>
      <c r="AY672" s="6">
        <f>ROUND(AX672/1000/Update!$B$31*Update!$B$27,0)</f>
        <v>0</v>
      </c>
      <c r="BA672" s="6"/>
      <c r="BB672" s="6">
        <f>ROUND(BA672/1000/Update!$B$31,0)</f>
        <v>0</v>
      </c>
      <c r="BC672" s="6"/>
      <c r="BD672" s="29">
        <f t="shared" si="368"/>
        <v>0</v>
      </c>
      <c r="BE672" s="322"/>
      <c r="BF672" s="322"/>
      <c r="BG672" s="322"/>
      <c r="BH672" s="322"/>
      <c r="BI672" s="322"/>
      <c r="BJ672" s="322"/>
      <c r="BK672" s="29">
        <f t="shared" si="345"/>
        <v>0</v>
      </c>
      <c r="BL672" s="322"/>
      <c r="BM672" s="322"/>
      <c r="BN672" s="322"/>
      <c r="BO672" s="322"/>
      <c r="BP672" s="322"/>
      <c r="BQ672" s="322"/>
      <c r="BR672" s="322"/>
      <c r="BS672" s="322"/>
      <c r="BT672" s="322"/>
      <c r="BU672" s="322"/>
      <c r="BV672" s="322"/>
      <c r="BW672" s="322"/>
      <c r="BX672" s="322"/>
      <c r="BY672" s="322"/>
      <c r="BZ672" s="322"/>
      <c r="CA672" s="322"/>
      <c r="CB672" s="322"/>
      <c r="CC672" s="322"/>
      <c r="CD672" s="322"/>
      <c r="CE672" s="322"/>
      <c r="CF672" s="322"/>
      <c r="CG672" s="322"/>
      <c r="CH672" s="322"/>
      <c r="CI672" s="322"/>
      <c r="CM672" s="1139">
        <v>0</v>
      </c>
      <c r="CN672" s="1139">
        <v>0</v>
      </c>
      <c r="CP672" s="923">
        <f t="shared" si="364"/>
        <v>0</v>
      </c>
      <c r="CZ672" s="330"/>
    </row>
    <row r="673" spans="1:104" ht="15" customHeight="1" x14ac:dyDescent="0.25">
      <c r="A673" s="701">
        <f>MAX($A$6:A672)+1</f>
        <v>673</v>
      </c>
      <c r="B673" s="1291">
        <f t="shared" si="378"/>
        <v>5.0999999999999996</v>
      </c>
      <c r="C673" s="18" t="str">
        <f t="shared" si="369"/>
        <v>Consolidated property, plant and equipment 2025-26</v>
      </c>
      <c r="D673" s="18" t="str">
        <f t="shared" si="377"/>
        <v>Plant &amp; Machinery</v>
      </c>
      <c r="E673" s="19" t="str">
        <f>Update!$B$22</f>
        <v xml:space="preserve"> 31 March 2026</v>
      </c>
      <c r="F673" s="20"/>
      <c r="G673" s="28"/>
      <c r="H673" s="14">
        <f>SUM(H663:H672)</f>
        <v>158</v>
      </c>
      <c r="I673" s="14">
        <f>SUM(I663:I672)</f>
        <v>0</v>
      </c>
      <c r="J673" s="19" t="str">
        <f>Update!$B$22</f>
        <v xml:space="preserve"> 31 March 2026</v>
      </c>
      <c r="K673" s="256">
        <f>SUM(K663:K672)</f>
        <v>0</v>
      </c>
      <c r="L673" s="256">
        <f>SUM(L663:L672)</f>
        <v>0</v>
      </c>
      <c r="M673" s="21"/>
      <c r="N673" s="14">
        <f>ROUND(SUM(O673:S673)+T673+SUM(Z673:AV673),0)</f>
        <v>158</v>
      </c>
      <c r="O673" s="14">
        <f t="shared" ref="O673:V673" si="379">SUM(O663:O672)</f>
        <v>0</v>
      </c>
      <c r="P673" s="14">
        <f t="shared" si="379"/>
        <v>0</v>
      </c>
      <c r="Q673" s="14">
        <f t="shared" si="379"/>
        <v>0</v>
      </c>
      <c r="R673" s="14">
        <f t="shared" si="379"/>
        <v>0</v>
      </c>
      <c r="S673" s="14">
        <f t="shared" si="352"/>
        <v>0</v>
      </c>
      <c r="T673" s="14">
        <f t="shared" si="379"/>
        <v>158</v>
      </c>
      <c r="U673" s="14">
        <f>SUM(U663:U672)</f>
        <v>0</v>
      </c>
      <c r="V673" s="14">
        <f t="shared" si="379"/>
        <v>0</v>
      </c>
      <c r="W673" s="14">
        <f>SUM(W663:W672)</f>
        <v>158</v>
      </c>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2"/>
      <c r="AX673" s="14">
        <f>SUM(AX663:AX672)</f>
        <v>0</v>
      </c>
      <c r="AY673" s="14">
        <f>ROUND(AX673/1000/Update!$B$31*Update!$B$27,0)</f>
        <v>0</v>
      </c>
      <c r="AZ673" s="2"/>
      <c r="BA673" s="14">
        <f>SUM(BA663:BA672)</f>
        <v>0</v>
      </c>
      <c r="BB673" s="14">
        <f>ROUND(BA673/1000/Update!$B$31,0)</f>
        <v>0</v>
      </c>
      <c r="BC673" s="14"/>
      <c r="BD673" s="14">
        <f t="shared" si="368"/>
        <v>0</v>
      </c>
      <c r="BE673" s="14">
        <f t="shared" ref="BE673:BJ673" si="380">SUM(BE663:BE672)</f>
        <v>0</v>
      </c>
      <c r="BF673" s="14">
        <f t="shared" si="380"/>
        <v>0</v>
      </c>
      <c r="BG673" s="14">
        <f t="shared" si="380"/>
        <v>0</v>
      </c>
      <c r="BH673" s="14">
        <f t="shared" si="380"/>
        <v>0</v>
      </c>
      <c r="BI673" s="14">
        <f t="shared" si="380"/>
        <v>0</v>
      </c>
      <c r="BJ673" s="14">
        <f t="shared" si="380"/>
        <v>0</v>
      </c>
      <c r="BK673" s="14">
        <f t="shared" si="345"/>
        <v>0</v>
      </c>
      <c r="BL673" s="14"/>
      <c r="BM673" s="14"/>
      <c r="BN673" s="14"/>
      <c r="BO673" s="14"/>
      <c r="BP673" s="14"/>
      <c r="BQ673" s="14"/>
      <c r="BR673" s="14"/>
      <c r="BS673" s="14"/>
      <c r="BT673" s="324"/>
      <c r="BU673" s="14"/>
      <c r="BV673" s="14"/>
      <c r="BW673" s="14"/>
      <c r="BX673" s="14"/>
      <c r="BY673" s="14"/>
      <c r="BZ673" s="14"/>
      <c r="CA673" s="14"/>
      <c r="CB673" s="14"/>
      <c r="CC673" s="14"/>
      <c r="CD673" s="14"/>
      <c r="CE673" s="14"/>
      <c r="CF673" s="14"/>
      <c r="CG673" s="14"/>
      <c r="CH673" s="14"/>
      <c r="CI673" s="14"/>
      <c r="CJ673" s="2"/>
      <c r="CK673" s="2"/>
      <c r="CM673" s="1450">
        <v>0</v>
      </c>
      <c r="CN673" s="1450">
        <v>0</v>
      </c>
      <c r="CP673" s="923">
        <f t="shared" si="364"/>
        <v>0</v>
      </c>
      <c r="CZ673" s="330"/>
    </row>
    <row r="674" spans="1:104" ht="15" customHeight="1" x14ac:dyDescent="0.25">
      <c r="A674" s="701">
        <f>MAX($A$6:A673)+1</f>
        <v>674</v>
      </c>
      <c r="B674" s="1291">
        <f t="shared" si="378"/>
        <v>5.0999999999999996</v>
      </c>
      <c r="C674" s="18" t="str">
        <f t="shared" si="369"/>
        <v>Consolidated property, plant and equipment 2025-26</v>
      </c>
      <c r="D674" s="18" t="str">
        <f t="shared" si="377"/>
        <v>Plant &amp; Machinery</v>
      </c>
      <c r="E674" s="19" t="str">
        <f>"Carrying amount "&amp;Update!$B$22</f>
        <v>Carrying amount  31 March 2026</v>
      </c>
      <c r="F674" s="20"/>
      <c r="G674" s="28"/>
      <c r="H674" s="14">
        <f>H659-H673</f>
        <v>18772</v>
      </c>
      <c r="I674" s="14">
        <f>I659-I673</f>
        <v>0</v>
      </c>
      <c r="J674" s="19" t="str">
        <f>"Carrying amount "&amp;Update!$B$22</f>
        <v>Carrying amount  31 March 2026</v>
      </c>
      <c r="K674" s="256">
        <f>K659-K673</f>
        <v>0</v>
      </c>
      <c r="L674" s="256">
        <f>L659-L673</f>
        <v>0</v>
      </c>
      <c r="M674" s="21"/>
      <c r="N674" s="14">
        <f>ROUND(SUM(O674:S674)+T674+SUM(Z674:AV674),0)</f>
        <v>18772</v>
      </c>
      <c r="O674" s="14">
        <f t="shared" ref="O674:V674" si="381">O659-O673</f>
        <v>0</v>
      </c>
      <c r="P674" s="14">
        <f t="shared" si="381"/>
        <v>0</v>
      </c>
      <c r="Q674" s="14">
        <f t="shared" si="381"/>
        <v>0</v>
      </c>
      <c r="R674" s="14">
        <f t="shared" si="381"/>
        <v>0</v>
      </c>
      <c r="S674" s="14">
        <f t="shared" si="352"/>
        <v>0</v>
      </c>
      <c r="T674" s="14">
        <f t="shared" si="381"/>
        <v>18772</v>
      </c>
      <c r="U674" s="14">
        <f t="shared" si="381"/>
        <v>0</v>
      </c>
      <c r="V674" s="14">
        <f t="shared" si="381"/>
        <v>0</v>
      </c>
      <c r="W674" s="14">
        <f>W659-W673</f>
        <v>18772</v>
      </c>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2"/>
      <c r="AX674" s="14">
        <f>AX659-AX673</f>
        <v>0</v>
      </c>
      <c r="AY674" s="14">
        <f>ROUND(AX674/1000/Update!$B$31*Update!$B$27,0)</f>
        <v>0</v>
      </c>
      <c r="AZ674" s="2"/>
      <c r="BA674" s="14">
        <f>BA659-BA673</f>
        <v>0</v>
      </c>
      <c r="BB674" s="14">
        <f>ROUND(BA674/1000/Update!$B$31,0)</f>
        <v>0</v>
      </c>
      <c r="BC674" s="14"/>
      <c r="BD674" s="14">
        <f t="shared" si="368"/>
        <v>0</v>
      </c>
      <c r="BE674" s="14">
        <f t="shared" ref="BE674:BJ674" si="382">BE659-BE673</f>
        <v>0</v>
      </c>
      <c r="BF674" s="14">
        <f t="shared" si="382"/>
        <v>0</v>
      </c>
      <c r="BG674" s="14">
        <f t="shared" si="382"/>
        <v>0</v>
      </c>
      <c r="BH674" s="14">
        <f t="shared" si="382"/>
        <v>0</v>
      </c>
      <c r="BI674" s="14">
        <f t="shared" si="382"/>
        <v>0</v>
      </c>
      <c r="BJ674" s="14">
        <f t="shared" si="382"/>
        <v>0</v>
      </c>
      <c r="BK674" s="14">
        <f t="shared" si="345"/>
        <v>0</v>
      </c>
      <c r="BL674" s="14"/>
      <c r="BM674" s="14"/>
      <c r="BN674" s="14"/>
      <c r="BO674" s="14"/>
      <c r="BP674" s="14"/>
      <c r="BQ674" s="14"/>
      <c r="BR674" s="14"/>
      <c r="BS674" s="14"/>
      <c r="BT674" s="324"/>
      <c r="BU674" s="14"/>
      <c r="BV674" s="14"/>
      <c r="BW674" s="14"/>
      <c r="BX674" s="14"/>
      <c r="BY674" s="14"/>
      <c r="BZ674" s="14"/>
      <c r="CA674" s="14"/>
      <c r="CB674" s="14"/>
      <c r="CC674" s="14"/>
      <c r="CD674" s="14"/>
      <c r="CE674" s="14"/>
      <c r="CF674" s="14"/>
      <c r="CG674" s="14"/>
      <c r="CH674" s="14"/>
      <c r="CI674" s="14"/>
      <c r="CJ674" s="2"/>
      <c r="CK674" s="2"/>
      <c r="CM674" s="1450">
        <v>0</v>
      </c>
      <c r="CN674" s="1450">
        <v>0</v>
      </c>
      <c r="CP674" s="923">
        <f t="shared" si="364"/>
        <v>0</v>
      </c>
      <c r="CZ674" s="330"/>
    </row>
    <row r="675" spans="1:104" ht="15" customHeight="1" x14ac:dyDescent="0.25">
      <c r="A675" s="701">
        <f>MAX($A$6:A674)+1</f>
        <v>675</v>
      </c>
      <c r="B675" s="1291">
        <f t="shared" si="378"/>
        <v>5.0999999999999996</v>
      </c>
      <c r="C675" s="18" t="str">
        <f t="shared" si="369"/>
        <v>Consolidated property, plant and equipment 2025-26</v>
      </c>
      <c r="D675" s="18" t="str">
        <f t="shared" si="377"/>
        <v>Plant &amp; Machinery</v>
      </c>
      <c r="E675" s="19" t="str">
        <f>"Carrying amount "&amp;Update!$B$24</f>
        <v>Carrying amount  31 March 2025</v>
      </c>
      <c r="F675" s="20"/>
      <c r="G675" s="28"/>
      <c r="H675" s="14">
        <f>H646-H661</f>
        <v>18772</v>
      </c>
      <c r="I675" s="14">
        <f>I648-I661</f>
        <v>0</v>
      </c>
      <c r="J675" s="19" t="str">
        <f>"Carrying amount "&amp;Update!$B$24</f>
        <v>Carrying amount  31 March 2025</v>
      </c>
      <c r="K675" s="256">
        <f>K646-K661</f>
        <v>0</v>
      </c>
      <c r="L675" s="256">
        <f>L646-L661</f>
        <v>0</v>
      </c>
      <c r="M675" s="21"/>
      <c r="N675" s="14">
        <f>ROUND(SUM(O675:S675)+T675+SUM(Z675:AV675),0)</f>
        <v>18772</v>
      </c>
      <c r="O675" s="14">
        <f t="shared" ref="O675:V675" si="383">O648-O661</f>
        <v>0</v>
      </c>
      <c r="P675" s="14">
        <f t="shared" si="383"/>
        <v>0</v>
      </c>
      <c r="Q675" s="14">
        <f t="shared" si="383"/>
        <v>0</v>
      </c>
      <c r="R675" s="14">
        <f t="shared" si="383"/>
        <v>0</v>
      </c>
      <c r="S675" s="14">
        <f t="shared" si="352"/>
        <v>0</v>
      </c>
      <c r="T675" s="14">
        <f t="shared" si="383"/>
        <v>18772</v>
      </c>
      <c r="U675" s="14">
        <f t="shared" si="383"/>
        <v>0</v>
      </c>
      <c r="V675" s="14">
        <f t="shared" si="383"/>
        <v>0</v>
      </c>
      <c r="W675" s="14">
        <f>W648-W661</f>
        <v>18772</v>
      </c>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2"/>
      <c r="AX675" s="14">
        <f>AX648-AX661</f>
        <v>0</v>
      </c>
      <c r="AY675" s="14">
        <f>ROUND(AX675/1000/Update!$B$31*Update!$B$27,0)</f>
        <v>0</v>
      </c>
      <c r="AZ675" s="2"/>
      <c r="BA675" s="14">
        <f>BA648-BA661</f>
        <v>0</v>
      </c>
      <c r="BB675" s="14">
        <f>ROUND(BA675/1000/Update!$B$31,0)</f>
        <v>0</v>
      </c>
      <c r="BC675" s="14"/>
      <c r="BD675" s="14">
        <f t="shared" si="368"/>
        <v>0</v>
      </c>
      <c r="BE675" s="14">
        <f t="shared" ref="BE675:BJ675" si="384">BE648-BE661</f>
        <v>0</v>
      </c>
      <c r="BF675" s="14">
        <f t="shared" si="384"/>
        <v>0</v>
      </c>
      <c r="BG675" s="14">
        <f t="shared" si="384"/>
        <v>0</v>
      </c>
      <c r="BH675" s="14">
        <f t="shared" si="384"/>
        <v>0</v>
      </c>
      <c r="BI675" s="14">
        <f t="shared" si="384"/>
        <v>0</v>
      </c>
      <c r="BJ675" s="14">
        <f t="shared" si="384"/>
        <v>0</v>
      </c>
      <c r="BK675" s="14">
        <f t="shared" si="345"/>
        <v>0</v>
      </c>
      <c r="BL675" s="14"/>
      <c r="BM675" s="14"/>
      <c r="BN675" s="14"/>
      <c r="BO675" s="14"/>
      <c r="BP675" s="14"/>
      <c r="BQ675" s="14"/>
      <c r="BR675" s="14"/>
      <c r="BS675" s="14"/>
      <c r="BT675" s="324"/>
      <c r="BU675" s="14"/>
      <c r="BV675" s="14"/>
      <c r="BW675" s="14"/>
      <c r="BX675" s="14"/>
      <c r="BY675" s="14"/>
      <c r="BZ675" s="14"/>
      <c r="CA675" s="14"/>
      <c r="CB675" s="14"/>
      <c r="CC675" s="14"/>
      <c r="CD675" s="14"/>
      <c r="CE675" s="14"/>
      <c r="CF675" s="14"/>
      <c r="CG675" s="14"/>
      <c r="CH675" s="14"/>
      <c r="CI675" s="14"/>
      <c r="CJ675" s="2"/>
      <c r="CK675" s="2"/>
      <c r="CM675" s="1450">
        <v>0</v>
      </c>
      <c r="CN675" s="1450">
        <v>0</v>
      </c>
      <c r="CP675" s="923">
        <f t="shared" si="364"/>
        <v>0</v>
      </c>
      <c r="CZ675" s="330"/>
    </row>
    <row r="676" spans="1:104" ht="15" customHeight="1" x14ac:dyDescent="0.25">
      <c r="A676" s="684">
        <f>MAX($A$6:A675)+1</f>
        <v>676</v>
      </c>
      <c r="B676" s="3">
        <f t="shared" si="378"/>
        <v>5.0999999999999996</v>
      </c>
      <c r="C676" s="11" t="str">
        <f t="shared" si="369"/>
        <v>Consolidated property, plant and equipment 2025-26</v>
      </c>
      <c r="D676" s="11" t="str">
        <f t="shared" si="377"/>
        <v>Plant &amp; Machinery</v>
      </c>
      <c r="E676" s="13" t="s">
        <v>194</v>
      </c>
      <c r="F676" s="15"/>
      <c r="G676" s="26"/>
      <c r="H676" s="6"/>
      <c r="I676" s="6"/>
      <c r="J676" s="1257" t="s">
        <v>286</v>
      </c>
      <c r="K676" s="251">
        <f>SUMIF('alb Note 5.1 -PP&amp;E - CY'!$A:$A,$J676,'alb Note 5.1 -PP&amp;E - CY'!$E:$E)</f>
        <v>0</v>
      </c>
      <c r="L676" s="251">
        <f>SUMIF('alb Note 5.1 -PP&amp;E - CY'!$A:$A,$J676,'alb Note 5.1 -PP&amp;E - CY'!$P:$P)</f>
        <v>0</v>
      </c>
      <c r="M676" s="10"/>
      <c r="N676" s="273">
        <f>ROUND(SUM(O676:S676)+SUM(W676:AV676),0)</f>
        <v>0</v>
      </c>
      <c r="O676" s="12"/>
      <c r="P676" s="12"/>
      <c r="Q676" s="12"/>
      <c r="R676" s="12"/>
      <c r="S676" s="6">
        <f t="shared" si="352"/>
        <v>0</v>
      </c>
      <c r="T676" s="273">
        <f>ROUND(SUM(U676:Y676),0)</f>
        <v>0</v>
      </c>
      <c r="U676" s="6">
        <f>SUM(BL676:BN676)</f>
        <v>0</v>
      </c>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X676" s="6"/>
      <c r="AY676" s="6">
        <f>ROUND(AX676/1000/Update!$B$31*Update!$B$27,0)</f>
        <v>0</v>
      </c>
      <c r="BA676" s="6"/>
      <c r="BB676" s="6">
        <f>ROUND(BA676/1000/Update!$B$31,0)</f>
        <v>0</v>
      </c>
      <c r="BC676" s="6"/>
      <c r="BD676" s="29">
        <f t="shared" si="368"/>
        <v>0</v>
      </c>
      <c r="BE676" s="322"/>
      <c r="BF676" s="322"/>
      <c r="BG676" s="322"/>
      <c r="BH676" s="322"/>
      <c r="BI676" s="322"/>
      <c r="BJ676" s="322"/>
      <c r="BK676" s="29">
        <f t="shared" si="345"/>
        <v>0</v>
      </c>
      <c r="BL676" s="322"/>
      <c r="BM676" s="322"/>
      <c r="BN676" s="322"/>
      <c r="BO676" s="322"/>
      <c r="BP676" s="322"/>
      <c r="BQ676" s="322"/>
      <c r="BR676" s="322"/>
      <c r="BS676" s="322"/>
      <c r="BT676" s="322"/>
      <c r="BU676" s="322"/>
      <c r="BV676" s="322"/>
      <c r="BW676" s="322"/>
      <c r="BX676" s="322"/>
      <c r="BY676" s="322"/>
      <c r="BZ676" s="322"/>
      <c r="CA676" s="322"/>
      <c r="CB676" s="322"/>
      <c r="CC676" s="322"/>
      <c r="CD676" s="322"/>
      <c r="CE676" s="322"/>
      <c r="CF676" s="322"/>
      <c r="CG676" s="322"/>
      <c r="CH676" s="322"/>
      <c r="CI676" s="322"/>
      <c r="CM676" s="1139">
        <v>0</v>
      </c>
      <c r="CN676" s="1139">
        <v>0</v>
      </c>
      <c r="CP676" s="923">
        <f t="shared" si="364"/>
        <v>0</v>
      </c>
      <c r="CZ676" s="330"/>
    </row>
    <row r="677" spans="1:104" ht="15" customHeight="1" x14ac:dyDescent="0.25">
      <c r="A677" s="684">
        <f>MAX($A$6:A676)+1</f>
        <v>677</v>
      </c>
      <c r="B677" s="3">
        <f t="shared" si="378"/>
        <v>5.0999999999999996</v>
      </c>
      <c r="C677" s="11" t="str">
        <f t="shared" si="369"/>
        <v>Consolidated property, plant and equipment 2025-26</v>
      </c>
      <c r="D677" s="11" t="str">
        <f t="shared" si="377"/>
        <v>Plant &amp; Machinery</v>
      </c>
      <c r="E677" s="7" t="s">
        <v>197</v>
      </c>
      <c r="F677" s="15"/>
      <c r="G677" s="1254" t="s">
        <v>443</v>
      </c>
      <c r="H677" s="6">
        <v>18772</v>
      </c>
      <c r="I677" s="6"/>
      <c r="J677" s="1257" t="s">
        <v>197</v>
      </c>
      <c r="K677" s="251">
        <f>SUMIF('alb Note 5.1 -PP&amp;E - CY'!$A:$A,$J677,'alb Note 5.1 -PP&amp;E - CY'!$E:$E)</f>
        <v>0</v>
      </c>
      <c r="L677" s="251">
        <f>SUMIF('alb Note 5.1 -PP&amp;E - CY'!$A:$A,$J677,'alb Note 5.1 -PP&amp;E - CY'!$P:$P)</f>
        <v>0</v>
      </c>
      <c r="M677" s="10"/>
      <c r="N677" s="273">
        <f>ROUND(SUM(O677:S677)+SUM(W677:AV677),0)</f>
        <v>18772</v>
      </c>
      <c r="O677" s="12"/>
      <c r="P677" s="12"/>
      <c r="Q677" s="12"/>
      <c r="R677" s="12"/>
      <c r="S677" s="6">
        <f t="shared" si="352"/>
        <v>0</v>
      </c>
      <c r="T677" s="273">
        <f>ROUND(SUM(U677:Y677),0)</f>
        <v>18772</v>
      </c>
      <c r="U677" s="6">
        <f>SUM(BL677:BN677)</f>
        <v>0</v>
      </c>
      <c r="V677" s="6"/>
      <c r="W677" s="6">
        <f>+H677</f>
        <v>18772</v>
      </c>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X677" s="6"/>
      <c r="AY677" s="6">
        <f>ROUND(AX677/1000/Update!$B$31*Update!$B$27,0)</f>
        <v>0</v>
      </c>
      <c r="BA677" s="6"/>
      <c r="BB677" s="6">
        <f>ROUND(BA677/1000/Update!$B$31,0)</f>
        <v>0</v>
      </c>
      <c r="BC677" s="6"/>
      <c r="BD677" s="29">
        <f t="shared" si="368"/>
        <v>0</v>
      </c>
      <c r="BE677" s="322"/>
      <c r="BF677" s="322"/>
      <c r="BG677" s="322"/>
      <c r="BH677" s="322"/>
      <c r="BI677" s="322"/>
      <c r="BJ677" s="322"/>
      <c r="BK677" s="29">
        <f t="shared" si="345"/>
        <v>0</v>
      </c>
      <c r="BL677" s="322"/>
      <c r="BM677" s="322"/>
      <c r="BN677" s="322"/>
      <c r="BO677" s="322"/>
      <c r="BP677" s="322"/>
      <c r="BQ677" s="322"/>
      <c r="BR677" s="322"/>
      <c r="BS677" s="322"/>
      <c r="BT677" s="322"/>
      <c r="BU677" s="322"/>
      <c r="BV677" s="322"/>
      <c r="BW677" s="322"/>
      <c r="BX677" s="322"/>
      <c r="BY677" s="322"/>
      <c r="BZ677" s="322"/>
      <c r="CA677" s="322"/>
      <c r="CB677" s="322"/>
      <c r="CC677" s="322"/>
      <c r="CD677" s="322"/>
      <c r="CE677" s="322"/>
      <c r="CF677" s="322"/>
      <c r="CG677" s="322"/>
      <c r="CH677" s="322"/>
      <c r="CI677" s="322"/>
      <c r="CM677" s="1139">
        <v>0</v>
      </c>
      <c r="CN677" s="1139">
        <v>0</v>
      </c>
      <c r="CP677" s="923">
        <f t="shared" si="364"/>
        <v>0</v>
      </c>
      <c r="CZ677" s="330"/>
    </row>
    <row r="678" spans="1:104" ht="15" customHeight="1" x14ac:dyDescent="0.25">
      <c r="A678" s="684">
        <f>MAX($A$6:A677)+1</f>
        <v>678</v>
      </c>
      <c r="B678" s="3">
        <f t="shared" si="378"/>
        <v>5.0999999999999996</v>
      </c>
      <c r="C678" s="11" t="str">
        <f t="shared" si="369"/>
        <v>Consolidated property, plant and equipment 2025-26</v>
      </c>
      <c r="D678" s="11" t="str">
        <f t="shared" si="377"/>
        <v>Plant &amp; Machinery</v>
      </c>
      <c r="E678" s="7" t="s">
        <v>198</v>
      </c>
      <c r="F678" s="15"/>
      <c r="G678" s="1254" t="s">
        <v>444</v>
      </c>
      <c r="H678" s="6">
        <v>0</v>
      </c>
      <c r="I678" s="6">
        <v>0</v>
      </c>
      <c r="J678" s="1257" t="s">
        <v>198</v>
      </c>
      <c r="K678" s="251">
        <f>SUMIF('alb Note 5.1 -PP&amp;E - CY'!$A:$A,$J678,'alb Note 5.1 -PP&amp;E - CY'!$E:$E)</f>
        <v>0</v>
      </c>
      <c r="L678" s="251">
        <f>SUMIF('alb Note 5.1 -PP&amp;E - CY'!$A:$A,$J678,'alb Note 5.1 -PP&amp;E - CY'!$P:$P)</f>
        <v>0</v>
      </c>
      <c r="M678" s="10"/>
      <c r="N678" s="273">
        <f>ROUND(SUM(O678:S678)+SUM(W678:AV678),0)</f>
        <v>0</v>
      </c>
      <c r="O678" s="12"/>
      <c r="P678" s="12"/>
      <c r="Q678" s="12"/>
      <c r="R678" s="12"/>
      <c r="S678" s="6">
        <f t="shared" si="352"/>
        <v>0</v>
      </c>
      <c r="T678" s="273">
        <f>ROUND(SUM(U678:Y678),0)</f>
        <v>0</v>
      </c>
      <c r="U678" s="6">
        <f>SUM(BL678:BN678)</f>
        <v>0</v>
      </c>
      <c r="V678" s="6"/>
      <c r="W678" s="6">
        <f>+H678</f>
        <v>0</v>
      </c>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X678" s="6"/>
      <c r="AY678" s="6">
        <f>ROUND(AX678/1000/Update!$B$31*Update!$B$27,0)</f>
        <v>0</v>
      </c>
      <c r="BA678" s="6"/>
      <c r="BB678" s="6">
        <f>ROUND(BA678/1000/Update!$B$31,0)</f>
        <v>0</v>
      </c>
      <c r="BC678" s="6"/>
      <c r="BD678" s="29">
        <f t="shared" si="368"/>
        <v>0</v>
      </c>
      <c r="BE678" s="322"/>
      <c r="BF678" s="322"/>
      <c r="BG678" s="322"/>
      <c r="BH678" s="322"/>
      <c r="BI678" s="322"/>
      <c r="BJ678" s="322"/>
      <c r="BK678" s="29">
        <f t="shared" si="345"/>
        <v>0</v>
      </c>
      <c r="BL678" s="322"/>
      <c r="BM678" s="322"/>
      <c r="BN678" s="322"/>
      <c r="BO678" s="322"/>
      <c r="BP678" s="322"/>
      <c r="BQ678" s="322"/>
      <c r="BR678" s="322"/>
      <c r="BS678" s="322"/>
      <c r="BT678" s="322"/>
      <c r="BU678" s="322"/>
      <c r="BV678" s="322"/>
      <c r="BW678" s="322"/>
      <c r="BX678" s="322"/>
      <c r="BY678" s="322"/>
      <c r="BZ678" s="322"/>
      <c r="CA678" s="322"/>
      <c r="CB678" s="322"/>
      <c r="CC678" s="322"/>
      <c r="CD678" s="322"/>
      <c r="CE678" s="322"/>
      <c r="CF678" s="322"/>
      <c r="CG678" s="322"/>
      <c r="CH678" s="322"/>
      <c r="CI678" s="322"/>
      <c r="CM678" s="1139">
        <v>0</v>
      </c>
      <c r="CN678" s="1139">
        <v>0</v>
      </c>
      <c r="CP678" s="923">
        <f t="shared" si="364"/>
        <v>0</v>
      </c>
      <c r="CZ678" s="330"/>
    </row>
    <row r="679" spans="1:104" ht="38.25" customHeight="1" x14ac:dyDescent="0.25">
      <c r="A679" s="684">
        <f>MAX($A$6:A678)+1</f>
        <v>679</v>
      </c>
      <c r="B679" s="3">
        <f t="shared" si="378"/>
        <v>5.0999999999999996</v>
      </c>
      <c r="C679" s="11" t="str">
        <f t="shared" si="369"/>
        <v>Consolidated property, plant and equipment 2025-26</v>
      </c>
      <c r="D679" s="11" t="str">
        <f t="shared" si="377"/>
        <v>Plant &amp; Machinery</v>
      </c>
      <c r="E679" s="7" t="s">
        <v>199</v>
      </c>
      <c r="F679" s="15"/>
      <c r="G679" s="1254" t="s">
        <v>199</v>
      </c>
      <c r="H679" s="6">
        <v>0</v>
      </c>
      <c r="I679" s="6">
        <v>0</v>
      </c>
      <c r="J679" s="1257" t="s">
        <v>769</v>
      </c>
      <c r="K679" s="251">
        <f>SUMIF('alb Note 5.1 -PP&amp;E - CY'!$A:$A,$J679,'alb Note 5.1 -PP&amp;E - CY'!$E:$E)</f>
        <v>0</v>
      </c>
      <c r="L679" s="251">
        <f>SUMIF('alb Note 5.1 -PP&amp;E - CY'!$A:$A,$J679,'alb Note 5.1 -PP&amp;E - CY'!$P:$P)</f>
        <v>0</v>
      </c>
      <c r="M679" s="10"/>
      <c r="N679" s="273">
        <f>ROUND(SUM(O679:S679)+SUM(W679:AV679),0)</f>
        <v>0</v>
      </c>
      <c r="O679" s="12"/>
      <c r="P679" s="12"/>
      <c r="Q679" s="12"/>
      <c r="R679" s="12"/>
      <c r="S679" s="6">
        <f t="shared" si="352"/>
        <v>0</v>
      </c>
      <c r="T679" s="273">
        <f>ROUND(SUM(U679:Y679),0)</f>
        <v>0</v>
      </c>
      <c r="U679" s="6">
        <f>SUM(BL679:BN679)</f>
        <v>0</v>
      </c>
      <c r="V679" s="6"/>
      <c r="W679" s="6">
        <f>+H679</f>
        <v>0</v>
      </c>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X679" s="6"/>
      <c r="AY679" s="6">
        <f>ROUND(AX679/1000/Update!$B$31*Update!$B$27,0)</f>
        <v>0</v>
      </c>
      <c r="BA679" s="6"/>
      <c r="BB679" s="6">
        <f>ROUND(BA679/1000/Update!$B$31,0)</f>
        <v>0</v>
      </c>
      <c r="BC679" s="6"/>
      <c r="BD679" s="29">
        <f t="shared" si="368"/>
        <v>0</v>
      </c>
      <c r="BE679" s="322"/>
      <c r="BF679" s="322"/>
      <c r="BG679" s="322"/>
      <c r="BH679" s="322"/>
      <c r="BI679" s="322"/>
      <c r="BJ679" s="322"/>
      <c r="BK679" s="29">
        <f t="shared" si="345"/>
        <v>0</v>
      </c>
      <c r="BL679" s="322"/>
      <c r="BM679" s="322"/>
      <c r="BN679" s="322"/>
      <c r="BO679" s="322"/>
      <c r="BP679" s="322"/>
      <c r="BQ679" s="322"/>
      <c r="BR679" s="322"/>
      <c r="BS679" s="322"/>
      <c r="BT679" s="322"/>
      <c r="BU679" s="322"/>
      <c r="BV679" s="322"/>
      <c r="BW679" s="322"/>
      <c r="BX679" s="322"/>
      <c r="BY679" s="322"/>
      <c r="BZ679" s="322"/>
      <c r="CA679" s="322"/>
      <c r="CB679" s="322"/>
      <c r="CC679" s="322"/>
      <c r="CD679" s="322"/>
      <c r="CE679" s="322"/>
      <c r="CF679" s="322"/>
      <c r="CG679" s="322"/>
      <c r="CH679" s="322"/>
      <c r="CI679" s="322"/>
      <c r="CM679" s="1139">
        <v>0</v>
      </c>
      <c r="CN679" s="1139">
        <v>0</v>
      </c>
      <c r="CP679" s="923">
        <f t="shared" si="364"/>
        <v>0</v>
      </c>
      <c r="CZ679" s="330"/>
    </row>
    <row r="680" spans="1:104" ht="15" customHeight="1" x14ac:dyDescent="0.25">
      <c r="A680" s="684">
        <f>MAX($A$6:A679)+1</f>
        <v>680</v>
      </c>
      <c r="B680" s="3">
        <f t="shared" si="378"/>
        <v>5.0999999999999996</v>
      </c>
      <c r="C680" s="11" t="str">
        <f t="shared" si="369"/>
        <v>Consolidated property, plant and equipment 2025-26</v>
      </c>
      <c r="D680" s="11" t="str">
        <f t="shared" si="377"/>
        <v>Plant &amp; Machinery</v>
      </c>
      <c r="E680" s="7" t="s">
        <v>1695</v>
      </c>
      <c r="F680" s="15"/>
      <c r="G680" s="1254" t="s">
        <v>1695</v>
      </c>
      <c r="H680" s="6">
        <v>0</v>
      </c>
      <c r="I680" s="6">
        <v>0</v>
      </c>
      <c r="J680" s="1257" t="s">
        <v>1695</v>
      </c>
      <c r="K680" s="251">
        <f>SUMIF('alb Note 5.1 -PP&amp;E - CY'!$A:$A,$J680,'alb Note 5.1 -PP&amp;E - CY'!$E:$E)</f>
        <v>0</v>
      </c>
      <c r="L680" s="251">
        <f>SUMIF('alb Note 5.1 -PP&amp;E - CY'!$A:$A,$J680,'alb Note 5.1 -PP&amp;E - CY'!$P:$P)</f>
        <v>0</v>
      </c>
      <c r="M680" s="10"/>
      <c r="N680" s="273">
        <f>ROUND(SUM(O680:S680)+SUM(W680:AV680),0)</f>
        <v>0</v>
      </c>
      <c r="O680" s="12"/>
      <c r="P680" s="12"/>
      <c r="Q680" s="12"/>
      <c r="R680" s="12"/>
      <c r="S680" s="6">
        <f>-IF(ISNUMBER(BD680),BD680,0)</f>
        <v>0</v>
      </c>
      <c r="T680" s="273">
        <f>ROUND(SUM(U680:Y680),0)</f>
        <v>0</v>
      </c>
      <c r="U680" s="6">
        <f>SUM(BL680:BN680)</f>
        <v>0</v>
      </c>
      <c r="V680" s="6"/>
      <c r="W680" s="6">
        <f>+H680</f>
        <v>0</v>
      </c>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X680" s="6"/>
      <c r="AY680" s="6"/>
      <c r="BA680" s="6"/>
      <c r="BB680" s="6"/>
      <c r="BC680" s="6"/>
      <c r="BD680" s="29">
        <f t="shared" si="368"/>
        <v>0</v>
      </c>
      <c r="BE680" s="322"/>
      <c r="BF680" s="322"/>
      <c r="BG680" s="322"/>
      <c r="BH680" s="322"/>
      <c r="BI680" s="322"/>
      <c r="BJ680" s="322"/>
      <c r="BK680" s="29">
        <f t="shared" si="345"/>
        <v>0</v>
      </c>
      <c r="BL680" s="322"/>
      <c r="BM680" s="322"/>
      <c r="BN680" s="322"/>
      <c r="BO680" s="322"/>
      <c r="BP680" s="322"/>
      <c r="BQ680" s="322"/>
      <c r="BR680" s="322"/>
      <c r="BS680" s="322"/>
      <c r="BT680" s="322"/>
      <c r="BU680" s="322"/>
      <c r="BV680" s="322"/>
      <c r="BW680" s="322"/>
      <c r="BX680" s="322"/>
      <c r="BY680" s="322"/>
      <c r="BZ680" s="322"/>
      <c r="CA680" s="322"/>
      <c r="CB680" s="322"/>
      <c r="CC680" s="322"/>
      <c r="CD680" s="322"/>
      <c r="CE680" s="322"/>
      <c r="CF680" s="322"/>
      <c r="CG680" s="322"/>
      <c r="CH680" s="322"/>
      <c r="CI680" s="322"/>
      <c r="CM680" s="1139">
        <v>0</v>
      </c>
      <c r="CN680" s="1139">
        <v>0</v>
      </c>
      <c r="CP680" s="923">
        <f t="shared" si="364"/>
        <v>0</v>
      </c>
      <c r="CZ680" s="330"/>
    </row>
    <row r="681" spans="1:104" ht="15" customHeight="1" x14ac:dyDescent="0.25">
      <c r="A681" s="701">
        <f>MAX($A$6:A680)+1</f>
        <v>681</v>
      </c>
      <c r="B681" s="1291">
        <f t="shared" si="378"/>
        <v>5.0999999999999996</v>
      </c>
      <c r="C681" s="18" t="str">
        <f t="shared" si="369"/>
        <v>Consolidated property, plant and equipment 2025-26</v>
      </c>
      <c r="D681" s="18" t="str">
        <f t="shared" si="377"/>
        <v>Plant &amp; Machinery</v>
      </c>
      <c r="E681" s="19" t="str">
        <f>"Carrying amount "&amp;Update!$B$22</f>
        <v>Carrying amount  31 March 2026</v>
      </c>
      <c r="F681" s="20"/>
      <c r="G681" s="28"/>
      <c r="H681" s="14">
        <f>SUM(H676:H680)</f>
        <v>18772</v>
      </c>
      <c r="I681" s="14">
        <f>SUM(I676:I680)</f>
        <v>0</v>
      </c>
      <c r="J681" s="19" t="str">
        <f>"Carrying amount "&amp;Update!$B$22</f>
        <v>Carrying amount  31 March 2026</v>
      </c>
      <c r="K681" s="14">
        <f>SUM(K676:K680)</f>
        <v>0</v>
      </c>
      <c r="L681" s="14">
        <f>SUM(L676:L680)</f>
        <v>0</v>
      </c>
      <c r="M681" s="21"/>
      <c r="N681" s="14">
        <f>ROUND(SUM(O681:S681)+T681+SUM(Z681:AV681),0)</f>
        <v>18772</v>
      </c>
      <c r="O681" s="14">
        <f t="shared" ref="O681:W681" si="385">SUM(O676:O680)</f>
        <v>0</v>
      </c>
      <c r="P681" s="14">
        <f t="shared" si="385"/>
        <v>0</v>
      </c>
      <c r="Q681" s="14">
        <f t="shared" si="385"/>
        <v>0</v>
      </c>
      <c r="R681" s="14">
        <f t="shared" si="385"/>
        <v>0</v>
      </c>
      <c r="S681" s="14">
        <f t="shared" si="385"/>
        <v>0</v>
      </c>
      <c r="T681" s="14">
        <f t="shared" si="385"/>
        <v>18772</v>
      </c>
      <c r="U681" s="14">
        <f t="shared" si="385"/>
        <v>0</v>
      </c>
      <c r="V681" s="14">
        <f t="shared" si="385"/>
        <v>0</v>
      </c>
      <c r="W681" s="14">
        <f t="shared" si="385"/>
        <v>18772</v>
      </c>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2"/>
      <c r="AX681" s="14">
        <f>SUM(AX676:AX679)</f>
        <v>0</v>
      </c>
      <c r="AY681" s="14">
        <f>ROUND(AX681/1000/Update!$B$31*Update!$B$27,0)</f>
        <v>0</v>
      </c>
      <c r="AZ681" s="2"/>
      <c r="BA681" s="14">
        <f>SUM(BA676:BA679)</f>
        <v>0</v>
      </c>
      <c r="BB681" s="14">
        <f>ROUND(BA681/1000/Update!$B$31,0)</f>
        <v>0</v>
      </c>
      <c r="BC681" s="14"/>
      <c r="BD681" s="14">
        <f t="shared" si="368"/>
        <v>0</v>
      </c>
      <c r="BE681" s="14">
        <f t="shared" ref="BE681:BJ681" si="386">SUM(BE676:BE679)</f>
        <v>0</v>
      </c>
      <c r="BF681" s="14">
        <f t="shared" si="386"/>
        <v>0</v>
      </c>
      <c r="BG681" s="14">
        <f t="shared" si="386"/>
        <v>0</v>
      </c>
      <c r="BH681" s="14">
        <f t="shared" si="386"/>
        <v>0</v>
      </c>
      <c r="BI681" s="14">
        <f t="shared" si="386"/>
        <v>0</v>
      </c>
      <c r="BJ681" s="14">
        <f t="shared" si="386"/>
        <v>0</v>
      </c>
      <c r="BK681" s="14">
        <f t="shared" si="345"/>
        <v>0</v>
      </c>
      <c r="BL681" s="14"/>
      <c r="BM681" s="14"/>
      <c r="BN681" s="14"/>
      <c r="BO681" s="14"/>
      <c r="BP681" s="14"/>
      <c r="BQ681" s="14"/>
      <c r="BR681" s="14"/>
      <c r="BS681" s="14"/>
      <c r="BT681" s="324"/>
      <c r="BU681" s="14"/>
      <c r="BV681" s="14"/>
      <c r="BW681" s="14"/>
      <c r="BX681" s="14"/>
      <c r="BY681" s="14"/>
      <c r="BZ681" s="14"/>
      <c r="CA681" s="14"/>
      <c r="CB681" s="14"/>
      <c r="CC681" s="14"/>
      <c r="CD681" s="14"/>
      <c r="CE681" s="14"/>
      <c r="CF681" s="14"/>
      <c r="CG681" s="14"/>
      <c r="CH681" s="14"/>
      <c r="CI681" s="14"/>
      <c r="CJ681" s="2"/>
      <c r="CK681" s="2"/>
      <c r="CM681" s="1450">
        <v>0</v>
      </c>
      <c r="CN681" s="1450">
        <v>0</v>
      </c>
      <c r="CP681" s="923">
        <f t="shared" si="364"/>
        <v>0</v>
      </c>
      <c r="CZ681" s="330"/>
    </row>
    <row r="682" spans="1:104" ht="15" customHeight="1" x14ac:dyDescent="0.25">
      <c r="A682" s="684">
        <f>MAX($A$6:A681)+1</f>
        <v>682</v>
      </c>
      <c r="B682" s="3">
        <f t="shared" si="378"/>
        <v>5.0999999999999996</v>
      </c>
      <c r="C682" s="11" t="str">
        <f t="shared" si="369"/>
        <v>Consolidated property, plant and equipment 2025-26</v>
      </c>
      <c r="D682" s="11"/>
      <c r="E682" s="7"/>
      <c r="F682" s="15"/>
      <c r="G682" s="26"/>
      <c r="H682" s="6"/>
      <c r="I682" s="6"/>
      <c r="J682" s="1257" t="s">
        <v>286</v>
      </c>
      <c r="K682" s="251">
        <f>SUMIF('alb Note 5.1 -PP&amp;E - CY'!$A:$A,$J682,'alb Note 5.1 -PP&amp;E - CY'!$F:$F)</f>
        <v>0</v>
      </c>
      <c r="L682" s="251">
        <f>SUMIF('alb Note 5.1 -PP&amp;E - CY'!$A:$A,$J682,'alb Note 5.1 -PP&amp;E - CY'!$Q:$Q)</f>
        <v>0</v>
      </c>
      <c r="M682" s="10"/>
      <c r="N682" s="273">
        <f>ROUND(SUM(O682:S682)+SUM(W682:AV682),0)</f>
        <v>0</v>
      </c>
      <c r="O682" s="12"/>
      <c r="P682" s="12"/>
      <c r="Q682" s="12"/>
      <c r="R682" s="12"/>
      <c r="S682" s="6">
        <f t="shared" si="352"/>
        <v>0</v>
      </c>
      <c r="T682" s="273">
        <f>ROUND(SUM(U682:Y682),0)</f>
        <v>0</v>
      </c>
      <c r="U682" s="6">
        <f>SUM(BL682:BN682)</f>
        <v>0</v>
      </c>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X682" s="6"/>
      <c r="AY682" s="6">
        <f>ROUND(AX682/1000/Update!$B$31*Update!$B$27,0)</f>
        <v>0</v>
      </c>
      <c r="BA682" s="6"/>
      <c r="BB682" s="6">
        <f>ROUND(BA682/1000/Update!$B$31,0)</f>
        <v>0</v>
      </c>
      <c r="BC682" s="6"/>
      <c r="BD682" s="29">
        <f t="shared" si="368"/>
        <v>0</v>
      </c>
      <c r="BE682" s="322"/>
      <c r="BF682" s="322"/>
      <c r="BG682" s="322"/>
      <c r="BH682" s="322"/>
      <c r="BI682" s="322"/>
      <c r="BJ682" s="322"/>
      <c r="BK682" s="29">
        <f t="shared" si="345"/>
        <v>0</v>
      </c>
      <c r="BL682" s="322"/>
      <c r="BM682" s="322"/>
      <c r="BN682" s="322"/>
      <c r="BO682" s="322"/>
      <c r="BP682" s="322"/>
      <c r="BQ682" s="322"/>
      <c r="BR682" s="322"/>
      <c r="BS682" s="322"/>
      <c r="BT682" s="322"/>
      <c r="BU682" s="322"/>
      <c r="BV682" s="322"/>
      <c r="BW682" s="322"/>
      <c r="BX682" s="322"/>
      <c r="BY682" s="322"/>
      <c r="BZ682" s="322"/>
      <c r="CA682" s="322"/>
      <c r="CB682" s="322"/>
      <c r="CC682" s="322"/>
      <c r="CD682" s="322"/>
      <c r="CE682" s="322"/>
      <c r="CF682" s="322"/>
      <c r="CG682" s="322"/>
      <c r="CH682" s="322"/>
      <c r="CI682" s="322"/>
      <c r="CM682" s="1139">
        <v>0</v>
      </c>
      <c r="CN682" s="1139">
        <v>0</v>
      </c>
      <c r="CP682" s="923">
        <f t="shared" si="364"/>
        <v>0</v>
      </c>
      <c r="CZ682" s="330"/>
    </row>
    <row r="683" spans="1:104" ht="18.75" customHeight="1" x14ac:dyDescent="0.25">
      <c r="A683" s="684">
        <f>MAX($A$6:A682)+1</f>
        <v>683</v>
      </c>
      <c r="B683" s="3">
        <f t="shared" si="378"/>
        <v>5.0999999999999996</v>
      </c>
      <c r="C683" s="11" t="str">
        <f t="shared" si="369"/>
        <v>Consolidated property, plant and equipment 2025-26</v>
      </c>
      <c r="D683" s="11" t="s">
        <v>203</v>
      </c>
      <c r="E683" s="277" t="s">
        <v>183</v>
      </c>
      <c r="F683" s="15"/>
      <c r="G683" s="26"/>
      <c r="H683" s="6"/>
      <c r="I683" s="6"/>
      <c r="J683" s="1257" t="s">
        <v>286</v>
      </c>
      <c r="K683" s="251">
        <f>SUMIF('alb Note 5.1 -PP&amp;E - CY'!$A:$A,$J683,'alb Note 5.1 -PP&amp;E - CY'!$F:$F)</f>
        <v>0</v>
      </c>
      <c r="L683" s="251">
        <f>SUMIF('alb Note 5.1 -PP&amp;E - CY'!$A:$A,$J683,'alb Note 5.1 -PP&amp;E - CY'!$Q:$Q)</f>
        <v>0</v>
      </c>
      <c r="M683" s="10"/>
      <c r="N683" s="273">
        <f>ROUND(SUM(O683:S683)+SUM(W683:AV683),0)</f>
        <v>0</v>
      </c>
      <c r="O683" s="12"/>
      <c r="P683" s="12"/>
      <c r="Q683" s="12"/>
      <c r="R683" s="12"/>
      <c r="S683" s="6">
        <f t="shared" si="352"/>
        <v>0</v>
      </c>
      <c r="T683" s="273">
        <f>ROUND(SUM(U683:Y683),0)</f>
        <v>0</v>
      </c>
      <c r="U683" s="6">
        <f>SUM(BL683:BN683)</f>
        <v>0</v>
      </c>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X683" s="6"/>
      <c r="AY683" s="6">
        <f>ROUND(AX683/1000/Update!$B$31*Update!$B$27,0)</f>
        <v>0</v>
      </c>
      <c r="BA683" s="6"/>
      <c r="BB683" s="6">
        <f>ROUND(BA683/1000/Update!$B$31,0)</f>
        <v>0</v>
      </c>
      <c r="BC683" s="6"/>
      <c r="BD683" s="29">
        <f t="shared" si="368"/>
        <v>0</v>
      </c>
      <c r="BE683" s="322"/>
      <c r="BF683" s="322"/>
      <c r="BG683" s="322"/>
      <c r="BH683" s="322"/>
      <c r="BI683" s="322"/>
      <c r="BJ683" s="322"/>
      <c r="BK683" s="29">
        <f t="shared" si="345"/>
        <v>0</v>
      </c>
      <c r="BL683" s="322"/>
      <c r="BM683" s="322"/>
      <c r="BN683" s="322"/>
      <c r="BO683" s="322"/>
      <c r="BP683" s="322"/>
      <c r="BQ683" s="322"/>
      <c r="BR683" s="322"/>
      <c r="BS683" s="322"/>
      <c r="BT683" s="322"/>
      <c r="BU683" s="322"/>
      <c r="BV683" s="322"/>
      <c r="BW683" s="322"/>
      <c r="BX683" s="322"/>
      <c r="BY683" s="322"/>
      <c r="BZ683" s="322"/>
      <c r="CA683" s="322"/>
      <c r="CB683" s="322"/>
      <c r="CC683" s="322"/>
      <c r="CD683" s="322"/>
      <c r="CE683" s="322"/>
      <c r="CF683" s="322"/>
      <c r="CG683" s="322"/>
      <c r="CH683" s="322"/>
      <c r="CI683" s="322"/>
      <c r="CM683" s="1139">
        <v>0</v>
      </c>
      <c r="CN683" s="1139">
        <v>0</v>
      </c>
      <c r="CP683" s="923">
        <f t="shared" si="364"/>
        <v>0</v>
      </c>
      <c r="CZ683" s="330"/>
    </row>
    <row r="684" spans="1:104" ht="15" customHeight="1" x14ac:dyDescent="0.25">
      <c r="A684" s="684">
        <f>MAX($A$6:A683)+1</f>
        <v>684</v>
      </c>
      <c r="B684" s="3">
        <f t="shared" si="378"/>
        <v>5.0999999999999996</v>
      </c>
      <c r="C684" s="11" t="str">
        <f t="shared" si="369"/>
        <v>Consolidated property, plant and equipment 2025-26</v>
      </c>
      <c r="D684" s="11" t="str">
        <f>D683</f>
        <v>Transport Equipment</v>
      </c>
      <c r="E684" s="7" t="str">
        <f>"At"&amp;Update!$B$20</f>
        <v>At 1 April 2025</v>
      </c>
      <c r="F684" s="15"/>
      <c r="G684" s="1267" t="str">
        <f>"At"&amp;Update!$B$20</f>
        <v>At 1 April 2025</v>
      </c>
      <c r="H684" s="6">
        <v>27</v>
      </c>
      <c r="I684" s="6">
        <v>0</v>
      </c>
      <c r="J684" s="1257" t="str">
        <f>$E684</f>
        <v>At 1 April 2025</v>
      </c>
      <c r="K684" s="251">
        <f>SUMIF('alb Note 5.1 -PP&amp;E - CY'!$A:$A,$J684,'alb Note 5.1 -PP&amp;E - CY'!$F:$F)</f>
        <v>0</v>
      </c>
      <c r="L684" s="251">
        <f>SUMIF('alb Note 5.1 -PP&amp;E - CY'!$A:$A,$J684,'alb Note 5.1 -PP&amp;E - CY'!$Q:$Q)</f>
        <v>0</v>
      </c>
      <c r="M684" s="10"/>
      <c r="N684" s="273">
        <f>ROUND(SUM(O684:S684)+SUM(W684:AV684),0)</f>
        <v>27</v>
      </c>
      <c r="O684" s="12"/>
      <c r="P684" s="12"/>
      <c r="Q684" s="12"/>
      <c r="R684" s="12"/>
      <c r="S684" s="6">
        <f t="shared" si="352"/>
        <v>0</v>
      </c>
      <c r="T684" s="273">
        <f>ROUND(SUM(U684:Y684),0)</f>
        <v>27</v>
      </c>
      <c r="U684" s="6">
        <f>SUM(BL684:BN684)</f>
        <v>0</v>
      </c>
      <c r="V684" s="6"/>
      <c r="W684" s="6">
        <f t="shared" ref="W684:W696" si="387">+H684</f>
        <v>27</v>
      </c>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X684" s="6"/>
      <c r="AY684" s="6">
        <f>ROUND(AX684/1000/Update!$B$31*Update!$B$27,0)</f>
        <v>0</v>
      </c>
      <c r="BA684" s="6"/>
      <c r="BB684" s="6">
        <f>ROUND(BA684/1000/Update!$B$31,0)</f>
        <v>0</v>
      </c>
      <c r="BC684" s="6"/>
      <c r="BD684" s="29">
        <f t="shared" si="368"/>
        <v>0</v>
      </c>
      <c r="BE684" s="322"/>
      <c r="BF684" s="322"/>
      <c r="BG684" s="322"/>
      <c r="BH684" s="322"/>
      <c r="BI684" s="322"/>
      <c r="BJ684" s="322"/>
      <c r="BK684" s="29">
        <f t="shared" si="345"/>
        <v>0</v>
      </c>
      <c r="BL684" s="322"/>
      <c r="BM684" s="322"/>
      <c r="BN684" s="322"/>
      <c r="BO684" s="322"/>
      <c r="BP684" s="322"/>
      <c r="BQ684" s="322"/>
      <c r="BR684" s="322"/>
      <c r="BS684" s="322"/>
      <c r="BT684" s="322"/>
      <c r="BU684" s="322"/>
      <c r="BV684" s="322"/>
      <c r="BW684" s="322"/>
      <c r="BX684" s="322"/>
      <c r="BY684" s="322"/>
      <c r="BZ684" s="322"/>
      <c r="CA684" s="322"/>
      <c r="CB684" s="322"/>
      <c r="CC684" s="322"/>
      <c r="CD684" s="322"/>
      <c r="CE684" s="322"/>
      <c r="CF684" s="322"/>
      <c r="CG684" s="322"/>
      <c r="CH684" s="322"/>
      <c r="CI684" s="322"/>
      <c r="CM684" s="1139">
        <v>0</v>
      </c>
      <c r="CN684" s="1139">
        <v>0</v>
      </c>
      <c r="CP684" s="923">
        <f t="shared" si="364"/>
        <v>0</v>
      </c>
      <c r="CZ684" s="330"/>
    </row>
    <row r="685" spans="1:104" ht="15" customHeight="1" x14ac:dyDescent="0.25">
      <c r="A685" s="684">
        <f>MAX($A$6:A684)+1</f>
        <v>685</v>
      </c>
      <c r="B685" s="3">
        <f t="shared" si="378"/>
        <v>5.0999999999999996</v>
      </c>
      <c r="C685" s="11" t="str">
        <f t="shared" si="369"/>
        <v>Consolidated property, plant and equipment 2025-26</v>
      </c>
      <c r="D685" s="11" t="str">
        <f t="shared" ref="D685:D719" si="388">D684</f>
        <v>Transport Equipment</v>
      </c>
      <c r="E685" s="7" t="s">
        <v>435</v>
      </c>
      <c r="F685" s="15"/>
      <c r="G685" s="1254" t="s">
        <v>435</v>
      </c>
      <c r="H685" s="6">
        <v>0</v>
      </c>
      <c r="I685" s="6">
        <v>0</v>
      </c>
      <c r="J685" s="1257" t="s">
        <v>184</v>
      </c>
      <c r="K685" s="251">
        <f>SUMIF('alb Note 5.1 -PP&amp;E - CY'!$A:$A,$J685,'alb Note 5.1 -PP&amp;E - CY'!$F:$F)</f>
        <v>0</v>
      </c>
      <c r="L685" s="251">
        <f>SUMIF('alb Note 5.1 -PP&amp;E - CY'!$A:$A,$J685,'alb Note 5.1 -PP&amp;E - CY'!$Q:$Q)</f>
        <v>0</v>
      </c>
      <c r="M685" s="10"/>
      <c r="N685" s="273">
        <f>ROUND(SUM(O685:S685)+SUM(W685:AV685),0)</f>
        <v>0</v>
      </c>
      <c r="O685" s="12"/>
      <c r="P685" s="12"/>
      <c r="Q685" s="12"/>
      <c r="R685" s="12"/>
      <c r="S685" s="6">
        <f t="shared" si="352"/>
        <v>0</v>
      </c>
      <c r="T685" s="273">
        <f>ROUND(SUM(U685:Y685),0)</f>
        <v>0</v>
      </c>
      <c r="U685" s="6">
        <f>SUM(BL685:BN685)</f>
        <v>0</v>
      </c>
      <c r="V685" s="6"/>
      <c r="W685" s="6">
        <f t="shared" si="387"/>
        <v>0</v>
      </c>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X685" s="6"/>
      <c r="AY685" s="6">
        <f>ROUND(AX685/1000/Update!$B$31*Update!$B$27,0)</f>
        <v>0</v>
      </c>
      <c r="BA685" s="6"/>
      <c r="BB685" s="6">
        <f>ROUND(BA685/1000/Update!$B$31,0)</f>
        <v>0</v>
      </c>
      <c r="BC685" s="6"/>
      <c r="BD685" s="29">
        <f t="shared" si="368"/>
        <v>0</v>
      </c>
      <c r="BE685" s="322"/>
      <c r="BF685" s="322"/>
      <c r="BG685" s="322"/>
      <c r="BH685" s="322"/>
      <c r="BI685" s="322"/>
      <c r="BJ685" s="322"/>
      <c r="BK685" s="29">
        <f t="shared" si="345"/>
        <v>0</v>
      </c>
      <c r="BL685" s="322"/>
      <c r="BM685" s="322"/>
      <c r="BN685" s="322"/>
      <c r="BO685" s="322"/>
      <c r="BP685" s="322"/>
      <c r="BQ685" s="322"/>
      <c r="BR685" s="322"/>
      <c r="BS685" s="322"/>
      <c r="BT685" s="322"/>
      <c r="BU685" s="322"/>
      <c r="BV685" s="322"/>
      <c r="BW685" s="322"/>
      <c r="BX685" s="322"/>
      <c r="BY685" s="322"/>
      <c r="BZ685" s="322"/>
      <c r="CA685" s="322"/>
      <c r="CB685" s="322"/>
      <c r="CC685" s="322"/>
      <c r="CD685" s="322"/>
      <c r="CE685" s="322"/>
      <c r="CF685" s="322"/>
      <c r="CG685" s="322"/>
      <c r="CH685" s="322"/>
      <c r="CI685" s="322"/>
      <c r="CM685" s="1139">
        <v>0</v>
      </c>
      <c r="CN685" s="1139">
        <v>0</v>
      </c>
      <c r="CP685" s="923">
        <f t="shared" si="364"/>
        <v>0</v>
      </c>
      <c r="CZ685" s="330"/>
    </row>
    <row r="686" spans="1:104" ht="15" customHeight="1" x14ac:dyDescent="0.25">
      <c r="A686" s="701">
        <f>MAX($A$6:A685)+1</f>
        <v>686</v>
      </c>
      <c r="B686" s="1291">
        <f t="shared" si="378"/>
        <v>5.0999999999999996</v>
      </c>
      <c r="C686" s="18" t="str">
        <f t="shared" si="369"/>
        <v>Consolidated property, plant and equipment 2025-26</v>
      </c>
      <c r="D686" s="18" t="str">
        <f t="shared" si="388"/>
        <v>Transport Equipment</v>
      </c>
      <c r="E686" s="19" t="s">
        <v>869</v>
      </c>
      <c r="F686" s="20"/>
      <c r="G686" s="1278" t="s">
        <v>436</v>
      </c>
      <c r="H686" s="14">
        <f>SUM(H682:H685)</f>
        <v>27</v>
      </c>
      <c r="I686" s="14">
        <f>SUM(I682:I685)</f>
        <v>0</v>
      </c>
      <c r="J686" s="1258" t="s">
        <v>869</v>
      </c>
      <c r="K686" s="256">
        <f>SUM(K682:K685)</f>
        <v>0</v>
      </c>
      <c r="L686" s="256">
        <f>SUM(L682:L685)</f>
        <v>0</v>
      </c>
      <c r="M686" s="21"/>
      <c r="N686" s="14">
        <f>ROUND(SUM(O686:S686)+T686+SUM(Z686:AV686),0)</f>
        <v>27</v>
      </c>
      <c r="O686" s="14">
        <f t="shared" ref="O686:W686" si="389">SUM(O682:O685)</f>
        <v>0</v>
      </c>
      <c r="P686" s="14">
        <f t="shared" si="389"/>
        <v>0</v>
      </c>
      <c r="Q686" s="14">
        <f t="shared" si="389"/>
        <v>0</v>
      </c>
      <c r="R686" s="14">
        <f t="shared" si="389"/>
        <v>0</v>
      </c>
      <c r="S686" s="14">
        <f t="shared" si="352"/>
        <v>0</v>
      </c>
      <c r="T686" s="14">
        <f t="shared" si="389"/>
        <v>27</v>
      </c>
      <c r="U686" s="14">
        <f t="shared" si="389"/>
        <v>0</v>
      </c>
      <c r="V686" s="14">
        <f t="shared" si="389"/>
        <v>0</v>
      </c>
      <c r="W686" s="14">
        <f t="shared" si="389"/>
        <v>27</v>
      </c>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2"/>
      <c r="AX686" s="14">
        <f>SUM(AX682:AX685)</f>
        <v>0</v>
      </c>
      <c r="AY686" s="14">
        <f>ROUND(AX686/1000/Update!$B$31*Update!$B$27,0)</f>
        <v>0</v>
      </c>
      <c r="AZ686" s="2"/>
      <c r="BA686" s="14">
        <f>SUM(BA682:BA685)</f>
        <v>0</v>
      </c>
      <c r="BB686" s="14">
        <f>ROUND(BA686/1000/Update!$B$31,0)</f>
        <v>0</v>
      </c>
      <c r="BC686" s="14"/>
      <c r="BD686" s="14">
        <f t="shared" si="368"/>
        <v>0</v>
      </c>
      <c r="BE686" s="14">
        <f t="shared" ref="BE686:BJ686" si="390">SUM(BE682:BE685)</f>
        <v>0</v>
      </c>
      <c r="BF686" s="14">
        <f t="shared" si="390"/>
        <v>0</v>
      </c>
      <c r="BG686" s="14">
        <f t="shared" si="390"/>
        <v>0</v>
      </c>
      <c r="BH686" s="14">
        <f t="shared" si="390"/>
        <v>0</v>
      </c>
      <c r="BI686" s="14">
        <f t="shared" si="390"/>
        <v>0</v>
      </c>
      <c r="BJ686" s="14">
        <f t="shared" si="390"/>
        <v>0</v>
      </c>
      <c r="BK686" s="14">
        <f t="shared" ref="BK686:BK749" si="391">ROUND(SUM(BO686:CI686),0)</f>
        <v>0</v>
      </c>
      <c r="BL686" s="14"/>
      <c r="BM686" s="14"/>
      <c r="BN686" s="14"/>
      <c r="BO686" s="14"/>
      <c r="BP686" s="14"/>
      <c r="BQ686" s="14"/>
      <c r="BR686" s="14"/>
      <c r="BS686" s="14"/>
      <c r="BT686" s="324"/>
      <c r="BU686" s="14"/>
      <c r="BV686" s="14"/>
      <c r="BW686" s="14"/>
      <c r="BX686" s="14"/>
      <c r="BY686" s="14"/>
      <c r="BZ686" s="14"/>
      <c r="CA686" s="14"/>
      <c r="CB686" s="14"/>
      <c r="CC686" s="14"/>
      <c r="CD686" s="14"/>
      <c r="CE686" s="14"/>
      <c r="CF686" s="14"/>
      <c r="CG686" s="14"/>
      <c r="CH686" s="14"/>
      <c r="CI686" s="14"/>
      <c r="CJ686" s="2"/>
      <c r="CK686" s="2"/>
      <c r="CM686" s="1450">
        <v>0</v>
      </c>
      <c r="CN686" s="1450">
        <v>0</v>
      </c>
      <c r="CP686" s="923">
        <f t="shared" si="364"/>
        <v>0</v>
      </c>
      <c r="CZ686" s="330"/>
    </row>
    <row r="687" spans="1:104" ht="15" customHeight="1" x14ac:dyDescent="0.25">
      <c r="A687" s="684">
        <f>MAX($A$6:A686)+1</f>
        <v>687</v>
      </c>
      <c r="B687" s="3">
        <f t="shared" si="378"/>
        <v>5.0999999999999996</v>
      </c>
      <c r="C687" s="11" t="str">
        <f t="shared" si="369"/>
        <v>Consolidated property, plant and equipment 2025-26</v>
      </c>
      <c r="D687" s="11" t="str">
        <f t="shared" si="388"/>
        <v>Transport Equipment</v>
      </c>
      <c r="E687" s="7" t="s">
        <v>185</v>
      </c>
      <c r="F687" s="15"/>
      <c r="G687" s="1254" t="s">
        <v>185</v>
      </c>
      <c r="H687" s="6">
        <v>0</v>
      </c>
      <c r="I687" s="6">
        <v>0</v>
      </c>
      <c r="J687" s="1257" t="s">
        <v>185</v>
      </c>
      <c r="K687" s="251">
        <f>SUMIF('alb Note 5.1 -PP&amp;E - CY'!$A:$A,$J687,'alb Note 5.1 -PP&amp;E - CY'!$F:$F)</f>
        <v>0</v>
      </c>
      <c r="L687" s="251">
        <f>SUMIF('alb Note 5.1 -PP&amp;E - CY'!$A:$A,$J687,'alb Note 5.1 -PP&amp;E - CY'!$Q:$Q)</f>
        <v>0</v>
      </c>
      <c r="M687" s="10"/>
      <c r="N687" s="273">
        <f t="shared" ref="N687:N696" si="392">ROUND(SUM(O687:S687)+SUM(W687:AV687),0)</f>
        <v>0</v>
      </c>
      <c r="O687" s="12"/>
      <c r="P687" s="12"/>
      <c r="Q687" s="12"/>
      <c r="R687" s="12"/>
      <c r="S687" s="6">
        <f t="shared" si="352"/>
        <v>0</v>
      </c>
      <c r="T687" s="273">
        <f t="shared" ref="T687:T696" si="393">ROUND(SUM(U687:Y687),0)</f>
        <v>0</v>
      </c>
      <c r="U687" s="6">
        <f t="shared" ref="U687:U696" si="394">SUM(BL687:BN687)</f>
        <v>0</v>
      </c>
      <c r="V687" s="6"/>
      <c r="W687" s="6">
        <f t="shared" si="387"/>
        <v>0</v>
      </c>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X687" s="6"/>
      <c r="AY687" s="6">
        <f>ROUND(AX687/1000/Update!$B$31*Update!$B$27,0)</f>
        <v>0</v>
      </c>
      <c r="BA687" s="6"/>
      <c r="BB687" s="6">
        <f>ROUND(BA687/1000/Update!$B$31,0)</f>
        <v>0</v>
      </c>
      <c r="BC687" s="6"/>
      <c r="BD687" s="29">
        <f t="shared" si="368"/>
        <v>0</v>
      </c>
      <c r="BE687" s="322"/>
      <c r="BF687" s="322"/>
      <c r="BG687" s="322"/>
      <c r="BH687" s="322"/>
      <c r="BI687" s="322"/>
      <c r="BJ687" s="322"/>
      <c r="BK687" s="29">
        <f t="shared" si="391"/>
        <v>0</v>
      </c>
      <c r="BL687" s="322"/>
      <c r="BM687" s="322"/>
      <c r="BN687" s="322"/>
      <c r="BO687" s="322"/>
      <c r="BP687" s="322"/>
      <c r="BQ687" s="322"/>
      <c r="BR687" s="322"/>
      <c r="BS687" s="322"/>
      <c r="BT687" s="322"/>
      <c r="BU687" s="322"/>
      <c r="BV687" s="322"/>
      <c r="BW687" s="322"/>
      <c r="BX687" s="322"/>
      <c r="BY687" s="322"/>
      <c r="BZ687" s="322"/>
      <c r="CA687" s="322"/>
      <c r="CB687" s="322"/>
      <c r="CC687" s="322"/>
      <c r="CD687" s="322"/>
      <c r="CE687" s="322"/>
      <c r="CF687" s="322"/>
      <c r="CG687" s="322"/>
      <c r="CH687" s="322"/>
      <c r="CI687" s="322"/>
      <c r="CM687" s="1139">
        <v>0</v>
      </c>
      <c r="CN687" s="1139">
        <v>0</v>
      </c>
      <c r="CP687" s="923">
        <f t="shared" si="364"/>
        <v>0</v>
      </c>
      <c r="CZ687" s="330"/>
    </row>
    <row r="688" spans="1:104" ht="30" customHeight="1" x14ac:dyDescent="0.25">
      <c r="A688" s="684">
        <f>MAX($A$6:A687)+1</f>
        <v>688</v>
      </c>
      <c r="B688" s="3">
        <f t="shared" si="378"/>
        <v>5.0999999999999996</v>
      </c>
      <c r="C688" s="11" t="str">
        <f t="shared" si="369"/>
        <v>Consolidated property, plant and equipment 2025-26</v>
      </c>
      <c r="D688" s="11" t="str">
        <f t="shared" si="388"/>
        <v>Transport Equipment</v>
      </c>
      <c r="E688" s="7" t="s">
        <v>437</v>
      </c>
      <c r="F688" s="15"/>
      <c r="G688" s="1254" t="s">
        <v>437</v>
      </c>
      <c r="H688" s="6">
        <v>0</v>
      </c>
      <c r="I688" s="6">
        <v>0</v>
      </c>
      <c r="J688" s="1257" t="s">
        <v>437</v>
      </c>
      <c r="K688" s="251">
        <f>SUMIF('alb Note 5.1 -PP&amp;E - CY'!$A:$A,$J688,'alb Note 5.1 -PP&amp;E - CY'!$F:$F)</f>
        <v>0</v>
      </c>
      <c r="L688" s="251">
        <f>SUMIF('alb Note 5.1 -PP&amp;E - CY'!$A:$A,$J688,'alb Note 5.1 -PP&amp;E - CY'!$Q:$Q)</f>
        <v>0</v>
      </c>
      <c r="M688" s="10"/>
      <c r="N688" s="273">
        <f t="shared" si="392"/>
        <v>0</v>
      </c>
      <c r="O688" s="12"/>
      <c r="P688" s="12"/>
      <c r="Q688" s="12"/>
      <c r="R688" s="12"/>
      <c r="S688" s="6">
        <f t="shared" si="352"/>
        <v>0</v>
      </c>
      <c r="T688" s="273">
        <f t="shared" si="393"/>
        <v>0</v>
      </c>
      <c r="U688" s="6">
        <f t="shared" si="394"/>
        <v>0</v>
      </c>
      <c r="V688" s="6"/>
      <c r="W688" s="6">
        <f t="shared" si="387"/>
        <v>0</v>
      </c>
      <c r="X688" s="6"/>
      <c r="Y688" s="6"/>
      <c r="Z688" s="6"/>
      <c r="AA688" s="6"/>
      <c r="AB688" s="253"/>
      <c r="AC688" s="6"/>
      <c r="AD688" s="6"/>
      <c r="AE688" s="6"/>
      <c r="AF688" s="6"/>
      <c r="AG688" s="6"/>
      <c r="AH688" s="6"/>
      <c r="AI688" s="6"/>
      <c r="AJ688" s="6"/>
      <c r="AK688" s="6"/>
      <c r="AL688" s="6"/>
      <c r="AM688" s="6"/>
      <c r="AN688" s="6"/>
      <c r="AO688" s="6"/>
      <c r="AP688" s="6"/>
      <c r="AQ688" s="6"/>
      <c r="AR688" s="6"/>
      <c r="AS688" s="6"/>
      <c r="AT688" s="6"/>
      <c r="AU688" s="6"/>
      <c r="AV688" s="6"/>
      <c r="AX688" s="6"/>
      <c r="AY688" s="6">
        <f>ROUND(AX688/1000/Update!$B$31*Update!$B$27,0)</f>
        <v>0</v>
      </c>
      <c r="BA688" s="6"/>
      <c r="BB688" s="6">
        <f>ROUND(BA688/1000/Update!$B$31,0)</f>
        <v>0</v>
      </c>
      <c r="BC688" s="6"/>
      <c r="BD688" s="29">
        <f t="shared" si="368"/>
        <v>0</v>
      </c>
      <c r="BE688" s="322"/>
      <c r="BF688" s="322"/>
      <c r="BG688" s="322"/>
      <c r="BH688" s="322"/>
      <c r="BI688" s="322"/>
      <c r="BJ688" s="322"/>
      <c r="BK688" s="29">
        <f t="shared" si="391"/>
        <v>0</v>
      </c>
      <c r="BL688" s="322"/>
      <c r="BM688" s="322"/>
      <c r="BN688" s="322"/>
      <c r="BO688" s="322"/>
      <c r="BP688" s="322"/>
      <c r="BQ688" s="322"/>
      <c r="BR688" s="322"/>
      <c r="BS688" s="322"/>
      <c r="BT688" s="322"/>
      <c r="BU688" s="322"/>
      <c r="BV688" s="322"/>
      <c r="BW688" s="322"/>
      <c r="BX688" s="322"/>
      <c r="BY688" s="322"/>
      <c r="BZ688" s="322"/>
      <c r="CA688" s="322"/>
      <c r="CB688" s="322"/>
      <c r="CC688" s="322"/>
      <c r="CD688" s="322"/>
      <c r="CE688" s="322"/>
      <c r="CF688" s="322"/>
      <c r="CG688" s="322"/>
      <c r="CH688" s="322"/>
      <c r="CI688" s="322"/>
      <c r="CM688" s="1139">
        <v>0</v>
      </c>
      <c r="CN688" s="1139">
        <v>0</v>
      </c>
      <c r="CP688" s="923">
        <f t="shared" si="364"/>
        <v>0</v>
      </c>
      <c r="CZ688" s="330"/>
    </row>
    <row r="689" spans="1:104" ht="15" customHeight="1" x14ac:dyDescent="0.25">
      <c r="A689" s="684">
        <f>MAX($A$6:A688)+1</f>
        <v>689</v>
      </c>
      <c r="B689" s="3">
        <f t="shared" si="378"/>
        <v>5.0999999999999996</v>
      </c>
      <c r="C689" s="11" t="str">
        <f t="shared" si="369"/>
        <v>Consolidated property, plant and equipment 2025-26</v>
      </c>
      <c r="D689" s="11" t="str">
        <f t="shared" si="388"/>
        <v>Transport Equipment</v>
      </c>
      <c r="E689" s="7" t="s">
        <v>191</v>
      </c>
      <c r="F689" s="15"/>
      <c r="G689" s="1254" t="s">
        <v>191</v>
      </c>
      <c r="H689" s="6">
        <v>0</v>
      </c>
      <c r="I689" s="6">
        <v>0</v>
      </c>
      <c r="J689" s="1257" t="s">
        <v>191</v>
      </c>
      <c r="K689" s="251">
        <f>SUMIF('alb Note 5.1 -PP&amp;E - CY'!$A:$A,$J689,'alb Note 5.1 -PP&amp;E - CY'!$F:$F)</f>
        <v>0</v>
      </c>
      <c r="L689" s="251">
        <f>SUMIF('alb Note 5.1 -PP&amp;E - CY'!$A:$A,$J689,'alb Note 5.1 -PP&amp;E - CY'!$Q:$Q)</f>
        <v>0</v>
      </c>
      <c r="M689" s="10"/>
      <c r="N689" s="273">
        <f t="shared" si="392"/>
        <v>0</v>
      </c>
      <c r="O689" s="12"/>
      <c r="P689" s="12"/>
      <c r="Q689" s="12"/>
      <c r="R689" s="12"/>
      <c r="S689" s="6">
        <f t="shared" si="352"/>
        <v>0</v>
      </c>
      <c r="T689" s="273">
        <f t="shared" si="393"/>
        <v>0</v>
      </c>
      <c r="U689" s="6">
        <f t="shared" si="394"/>
        <v>0</v>
      </c>
      <c r="V689" s="6"/>
      <c r="W689" s="6">
        <f t="shared" si="387"/>
        <v>0</v>
      </c>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X689" s="6"/>
      <c r="AY689" s="6">
        <f>ROUND(AX689/1000/Update!$B$31*Update!$B$27,0)</f>
        <v>0</v>
      </c>
      <c r="BA689" s="6"/>
      <c r="BB689" s="6">
        <f>ROUND(BA689/1000/Update!$B$31,0)</f>
        <v>0</v>
      </c>
      <c r="BC689" s="6"/>
      <c r="BD689" s="29">
        <f t="shared" si="368"/>
        <v>0</v>
      </c>
      <c r="BE689" s="322"/>
      <c r="BF689" s="322"/>
      <c r="BG689" s="322"/>
      <c r="BH689" s="322"/>
      <c r="BI689" s="322"/>
      <c r="BJ689" s="322"/>
      <c r="BK689" s="29">
        <f t="shared" si="391"/>
        <v>0</v>
      </c>
      <c r="BL689" s="322"/>
      <c r="BM689" s="322"/>
      <c r="BN689" s="322"/>
      <c r="BO689" s="322"/>
      <c r="BP689" s="322"/>
      <c r="BQ689" s="322"/>
      <c r="BR689" s="322"/>
      <c r="BS689" s="322"/>
      <c r="BT689" s="322"/>
      <c r="BU689" s="322"/>
      <c r="BV689" s="322"/>
      <c r="BW689" s="322"/>
      <c r="BX689" s="322"/>
      <c r="BY689" s="322"/>
      <c r="BZ689" s="322"/>
      <c r="CA689" s="322"/>
      <c r="CB689" s="322"/>
      <c r="CC689" s="322"/>
      <c r="CD689" s="322"/>
      <c r="CE689" s="322"/>
      <c r="CF689" s="322"/>
      <c r="CG689" s="322"/>
      <c r="CH689" s="322"/>
      <c r="CI689" s="322"/>
      <c r="CM689" s="1139">
        <v>0</v>
      </c>
      <c r="CN689" s="1139">
        <v>0</v>
      </c>
      <c r="CP689" s="923">
        <f t="shared" si="364"/>
        <v>0</v>
      </c>
      <c r="CZ689" s="330"/>
    </row>
    <row r="690" spans="1:104" ht="15" customHeight="1" x14ac:dyDescent="0.25">
      <c r="A690" s="684">
        <f>MAX($A$6:A689)+1</f>
        <v>690</v>
      </c>
      <c r="B690" s="3">
        <f t="shared" si="378"/>
        <v>5.0999999999999996</v>
      </c>
      <c r="C690" s="11" t="str">
        <f t="shared" si="369"/>
        <v>Consolidated property, plant and equipment 2025-26</v>
      </c>
      <c r="D690" s="11" t="str">
        <f t="shared" si="388"/>
        <v>Transport Equipment</v>
      </c>
      <c r="E690" s="7" t="s">
        <v>186</v>
      </c>
      <c r="F690" s="15"/>
      <c r="G690" s="1254" t="s">
        <v>186</v>
      </c>
      <c r="H690" s="6">
        <v>0</v>
      </c>
      <c r="I690" s="6">
        <v>0</v>
      </c>
      <c r="J690" s="1257" t="s">
        <v>186</v>
      </c>
      <c r="K690" s="251">
        <f>SUMIF('alb Note 5.1 -PP&amp;E - CY'!$A:$A,$J690,'alb Note 5.1 -PP&amp;E - CY'!$F:$F)</f>
        <v>0</v>
      </c>
      <c r="L690" s="251">
        <f>SUMIF('alb Note 5.1 -PP&amp;E - CY'!$A:$A,$J690,'alb Note 5.1 -PP&amp;E - CY'!$Q:$Q)</f>
        <v>0</v>
      </c>
      <c r="M690" s="10"/>
      <c r="N690" s="273">
        <f t="shared" si="392"/>
        <v>0</v>
      </c>
      <c r="O690" s="12"/>
      <c r="P690" s="12"/>
      <c r="Q690" s="12"/>
      <c r="R690" s="12"/>
      <c r="S690" s="6">
        <f t="shared" si="352"/>
        <v>0</v>
      </c>
      <c r="T690" s="273">
        <f t="shared" si="393"/>
        <v>0</v>
      </c>
      <c r="U690" s="6">
        <f t="shared" si="394"/>
        <v>0</v>
      </c>
      <c r="V690" s="6"/>
      <c r="W690" s="6">
        <f t="shared" si="387"/>
        <v>0</v>
      </c>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X690" s="6"/>
      <c r="AY690" s="6">
        <f>ROUND(AX690/1000/Update!$B$31*Update!$B$27,0)</f>
        <v>0</v>
      </c>
      <c r="BA690" s="6"/>
      <c r="BB690" s="6">
        <f>ROUND(BA690/1000/Update!$B$31,0)</f>
        <v>0</v>
      </c>
      <c r="BC690" s="6"/>
      <c r="BD690" s="29">
        <f t="shared" si="368"/>
        <v>0</v>
      </c>
      <c r="BE690" s="322"/>
      <c r="BF690" s="322"/>
      <c r="BG690" s="322"/>
      <c r="BH690" s="322"/>
      <c r="BI690" s="322"/>
      <c r="BJ690" s="322"/>
      <c r="BK690" s="29">
        <f t="shared" si="391"/>
        <v>0</v>
      </c>
      <c r="BL690" s="322"/>
      <c r="BM690" s="322"/>
      <c r="BN690" s="322"/>
      <c r="BO690" s="322"/>
      <c r="BP690" s="322"/>
      <c r="BQ690" s="322"/>
      <c r="BR690" s="322"/>
      <c r="BS690" s="322"/>
      <c r="BT690" s="322"/>
      <c r="BU690" s="322"/>
      <c r="BV690" s="322"/>
      <c r="BW690" s="322"/>
      <c r="BX690" s="322"/>
      <c r="BY690" s="322"/>
      <c r="BZ690" s="322"/>
      <c r="CA690" s="322"/>
      <c r="CB690" s="322"/>
      <c r="CC690" s="322"/>
      <c r="CD690" s="322"/>
      <c r="CE690" s="322"/>
      <c r="CF690" s="322"/>
      <c r="CG690" s="322"/>
      <c r="CH690" s="322"/>
      <c r="CI690" s="322"/>
      <c r="CM690" s="1139">
        <v>0</v>
      </c>
      <c r="CN690" s="1139">
        <v>0</v>
      </c>
      <c r="CP690" s="923">
        <f t="shared" si="364"/>
        <v>0</v>
      </c>
      <c r="CZ690" s="330"/>
    </row>
    <row r="691" spans="1:104" ht="30" customHeight="1" x14ac:dyDescent="0.25">
      <c r="A691" s="684">
        <f>MAX($A$6:A690)+1</f>
        <v>691</v>
      </c>
      <c r="B691" s="3">
        <f t="shared" si="378"/>
        <v>5.0999999999999996</v>
      </c>
      <c r="C691" s="11" t="str">
        <f t="shared" si="369"/>
        <v>Consolidated property, plant and equipment 2025-26</v>
      </c>
      <c r="D691" s="11" t="str">
        <f t="shared" si="388"/>
        <v>Transport Equipment</v>
      </c>
      <c r="E691" s="7" t="s">
        <v>192</v>
      </c>
      <c r="F691" s="15"/>
      <c r="G691" s="1254" t="s">
        <v>438</v>
      </c>
      <c r="H691" s="6">
        <v>0</v>
      </c>
      <c r="I691" s="6">
        <v>0</v>
      </c>
      <c r="J691" s="1257" t="s">
        <v>768</v>
      </c>
      <c r="K691" s="251">
        <f>SUMIF('alb Note 5.1 -PP&amp;E - CY'!$A:$A,$J691,'alb Note 5.1 -PP&amp;E - CY'!$F:$F)</f>
        <v>0</v>
      </c>
      <c r="L691" s="251">
        <f>SUMIF('alb Note 5.1 -PP&amp;E - CY'!$A:$A,$J691,'alb Note 5.1 -PP&amp;E - CY'!$Q:$Q)</f>
        <v>0</v>
      </c>
      <c r="M691" s="10"/>
      <c r="N691" s="273">
        <f t="shared" si="392"/>
        <v>0</v>
      </c>
      <c r="O691" s="12"/>
      <c r="P691" s="12"/>
      <c r="Q691" s="12"/>
      <c r="R691" s="12"/>
      <c r="S691" s="6">
        <f t="shared" si="352"/>
        <v>0</v>
      </c>
      <c r="T691" s="273">
        <f t="shared" si="393"/>
        <v>0</v>
      </c>
      <c r="U691" s="6">
        <f t="shared" si="394"/>
        <v>0</v>
      </c>
      <c r="V691" s="6"/>
      <c r="W691" s="6">
        <f t="shared" si="387"/>
        <v>0</v>
      </c>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X691" s="6"/>
      <c r="AY691" s="6">
        <f>ROUND(AX691/1000/Update!$B$31*Update!$B$27,0)</f>
        <v>0</v>
      </c>
      <c r="BA691" s="6"/>
      <c r="BB691" s="6">
        <f>ROUND(BA691/1000/Update!$B$31,0)</f>
        <v>0</v>
      </c>
      <c r="BC691" s="6"/>
      <c r="BD691" s="29">
        <f t="shared" si="368"/>
        <v>0</v>
      </c>
      <c r="BE691" s="322"/>
      <c r="BF691" s="322"/>
      <c r="BG691" s="322"/>
      <c r="BH691" s="322"/>
      <c r="BI691" s="322"/>
      <c r="BJ691" s="322"/>
      <c r="BK691" s="29">
        <f t="shared" si="391"/>
        <v>0</v>
      </c>
      <c r="BL691" s="322"/>
      <c r="BM691" s="322"/>
      <c r="BN691" s="322"/>
      <c r="BO691" s="322"/>
      <c r="BP691" s="322"/>
      <c r="BQ691" s="322"/>
      <c r="BR691" s="322"/>
      <c r="BS691" s="322"/>
      <c r="BT691" s="322"/>
      <c r="BU691" s="322"/>
      <c r="BV691" s="322"/>
      <c r="BW691" s="322"/>
      <c r="BX691" s="322"/>
      <c r="BY691" s="322"/>
      <c r="BZ691" s="322"/>
      <c r="CA691" s="322"/>
      <c r="CB691" s="322"/>
      <c r="CC691" s="322"/>
      <c r="CD691" s="322"/>
      <c r="CE691" s="322"/>
      <c r="CF691" s="322"/>
      <c r="CG691" s="322"/>
      <c r="CH691" s="322"/>
      <c r="CI691" s="322"/>
      <c r="CM691" s="1139">
        <v>0</v>
      </c>
      <c r="CN691" s="1139">
        <v>0</v>
      </c>
      <c r="CP691" s="923">
        <f t="shared" si="364"/>
        <v>0</v>
      </c>
      <c r="CZ691" s="330"/>
    </row>
    <row r="692" spans="1:104" ht="51" customHeight="1" x14ac:dyDescent="0.25">
      <c r="A692" s="684">
        <f>MAX($A$6:A691)+1</f>
        <v>692</v>
      </c>
      <c r="B692" s="3">
        <f t="shared" si="378"/>
        <v>5.0999999999999996</v>
      </c>
      <c r="C692" s="11" t="str">
        <f t="shared" si="369"/>
        <v>Consolidated property, plant and equipment 2025-26</v>
      </c>
      <c r="D692" s="11" t="str">
        <f t="shared" si="388"/>
        <v>Transport Equipment</v>
      </c>
      <c r="E692" s="7" t="s">
        <v>193</v>
      </c>
      <c r="F692" s="15"/>
      <c r="G692" s="1254" t="s">
        <v>193</v>
      </c>
      <c r="H692" s="6">
        <v>0</v>
      </c>
      <c r="I692" s="6">
        <v>0</v>
      </c>
      <c r="J692" s="1257" t="s">
        <v>767</v>
      </c>
      <c r="K692" s="251">
        <f>SUMIF('alb Note 5.1 -PP&amp;E - CY'!$A:$A,$J692,'alb Note 5.1 -PP&amp;E - CY'!$F:$F)</f>
        <v>0</v>
      </c>
      <c r="L692" s="251">
        <f>SUMIF('alb Note 5.1 -PP&amp;E - CY'!$A:$A,$J692,'alb Note 5.1 -PP&amp;E - CY'!$Q:$Q)</f>
        <v>0</v>
      </c>
      <c r="M692" s="10"/>
      <c r="N692" s="273">
        <f t="shared" si="392"/>
        <v>0</v>
      </c>
      <c r="O692" s="12"/>
      <c r="P692" s="12"/>
      <c r="Q692" s="12"/>
      <c r="R692" s="12"/>
      <c r="S692" s="6">
        <f t="shared" si="352"/>
        <v>0</v>
      </c>
      <c r="T692" s="273">
        <f t="shared" si="393"/>
        <v>0</v>
      </c>
      <c r="U692" s="6">
        <f t="shared" si="394"/>
        <v>0</v>
      </c>
      <c r="V692" s="6"/>
      <c r="W692" s="6">
        <f t="shared" si="387"/>
        <v>0</v>
      </c>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X692" s="6"/>
      <c r="AY692" s="6">
        <f>ROUND(AX692/1000/Update!$B$31*Update!$B$27,0)</f>
        <v>0</v>
      </c>
      <c r="BA692" s="6"/>
      <c r="BB692" s="6">
        <f>ROUND(BA692/1000/Update!$B$31,0)</f>
        <v>0</v>
      </c>
      <c r="BC692" s="6"/>
      <c r="BD692" s="29">
        <f t="shared" si="368"/>
        <v>0</v>
      </c>
      <c r="BE692" s="322"/>
      <c r="BF692" s="322"/>
      <c r="BG692" s="322"/>
      <c r="BH692" s="322"/>
      <c r="BI692" s="322"/>
      <c r="BJ692" s="322"/>
      <c r="BK692" s="29">
        <f t="shared" si="391"/>
        <v>0</v>
      </c>
      <c r="BL692" s="322"/>
      <c r="BM692" s="322"/>
      <c r="BN692" s="322"/>
      <c r="BO692" s="322"/>
      <c r="BP692" s="322"/>
      <c r="BQ692" s="322"/>
      <c r="BR692" s="322"/>
      <c r="BS692" s="322"/>
      <c r="BT692" s="322"/>
      <c r="BU692" s="322"/>
      <c r="BV692" s="322"/>
      <c r="BW692" s="322"/>
      <c r="BX692" s="322"/>
      <c r="BY692" s="322"/>
      <c r="BZ692" s="322"/>
      <c r="CA692" s="322"/>
      <c r="CB692" s="322"/>
      <c r="CC692" s="322"/>
      <c r="CD692" s="322"/>
      <c r="CE692" s="322"/>
      <c r="CF692" s="322"/>
      <c r="CG692" s="322"/>
      <c r="CH692" s="322"/>
      <c r="CI692" s="322"/>
      <c r="CM692" s="1139">
        <v>0</v>
      </c>
      <c r="CN692" s="1139">
        <v>0</v>
      </c>
      <c r="CP692" s="923">
        <f t="shared" si="364"/>
        <v>0</v>
      </c>
      <c r="CZ692" s="330"/>
    </row>
    <row r="693" spans="1:104" ht="15" customHeight="1" x14ac:dyDescent="0.25">
      <c r="A693" s="684">
        <f>MAX($A$6:A692)+1</f>
        <v>693</v>
      </c>
      <c r="B693" s="3">
        <f t="shared" si="378"/>
        <v>5.0999999999999996</v>
      </c>
      <c r="C693" s="11" t="str">
        <f t="shared" si="369"/>
        <v>Consolidated property, plant and equipment 2025-26</v>
      </c>
      <c r="D693" s="11" t="str">
        <f>D692</f>
        <v>Transport Equipment</v>
      </c>
      <c r="E693" s="7" t="s">
        <v>810</v>
      </c>
      <c r="F693" s="15"/>
      <c r="G693" s="1254"/>
      <c r="H693" s="6">
        <v>0</v>
      </c>
      <c r="I693" s="6">
        <v>0</v>
      </c>
      <c r="J693" s="1257" t="s">
        <v>810</v>
      </c>
      <c r="K693" s="251">
        <f>SUMIF('alb Note 5.1 -PP&amp;E - CY'!$A:$A,$J693,'alb Note 5.1 -PP&amp;E - CY'!$F:$F)</f>
        <v>0</v>
      </c>
      <c r="L693" s="251">
        <f>SUMIF('alb Note 5.1 -PP&amp;E - CY'!$A:$A,$J693,'alb Note 5.1 -PP&amp;E - CY'!$Q:$Q)</f>
        <v>0</v>
      </c>
      <c r="M693" s="10"/>
      <c r="N693" s="273">
        <f t="shared" si="392"/>
        <v>0</v>
      </c>
      <c r="O693" s="12"/>
      <c r="P693" s="12"/>
      <c r="Q693" s="12"/>
      <c r="R693" s="12"/>
      <c r="S693" s="6">
        <f t="shared" si="352"/>
        <v>0</v>
      </c>
      <c r="T693" s="273">
        <f t="shared" si="393"/>
        <v>0</v>
      </c>
      <c r="U693" s="6">
        <f t="shared" si="394"/>
        <v>0</v>
      </c>
      <c r="V693" s="6"/>
      <c r="W693" s="6">
        <f t="shared" si="387"/>
        <v>0</v>
      </c>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X693" s="6"/>
      <c r="AY693" s="6">
        <f>ROUND(AX693/1000/Update!$B$31*Update!$B$27,0)</f>
        <v>0</v>
      </c>
      <c r="BA693" s="6"/>
      <c r="BB693" s="6">
        <f>ROUND(BA693/1000/Update!$B$31,0)</f>
        <v>0</v>
      </c>
      <c r="BC693" s="6"/>
      <c r="BD693" s="29">
        <f t="shared" si="368"/>
        <v>0</v>
      </c>
      <c r="BE693" s="322"/>
      <c r="BF693" s="322"/>
      <c r="BG693" s="322"/>
      <c r="BH693" s="322"/>
      <c r="BI693" s="322"/>
      <c r="BJ693" s="322"/>
      <c r="BK693" s="29">
        <f t="shared" si="391"/>
        <v>0</v>
      </c>
      <c r="BL693" s="322"/>
      <c r="BM693" s="322"/>
      <c r="BN693" s="322"/>
      <c r="BO693" s="322"/>
      <c r="BP693" s="322"/>
      <c r="BQ693" s="322"/>
      <c r="BR693" s="322"/>
      <c r="BS693" s="322"/>
      <c r="BT693" s="322"/>
      <c r="BU693" s="322"/>
      <c r="BV693" s="322"/>
      <c r="BW693" s="322"/>
      <c r="BX693" s="322"/>
      <c r="BY693" s="322"/>
      <c r="BZ693" s="322"/>
      <c r="CA693" s="322"/>
      <c r="CB693" s="322"/>
      <c r="CC693" s="322"/>
      <c r="CD693" s="322"/>
      <c r="CE693" s="322"/>
      <c r="CF693" s="322"/>
      <c r="CG693" s="322"/>
      <c r="CH693" s="322"/>
      <c r="CI693" s="322"/>
      <c r="CM693" s="1139">
        <v>0</v>
      </c>
      <c r="CN693" s="1139">
        <v>0</v>
      </c>
      <c r="CP693" s="923">
        <f t="shared" si="364"/>
        <v>0</v>
      </c>
      <c r="CZ693" s="330"/>
    </row>
    <row r="694" spans="1:104" ht="15" customHeight="1" x14ac:dyDescent="0.25">
      <c r="A694" s="684">
        <f>MAX($A$6:A693)+1</f>
        <v>694</v>
      </c>
      <c r="B694" s="3">
        <f t="shared" si="378"/>
        <v>5.0999999999999996</v>
      </c>
      <c r="C694" s="11" t="str">
        <f>C692</f>
        <v>Consolidated property, plant and equipment 2025-26</v>
      </c>
      <c r="D694" s="11" t="str">
        <f>D692</f>
        <v>Transport Equipment</v>
      </c>
      <c r="E694" s="7" t="s">
        <v>187</v>
      </c>
      <c r="F694" s="15"/>
      <c r="G694" s="1254" t="s">
        <v>187</v>
      </c>
      <c r="H694" s="6">
        <v>0</v>
      </c>
      <c r="I694" s="6">
        <v>0</v>
      </c>
      <c r="J694" s="1257" t="s">
        <v>187</v>
      </c>
      <c r="K694" s="251">
        <f>SUMIF('alb Note 5.1 -PP&amp;E - CY'!$A:$A,$J694,'alb Note 5.1 -PP&amp;E - CY'!$F:$F)</f>
        <v>0</v>
      </c>
      <c r="L694" s="251">
        <f>SUMIF('alb Note 5.1 -PP&amp;E - CY'!$A:$A,$J694,'alb Note 5.1 -PP&amp;E - CY'!$Q:$Q)</f>
        <v>0</v>
      </c>
      <c r="M694" s="10"/>
      <c r="N694" s="273">
        <f t="shared" si="392"/>
        <v>0</v>
      </c>
      <c r="O694" s="12"/>
      <c r="P694" s="12"/>
      <c r="Q694" s="12"/>
      <c r="R694" s="12"/>
      <c r="S694" s="6">
        <f t="shared" si="352"/>
        <v>0</v>
      </c>
      <c r="T694" s="273">
        <f t="shared" si="393"/>
        <v>0</v>
      </c>
      <c r="U694" s="6">
        <f t="shared" si="394"/>
        <v>0</v>
      </c>
      <c r="V694" s="6"/>
      <c r="W694" s="6">
        <f t="shared" si="387"/>
        <v>0</v>
      </c>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X694" s="6"/>
      <c r="AY694" s="6">
        <f>ROUND(AX694/1000/Update!$B$31*Update!$B$27,0)</f>
        <v>0</v>
      </c>
      <c r="BA694" s="6"/>
      <c r="BB694" s="6">
        <f>ROUND(BA694/1000/Update!$B$31,0)</f>
        <v>0</v>
      </c>
      <c r="BC694" s="6"/>
      <c r="BD694" s="29">
        <f t="shared" si="368"/>
        <v>0</v>
      </c>
      <c r="BE694" s="322"/>
      <c r="BF694" s="322"/>
      <c r="BG694" s="322"/>
      <c r="BH694" s="322"/>
      <c r="BI694" s="322"/>
      <c r="BJ694" s="322"/>
      <c r="BK694" s="29">
        <f t="shared" si="391"/>
        <v>0</v>
      </c>
      <c r="BL694" s="322"/>
      <c r="BM694" s="322"/>
      <c r="BN694" s="322"/>
      <c r="BO694" s="322"/>
      <c r="BP694" s="322"/>
      <c r="BQ694" s="322"/>
      <c r="BR694" s="322"/>
      <c r="BS694" s="322"/>
      <c r="BT694" s="322"/>
      <c r="BU694" s="322"/>
      <c r="BV694" s="322"/>
      <c r="BW694" s="322"/>
      <c r="BX694" s="322"/>
      <c r="BY694" s="322"/>
      <c r="BZ694" s="322"/>
      <c r="CA694" s="322"/>
      <c r="CB694" s="322"/>
      <c r="CC694" s="322"/>
      <c r="CD694" s="322"/>
      <c r="CE694" s="322"/>
      <c r="CF694" s="322"/>
      <c r="CG694" s="322"/>
      <c r="CH694" s="322"/>
      <c r="CI694" s="322"/>
      <c r="CM694" s="1139">
        <v>0</v>
      </c>
      <c r="CN694" s="1139">
        <v>0</v>
      </c>
      <c r="CP694" s="923">
        <f t="shared" si="364"/>
        <v>0</v>
      </c>
      <c r="CZ694" s="330"/>
    </row>
    <row r="695" spans="1:104" ht="15" customHeight="1" x14ac:dyDescent="0.25">
      <c r="A695" s="684">
        <f>MAX($A$6:A694)+1</f>
        <v>695</v>
      </c>
      <c r="B695" s="3">
        <f t="shared" si="378"/>
        <v>5.0999999999999996</v>
      </c>
      <c r="C695" s="11" t="str">
        <f t="shared" si="369"/>
        <v>Consolidated property, plant and equipment 2025-26</v>
      </c>
      <c r="D695" s="11" t="str">
        <f t="shared" si="388"/>
        <v>Transport Equipment</v>
      </c>
      <c r="E695" s="7" t="s">
        <v>188</v>
      </c>
      <c r="F695" s="15"/>
      <c r="G695" s="1254" t="s">
        <v>188</v>
      </c>
      <c r="H695" s="6">
        <v>0</v>
      </c>
      <c r="I695" s="6">
        <v>0</v>
      </c>
      <c r="J695" s="1257" t="s">
        <v>188</v>
      </c>
      <c r="K695" s="251">
        <f>SUMIF('alb Note 5.1 -PP&amp;E - CY'!$A:$A,$J695,'alb Note 5.1 -PP&amp;E - CY'!$F:$F)</f>
        <v>0</v>
      </c>
      <c r="L695" s="251">
        <f>SUMIF('alb Note 5.1 -PP&amp;E - CY'!$A:$A,$J695,'alb Note 5.1 -PP&amp;E - CY'!$Q:$Q)</f>
        <v>0</v>
      </c>
      <c r="M695" s="10"/>
      <c r="N695" s="273">
        <f t="shared" si="392"/>
        <v>0</v>
      </c>
      <c r="O695" s="12"/>
      <c r="P695" s="12"/>
      <c r="Q695" s="12"/>
      <c r="R695" s="12"/>
      <c r="S695" s="6">
        <f t="shared" ref="S695:S760" si="395">-IF(ISNUMBER(BD695),BD695,0)</f>
        <v>0</v>
      </c>
      <c r="T695" s="273">
        <f t="shared" si="393"/>
        <v>0</v>
      </c>
      <c r="U695" s="6">
        <f t="shared" si="394"/>
        <v>0</v>
      </c>
      <c r="V695" s="6"/>
      <c r="W695" s="6">
        <f t="shared" si="387"/>
        <v>0</v>
      </c>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X695" s="6"/>
      <c r="AY695" s="6">
        <f>ROUND(AX695/1000/Update!$B$31*Update!$B$27,0)</f>
        <v>0</v>
      </c>
      <c r="BA695" s="6"/>
      <c r="BB695" s="6">
        <f>ROUND(BA695/1000/Update!$B$31,0)</f>
        <v>0</v>
      </c>
      <c r="BC695" s="6"/>
      <c r="BD695" s="29">
        <f t="shared" si="368"/>
        <v>0</v>
      </c>
      <c r="BE695" s="322"/>
      <c r="BF695" s="322"/>
      <c r="BG695" s="322"/>
      <c r="BH695" s="322"/>
      <c r="BI695" s="322"/>
      <c r="BJ695" s="322"/>
      <c r="BK695" s="29">
        <f t="shared" si="391"/>
        <v>0</v>
      </c>
      <c r="BL695" s="322"/>
      <c r="BM695" s="322"/>
      <c r="BN695" s="322"/>
      <c r="BO695" s="322"/>
      <c r="BP695" s="322"/>
      <c r="BQ695" s="322"/>
      <c r="BR695" s="322"/>
      <c r="BS695" s="322"/>
      <c r="BT695" s="322"/>
      <c r="BU695" s="322"/>
      <c r="BV695" s="322"/>
      <c r="BW695" s="322"/>
      <c r="BX695" s="322"/>
      <c r="BY695" s="322"/>
      <c r="BZ695" s="322"/>
      <c r="CA695" s="322"/>
      <c r="CB695" s="322"/>
      <c r="CC695" s="322"/>
      <c r="CD695" s="322"/>
      <c r="CE695" s="322"/>
      <c r="CF695" s="322"/>
      <c r="CG695" s="322"/>
      <c r="CH695" s="322"/>
      <c r="CI695" s="322"/>
      <c r="CM695" s="1139">
        <v>0</v>
      </c>
      <c r="CN695" s="1139">
        <v>0</v>
      </c>
      <c r="CP695" s="923">
        <f t="shared" si="364"/>
        <v>0</v>
      </c>
      <c r="CZ695" s="330"/>
    </row>
    <row r="696" spans="1:104" ht="15" customHeight="1" x14ac:dyDescent="0.25">
      <c r="A696" s="684">
        <f>MAX($A$6:A695)+1</f>
        <v>696</v>
      </c>
      <c r="B696" s="3">
        <f t="shared" si="378"/>
        <v>5.0999999999999996</v>
      </c>
      <c r="C696" s="11" t="str">
        <f t="shared" si="369"/>
        <v>Consolidated property, plant and equipment 2025-26</v>
      </c>
      <c r="D696" s="11" t="str">
        <f t="shared" si="388"/>
        <v>Transport Equipment</v>
      </c>
      <c r="E696" s="7" t="s">
        <v>189</v>
      </c>
      <c r="F696" s="15"/>
      <c r="G696" s="1254" t="s">
        <v>189</v>
      </c>
      <c r="H696" s="6">
        <v>0</v>
      </c>
      <c r="I696" s="6">
        <v>0</v>
      </c>
      <c r="J696" s="1257" t="s">
        <v>557</v>
      </c>
      <c r="K696" s="251">
        <f>SUMIF('alb Note 5.1 -PP&amp;E - CY'!$A:$A,$J696,'alb Note 5.1 -PP&amp;E - CY'!$F:$F)</f>
        <v>0</v>
      </c>
      <c r="L696" s="251">
        <f>SUMIF('alb Note 5.1 -PP&amp;E - CY'!$A:$A,$J696,'alb Note 5.1 -PP&amp;E - CY'!$Q:$Q)</f>
        <v>0</v>
      </c>
      <c r="M696" s="10"/>
      <c r="N696" s="273">
        <f t="shared" si="392"/>
        <v>0</v>
      </c>
      <c r="O696" s="12"/>
      <c r="P696" s="12"/>
      <c r="Q696" s="12"/>
      <c r="R696" s="12"/>
      <c r="S696" s="6">
        <f t="shared" si="395"/>
        <v>0</v>
      </c>
      <c r="T696" s="273">
        <f t="shared" si="393"/>
        <v>0</v>
      </c>
      <c r="U696" s="6">
        <f t="shared" si="394"/>
        <v>0</v>
      </c>
      <c r="V696" s="6"/>
      <c r="W696" s="6">
        <f t="shared" si="387"/>
        <v>0</v>
      </c>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X696" s="6"/>
      <c r="AY696" s="6">
        <f>ROUND(AX696/1000/Update!$B$31*Update!$B$27,0)</f>
        <v>0</v>
      </c>
      <c r="BA696" s="6"/>
      <c r="BB696" s="6">
        <f>ROUND(BA696/1000/Update!$B$31,0)</f>
        <v>0</v>
      </c>
      <c r="BC696" s="6"/>
      <c r="BD696" s="29">
        <f t="shared" si="368"/>
        <v>0</v>
      </c>
      <c r="BE696" s="322"/>
      <c r="BF696" s="322"/>
      <c r="BG696" s="322"/>
      <c r="BH696" s="322"/>
      <c r="BI696" s="322"/>
      <c r="BJ696" s="322"/>
      <c r="BK696" s="29">
        <f t="shared" si="391"/>
        <v>0</v>
      </c>
      <c r="BL696" s="322"/>
      <c r="BM696" s="322"/>
      <c r="BN696" s="322"/>
      <c r="BO696" s="322"/>
      <c r="BP696" s="322"/>
      <c r="BQ696" s="322"/>
      <c r="BR696" s="322"/>
      <c r="BS696" s="322"/>
      <c r="BT696" s="322"/>
      <c r="BU696" s="322"/>
      <c r="BV696" s="322"/>
      <c r="BW696" s="322"/>
      <c r="BX696" s="322"/>
      <c r="BY696" s="322"/>
      <c r="BZ696" s="322"/>
      <c r="CA696" s="322"/>
      <c r="CB696" s="322"/>
      <c r="CC696" s="322"/>
      <c r="CD696" s="322"/>
      <c r="CE696" s="322"/>
      <c r="CF696" s="322"/>
      <c r="CG696" s="322"/>
      <c r="CH696" s="322"/>
      <c r="CI696" s="322"/>
      <c r="CM696" s="1139">
        <v>0</v>
      </c>
      <c r="CN696" s="1139">
        <v>0</v>
      </c>
      <c r="CP696" s="923">
        <f t="shared" si="364"/>
        <v>0</v>
      </c>
      <c r="CZ696" s="330"/>
    </row>
    <row r="697" spans="1:104" ht="15" customHeight="1" x14ac:dyDescent="0.25">
      <c r="A697" s="701">
        <f>MAX($A$6:A696)+1</f>
        <v>697</v>
      </c>
      <c r="B697" s="1291">
        <f t="shared" si="378"/>
        <v>5.0999999999999996</v>
      </c>
      <c r="C697" s="18" t="str">
        <f t="shared" si="369"/>
        <v>Consolidated property, plant and equipment 2025-26</v>
      </c>
      <c r="D697" s="18" t="str">
        <f t="shared" si="388"/>
        <v>Transport Equipment</v>
      </c>
      <c r="E697" s="19" t="str">
        <f>"At"&amp;Update!$B$22</f>
        <v>At 31 March 2026</v>
      </c>
      <c r="F697" s="20"/>
      <c r="G697" s="28"/>
      <c r="H697" s="14">
        <f>SUM(H687:H696)+H686</f>
        <v>27</v>
      </c>
      <c r="I697" s="14">
        <f>SUM(I687:I696)+I686</f>
        <v>0</v>
      </c>
      <c r="J697" s="1258" t="s">
        <v>2492</v>
      </c>
      <c r="K697" s="256">
        <f>SUM(K687:K696)+K686</f>
        <v>0</v>
      </c>
      <c r="L697" s="256">
        <f>SUM(L687:L696)+L686</f>
        <v>0</v>
      </c>
      <c r="M697" s="21"/>
      <c r="N697" s="14">
        <f>ROUND(SUM(O697:S697)+T697+SUM(Z697:AV697),0)</f>
        <v>27</v>
      </c>
      <c r="O697" s="14">
        <f t="shared" ref="O697:W697" si="396">SUM(O687:O696)+O686</f>
        <v>0</v>
      </c>
      <c r="P697" s="14">
        <f t="shared" si="396"/>
        <v>0</v>
      </c>
      <c r="Q697" s="14">
        <f t="shared" si="396"/>
        <v>0</v>
      </c>
      <c r="R697" s="14">
        <f t="shared" si="396"/>
        <v>0</v>
      </c>
      <c r="S697" s="14">
        <f t="shared" si="395"/>
        <v>0</v>
      </c>
      <c r="T697" s="14">
        <f t="shared" si="396"/>
        <v>27</v>
      </c>
      <c r="U697" s="14">
        <f t="shared" si="396"/>
        <v>0</v>
      </c>
      <c r="V697" s="14">
        <f t="shared" si="396"/>
        <v>0</v>
      </c>
      <c r="W697" s="14">
        <f t="shared" si="396"/>
        <v>27</v>
      </c>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2"/>
      <c r="AX697" s="14">
        <f>SUM(AX687:AX696)+AX686</f>
        <v>0</v>
      </c>
      <c r="AY697" s="14">
        <f>ROUND(AX697/1000/Update!$B$31*Update!$B$27,0)</f>
        <v>0</v>
      </c>
      <c r="AZ697" s="2"/>
      <c r="BA697" s="14">
        <f>SUM(BA687:BA696)+BA686</f>
        <v>0</v>
      </c>
      <c r="BB697" s="14">
        <f>ROUND(BA697/1000/Update!$B$31,0)</f>
        <v>0</v>
      </c>
      <c r="BC697" s="14"/>
      <c r="BD697" s="14">
        <f t="shared" si="368"/>
        <v>0</v>
      </c>
      <c r="BE697" s="14">
        <f t="shared" ref="BE697:BJ697" si="397">SUM(BE687:BE696)+BE686</f>
        <v>0</v>
      </c>
      <c r="BF697" s="14">
        <f t="shared" si="397"/>
        <v>0</v>
      </c>
      <c r="BG697" s="14">
        <f t="shared" si="397"/>
        <v>0</v>
      </c>
      <c r="BH697" s="14">
        <f t="shared" si="397"/>
        <v>0</v>
      </c>
      <c r="BI697" s="14">
        <f t="shared" si="397"/>
        <v>0</v>
      </c>
      <c r="BJ697" s="14">
        <f t="shared" si="397"/>
        <v>0</v>
      </c>
      <c r="BK697" s="14">
        <f t="shared" si="391"/>
        <v>0</v>
      </c>
      <c r="BL697" s="14"/>
      <c r="BM697" s="14"/>
      <c r="BN697" s="14"/>
      <c r="BO697" s="14"/>
      <c r="BP697" s="14"/>
      <c r="BQ697" s="14"/>
      <c r="BR697" s="14"/>
      <c r="BS697" s="14"/>
      <c r="BT697" s="324"/>
      <c r="BU697" s="14"/>
      <c r="BV697" s="14"/>
      <c r="BW697" s="14"/>
      <c r="BX697" s="14"/>
      <c r="BY697" s="14"/>
      <c r="BZ697" s="14"/>
      <c r="CA697" s="14"/>
      <c r="CB697" s="14"/>
      <c r="CC697" s="14"/>
      <c r="CD697" s="14"/>
      <c r="CE697" s="14"/>
      <c r="CF697" s="14"/>
      <c r="CG697" s="14"/>
      <c r="CH697" s="14"/>
      <c r="CI697" s="14"/>
      <c r="CJ697" s="2"/>
      <c r="CK697" s="2"/>
      <c r="CM697" s="1450">
        <v>0</v>
      </c>
      <c r="CN697" s="1450">
        <v>0</v>
      </c>
      <c r="CP697" s="923">
        <f t="shared" si="364"/>
        <v>0</v>
      </c>
      <c r="CZ697" s="330"/>
    </row>
    <row r="698" spans="1:104" ht="18.75" customHeight="1" x14ac:dyDescent="0.25">
      <c r="A698" s="684">
        <f>MAX($A$6:A697)+1</f>
        <v>698</v>
      </c>
      <c r="B698" s="3">
        <f t="shared" si="378"/>
        <v>5.0999999999999996</v>
      </c>
      <c r="C698" s="11" t="str">
        <f t="shared" si="369"/>
        <v>Consolidated property, plant and equipment 2025-26</v>
      </c>
      <c r="D698" s="11" t="str">
        <f t="shared" si="388"/>
        <v>Transport Equipment</v>
      </c>
      <c r="E698" s="277" t="s">
        <v>160</v>
      </c>
      <c r="F698" s="15"/>
      <c r="G698" s="26"/>
      <c r="H698" s="6">
        <v>0</v>
      </c>
      <c r="I698" s="6">
        <v>0</v>
      </c>
      <c r="J698" s="1257" t="s">
        <v>286</v>
      </c>
      <c r="K698" s="251">
        <f>SUMIF('alb Note 5.1 -PP&amp;E - CY'!$A:$A,$J698,'alb Note 5.1 -PP&amp;E - CY'!$F:$F)</f>
        <v>0</v>
      </c>
      <c r="L698" s="251">
        <f>SUMIF('alb Note 5.1 -PP&amp;E - CY'!$A:$A,$J698,'alb Note 5.1 -PP&amp;E - CY'!$Q:$Q)</f>
        <v>0</v>
      </c>
      <c r="M698" s="10"/>
      <c r="N698" s="273">
        <f>ROUND(SUM(O698:S698)+SUM(W698:AV698),0)</f>
        <v>0</v>
      </c>
      <c r="O698" s="12"/>
      <c r="P698" s="12"/>
      <c r="Q698" s="12"/>
      <c r="R698" s="12"/>
      <c r="S698" s="6">
        <f t="shared" si="395"/>
        <v>0</v>
      </c>
      <c r="T698" s="273">
        <f>ROUND(SUM(U698:Y698),0)</f>
        <v>0</v>
      </c>
      <c r="U698" s="6">
        <f>SUM(BL698:BN698)</f>
        <v>0</v>
      </c>
      <c r="V698" s="6"/>
      <c r="W698" s="6">
        <v>0</v>
      </c>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X698" s="6"/>
      <c r="AY698" s="6">
        <f>ROUND(AX698/1000/Update!$B$31*Update!$B$27,0)</f>
        <v>0</v>
      </c>
      <c r="BA698" s="6"/>
      <c r="BB698" s="6">
        <f>ROUND(BA698/1000/Update!$B$31,0)</f>
        <v>0</v>
      </c>
      <c r="BC698" s="6"/>
      <c r="BD698" s="29">
        <f t="shared" si="368"/>
        <v>0</v>
      </c>
      <c r="BE698" s="322"/>
      <c r="BF698" s="322"/>
      <c r="BG698" s="322"/>
      <c r="BH698" s="322"/>
      <c r="BI698" s="322"/>
      <c r="BJ698" s="322"/>
      <c r="BK698" s="29">
        <f t="shared" si="391"/>
        <v>0</v>
      </c>
      <c r="BL698" s="322"/>
      <c r="BM698" s="322"/>
      <c r="BN698" s="322"/>
      <c r="BO698" s="322"/>
      <c r="BP698" s="322"/>
      <c r="BQ698" s="322"/>
      <c r="BR698" s="322"/>
      <c r="BS698" s="322"/>
      <c r="BT698" s="322"/>
      <c r="BU698" s="322"/>
      <c r="BV698" s="322"/>
      <c r="BW698" s="322"/>
      <c r="BX698" s="322"/>
      <c r="BY698" s="322"/>
      <c r="BZ698" s="322"/>
      <c r="CA698" s="322"/>
      <c r="CB698" s="322"/>
      <c r="CC698" s="322"/>
      <c r="CD698" s="322"/>
      <c r="CE698" s="322"/>
      <c r="CF698" s="322"/>
      <c r="CG698" s="322"/>
      <c r="CH698" s="322"/>
      <c r="CI698" s="322"/>
      <c r="CM698" s="1139">
        <v>0</v>
      </c>
      <c r="CN698" s="1139">
        <v>0</v>
      </c>
      <c r="CP698" s="923">
        <f t="shared" si="364"/>
        <v>0</v>
      </c>
      <c r="CZ698" s="330"/>
    </row>
    <row r="699" spans="1:104" ht="15" customHeight="1" x14ac:dyDescent="0.25">
      <c r="A699" s="684">
        <f>MAX($A$6:A698)+1</f>
        <v>699</v>
      </c>
      <c r="B699" s="3">
        <f t="shared" si="378"/>
        <v>5.0999999999999996</v>
      </c>
      <c r="C699" s="11" t="str">
        <f t="shared" si="369"/>
        <v>Consolidated property, plant and equipment 2025-26</v>
      </c>
      <c r="D699" s="11" t="str">
        <f t="shared" si="388"/>
        <v>Transport Equipment</v>
      </c>
      <c r="E699" s="7" t="str">
        <f>"At"&amp;Update!$B$20&amp;" "</f>
        <v xml:space="preserve">At 1 April 2025 </v>
      </c>
      <c r="F699" s="15"/>
      <c r="G699" s="1267" t="str">
        <f>"At"&amp;Update!$B$20</f>
        <v>At 1 April 2025</v>
      </c>
      <c r="H699" s="6">
        <v>5</v>
      </c>
      <c r="I699" s="6">
        <v>0</v>
      </c>
      <c r="J699" s="1257" t="str">
        <f>$E699</f>
        <v xml:space="preserve">At 1 April 2025 </v>
      </c>
      <c r="K699" s="251">
        <f>SUMIF('alb Note 5.1 -PP&amp;E - CY'!$A:$A,$J699,'alb Note 5.1 -PP&amp;E - CY'!$F:$F)</f>
        <v>0</v>
      </c>
      <c r="L699" s="251">
        <f>SUMIF('alb Note 5.1 -PP&amp;E - CY'!$A:$A,$J699,'alb Note 5.1 -PP&amp;E - CY'!$Q:$Q)</f>
        <v>0</v>
      </c>
      <c r="M699" s="10"/>
      <c r="N699" s="273">
        <f>ROUND(SUM(O699:S699)+SUM(W699:AV699),0)</f>
        <v>5</v>
      </c>
      <c r="O699" s="12"/>
      <c r="P699" s="12"/>
      <c r="Q699" s="12"/>
      <c r="R699" s="12"/>
      <c r="S699" s="6">
        <f t="shared" si="395"/>
        <v>0</v>
      </c>
      <c r="T699" s="273">
        <f>ROUND(SUM(U699:Y699),0)</f>
        <v>5</v>
      </c>
      <c r="U699" s="6">
        <f>SUM(BL699:BN699)</f>
        <v>0</v>
      </c>
      <c r="V699" s="6"/>
      <c r="W699" s="6">
        <f t="shared" ref="W699:W710" si="398">+H699</f>
        <v>5</v>
      </c>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X699" s="6"/>
      <c r="AY699" s="6">
        <f>ROUND(AX699/1000/Update!$B$31*Update!$B$27,0)</f>
        <v>0</v>
      </c>
      <c r="BA699" s="6"/>
      <c r="BB699" s="6">
        <f>ROUND(BA699/1000/Update!$B$31,0)</f>
        <v>0</v>
      </c>
      <c r="BC699" s="6"/>
      <c r="BD699" s="29">
        <f t="shared" si="368"/>
        <v>0</v>
      </c>
      <c r="BE699" s="322"/>
      <c r="BF699" s="322"/>
      <c r="BG699" s="322"/>
      <c r="BH699" s="322"/>
      <c r="BI699" s="322"/>
      <c r="BJ699" s="322"/>
      <c r="BK699" s="29">
        <f t="shared" si="391"/>
        <v>0</v>
      </c>
      <c r="BL699" s="322"/>
      <c r="BM699" s="322"/>
      <c r="BN699" s="322"/>
      <c r="BO699" s="322"/>
      <c r="BP699" s="322"/>
      <c r="BQ699" s="322"/>
      <c r="BR699" s="322"/>
      <c r="BS699" s="322"/>
      <c r="BT699" s="322"/>
      <c r="BU699" s="322"/>
      <c r="BV699" s="322"/>
      <c r="BW699" s="322"/>
      <c r="BX699" s="322"/>
      <c r="BY699" s="322"/>
      <c r="BZ699" s="322"/>
      <c r="CA699" s="322"/>
      <c r="CB699" s="322"/>
      <c r="CC699" s="322"/>
      <c r="CD699" s="322"/>
      <c r="CE699" s="322"/>
      <c r="CF699" s="322"/>
      <c r="CG699" s="322"/>
      <c r="CH699" s="322"/>
      <c r="CI699" s="322"/>
      <c r="CM699" s="1139">
        <v>0</v>
      </c>
      <c r="CN699" s="1139">
        <v>0</v>
      </c>
      <c r="CP699" s="923">
        <f t="shared" si="364"/>
        <v>0</v>
      </c>
      <c r="CZ699" s="330"/>
    </row>
    <row r="700" spans="1:104" ht="15" customHeight="1" x14ac:dyDescent="0.25">
      <c r="A700" s="684">
        <f>MAX($A$6:A699)+1</f>
        <v>700</v>
      </c>
      <c r="B700" s="3">
        <f t="shared" si="378"/>
        <v>5.0999999999999996</v>
      </c>
      <c r="C700" s="11" t="str">
        <f t="shared" si="369"/>
        <v>Consolidated property, plant and equipment 2025-26</v>
      </c>
      <c r="D700" s="11" t="str">
        <f t="shared" si="388"/>
        <v>Transport Equipment</v>
      </c>
      <c r="E700" s="7" t="s">
        <v>1417</v>
      </c>
      <c r="F700" s="15"/>
      <c r="G700" s="1254" t="s">
        <v>435</v>
      </c>
      <c r="H700" s="6">
        <v>0</v>
      </c>
      <c r="I700" s="6">
        <v>0</v>
      </c>
      <c r="J700" s="1257" t="s">
        <v>435</v>
      </c>
      <c r="K700" s="251">
        <f>SUMIF('alb Note 5.1 -PP&amp;E - CY'!$A:$A,$J700,'alb Note 5.1 -PP&amp;E - CY'!$F:$F)</f>
        <v>0</v>
      </c>
      <c r="L700" s="251">
        <f>SUMIF('alb Note 5.1 -PP&amp;E - CY'!$A:$A,$J700,'alb Note 5.1 -PP&amp;E - CY'!$Q:$Q)</f>
        <v>0</v>
      </c>
      <c r="M700" s="10"/>
      <c r="N700" s="273">
        <f>ROUND(SUM(O700:S700)+SUM(W700:AV700),0)</f>
        <v>0</v>
      </c>
      <c r="O700" s="12"/>
      <c r="P700" s="12"/>
      <c r="Q700" s="12"/>
      <c r="R700" s="12"/>
      <c r="S700" s="6">
        <f t="shared" si="395"/>
        <v>0</v>
      </c>
      <c r="T700" s="273">
        <f>ROUND(SUM(U700:Y700),0)</f>
        <v>0</v>
      </c>
      <c r="U700" s="6">
        <f>SUM(BL700:BN700)</f>
        <v>0</v>
      </c>
      <c r="V700" s="6"/>
      <c r="W700" s="6">
        <f t="shared" si="398"/>
        <v>0</v>
      </c>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X700" s="6"/>
      <c r="AY700" s="6">
        <f>ROUND(AX700/1000/Update!$B$31*Update!$B$27,0)</f>
        <v>0</v>
      </c>
      <c r="BA700" s="6"/>
      <c r="BB700" s="6">
        <f>ROUND(BA700/1000/Update!$B$31,0)</f>
        <v>0</v>
      </c>
      <c r="BC700" s="6"/>
      <c r="BD700" s="29">
        <f t="shared" si="368"/>
        <v>0</v>
      </c>
      <c r="BE700" s="322"/>
      <c r="BF700" s="322"/>
      <c r="BG700" s="322"/>
      <c r="BH700" s="322"/>
      <c r="BI700" s="322"/>
      <c r="BJ700" s="322"/>
      <c r="BK700" s="29">
        <f t="shared" si="391"/>
        <v>0</v>
      </c>
      <c r="BL700" s="322"/>
      <c r="BM700" s="322"/>
      <c r="BN700" s="322"/>
      <c r="BO700" s="322"/>
      <c r="BP700" s="322"/>
      <c r="BQ700" s="322"/>
      <c r="BR700" s="322"/>
      <c r="BS700" s="322"/>
      <c r="BT700" s="322"/>
      <c r="BU700" s="322"/>
      <c r="BV700" s="322"/>
      <c r="BW700" s="322"/>
      <c r="BX700" s="322"/>
      <c r="BY700" s="322"/>
      <c r="BZ700" s="322"/>
      <c r="CA700" s="322"/>
      <c r="CB700" s="322"/>
      <c r="CC700" s="322"/>
      <c r="CD700" s="322"/>
      <c r="CE700" s="322"/>
      <c r="CF700" s="322"/>
      <c r="CG700" s="322"/>
      <c r="CH700" s="322"/>
      <c r="CI700" s="322"/>
      <c r="CM700" s="1139">
        <v>0</v>
      </c>
      <c r="CN700" s="1139">
        <v>0</v>
      </c>
      <c r="CP700" s="923">
        <f t="shared" si="364"/>
        <v>0</v>
      </c>
      <c r="CZ700" s="330"/>
    </row>
    <row r="701" spans="1:104" ht="15" customHeight="1" x14ac:dyDescent="0.25">
      <c r="A701" s="701">
        <f>MAX($A$6:A700)+1</f>
        <v>701</v>
      </c>
      <c r="B701" s="1291">
        <f t="shared" si="378"/>
        <v>5.0999999999999996</v>
      </c>
      <c r="C701" s="18" t="str">
        <f t="shared" si="369"/>
        <v>Consolidated property, plant and equipment 2025-26</v>
      </c>
      <c r="D701" s="18" t="str">
        <f t="shared" si="388"/>
        <v>Transport Equipment</v>
      </c>
      <c r="E701" s="19" t="s">
        <v>442</v>
      </c>
      <c r="F701" s="20"/>
      <c r="G701" s="1278" t="s">
        <v>442</v>
      </c>
      <c r="H701" s="14">
        <f>SUM(H698:H700)</f>
        <v>5</v>
      </c>
      <c r="I701" s="14">
        <f>SUM(I698:I700)</f>
        <v>0</v>
      </c>
      <c r="J701" s="1258" t="s">
        <v>442</v>
      </c>
      <c r="K701" s="256">
        <f>SUM(K699:K700)</f>
        <v>0</v>
      </c>
      <c r="L701" s="256">
        <f>SUM(L699:L700)</f>
        <v>0</v>
      </c>
      <c r="M701" s="21"/>
      <c r="N701" s="14">
        <f>ROUND(SUM(O701:S701)+T701+SUM(Z701:AV701),0)</f>
        <v>5</v>
      </c>
      <c r="O701" s="14">
        <f t="shared" ref="O701:W701" si="399">SUM(O698:O700)</f>
        <v>0</v>
      </c>
      <c r="P701" s="14">
        <f t="shared" si="399"/>
        <v>0</v>
      </c>
      <c r="Q701" s="14">
        <f t="shared" si="399"/>
        <v>0</v>
      </c>
      <c r="R701" s="14">
        <f t="shared" si="399"/>
        <v>0</v>
      </c>
      <c r="S701" s="14">
        <f t="shared" si="395"/>
        <v>0</v>
      </c>
      <c r="T701" s="14">
        <f t="shared" si="399"/>
        <v>5</v>
      </c>
      <c r="U701" s="14">
        <f t="shared" si="399"/>
        <v>0</v>
      </c>
      <c r="V701" s="14">
        <f t="shared" si="399"/>
        <v>0</v>
      </c>
      <c r="W701" s="14">
        <f t="shared" si="399"/>
        <v>5</v>
      </c>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2"/>
      <c r="AX701" s="14">
        <f>SUM(AX698:AX700)</f>
        <v>0</v>
      </c>
      <c r="AY701" s="14">
        <f>ROUND(AX701/1000/Update!$B$31*Update!$B$27,0)</f>
        <v>0</v>
      </c>
      <c r="AZ701" s="2"/>
      <c r="BA701" s="14">
        <f>SUM(BA698:BA700)</f>
        <v>0</v>
      </c>
      <c r="BB701" s="14">
        <f>ROUND(BA701/1000/Update!$B$31,0)</f>
        <v>0</v>
      </c>
      <c r="BC701" s="14"/>
      <c r="BD701" s="14">
        <f t="shared" si="368"/>
        <v>0</v>
      </c>
      <c r="BE701" s="14">
        <f t="shared" ref="BE701:BJ701" si="400">SUM(BE698:BE700)</f>
        <v>0</v>
      </c>
      <c r="BF701" s="14">
        <f t="shared" si="400"/>
        <v>0</v>
      </c>
      <c r="BG701" s="14">
        <f t="shared" si="400"/>
        <v>0</v>
      </c>
      <c r="BH701" s="14">
        <f t="shared" si="400"/>
        <v>0</v>
      </c>
      <c r="BI701" s="14">
        <f t="shared" si="400"/>
        <v>0</v>
      </c>
      <c r="BJ701" s="14">
        <f t="shared" si="400"/>
        <v>0</v>
      </c>
      <c r="BK701" s="14">
        <f t="shared" si="391"/>
        <v>0</v>
      </c>
      <c r="BL701" s="14"/>
      <c r="BM701" s="14"/>
      <c r="BN701" s="14"/>
      <c r="BO701" s="14"/>
      <c r="BP701" s="14"/>
      <c r="BQ701" s="14"/>
      <c r="BR701" s="14"/>
      <c r="BS701" s="14"/>
      <c r="BT701" s="324"/>
      <c r="BU701" s="14"/>
      <c r="BV701" s="14"/>
      <c r="BW701" s="14"/>
      <c r="BX701" s="14"/>
      <c r="BY701" s="14"/>
      <c r="BZ701" s="14"/>
      <c r="CA701" s="14"/>
      <c r="CB701" s="14"/>
      <c r="CC701" s="14"/>
      <c r="CD701" s="14"/>
      <c r="CE701" s="14"/>
      <c r="CF701" s="14"/>
      <c r="CG701" s="14"/>
      <c r="CH701" s="14"/>
      <c r="CI701" s="14"/>
      <c r="CJ701" s="2"/>
      <c r="CK701" s="2"/>
      <c r="CM701" s="1450">
        <v>0</v>
      </c>
      <c r="CN701" s="1450">
        <v>0</v>
      </c>
      <c r="CP701" s="923">
        <f t="shared" si="364"/>
        <v>0</v>
      </c>
      <c r="CZ701" s="330"/>
    </row>
    <row r="702" spans="1:104" ht="15" customHeight="1" x14ac:dyDescent="0.25">
      <c r="A702" s="684">
        <f>MAX($A$6:A701)+1</f>
        <v>702</v>
      </c>
      <c r="B702" s="3">
        <f t="shared" si="378"/>
        <v>5.0999999999999996</v>
      </c>
      <c r="C702" s="11" t="str">
        <f t="shared" si="369"/>
        <v>Consolidated property, plant and equipment 2025-26</v>
      </c>
      <c r="D702" s="11" t="str">
        <f t="shared" si="388"/>
        <v>Transport Equipment</v>
      </c>
      <c r="E702" s="7" t="s">
        <v>1409</v>
      </c>
      <c r="F702" s="15"/>
      <c r="G702" s="1254" t="s">
        <v>190</v>
      </c>
      <c r="H702" s="6">
        <v>0</v>
      </c>
      <c r="I702" s="6">
        <v>0</v>
      </c>
      <c r="J702" s="1257" t="s">
        <v>190</v>
      </c>
      <c r="K702" s="251">
        <f>SUMIF('alb Note 5.1 -PP&amp;E - CY'!$A:$A,$J702,'alb Note 5.1 -PP&amp;E - CY'!$F:$F)</f>
        <v>0</v>
      </c>
      <c r="L702" s="251">
        <f>SUMIF('alb Note 5.1 -PP&amp;E - CY'!$A:$A,$J702,'alb Note 5.1 -PP&amp;E - CY'!$Q:$Q)</f>
        <v>0</v>
      </c>
      <c r="M702" s="10"/>
      <c r="N702" s="273">
        <f t="shared" ref="N702:N710" si="401">ROUND(SUM(O702:S702)+SUM(W702:AV702),0)</f>
        <v>0</v>
      </c>
      <c r="O702" s="12"/>
      <c r="P702" s="12"/>
      <c r="Q702" s="12"/>
      <c r="R702" s="12"/>
      <c r="S702" s="6">
        <f t="shared" si="395"/>
        <v>0</v>
      </c>
      <c r="T702" s="273">
        <f t="shared" ref="T702:T710" si="402">ROUND(SUM(U702:Y702),0)</f>
        <v>0</v>
      </c>
      <c r="U702" s="6">
        <f t="shared" ref="U702:U710" si="403">SUM(BL702:BN702)</f>
        <v>0</v>
      </c>
      <c r="V702" s="6"/>
      <c r="W702" s="6">
        <f t="shared" si="398"/>
        <v>0</v>
      </c>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X702" s="6"/>
      <c r="AY702" s="6">
        <f>ROUND(AX702/1000/Update!$B$31*Update!$B$27,0)</f>
        <v>0</v>
      </c>
      <c r="BA702" s="6"/>
      <c r="BB702" s="6">
        <f>ROUND(BA702/1000/Update!$B$31,0)</f>
        <v>0</v>
      </c>
      <c r="BC702" s="6"/>
      <c r="BD702" s="29">
        <f t="shared" si="368"/>
        <v>0</v>
      </c>
      <c r="BE702" s="322"/>
      <c r="BF702" s="322"/>
      <c r="BG702" s="322"/>
      <c r="BH702" s="322"/>
      <c r="BI702" s="322"/>
      <c r="BJ702" s="322"/>
      <c r="BK702" s="29">
        <f t="shared" si="391"/>
        <v>0</v>
      </c>
      <c r="BL702" s="322"/>
      <c r="BM702" s="322"/>
      <c r="BN702" s="322"/>
      <c r="BO702" s="322"/>
      <c r="BP702" s="322"/>
      <c r="BQ702" s="322"/>
      <c r="BR702" s="322"/>
      <c r="BS702" s="322"/>
      <c r="BT702" s="322"/>
      <c r="BU702" s="322"/>
      <c r="BV702" s="322"/>
      <c r="BW702" s="322"/>
      <c r="BX702" s="322"/>
      <c r="BY702" s="322"/>
      <c r="BZ702" s="322"/>
      <c r="CA702" s="322"/>
      <c r="CB702" s="322"/>
      <c r="CC702" s="322"/>
      <c r="CD702" s="322"/>
      <c r="CE702" s="322"/>
      <c r="CF702" s="322"/>
      <c r="CG702" s="322"/>
      <c r="CH702" s="322"/>
      <c r="CI702" s="322"/>
      <c r="CM702" s="1139">
        <v>0</v>
      </c>
      <c r="CN702" s="1139">
        <v>0</v>
      </c>
      <c r="CP702" s="923">
        <f t="shared" si="364"/>
        <v>0</v>
      </c>
      <c r="CZ702" s="330"/>
    </row>
    <row r="703" spans="1:104" ht="15" customHeight="1" x14ac:dyDescent="0.25">
      <c r="A703" s="684">
        <f>MAX($A$6:A702)+1</f>
        <v>703</v>
      </c>
      <c r="B703" s="3">
        <f t="shared" si="378"/>
        <v>5.0999999999999996</v>
      </c>
      <c r="C703" s="11" t="str">
        <f t="shared" si="369"/>
        <v>Consolidated property, plant and equipment 2025-26</v>
      </c>
      <c r="D703" s="11" t="str">
        <f t="shared" si="388"/>
        <v>Transport Equipment</v>
      </c>
      <c r="E703" s="7" t="s">
        <v>457</v>
      </c>
      <c r="F703" s="15"/>
      <c r="G703" s="1254" t="s">
        <v>191</v>
      </c>
      <c r="H703" s="6">
        <v>0</v>
      </c>
      <c r="I703" s="6">
        <v>0</v>
      </c>
      <c r="J703" s="1257" t="s">
        <v>457</v>
      </c>
      <c r="K703" s="251">
        <f>SUMIF('alb Note 5.1 -PP&amp;E - CY'!$A:$A,$J703,'alb Note 5.1 -PP&amp;E - CY'!$F:$F)</f>
        <v>0</v>
      </c>
      <c r="L703" s="251">
        <f>SUMIF('alb Note 5.1 -PP&amp;E - CY'!$A:$A,$J703,'alb Note 5.1 -PP&amp;E - CY'!$Q:$Q)</f>
        <v>0</v>
      </c>
      <c r="M703" s="10"/>
      <c r="N703" s="273">
        <f t="shared" si="401"/>
        <v>0</v>
      </c>
      <c r="O703" s="12"/>
      <c r="P703" s="12"/>
      <c r="Q703" s="12"/>
      <c r="R703" s="12"/>
      <c r="S703" s="6">
        <f t="shared" si="395"/>
        <v>0</v>
      </c>
      <c r="T703" s="273">
        <f t="shared" si="402"/>
        <v>0</v>
      </c>
      <c r="U703" s="6">
        <f t="shared" si="403"/>
        <v>0</v>
      </c>
      <c r="V703" s="6"/>
      <c r="W703" s="6">
        <f t="shared" si="398"/>
        <v>0</v>
      </c>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X703" s="6"/>
      <c r="AY703" s="6">
        <f>ROUND(AX703/1000/Update!$B$31*Update!$B$27,0)</f>
        <v>0</v>
      </c>
      <c r="BA703" s="6"/>
      <c r="BB703" s="6">
        <f>ROUND(BA703/1000/Update!$B$31,0)</f>
        <v>0</v>
      </c>
      <c r="BC703" s="6"/>
      <c r="BD703" s="29">
        <f t="shared" si="368"/>
        <v>0</v>
      </c>
      <c r="BE703" s="322"/>
      <c r="BF703" s="322"/>
      <c r="BG703" s="322"/>
      <c r="BH703" s="322"/>
      <c r="BI703" s="322"/>
      <c r="BJ703" s="322"/>
      <c r="BK703" s="29">
        <f t="shared" si="391"/>
        <v>0</v>
      </c>
      <c r="BL703" s="322"/>
      <c r="BM703" s="322"/>
      <c r="BN703" s="322"/>
      <c r="BO703" s="322"/>
      <c r="BP703" s="322"/>
      <c r="BQ703" s="322"/>
      <c r="BR703" s="322"/>
      <c r="BS703" s="322"/>
      <c r="BT703" s="322"/>
      <c r="BU703" s="322"/>
      <c r="BV703" s="322"/>
      <c r="BW703" s="322"/>
      <c r="BX703" s="322"/>
      <c r="BY703" s="322"/>
      <c r="BZ703" s="322"/>
      <c r="CA703" s="322"/>
      <c r="CB703" s="322"/>
      <c r="CC703" s="322"/>
      <c r="CD703" s="322"/>
      <c r="CE703" s="322"/>
      <c r="CF703" s="322"/>
      <c r="CG703" s="322"/>
      <c r="CH703" s="322"/>
      <c r="CI703" s="322"/>
      <c r="CM703" s="1139">
        <v>0</v>
      </c>
      <c r="CN703" s="1139">
        <v>0</v>
      </c>
      <c r="CP703" s="923">
        <f t="shared" si="364"/>
        <v>0</v>
      </c>
      <c r="CZ703" s="330"/>
    </row>
    <row r="704" spans="1:104" ht="15" customHeight="1" x14ac:dyDescent="0.25">
      <c r="A704" s="684">
        <f>MAX($A$6:A703)+1</f>
        <v>704</v>
      </c>
      <c r="B704" s="3">
        <f t="shared" si="378"/>
        <v>5.0999999999999996</v>
      </c>
      <c r="C704" s="11" t="str">
        <f t="shared" si="369"/>
        <v>Consolidated property, plant and equipment 2025-26</v>
      </c>
      <c r="D704" s="11" t="str">
        <f t="shared" si="388"/>
        <v>Transport Equipment</v>
      </c>
      <c r="E704" s="7" t="s">
        <v>863</v>
      </c>
      <c r="F704" s="15"/>
      <c r="G704" s="1254" t="s">
        <v>186</v>
      </c>
      <c r="H704" s="6">
        <v>0</v>
      </c>
      <c r="I704" s="6">
        <v>0</v>
      </c>
      <c r="J704" s="1257" t="s">
        <v>863</v>
      </c>
      <c r="K704" s="251">
        <f>SUMIF('alb Note 5.1 -PP&amp;E - CY'!$A:$A,$J704,'alb Note 5.1 -PP&amp;E - CY'!$F:$F)</f>
        <v>0</v>
      </c>
      <c r="L704" s="251">
        <f>SUMIF('alb Note 5.1 -PP&amp;E - CY'!$A:$A,$J704,'alb Note 5.1 -PP&amp;E - CY'!$Q:$Q)</f>
        <v>0</v>
      </c>
      <c r="M704" s="10"/>
      <c r="N704" s="273">
        <f t="shared" si="401"/>
        <v>0</v>
      </c>
      <c r="O704" s="12"/>
      <c r="P704" s="12"/>
      <c r="Q704" s="12"/>
      <c r="R704" s="12"/>
      <c r="S704" s="6">
        <f t="shared" si="395"/>
        <v>0</v>
      </c>
      <c r="T704" s="273">
        <f t="shared" si="402"/>
        <v>0</v>
      </c>
      <c r="U704" s="6">
        <f t="shared" si="403"/>
        <v>0</v>
      </c>
      <c r="V704" s="6"/>
      <c r="W704" s="6">
        <f t="shared" si="398"/>
        <v>0</v>
      </c>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X704" s="6"/>
      <c r="AY704" s="6">
        <f>ROUND(AX704/1000/Update!$B$31*Update!$B$27,0)</f>
        <v>0</v>
      </c>
      <c r="BA704" s="6"/>
      <c r="BB704" s="6">
        <f>ROUND(BA704/1000/Update!$B$31,0)</f>
        <v>0</v>
      </c>
      <c r="BC704" s="6"/>
      <c r="BD704" s="29">
        <f t="shared" si="368"/>
        <v>0</v>
      </c>
      <c r="BE704" s="322"/>
      <c r="BF704" s="322"/>
      <c r="BG704" s="322"/>
      <c r="BH704" s="322"/>
      <c r="BI704" s="322"/>
      <c r="BJ704" s="322"/>
      <c r="BK704" s="29">
        <f t="shared" si="391"/>
        <v>0</v>
      </c>
      <c r="BL704" s="322"/>
      <c r="BM704" s="322"/>
      <c r="BN704" s="322"/>
      <c r="BO704" s="322"/>
      <c r="BP704" s="322"/>
      <c r="BQ704" s="322"/>
      <c r="BR704" s="322"/>
      <c r="BS704" s="322"/>
      <c r="BT704" s="322"/>
      <c r="BU704" s="322"/>
      <c r="BV704" s="322"/>
      <c r="BW704" s="322"/>
      <c r="BX704" s="322"/>
      <c r="BY704" s="322"/>
      <c r="BZ704" s="322"/>
      <c r="CA704" s="322"/>
      <c r="CB704" s="322"/>
      <c r="CC704" s="322"/>
      <c r="CD704" s="322"/>
      <c r="CE704" s="322"/>
      <c r="CF704" s="322"/>
      <c r="CG704" s="322"/>
      <c r="CH704" s="322"/>
      <c r="CI704" s="322"/>
      <c r="CM704" s="1139">
        <v>0</v>
      </c>
      <c r="CN704" s="1139">
        <v>0</v>
      </c>
      <c r="CP704" s="923">
        <f t="shared" si="364"/>
        <v>0</v>
      </c>
      <c r="CZ704" s="330"/>
    </row>
    <row r="705" spans="1:104" ht="30" customHeight="1" x14ac:dyDescent="0.25">
      <c r="A705" s="684">
        <f>MAX($A$6:A704)+1</f>
        <v>705</v>
      </c>
      <c r="B705" s="3">
        <f t="shared" si="378"/>
        <v>5.0999999999999996</v>
      </c>
      <c r="C705" s="11" t="str">
        <f t="shared" si="369"/>
        <v>Consolidated property, plant and equipment 2025-26</v>
      </c>
      <c r="D705" s="11" t="str">
        <f t="shared" si="388"/>
        <v>Transport Equipment</v>
      </c>
      <c r="E705" s="7" t="s">
        <v>1415</v>
      </c>
      <c r="F705" s="15"/>
      <c r="G705" s="1254" t="s">
        <v>438</v>
      </c>
      <c r="H705" s="6">
        <v>0</v>
      </c>
      <c r="I705" s="6">
        <v>0</v>
      </c>
      <c r="J705" s="1257" t="s">
        <v>864</v>
      </c>
      <c r="K705" s="251">
        <f>SUMIF('alb Note 5.1 -PP&amp;E - CY'!$A:$A,$J705,'alb Note 5.1 -PP&amp;E - CY'!$F:$F)</f>
        <v>0</v>
      </c>
      <c r="L705" s="251">
        <f>SUMIF('alb Note 5.1 -PP&amp;E - CY'!$A:$A,$J705,'alb Note 5.1 -PP&amp;E - CY'!$Q:$Q)</f>
        <v>0</v>
      </c>
      <c r="M705" s="10"/>
      <c r="N705" s="273">
        <f t="shared" si="401"/>
        <v>0</v>
      </c>
      <c r="O705" s="12"/>
      <c r="P705" s="12"/>
      <c r="Q705" s="12"/>
      <c r="R705" s="12"/>
      <c r="S705" s="6">
        <f t="shared" si="395"/>
        <v>0</v>
      </c>
      <c r="T705" s="273">
        <f t="shared" si="402"/>
        <v>0</v>
      </c>
      <c r="U705" s="6">
        <f t="shared" si="403"/>
        <v>0</v>
      </c>
      <c r="V705" s="6"/>
      <c r="W705" s="6">
        <f t="shared" si="398"/>
        <v>0</v>
      </c>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X705" s="6"/>
      <c r="AY705" s="6">
        <f>ROUND(AX705/1000/Update!$B$31*Update!$B$27,0)</f>
        <v>0</v>
      </c>
      <c r="BA705" s="6"/>
      <c r="BB705" s="6">
        <f>ROUND(BA705/1000/Update!$B$31,0)</f>
        <v>0</v>
      </c>
      <c r="BC705" s="6"/>
      <c r="BD705" s="29">
        <f t="shared" si="368"/>
        <v>0</v>
      </c>
      <c r="BE705" s="322"/>
      <c r="BF705" s="322"/>
      <c r="BG705" s="322"/>
      <c r="BH705" s="322"/>
      <c r="BI705" s="322"/>
      <c r="BJ705" s="322"/>
      <c r="BK705" s="29">
        <f t="shared" si="391"/>
        <v>0</v>
      </c>
      <c r="BL705" s="322"/>
      <c r="BM705" s="322"/>
      <c r="BN705" s="322"/>
      <c r="BO705" s="322"/>
      <c r="BP705" s="322"/>
      <c r="BQ705" s="322"/>
      <c r="BR705" s="322"/>
      <c r="BS705" s="322"/>
      <c r="BT705" s="322"/>
      <c r="BU705" s="322"/>
      <c r="BV705" s="322"/>
      <c r="BW705" s="322"/>
      <c r="BX705" s="322"/>
      <c r="BY705" s="322"/>
      <c r="BZ705" s="322"/>
      <c r="CA705" s="322"/>
      <c r="CB705" s="322"/>
      <c r="CC705" s="322"/>
      <c r="CD705" s="322"/>
      <c r="CE705" s="322"/>
      <c r="CF705" s="322"/>
      <c r="CG705" s="322"/>
      <c r="CH705" s="322"/>
      <c r="CI705" s="322"/>
      <c r="CM705" s="1139">
        <v>0</v>
      </c>
      <c r="CN705" s="1139">
        <v>0</v>
      </c>
      <c r="CP705" s="923">
        <f t="shared" si="364"/>
        <v>0</v>
      </c>
      <c r="CZ705" s="330"/>
    </row>
    <row r="706" spans="1:104" ht="51" customHeight="1" x14ac:dyDescent="0.25">
      <c r="A706" s="684">
        <f>MAX($A$6:A705)+1</f>
        <v>706</v>
      </c>
      <c r="B706" s="3">
        <f t="shared" si="378"/>
        <v>5.0999999999999996</v>
      </c>
      <c r="C706" s="11" t="str">
        <f t="shared" si="369"/>
        <v>Consolidated property, plant and equipment 2025-26</v>
      </c>
      <c r="D706" s="11" t="str">
        <f t="shared" si="388"/>
        <v>Transport Equipment</v>
      </c>
      <c r="E706" s="7" t="s">
        <v>1410</v>
      </c>
      <c r="F706" s="15"/>
      <c r="G706" s="1254" t="s">
        <v>193</v>
      </c>
      <c r="H706" s="6">
        <v>0</v>
      </c>
      <c r="I706" s="6">
        <v>0</v>
      </c>
      <c r="J706" s="1257" t="s">
        <v>865</v>
      </c>
      <c r="K706" s="251">
        <f>SUMIF('alb Note 5.1 -PP&amp;E - CY'!$A:$A,$J706,'alb Note 5.1 -PP&amp;E - CY'!$F:$F)</f>
        <v>0</v>
      </c>
      <c r="L706" s="251">
        <f>SUMIF('alb Note 5.1 -PP&amp;E - CY'!$A:$A,$J706,'alb Note 5.1 -PP&amp;E - CY'!$Q:$Q)</f>
        <v>0</v>
      </c>
      <c r="M706" s="10"/>
      <c r="N706" s="273">
        <f t="shared" si="401"/>
        <v>0</v>
      </c>
      <c r="O706" s="12"/>
      <c r="P706" s="12"/>
      <c r="Q706" s="12"/>
      <c r="R706" s="12"/>
      <c r="S706" s="6">
        <f t="shared" si="395"/>
        <v>0</v>
      </c>
      <c r="T706" s="273">
        <f t="shared" si="402"/>
        <v>0</v>
      </c>
      <c r="U706" s="6">
        <f t="shared" si="403"/>
        <v>0</v>
      </c>
      <c r="V706" s="6"/>
      <c r="W706" s="6">
        <f t="shared" si="398"/>
        <v>0</v>
      </c>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X706" s="6"/>
      <c r="AY706" s="6">
        <f>ROUND(AX706/1000/Update!$B$31*Update!$B$27,0)</f>
        <v>0</v>
      </c>
      <c r="BA706" s="6"/>
      <c r="BB706" s="6">
        <f>ROUND(BA706/1000/Update!$B$31,0)</f>
        <v>0</v>
      </c>
      <c r="BC706" s="6"/>
      <c r="BD706" s="29">
        <f t="shared" si="368"/>
        <v>0</v>
      </c>
      <c r="BE706" s="322"/>
      <c r="BF706" s="322"/>
      <c r="BG706" s="322"/>
      <c r="BH706" s="322"/>
      <c r="BI706" s="322"/>
      <c r="BJ706" s="322"/>
      <c r="BK706" s="29">
        <f t="shared" si="391"/>
        <v>0</v>
      </c>
      <c r="BL706" s="322"/>
      <c r="BM706" s="322"/>
      <c r="BN706" s="322"/>
      <c r="BO706" s="322"/>
      <c r="BP706" s="322"/>
      <c r="BQ706" s="322"/>
      <c r="BR706" s="322"/>
      <c r="BS706" s="322"/>
      <c r="BT706" s="322"/>
      <c r="BU706" s="322"/>
      <c r="BV706" s="322"/>
      <c r="BW706" s="322"/>
      <c r="BX706" s="322"/>
      <c r="BY706" s="322"/>
      <c r="BZ706" s="322"/>
      <c r="CA706" s="322"/>
      <c r="CB706" s="322"/>
      <c r="CC706" s="322"/>
      <c r="CD706" s="322"/>
      <c r="CE706" s="322"/>
      <c r="CF706" s="322"/>
      <c r="CG706" s="322"/>
      <c r="CH706" s="322"/>
      <c r="CI706" s="322"/>
      <c r="CM706" s="1139">
        <v>0</v>
      </c>
      <c r="CN706" s="1139">
        <v>0</v>
      </c>
      <c r="CP706" s="923">
        <f t="shared" si="364"/>
        <v>0</v>
      </c>
      <c r="CZ706" s="330"/>
    </row>
    <row r="707" spans="1:104" ht="15" customHeight="1" x14ac:dyDescent="0.25">
      <c r="A707" s="684">
        <f>MAX($A$6:A706)+1</f>
        <v>707</v>
      </c>
      <c r="B707" s="3">
        <f t="shared" si="378"/>
        <v>5.0999999999999996</v>
      </c>
      <c r="C707" s="11" t="str">
        <f t="shared" si="369"/>
        <v>Consolidated property, plant and equipment 2025-26</v>
      </c>
      <c r="D707" s="11" t="str">
        <f>D706</f>
        <v>Transport Equipment</v>
      </c>
      <c r="E707" s="7" t="s">
        <v>810</v>
      </c>
      <c r="F707" s="15"/>
      <c r="G707" s="1254"/>
      <c r="H707" s="6">
        <v>0</v>
      </c>
      <c r="I707" s="6">
        <v>0</v>
      </c>
      <c r="J707" s="1257" t="s">
        <v>866</v>
      </c>
      <c r="K707" s="251">
        <f>SUMIF('alb Note 5.1 -PP&amp;E - CY'!$A:$A,$J707,'alb Note 5.1 -PP&amp;E - CY'!$F:$F)</f>
        <v>0</v>
      </c>
      <c r="L707" s="251">
        <f>SUMIF('alb Note 5.1 -PP&amp;E - CY'!$A:$A,$J707,'alb Note 5.1 -PP&amp;E - CY'!$Q:$Q)</f>
        <v>0</v>
      </c>
      <c r="M707" s="10"/>
      <c r="N707" s="273">
        <f t="shared" si="401"/>
        <v>0</v>
      </c>
      <c r="O707" s="12"/>
      <c r="P707" s="12"/>
      <c r="Q707" s="12"/>
      <c r="R707" s="12"/>
      <c r="S707" s="6">
        <f t="shared" si="395"/>
        <v>0</v>
      </c>
      <c r="T707" s="273">
        <f t="shared" si="402"/>
        <v>0</v>
      </c>
      <c r="U707" s="6">
        <f t="shared" si="403"/>
        <v>0</v>
      </c>
      <c r="V707" s="6"/>
      <c r="W707" s="6">
        <f t="shared" si="398"/>
        <v>0</v>
      </c>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X707" s="6"/>
      <c r="AY707" s="6">
        <f>ROUND(AX707/1000/Update!$B$31*Update!$B$27,0)</f>
        <v>0</v>
      </c>
      <c r="BA707" s="6"/>
      <c r="BB707" s="6">
        <f>ROUND(BA707/1000/Update!$B$31,0)</f>
        <v>0</v>
      </c>
      <c r="BC707" s="6"/>
      <c r="BD707" s="29">
        <f t="shared" si="368"/>
        <v>0</v>
      </c>
      <c r="BE707" s="322"/>
      <c r="BF707" s="322"/>
      <c r="BG707" s="322"/>
      <c r="BH707" s="322"/>
      <c r="BI707" s="322"/>
      <c r="BJ707" s="322"/>
      <c r="BK707" s="29">
        <f t="shared" si="391"/>
        <v>0</v>
      </c>
      <c r="BL707" s="322"/>
      <c r="BM707" s="322"/>
      <c r="BN707" s="322"/>
      <c r="BO707" s="322"/>
      <c r="BP707" s="322"/>
      <c r="BQ707" s="322"/>
      <c r="BR707" s="322"/>
      <c r="BS707" s="322"/>
      <c r="BT707" s="322"/>
      <c r="BU707" s="322"/>
      <c r="BV707" s="322"/>
      <c r="BW707" s="322"/>
      <c r="BX707" s="322"/>
      <c r="BY707" s="322"/>
      <c r="BZ707" s="322"/>
      <c r="CA707" s="322"/>
      <c r="CB707" s="322"/>
      <c r="CC707" s="322"/>
      <c r="CD707" s="322"/>
      <c r="CE707" s="322"/>
      <c r="CF707" s="322"/>
      <c r="CG707" s="322"/>
      <c r="CH707" s="322"/>
      <c r="CI707" s="322"/>
      <c r="CM707" s="1139">
        <v>0</v>
      </c>
      <c r="CN707" s="1139">
        <v>0</v>
      </c>
      <c r="CP707" s="923">
        <f t="shared" si="364"/>
        <v>0</v>
      </c>
      <c r="CZ707" s="330"/>
    </row>
    <row r="708" spans="1:104" ht="15" customHeight="1" x14ac:dyDescent="0.25">
      <c r="A708" s="684">
        <f>MAX($A$6:A707)+1</f>
        <v>708</v>
      </c>
      <c r="B708" s="3">
        <f t="shared" si="378"/>
        <v>5.0999999999999996</v>
      </c>
      <c r="C708" s="11" t="str">
        <f>C706</f>
        <v>Consolidated property, plant and equipment 2025-26</v>
      </c>
      <c r="D708" s="11" t="str">
        <f>D706</f>
        <v>Transport Equipment</v>
      </c>
      <c r="E708" s="7" t="s">
        <v>867</v>
      </c>
      <c r="F708" s="15"/>
      <c r="G708" s="1254" t="s">
        <v>187</v>
      </c>
      <c r="H708" s="6">
        <v>0</v>
      </c>
      <c r="I708" s="6">
        <v>0</v>
      </c>
      <c r="J708" s="1257" t="s">
        <v>867</v>
      </c>
      <c r="K708" s="251">
        <f>SUMIF('alb Note 5.1 -PP&amp;E - CY'!$A:$A,$J708,'alb Note 5.1 -PP&amp;E - CY'!$F:$F)</f>
        <v>0</v>
      </c>
      <c r="L708" s="251">
        <f>SUMIF('alb Note 5.1 -PP&amp;E - CY'!$A:$A,$J708,'alb Note 5.1 -PP&amp;E - CY'!$Q:$Q)</f>
        <v>0</v>
      </c>
      <c r="M708" s="10"/>
      <c r="N708" s="273">
        <f t="shared" si="401"/>
        <v>0</v>
      </c>
      <c r="O708" s="12"/>
      <c r="P708" s="12"/>
      <c r="Q708" s="12"/>
      <c r="R708" s="12"/>
      <c r="S708" s="6">
        <f t="shared" si="395"/>
        <v>0</v>
      </c>
      <c r="T708" s="273">
        <f t="shared" si="402"/>
        <v>0</v>
      </c>
      <c r="U708" s="6">
        <f t="shared" si="403"/>
        <v>0</v>
      </c>
      <c r="V708" s="6"/>
      <c r="W708" s="6">
        <f t="shared" si="398"/>
        <v>0</v>
      </c>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X708" s="6"/>
      <c r="AY708" s="6">
        <f>ROUND(AX708/1000/Update!$B$31*Update!$B$27,0)</f>
        <v>0</v>
      </c>
      <c r="BA708" s="6"/>
      <c r="BB708" s="6">
        <f>ROUND(BA708/1000/Update!$B$31,0)</f>
        <v>0</v>
      </c>
      <c r="BC708" s="6"/>
      <c r="BD708" s="29">
        <f t="shared" si="368"/>
        <v>0</v>
      </c>
      <c r="BE708" s="322"/>
      <c r="BF708" s="322"/>
      <c r="BG708" s="322"/>
      <c r="BH708" s="322"/>
      <c r="BI708" s="322"/>
      <c r="BJ708" s="322"/>
      <c r="BK708" s="29">
        <f t="shared" si="391"/>
        <v>0</v>
      </c>
      <c r="BL708" s="322"/>
      <c r="BM708" s="322"/>
      <c r="BN708" s="322"/>
      <c r="BO708" s="322"/>
      <c r="BP708" s="322"/>
      <c r="BQ708" s="322"/>
      <c r="BR708" s="322"/>
      <c r="BS708" s="322"/>
      <c r="BT708" s="322"/>
      <c r="BU708" s="322"/>
      <c r="BV708" s="322"/>
      <c r="BW708" s="322"/>
      <c r="BX708" s="322"/>
      <c r="BY708" s="322"/>
      <c r="BZ708" s="322"/>
      <c r="CA708" s="322"/>
      <c r="CB708" s="322"/>
      <c r="CC708" s="322"/>
      <c r="CD708" s="322"/>
      <c r="CE708" s="322"/>
      <c r="CF708" s="322"/>
      <c r="CG708" s="322"/>
      <c r="CH708" s="322"/>
      <c r="CI708" s="322"/>
      <c r="CM708" s="1139">
        <v>0</v>
      </c>
      <c r="CN708" s="1139">
        <v>0</v>
      </c>
      <c r="CP708" s="923">
        <f t="shared" si="364"/>
        <v>0</v>
      </c>
      <c r="CZ708" s="330"/>
    </row>
    <row r="709" spans="1:104" ht="15" customHeight="1" x14ac:dyDescent="0.25">
      <c r="A709" s="684">
        <f>MAX($A$6:A708)+1</f>
        <v>709</v>
      </c>
      <c r="B709" s="3">
        <f t="shared" si="378"/>
        <v>5.0999999999999996</v>
      </c>
      <c r="C709" s="11" t="str">
        <f t="shared" si="369"/>
        <v>Consolidated property, plant and equipment 2025-26</v>
      </c>
      <c r="D709" s="11" t="str">
        <f t="shared" si="388"/>
        <v>Transport Equipment</v>
      </c>
      <c r="E709" s="7" t="s">
        <v>868</v>
      </c>
      <c r="F709" s="15"/>
      <c r="G709" s="1254" t="s">
        <v>188</v>
      </c>
      <c r="H709" s="6">
        <v>0</v>
      </c>
      <c r="I709" s="6">
        <v>0</v>
      </c>
      <c r="J709" s="1257" t="s">
        <v>868</v>
      </c>
      <c r="K709" s="251">
        <f>SUMIF('alb Note 5.1 -PP&amp;E - CY'!$A:$A,$J709,'alb Note 5.1 -PP&amp;E - CY'!$F:$F)</f>
        <v>0</v>
      </c>
      <c r="L709" s="251">
        <f>SUMIF('alb Note 5.1 -PP&amp;E - CY'!$A:$A,$J709,'alb Note 5.1 -PP&amp;E - CY'!$Q:$Q)</f>
        <v>0</v>
      </c>
      <c r="M709" s="10"/>
      <c r="N709" s="273">
        <f t="shared" si="401"/>
        <v>0</v>
      </c>
      <c r="O709" s="12"/>
      <c r="P709" s="12"/>
      <c r="Q709" s="12"/>
      <c r="R709" s="12"/>
      <c r="S709" s="6">
        <f t="shared" si="395"/>
        <v>0</v>
      </c>
      <c r="T709" s="273">
        <f t="shared" si="402"/>
        <v>0</v>
      </c>
      <c r="U709" s="6">
        <f t="shared" si="403"/>
        <v>0</v>
      </c>
      <c r="V709" s="6"/>
      <c r="W709" s="6">
        <f t="shared" si="398"/>
        <v>0</v>
      </c>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X709" s="6"/>
      <c r="AY709" s="6">
        <f>ROUND(AX709/1000/Update!$B$31*Update!$B$27,0)</f>
        <v>0</v>
      </c>
      <c r="BA709" s="6"/>
      <c r="BB709" s="6">
        <f>ROUND(BA709/1000/Update!$B$31,0)</f>
        <v>0</v>
      </c>
      <c r="BC709" s="6"/>
      <c r="BD709" s="29">
        <f t="shared" si="368"/>
        <v>0</v>
      </c>
      <c r="BE709" s="322"/>
      <c r="BF709" s="322"/>
      <c r="BG709" s="322"/>
      <c r="BH709" s="322"/>
      <c r="BI709" s="322"/>
      <c r="BJ709" s="322"/>
      <c r="BK709" s="29">
        <f t="shared" si="391"/>
        <v>0</v>
      </c>
      <c r="BL709" s="322"/>
      <c r="BM709" s="322"/>
      <c r="BN709" s="322"/>
      <c r="BO709" s="322"/>
      <c r="BP709" s="322"/>
      <c r="BQ709" s="322"/>
      <c r="BR709" s="322"/>
      <c r="BS709" s="322"/>
      <c r="BT709" s="322"/>
      <c r="BU709" s="322"/>
      <c r="BV709" s="322"/>
      <c r="BW709" s="322"/>
      <c r="BX709" s="322"/>
      <c r="BY709" s="322"/>
      <c r="BZ709" s="322"/>
      <c r="CA709" s="322"/>
      <c r="CB709" s="322"/>
      <c r="CC709" s="322"/>
      <c r="CD709" s="322"/>
      <c r="CE709" s="322"/>
      <c r="CF709" s="322"/>
      <c r="CG709" s="322"/>
      <c r="CH709" s="322"/>
      <c r="CI709" s="322"/>
      <c r="CM709" s="1139">
        <v>0</v>
      </c>
      <c r="CN709" s="1139">
        <v>0</v>
      </c>
      <c r="CP709" s="923">
        <f t="shared" si="364"/>
        <v>0</v>
      </c>
      <c r="CZ709" s="330"/>
    </row>
    <row r="710" spans="1:104" ht="15" customHeight="1" x14ac:dyDescent="0.25">
      <c r="A710" s="684">
        <f>MAX($A$6:A709)+1</f>
        <v>710</v>
      </c>
      <c r="B710" s="3">
        <f t="shared" si="378"/>
        <v>5.0999999999999996</v>
      </c>
      <c r="C710" s="11" t="str">
        <f t="shared" si="369"/>
        <v>Consolidated property, plant and equipment 2025-26</v>
      </c>
      <c r="D710" s="11" t="str">
        <f t="shared" si="388"/>
        <v>Transport Equipment</v>
      </c>
      <c r="E710" s="7" t="s">
        <v>1416</v>
      </c>
      <c r="F710" s="15"/>
      <c r="G710" s="1254" t="s">
        <v>189</v>
      </c>
      <c r="H710" s="6">
        <v>0</v>
      </c>
      <c r="I710" s="6">
        <v>0</v>
      </c>
      <c r="J710" s="1257" t="s">
        <v>870</v>
      </c>
      <c r="K710" s="251">
        <f>SUMIF('alb Note 5.1 -PP&amp;E - CY'!$A:$A,$J710,'alb Note 5.1 -PP&amp;E - CY'!$F:$F)</f>
        <v>0</v>
      </c>
      <c r="L710" s="251">
        <f>SUMIF('alb Note 5.1 -PP&amp;E - CY'!$A:$A,$J710,'alb Note 5.1 -PP&amp;E - CY'!$Q:$Q)</f>
        <v>0</v>
      </c>
      <c r="M710" s="10"/>
      <c r="N710" s="273">
        <f t="shared" si="401"/>
        <v>0</v>
      </c>
      <c r="O710" s="12"/>
      <c r="P710" s="12"/>
      <c r="Q710" s="12"/>
      <c r="R710" s="12"/>
      <c r="S710" s="6">
        <f t="shared" si="395"/>
        <v>0</v>
      </c>
      <c r="T710" s="273">
        <f t="shared" si="402"/>
        <v>0</v>
      </c>
      <c r="U710" s="6">
        <f t="shared" si="403"/>
        <v>0</v>
      </c>
      <c r="V710" s="6"/>
      <c r="W710" s="6">
        <f t="shared" si="398"/>
        <v>0</v>
      </c>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X710" s="6"/>
      <c r="AY710" s="6">
        <f>ROUND(AX710/1000/Update!$B$31*Update!$B$27,0)</f>
        <v>0</v>
      </c>
      <c r="BA710" s="6"/>
      <c r="BB710" s="6">
        <f>ROUND(BA710/1000/Update!$B$31,0)</f>
        <v>0</v>
      </c>
      <c r="BC710" s="6"/>
      <c r="BD710" s="29">
        <f t="shared" si="368"/>
        <v>0</v>
      </c>
      <c r="BE710" s="322"/>
      <c r="BF710" s="322"/>
      <c r="BG710" s="322"/>
      <c r="BH710" s="322"/>
      <c r="BI710" s="322"/>
      <c r="BJ710" s="322"/>
      <c r="BK710" s="29">
        <f t="shared" si="391"/>
        <v>0</v>
      </c>
      <c r="BL710" s="322"/>
      <c r="BM710" s="322"/>
      <c r="BN710" s="322"/>
      <c r="BO710" s="322"/>
      <c r="BP710" s="322"/>
      <c r="BQ710" s="322"/>
      <c r="BR710" s="322"/>
      <c r="BS710" s="322"/>
      <c r="BT710" s="322"/>
      <c r="BU710" s="322"/>
      <c r="BV710" s="322"/>
      <c r="BW710" s="322"/>
      <c r="BX710" s="322"/>
      <c r="BY710" s="322"/>
      <c r="BZ710" s="322"/>
      <c r="CA710" s="322"/>
      <c r="CB710" s="322"/>
      <c r="CC710" s="322"/>
      <c r="CD710" s="322"/>
      <c r="CE710" s="322"/>
      <c r="CF710" s="322"/>
      <c r="CG710" s="322"/>
      <c r="CH710" s="322"/>
      <c r="CI710" s="322"/>
      <c r="CM710" s="1139">
        <v>0</v>
      </c>
      <c r="CN710" s="1139">
        <v>0</v>
      </c>
      <c r="CP710" s="923">
        <f t="shared" si="364"/>
        <v>0</v>
      </c>
      <c r="CZ710" s="330"/>
    </row>
    <row r="711" spans="1:104" ht="15" customHeight="1" x14ac:dyDescent="0.25">
      <c r="A711" s="701">
        <f>MAX($A$6:A710)+1</f>
        <v>711</v>
      </c>
      <c r="B711" s="1291">
        <f t="shared" si="378"/>
        <v>5.0999999999999996</v>
      </c>
      <c r="C711" s="18" t="str">
        <f t="shared" si="369"/>
        <v>Consolidated property, plant and equipment 2025-26</v>
      </c>
      <c r="D711" s="18" t="str">
        <f t="shared" si="388"/>
        <v>Transport Equipment</v>
      </c>
      <c r="E711" s="19" t="str">
        <f>Update!$B$22</f>
        <v xml:space="preserve"> 31 March 2026</v>
      </c>
      <c r="F711" s="20"/>
      <c r="G711" s="28"/>
      <c r="H711" s="14">
        <f>SUM(H701:H710)</f>
        <v>5</v>
      </c>
      <c r="I711" s="14">
        <f>SUM(I701:I710)</f>
        <v>0</v>
      </c>
      <c r="J711" s="1258" t="s">
        <v>2456</v>
      </c>
      <c r="K711" s="256">
        <f>SUM(K701:K710)</f>
        <v>0</v>
      </c>
      <c r="L711" s="256">
        <f>SUM(L701:L710)</f>
        <v>0</v>
      </c>
      <c r="M711" s="21"/>
      <c r="N711" s="14">
        <f>ROUND(SUM(O711:S711)+T711+SUM(Z711:AV711),0)</f>
        <v>5</v>
      </c>
      <c r="O711" s="14">
        <f t="shared" ref="O711:V711" si="404">SUM(O701:O710)</f>
        <v>0</v>
      </c>
      <c r="P711" s="14">
        <f t="shared" si="404"/>
        <v>0</v>
      </c>
      <c r="Q711" s="14">
        <f t="shared" si="404"/>
        <v>0</v>
      </c>
      <c r="R711" s="14">
        <f t="shared" si="404"/>
        <v>0</v>
      </c>
      <c r="S711" s="14">
        <f t="shared" si="395"/>
        <v>0</v>
      </c>
      <c r="T711" s="14">
        <f t="shared" si="404"/>
        <v>5</v>
      </c>
      <c r="U711" s="14">
        <f>SUM(U701:U710)</f>
        <v>0</v>
      </c>
      <c r="V711" s="14">
        <f t="shared" si="404"/>
        <v>0</v>
      </c>
      <c r="W711" s="14">
        <f>SUM(W701:W710)</f>
        <v>5</v>
      </c>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2"/>
      <c r="AX711" s="14">
        <f>SUM(AX701:AX710)</f>
        <v>0</v>
      </c>
      <c r="AY711" s="14">
        <f>ROUND(AX711/1000/Update!$B$31*Update!$B$27,0)</f>
        <v>0</v>
      </c>
      <c r="AZ711" s="2"/>
      <c r="BA711" s="14">
        <f>SUM(BA701:BA710)</f>
        <v>0</v>
      </c>
      <c r="BB711" s="14">
        <f>ROUND(BA711/1000/Update!$B$31,0)</f>
        <v>0</v>
      </c>
      <c r="BC711" s="14"/>
      <c r="BD711" s="14">
        <f t="shared" si="368"/>
        <v>0</v>
      </c>
      <c r="BE711" s="14">
        <f t="shared" ref="BE711:BJ711" si="405">SUM(BE701:BE710)</f>
        <v>0</v>
      </c>
      <c r="BF711" s="14">
        <f t="shared" si="405"/>
        <v>0</v>
      </c>
      <c r="BG711" s="14">
        <f t="shared" si="405"/>
        <v>0</v>
      </c>
      <c r="BH711" s="14">
        <f t="shared" si="405"/>
        <v>0</v>
      </c>
      <c r="BI711" s="14">
        <f t="shared" si="405"/>
        <v>0</v>
      </c>
      <c r="BJ711" s="14">
        <f t="shared" si="405"/>
        <v>0</v>
      </c>
      <c r="BK711" s="14">
        <f t="shared" si="391"/>
        <v>0</v>
      </c>
      <c r="BL711" s="14"/>
      <c r="BM711" s="14"/>
      <c r="BN711" s="14"/>
      <c r="BO711" s="14"/>
      <c r="BP711" s="14"/>
      <c r="BQ711" s="14"/>
      <c r="BR711" s="14"/>
      <c r="BS711" s="14"/>
      <c r="BT711" s="324"/>
      <c r="BU711" s="14"/>
      <c r="BV711" s="14"/>
      <c r="BW711" s="14"/>
      <c r="BX711" s="14"/>
      <c r="BY711" s="14"/>
      <c r="BZ711" s="14"/>
      <c r="CA711" s="14"/>
      <c r="CB711" s="14"/>
      <c r="CC711" s="14"/>
      <c r="CD711" s="14"/>
      <c r="CE711" s="14"/>
      <c r="CF711" s="14"/>
      <c r="CG711" s="14"/>
      <c r="CH711" s="14"/>
      <c r="CI711" s="14"/>
      <c r="CJ711" s="2"/>
      <c r="CK711" s="2"/>
      <c r="CM711" s="1450">
        <v>0</v>
      </c>
      <c r="CN711" s="1450">
        <v>0</v>
      </c>
      <c r="CP711" s="923">
        <f t="shared" si="364"/>
        <v>0</v>
      </c>
      <c r="CZ711" s="330"/>
    </row>
    <row r="712" spans="1:104" ht="15" customHeight="1" x14ac:dyDescent="0.25">
      <c r="A712" s="701">
        <f>MAX($A$6:A711)+1</f>
        <v>712</v>
      </c>
      <c r="B712" s="1291">
        <f t="shared" si="378"/>
        <v>5.0999999999999996</v>
      </c>
      <c r="C712" s="18" t="str">
        <f t="shared" si="369"/>
        <v>Consolidated property, plant and equipment 2025-26</v>
      </c>
      <c r="D712" s="18" t="str">
        <f t="shared" si="388"/>
        <v>Transport Equipment</v>
      </c>
      <c r="E712" s="19" t="str">
        <f>"Carrying amount "&amp;Update!$B$22</f>
        <v>Carrying amount  31 March 2026</v>
      </c>
      <c r="F712" s="20"/>
      <c r="G712" s="28"/>
      <c r="H712" s="14">
        <f>H697-H711</f>
        <v>22</v>
      </c>
      <c r="I712" s="14">
        <f>I697-I711</f>
        <v>0</v>
      </c>
      <c r="J712" s="1258" t="s">
        <v>2493</v>
      </c>
      <c r="K712" s="256">
        <f>K697-K711</f>
        <v>0</v>
      </c>
      <c r="L712" s="256">
        <f>L697-L711</f>
        <v>0</v>
      </c>
      <c r="M712" s="21"/>
      <c r="N712" s="14">
        <f>ROUND(SUM(O712:S712)+T712+SUM(Z712:AV712),0)</f>
        <v>22</v>
      </c>
      <c r="O712" s="14">
        <f t="shared" ref="O712:V712" si="406">O697-O711</f>
        <v>0</v>
      </c>
      <c r="P712" s="14">
        <f t="shared" si="406"/>
        <v>0</v>
      </c>
      <c r="Q712" s="14">
        <f t="shared" si="406"/>
        <v>0</v>
      </c>
      <c r="R712" s="14">
        <f t="shared" si="406"/>
        <v>0</v>
      </c>
      <c r="S712" s="14">
        <f t="shared" si="395"/>
        <v>0</v>
      </c>
      <c r="T712" s="14">
        <f t="shared" si="406"/>
        <v>22</v>
      </c>
      <c r="U712" s="14">
        <f t="shared" si="406"/>
        <v>0</v>
      </c>
      <c r="V712" s="14">
        <f t="shared" si="406"/>
        <v>0</v>
      </c>
      <c r="W712" s="14">
        <f>W697-W711</f>
        <v>22</v>
      </c>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2"/>
      <c r="AX712" s="14">
        <f>AX697-AX711</f>
        <v>0</v>
      </c>
      <c r="AY712" s="14">
        <f>ROUND(AX712/1000/Update!$B$31*Update!$B$27,0)</f>
        <v>0</v>
      </c>
      <c r="AZ712" s="2"/>
      <c r="BA712" s="14">
        <f>BA697-BA711</f>
        <v>0</v>
      </c>
      <c r="BB712" s="14">
        <f>ROUND(BA712/1000/Update!$B$31,0)</f>
        <v>0</v>
      </c>
      <c r="BC712" s="14"/>
      <c r="BD712" s="14">
        <f t="shared" si="368"/>
        <v>0</v>
      </c>
      <c r="BE712" s="14">
        <f t="shared" ref="BE712:BJ712" si="407">BE697-BE711</f>
        <v>0</v>
      </c>
      <c r="BF712" s="14">
        <f t="shared" si="407"/>
        <v>0</v>
      </c>
      <c r="BG712" s="14">
        <f t="shared" si="407"/>
        <v>0</v>
      </c>
      <c r="BH712" s="14">
        <f t="shared" si="407"/>
        <v>0</v>
      </c>
      <c r="BI712" s="14">
        <f t="shared" si="407"/>
        <v>0</v>
      </c>
      <c r="BJ712" s="14">
        <f t="shared" si="407"/>
        <v>0</v>
      </c>
      <c r="BK712" s="14">
        <f t="shared" si="391"/>
        <v>0</v>
      </c>
      <c r="BL712" s="14"/>
      <c r="BM712" s="14"/>
      <c r="BN712" s="14"/>
      <c r="BO712" s="14"/>
      <c r="BP712" s="14"/>
      <c r="BQ712" s="14"/>
      <c r="BR712" s="14"/>
      <c r="BS712" s="14"/>
      <c r="BT712" s="324"/>
      <c r="BU712" s="14"/>
      <c r="BV712" s="14"/>
      <c r="BW712" s="14"/>
      <c r="BX712" s="14"/>
      <c r="BY712" s="14"/>
      <c r="BZ712" s="14"/>
      <c r="CA712" s="14"/>
      <c r="CB712" s="14"/>
      <c r="CC712" s="14"/>
      <c r="CD712" s="14"/>
      <c r="CE712" s="14"/>
      <c r="CF712" s="14"/>
      <c r="CG712" s="14"/>
      <c r="CH712" s="14"/>
      <c r="CI712" s="14"/>
      <c r="CJ712" s="2"/>
      <c r="CK712" s="2"/>
      <c r="CM712" s="1450">
        <v>0</v>
      </c>
      <c r="CN712" s="1450">
        <v>0</v>
      </c>
      <c r="CP712" s="923">
        <f t="shared" ref="CP712:CP775" si="408">-V712+BL712+BM712+BN712+CM712</f>
        <v>0</v>
      </c>
      <c r="CZ712" s="330"/>
    </row>
    <row r="713" spans="1:104" ht="15" customHeight="1" x14ac:dyDescent="0.25">
      <c r="A713" s="701">
        <f>MAX($A$6:A712)+1</f>
        <v>713</v>
      </c>
      <c r="B713" s="1291">
        <f t="shared" si="378"/>
        <v>5.0999999999999996</v>
      </c>
      <c r="C713" s="18" t="str">
        <f t="shared" si="369"/>
        <v>Consolidated property, plant and equipment 2025-26</v>
      </c>
      <c r="D713" s="18" t="str">
        <f t="shared" si="388"/>
        <v>Transport Equipment</v>
      </c>
      <c r="E713" s="19" t="str">
        <f>"Carrying amount "&amp;Update!$B$24</f>
        <v>Carrying amount  31 March 2025</v>
      </c>
      <c r="F713" s="20"/>
      <c r="G713" s="28"/>
      <c r="H713" s="14">
        <f>H684-H699</f>
        <v>22</v>
      </c>
      <c r="I713" s="14">
        <f>I686-I699</f>
        <v>0</v>
      </c>
      <c r="J713" s="1258" t="s">
        <v>2494</v>
      </c>
      <c r="K713" s="256">
        <f>K684-K699</f>
        <v>0</v>
      </c>
      <c r="L713" s="256">
        <f>L686-L699</f>
        <v>0</v>
      </c>
      <c r="M713" s="21"/>
      <c r="N713" s="14">
        <f>ROUND(SUM(O713:S713)+T713+SUM(Z713:AV713),0)</f>
        <v>22</v>
      </c>
      <c r="O713" s="14">
        <f t="shared" ref="O713:T713" si="409">O686-O699</f>
        <v>0</v>
      </c>
      <c r="P713" s="14">
        <f t="shared" si="409"/>
        <v>0</v>
      </c>
      <c r="Q713" s="14">
        <f t="shared" si="409"/>
        <v>0</v>
      </c>
      <c r="R713" s="14">
        <f t="shared" si="409"/>
        <v>0</v>
      </c>
      <c r="S713" s="14">
        <f t="shared" si="395"/>
        <v>0</v>
      </c>
      <c r="T713" s="14">
        <f t="shared" si="409"/>
        <v>22</v>
      </c>
      <c r="U713" s="14">
        <f>U698-U712</f>
        <v>0</v>
      </c>
      <c r="V713" s="14">
        <f>V698-V712</f>
        <v>0</v>
      </c>
      <c r="W713" s="14">
        <f>W686-W701</f>
        <v>22</v>
      </c>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2"/>
      <c r="AX713" s="14">
        <f>AX686-AX699</f>
        <v>0</v>
      </c>
      <c r="AY713" s="14">
        <f>ROUND(AX713/1000/Update!$B$31*Update!$B$27,0)</f>
        <v>0</v>
      </c>
      <c r="AZ713" s="2"/>
      <c r="BA713" s="14">
        <f>BA686-BA699</f>
        <v>0</v>
      </c>
      <c r="BB713" s="14">
        <f>ROUND(BA713/1000/Update!$B$31,0)</f>
        <v>0</v>
      </c>
      <c r="BC713" s="14"/>
      <c r="BD713" s="14">
        <f t="shared" si="368"/>
        <v>0</v>
      </c>
      <c r="BE713" s="14">
        <f t="shared" ref="BE713:BJ713" si="410">BE686-BE699</f>
        <v>0</v>
      </c>
      <c r="BF713" s="14">
        <f t="shared" si="410"/>
        <v>0</v>
      </c>
      <c r="BG713" s="14">
        <f t="shared" si="410"/>
        <v>0</v>
      </c>
      <c r="BH713" s="14">
        <f t="shared" si="410"/>
        <v>0</v>
      </c>
      <c r="BI713" s="14">
        <f t="shared" si="410"/>
        <v>0</v>
      </c>
      <c r="BJ713" s="14">
        <f t="shared" si="410"/>
        <v>0</v>
      </c>
      <c r="BK713" s="14">
        <f t="shared" si="391"/>
        <v>0</v>
      </c>
      <c r="BL713" s="14"/>
      <c r="BM713" s="14"/>
      <c r="BN713" s="14"/>
      <c r="BO713" s="14"/>
      <c r="BP713" s="14"/>
      <c r="BQ713" s="14"/>
      <c r="BR713" s="14"/>
      <c r="BS713" s="14"/>
      <c r="BT713" s="324"/>
      <c r="BU713" s="14"/>
      <c r="BV713" s="14"/>
      <c r="BW713" s="14"/>
      <c r="BX713" s="14"/>
      <c r="BY713" s="14"/>
      <c r="BZ713" s="14"/>
      <c r="CA713" s="14"/>
      <c r="CB713" s="14"/>
      <c r="CC713" s="14"/>
      <c r="CD713" s="14"/>
      <c r="CE713" s="14"/>
      <c r="CF713" s="14"/>
      <c r="CG713" s="14"/>
      <c r="CH713" s="14"/>
      <c r="CI713" s="14"/>
      <c r="CJ713" s="2"/>
      <c r="CK713" s="2"/>
      <c r="CM713" s="1450">
        <v>0</v>
      </c>
      <c r="CN713" s="1450">
        <v>0</v>
      </c>
      <c r="CP713" s="923">
        <f t="shared" si="408"/>
        <v>0</v>
      </c>
      <c r="CZ713" s="330"/>
    </row>
    <row r="714" spans="1:104" ht="15" customHeight="1" x14ac:dyDescent="0.25">
      <c r="A714" s="684">
        <f>MAX($A$6:A713)+1</f>
        <v>714</v>
      </c>
      <c r="B714" s="3">
        <f t="shared" si="378"/>
        <v>5.0999999999999996</v>
      </c>
      <c r="C714" s="11" t="str">
        <f t="shared" si="369"/>
        <v>Consolidated property, plant and equipment 2025-26</v>
      </c>
      <c r="D714" s="11" t="str">
        <f t="shared" si="388"/>
        <v>Transport Equipment</v>
      </c>
      <c r="E714" s="13" t="s">
        <v>194</v>
      </c>
      <c r="F714" s="15"/>
      <c r="G714" s="26"/>
      <c r="H714" s="6"/>
      <c r="I714" s="6"/>
      <c r="J714" s="1257" t="s">
        <v>286</v>
      </c>
      <c r="K714" s="251">
        <f>SUMIF('alb Note 5.1 -PP&amp;E - CY'!$A:$A,$J714,'alb Note 5.1 -PP&amp;E - CY'!$F:$F)</f>
        <v>0</v>
      </c>
      <c r="L714" s="251">
        <f>SUMIF('alb Note 5.1 -PP&amp;E - CY'!$A:$A,$J714,'alb Note 5.1 -PP&amp;E - CY'!$Q:$Q)</f>
        <v>0</v>
      </c>
      <c r="M714" s="10"/>
      <c r="N714" s="273">
        <f>ROUND(SUM(O714:S714)+SUM(W714:AV714),0)</f>
        <v>0</v>
      </c>
      <c r="O714" s="12"/>
      <c r="P714" s="12"/>
      <c r="Q714" s="12"/>
      <c r="R714" s="12"/>
      <c r="S714" s="6">
        <f t="shared" si="395"/>
        <v>0</v>
      </c>
      <c r="T714" s="273">
        <f>ROUND(SUM(U714:Y714),0)</f>
        <v>0</v>
      </c>
      <c r="U714" s="6">
        <f>SUM(BL714:BN714)</f>
        <v>0</v>
      </c>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X714" s="6"/>
      <c r="AY714" s="6">
        <f>ROUND(AX714/1000/Update!$B$31*Update!$B$27,0)</f>
        <v>0</v>
      </c>
      <c r="BA714" s="6"/>
      <c r="BB714" s="6">
        <f>ROUND(BA714/1000/Update!$B$31,0)</f>
        <v>0</v>
      </c>
      <c r="BC714" s="6"/>
      <c r="BD714" s="29">
        <f t="shared" si="368"/>
        <v>0</v>
      </c>
      <c r="BE714" s="322"/>
      <c r="BF714" s="322"/>
      <c r="BG714" s="322"/>
      <c r="BH714" s="322"/>
      <c r="BI714" s="322"/>
      <c r="BJ714" s="322"/>
      <c r="BK714" s="29">
        <f t="shared" si="391"/>
        <v>0</v>
      </c>
      <c r="BL714" s="322"/>
      <c r="BM714" s="322"/>
      <c r="BN714" s="322"/>
      <c r="BO714" s="322"/>
      <c r="BP714" s="322"/>
      <c r="BQ714" s="322"/>
      <c r="BR714" s="322"/>
      <c r="BS714" s="322"/>
      <c r="BT714" s="322"/>
      <c r="BU714" s="322"/>
      <c r="BV714" s="322"/>
      <c r="BW714" s="322"/>
      <c r="BX714" s="322"/>
      <c r="BY714" s="322"/>
      <c r="BZ714" s="322"/>
      <c r="CA714" s="322"/>
      <c r="CB714" s="322"/>
      <c r="CC714" s="322"/>
      <c r="CD714" s="322"/>
      <c r="CE714" s="322"/>
      <c r="CF714" s="322"/>
      <c r="CG714" s="322"/>
      <c r="CH714" s="322"/>
      <c r="CI714" s="322"/>
      <c r="CM714" s="1139">
        <v>0</v>
      </c>
      <c r="CN714" s="1139">
        <v>0</v>
      </c>
      <c r="CP714" s="923">
        <f t="shared" si="408"/>
        <v>0</v>
      </c>
      <c r="CZ714" s="330"/>
    </row>
    <row r="715" spans="1:104" ht="15" customHeight="1" x14ac:dyDescent="0.25">
      <c r="A715" s="684">
        <f>MAX($A$6:A714)+1</f>
        <v>715</v>
      </c>
      <c r="B715" s="3">
        <f t="shared" si="378"/>
        <v>5.0999999999999996</v>
      </c>
      <c r="C715" s="11" t="str">
        <f t="shared" si="369"/>
        <v>Consolidated property, plant and equipment 2025-26</v>
      </c>
      <c r="D715" s="11" t="str">
        <f t="shared" si="388"/>
        <v>Transport Equipment</v>
      </c>
      <c r="E715" s="7" t="s">
        <v>197</v>
      </c>
      <c r="F715" s="15"/>
      <c r="G715" s="1254" t="s">
        <v>443</v>
      </c>
      <c r="H715" s="6">
        <v>22</v>
      </c>
      <c r="I715" s="6">
        <v>0</v>
      </c>
      <c r="J715" s="1257" t="s">
        <v>197</v>
      </c>
      <c r="K715" s="251">
        <f>SUMIF('alb Note 5.1 -PP&amp;E - CY'!$A:$A,$J715,'alb Note 5.1 -PP&amp;E - CY'!$F:$F)</f>
        <v>0</v>
      </c>
      <c r="L715" s="251">
        <f>SUMIF('alb Note 5.1 -PP&amp;E - CY'!$A:$A,$J715,'alb Note 5.1 -PP&amp;E - CY'!$Q:$Q)</f>
        <v>0</v>
      </c>
      <c r="M715" s="10"/>
      <c r="N715" s="273">
        <f>ROUND(SUM(O715:S715)+SUM(W715:AV715),0)</f>
        <v>22</v>
      </c>
      <c r="O715" s="12"/>
      <c r="P715" s="12"/>
      <c r="Q715" s="12"/>
      <c r="R715" s="12"/>
      <c r="S715" s="6">
        <f t="shared" si="395"/>
        <v>0</v>
      </c>
      <c r="T715" s="273">
        <f>ROUND(SUM(U715:Y715),0)</f>
        <v>22</v>
      </c>
      <c r="U715" s="6">
        <f>SUM(BL715:BN715)</f>
        <v>0</v>
      </c>
      <c r="V715" s="6"/>
      <c r="W715" s="6">
        <f>+H715</f>
        <v>22</v>
      </c>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X715" s="6"/>
      <c r="AY715" s="6">
        <f>ROUND(AX715/1000/Update!$B$31*Update!$B$27,0)</f>
        <v>0</v>
      </c>
      <c r="BA715" s="6"/>
      <c r="BB715" s="6">
        <f>ROUND(BA715/1000/Update!$B$31,0)</f>
        <v>0</v>
      </c>
      <c r="BC715" s="6"/>
      <c r="BD715" s="29">
        <f t="shared" si="368"/>
        <v>0</v>
      </c>
      <c r="BE715" s="322"/>
      <c r="BF715" s="322"/>
      <c r="BG715" s="322"/>
      <c r="BH715" s="322"/>
      <c r="BI715" s="322"/>
      <c r="BJ715" s="322"/>
      <c r="BK715" s="29">
        <f t="shared" si="391"/>
        <v>0</v>
      </c>
      <c r="BL715" s="322"/>
      <c r="BM715" s="322"/>
      <c r="BN715" s="322"/>
      <c r="BO715" s="322"/>
      <c r="BP715" s="322"/>
      <c r="BQ715" s="322"/>
      <c r="BR715" s="322"/>
      <c r="BS715" s="322"/>
      <c r="BT715" s="322"/>
      <c r="BU715" s="322"/>
      <c r="BV715" s="322"/>
      <c r="BW715" s="322"/>
      <c r="BX715" s="322"/>
      <c r="BY715" s="322"/>
      <c r="BZ715" s="322"/>
      <c r="CA715" s="322"/>
      <c r="CB715" s="322"/>
      <c r="CC715" s="322"/>
      <c r="CD715" s="322"/>
      <c r="CE715" s="322"/>
      <c r="CF715" s="322"/>
      <c r="CG715" s="322"/>
      <c r="CH715" s="322"/>
      <c r="CI715" s="322"/>
      <c r="CM715" s="1139">
        <v>0</v>
      </c>
      <c r="CN715" s="1139">
        <v>0</v>
      </c>
      <c r="CP715" s="923">
        <f t="shared" si="408"/>
        <v>0</v>
      </c>
      <c r="CZ715" s="330"/>
    </row>
    <row r="716" spans="1:104" ht="15" customHeight="1" x14ac:dyDescent="0.25">
      <c r="A716" s="684">
        <f>MAX($A$6:A715)+1</f>
        <v>716</v>
      </c>
      <c r="B716" s="3">
        <f t="shared" si="378"/>
        <v>5.0999999999999996</v>
      </c>
      <c r="C716" s="11" t="str">
        <f t="shared" si="369"/>
        <v>Consolidated property, plant and equipment 2025-26</v>
      </c>
      <c r="D716" s="11" t="str">
        <f t="shared" si="388"/>
        <v>Transport Equipment</v>
      </c>
      <c r="E716" s="7" t="s">
        <v>198</v>
      </c>
      <c r="F716" s="15"/>
      <c r="G716" s="1254" t="s">
        <v>444</v>
      </c>
      <c r="H716" s="6">
        <v>0</v>
      </c>
      <c r="I716" s="6">
        <v>0</v>
      </c>
      <c r="J716" s="1257" t="s">
        <v>198</v>
      </c>
      <c r="K716" s="251">
        <f>SUMIF('alb Note 5.1 -PP&amp;E - CY'!$A:$A,$J716,'alb Note 5.1 -PP&amp;E - CY'!$F:$F)</f>
        <v>0</v>
      </c>
      <c r="L716" s="251">
        <f>SUMIF('alb Note 5.1 -PP&amp;E - CY'!$A:$A,$J716,'alb Note 5.1 -PP&amp;E - CY'!$Q:$Q)</f>
        <v>0</v>
      </c>
      <c r="M716" s="10"/>
      <c r="N716" s="273">
        <f>ROUND(SUM(O716:S716)+SUM(W716:AV716),0)</f>
        <v>0</v>
      </c>
      <c r="O716" s="12"/>
      <c r="P716" s="12"/>
      <c r="Q716" s="12"/>
      <c r="R716" s="12"/>
      <c r="S716" s="6">
        <f t="shared" si="395"/>
        <v>0</v>
      </c>
      <c r="T716" s="273">
        <f>ROUND(SUM(U716:Y716),0)</f>
        <v>0</v>
      </c>
      <c r="U716" s="6">
        <f>SUM(BL716:BN716)</f>
        <v>0</v>
      </c>
      <c r="V716" s="6"/>
      <c r="W716" s="6">
        <f>+H716</f>
        <v>0</v>
      </c>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X716" s="6"/>
      <c r="AY716" s="6">
        <f>ROUND(AX716/1000/Update!$B$31*Update!$B$27,0)</f>
        <v>0</v>
      </c>
      <c r="BA716" s="6"/>
      <c r="BB716" s="6">
        <f>ROUND(BA716/1000/Update!$B$31,0)</f>
        <v>0</v>
      </c>
      <c r="BC716" s="6"/>
      <c r="BD716" s="29">
        <f t="shared" si="368"/>
        <v>0</v>
      </c>
      <c r="BE716" s="322"/>
      <c r="BF716" s="322"/>
      <c r="BG716" s="322"/>
      <c r="BH716" s="322"/>
      <c r="BI716" s="322"/>
      <c r="BJ716" s="322"/>
      <c r="BK716" s="29">
        <f t="shared" si="391"/>
        <v>0</v>
      </c>
      <c r="BL716" s="322"/>
      <c r="BM716" s="322"/>
      <c r="BN716" s="322"/>
      <c r="BO716" s="322"/>
      <c r="BP716" s="322"/>
      <c r="BQ716" s="322"/>
      <c r="BR716" s="322"/>
      <c r="BS716" s="322"/>
      <c r="BT716" s="322"/>
      <c r="BU716" s="322"/>
      <c r="BV716" s="322"/>
      <c r="BW716" s="322"/>
      <c r="BX716" s="322"/>
      <c r="BY716" s="322"/>
      <c r="BZ716" s="322"/>
      <c r="CA716" s="322"/>
      <c r="CB716" s="322"/>
      <c r="CC716" s="322"/>
      <c r="CD716" s="322"/>
      <c r="CE716" s="322"/>
      <c r="CF716" s="322"/>
      <c r="CG716" s="322"/>
      <c r="CH716" s="322"/>
      <c r="CI716" s="322"/>
      <c r="CM716" s="1139">
        <v>0</v>
      </c>
      <c r="CN716" s="1139">
        <v>0</v>
      </c>
      <c r="CP716" s="923">
        <f t="shared" si="408"/>
        <v>0</v>
      </c>
      <c r="CZ716" s="330"/>
    </row>
    <row r="717" spans="1:104" ht="38.25" customHeight="1" x14ac:dyDescent="0.25">
      <c r="A717" s="684">
        <f>MAX($A$6:A716)+1</f>
        <v>717</v>
      </c>
      <c r="B717" s="3">
        <f t="shared" si="378"/>
        <v>5.0999999999999996</v>
      </c>
      <c r="C717" s="11" t="str">
        <f t="shared" si="369"/>
        <v>Consolidated property, plant and equipment 2025-26</v>
      </c>
      <c r="D717" s="11" t="str">
        <f t="shared" si="388"/>
        <v>Transport Equipment</v>
      </c>
      <c r="E717" s="7" t="s">
        <v>199</v>
      </c>
      <c r="F717" s="15"/>
      <c r="G717" s="1254" t="s">
        <v>199</v>
      </c>
      <c r="H717" s="6">
        <v>0</v>
      </c>
      <c r="I717" s="6">
        <v>0</v>
      </c>
      <c r="J717" s="1257" t="s">
        <v>769</v>
      </c>
      <c r="K717" s="251">
        <f>SUMIF('alb Note 5.1 -PP&amp;E - CY'!$A:$A,$J717,'alb Note 5.1 -PP&amp;E - CY'!$F:$F)</f>
        <v>0</v>
      </c>
      <c r="L717" s="251">
        <f>SUMIF('alb Note 5.1 -PP&amp;E - CY'!$A:$A,$J717,'alb Note 5.1 -PP&amp;E - CY'!$Q:$Q)</f>
        <v>0</v>
      </c>
      <c r="M717" s="10"/>
      <c r="N717" s="273">
        <f>ROUND(SUM(O717:S717)+SUM(W717:AV717),0)</f>
        <v>0</v>
      </c>
      <c r="O717" s="12"/>
      <c r="P717" s="12"/>
      <c r="Q717" s="12"/>
      <c r="R717" s="12"/>
      <c r="S717" s="6">
        <f t="shared" si="395"/>
        <v>0</v>
      </c>
      <c r="T717" s="273">
        <f>ROUND(SUM(U717:Y717),0)</f>
        <v>0</v>
      </c>
      <c r="U717" s="6">
        <f>SUM(BL717:BN717)</f>
        <v>0</v>
      </c>
      <c r="V717" s="6"/>
      <c r="W717" s="6">
        <f>+H717</f>
        <v>0</v>
      </c>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X717" s="6"/>
      <c r="AY717" s="6">
        <f>ROUND(AX717/1000/Update!$B$31*Update!$B$27,0)</f>
        <v>0</v>
      </c>
      <c r="BA717" s="6"/>
      <c r="BB717" s="6">
        <f>ROUND(BA717/1000/Update!$B$31,0)</f>
        <v>0</v>
      </c>
      <c r="BC717" s="6"/>
      <c r="BD717" s="29">
        <f t="shared" si="368"/>
        <v>0</v>
      </c>
      <c r="BE717" s="322"/>
      <c r="BF717" s="322"/>
      <c r="BG717" s="322"/>
      <c r="BH717" s="322"/>
      <c r="BI717" s="322"/>
      <c r="BJ717" s="322"/>
      <c r="BK717" s="29">
        <f t="shared" si="391"/>
        <v>0</v>
      </c>
      <c r="BL717" s="322"/>
      <c r="BM717" s="322"/>
      <c r="BN717" s="322"/>
      <c r="BO717" s="322"/>
      <c r="BP717" s="322"/>
      <c r="BQ717" s="322"/>
      <c r="BR717" s="322"/>
      <c r="BS717" s="322"/>
      <c r="BT717" s="322"/>
      <c r="BU717" s="322"/>
      <c r="BV717" s="322"/>
      <c r="BW717" s="322"/>
      <c r="BX717" s="322"/>
      <c r="BY717" s="322"/>
      <c r="BZ717" s="322"/>
      <c r="CA717" s="322"/>
      <c r="CB717" s="322"/>
      <c r="CC717" s="322"/>
      <c r="CD717" s="322"/>
      <c r="CE717" s="322"/>
      <c r="CF717" s="322"/>
      <c r="CG717" s="322"/>
      <c r="CH717" s="322"/>
      <c r="CI717" s="322"/>
      <c r="CM717" s="1139">
        <v>0</v>
      </c>
      <c r="CN717" s="1139">
        <v>0</v>
      </c>
      <c r="CP717" s="923">
        <f t="shared" si="408"/>
        <v>0</v>
      </c>
      <c r="CZ717" s="330"/>
    </row>
    <row r="718" spans="1:104" ht="15" customHeight="1" x14ac:dyDescent="0.25">
      <c r="A718" s="684">
        <f>MAX($A$6:A717)+1</f>
        <v>718</v>
      </c>
      <c r="B718" s="3">
        <f t="shared" si="378"/>
        <v>5.0999999999999996</v>
      </c>
      <c r="C718" s="11" t="str">
        <f t="shared" si="369"/>
        <v>Consolidated property, plant and equipment 2025-26</v>
      </c>
      <c r="D718" s="11" t="str">
        <f t="shared" si="388"/>
        <v>Transport Equipment</v>
      </c>
      <c r="E718" s="7" t="s">
        <v>1695</v>
      </c>
      <c r="F718" s="15"/>
      <c r="G718" s="1254" t="s">
        <v>1695</v>
      </c>
      <c r="H718" s="6">
        <v>0</v>
      </c>
      <c r="I718" s="6">
        <v>0</v>
      </c>
      <c r="J718" s="1257" t="s">
        <v>1695</v>
      </c>
      <c r="K718" s="251">
        <f>SUMIF('alb Note 5.1 -PP&amp;E - CY'!$A:$A,$J718,'alb Note 5.1 -PP&amp;E - CY'!$F:$F)</f>
        <v>0</v>
      </c>
      <c r="L718" s="251">
        <f>SUMIF('alb Note 5.1 -PP&amp;E - CY'!$A:$A,$J718,'alb Note 5.1 -PP&amp;E - CY'!$Q:$Q)</f>
        <v>0</v>
      </c>
      <c r="M718" s="10"/>
      <c r="N718" s="273">
        <f>ROUND(SUM(O718:S718)+SUM(W718:AV718),0)</f>
        <v>0</v>
      </c>
      <c r="O718" s="12"/>
      <c r="P718" s="12"/>
      <c r="Q718" s="12"/>
      <c r="R718" s="12"/>
      <c r="S718" s="6">
        <f>-IF(ISNUMBER(BD718),BD718,0)</f>
        <v>0</v>
      </c>
      <c r="T718" s="273">
        <f>ROUND(SUM(U718:Y718),0)</f>
        <v>0</v>
      </c>
      <c r="U718" s="6">
        <f>SUM(BL718:BN718)</f>
        <v>0</v>
      </c>
      <c r="V718" s="6"/>
      <c r="W718" s="6">
        <f>+H718</f>
        <v>0</v>
      </c>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X718" s="6"/>
      <c r="AY718" s="6"/>
      <c r="BA718" s="6"/>
      <c r="BB718" s="6"/>
      <c r="BC718" s="6"/>
      <c r="BD718" s="29">
        <f t="shared" ref="BD718:BD783" si="411">ROUND(SUM(BE718:BK718),0)</f>
        <v>0</v>
      </c>
      <c r="BE718" s="322"/>
      <c r="BF718" s="322"/>
      <c r="BG718" s="322"/>
      <c r="BH718" s="322"/>
      <c r="BI718" s="322"/>
      <c r="BJ718" s="322"/>
      <c r="BK718" s="29">
        <f t="shared" si="391"/>
        <v>0</v>
      </c>
      <c r="BL718" s="322"/>
      <c r="BM718" s="322"/>
      <c r="BN718" s="322"/>
      <c r="BO718" s="322"/>
      <c r="BP718" s="322"/>
      <c r="BQ718" s="322"/>
      <c r="BR718" s="322"/>
      <c r="BS718" s="322"/>
      <c r="BT718" s="322"/>
      <c r="BU718" s="322"/>
      <c r="BV718" s="322"/>
      <c r="BW718" s="322"/>
      <c r="BX718" s="322"/>
      <c r="BY718" s="322"/>
      <c r="BZ718" s="322"/>
      <c r="CA718" s="322"/>
      <c r="CB718" s="322"/>
      <c r="CC718" s="322"/>
      <c r="CD718" s="322"/>
      <c r="CE718" s="322"/>
      <c r="CF718" s="322"/>
      <c r="CG718" s="322"/>
      <c r="CH718" s="322"/>
      <c r="CI718" s="322"/>
      <c r="CM718" s="1139">
        <v>0</v>
      </c>
      <c r="CN718" s="1139">
        <v>0</v>
      </c>
      <c r="CP718" s="923">
        <f t="shared" si="408"/>
        <v>0</v>
      </c>
      <c r="CZ718" s="330"/>
    </row>
    <row r="719" spans="1:104" ht="15" customHeight="1" x14ac:dyDescent="0.25">
      <c r="A719" s="701">
        <f>MAX($A$6:A718)+1</f>
        <v>719</v>
      </c>
      <c r="B719" s="1291">
        <f t="shared" si="378"/>
        <v>5.0999999999999996</v>
      </c>
      <c r="C719" s="18" t="str">
        <f t="shared" si="369"/>
        <v>Consolidated property, plant and equipment 2025-26</v>
      </c>
      <c r="D719" s="18" t="str">
        <f t="shared" si="388"/>
        <v>Transport Equipment</v>
      </c>
      <c r="E719" s="19" t="str">
        <f>"Carrying amount "&amp;Update!$B$22</f>
        <v>Carrying amount  31 March 2026</v>
      </c>
      <c r="F719" s="20"/>
      <c r="G719" s="28"/>
      <c r="H719" s="14">
        <f>SUM(H714:H718)</f>
        <v>22</v>
      </c>
      <c r="I719" s="14">
        <f>SUM(I714:I718)</f>
        <v>0</v>
      </c>
      <c r="J719" s="1258" t="s">
        <v>286</v>
      </c>
      <c r="K719" s="256">
        <f>SUM(K714:K718)</f>
        <v>0</v>
      </c>
      <c r="L719" s="256">
        <f>SUM(L714:L718)</f>
        <v>0</v>
      </c>
      <c r="M719" s="21"/>
      <c r="N719" s="14">
        <f>ROUND(SUM(O719:S719)+T719+SUM(Z719:AV719),0)</f>
        <v>22</v>
      </c>
      <c r="O719" s="14">
        <f t="shared" ref="O719:W719" si="412">SUM(O714:O718)</f>
        <v>0</v>
      </c>
      <c r="P719" s="14">
        <f t="shared" si="412"/>
        <v>0</v>
      </c>
      <c r="Q719" s="14">
        <f t="shared" si="412"/>
        <v>0</v>
      </c>
      <c r="R719" s="14">
        <f t="shared" si="412"/>
        <v>0</v>
      </c>
      <c r="S719" s="14">
        <f t="shared" si="412"/>
        <v>0</v>
      </c>
      <c r="T719" s="14">
        <f t="shared" si="412"/>
        <v>22</v>
      </c>
      <c r="U719" s="14">
        <f t="shared" si="412"/>
        <v>0</v>
      </c>
      <c r="V719" s="14">
        <f t="shared" si="412"/>
        <v>0</v>
      </c>
      <c r="W719" s="14">
        <f t="shared" si="412"/>
        <v>22</v>
      </c>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2"/>
      <c r="AX719" s="14">
        <f>SUM(AX714:AX718)</f>
        <v>0</v>
      </c>
      <c r="AY719" s="14">
        <f>SUM(AY714:AY718)</f>
        <v>0</v>
      </c>
      <c r="AZ719" s="2"/>
      <c r="BA719" s="14">
        <f>SUM(BA714:BA718)</f>
        <v>0</v>
      </c>
      <c r="BB719" s="14">
        <f>SUM(BB714:BB718)</f>
        <v>0</v>
      </c>
      <c r="BC719" s="14"/>
      <c r="BD719" s="14">
        <f t="shared" si="411"/>
        <v>0</v>
      </c>
      <c r="BE719" s="14">
        <f t="shared" ref="BE719:BJ719" si="413">SUM(BE714:BE717)</f>
        <v>0</v>
      </c>
      <c r="BF719" s="14">
        <f t="shared" si="413"/>
        <v>0</v>
      </c>
      <c r="BG719" s="14">
        <f t="shared" si="413"/>
        <v>0</v>
      </c>
      <c r="BH719" s="14">
        <f t="shared" si="413"/>
        <v>0</v>
      </c>
      <c r="BI719" s="14">
        <f t="shared" si="413"/>
        <v>0</v>
      </c>
      <c r="BJ719" s="14">
        <f t="shared" si="413"/>
        <v>0</v>
      </c>
      <c r="BK719" s="14">
        <f t="shared" si="391"/>
        <v>0</v>
      </c>
      <c r="BL719" s="14"/>
      <c r="BM719" s="14"/>
      <c r="BN719" s="14"/>
      <c r="BO719" s="14"/>
      <c r="BP719" s="14"/>
      <c r="BQ719" s="14"/>
      <c r="BR719" s="14"/>
      <c r="BS719" s="14"/>
      <c r="BT719" s="324"/>
      <c r="BU719" s="14"/>
      <c r="BV719" s="14"/>
      <c r="BW719" s="14"/>
      <c r="BX719" s="14"/>
      <c r="BY719" s="14"/>
      <c r="BZ719" s="14"/>
      <c r="CA719" s="14"/>
      <c r="CB719" s="14"/>
      <c r="CC719" s="14"/>
      <c r="CD719" s="14"/>
      <c r="CE719" s="14"/>
      <c r="CF719" s="14"/>
      <c r="CG719" s="14"/>
      <c r="CH719" s="14"/>
      <c r="CI719" s="14"/>
      <c r="CJ719" s="2"/>
      <c r="CK719" s="2"/>
      <c r="CM719" s="1450">
        <v>0</v>
      </c>
      <c r="CN719" s="1450">
        <v>0</v>
      </c>
      <c r="CP719" s="923">
        <f t="shared" si="408"/>
        <v>0</v>
      </c>
      <c r="CZ719" s="330"/>
    </row>
    <row r="720" spans="1:104" ht="15" customHeight="1" x14ac:dyDescent="0.25">
      <c r="A720" s="684">
        <f>MAX($A$6:A719)+1</f>
        <v>720</v>
      </c>
      <c r="B720" s="3">
        <f t="shared" si="378"/>
        <v>5.0999999999999996</v>
      </c>
      <c r="C720" s="11" t="str">
        <f t="shared" si="369"/>
        <v>Consolidated property, plant and equipment 2025-26</v>
      </c>
      <c r="D720" s="11"/>
      <c r="E720" s="7"/>
      <c r="F720" s="15"/>
      <c r="G720" s="26"/>
      <c r="H720" s="6"/>
      <c r="I720" s="6"/>
      <c r="J720" s="1257" t="s">
        <v>286</v>
      </c>
      <c r="K720" s="251">
        <f>SUMIF('alb Note 5.1 -PP&amp;E - CY'!$A:$A,$J720,'alb Note 5.1 -PP&amp;E - CY'!$H:$H)</f>
        <v>0</v>
      </c>
      <c r="L720" s="251">
        <f>SUMIF('alb Note 5.1 -PP&amp;E - CY'!$A:$A,$J720,'alb Note 5.1 -PP&amp;E - CY'!$S:$S)</f>
        <v>0</v>
      </c>
      <c r="M720" s="10"/>
      <c r="N720" s="273">
        <f>ROUND(SUM(O720:S720)+SUM(W720:AV720),0)</f>
        <v>0</v>
      </c>
      <c r="O720" s="12"/>
      <c r="P720" s="12"/>
      <c r="Q720" s="12"/>
      <c r="R720" s="12"/>
      <c r="S720" s="6">
        <f t="shared" si="395"/>
        <v>0</v>
      </c>
      <c r="T720" s="273">
        <f>ROUND(SUM(U720:Y720),0)</f>
        <v>0</v>
      </c>
      <c r="U720" s="6">
        <f>SUM(BL720:BN720)</f>
        <v>0</v>
      </c>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X720" s="6"/>
      <c r="AY720" s="6">
        <f>ROUND(AX720/1000/Update!$B$31*Update!$B$27,0)</f>
        <v>0</v>
      </c>
      <c r="BA720" s="6"/>
      <c r="BB720" s="6">
        <f>ROUND(BA720/1000/Update!$B$31,0)</f>
        <v>0</v>
      </c>
      <c r="BC720" s="6"/>
      <c r="BD720" s="29">
        <f t="shared" si="411"/>
        <v>0</v>
      </c>
      <c r="BE720" s="322"/>
      <c r="BF720" s="322"/>
      <c r="BG720" s="322"/>
      <c r="BH720" s="322"/>
      <c r="BI720" s="322"/>
      <c r="BJ720" s="322"/>
      <c r="BK720" s="29">
        <f t="shared" si="391"/>
        <v>0</v>
      </c>
      <c r="BL720" s="322"/>
      <c r="BM720" s="322"/>
      <c r="BN720" s="322"/>
      <c r="BO720" s="322"/>
      <c r="BP720" s="322"/>
      <c r="BQ720" s="322"/>
      <c r="BR720" s="322"/>
      <c r="BS720" s="322"/>
      <c r="BT720" s="322"/>
      <c r="BU720" s="322"/>
      <c r="BV720" s="322"/>
      <c r="BW720" s="322"/>
      <c r="BX720" s="322"/>
      <c r="BY720" s="322"/>
      <c r="BZ720" s="322"/>
      <c r="CA720" s="322"/>
      <c r="CB720" s="322"/>
      <c r="CC720" s="322"/>
      <c r="CD720" s="322"/>
      <c r="CE720" s="322"/>
      <c r="CF720" s="322"/>
      <c r="CG720" s="322"/>
      <c r="CH720" s="322"/>
      <c r="CI720" s="322"/>
      <c r="CM720" s="1139">
        <v>0</v>
      </c>
      <c r="CN720" s="1139">
        <v>0</v>
      </c>
      <c r="CP720" s="923">
        <f t="shared" si="408"/>
        <v>0</v>
      </c>
      <c r="CZ720" s="330"/>
    </row>
    <row r="721" spans="1:104" ht="18.75" customHeight="1" x14ac:dyDescent="0.25">
      <c r="A721" s="684">
        <f>MAX($A$6:A720)+1</f>
        <v>721</v>
      </c>
      <c r="B721" s="3">
        <f t="shared" si="378"/>
        <v>5.0999999999999996</v>
      </c>
      <c r="C721" s="11" t="str">
        <f t="shared" si="369"/>
        <v>Consolidated property, plant and equipment 2025-26</v>
      </c>
      <c r="D721" s="11" t="s">
        <v>204</v>
      </c>
      <c r="E721" s="277" t="s">
        <v>183</v>
      </c>
      <c r="F721" s="15"/>
      <c r="G721" s="26"/>
      <c r="H721" s="6"/>
      <c r="I721" s="6"/>
      <c r="J721" s="1257" t="s">
        <v>286</v>
      </c>
      <c r="K721" s="251">
        <f>SUMIF('alb Note 5.1 -PP&amp;E - CY'!$A:$A,$J721,'alb Note 5.1 -PP&amp;E - CY'!$H:$H)</f>
        <v>0</v>
      </c>
      <c r="L721" s="251">
        <f>SUMIF('alb Note 5.1 -PP&amp;E - CY'!$A:$A,$J721,'alb Note 5.1 -PP&amp;E - CY'!$S:$S)</f>
        <v>0</v>
      </c>
      <c r="M721" s="10"/>
      <c r="N721" s="273">
        <f>ROUND(SUM(O721:S721)+SUM(W721:AV721),0)</f>
        <v>0</v>
      </c>
      <c r="O721" s="12"/>
      <c r="P721" s="12"/>
      <c r="Q721" s="12"/>
      <c r="R721" s="12"/>
      <c r="S721" s="6">
        <f t="shared" si="395"/>
        <v>0</v>
      </c>
      <c r="T721" s="273">
        <f>ROUND(SUM(U721:Y721),0)</f>
        <v>0</v>
      </c>
      <c r="U721" s="6">
        <f>SUM(BL721:BN721)</f>
        <v>0</v>
      </c>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X721" s="6"/>
      <c r="AY721" s="6">
        <f>ROUND(AX721/1000/Update!$B$31*Update!$B$27,0)</f>
        <v>0</v>
      </c>
      <c r="BA721" s="6"/>
      <c r="BB721" s="6">
        <f>ROUND(BA721/1000/Update!$B$31,0)</f>
        <v>0</v>
      </c>
      <c r="BC721" s="6"/>
      <c r="BD721" s="29">
        <f t="shared" si="411"/>
        <v>0</v>
      </c>
      <c r="BE721" s="322"/>
      <c r="BF721" s="322"/>
      <c r="BG721" s="322"/>
      <c r="BH721" s="322"/>
      <c r="BI721" s="322"/>
      <c r="BJ721" s="322"/>
      <c r="BK721" s="29">
        <f t="shared" si="391"/>
        <v>0</v>
      </c>
      <c r="BL721" s="322"/>
      <c r="BM721" s="322"/>
      <c r="BN721" s="322"/>
      <c r="BO721" s="322"/>
      <c r="BP721" s="322"/>
      <c r="BQ721" s="322"/>
      <c r="BR721" s="322"/>
      <c r="BS721" s="322"/>
      <c r="BT721" s="322"/>
      <c r="BU721" s="322"/>
      <c r="BV721" s="322"/>
      <c r="BW721" s="322"/>
      <c r="BX721" s="322"/>
      <c r="BY721" s="322"/>
      <c r="BZ721" s="322"/>
      <c r="CA721" s="322"/>
      <c r="CB721" s="322"/>
      <c r="CC721" s="322"/>
      <c r="CD721" s="322"/>
      <c r="CE721" s="322"/>
      <c r="CF721" s="322"/>
      <c r="CG721" s="322"/>
      <c r="CH721" s="322"/>
      <c r="CI721" s="322"/>
      <c r="CM721" s="1139">
        <v>0</v>
      </c>
      <c r="CN721" s="1139">
        <v>0</v>
      </c>
      <c r="CP721" s="923">
        <f t="shared" si="408"/>
        <v>0</v>
      </c>
      <c r="CZ721" s="330"/>
    </row>
    <row r="722" spans="1:104" ht="15" customHeight="1" x14ac:dyDescent="0.25">
      <c r="A722" s="684">
        <f>MAX($A$6:A721)+1</f>
        <v>722</v>
      </c>
      <c r="B722" s="3">
        <f t="shared" si="378"/>
        <v>5.0999999999999996</v>
      </c>
      <c r="C722" s="11" t="str">
        <f t="shared" si="369"/>
        <v>Consolidated property, plant and equipment 2025-26</v>
      </c>
      <c r="D722" s="11" t="str">
        <f>D721</f>
        <v>Furniture &amp; Fittings</v>
      </c>
      <c r="E722" s="7" t="str">
        <f>"At"&amp;Update!$B$20</f>
        <v>At 1 April 2025</v>
      </c>
      <c r="F722" s="15"/>
      <c r="G722" s="1267" t="str">
        <f>"At"&amp;Update!$B$20</f>
        <v>At 1 April 2025</v>
      </c>
      <c r="H722" s="6">
        <v>95</v>
      </c>
      <c r="I722" s="6">
        <v>0</v>
      </c>
      <c r="J722" s="1257" t="str">
        <f>$E722</f>
        <v>At 1 April 2025</v>
      </c>
      <c r="K722" s="251">
        <f>SUMIF('alb Note 5.1 -PP&amp;E - CY'!$A:$A,$J722,'alb Note 5.1 -PP&amp;E - CY'!$H:$H)</f>
        <v>0</v>
      </c>
      <c r="L722" s="251">
        <f>SUMIF('alb Note 5.1 -PP&amp;E - CY'!$A:$A,$J722,'alb Note 5.1 -PP&amp;E - CY'!$S:$S)</f>
        <v>0</v>
      </c>
      <c r="M722" s="10"/>
      <c r="N722" s="273">
        <f>ROUND(SUM(O722:S722)+SUM(W722:AV722),0)</f>
        <v>95</v>
      </c>
      <c r="O722" s="12"/>
      <c r="P722" s="12"/>
      <c r="Q722" s="12"/>
      <c r="R722" s="12"/>
      <c r="S722" s="6">
        <f t="shared" si="395"/>
        <v>0</v>
      </c>
      <c r="T722" s="273">
        <f>ROUND(SUM(U722:Y722),0)</f>
        <v>95</v>
      </c>
      <c r="U722" s="6">
        <f>SUM(BL722:BN722)</f>
        <v>0</v>
      </c>
      <c r="V722" s="6"/>
      <c r="W722" s="6">
        <f t="shared" ref="W722:W734" si="414">+H722</f>
        <v>95</v>
      </c>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X722" s="6"/>
      <c r="AY722" s="6">
        <f>ROUND(AX722/1000/Update!$B$31*Update!$B$27,0)</f>
        <v>0</v>
      </c>
      <c r="BA722" s="6"/>
      <c r="BB722" s="6">
        <f>ROUND(BA722/1000/Update!$B$31,0)</f>
        <v>0</v>
      </c>
      <c r="BC722" s="6"/>
      <c r="BD722" s="29">
        <f t="shared" si="411"/>
        <v>0</v>
      </c>
      <c r="BE722" s="322"/>
      <c r="BF722" s="322"/>
      <c r="BG722" s="322"/>
      <c r="BH722" s="322"/>
      <c r="BI722" s="322"/>
      <c r="BJ722" s="322"/>
      <c r="BK722" s="29">
        <f t="shared" si="391"/>
        <v>0</v>
      </c>
      <c r="BL722" s="322"/>
      <c r="BM722" s="322"/>
      <c r="BN722" s="322"/>
      <c r="BO722" s="322"/>
      <c r="BP722" s="322"/>
      <c r="BQ722" s="322"/>
      <c r="BR722" s="322"/>
      <c r="BS722" s="322"/>
      <c r="BT722" s="322"/>
      <c r="BU722" s="322"/>
      <c r="BV722" s="322"/>
      <c r="BW722" s="322"/>
      <c r="BX722" s="322"/>
      <c r="BY722" s="322"/>
      <c r="BZ722" s="322"/>
      <c r="CA722" s="322"/>
      <c r="CB722" s="322"/>
      <c r="CC722" s="322"/>
      <c r="CD722" s="322"/>
      <c r="CE722" s="322"/>
      <c r="CF722" s="322"/>
      <c r="CG722" s="322"/>
      <c r="CH722" s="322"/>
      <c r="CI722" s="322"/>
      <c r="CM722" s="1139">
        <v>0</v>
      </c>
      <c r="CN722" s="1139">
        <v>0</v>
      </c>
      <c r="CP722" s="923">
        <f t="shared" si="408"/>
        <v>0</v>
      </c>
      <c r="CZ722" s="330"/>
    </row>
    <row r="723" spans="1:104" ht="15" customHeight="1" x14ac:dyDescent="0.25">
      <c r="A723" s="684">
        <f>MAX($A$6:A722)+1</f>
        <v>723</v>
      </c>
      <c r="B723" s="3">
        <f t="shared" si="378"/>
        <v>5.0999999999999996</v>
      </c>
      <c r="C723" s="11" t="str">
        <f t="shared" si="369"/>
        <v>Consolidated property, plant and equipment 2025-26</v>
      </c>
      <c r="D723" s="11" t="str">
        <f t="shared" ref="D723:D756" si="415">D722</f>
        <v>Furniture &amp; Fittings</v>
      </c>
      <c r="E723" s="7" t="s">
        <v>435</v>
      </c>
      <c r="F723" s="15"/>
      <c r="G723" s="1254" t="s">
        <v>435</v>
      </c>
      <c r="H723" s="6">
        <v>0</v>
      </c>
      <c r="I723" s="6">
        <v>0</v>
      </c>
      <c r="J723" s="1257" t="s">
        <v>184</v>
      </c>
      <c r="K723" s="251">
        <f>SUMIF('alb Note 5.1 -PP&amp;E - CY'!$A:$A,$J723,'alb Note 5.1 -PP&amp;E - CY'!$H:$H)</f>
        <v>0</v>
      </c>
      <c r="L723" s="251">
        <f>SUMIF('alb Note 5.1 -PP&amp;E - CY'!$A:$A,$J723,'alb Note 5.1 -PP&amp;E - CY'!$S:$S)</f>
        <v>0</v>
      </c>
      <c r="M723" s="10"/>
      <c r="N723" s="273">
        <f>ROUND(SUM(O723:S723)+SUM(W723:AV723),0)</f>
        <v>0</v>
      </c>
      <c r="O723" s="12"/>
      <c r="P723" s="12"/>
      <c r="Q723" s="12"/>
      <c r="R723" s="12"/>
      <c r="S723" s="6">
        <f t="shared" si="395"/>
        <v>0</v>
      </c>
      <c r="T723" s="273">
        <f>ROUND(SUM(U723:Y723),0)</f>
        <v>0</v>
      </c>
      <c r="U723" s="6">
        <f>SUM(BL723:BN723)</f>
        <v>0</v>
      </c>
      <c r="V723" s="6"/>
      <c r="W723" s="6">
        <f t="shared" si="414"/>
        <v>0</v>
      </c>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X723" s="6"/>
      <c r="AY723" s="6">
        <f>ROUND(AX723/1000/Update!$B$31*Update!$B$27,0)</f>
        <v>0</v>
      </c>
      <c r="BA723" s="6"/>
      <c r="BB723" s="6">
        <f>ROUND(BA723/1000/Update!$B$31,0)</f>
        <v>0</v>
      </c>
      <c r="BC723" s="6"/>
      <c r="BD723" s="29">
        <f t="shared" si="411"/>
        <v>0</v>
      </c>
      <c r="BE723" s="322"/>
      <c r="BF723" s="322"/>
      <c r="BG723" s="322"/>
      <c r="BH723" s="322"/>
      <c r="BI723" s="322"/>
      <c r="BJ723" s="322"/>
      <c r="BK723" s="29">
        <f t="shared" si="391"/>
        <v>0</v>
      </c>
      <c r="BL723" s="322"/>
      <c r="BM723" s="322"/>
      <c r="BN723" s="322"/>
      <c r="BO723" s="322"/>
      <c r="BP723" s="322"/>
      <c r="BQ723" s="322"/>
      <c r="BR723" s="322"/>
      <c r="BS723" s="322"/>
      <c r="BT723" s="322"/>
      <c r="BU723" s="322"/>
      <c r="BV723" s="322"/>
      <c r="BW723" s="322"/>
      <c r="BX723" s="322"/>
      <c r="BY723" s="322"/>
      <c r="BZ723" s="322"/>
      <c r="CA723" s="322"/>
      <c r="CB723" s="322"/>
      <c r="CC723" s="322"/>
      <c r="CD723" s="322"/>
      <c r="CE723" s="322"/>
      <c r="CF723" s="322"/>
      <c r="CG723" s="322"/>
      <c r="CH723" s="322"/>
      <c r="CI723" s="322"/>
      <c r="CM723" s="1139">
        <v>0</v>
      </c>
      <c r="CN723" s="1139">
        <v>0</v>
      </c>
      <c r="CP723" s="923">
        <f t="shared" si="408"/>
        <v>0</v>
      </c>
      <c r="CZ723" s="330"/>
    </row>
    <row r="724" spans="1:104" ht="15" customHeight="1" x14ac:dyDescent="0.25">
      <c r="A724" s="701">
        <f>MAX($A$6:A723)+1</f>
        <v>724</v>
      </c>
      <c r="B724" s="1291">
        <f t="shared" si="378"/>
        <v>5.0999999999999996</v>
      </c>
      <c r="C724" s="18" t="str">
        <f t="shared" si="369"/>
        <v>Consolidated property, plant and equipment 2025-26</v>
      </c>
      <c r="D724" s="18" t="str">
        <f t="shared" si="415"/>
        <v>Furniture &amp; Fittings</v>
      </c>
      <c r="E724" s="19" t="s">
        <v>869</v>
      </c>
      <c r="F724" s="20"/>
      <c r="G724" s="1278" t="s">
        <v>436</v>
      </c>
      <c r="H724" s="14">
        <f>SUM(H720:H723)</f>
        <v>95</v>
      </c>
      <c r="I724" s="14">
        <f>SUM(I720:I723)</f>
        <v>0</v>
      </c>
      <c r="J724" s="1258" t="s">
        <v>869</v>
      </c>
      <c r="K724" s="256">
        <f>SUM(K720:K723)</f>
        <v>0</v>
      </c>
      <c r="L724" s="256">
        <f>SUM(L720:L723)</f>
        <v>0</v>
      </c>
      <c r="M724" s="21"/>
      <c r="N724" s="14">
        <f>ROUND(SUM(O724:S724)+T724+SUM(Z724:AV724),0)</f>
        <v>95</v>
      </c>
      <c r="O724" s="14">
        <f t="shared" ref="O724:W724" si="416">SUM(O720:O723)</f>
        <v>0</v>
      </c>
      <c r="P724" s="14">
        <f t="shared" si="416"/>
        <v>0</v>
      </c>
      <c r="Q724" s="14">
        <f t="shared" si="416"/>
        <v>0</v>
      </c>
      <c r="R724" s="14">
        <f t="shared" si="416"/>
        <v>0</v>
      </c>
      <c r="S724" s="14">
        <f t="shared" si="395"/>
        <v>0</v>
      </c>
      <c r="T724" s="14">
        <f t="shared" si="416"/>
        <v>95</v>
      </c>
      <c r="U724" s="14">
        <f t="shared" si="416"/>
        <v>0</v>
      </c>
      <c r="V724" s="14">
        <f t="shared" si="416"/>
        <v>0</v>
      </c>
      <c r="W724" s="14">
        <f t="shared" si="416"/>
        <v>95</v>
      </c>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2"/>
      <c r="AX724" s="14">
        <f>SUM(AX720:AX723)</f>
        <v>0</v>
      </c>
      <c r="AY724" s="14">
        <f>ROUND(AX724/1000/Update!$B$31*Update!$B$27,0)</f>
        <v>0</v>
      </c>
      <c r="AZ724" s="2"/>
      <c r="BA724" s="14">
        <f>SUM(BA720:BA723)</f>
        <v>0</v>
      </c>
      <c r="BB724" s="14">
        <f>ROUND(BA724/1000/Update!$B$31,0)</f>
        <v>0</v>
      </c>
      <c r="BC724" s="14"/>
      <c r="BD724" s="14">
        <f t="shared" si="411"/>
        <v>0</v>
      </c>
      <c r="BE724" s="14">
        <f t="shared" ref="BE724:BJ724" si="417">SUM(BE720:BE723)</f>
        <v>0</v>
      </c>
      <c r="BF724" s="14">
        <f t="shared" si="417"/>
        <v>0</v>
      </c>
      <c r="BG724" s="14">
        <f t="shared" si="417"/>
        <v>0</v>
      </c>
      <c r="BH724" s="14">
        <f t="shared" si="417"/>
        <v>0</v>
      </c>
      <c r="BI724" s="14">
        <f t="shared" si="417"/>
        <v>0</v>
      </c>
      <c r="BJ724" s="14">
        <f t="shared" si="417"/>
        <v>0</v>
      </c>
      <c r="BK724" s="14">
        <f t="shared" si="391"/>
        <v>0</v>
      </c>
      <c r="BL724" s="14"/>
      <c r="BM724" s="14"/>
      <c r="BN724" s="14"/>
      <c r="BO724" s="14"/>
      <c r="BP724" s="14"/>
      <c r="BQ724" s="14"/>
      <c r="BR724" s="14"/>
      <c r="BS724" s="14"/>
      <c r="BT724" s="324"/>
      <c r="BU724" s="14"/>
      <c r="BV724" s="14"/>
      <c r="BW724" s="14"/>
      <c r="BX724" s="14"/>
      <c r="BY724" s="14"/>
      <c r="BZ724" s="14"/>
      <c r="CA724" s="14"/>
      <c r="CB724" s="14"/>
      <c r="CC724" s="14"/>
      <c r="CD724" s="14"/>
      <c r="CE724" s="14"/>
      <c r="CF724" s="14"/>
      <c r="CG724" s="14"/>
      <c r="CH724" s="14"/>
      <c r="CI724" s="14"/>
      <c r="CJ724" s="2"/>
      <c r="CK724" s="2"/>
      <c r="CM724" s="1450">
        <v>0</v>
      </c>
      <c r="CN724" s="1450">
        <v>0</v>
      </c>
      <c r="CP724" s="923">
        <f t="shared" si="408"/>
        <v>0</v>
      </c>
      <c r="CZ724" s="330"/>
    </row>
    <row r="725" spans="1:104" ht="15" customHeight="1" x14ac:dyDescent="0.25">
      <c r="A725" s="684">
        <f>MAX($A$6:A724)+1</f>
        <v>725</v>
      </c>
      <c r="B725" s="3">
        <f t="shared" si="378"/>
        <v>5.0999999999999996</v>
      </c>
      <c r="C725" s="11" t="str">
        <f t="shared" si="369"/>
        <v>Consolidated property, plant and equipment 2025-26</v>
      </c>
      <c r="D725" s="11" t="str">
        <f t="shared" si="415"/>
        <v>Furniture &amp; Fittings</v>
      </c>
      <c r="E725" s="7" t="s">
        <v>185</v>
      </c>
      <c r="F725" s="15"/>
      <c r="G725" s="1254" t="s">
        <v>185</v>
      </c>
      <c r="H725" s="6">
        <v>0</v>
      </c>
      <c r="I725" s="6">
        <v>0</v>
      </c>
      <c r="J725" s="1257" t="s">
        <v>185</v>
      </c>
      <c r="K725" s="251">
        <f>SUMIF('alb Note 5.1 -PP&amp;E - CY'!$A:$A,$J725,'alb Note 5.1 -PP&amp;E - CY'!$H:$H)</f>
        <v>0</v>
      </c>
      <c r="L725" s="251">
        <f>SUMIF('alb Note 5.1 -PP&amp;E - CY'!$A:$A,$J725,'alb Note 5.1 -PP&amp;E - CY'!$S:$S)</f>
        <v>0</v>
      </c>
      <c r="M725" s="10"/>
      <c r="N725" s="273">
        <f t="shared" ref="N725:N734" si="418">ROUND(SUM(O725:S725)+SUM(W725:AV725),0)</f>
        <v>0</v>
      </c>
      <c r="O725" s="12"/>
      <c r="P725" s="12"/>
      <c r="Q725" s="12"/>
      <c r="R725" s="12"/>
      <c r="S725" s="6">
        <f t="shared" si="395"/>
        <v>0</v>
      </c>
      <c r="T725" s="273">
        <f t="shared" ref="T725:T734" si="419">ROUND(SUM(U725:Y725),0)</f>
        <v>0</v>
      </c>
      <c r="U725" s="6">
        <f t="shared" ref="U725:U734" si="420">SUM(BL725:BN725)</f>
        <v>0</v>
      </c>
      <c r="V725" s="6"/>
      <c r="W725" s="6">
        <f t="shared" si="414"/>
        <v>0</v>
      </c>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X725" s="6"/>
      <c r="AY725" s="6">
        <f>ROUND(AX725/1000/Update!$B$31*Update!$B$27,0)</f>
        <v>0</v>
      </c>
      <c r="BA725" s="6"/>
      <c r="BB725" s="6">
        <f>ROUND(BA725/1000/Update!$B$31,0)</f>
        <v>0</v>
      </c>
      <c r="BC725" s="6"/>
      <c r="BD725" s="29">
        <f t="shared" si="411"/>
        <v>0</v>
      </c>
      <c r="BE725" s="322"/>
      <c r="BF725" s="322"/>
      <c r="BG725" s="322"/>
      <c r="BH725" s="322"/>
      <c r="BI725" s="322"/>
      <c r="BJ725" s="322"/>
      <c r="BK725" s="29">
        <f t="shared" si="391"/>
        <v>0</v>
      </c>
      <c r="BL725" s="322"/>
      <c r="BM725" s="322"/>
      <c r="BN725" s="322"/>
      <c r="BO725" s="322"/>
      <c r="BP725" s="322"/>
      <c r="BQ725" s="322"/>
      <c r="BR725" s="322"/>
      <c r="BS725" s="322"/>
      <c r="BT725" s="322"/>
      <c r="BU725" s="322"/>
      <c r="BV725" s="322"/>
      <c r="BW725" s="322"/>
      <c r="BX725" s="322"/>
      <c r="BY725" s="322"/>
      <c r="BZ725" s="322"/>
      <c r="CA725" s="322"/>
      <c r="CB725" s="322"/>
      <c r="CC725" s="322"/>
      <c r="CD725" s="322"/>
      <c r="CE725" s="322"/>
      <c r="CF725" s="322"/>
      <c r="CG725" s="322"/>
      <c r="CH725" s="322"/>
      <c r="CI725" s="322"/>
      <c r="CM725" s="1139">
        <v>0</v>
      </c>
      <c r="CN725" s="1139">
        <v>0</v>
      </c>
      <c r="CP725" s="923">
        <f t="shared" si="408"/>
        <v>0</v>
      </c>
      <c r="CZ725" s="330"/>
    </row>
    <row r="726" spans="1:104" ht="30" customHeight="1" x14ac:dyDescent="0.25">
      <c r="A726" s="684">
        <f>MAX($A$6:A725)+1</f>
        <v>726</v>
      </c>
      <c r="B726" s="3">
        <f t="shared" si="378"/>
        <v>5.0999999999999996</v>
      </c>
      <c r="C726" s="11" t="str">
        <f t="shared" si="369"/>
        <v>Consolidated property, plant and equipment 2025-26</v>
      </c>
      <c r="D726" s="11" t="str">
        <f t="shared" si="415"/>
        <v>Furniture &amp; Fittings</v>
      </c>
      <c r="E726" s="7" t="s">
        <v>437</v>
      </c>
      <c r="F726" s="15"/>
      <c r="G726" s="1254" t="s">
        <v>437</v>
      </c>
      <c r="H726" s="6">
        <v>0</v>
      </c>
      <c r="I726" s="6">
        <v>0</v>
      </c>
      <c r="J726" s="1257" t="s">
        <v>437</v>
      </c>
      <c r="K726" s="251">
        <f>SUMIF('alb Note 5.1 -PP&amp;E - CY'!$A:$A,$J726,'alb Note 5.1 -PP&amp;E - CY'!$H:$H)</f>
        <v>0</v>
      </c>
      <c r="L726" s="251">
        <f>SUMIF('alb Note 5.1 -PP&amp;E - CY'!$A:$A,$J726,'alb Note 5.1 -PP&amp;E - CY'!$S:$S)</f>
        <v>0</v>
      </c>
      <c r="M726" s="10"/>
      <c r="N726" s="273">
        <f t="shared" si="418"/>
        <v>0</v>
      </c>
      <c r="O726" s="12"/>
      <c r="P726" s="12"/>
      <c r="Q726" s="12"/>
      <c r="R726" s="12"/>
      <c r="S726" s="6">
        <f t="shared" si="395"/>
        <v>0</v>
      </c>
      <c r="T726" s="273">
        <f t="shared" si="419"/>
        <v>0</v>
      </c>
      <c r="U726" s="6">
        <f t="shared" si="420"/>
        <v>0</v>
      </c>
      <c r="V726" s="6"/>
      <c r="W726" s="6">
        <f t="shared" si="414"/>
        <v>0</v>
      </c>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X726" s="6"/>
      <c r="AY726" s="6">
        <f>ROUND(AX726/1000/Update!$B$31*Update!$B$27,0)</f>
        <v>0</v>
      </c>
      <c r="BA726" s="6"/>
      <c r="BB726" s="6">
        <f>ROUND(BA726/1000/Update!$B$31,0)</f>
        <v>0</v>
      </c>
      <c r="BC726" s="6"/>
      <c r="BD726" s="29">
        <f t="shared" si="411"/>
        <v>0</v>
      </c>
      <c r="BE726" s="322"/>
      <c r="BF726" s="322"/>
      <c r="BG726" s="322"/>
      <c r="BH726" s="322"/>
      <c r="BI726" s="322"/>
      <c r="BJ726" s="322"/>
      <c r="BK726" s="29">
        <f t="shared" si="391"/>
        <v>0</v>
      </c>
      <c r="BL726" s="322"/>
      <c r="BM726" s="322"/>
      <c r="BN726" s="322"/>
      <c r="BO726" s="322"/>
      <c r="BP726" s="322"/>
      <c r="BQ726" s="322"/>
      <c r="BR726" s="322"/>
      <c r="BS726" s="322"/>
      <c r="BT726" s="322"/>
      <c r="BU726" s="322"/>
      <c r="BV726" s="322"/>
      <c r="BW726" s="322"/>
      <c r="BX726" s="322"/>
      <c r="BY726" s="322"/>
      <c r="BZ726" s="322"/>
      <c r="CA726" s="322"/>
      <c r="CB726" s="322"/>
      <c r="CC726" s="322"/>
      <c r="CD726" s="322"/>
      <c r="CE726" s="322"/>
      <c r="CF726" s="322"/>
      <c r="CG726" s="322"/>
      <c r="CH726" s="322"/>
      <c r="CI726" s="322"/>
      <c r="CM726" s="1139">
        <v>0</v>
      </c>
      <c r="CN726" s="1139">
        <v>0</v>
      </c>
      <c r="CP726" s="923">
        <f t="shared" si="408"/>
        <v>0</v>
      </c>
      <c r="CZ726" s="330"/>
    </row>
    <row r="727" spans="1:104" ht="15" customHeight="1" x14ac:dyDescent="0.25">
      <c r="A727" s="684">
        <f>MAX($A$6:A726)+1</f>
        <v>727</v>
      </c>
      <c r="B727" s="3">
        <f t="shared" si="378"/>
        <v>5.0999999999999996</v>
      </c>
      <c r="C727" s="11" t="str">
        <f t="shared" ref="C727:C806" si="421">C726</f>
        <v>Consolidated property, plant and equipment 2025-26</v>
      </c>
      <c r="D727" s="11" t="str">
        <f t="shared" si="415"/>
        <v>Furniture &amp; Fittings</v>
      </c>
      <c r="E727" s="7" t="s">
        <v>191</v>
      </c>
      <c r="F727" s="15"/>
      <c r="G727" s="1254" t="s">
        <v>191</v>
      </c>
      <c r="H727" s="6">
        <v>0</v>
      </c>
      <c r="I727" s="6">
        <v>0</v>
      </c>
      <c r="J727" s="1257" t="s">
        <v>191</v>
      </c>
      <c r="K727" s="251">
        <f>SUMIF('alb Note 5.1 -PP&amp;E - CY'!$A:$A,$J727,'alb Note 5.1 -PP&amp;E - CY'!$H:$H)</f>
        <v>0</v>
      </c>
      <c r="L727" s="251">
        <f>SUMIF('alb Note 5.1 -PP&amp;E - CY'!$A:$A,$J727,'alb Note 5.1 -PP&amp;E - CY'!$S:$S)</f>
        <v>0</v>
      </c>
      <c r="M727" s="10"/>
      <c r="N727" s="273">
        <f t="shared" si="418"/>
        <v>0</v>
      </c>
      <c r="O727" s="12"/>
      <c r="P727" s="12"/>
      <c r="Q727" s="12"/>
      <c r="R727" s="12"/>
      <c r="S727" s="6">
        <f t="shared" si="395"/>
        <v>0</v>
      </c>
      <c r="T727" s="273">
        <f t="shared" si="419"/>
        <v>0</v>
      </c>
      <c r="U727" s="6">
        <f t="shared" si="420"/>
        <v>0</v>
      </c>
      <c r="V727" s="6"/>
      <c r="W727" s="6">
        <f t="shared" si="414"/>
        <v>0</v>
      </c>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X727" s="6"/>
      <c r="AY727" s="6">
        <f>ROUND(AX727/1000/Update!$B$31*Update!$B$27,0)</f>
        <v>0</v>
      </c>
      <c r="BA727" s="6"/>
      <c r="BB727" s="6">
        <f>ROUND(BA727/1000/Update!$B$31,0)</f>
        <v>0</v>
      </c>
      <c r="BC727" s="6"/>
      <c r="BD727" s="29">
        <f t="shared" si="411"/>
        <v>0</v>
      </c>
      <c r="BE727" s="322"/>
      <c r="BF727" s="322"/>
      <c r="BG727" s="322"/>
      <c r="BH727" s="322"/>
      <c r="BI727" s="322"/>
      <c r="BJ727" s="322"/>
      <c r="BK727" s="29">
        <f t="shared" si="391"/>
        <v>0</v>
      </c>
      <c r="BL727" s="322"/>
      <c r="BM727" s="322"/>
      <c r="BN727" s="322"/>
      <c r="BO727" s="322"/>
      <c r="BP727" s="322"/>
      <c r="BQ727" s="322"/>
      <c r="BR727" s="322"/>
      <c r="BS727" s="322"/>
      <c r="BT727" s="322"/>
      <c r="BU727" s="322"/>
      <c r="BV727" s="322"/>
      <c r="BW727" s="322"/>
      <c r="BX727" s="322"/>
      <c r="BY727" s="322"/>
      <c r="BZ727" s="322"/>
      <c r="CA727" s="322"/>
      <c r="CB727" s="322"/>
      <c r="CC727" s="322"/>
      <c r="CD727" s="322"/>
      <c r="CE727" s="322"/>
      <c r="CF727" s="322"/>
      <c r="CG727" s="322"/>
      <c r="CH727" s="322"/>
      <c r="CI727" s="322"/>
      <c r="CM727" s="1139">
        <v>0</v>
      </c>
      <c r="CN727" s="1139">
        <v>0</v>
      </c>
      <c r="CP727" s="923">
        <f t="shared" si="408"/>
        <v>0</v>
      </c>
      <c r="CZ727" s="330"/>
    </row>
    <row r="728" spans="1:104" ht="15" customHeight="1" x14ac:dyDescent="0.25">
      <c r="A728" s="684">
        <f>MAX($A$6:A727)+1</f>
        <v>728</v>
      </c>
      <c r="B728" s="3">
        <f t="shared" si="378"/>
        <v>5.0999999999999996</v>
      </c>
      <c r="C728" s="11" t="str">
        <f t="shared" si="421"/>
        <v>Consolidated property, plant and equipment 2025-26</v>
      </c>
      <c r="D728" s="11" t="str">
        <f t="shared" si="415"/>
        <v>Furniture &amp; Fittings</v>
      </c>
      <c r="E728" s="7" t="s">
        <v>186</v>
      </c>
      <c r="F728" s="15"/>
      <c r="G728" s="1254" t="s">
        <v>186</v>
      </c>
      <c r="H728" s="6">
        <v>0</v>
      </c>
      <c r="I728" s="6">
        <v>0</v>
      </c>
      <c r="J728" s="1257" t="s">
        <v>186</v>
      </c>
      <c r="K728" s="251">
        <f>SUMIF('alb Note 5.1 -PP&amp;E - CY'!$A:$A,$J728,'alb Note 5.1 -PP&amp;E - CY'!$H:$H)</f>
        <v>0</v>
      </c>
      <c r="L728" s="251">
        <f>SUMIF('alb Note 5.1 -PP&amp;E - CY'!$A:$A,$J728,'alb Note 5.1 -PP&amp;E - CY'!$S:$S)</f>
        <v>0</v>
      </c>
      <c r="M728" s="10"/>
      <c r="N728" s="273">
        <f t="shared" si="418"/>
        <v>0</v>
      </c>
      <c r="O728" s="12"/>
      <c r="P728" s="12"/>
      <c r="Q728" s="12"/>
      <c r="R728" s="12"/>
      <c r="S728" s="6">
        <f t="shared" si="395"/>
        <v>0</v>
      </c>
      <c r="T728" s="273">
        <f t="shared" si="419"/>
        <v>0</v>
      </c>
      <c r="U728" s="6">
        <f t="shared" si="420"/>
        <v>0</v>
      </c>
      <c r="V728" s="6"/>
      <c r="W728" s="6">
        <f t="shared" si="414"/>
        <v>0</v>
      </c>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X728" s="6"/>
      <c r="AY728" s="6">
        <f>ROUND(AX728/1000/Update!$B$31*Update!$B$27,0)</f>
        <v>0</v>
      </c>
      <c r="BA728" s="6"/>
      <c r="BB728" s="6">
        <f>ROUND(BA728/1000/Update!$B$31,0)</f>
        <v>0</v>
      </c>
      <c r="BC728" s="6"/>
      <c r="BD728" s="29">
        <f t="shared" si="411"/>
        <v>0</v>
      </c>
      <c r="BE728" s="322"/>
      <c r="BF728" s="322"/>
      <c r="BG728" s="322"/>
      <c r="BH728" s="322"/>
      <c r="BI728" s="322"/>
      <c r="BJ728" s="322"/>
      <c r="BK728" s="29">
        <f t="shared" si="391"/>
        <v>0</v>
      </c>
      <c r="BL728" s="322"/>
      <c r="BM728" s="322"/>
      <c r="BN728" s="322"/>
      <c r="BO728" s="322"/>
      <c r="BP728" s="322"/>
      <c r="BQ728" s="322"/>
      <c r="BR728" s="322"/>
      <c r="BS728" s="322"/>
      <c r="BT728" s="322"/>
      <c r="BU728" s="322"/>
      <c r="BV728" s="322"/>
      <c r="BW728" s="322"/>
      <c r="BX728" s="322"/>
      <c r="BY728" s="322"/>
      <c r="BZ728" s="322"/>
      <c r="CA728" s="322"/>
      <c r="CB728" s="322"/>
      <c r="CC728" s="322"/>
      <c r="CD728" s="322"/>
      <c r="CE728" s="322"/>
      <c r="CF728" s="322"/>
      <c r="CG728" s="322"/>
      <c r="CH728" s="322"/>
      <c r="CI728" s="322"/>
      <c r="CM728" s="1139">
        <v>0</v>
      </c>
      <c r="CN728" s="1139">
        <v>0</v>
      </c>
      <c r="CP728" s="923">
        <f t="shared" si="408"/>
        <v>0</v>
      </c>
      <c r="CZ728" s="330"/>
    </row>
    <row r="729" spans="1:104" ht="30" customHeight="1" x14ac:dyDescent="0.25">
      <c r="A729" s="684">
        <f>MAX($A$6:A728)+1</f>
        <v>729</v>
      </c>
      <c r="B729" s="3">
        <f t="shared" si="378"/>
        <v>5.0999999999999996</v>
      </c>
      <c r="C729" s="11" t="str">
        <f t="shared" si="421"/>
        <v>Consolidated property, plant and equipment 2025-26</v>
      </c>
      <c r="D729" s="11" t="str">
        <f t="shared" si="415"/>
        <v>Furniture &amp; Fittings</v>
      </c>
      <c r="E729" s="7" t="s">
        <v>192</v>
      </c>
      <c r="F729" s="15"/>
      <c r="G729" s="1254" t="s">
        <v>438</v>
      </c>
      <c r="H729" s="6">
        <v>0</v>
      </c>
      <c r="I729" s="6">
        <v>0</v>
      </c>
      <c r="J729" s="1257" t="s">
        <v>768</v>
      </c>
      <c r="K729" s="251">
        <f>SUMIF('alb Note 5.1 -PP&amp;E - CY'!$A:$A,$J729,'alb Note 5.1 -PP&amp;E - CY'!$H:$H)</f>
        <v>0</v>
      </c>
      <c r="L729" s="251">
        <f>SUMIF('alb Note 5.1 -PP&amp;E - CY'!$A:$A,$J729,'alb Note 5.1 -PP&amp;E - CY'!$S:$S)</f>
        <v>0</v>
      </c>
      <c r="M729" s="10"/>
      <c r="N729" s="273">
        <f t="shared" si="418"/>
        <v>0</v>
      </c>
      <c r="O729" s="12"/>
      <c r="P729" s="12"/>
      <c r="Q729" s="12"/>
      <c r="R729" s="12"/>
      <c r="S729" s="6">
        <f t="shared" si="395"/>
        <v>0</v>
      </c>
      <c r="T729" s="273">
        <f t="shared" si="419"/>
        <v>0</v>
      </c>
      <c r="U729" s="6">
        <f t="shared" si="420"/>
        <v>0</v>
      </c>
      <c r="V729" s="6"/>
      <c r="W729" s="6">
        <f t="shared" si="414"/>
        <v>0</v>
      </c>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X729" s="6"/>
      <c r="AY729" s="6">
        <f>ROUND(AX729/1000/Update!$B$31*Update!$B$27,0)</f>
        <v>0</v>
      </c>
      <c r="BA729" s="6"/>
      <c r="BB729" s="6">
        <f>ROUND(BA729/1000/Update!$B$31,0)</f>
        <v>0</v>
      </c>
      <c r="BC729" s="6"/>
      <c r="BD729" s="29">
        <f t="shared" si="411"/>
        <v>0</v>
      </c>
      <c r="BE729" s="322"/>
      <c r="BF729" s="322"/>
      <c r="BG729" s="322"/>
      <c r="BH729" s="322"/>
      <c r="BI729" s="322"/>
      <c r="BJ729" s="322"/>
      <c r="BK729" s="29">
        <f t="shared" si="391"/>
        <v>0</v>
      </c>
      <c r="BL729" s="322"/>
      <c r="BM729" s="322"/>
      <c r="BN729" s="322"/>
      <c r="BO729" s="322"/>
      <c r="BP729" s="322"/>
      <c r="BQ729" s="322"/>
      <c r="BR729" s="322"/>
      <c r="BS729" s="322"/>
      <c r="BT729" s="322"/>
      <c r="BU729" s="322"/>
      <c r="BV729" s="322"/>
      <c r="BW729" s="322"/>
      <c r="BX729" s="322"/>
      <c r="BY729" s="322"/>
      <c r="BZ729" s="322"/>
      <c r="CA729" s="322"/>
      <c r="CB729" s="322"/>
      <c r="CC729" s="322"/>
      <c r="CD729" s="322"/>
      <c r="CE729" s="322"/>
      <c r="CF729" s="322"/>
      <c r="CG729" s="322"/>
      <c r="CH729" s="322"/>
      <c r="CI729" s="322"/>
      <c r="CM729" s="1139">
        <v>0</v>
      </c>
      <c r="CN729" s="1139">
        <v>0</v>
      </c>
      <c r="CP729" s="923">
        <f t="shared" si="408"/>
        <v>0</v>
      </c>
      <c r="CZ729" s="330"/>
    </row>
    <row r="730" spans="1:104" ht="51" customHeight="1" x14ac:dyDescent="0.25">
      <c r="A730" s="684">
        <f>MAX($A$6:A729)+1</f>
        <v>730</v>
      </c>
      <c r="B730" s="3">
        <f t="shared" si="378"/>
        <v>5.0999999999999996</v>
      </c>
      <c r="C730" s="11" t="str">
        <f t="shared" si="421"/>
        <v>Consolidated property, plant and equipment 2025-26</v>
      </c>
      <c r="D730" s="11" t="str">
        <f t="shared" si="415"/>
        <v>Furniture &amp; Fittings</v>
      </c>
      <c r="E730" s="7" t="s">
        <v>193</v>
      </c>
      <c r="F730" s="15"/>
      <c r="G730" s="1254" t="s">
        <v>193</v>
      </c>
      <c r="H730" s="6">
        <v>0</v>
      </c>
      <c r="I730" s="6">
        <v>0</v>
      </c>
      <c r="J730" s="1257" t="s">
        <v>767</v>
      </c>
      <c r="K730" s="251">
        <f>SUMIF('alb Note 5.1 -PP&amp;E - CY'!$A:$A,$J730,'alb Note 5.1 -PP&amp;E - CY'!$H:$H)</f>
        <v>0</v>
      </c>
      <c r="L730" s="251">
        <f>SUMIF('alb Note 5.1 -PP&amp;E - CY'!$A:$A,$J730,'alb Note 5.1 -PP&amp;E - CY'!$S:$S)</f>
        <v>0</v>
      </c>
      <c r="M730" s="10"/>
      <c r="N730" s="273">
        <f t="shared" si="418"/>
        <v>0</v>
      </c>
      <c r="O730" s="12"/>
      <c r="P730" s="12"/>
      <c r="Q730" s="12"/>
      <c r="R730" s="12"/>
      <c r="S730" s="6">
        <f t="shared" si="395"/>
        <v>0</v>
      </c>
      <c r="T730" s="273">
        <f t="shared" si="419"/>
        <v>0</v>
      </c>
      <c r="U730" s="6">
        <f t="shared" si="420"/>
        <v>0</v>
      </c>
      <c r="V730" s="6"/>
      <c r="W730" s="6">
        <f t="shared" si="414"/>
        <v>0</v>
      </c>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X730" s="6"/>
      <c r="AY730" s="6">
        <f>ROUND(AX730/1000/Update!$B$31*Update!$B$27,0)</f>
        <v>0</v>
      </c>
      <c r="BA730" s="6"/>
      <c r="BB730" s="6">
        <f>ROUND(BA730/1000/Update!$B$31,0)</f>
        <v>0</v>
      </c>
      <c r="BC730" s="6"/>
      <c r="BD730" s="29">
        <f t="shared" si="411"/>
        <v>0</v>
      </c>
      <c r="BE730" s="322"/>
      <c r="BF730" s="322"/>
      <c r="BG730" s="322"/>
      <c r="BH730" s="322"/>
      <c r="BI730" s="322"/>
      <c r="BJ730" s="322"/>
      <c r="BK730" s="29">
        <f t="shared" si="391"/>
        <v>0</v>
      </c>
      <c r="BL730" s="322"/>
      <c r="BM730" s="322"/>
      <c r="BN730" s="322"/>
      <c r="BO730" s="322"/>
      <c r="BP730" s="322"/>
      <c r="BQ730" s="322"/>
      <c r="BR730" s="322"/>
      <c r="BS730" s="322"/>
      <c r="BT730" s="322"/>
      <c r="BU730" s="322"/>
      <c r="BV730" s="322"/>
      <c r="BW730" s="322"/>
      <c r="BX730" s="322"/>
      <c r="BY730" s="322"/>
      <c r="BZ730" s="322"/>
      <c r="CA730" s="322"/>
      <c r="CB730" s="322"/>
      <c r="CC730" s="322"/>
      <c r="CD730" s="322"/>
      <c r="CE730" s="322"/>
      <c r="CF730" s="322"/>
      <c r="CG730" s="322"/>
      <c r="CH730" s="322"/>
      <c r="CI730" s="322"/>
      <c r="CM730" s="1139">
        <v>0</v>
      </c>
      <c r="CN730" s="1139">
        <v>0</v>
      </c>
      <c r="CP730" s="923">
        <f t="shared" si="408"/>
        <v>0</v>
      </c>
      <c r="CZ730" s="330"/>
    </row>
    <row r="731" spans="1:104" ht="15" customHeight="1" x14ac:dyDescent="0.25">
      <c r="A731" s="684">
        <f>MAX($A$6:A730)+1</f>
        <v>731</v>
      </c>
      <c r="B731" s="3">
        <f t="shared" si="378"/>
        <v>5.0999999999999996</v>
      </c>
      <c r="C731" s="11" t="str">
        <f t="shared" si="421"/>
        <v>Consolidated property, plant and equipment 2025-26</v>
      </c>
      <c r="D731" s="11" t="str">
        <f>D730</f>
        <v>Furniture &amp; Fittings</v>
      </c>
      <c r="E731" s="7" t="s">
        <v>810</v>
      </c>
      <c r="F731" s="15"/>
      <c r="G731" s="1254"/>
      <c r="H731" s="6">
        <v>0</v>
      </c>
      <c r="I731" s="6">
        <v>0</v>
      </c>
      <c r="J731" s="1257" t="s">
        <v>810</v>
      </c>
      <c r="K731" s="251">
        <f>SUMIF('alb Note 5.1 -PP&amp;E - CY'!$A:$A,$J731,'alb Note 5.1 -PP&amp;E - CY'!$H:$H)</f>
        <v>0</v>
      </c>
      <c r="L731" s="251">
        <f>SUMIF('alb Note 5.1 -PP&amp;E - CY'!$A:$A,$J731,'alb Note 5.1 -PP&amp;E - CY'!$S:$S)</f>
        <v>0</v>
      </c>
      <c r="M731" s="10"/>
      <c r="N731" s="273">
        <f t="shared" si="418"/>
        <v>0</v>
      </c>
      <c r="O731" s="12"/>
      <c r="P731" s="12"/>
      <c r="Q731" s="12"/>
      <c r="R731" s="12"/>
      <c r="S731" s="6">
        <f t="shared" si="395"/>
        <v>0</v>
      </c>
      <c r="T731" s="273">
        <f t="shared" si="419"/>
        <v>0</v>
      </c>
      <c r="U731" s="6">
        <f t="shared" si="420"/>
        <v>0</v>
      </c>
      <c r="V731" s="6"/>
      <c r="W731" s="6">
        <f t="shared" si="414"/>
        <v>0</v>
      </c>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X731" s="6"/>
      <c r="AY731" s="6">
        <f>ROUND(AX731/1000/Update!$B$31*Update!$B$27,0)</f>
        <v>0</v>
      </c>
      <c r="BA731" s="6"/>
      <c r="BB731" s="6">
        <f>ROUND(BA731/1000/Update!$B$31,0)</f>
        <v>0</v>
      </c>
      <c r="BC731" s="6"/>
      <c r="BD731" s="29">
        <f t="shared" si="411"/>
        <v>0</v>
      </c>
      <c r="BE731" s="322"/>
      <c r="BF731" s="322"/>
      <c r="BG731" s="322"/>
      <c r="BH731" s="322"/>
      <c r="BI731" s="322"/>
      <c r="BJ731" s="322"/>
      <c r="BK731" s="29">
        <f t="shared" si="391"/>
        <v>0</v>
      </c>
      <c r="BL731" s="322"/>
      <c r="BM731" s="322"/>
      <c r="BN731" s="322"/>
      <c r="BO731" s="322"/>
      <c r="BP731" s="322"/>
      <c r="BQ731" s="322"/>
      <c r="BR731" s="322"/>
      <c r="BS731" s="322"/>
      <c r="BT731" s="322"/>
      <c r="BU731" s="322"/>
      <c r="BV731" s="322"/>
      <c r="BW731" s="322"/>
      <c r="BX731" s="322"/>
      <c r="BY731" s="322"/>
      <c r="BZ731" s="322"/>
      <c r="CA731" s="322"/>
      <c r="CB731" s="322"/>
      <c r="CC731" s="322"/>
      <c r="CD731" s="322"/>
      <c r="CE731" s="322"/>
      <c r="CF731" s="322"/>
      <c r="CG731" s="322"/>
      <c r="CH731" s="322"/>
      <c r="CI731" s="322"/>
      <c r="CM731" s="1139">
        <v>0</v>
      </c>
      <c r="CN731" s="1139">
        <v>0</v>
      </c>
      <c r="CP731" s="923">
        <f t="shared" si="408"/>
        <v>0</v>
      </c>
      <c r="CZ731" s="330"/>
    </row>
    <row r="732" spans="1:104" ht="15" customHeight="1" x14ac:dyDescent="0.25">
      <c r="A732" s="684">
        <f>MAX($A$6:A731)+1</f>
        <v>732</v>
      </c>
      <c r="B732" s="3">
        <f t="shared" ref="B732:B795" si="422">B731</f>
        <v>5.0999999999999996</v>
      </c>
      <c r="C732" s="11" t="str">
        <f>C730</f>
        <v>Consolidated property, plant and equipment 2025-26</v>
      </c>
      <c r="D732" s="11" t="str">
        <f>D730</f>
        <v>Furniture &amp; Fittings</v>
      </c>
      <c r="E732" s="7" t="s">
        <v>187</v>
      </c>
      <c r="F732" s="15"/>
      <c r="G732" s="1254" t="s">
        <v>187</v>
      </c>
      <c r="H732" s="6">
        <v>0</v>
      </c>
      <c r="I732" s="6">
        <v>0</v>
      </c>
      <c r="J732" s="1257" t="s">
        <v>187</v>
      </c>
      <c r="K732" s="251">
        <f>SUMIF('alb Note 5.1 -PP&amp;E - CY'!$A:$A,$J732,'alb Note 5.1 -PP&amp;E - CY'!$H:$H)</f>
        <v>0</v>
      </c>
      <c r="L732" s="251">
        <f>SUMIF('alb Note 5.1 -PP&amp;E - CY'!$A:$A,$J732,'alb Note 5.1 -PP&amp;E - CY'!$S:$S)</f>
        <v>0</v>
      </c>
      <c r="M732" s="10"/>
      <c r="N732" s="273">
        <f t="shared" si="418"/>
        <v>0</v>
      </c>
      <c r="O732" s="12"/>
      <c r="P732" s="12"/>
      <c r="Q732" s="12"/>
      <c r="R732" s="12"/>
      <c r="S732" s="6">
        <f t="shared" si="395"/>
        <v>0</v>
      </c>
      <c r="T732" s="273">
        <f t="shared" si="419"/>
        <v>0</v>
      </c>
      <c r="U732" s="6">
        <f t="shared" si="420"/>
        <v>0</v>
      </c>
      <c r="V732" s="6"/>
      <c r="W732" s="6">
        <f t="shared" si="414"/>
        <v>0</v>
      </c>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X732" s="6"/>
      <c r="AY732" s="6">
        <f>ROUND(AX732/1000/Update!$B$31*Update!$B$27,0)</f>
        <v>0</v>
      </c>
      <c r="BA732" s="6"/>
      <c r="BB732" s="6">
        <f>ROUND(BA732/1000/Update!$B$31,0)</f>
        <v>0</v>
      </c>
      <c r="BC732" s="6"/>
      <c r="BD732" s="29">
        <f t="shared" si="411"/>
        <v>0</v>
      </c>
      <c r="BE732" s="322"/>
      <c r="BF732" s="322"/>
      <c r="BG732" s="322"/>
      <c r="BH732" s="322"/>
      <c r="BI732" s="322"/>
      <c r="BJ732" s="322"/>
      <c r="BK732" s="29">
        <f t="shared" si="391"/>
        <v>0</v>
      </c>
      <c r="BL732" s="322"/>
      <c r="BM732" s="322"/>
      <c r="BN732" s="322"/>
      <c r="BO732" s="322"/>
      <c r="BP732" s="322"/>
      <c r="BQ732" s="322"/>
      <c r="BR732" s="322"/>
      <c r="BS732" s="322"/>
      <c r="BT732" s="322"/>
      <c r="BU732" s="322"/>
      <c r="BV732" s="322"/>
      <c r="BW732" s="322"/>
      <c r="BX732" s="322"/>
      <c r="BY732" s="322"/>
      <c r="BZ732" s="322"/>
      <c r="CA732" s="322"/>
      <c r="CB732" s="322"/>
      <c r="CC732" s="322"/>
      <c r="CD732" s="322"/>
      <c r="CE732" s="322"/>
      <c r="CF732" s="322"/>
      <c r="CG732" s="322"/>
      <c r="CH732" s="322"/>
      <c r="CI732" s="322"/>
      <c r="CM732" s="1139">
        <v>0</v>
      </c>
      <c r="CN732" s="1139">
        <v>0</v>
      </c>
      <c r="CP732" s="923">
        <f t="shared" si="408"/>
        <v>0</v>
      </c>
      <c r="CZ732" s="330"/>
    </row>
    <row r="733" spans="1:104" ht="15" customHeight="1" x14ac:dyDescent="0.25">
      <c r="A733" s="684">
        <f>MAX($A$6:A732)+1</f>
        <v>733</v>
      </c>
      <c r="B733" s="3">
        <f t="shared" si="422"/>
        <v>5.0999999999999996</v>
      </c>
      <c r="C733" s="11" t="str">
        <f t="shared" si="421"/>
        <v>Consolidated property, plant and equipment 2025-26</v>
      </c>
      <c r="D733" s="11" t="str">
        <f t="shared" si="415"/>
        <v>Furniture &amp; Fittings</v>
      </c>
      <c r="E733" s="7" t="s">
        <v>188</v>
      </c>
      <c r="F733" s="15"/>
      <c r="G733" s="1254" t="s">
        <v>188</v>
      </c>
      <c r="H733" s="6">
        <v>0</v>
      </c>
      <c r="I733" s="6">
        <v>0</v>
      </c>
      <c r="J733" s="1257" t="s">
        <v>188</v>
      </c>
      <c r="K733" s="251">
        <f>SUMIF('alb Note 5.1 -PP&amp;E - CY'!$A:$A,$J733,'alb Note 5.1 -PP&amp;E - CY'!$H:$H)</f>
        <v>0</v>
      </c>
      <c r="L733" s="251">
        <f>SUMIF('alb Note 5.1 -PP&amp;E - CY'!$A:$A,$J733,'alb Note 5.1 -PP&amp;E - CY'!$S:$S)</f>
        <v>0</v>
      </c>
      <c r="M733" s="10"/>
      <c r="N733" s="273">
        <f t="shared" si="418"/>
        <v>0</v>
      </c>
      <c r="O733" s="12"/>
      <c r="P733" s="12"/>
      <c r="Q733" s="12"/>
      <c r="R733" s="12"/>
      <c r="S733" s="6">
        <f t="shared" si="395"/>
        <v>0</v>
      </c>
      <c r="T733" s="273">
        <f t="shared" si="419"/>
        <v>0</v>
      </c>
      <c r="U733" s="6">
        <f t="shared" si="420"/>
        <v>0</v>
      </c>
      <c r="V733" s="6"/>
      <c r="W733" s="6">
        <f t="shared" si="414"/>
        <v>0</v>
      </c>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X733" s="6"/>
      <c r="AY733" s="6">
        <f>ROUND(AX733/1000/Update!$B$31*Update!$B$27,0)</f>
        <v>0</v>
      </c>
      <c r="BA733" s="6"/>
      <c r="BB733" s="6">
        <f>ROUND(BA733/1000/Update!$B$31,0)</f>
        <v>0</v>
      </c>
      <c r="BC733" s="6"/>
      <c r="BD733" s="29">
        <f t="shared" si="411"/>
        <v>0</v>
      </c>
      <c r="BE733" s="322"/>
      <c r="BF733" s="322"/>
      <c r="BG733" s="322"/>
      <c r="BH733" s="322"/>
      <c r="BI733" s="322"/>
      <c r="BJ733" s="322"/>
      <c r="BK733" s="29">
        <f t="shared" si="391"/>
        <v>0</v>
      </c>
      <c r="BL733" s="322"/>
      <c r="BM733" s="322"/>
      <c r="BN733" s="322"/>
      <c r="BO733" s="322"/>
      <c r="BP733" s="322"/>
      <c r="BQ733" s="322"/>
      <c r="BR733" s="322"/>
      <c r="BS733" s="322"/>
      <c r="BT733" s="322"/>
      <c r="BU733" s="322"/>
      <c r="BV733" s="322"/>
      <c r="BW733" s="322"/>
      <c r="BX733" s="322"/>
      <c r="BY733" s="322"/>
      <c r="BZ733" s="322"/>
      <c r="CA733" s="322"/>
      <c r="CB733" s="322"/>
      <c r="CC733" s="322"/>
      <c r="CD733" s="322"/>
      <c r="CE733" s="322"/>
      <c r="CF733" s="322"/>
      <c r="CG733" s="322"/>
      <c r="CH733" s="322"/>
      <c r="CI733" s="322"/>
      <c r="CM733" s="1139">
        <v>0</v>
      </c>
      <c r="CN733" s="1139">
        <v>0</v>
      </c>
      <c r="CP733" s="923">
        <f t="shared" si="408"/>
        <v>0</v>
      </c>
      <c r="CZ733" s="330"/>
    </row>
    <row r="734" spans="1:104" ht="15" customHeight="1" x14ac:dyDescent="0.25">
      <c r="A734" s="684">
        <f>MAX($A$6:A733)+1</f>
        <v>734</v>
      </c>
      <c r="B734" s="3">
        <f t="shared" si="422"/>
        <v>5.0999999999999996</v>
      </c>
      <c r="C734" s="11" t="str">
        <f t="shared" si="421"/>
        <v>Consolidated property, plant and equipment 2025-26</v>
      </c>
      <c r="D734" s="11" t="str">
        <f t="shared" si="415"/>
        <v>Furniture &amp; Fittings</v>
      </c>
      <c r="E734" s="7" t="s">
        <v>189</v>
      </c>
      <c r="F734" s="15"/>
      <c r="G734" s="1254" t="s">
        <v>189</v>
      </c>
      <c r="H734" s="6">
        <v>0</v>
      </c>
      <c r="I734" s="6">
        <v>0</v>
      </c>
      <c r="J734" s="1257" t="s">
        <v>557</v>
      </c>
      <c r="K734" s="251">
        <f>SUMIF('alb Note 5.1 -PP&amp;E - CY'!$A:$A,$J734,'alb Note 5.1 -PP&amp;E - CY'!$H:$H)</f>
        <v>0</v>
      </c>
      <c r="L734" s="251">
        <f>SUMIF('alb Note 5.1 -PP&amp;E - CY'!$A:$A,$J734,'alb Note 5.1 -PP&amp;E - CY'!$S:$S)</f>
        <v>0</v>
      </c>
      <c r="M734" s="10"/>
      <c r="N734" s="273">
        <f t="shared" si="418"/>
        <v>0</v>
      </c>
      <c r="O734" s="12"/>
      <c r="P734" s="12"/>
      <c r="Q734" s="12"/>
      <c r="R734" s="12"/>
      <c r="S734" s="6">
        <f t="shared" si="395"/>
        <v>0</v>
      </c>
      <c r="T734" s="273">
        <f t="shared" si="419"/>
        <v>0</v>
      </c>
      <c r="U734" s="6">
        <f t="shared" si="420"/>
        <v>0</v>
      </c>
      <c r="V734" s="6"/>
      <c r="W734" s="6">
        <f t="shared" si="414"/>
        <v>0</v>
      </c>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X734" s="6"/>
      <c r="AY734" s="6">
        <f>ROUND(AX734/1000/Update!$B$31*Update!$B$27,0)</f>
        <v>0</v>
      </c>
      <c r="BA734" s="6"/>
      <c r="BB734" s="6">
        <f>ROUND(BA734/1000/Update!$B$31,0)</f>
        <v>0</v>
      </c>
      <c r="BC734" s="6"/>
      <c r="BD734" s="29">
        <f t="shared" si="411"/>
        <v>0</v>
      </c>
      <c r="BE734" s="322"/>
      <c r="BF734" s="322"/>
      <c r="BG734" s="322"/>
      <c r="BH734" s="322"/>
      <c r="BI734" s="322"/>
      <c r="BJ734" s="322"/>
      <c r="BK734" s="29">
        <f t="shared" si="391"/>
        <v>0</v>
      </c>
      <c r="BL734" s="322"/>
      <c r="BM734" s="322"/>
      <c r="BN734" s="322"/>
      <c r="BO734" s="322"/>
      <c r="BP734" s="322"/>
      <c r="BQ734" s="322"/>
      <c r="BR734" s="322"/>
      <c r="BS734" s="322"/>
      <c r="BT734" s="322"/>
      <c r="BU734" s="322"/>
      <c r="BV734" s="322"/>
      <c r="BW734" s="322"/>
      <c r="BX734" s="322"/>
      <c r="BY734" s="322"/>
      <c r="BZ734" s="322"/>
      <c r="CA734" s="322"/>
      <c r="CB734" s="322"/>
      <c r="CC734" s="322"/>
      <c r="CD734" s="322"/>
      <c r="CE734" s="322"/>
      <c r="CF734" s="322"/>
      <c r="CG734" s="322"/>
      <c r="CH734" s="322"/>
      <c r="CI734" s="322"/>
      <c r="CM734" s="1139">
        <v>0</v>
      </c>
      <c r="CN734" s="1139">
        <v>0</v>
      </c>
      <c r="CP734" s="923">
        <f t="shared" si="408"/>
        <v>0</v>
      </c>
      <c r="CZ734" s="330"/>
    </row>
    <row r="735" spans="1:104" ht="15" customHeight="1" x14ac:dyDescent="0.25">
      <c r="A735" s="701">
        <f>MAX($A$6:A734)+1</f>
        <v>735</v>
      </c>
      <c r="B735" s="1291">
        <f t="shared" si="422"/>
        <v>5.0999999999999996</v>
      </c>
      <c r="C735" s="18" t="str">
        <f t="shared" si="421"/>
        <v>Consolidated property, plant and equipment 2025-26</v>
      </c>
      <c r="D735" s="18" t="str">
        <f t="shared" si="415"/>
        <v>Furniture &amp; Fittings</v>
      </c>
      <c r="E735" s="19" t="str">
        <f>"At"&amp;Update!$B$22</f>
        <v>At 31 March 2026</v>
      </c>
      <c r="F735" s="20"/>
      <c r="G735" s="28"/>
      <c r="H735" s="14">
        <f>SUM(H725:H734)+H724</f>
        <v>95</v>
      </c>
      <c r="I735" s="14">
        <f>SUM(I725:I734)+I724</f>
        <v>0</v>
      </c>
      <c r="J735" s="1258" t="s">
        <v>2492</v>
      </c>
      <c r="K735" s="256">
        <f>SUM(K725:K734)+K724</f>
        <v>0</v>
      </c>
      <c r="L735" s="256">
        <f>SUM(L725:L734)+L724</f>
        <v>0</v>
      </c>
      <c r="M735" s="21"/>
      <c r="N735" s="14">
        <f>ROUND(SUM(O735:S735)+T735+SUM(Z735:AV735),0)</f>
        <v>95</v>
      </c>
      <c r="O735" s="14">
        <f t="shared" ref="O735:W735" si="423">SUM(O725:O734)+O724</f>
        <v>0</v>
      </c>
      <c r="P735" s="14">
        <f t="shared" si="423"/>
        <v>0</v>
      </c>
      <c r="Q735" s="14">
        <f t="shared" si="423"/>
        <v>0</v>
      </c>
      <c r="R735" s="14">
        <f t="shared" si="423"/>
        <v>0</v>
      </c>
      <c r="S735" s="14">
        <f t="shared" si="395"/>
        <v>0</v>
      </c>
      <c r="T735" s="14">
        <f t="shared" si="423"/>
        <v>95</v>
      </c>
      <c r="U735" s="14">
        <f t="shared" si="423"/>
        <v>0</v>
      </c>
      <c r="V735" s="14">
        <f t="shared" si="423"/>
        <v>0</v>
      </c>
      <c r="W735" s="14">
        <f t="shared" si="423"/>
        <v>95</v>
      </c>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2"/>
      <c r="AX735" s="14">
        <f>SUM(AX725:AX734)+AX724</f>
        <v>0</v>
      </c>
      <c r="AY735" s="14">
        <f>ROUND(AX735/1000/Update!$B$31*Update!$B$27,0)</f>
        <v>0</v>
      </c>
      <c r="AZ735" s="2"/>
      <c r="BA735" s="14">
        <f>SUM(BA725:BA734)+BA724</f>
        <v>0</v>
      </c>
      <c r="BB735" s="14">
        <f>ROUND(BA735/1000/Update!$B$31,0)</f>
        <v>0</v>
      </c>
      <c r="BC735" s="14"/>
      <c r="BD735" s="14">
        <f t="shared" si="411"/>
        <v>0</v>
      </c>
      <c r="BE735" s="14">
        <f t="shared" ref="BE735:BJ735" si="424">SUM(BE725:BE734)+BE724</f>
        <v>0</v>
      </c>
      <c r="BF735" s="14">
        <f t="shared" si="424"/>
        <v>0</v>
      </c>
      <c r="BG735" s="14">
        <f t="shared" si="424"/>
        <v>0</v>
      </c>
      <c r="BH735" s="14">
        <f t="shared" si="424"/>
        <v>0</v>
      </c>
      <c r="BI735" s="14">
        <f t="shared" si="424"/>
        <v>0</v>
      </c>
      <c r="BJ735" s="14">
        <f t="shared" si="424"/>
        <v>0</v>
      </c>
      <c r="BK735" s="14">
        <f t="shared" si="391"/>
        <v>0</v>
      </c>
      <c r="BL735" s="14"/>
      <c r="BM735" s="14"/>
      <c r="BN735" s="14"/>
      <c r="BO735" s="14"/>
      <c r="BP735" s="14"/>
      <c r="BQ735" s="14"/>
      <c r="BR735" s="14"/>
      <c r="BS735" s="14"/>
      <c r="BT735" s="324"/>
      <c r="BU735" s="14"/>
      <c r="BV735" s="14"/>
      <c r="BW735" s="14"/>
      <c r="BX735" s="14"/>
      <c r="BY735" s="14"/>
      <c r="BZ735" s="14"/>
      <c r="CA735" s="14"/>
      <c r="CB735" s="14"/>
      <c r="CC735" s="14"/>
      <c r="CD735" s="14"/>
      <c r="CE735" s="14"/>
      <c r="CF735" s="14"/>
      <c r="CG735" s="14"/>
      <c r="CH735" s="14"/>
      <c r="CI735" s="14"/>
      <c r="CJ735" s="2"/>
      <c r="CK735" s="2"/>
      <c r="CM735" s="1450">
        <v>0</v>
      </c>
      <c r="CN735" s="1450">
        <v>0</v>
      </c>
      <c r="CP735" s="923">
        <f t="shared" si="408"/>
        <v>0</v>
      </c>
      <c r="CZ735" s="330"/>
    </row>
    <row r="736" spans="1:104" ht="18.75" customHeight="1" x14ac:dyDescent="0.25">
      <c r="A736" s="684">
        <f>MAX($A$6:A735)+1</f>
        <v>736</v>
      </c>
      <c r="B736" s="3">
        <f t="shared" si="422"/>
        <v>5.0999999999999996</v>
      </c>
      <c r="C736" s="11" t="str">
        <f t="shared" si="421"/>
        <v>Consolidated property, plant and equipment 2025-26</v>
      </c>
      <c r="D736" s="11" t="str">
        <f t="shared" si="415"/>
        <v>Furniture &amp; Fittings</v>
      </c>
      <c r="E736" s="277" t="s">
        <v>160</v>
      </c>
      <c r="F736" s="15"/>
      <c r="G736" s="26"/>
      <c r="H736" s="6">
        <v>0</v>
      </c>
      <c r="I736" s="6">
        <v>0</v>
      </c>
      <c r="J736" s="1257" t="s">
        <v>286</v>
      </c>
      <c r="K736" s="251">
        <f>SUMIF('alb Note 5.1 -PP&amp;E - CY'!$A:$A,$J736,'alb Note 5.1 -PP&amp;E - CY'!$H:$H)</f>
        <v>0</v>
      </c>
      <c r="L736" s="251">
        <f>SUMIF('alb Note 5.1 -PP&amp;E - CY'!$A:$A,$J736,'alb Note 5.1 -PP&amp;E - CY'!$S:$S)</f>
        <v>0</v>
      </c>
      <c r="M736" s="10"/>
      <c r="N736" s="273">
        <f>ROUND(SUM(O736:S736)+SUM(W736:AV736),0)</f>
        <v>0</v>
      </c>
      <c r="O736" s="12"/>
      <c r="P736" s="12"/>
      <c r="Q736" s="12"/>
      <c r="R736" s="12"/>
      <c r="S736" s="6">
        <f t="shared" si="395"/>
        <v>0</v>
      </c>
      <c r="T736" s="273">
        <f>ROUND(SUM(U736:Y736),0)</f>
        <v>0</v>
      </c>
      <c r="U736" s="6">
        <f>SUM(BL736:BN736)</f>
        <v>0</v>
      </c>
      <c r="V736" s="6"/>
      <c r="W736" s="6">
        <v>0</v>
      </c>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X736" s="6"/>
      <c r="AY736" s="6">
        <f>ROUND(AX736/1000/Update!$B$31*Update!$B$27,0)</f>
        <v>0</v>
      </c>
      <c r="BA736" s="6"/>
      <c r="BB736" s="6">
        <f>ROUND(BA736/1000/Update!$B$31,0)</f>
        <v>0</v>
      </c>
      <c r="BC736" s="6"/>
      <c r="BD736" s="29">
        <f t="shared" si="411"/>
        <v>0</v>
      </c>
      <c r="BE736" s="322"/>
      <c r="BF736" s="322"/>
      <c r="BG736" s="322"/>
      <c r="BH736" s="322"/>
      <c r="BI736" s="322"/>
      <c r="BJ736" s="322"/>
      <c r="BK736" s="29">
        <f t="shared" si="391"/>
        <v>0</v>
      </c>
      <c r="BL736" s="322"/>
      <c r="BM736" s="322"/>
      <c r="BN736" s="322"/>
      <c r="BO736" s="322"/>
      <c r="BP736" s="322"/>
      <c r="BQ736" s="322"/>
      <c r="BR736" s="322"/>
      <c r="BS736" s="322"/>
      <c r="BT736" s="322"/>
      <c r="BU736" s="322"/>
      <c r="BV736" s="322"/>
      <c r="BW736" s="322"/>
      <c r="BX736" s="322"/>
      <c r="BY736" s="322"/>
      <c r="BZ736" s="322"/>
      <c r="CA736" s="322"/>
      <c r="CB736" s="322"/>
      <c r="CC736" s="322"/>
      <c r="CD736" s="322"/>
      <c r="CE736" s="322"/>
      <c r="CF736" s="322"/>
      <c r="CG736" s="322"/>
      <c r="CH736" s="322"/>
      <c r="CI736" s="322"/>
      <c r="CM736" s="1139">
        <v>0</v>
      </c>
      <c r="CN736" s="1139">
        <v>0</v>
      </c>
      <c r="CP736" s="923">
        <f t="shared" si="408"/>
        <v>0</v>
      </c>
      <c r="CZ736" s="330"/>
    </row>
    <row r="737" spans="1:104" ht="15" customHeight="1" x14ac:dyDescent="0.25">
      <c r="A737" s="684">
        <f>MAX($A$6:A736)+1</f>
        <v>737</v>
      </c>
      <c r="B737" s="3">
        <f t="shared" si="422"/>
        <v>5.0999999999999996</v>
      </c>
      <c r="C737" s="11" t="str">
        <f t="shared" si="421"/>
        <v>Consolidated property, plant and equipment 2025-26</v>
      </c>
      <c r="D737" s="11" t="str">
        <f t="shared" si="415"/>
        <v>Furniture &amp; Fittings</v>
      </c>
      <c r="E737" s="7" t="str">
        <f>"At"&amp;Update!$B$20&amp;" "</f>
        <v xml:space="preserve">At 1 April 2025 </v>
      </c>
      <c r="F737" s="15"/>
      <c r="G737" s="1267" t="str">
        <f>"At"&amp;Update!$B$20</f>
        <v>At 1 April 2025</v>
      </c>
      <c r="H737" s="6">
        <v>33</v>
      </c>
      <c r="I737" s="6">
        <v>0</v>
      </c>
      <c r="J737" s="1257" t="str">
        <f>$E737</f>
        <v xml:space="preserve">At 1 April 2025 </v>
      </c>
      <c r="K737" s="251">
        <f>SUMIF('alb Note 5.1 -PP&amp;E - CY'!$A:$A,$J737,'alb Note 5.1 -PP&amp;E - CY'!$H:$H)</f>
        <v>0</v>
      </c>
      <c r="L737" s="251">
        <f>SUMIF('alb Note 5.1 -PP&amp;E - CY'!$A:$A,$J737,'alb Note 5.1 -PP&amp;E - CY'!$S:$S)</f>
        <v>0</v>
      </c>
      <c r="M737" s="10"/>
      <c r="N737" s="273">
        <f>ROUND(SUM(O737:S737)+SUM(W737:AV737),0)</f>
        <v>33</v>
      </c>
      <c r="O737" s="12"/>
      <c r="P737" s="12"/>
      <c r="Q737" s="12"/>
      <c r="R737" s="12"/>
      <c r="S737" s="6">
        <f t="shared" si="395"/>
        <v>0</v>
      </c>
      <c r="T737" s="273">
        <f>ROUND(SUM(U737:Y737),0)</f>
        <v>33</v>
      </c>
      <c r="U737" s="6">
        <f>SUM(BL737:BN737)</f>
        <v>0</v>
      </c>
      <c r="V737" s="6"/>
      <c r="W737" s="6">
        <f t="shared" ref="W737:W748" si="425">+H737</f>
        <v>33</v>
      </c>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X737" s="6"/>
      <c r="AY737" s="6">
        <f>ROUND(AX737/1000/Update!$B$31*Update!$B$27,0)</f>
        <v>0</v>
      </c>
      <c r="BA737" s="6"/>
      <c r="BB737" s="6">
        <f>ROUND(BA737/1000/Update!$B$31,0)</f>
        <v>0</v>
      </c>
      <c r="BC737" s="6"/>
      <c r="BD737" s="29">
        <f t="shared" si="411"/>
        <v>0</v>
      </c>
      <c r="BE737" s="322"/>
      <c r="BF737" s="322"/>
      <c r="BG737" s="322"/>
      <c r="BH737" s="322"/>
      <c r="BI737" s="322"/>
      <c r="BJ737" s="322"/>
      <c r="BK737" s="29">
        <f t="shared" si="391"/>
        <v>0</v>
      </c>
      <c r="BL737" s="322"/>
      <c r="BM737" s="322"/>
      <c r="BN737" s="322"/>
      <c r="BO737" s="322"/>
      <c r="BP737" s="322"/>
      <c r="BQ737" s="322"/>
      <c r="BR737" s="322"/>
      <c r="BS737" s="322"/>
      <c r="BT737" s="322"/>
      <c r="BU737" s="322"/>
      <c r="BV737" s="322"/>
      <c r="BW737" s="322"/>
      <c r="BX737" s="322"/>
      <c r="BY737" s="322"/>
      <c r="BZ737" s="322"/>
      <c r="CA737" s="322"/>
      <c r="CB737" s="322"/>
      <c r="CC737" s="322"/>
      <c r="CD737" s="322"/>
      <c r="CE737" s="322"/>
      <c r="CF737" s="322"/>
      <c r="CG737" s="322"/>
      <c r="CH737" s="322"/>
      <c r="CI737" s="322"/>
      <c r="CM737" s="1139">
        <v>0</v>
      </c>
      <c r="CN737" s="1139">
        <v>0</v>
      </c>
      <c r="CP737" s="923">
        <f t="shared" si="408"/>
        <v>0</v>
      </c>
      <c r="CZ737" s="330"/>
    </row>
    <row r="738" spans="1:104" ht="15" customHeight="1" x14ac:dyDescent="0.25">
      <c r="A738" s="684">
        <f>MAX($A$6:A737)+1</f>
        <v>738</v>
      </c>
      <c r="B738" s="3">
        <f t="shared" si="422"/>
        <v>5.0999999999999996</v>
      </c>
      <c r="C738" s="11" t="str">
        <f t="shared" si="421"/>
        <v>Consolidated property, plant and equipment 2025-26</v>
      </c>
      <c r="D738" s="11" t="str">
        <f t="shared" si="415"/>
        <v>Furniture &amp; Fittings</v>
      </c>
      <c r="E738" s="7" t="s">
        <v>1417</v>
      </c>
      <c r="F738" s="15"/>
      <c r="G738" s="1254" t="s">
        <v>435</v>
      </c>
      <c r="H738" s="6">
        <v>0</v>
      </c>
      <c r="I738" s="6">
        <v>0</v>
      </c>
      <c r="J738" s="1257" t="s">
        <v>435</v>
      </c>
      <c r="K738" s="251">
        <f>SUMIF('alb Note 5.1 -PP&amp;E - CY'!$A:$A,$J738,'alb Note 5.1 -PP&amp;E - CY'!$H:$H)</f>
        <v>0</v>
      </c>
      <c r="L738" s="251">
        <f>SUMIF('alb Note 5.1 -PP&amp;E - CY'!$A:$A,$J738,'alb Note 5.1 -PP&amp;E - CY'!$S:$S)</f>
        <v>0</v>
      </c>
      <c r="M738" s="10"/>
      <c r="N738" s="273">
        <f>ROUND(SUM(O738:S738)+SUM(W738:AV738),0)</f>
        <v>0</v>
      </c>
      <c r="O738" s="12"/>
      <c r="P738" s="12"/>
      <c r="Q738" s="12"/>
      <c r="R738" s="12"/>
      <c r="S738" s="6">
        <f t="shared" si="395"/>
        <v>0</v>
      </c>
      <c r="T738" s="273">
        <f>ROUND(SUM(U738:Y738),0)</f>
        <v>0</v>
      </c>
      <c r="U738" s="6">
        <f>SUM(BL738:BN738)</f>
        <v>0</v>
      </c>
      <c r="V738" s="6"/>
      <c r="W738" s="6">
        <f t="shared" si="425"/>
        <v>0</v>
      </c>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X738" s="6"/>
      <c r="AY738" s="6">
        <f>ROUND(AX738/1000/Update!$B$31*Update!$B$27,0)</f>
        <v>0</v>
      </c>
      <c r="BA738" s="6"/>
      <c r="BB738" s="6">
        <f>ROUND(BA738/1000/Update!$B$31,0)</f>
        <v>0</v>
      </c>
      <c r="BC738" s="6"/>
      <c r="BD738" s="29">
        <f t="shared" si="411"/>
        <v>0</v>
      </c>
      <c r="BE738" s="322"/>
      <c r="BF738" s="322"/>
      <c r="BG738" s="322"/>
      <c r="BH738" s="322"/>
      <c r="BI738" s="322"/>
      <c r="BJ738" s="322"/>
      <c r="BK738" s="29">
        <f t="shared" si="391"/>
        <v>0</v>
      </c>
      <c r="BL738" s="322"/>
      <c r="BM738" s="322"/>
      <c r="BN738" s="322"/>
      <c r="BO738" s="322"/>
      <c r="BP738" s="322"/>
      <c r="BQ738" s="322"/>
      <c r="BR738" s="322"/>
      <c r="BS738" s="322"/>
      <c r="BT738" s="322"/>
      <c r="BU738" s="322"/>
      <c r="BV738" s="322"/>
      <c r="BW738" s="322"/>
      <c r="BX738" s="322"/>
      <c r="BY738" s="322"/>
      <c r="BZ738" s="322"/>
      <c r="CA738" s="322"/>
      <c r="CB738" s="322"/>
      <c r="CC738" s="322"/>
      <c r="CD738" s="322"/>
      <c r="CE738" s="322"/>
      <c r="CF738" s="322"/>
      <c r="CG738" s="322"/>
      <c r="CH738" s="322"/>
      <c r="CI738" s="322"/>
      <c r="CM738" s="1139">
        <v>0</v>
      </c>
      <c r="CN738" s="1139">
        <v>0</v>
      </c>
      <c r="CP738" s="923">
        <f t="shared" si="408"/>
        <v>0</v>
      </c>
      <c r="CZ738" s="330"/>
    </row>
    <row r="739" spans="1:104" ht="15" customHeight="1" x14ac:dyDescent="0.25">
      <c r="A739" s="701">
        <f>MAX($A$6:A738)+1</f>
        <v>739</v>
      </c>
      <c r="B739" s="1291">
        <f t="shared" si="422"/>
        <v>5.0999999999999996</v>
      </c>
      <c r="C739" s="18" t="str">
        <f t="shared" si="421"/>
        <v>Consolidated property, plant and equipment 2025-26</v>
      </c>
      <c r="D739" s="18" t="str">
        <f t="shared" si="415"/>
        <v>Furniture &amp; Fittings</v>
      </c>
      <c r="E739" s="19" t="s">
        <v>442</v>
      </c>
      <c r="F739" s="20"/>
      <c r="G739" s="1278" t="s">
        <v>442</v>
      </c>
      <c r="H739" s="14">
        <f>SUM(H736:H738)</f>
        <v>33</v>
      </c>
      <c r="I739" s="14">
        <f>SUM(I736:I738)</f>
        <v>0</v>
      </c>
      <c r="J739" s="1258" t="s">
        <v>442</v>
      </c>
      <c r="K739" s="256">
        <f>SUM(K737:K738)</f>
        <v>0</v>
      </c>
      <c r="L739" s="256">
        <f>SUM(L737:L738)</f>
        <v>0</v>
      </c>
      <c r="M739" s="21"/>
      <c r="N739" s="14">
        <f>ROUND(SUM(O739:S739)+T739+SUM(Z739:AV739),0)</f>
        <v>33</v>
      </c>
      <c r="O739" s="14">
        <f t="shared" ref="O739:W739" si="426">SUM(O736:O738)</f>
        <v>0</v>
      </c>
      <c r="P739" s="14">
        <f t="shared" si="426"/>
        <v>0</v>
      </c>
      <c r="Q739" s="14">
        <f t="shared" si="426"/>
        <v>0</v>
      </c>
      <c r="R739" s="14">
        <f t="shared" si="426"/>
        <v>0</v>
      </c>
      <c r="S739" s="14">
        <f t="shared" si="395"/>
        <v>0</v>
      </c>
      <c r="T739" s="14">
        <f t="shared" si="426"/>
        <v>33</v>
      </c>
      <c r="U739" s="14">
        <f t="shared" si="426"/>
        <v>0</v>
      </c>
      <c r="V739" s="14">
        <f t="shared" si="426"/>
        <v>0</v>
      </c>
      <c r="W739" s="14">
        <f t="shared" si="426"/>
        <v>33</v>
      </c>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2"/>
      <c r="AX739" s="14">
        <f>SUM(AX736:AX738)</f>
        <v>0</v>
      </c>
      <c r="AY739" s="14">
        <f>ROUND(AX739/1000/Update!$B$31*Update!$B$27,0)</f>
        <v>0</v>
      </c>
      <c r="AZ739" s="2"/>
      <c r="BA739" s="14">
        <f>SUM(BA736:BA738)</f>
        <v>0</v>
      </c>
      <c r="BB739" s="14">
        <f>ROUND(BA739/1000/Update!$B$31,0)</f>
        <v>0</v>
      </c>
      <c r="BC739" s="14"/>
      <c r="BD739" s="14">
        <f t="shared" si="411"/>
        <v>0</v>
      </c>
      <c r="BE739" s="14">
        <f t="shared" ref="BE739:BJ739" si="427">SUM(BE736:BE738)</f>
        <v>0</v>
      </c>
      <c r="BF739" s="14">
        <f t="shared" si="427"/>
        <v>0</v>
      </c>
      <c r="BG739" s="14">
        <f t="shared" si="427"/>
        <v>0</v>
      </c>
      <c r="BH739" s="14">
        <f t="shared" si="427"/>
        <v>0</v>
      </c>
      <c r="BI739" s="14">
        <f t="shared" si="427"/>
        <v>0</v>
      </c>
      <c r="BJ739" s="14">
        <f t="shared" si="427"/>
        <v>0</v>
      </c>
      <c r="BK739" s="14">
        <f t="shared" si="391"/>
        <v>0</v>
      </c>
      <c r="BL739" s="14"/>
      <c r="BM739" s="14"/>
      <c r="BN739" s="14"/>
      <c r="BO739" s="14"/>
      <c r="BP739" s="14"/>
      <c r="BQ739" s="14"/>
      <c r="BR739" s="14"/>
      <c r="BS739" s="14"/>
      <c r="BT739" s="324"/>
      <c r="BU739" s="14"/>
      <c r="BV739" s="14"/>
      <c r="BW739" s="14"/>
      <c r="BX739" s="14"/>
      <c r="BY739" s="14"/>
      <c r="BZ739" s="14"/>
      <c r="CA739" s="14"/>
      <c r="CB739" s="14"/>
      <c r="CC739" s="14"/>
      <c r="CD739" s="14"/>
      <c r="CE739" s="14"/>
      <c r="CF739" s="14"/>
      <c r="CG739" s="14"/>
      <c r="CH739" s="14"/>
      <c r="CI739" s="14"/>
      <c r="CJ739" s="2"/>
      <c r="CK739" s="2"/>
      <c r="CM739" s="1450">
        <v>0</v>
      </c>
      <c r="CN739" s="1450">
        <v>0</v>
      </c>
      <c r="CP739" s="923">
        <f t="shared" si="408"/>
        <v>0</v>
      </c>
      <c r="CZ739" s="330"/>
    </row>
    <row r="740" spans="1:104" ht="15" customHeight="1" x14ac:dyDescent="0.25">
      <c r="A740" s="684">
        <f>MAX($A$6:A739)+1</f>
        <v>740</v>
      </c>
      <c r="B740" s="3">
        <f t="shared" si="422"/>
        <v>5.0999999999999996</v>
      </c>
      <c r="C740" s="11" t="str">
        <f t="shared" si="421"/>
        <v>Consolidated property, plant and equipment 2025-26</v>
      </c>
      <c r="D740" s="11" t="str">
        <f t="shared" si="415"/>
        <v>Furniture &amp; Fittings</v>
      </c>
      <c r="E740" s="7" t="s">
        <v>1409</v>
      </c>
      <c r="F740" s="15"/>
      <c r="G740" s="1254" t="s">
        <v>190</v>
      </c>
      <c r="H740" s="6">
        <v>0</v>
      </c>
      <c r="I740" s="6">
        <v>0</v>
      </c>
      <c r="J740" s="1257" t="s">
        <v>190</v>
      </c>
      <c r="K740" s="251">
        <f>SUMIF('alb Note 5.1 -PP&amp;E - CY'!$A:$A,$J740,'alb Note 5.1 -PP&amp;E - CY'!$H:$H)</f>
        <v>0</v>
      </c>
      <c r="L740" s="251">
        <f>SUMIF('alb Note 5.1 -PP&amp;E - CY'!$A:$A,$J740,'alb Note 5.1 -PP&amp;E - CY'!$S:$S)</f>
        <v>0</v>
      </c>
      <c r="M740" s="10"/>
      <c r="N740" s="273">
        <f t="shared" ref="N740:N748" si="428">ROUND(SUM(O740:S740)+SUM(W740:AV740),0)</f>
        <v>0</v>
      </c>
      <c r="O740" s="12"/>
      <c r="P740" s="12"/>
      <c r="Q740" s="12"/>
      <c r="R740" s="12"/>
      <c r="S740" s="6">
        <f t="shared" si="395"/>
        <v>0</v>
      </c>
      <c r="T740" s="273">
        <f t="shared" ref="T740:T748" si="429">ROUND(SUM(U740:Y740),0)</f>
        <v>0</v>
      </c>
      <c r="U740" s="6">
        <f t="shared" ref="U740:U748" si="430">SUM(BL740:BN740)</f>
        <v>0</v>
      </c>
      <c r="V740" s="6"/>
      <c r="W740" s="6">
        <f t="shared" si="425"/>
        <v>0</v>
      </c>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X740" s="6"/>
      <c r="AY740" s="6">
        <f>ROUND(AX740/1000/Update!$B$31*Update!$B$27,0)</f>
        <v>0</v>
      </c>
      <c r="BA740" s="6"/>
      <c r="BB740" s="6">
        <f>ROUND(BA740/1000/Update!$B$31,0)</f>
        <v>0</v>
      </c>
      <c r="BC740" s="6"/>
      <c r="BD740" s="29">
        <f t="shared" si="411"/>
        <v>0</v>
      </c>
      <c r="BE740" s="322"/>
      <c r="BF740" s="322"/>
      <c r="BG740" s="322"/>
      <c r="BH740" s="322"/>
      <c r="BI740" s="322"/>
      <c r="BJ740" s="322"/>
      <c r="BK740" s="29">
        <f t="shared" si="391"/>
        <v>0</v>
      </c>
      <c r="BL740" s="322"/>
      <c r="BM740" s="322"/>
      <c r="BN740" s="322"/>
      <c r="BO740" s="322"/>
      <c r="BP740" s="322"/>
      <c r="BQ740" s="322"/>
      <c r="BR740" s="322"/>
      <c r="BS740" s="322"/>
      <c r="BT740" s="322"/>
      <c r="BU740" s="322"/>
      <c r="BV740" s="322"/>
      <c r="BW740" s="322"/>
      <c r="BX740" s="322"/>
      <c r="BY740" s="322"/>
      <c r="BZ740" s="322"/>
      <c r="CA740" s="322"/>
      <c r="CB740" s="322"/>
      <c r="CC740" s="322"/>
      <c r="CD740" s="322"/>
      <c r="CE740" s="322"/>
      <c r="CF740" s="322"/>
      <c r="CG740" s="322"/>
      <c r="CH740" s="322"/>
      <c r="CI740" s="322"/>
      <c r="CM740" s="1139">
        <v>0</v>
      </c>
      <c r="CN740" s="1139">
        <v>0</v>
      </c>
      <c r="CP740" s="923">
        <f t="shared" si="408"/>
        <v>0</v>
      </c>
      <c r="CZ740" s="330"/>
    </row>
    <row r="741" spans="1:104" ht="15" customHeight="1" x14ac:dyDescent="0.25">
      <c r="A741" s="684">
        <f>MAX($A$6:A740)+1</f>
        <v>741</v>
      </c>
      <c r="B741" s="3">
        <f t="shared" si="422"/>
        <v>5.0999999999999996</v>
      </c>
      <c r="C741" s="11" t="str">
        <f t="shared" si="421"/>
        <v>Consolidated property, plant and equipment 2025-26</v>
      </c>
      <c r="D741" s="11" t="str">
        <f t="shared" si="415"/>
        <v>Furniture &amp; Fittings</v>
      </c>
      <c r="E741" s="7" t="s">
        <v>457</v>
      </c>
      <c r="F741" s="15"/>
      <c r="G741" s="1254" t="s">
        <v>191</v>
      </c>
      <c r="H741" s="6">
        <v>0</v>
      </c>
      <c r="I741" s="6">
        <v>0</v>
      </c>
      <c r="J741" s="1257" t="s">
        <v>457</v>
      </c>
      <c r="K741" s="251">
        <f>SUMIF('alb Note 5.1 -PP&amp;E - CY'!$A:$A,$J741,'alb Note 5.1 -PP&amp;E - CY'!$H:$H)</f>
        <v>0</v>
      </c>
      <c r="L741" s="251">
        <f>SUMIF('alb Note 5.1 -PP&amp;E - CY'!$A:$A,$J741,'alb Note 5.1 -PP&amp;E - CY'!$S:$S)</f>
        <v>0</v>
      </c>
      <c r="M741" s="10"/>
      <c r="N741" s="273">
        <f t="shared" si="428"/>
        <v>0</v>
      </c>
      <c r="O741" s="12"/>
      <c r="P741" s="12"/>
      <c r="Q741" s="12"/>
      <c r="R741" s="12"/>
      <c r="S741" s="6">
        <f t="shared" si="395"/>
        <v>0</v>
      </c>
      <c r="T741" s="273">
        <f t="shared" si="429"/>
        <v>0</v>
      </c>
      <c r="U741" s="6">
        <f t="shared" si="430"/>
        <v>0</v>
      </c>
      <c r="V741" s="6"/>
      <c r="W741" s="6">
        <f t="shared" si="425"/>
        <v>0</v>
      </c>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X741" s="6"/>
      <c r="AY741" s="6">
        <f>ROUND(AX741/1000/Update!$B$31*Update!$B$27,0)</f>
        <v>0</v>
      </c>
      <c r="BA741" s="6"/>
      <c r="BB741" s="6">
        <f>ROUND(BA741/1000/Update!$B$31,0)</f>
        <v>0</v>
      </c>
      <c r="BC741" s="6"/>
      <c r="BD741" s="29">
        <f t="shared" si="411"/>
        <v>0</v>
      </c>
      <c r="BE741" s="322"/>
      <c r="BF741" s="322"/>
      <c r="BG741" s="322"/>
      <c r="BH741" s="322"/>
      <c r="BI741" s="322"/>
      <c r="BJ741" s="322"/>
      <c r="BK741" s="29">
        <f t="shared" si="391"/>
        <v>0</v>
      </c>
      <c r="BL741" s="322"/>
      <c r="BM741" s="322"/>
      <c r="BN741" s="322"/>
      <c r="BO741" s="322"/>
      <c r="BP741" s="322"/>
      <c r="BQ741" s="322"/>
      <c r="BR741" s="322"/>
      <c r="BS741" s="322"/>
      <c r="BT741" s="322"/>
      <c r="BU741" s="322"/>
      <c r="BV741" s="322"/>
      <c r="BW741" s="322"/>
      <c r="BX741" s="322"/>
      <c r="BY741" s="322"/>
      <c r="BZ741" s="322"/>
      <c r="CA741" s="322"/>
      <c r="CB741" s="322"/>
      <c r="CC741" s="322"/>
      <c r="CD741" s="322"/>
      <c r="CE741" s="322"/>
      <c r="CF741" s="322"/>
      <c r="CG741" s="322"/>
      <c r="CH741" s="322"/>
      <c r="CI741" s="322"/>
      <c r="CM741" s="1139">
        <v>0</v>
      </c>
      <c r="CN741" s="1139">
        <v>0</v>
      </c>
      <c r="CP741" s="923">
        <f t="shared" si="408"/>
        <v>0</v>
      </c>
      <c r="CZ741" s="330"/>
    </row>
    <row r="742" spans="1:104" ht="15" customHeight="1" x14ac:dyDescent="0.25">
      <c r="A742" s="684">
        <f>MAX($A$6:A741)+1</f>
        <v>742</v>
      </c>
      <c r="B742" s="3">
        <f t="shared" si="422"/>
        <v>5.0999999999999996</v>
      </c>
      <c r="C742" s="11" t="str">
        <f t="shared" si="421"/>
        <v>Consolidated property, plant and equipment 2025-26</v>
      </c>
      <c r="D742" s="11" t="str">
        <f t="shared" si="415"/>
        <v>Furniture &amp; Fittings</v>
      </c>
      <c r="E742" s="7" t="s">
        <v>863</v>
      </c>
      <c r="F742" s="15"/>
      <c r="G742" s="1254" t="s">
        <v>186</v>
      </c>
      <c r="H742" s="6">
        <v>0</v>
      </c>
      <c r="I742" s="6">
        <v>0</v>
      </c>
      <c r="J742" s="1257" t="s">
        <v>863</v>
      </c>
      <c r="K742" s="251">
        <f>SUMIF('alb Note 5.1 -PP&amp;E - CY'!$A:$A,$J742,'alb Note 5.1 -PP&amp;E - CY'!$H:$H)</f>
        <v>0</v>
      </c>
      <c r="L742" s="251">
        <f>SUMIF('alb Note 5.1 -PP&amp;E - CY'!$A:$A,$J742,'alb Note 5.1 -PP&amp;E - CY'!$S:$S)</f>
        <v>0</v>
      </c>
      <c r="M742" s="10"/>
      <c r="N742" s="273">
        <f t="shared" si="428"/>
        <v>0</v>
      </c>
      <c r="O742" s="12"/>
      <c r="P742" s="12"/>
      <c r="Q742" s="12"/>
      <c r="R742" s="12"/>
      <c r="S742" s="6">
        <f t="shared" si="395"/>
        <v>0</v>
      </c>
      <c r="T742" s="273">
        <f t="shared" si="429"/>
        <v>0</v>
      </c>
      <c r="U742" s="6">
        <f t="shared" si="430"/>
        <v>0</v>
      </c>
      <c r="V742" s="6"/>
      <c r="W742" s="6">
        <f t="shared" si="425"/>
        <v>0</v>
      </c>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X742" s="6"/>
      <c r="AY742" s="6">
        <f>ROUND(AX742/1000/Update!$B$31*Update!$B$27,0)</f>
        <v>0</v>
      </c>
      <c r="BA742" s="6"/>
      <c r="BB742" s="6">
        <f>ROUND(BA742/1000/Update!$B$31,0)</f>
        <v>0</v>
      </c>
      <c r="BC742" s="6"/>
      <c r="BD742" s="29">
        <f t="shared" si="411"/>
        <v>0</v>
      </c>
      <c r="BE742" s="322"/>
      <c r="BF742" s="322"/>
      <c r="BG742" s="322"/>
      <c r="BH742" s="322"/>
      <c r="BI742" s="322"/>
      <c r="BJ742" s="322"/>
      <c r="BK742" s="29">
        <f t="shared" si="391"/>
        <v>0</v>
      </c>
      <c r="BL742" s="322"/>
      <c r="BM742" s="322"/>
      <c r="BN742" s="322"/>
      <c r="BO742" s="322"/>
      <c r="BP742" s="322"/>
      <c r="BQ742" s="322"/>
      <c r="BR742" s="322"/>
      <c r="BS742" s="322"/>
      <c r="BT742" s="322"/>
      <c r="BU742" s="322"/>
      <c r="BV742" s="322"/>
      <c r="BW742" s="322"/>
      <c r="BX742" s="322"/>
      <c r="BY742" s="322"/>
      <c r="BZ742" s="322"/>
      <c r="CA742" s="322"/>
      <c r="CB742" s="322"/>
      <c r="CC742" s="322"/>
      <c r="CD742" s="322"/>
      <c r="CE742" s="322"/>
      <c r="CF742" s="322"/>
      <c r="CG742" s="322"/>
      <c r="CH742" s="322"/>
      <c r="CI742" s="322"/>
      <c r="CM742" s="1139">
        <v>0</v>
      </c>
      <c r="CN742" s="1139">
        <v>0</v>
      </c>
      <c r="CP742" s="923">
        <f t="shared" si="408"/>
        <v>0</v>
      </c>
      <c r="CZ742" s="330"/>
    </row>
    <row r="743" spans="1:104" ht="30" customHeight="1" x14ac:dyDescent="0.25">
      <c r="A743" s="684">
        <f>MAX($A$6:A742)+1</f>
        <v>743</v>
      </c>
      <c r="B743" s="3">
        <f t="shared" si="422"/>
        <v>5.0999999999999996</v>
      </c>
      <c r="C743" s="11" t="str">
        <f t="shared" si="421"/>
        <v>Consolidated property, plant and equipment 2025-26</v>
      </c>
      <c r="D743" s="11" t="str">
        <f t="shared" si="415"/>
        <v>Furniture &amp; Fittings</v>
      </c>
      <c r="E743" s="7" t="s">
        <v>1415</v>
      </c>
      <c r="F743" s="15"/>
      <c r="G743" s="1254" t="s">
        <v>438</v>
      </c>
      <c r="H743" s="6">
        <v>0</v>
      </c>
      <c r="I743" s="6">
        <v>0</v>
      </c>
      <c r="J743" s="1257" t="s">
        <v>864</v>
      </c>
      <c r="K743" s="251">
        <f>SUMIF('alb Note 5.1 -PP&amp;E - CY'!$A:$A,$J743,'alb Note 5.1 -PP&amp;E - CY'!$H:$H)</f>
        <v>0</v>
      </c>
      <c r="L743" s="251">
        <f>SUMIF('alb Note 5.1 -PP&amp;E - CY'!$A:$A,$J743,'alb Note 5.1 -PP&amp;E - CY'!$S:$S)</f>
        <v>0</v>
      </c>
      <c r="M743" s="10"/>
      <c r="N743" s="273">
        <f t="shared" si="428"/>
        <v>0</v>
      </c>
      <c r="O743" s="12"/>
      <c r="P743" s="12"/>
      <c r="Q743" s="12"/>
      <c r="R743" s="12"/>
      <c r="S743" s="6">
        <f t="shared" si="395"/>
        <v>0</v>
      </c>
      <c r="T743" s="273">
        <f t="shared" si="429"/>
        <v>0</v>
      </c>
      <c r="U743" s="6">
        <f t="shared" si="430"/>
        <v>0</v>
      </c>
      <c r="V743" s="6"/>
      <c r="W743" s="6">
        <f t="shared" si="425"/>
        <v>0</v>
      </c>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X743" s="6"/>
      <c r="AY743" s="6">
        <f>ROUND(AX743/1000/Update!$B$31*Update!$B$27,0)</f>
        <v>0</v>
      </c>
      <c r="BA743" s="6"/>
      <c r="BB743" s="6">
        <f>ROUND(BA743/1000/Update!$B$31,0)</f>
        <v>0</v>
      </c>
      <c r="BC743" s="6"/>
      <c r="BD743" s="29">
        <f t="shared" si="411"/>
        <v>0</v>
      </c>
      <c r="BE743" s="322"/>
      <c r="BF743" s="322"/>
      <c r="BG743" s="322"/>
      <c r="BH743" s="322"/>
      <c r="BI743" s="322"/>
      <c r="BJ743" s="322"/>
      <c r="BK743" s="29">
        <f t="shared" si="391"/>
        <v>0</v>
      </c>
      <c r="BL743" s="322"/>
      <c r="BM743" s="322"/>
      <c r="BN743" s="322"/>
      <c r="BO743" s="322"/>
      <c r="BP743" s="322"/>
      <c r="BQ743" s="322"/>
      <c r="BR743" s="322"/>
      <c r="BS743" s="322"/>
      <c r="BT743" s="322"/>
      <c r="BU743" s="322"/>
      <c r="BV743" s="322"/>
      <c r="BW743" s="322"/>
      <c r="BX743" s="322"/>
      <c r="BY743" s="322"/>
      <c r="BZ743" s="322"/>
      <c r="CA743" s="322"/>
      <c r="CB743" s="322"/>
      <c r="CC743" s="322"/>
      <c r="CD743" s="322"/>
      <c r="CE743" s="322"/>
      <c r="CF743" s="322"/>
      <c r="CG743" s="322"/>
      <c r="CH743" s="322"/>
      <c r="CI743" s="322"/>
      <c r="CM743" s="1139">
        <v>0</v>
      </c>
      <c r="CN743" s="1139">
        <v>0</v>
      </c>
      <c r="CP743" s="923">
        <f t="shared" si="408"/>
        <v>0</v>
      </c>
      <c r="CZ743" s="330"/>
    </row>
    <row r="744" spans="1:104" ht="51" customHeight="1" x14ac:dyDescent="0.25">
      <c r="A744" s="684">
        <f>MAX($A$6:A743)+1</f>
        <v>744</v>
      </c>
      <c r="B744" s="3">
        <f t="shared" si="422"/>
        <v>5.0999999999999996</v>
      </c>
      <c r="C744" s="11" t="str">
        <f t="shared" si="421"/>
        <v>Consolidated property, plant and equipment 2025-26</v>
      </c>
      <c r="D744" s="11" t="str">
        <f t="shared" si="415"/>
        <v>Furniture &amp; Fittings</v>
      </c>
      <c r="E744" s="7" t="s">
        <v>1410</v>
      </c>
      <c r="F744" s="15"/>
      <c r="G744" s="1254" t="s">
        <v>193</v>
      </c>
      <c r="H744" s="6">
        <v>0</v>
      </c>
      <c r="I744" s="6">
        <v>0</v>
      </c>
      <c r="J744" s="1257" t="s">
        <v>865</v>
      </c>
      <c r="K744" s="251">
        <f>SUMIF('alb Note 5.1 -PP&amp;E - CY'!$A:$A,$J744,'alb Note 5.1 -PP&amp;E - CY'!$H:$H)</f>
        <v>0</v>
      </c>
      <c r="L744" s="251">
        <f>SUMIF('alb Note 5.1 -PP&amp;E - CY'!$A:$A,$J744,'alb Note 5.1 -PP&amp;E - CY'!$S:$S)</f>
        <v>0</v>
      </c>
      <c r="M744" s="10"/>
      <c r="N744" s="273">
        <f t="shared" si="428"/>
        <v>0</v>
      </c>
      <c r="O744" s="12"/>
      <c r="P744" s="12"/>
      <c r="Q744" s="12"/>
      <c r="R744" s="12"/>
      <c r="S744" s="6">
        <f t="shared" si="395"/>
        <v>0</v>
      </c>
      <c r="T744" s="273">
        <f t="shared" si="429"/>
        <v>0</v>
      </c>
      <c r="U744" s="6">
        <f t="shared" si="430"/>
        <v>0</v>
      </c>
      <c r="V744" s="6"/>
      <c r="W744" s="6">
        <f t="shared" si="425"/>
        <v>0</v>
      </c>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X744" s="6"/>
      <c r="AY744" s="6">
        <f>ROUND(AX744/1000/Update!$B$31*Update!$B$27,0)</f>
        <v>0</v>
      </c>
      <c r="BA744" s="6"/>
      <c r="BB744" s="6">
        <f>ROUND(BA744/1000/Update!$B$31,0)</f>
        <v>0</v>
      </c>
      <c r="BC744" s="6"/>
      <c r="BD744" s="29">
        <f t="shared" si="411"/>
        <v>0</v>
      </c>
      <c r="BE744" s="322"/>
      <c r="BF744" s="322"/>
      <c r="BG744" s="322"/>
      <c r="BH744" s="322"/>
      <c r="BI744" s="322"/>
      <c r="BJ744" s="322"/>
      <c r="BK744" s="29">
        <f t="shared" si="391"/>
        <v>0</v>
      </c>
      <c r="BL744" s="322"/>
      <c r="BM744" s="322"/>
      <c r="BN744" s="322"/>
      <c r="BO744" s="322"/>
      <c r="BP744" s="322"/>
      <c r="BQ744" s="322"/>
      <c r="BR744" s="322"/>
      <c r="BS744" s="322"/>
      <c r="BT744" s="322"/>
      <c r="BU744" s="322"/>
      <c r="BV744" s="322"/>
      <c r="BW744" s="322"/>
      <c r="BX744" s="322"/>
      <c r="BY744" s="322"/>
      <c r="BZ744" s="322"/>
      <c r="CA744" s="322"/>
      <c r="CB744" s="322"/>
      <c r="CC744" s="322"/>
      <c r="CD744" s="322"/>
      <c r="CE744" s="322"/>
      <c r="CF744" s="322"/>
      <c r="CG744" s="322"/>
      <c r="CH744" s="322"/>
      <c r="CI744" s="322"/>
      <c r="CM744" s="1139">
        <v>0</v>
      </c>
      <c r="CN744" s="1139">
        <v>0</v>
      </c>
      <c r="CP744" s="923">
        <f t="shared" si="408"/>
        <v>0</v>
      </c>
      <c r="CZ744" s="330"/>
    </row>
    <row r="745" spans="1:104" ht="15" customHeight="1" x14ac:dyDescent="0.25">
      <c r="A745" s="684">
        <f>MAX($A$6:A744)+1</f>
        <v>745</v>
      </c>
      <c r="B745" s="3">
        <f t="shared" si="422"/>
        <v>5.0999999999999996</v>
      </c>
      <c r="C745" s="11" t="str">
        <f t="shared" si="421"/>
        <v>Consolidated property, plant and equipment 2025-26</v>
      </c>
      <c r="D745" s="11" t="str">
        <f>D744</f>
        <v>Furniture &amp; Fittings</v>
      </c>
      <c r="E745" s="7" t="s">
        <v>810</v>
      </c>
      <c r="F745" s="15"/>
      <c r="G745" s="1254"/>
      <c r="H745" s="6">
        <v>0</v>
      </c>
      <c r="I745" s="6">
        <v>0</v>
      </c>
      <c r="J745" s="1257" t="s">
        <v>866</v>
      </c>
      <c r="K745" s="251">
        <f>SUMIF('alb Note 5.1 -PP&amp;E - CY'!$A:$A,$J745,'alb Note 5.1 -PP&amp;E - CY'!$H:$H)</f>
        <v>0</v>
      </c>
      <c r="L745" s="251">
        <f>SUMIF('alb Note 5.1 -PP&amp;E - CY'!$A:$A,$J745,'alb Note 5.1 -PP&amp;E - CY'!$S:$S)</f>
        <v>0</v>
      </c>
      <c r="M745" s="10"/>
      <c r="N745" s="273">
        <f t="shared" si="428"/>
        <v>0</v>
      </c>
      <c r="O745" s="12"/>
      <c r="P745" s="12"/>
      <c r="Q745" s="12"/>
      <c r="R745" s="12"/>
      <c r="S745" s="6">
        <f t="shared" si="395"/>
        <v>0</v>
      </c>
      <c r="T745" s="273">
        <f t="shared" si="429"/>
        <v>0</v>
      </c>
      <c r="U745" s="6">
        <f t="shared" si="430"/>
        <v>0</v>
      </c>
      <c r="V745" s="6"/>
      <c r="W745" s="6">
        <f t="shared" si="425"/>
        <v>0</v>
      </c>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X745" s="6"/>
      <c r="AY745" s="6">
        <f>ROUND(AX745/1000/Update!$B$31*Update!$B$27,0)</f>
        <v>0</v>
      </c>
      <c r="BA745" s="6"/>
      <c r="BB745" s="6">
        <f>ROUND(BA745/1000/Update!$B$31,0)</f>
        <v>0</v>
      </c>
      <c r="BC745" s="6"/>
      <c r="BD745" s="29">
        <f t="shared" si="411"/>
        <v>0</v>
      </c>
      <c r="BE745" s="322"/>
      <c r="BF745" s="322"/>
      <c r="BG745" s="322"/>
      <c r="BH745" s="322"/>
      <c r="BI745" s="322"/>
      <c r="BJ745" s="322"/>
      <c r="BK745" s="29">
        <f t="shared" si="391"/>
        <v>0</v>
      </c>
      <c r="BL745" s="322"/>
      <c r="BM745" s="322"/>
      <c r="BN745" s="322"/>
      <c r="BO745" s="322"/>
      <c r="BP745" s="322"/>
      <c r="BQ745" s="322"/>
      <c r="BR745" s="322"/>
      <c r="BS745" s="322"/>
      <c r="BT745" s="322"/>
      <c r="BU745" s="322"/>
      <c r="BV745" s="322"/>
      <c r="BW745" s="322"/>
      <c r="BX745" s="322"/>
      <c r="BY745" s="322"/>
      <c r="BZ745" s="322"/>
      <c r="CA745" s="322"/>
      <c r="CB745" s="322"/>
      <c r="CC745" s="322"/>
      <c r="CD745" s="322"/>
      <c r="CE745" s="322"/>
      <c r="CF745" s="322"/>
      <c r="CG745" s="322"/>
      <c r="CH745" s="322"/>
      <c r="CI745" s="322"/>
      <c r="CM745" s="1139">
        <v>0</v>
      </c>
      <c r="CN745" s="1139">
        <v>0</v>
      </c>
      <c r="CP745" s="923">
        <f t="shared" si="408"/>
        <v>0</v>
      </c>
      <c r="CZ745" s="330"/>
    </row>
    <row r="746" spans="1:104" ht="15" customHeight="1" x14ac:dyDescent="0.25">
      <c r="A746" s="684">
        <f>MAX($A$6:A745)+1</f>
        <v>746</v>
      </c>
      <c r="B746" s="3">
        <f t="shared" si="422"/>
        <v>5.0999999999999996</v>
      </c>
      <c r="C746" s="11" t="str">
        <f>C744</f>
        <v>Consolidated property, plant and equipment 2025-26</v>
      </c>
      <c r="D746" s="11" t="str">
        <f>D744</f>
        <v>Furniture &amp; Fittings</v>
      </c>
      <c r="E746" s="7" t="s">
        <v>867</v>
      </c>
      <c r="F746" s="15"/>
      <c r="G746" s="1254" t="s">
        <v>187</v>
      </c>
      <c r="H746" s="6">
        <v>0</v>
      </c>
      <c r="I746" s="6">
        <v>0</v>
      </c>
      <c r="J746" s="1257" t="s">
        <v>867</v>
      </c>
      <c r="K746" s="251">
        <f>SUMIF('alb Note 5.1 -PP&amp;E - CY'!$A:$A,$J746,'alb Note 5.1 -PP&amp;E - CY'!$H:$H)</f>
        <v>0</v>
      </c>
      <c r="L746" s="251">
        <f>SUMIF('alb Note 5.1 -PP&amp;E - CY'!$A:$A,$J746,'alb Note 5.1 -PP&amp;E - CY'!$S:$S)</f>
        <v>0</v>
      </c>
      <c r="M746" s="10"/>
      <c r="N746" s="273">
        <f t="shared" si="428"/>
        <v>0</v>
      </c>
      <c r="O746" s="12"/>
      <c r="P746" s="12"/>
      <c r="Q746" s="12"/>
      <c r="R746" s="12"/>
      <c r="S746" s="6">
        <f t="shared" si="395"/>
        <v>0</v>
      </c>
      <c r="T746" s="273">
        <f t="shared" si="429"/>
        <v>0</v>
      </c>
      <c r="U746" s="6">
        <f t="shared" si="430"/>
        <v>0</v>
      </c>
      <c r="V746" s="6"/>
      <c r="W746" s="6">
        <f t="shared" si="425"/>
        <v>0</v>
      </c>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X746" s="6"/>
      <c r="AY746" s="6">
        <f>ROUND(AX746/1000/Update!$B$31*Update!$B$27,0)</f>
        <v>0</v>
      </c>
      <c r="BA746" s="6"/>
      <c r="BB746" s="6">
        <f>ROUND(BA746/1000/Update!$B$31,0)</f>
        <v>0</v>
      </c>
      <c r="BC746" s="6"/>
      <c r="BD746" s="29">
        <f t="shared" si="411"/>
        <v>0</v>
      </c>
      <c r="BE746" s="322"/>
      <c r="BF746" s="322"/>
      <c r="BG746" s="322"/>
      <c r="BH746" s="322"/>
      <c r="BI746" s="322"/>
      <c r="BJ746" s="322"/>
      <c r="BK746" s="29">
        <f t="shared" si="391"/>
        <v>0</v>
      </c>
      <c r="BL746" s="322"/>
      <c r="BM746" s="322"/>
      <c r="BN746" s="322"/>
      <c r="BO746" s="322"/>
      <c r="BP746" s="322"/>
      <c r="BQ746" s="322"/>
      <c r="BR746" s="322"/>
      <c r="BS746" s="322"/>
      <c r="BT746" s="322"/>
      <c r="BU746" s="322"/>
      <c r="BV746" s="322"/>
      <c r="BW746" s="322"/>
      <c r="BX746" s="322"/>
      <c r="BY746" s="322"/>
      <c r="BZ746" s="322"/>
      <c r="CA746" s="322"/>
      <c r="CB746" s="322"/>
      <c r="CC746" s="322"/>
      <c r="CD746" s="322"/>
      <c r="CE746" s="322"/>
      <c r="CF746" s="322"/>
      <c r="CG746" s="322"/>
      <c r="CH746" s="322"/>
      <c r="CI746" s="322"/>
      <c r="CM746" s="1139">
        <v>0</v>
      </c>
      <c r="CN746" s="1139">
        <v>0</v>
      </c>
      <c r="CP746" s="923">
        <f t="shared" si="408"/>
        <v>0</v>
      </c>
      <c r="CZ746" s="330"/>
    </row>
    <row r="747" spans="1:104" ht="15" customHeight="1" x14ac:dyDescent="0.25">
      <c r="A747" s="684">
        <f>MAX($A$6:A746)+1</f>
        <v>747</v>
      </c>
      <c r="B747" s="3">
        <f t="shared" si="422"/>
        <v>5.0999999999999996</v>
      </c>
      <c r="C747" s="11" t="str">
        <f t="shared" si="421"/>
        <v>Consolidated property, plant and equipment 2025-26</v>
      </c>
      <c r="D747" s="11" t="str">
        <f t="shared" si="415"/>
        <v>Furniture &amp; Fittings</v>
      </c>
      <c r="E747" s="7" t="s">
        <v>868</v>
      </c>
      <c r="F747" s="15"/>
      <c r="G747" s="1254" t="s">
        <v>188</v>
      </c>
      <c r="H747" s="6">
        <v>0</v>
      </c>
      <c r="I747" s="6">
        <v>0</v>
      </c>
      <c r="J747" s="1257" t="s">
        <v>868</v>
      </c>
      <c r="K747" s="251">
        <f>SUMIF('alb Note 5.1 -PP&amp;E - CY'!$A:$A,$J747,'alb Note 5.1 -PP&amp;E - CY'!$H:$H)</f>
        <v>0</v>
      </c>
      <c r="L747" s="251">
        <f>SUMIF('alb Note 5.1 -PP&amp;E - CY'!$A:$A,$J747,'alb Note 5.1 -PP&amp;E - CY'!$S:$S)</f>
        <v>0</v>
      </c>
      <c r="M747" s="10"/>
      <c r="N747" s="273">
        <f t="shared" si="428"/>
        <v>0</v>
      </c>
      <c r="O747" s="12"/>
      <c r="P747" s="12"/>
      <c r="Q747" s="12"/>
      <c r="R747" s="12"/>
      <c r="S747" s="6">
        <f t="shared" si="395"/>
        <v>0</v>
      </c>
      <c r="T747" s="273">
        <f t="shared" si="429"/>
        <v>0</v>
      </c>
      <c r="U747" s="6">
        <f t="shared" si="430"/>
        <v>0</v>
      </c>
      <c r="V747" s="6"/>
      <c r="W747" s="6">
        <f t="shared" si="425"/>
        <v>0</v>
      </c>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X747" s="6"/>
      <c r="AY747" s="6">
        <f>ROUND(AX747/1000/Update!$B$31*Update!$B$27,0)</f>
        <v>0</v>
      </c>
      <c r="BA747" s="6"/>
      <c r="BB747" s="6">
        <f>ROUND(BA747/1000/Update!$B$31,0)</f>
        <v>0</v>
      </c>
      <c r="BC747" s="6"/>
      <c r="BD747" s="29">
        <f t="shared" si="411"/>
        <v>0</v>
      </c>
      <c r="BE747" s="322"/>
      <c r="BF747" s="322"/>
      <c r="BG747" s="322"/>
      <c r="BH747" s="322"/>
      <c r="BI747" s="322"/>
      <c r="BJ747" s="322"/>
      <c r="BK747" s="29">
        <f t="shared" si="391"/>
        <v>0</v>
      </c>
      <c r="BL747" s="322"/>
      <c r="BM747" s="322"/>
      <c r="BN747" s="322"/>
      <c r="BO747" s="322"/>
      <c r="BP747" s="322"/>
      <c r="BQ747" s="322"/>
      <c r="BR747" s="322"/>
      <c r="BS747" s="322"/>
      <c r="BT747" s="322"/>
      <c r="BU747" s="322"/>
      <c r="BV747" s="322"/>
      <c r="BW747" s="322"/>
      <c r="BX747" s="322"/>
      <c r="BY747" s="322"/>
      <c r="BZ747" s="322"/>
      <c r="CA747" s="322"/>
      <c r="CB747" s="322"/>
      <c r="CC747" s="322"/>
      <c r="CD747" s="322"/>
      <c r="CE747" s="322"/>
      <c r="CF747" s="322"/>
      <c r="CG747" s="322"/>
      <c r="CH747" s="322"/>
      <c r="CI747" s="322"/>
      <c r="CM747" s="1139">
        <v>0</v>
      </c>
      <c r="CN747" s="1139">
        <v>0</v>
      </c>
      <c r="CP747" s="923">
        <f t="shared" si="408"/>
        <v>0</v>
      </c>
      <c r="CZ747" s="330"/>
    </row>
    <row r="748" spans="1:104" ht="15" customHeight="1" x14ac:dyDescent="0.25">
      <c r="A748" s="684">
        <f>MAX($A$6:A747)+1</f>
        <v>748</v>
      </c>
      <c r="B748" s="3">
        <f t="shared" si="422"/>
        <v>5.0999999999999996</v>
      </c>
      <c r="C748" s="11" t="str">
        <f t="shared" si="421"/>
        <v>Consolidated property, plant and equipment 2025-26</v>
      </c>
      <c r="D748" s="11" t="str">
        <f t="shared" si="415"/>
        <v>Furniture &amp; Fittings</v>
      </c>
      <c r="E748" s="7" t="s">
        <v>1416</v>
      </c>
      <c r="F748" s="15"/>
      <c r="G748" s="1254" t="s">
        <v>189</v>
      </c>
      <c r="H748" s="6">
        <v>0</v>
      </c>
      <c r="I748" s="6">
        <v>0</v>
      </c>
      <c r="J748" s="1257" t="s">
        <v>870</v>
      </c>
      <c r="K748" s="251">
        <f>SUMIF('alb Note 5.1 -PP&amp;E - CY'!$A:$A,$J748,'alb Note 5.1 -PP&amp;E - CY'!$H:$H)</f>
        <v>0</v>
      </c>
      <c r="L748" s="251">
        <f>SUMIF('alb Note 5.1 -PP&amp;E - CY'!$A:$A,$J748,'alb Note 5.1 -PP&amp;E - CY'!$S:$S)</f>
        <v>0</v>
      </c>
      <c r="M748" s="10"/>
      <c r="N748" s="273">
        <f t="shared" si="428"/>
        <v>0</v>
      </c>
      <c r="O748" s="12"/>
      <c r="P748" s="12"/>
      <c r="Q748" s="12"/>
      <c r="R748" s="12"/>
      <c r="S748" s="6">
        <f t="shared" si="395"/>
        <v>0</v>
      </c>
      <c r="T748" s="273">
        <f t="shared" si="429"/>
        <v>0</v>
      </c>
      <c r="U748" s="6">
        <f t="shared" si="430"/>
        <v>0</v>
      </c>
      <c r="V748" s="6"/>
      <c r="W748" s="6">
        <f t="shared" si="425"/>
        <v>0</v>
      </c>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X748" s="6"/>
      <c r="AY748" s="6">
        <f>ROUND(AX748/1000/Update!$B$31*Update!$B$27,0)</f>
        <v>0</v>
      </c>
      <c r="BA748" s="6"/>
      <c r="BB748" s="6">
        <f>ROUND(BA748/1000/Update!$B$31,0)</f>
        <v>0</v>
      </c>
      <c r="BC748" s="6"/>
      <c r="BD748" s="29">
        <f t="shared" si="411"/>
        <v>0</v>
      </c>
      <c r="BE748" s="322"/>
      <c r="BF748" s="322"/>
      <c r="BG748" s="322"/>
      <c r="BH748" s="322"/>
      <c r="BI748" s="322"/>
      <c r="BJ748" s="322"/>
      <c r="BK748" s="29">
        <f t="shared" si="391"/>
        <v>0</v>
      </c>
      <c r="BL748" s="322"/>
      <c r="BM748" s="322"/>
      <c r="BN748" s="322"/>
      <c r="BO748" s="322"/>
      <c r="BP748" s="322"/>
      <c r="BQ748" s="322"/>
      <c r="BR748" s="322"/>
      <c r="BS748" s="322"/>
      <c r="BT748" s="322"/>
      <c r="BU748" s="322"/>
      <c r="BV748" s="322"/>
      <c r="BW748" s="322"/>
      <c r="BX748" s="322"/>
      <c r="BY748" s="322"/>
      <c r="BZ748" s="322"/>
      <c r="CA748" s="322"/>
      <c r="CB748" s="322"/>
      <c r="CC748" s="322"/>
      <c r="CD748" s="322"/>
      <c r="CE748" s="322"/>
      <c r="CF748" s="322"/>
      <c r="CG748" s="322"/>
      <c r="CH748" s="322"/>
      <c r="CI748" s="322"/>
      <c r="CM748" s="1139">
        <v>0</v>
      </c>
      <c r="CN748" s="1139">
        <v>0</v>
      </c>
      <c r="CP748" s="923">
        <f t="shared" si="408"/>
        <v>0</v>
      </c>
      <c r="CZ748" s="330"/>
    </row>
    <row r="749" spans="1:104" ht="15" customHeight="1" x14ac:dyDescent="0.25">
      <c r="A749" s="701">
        <f>MAX($A$6:A748)+1</f>
        <v>749</v>
      </c>
      <c r="B749" s="1291">
        <f t="shared" si="422"/>
        <v>5.0999999999999996</v>
      </c>
      <c r="C749" s="18" t="str">
        <f t="shared" si="421"/>
        <v>Consolidated property, plant and equipment 2025-26</v>
      </c>
      <c r="D749" s="18" t="str">
        <f t="shared" si="415"/>
        <v>Furniture &amp; Fittings</v>
      </c>
      <c r="E749" s="19" t="str">
        <f>Update!$B$22</f>
        <v xml:space="preserve"> 31 March 2026</v>
      </c>
      <c r="F749" s="20"/>
      <c r="G749" s="28"/>
      <c r="H749" s="14">
        <f>SUM(H739:H748)</f>
        <v>33</v>
      </c>
      <c r="I749" s="14">
        <f>SUM(I739:I748)</f>
        <v>0</v>
      </c>
      <c r="J749" s="1258" t="s">
        <v>2456</v>
      </c>
      <c r="K749" s="256">
        <f>SUM(K739:K748)</f>
        <v>0</v>
      </c>
      <c r="L749" s="256">
        <f>SUM(L739:L748)</f>
        <v>0</v>
      </c>
      <c r="M749" s="21"/>
      <c r="N749" s="14">
        <f>ROUND(SUM(O749:S749)+T749+SUM(Z749:AV749),0)</f>
        <v>33</v>
      </c>
      <c r="O749" s="14">
        <f t="shared" ref="O749:V749" si="431">SUM(O739:O748)</f>
        <v>0</v>
      </c>
      <c r="P749" s="14">
        <f t="shared" si="431"/>
        <v>0</v>
      </c>
      <c r="Q749" s="14">
        <f t="shared" si="431"/>
        <v>0</v>
      </c>
      <c r="R749" s="14">
        <f t="shared" si="431"/>
        <v>0</v>
      </c>
      <c r="S749" s="14">
        <f t="shared" si="395"/>
        <v>0</v>
      </c>
      <c r="T749" s="14">
        <f t="shared" si="431"/>
        <v>33</v>
      </c>
      <c r="U749" s="14">
        <f>SUM(U739:U748)</f>
        <v>0</v>
      </c>
      <c r="V749" s="14">
        <f t="shared" si="431"/>
        <v>0</v>
      </c>
      <c r="W749" s="14">
        <f>SUM(W739:W748)</f>
        <v>33</v>
      </c>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2"/>
      <c r="AX749" s="14">
        <f>SUM(AX739:AX748)</f>
        <v>0</v>
      </c>
      <c r="AY749" s="14">
        <f>ROUND(AX749/1000/Update!$B$31*Update!$B$27,0)</f>
        <v>0</v>
      </c>
      <c r="AZ749" s="2"/>
      <c r="BA749" s="14">
        <f>SUM(BA739:BA748)</f>
        <v>0</v>
      </c>
      <c r="BB749" s="14">
        <f>ROUND(BA749/1000/Update!$B$31,0)</f>
        <v>0</v>
      </c>
      <c r="BC749" s="14"/>
      <c r="BD749" s="14">
        <f t="shared" si="411"/>
        <v>0</v>
      </c>
      <c r="BE749" s="14">
        <f t="shared" ref="BE749:BJ749" si="432">SUM(BE739:BE748)</f>
        <v>0</v>
      </c>
      <c r="BF749" s="14">
        <f t="shared" si="432"/>
        <v>0</v>
      </c>
      <c r="BG749" s="14">
        <f t="shared" si="432"/>
        <v>0</v>
      </c>
      <c r="BH749" s="14">
        <f t="shared" si="432"/>
        <v>0</v>
      </c>
      <c r="BI749" s="14">
        <f t="shared" si="432"/>
        <v>0</v>
      </c>
      <c r="BJ749" s="14">
        <f t="shared" si="432"/>
        <v>0</v>
      </c>
      <c r="BK749" s="14">
        <f t="shared" si="391"/>
        <v>0</v>
      </c>
      <c r="BL749" s="14"/>
      <c r="BM749" s="14"/>
      <c r="BN749" s="14"/>
      <c r="BO749" s="14"/>
      <c r="BP749" s="14"/>
      <c r="BQ749" s="14"/>
      <c r="BR749" s="14"/>
      <c r="BS749" s="14"/>
      <c r="BT749" s="324"/>
      <c r="BU749" s="14"/>
      <c r="BV749" s="14"/>
      <c r="BW749" s="14"/>
      <c r="BX749" s="14"/>
      <c r="BY749" s="14"/>
      <c r="BZ749" s="14"/>
      <c r="CA749" s="14"/>
      <c r="CB749" s="14"/>
      <c r="CC749" s="14"/>
      <c r="CD749" s="14"/>
      <c r="CE749" s="14"/>
      <c r="CF749" s="14"/>
      <c r="CG749" s="14"/>
      <c r="CH749" s="14"/>
      <c r="CI749" s="14"/>
      <c r="CJ749" s="2"/>
      <c r="CK749" s="2"/>
      <c r="CM749" s="1450">
        <v>0</v>
      </c>
      <c r="CN749" s="1450">
        <v>0</v>
      </c>
      <c r="CP749" s="923">
        <f t="shared" si="408"/>
        <v>0</v>
      </c>
      <c r="CZ749" s="330"/>
    </row>
    <row r="750" spans="1:104" ht="15" customHeight="1" x14ac:dyDescent="0.25">
      <c r="A750" s="701">
        <f>MAX($A$6:A749)+1</f>
        <v>750</v>
      </c>
      <c r="B750" s="1291">
        <f t="shared" si="422"/>
        <v>5.0999999999999996</v>
      </c>
      <c r="C750" s="18" t="str">
        <f t="shared" si="421"/>
        <v>Consolidated property, plant and equipment 2025-26</v>
      </c>
      <c r="D750" s="18" t="str">
        <f t="shared" si="415"/>
        <v>Furniture &amp; Fittings</v>
      </c>
      <c r="E750" s="19" t="str">
        <f>"Carrying amount "&amp;Update!$B$22</f>
        <v>Carrying amount  31 March 2026</v>
      </c>
      <c r="F750" s="20"/>
      <c r="G750" s="28"/>
      <c r="H750" s="14">
        <f>H735-H749</f>
        <v>62</v>
      </c>
      <c r="I750" s="14">
        <f>I735-I749</f>
        <v>0</v>
      </c>
      <c r="J750" s="1258" t="s">
        <v>2493</v>
      </c>
      <c r="K750" s="256">
        <f>K735-K749</f>
        <v>0</v>
      </c>
      <c r="L750" s="256">
        <f>L735-L749</f>
        <v>0</v>
      </c>
      <c r="M750" s="21"/>
      <c r="N750" s="14">
        <f>ROUND(SUM(O750:S750)+T750+SUM(Z750:AV750),0)</f>
        <v>62</v>
      </c>
      <c r="O750" s="14">
        <f t="shared" ref="O750:V750" si="433">O735-O749</f>
        <v>0</v>
      </c>
      <c r="P750" s="14">
        <f t="shared" si="433"/>
        <v>0</v>
      </c>
      <c r="Q750" s="14">
        <f t="shared" si="433"/>
        <v>0</v>
      </c>
      <c r="R750" s="14">
        <f t="shared" si="433"/>
        <v>0</v>
      </c>
      <c r="S750" s="14">
        <f t="shared" si="395"/>
        <v>0</v>
      </c>
      <c r="T750" s="14">
        <f t="shared" si="433"/>
        <v>62</v>
      </c>
      <c r="U750" s="14">
        <f t="shared" si="433"/>
        <v>0</v>
      </c>
      <c r="V750" s="14">
        <f t="shared" si="433"/>
        <v>0</v>
      </c>
      <c r="W750" s="14">
        <f>W735-W749</f>
        <v>62</v>
      </c>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2"/>
      <c r="AX750" s="14">
        <f>AX735-AX749</f>
        <v>0</v>
      </c>
      <c r="AY750" s="14">
        <f>ROUND(AX750/1000/Update!$B$31*Update!$B$27,0)</f>
        <v>0</v>
      </c>
      <c r="AZ750" s="2"/>
      <c r="BA750" s="14">
        <f>BA735-BA749</f>
        <v>0</v>
      </c>
      <c r="BB750" s="14">
        <f>ROUND(BA750/1000/Update!$B$31,0)</f>
        <v>0</v>
      </c>
      <c r="BC750" s="14"/>
      <c r="BD750" s="14">
        <f t="shared" si="411"/>
        <v>0</v>
      </c>
      <c r="BE750" s="14">
        <f t="shared" ref="BE750:BJ750" si="434">BE735-BE749</f>
        <v>0</v>
      </c>
      <c r="BF750" s="14">
        <f t="shared" si="434"/>
        <v>0</v>
      </c>
      <c r="BG750" s="14">
        <f t="shared" si="434"/>
        <v>0</v>
      </c>
      <c r="BH750" s="14">
        <f t="shared" si="434"/>
        <v>0</v>
      </c>
      <c r="BI750" s="14">
        <f t="shared" si="434"/>
        <v>0</v>
      </c>
      <c r="BJ750" s="14">
        <f t="shared" si="434"/>
        <v>0</v>
      </c>
      <c r="BK750" s="14">
        <f t="shared" ref="BK750:BK813" si="435">ROUND(SUM(BO750:CI750),0)</f>
        <v>0</v>
      </c>
      <c r="BL750" s="14"/>
      <c r="BM750" s="14"/>
      <c r="BN750" s="14"/>
      <c r="BO750" s="14"/>
      <c r="BP750" s="14"/>
      <c r="BQ750" s="14"/>
      <c r="BR750" s="14"/>
      <c r="BS750" s="14"/>
      <c r="BT750" s="324"/>
      <c r="BU750" s="14"/>
      <c r="BV750" s="14"/>
      <c r="BW750" s="14"/>
      <c r="BX750" s="14"/>
      <c r="BY750" s="14"/>
      <c r="BZ750" s="14"/>
      <c r="CA750" s="14"/>
      <c r="CB750" s="14"/>
      <c r="CC750" s="14"/>
      <c r="CD750" s="14"/>
      <c r="CE750" s="14"/>
      <c r="CF750" s="14"/>
      <c r="CG750" s="14"/>
      <c r="CH750" s="14"/>
      <c r="CI750" s="14"/>
      <c r="CJ750" s="2"/>
      <c r="CK750" s="2"/>
      <c r="CM750" s="1450">
        <v>0</v>
      </c>
      <c r="CN750" s="1450">
        <v>0</v>
      </c>
      <c r="CP750" s="923">
        <f t="shared" si="408"/>
        <v>0</v>
      </c>
      <c r="CZ750" s="330"/>
    </row>
    <row r="751" spans="1:104" ht="15" customHeight="1" x14ac:dyDescent="0.25">
      <c r="A751" s="701">
        <f>MAX($A$6:A750)+1</f>
        <v>751</v>
      </c>
      <c r="B751" s="1291">
        <f t="shared" si="422"/>
        <v>5.0999999999999996</v>
      </c>
      <c r="C751" s="18" t="str">
        <f t="shared" si="421"/>
        <v>Consolidated property, plant and equipment 2025-26</v>
      </c>
      <c r="D751" s="18" t="str">
        <f t="shared" si="415"/>
        <v>Furniture &amp; Fittings</v>
      </c>
      <c r="E751" s="19" t="str">
        <f>"Carrying amount "&amp;Update!$B$24</f>
        <v>Carrying amount  31 March 2025</v>
      </c>
      <c r="F751" s="20"/>
      <c r="G751" s="28"/>
      <c r="H751" s="14">
        <f>H722-H737</f>
        <v>62</v>
      </c>
      <c r="I751" s="14">
        <f>I724-I737</f>
        <v>0</v>
      </c>
      <c r="J751" s="1258" t="s">
        <v>2494</v>
      </c>
      <c r="K751" s="256">
        <f>K722-K737</f>
        <v>0</v>
      </c>
      <c r="L751" s="256">
        <f>L724-L737</f>
        <v>0</v>
      </c>
      <c r="M751" s="21"/>
      <c r="N751" s="14">
        <f>ROUND(SUM(O751:S751)+T751+SUM(Z751:AV751),0)</f>
        <v>62</v>
      </c>
      <c r="O751" s="14">
        <f t="shared" ref="O751:V751" si="436">O724-O737</f>
        <v>0</v>
      </c>
      <c r="P751" s="14">
        <f t="shared" si="436"/>
        <v>0</v>
      </c>
      <c r="Q751" s="14">
        <f t="shared" si="436"/>
        <v>0</v>
      </c>
      <c r="R751" s="14">
        <f t="shared" si="436"/>
        <v>0</v>
      </c>
      <c r="S751" s="14">
        <f t="shared" si="395"/>
        <v>0</v>
      </c>
      <c r="T751" s="14">
        <f t="shared" si="436"/>
        <v>62</v>
      </c>
      <c r="U751" s="14">
        <f t="shared" si="436"/>
        <v>0</v>
      </c>
      <c r="V751" s="14">
        <f t="shared" si="436"/>
        <v>0</v>
      </c>
      <c r="W751" s="14">
        <f>W724-W737</f>
        <v>62</v>
      </c>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2"/>
      <c r="AX751" s="14">
        <f>AX724-AX737</f>
        <v>0</v>
      </c>
      <c r="AY751" s="14">
        <f>ROUND(AX751/1000/Update!$B$31*Update!$B$27,0)</f>
        <v>0</v>
      </c>
      <c r="AZ751" s="2"/>
      <c r="BA751" s="14">
        <f>BA724-BA737</f>
        <v>0</v>
      </c>
      <c r="BB751" s="14">
        <f>ROUND(BA751/1000/Update!$B$31,0)</f>
        <v>0</v>
      </c>
      <c r="BC751" s="14"/>
      <c r="BD751" s="14">
        <f t="shared" si="411"/>
        <v>0</v>
      </c>
      <c r="BE751" s="14">
        <f t="shared" ref="BE751:BJ751" si="437">BE724-BE737</f>
        <v>0</v>
      </c>
      <c r="BF751" s="14">
        <f t="shared" si="437"/>
        <v>0</v>
      </c>
      <c r="BG751" s="14">
        <f t="shared" si="437"/>
        <v>0</v>
      </c>
      <c r="BH751" s="14">
        <f t="shared" si="437"/>
        <v>0</v>
      </c>
      <c r="BI751" s="14">
        <f t="shared" si="437"/>
        <v>0</v>
      </c>
      <c r="BJ751" s="14">
        <f t="shared" si="437"/>
        <v>0</v>
      </c>
      <c r="BK751" s="14">
        <f t="shared" si="435"/>
        <v>0</v>
      </c>
      <c r="BL751" s="14"/>
      <c r="BM751" s="14"/>
      <c r="BN751" s="14"/>
      <c r="BO751" s="14"/>
      <c r="BP751" s="14"/>
      <c r="BQ751" s="14"/>
      <c r="BR751" s="14"/>
      <c r="BS751" s="14"/>
      <c r="BT751" s="324"/>
      <c r="BU751" s="14"/>
      <c r="BV751" s="14"/>
      <c r="BW751" s="14"/>
      <c r="BX751" s="14"/>
      <c r="BY751" s="14"/>
      <c r="BZ751" s="14"/>
      <c r="CA751" s="14"/>
      <c r="CB751" s="14"/>
      <c r="CC751" s="14"/>
      <c r="CD751" s="14"/>
      <c r="CE751" s="14"/>
      <c r="CF751" s="14"/>
      <c r="CG751" s="14"/>
      <c r="CH751" s="14"/>
      <c r="CI751" s="14"/>
      <c r="CJ751" s="2"/>
      <c r="CK751" s="2"/>
      <c r="CM751" s="1450">
        <v>0</v>
      </c>
      <c r="CN751" s="1450">
        <v>0</v>
      </c>
      <c r="CP751" s="923">
        <f t="shared" si="408"/>
        <v>0</v>
      </c>
      <c r="CZ751" s="330"/>
    </row>
    <row r="752" spans="1:104" ht="15" customHeight="1" x14ac:dyDescent="0.25">
      <c r="A752" s="684">
        <f>MAX($A$6:A751)+1</f>
        <v>752</v>
      </c>
      <c r="B752" s="3">
        <f t="shared" si="422"/>
        <v>5.0999999999999996</v>
      </c>
      <c r="C752" s="11" t="str">
        <f t="shared" si="421"/>
        <v>Consolidated property, plant and equipment 2025-26</v>
      </c>
      <c r="D752" s="11" t="str">
        <f t="shared" si="415"/>
        <v>Furniture &amp; Fittings</v>
      </c>
      <c r="E752" s="13" t="s">
        <v>194</v>
      </c>
      <c r="F752" s="15"/>
      <c r="G752" s="26"/>
      <c r="H752" s="6"/>
      <c r="I752" s="6"/>
      <c r="J752" s="1257" t="s">
        <v>286</v>
      </c>
      <c r="K752" s="251">
        <f>SUMIF('alb Note 5.1 -PP&amp;E - CY'!$A:$A,$J752,'alb Note 5.1 -PP&amp;E - CY'!$H:$H)</f>
        <v>0</v>
      </c>
      <c r="L752" s="251">
        <f>SUMIF('alb Note 5.1 -PP&amp;E - CY'!$A:$A,$J752,'alb Note 5.1 -PP&amp;E - CY'!$S:$S)</f>
        <v>0</v>
      </c>
      <c r="M752" s="10"/>
      <c r="N752" s="273">
        <f>ROUND(SUM(O752:S752)+SUM(W752:AV752),0)</f>
        <v>0</v>
      </c>
      <c r="O752" s="12"/>
      <c r="P752" s="12"/>
      <c r="Q752" s="12"/>
      <c r="R752" s="12"/>
      <c r="S752" s="6">
        <f t="shared" si="395"/>
        <v>0</v>
      </c>
      <c r="T752" s="273">
        <f>ROUND(SUM(U752:Y752),0)</f>
        <v>0</v>
      </c>
      <c r="U752" s="6">
        <f>SUM(BL752:BN752)</f>
        <v>0</v>
      </c>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X752" s="6"/>
      <c r="AY752" s="6">
        <f>ROUND(AX752/1000/Update!$B$31*Update!$B$27,0)</f>
        <v>0</v>
      </c>
      <c r="BA752" s="6"/>
      <c r="BB752" s="6">
        <f>ROUND(BA752/1000/Update!$B$31,0)</f>
        <v>0</v>
      </c>
      <c r="BC752" s="6"/>
      <c r="BD752" s="29">
        <f t="shared" si="411"/>
        <v>0</v>
      </c>
      <c r="BE752" s="322"/>
      <c r="BF752" s="322"/>
      <c r="BG752" s="322"/>
      <c r="BH752" s="322"/>
      <c r="BI752" s="322"/>
      <c r="BJ752" s="322"/>
      <c r="BK752" s="29">
        <f t="shared" si="435"/>
        <v>0</v>
      </c>
      <c r="BL752" s="322"/>
      <c r="BM752" s="322"/>
      <c r="BN752" s="322"/>
      <c r="BO752" s="322"/>
      <c r="BP752" s="322"/>
      <c r="BQ752" s="322"/>
      <c r="BR752" s="322"/>
      <c r="BS752" s="322"/>
      <c r="BT752" s="322"/>
      <c r="BU752" s="322"/>
      <c r="BV752" s="322"/>
      <c r="BW752" s="322"/>
      <c r="BX752" s="322"/>
      <c r="BY752" s="322"/>
      <c r="BZ752" s="322"/>
      <c r="CA752" s="322"/>
      <c r="CB752" s="322"/>
      <c r="CC752" s="322"/>
      <c r="CD752" s="322"/>
      <c r="CE752" s="322"/>
      <c r="CF752" s="322"/>
      <c r="CG752" s="322"/>
      <c r="CH752" s="322"/>
      <c r="CI752" s="322"/>
      <c r="CM752" s="1139">
        <v>0</v>
      </c>
      <c r="CN752" s="1139">
        <v>0</v>
      </c>
      <c r="CP752" s="923">
        <f t="shared" si="408"/>
        <v>0</v>
      </c>
      <c r="CZ752" s="330"/>
    </row>
    <row r="753" spans="1:104" ht="15" customHeight="1" x14ac:dyDescent="0.25">
      <c r="A753" s="684">
        <f>MAX($A$6:A752)+1</f>
        <v>753</v>
      </c>
      <c r="B753" s="3">
        <f t="shared" si="422"/>
        <v>5.0999999999999996</v>
      </c>
      <c r="C753" s="11" t="str">
        <f t="shared" si="421"/>
        <v>Consolidated property, plant and equipment 2025-26</v>
      </c>
      <c r="D753" s="11" t="str">
        <f t="shared" si="415"/>
        <v>Furniture &amp; Fittings</v>
      </c>
      <c r="E753" s="7" t="s">
        <v>197</v>
      </c>
      <c r="F753" s="15"/>
      <c r="G753" s="1254" t="s">
        <v>443</v>
      </c>
      <c r="H753" s="6">
        <v>62</v>
      </c>
      <c r="I753" s="6">
        <v>0</v>
      </c>
      <c r="J753" s="1257" t="s">
        <v>197</v>
      </c>
      <c r="K753" s="251">
        <f>SUMIF('alb Note 5.1 -PP&amp;E - CY'!$A:$A,$J753,'alb Note 5.1 -PP&amp;E - CY'!$H:$H)</f>
        <v>0</v>
      </c>
      <c r="L753" s="251">
        <f>SUMIF('alb Note 5.1 -PP&amp;E - CY'!$A:$A,$J753,'alb Note 5.1 -PP&amp;E - CY'!$S:$S)</f>
        <v>0</v>
      </c>
      <c r="M753" s="10"/>
      <c r="N753" s="273">
        <f>ROUND(SUM(O753:S753)+SUM(W753:AV753),0)</f>
        <v>62</v>
      </c>
      <c r="O753" s="12"/>
      <c r="P753" s="12"/>
      <c r="Q753" s="12"/>
      <c r="R753" s="12"/>
      <c r="S753" s="6">
        <f t="shared" si="395"/>
        <v>0</v>
      </c>
      <c r="T753" s="273">
        <f>ROUND(SUM(U753:Y753),0)</f>
        <v>62</v>
      </c>
      <c r="U753" s="6">
        <f>SUM(BL753:BN753)</f>
        <v>0</v>
      </c>
      <c r="V753" s="6"/>
      <c r="W753" s="6">
        <f>+H753</f>
        <v>62</v>
      </c>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X753" s="6"/>
      <c r="AY753" s="6">
        <f>ROUND(AX753/1000/Update!$B$31*Update!$B$27,0)</f>
        <v>0</v>
      </c>
      <c r="BA753" s="6"/>
      <c r="BB753" s="6">
        <f>ROUND(BA753/1000/Update!$B$31,0)</f>
        <v>0</v>
      </c>
      <c r="BC753" s="6"/>
      <c r="BD753" s="29">
        <f t="shared" si="411"/>
        <v>0</v>
      </c>
      <c r="BE753" s="322"/>
      <c r="BF753" s="322"/>
      <c r="BG753" s="322"/>
      <c r="BH753" s="322"/>
      <c r="BI753" s="322"/>
      <c r="BJ753" s="322"/>
      <c r="BK753" s="29">
        <f t="shared" si="435"/>
        <v>0</v>
      </c>
      <c r="BL753" s="322"/>
      <c r="BM753" s="322"/>
      <c r="BN753" s="322"/>
      <c r="BO753" s="322"/>
      <c r="BP753" s="322"/>
      <c r="BQ753" s="322"/>
      <c r="BR753" s="322"/>
      <c r="BS753" s="322"/>
      <c r="BT753" s="322"/>
      <c r="BU753" s="322"/>
      <c r="BV753" s="322"/>
      <c r="BW753" s="322"/>
      <c r="BX753" s="322"/>
      <c r="BY753" s="322"/>
      <c r="BZ753" s="322"/>
      <c r="CA753" s="322"/>
      <c r="CB753" s="322"/>
      <c r="CC753" s="322"/>
      <c r="CD753" s="322"/>
      <c r="CE753" s="322"/>
      <c r="CF753" s="322"/>
      <c r="CG753" s="322"/>
      <c r="CH753" s="322"/>
      <c r="CI753" s="322"/>
      <c r="CM753" s="1139">
        <v>0</v>
      </c>
      <c r="CN753" s="1139">
        <v>0</v>
      </c>
      <c r="CP753" s="923">
        <f t="shared" si="408"/>
        <v>0</v>
      </c>
      <c r="CZ753" s="330"/>
    </row>
    <row r="754" spans="1:104" ht="15" customHeight="1" x14ac:dyDescent="0.25">
      <c r="A754" s="684">
        <f>MAX($A$6:A753)+1</f>
        <v>754</v>
      </c>
      <c r="B754" s="3">
        <f t="shared" si="422"/>
        <v>5.0999999999999996</v>
      </c>
      <c r="C754" s="11" t="str">
        <f t="shared" si="421"/>
        <v>Consolidated property, plant and equipment 2025-26</v>
      </c>
      <c r="D754" s="11" t="str">
        <f t="shared" si="415"/>
        <v>Furniture &amp; Fittings</v>
      </c>
      <c r="E754" s="7" t="s">
        <v>198</v>
      </c>
      <c r="F754" s="15"/>
      <c r="G754" s="1254" t="s">
        <v>444</v>
      </c>
      <c r="H754" s="6">
        <v>0</v>
      </c>
      <c r="I754" s="6">
        <v>0</v>
      </c>
      <c r="J754" s="1257" t="s">
        <v>198</v>
      </c>
      <c r="K754" s="251">
        <f>SUMIF('alb Note 5.1 -PP&amp;E - CY'!$A:$A,$J754,'alb Note 5.1 -PP&amp;E - CY'!$H:$H)</f>
        <v>0</v>
      </c>
      <c r="L754" s="251">
        <f>SUMIF('alb Note 5.1 -PP&amp;E - CY'!$A:$A,$J754,'alb Note 5.1 -PP&amp;E - CY'!$S:$S)</f>
        <v>0</v>
      </c>
      <c r="M754" s="10"/>
      <c r="N754" s="273">
        <f>ROUND(SUM(O754:S754)+SUM(W754:AV754),0)</f>
        <v>0</v>
      </c>
      <c r="O754" s="12"/>
      <c r="P754" s="12"/>
      <c r="Q754" s="12"/>
      <c r="R754" s="12"/>
      <c r="S754" s="6">
        <f t="shared" si="395"/>
        <v>0</v>
      </c>
      <c r="T754" s="273">
        <f>ROUND(SUM(U754:Y754),0)</f>
        <v>0</v>
      </c>
      <c r="U754" s="6">
        <f>SUM(BL754:BN754)</f>
        <v>0</v>
      </c>
      <c r="V754" s="6"/>
      <c r="W754" s="6">
        <f>+H754</f>
        <v>0</v>
      </c>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X754" s="6"/>
      <c r="AY754" s="6">
        <f>ROUND(AX754/1000/Update!$B$31*Update!$B$27,0)</f>
        <v>0</v>
      </c>
      <c r="BA754" s="6"/>
      <c r="BB754" s="6">
        <f>ROUND(BA754/1000/Update!$B$31,0)</f>
        <v>0</v>
      </c>
      <c r="BC754" s="6"/>
      <c r="BD754" s="29">
        <f t="shared" si="411"/>
        <v>0</v>
      </c>
      <c r="BE754" s="322"/>
      <c r="BF754" s="322"/>
      <c r="BG754" s="322"/>
      <c r="BH754" s="322"/>
      <c r="BI754" s="322"/>
      <c r="BJ754" s="322"/>
      <c r="BK754" s="29">
        <f t="shared" si="435"/>
        <v>0</v>
      </c>
      <c r="BL754" s="322"/>
      <c r="BM754" s="322"/>
      <c r="BN754" s="322"/>
      <c r="BO754" s="322"/>
      <c r="BP754" s="322"/>
      <c r="BQ754" s="322"/>
      <c r="BR754" s="322"/>
      <c r="BS754" s="322"/>
      <c r="BT754" s="322"/>
      <c r="BU754" s="322"/>
      <c r="BV754" s="322"/>
      <c r="BW754" s="322"/>
      <c r="BX754" s="322"/>
      <c r="BY754" s="322"/>
      <c r="BZ754" s="322"/>
      <c r="CA754" s="322"/>
      <c r="CB754" s="322"/>
      <c r="CC754" s="322"/>
      <c r="CD754" s="322"/>
      <c r="CE754" s="322"/>
      <c r="CF754" s="322"/>
      <c r="CG754" s="322"/>
      <c r="CH754" s="322"/>
      <c r="CI754" s="322"/>
      <c r="CM754" s="1139">
        <v>0</v>
      </c>
      <c r="CN754" s="1139">
        <v>0</v>
      </c>
      <c r="CP754" s="923">
        <f t="shared" si="408"/>
        <v>0</v>
      </c>
      <c r="CZ754" s="330"/>
    </row>
    <row r="755" spans="1:104" ht="38.25" customHeight="1" x14ac:dyDescent="0.25">
      <c r="A755" s="684">
        <f>MAX($A$6:A754)+1</f>
        <v>755</v>
      </c>
      <c r="B755" s="3">
        <f t="shared" si="422"/>
        <v>5.0999999999999996</v>
      </c>
      <c r="C755" s="11" t="str">
        <f t="shared" si="421"/>
        <v>Consolidated property, plant and equipment 2025-26</v>
      </c>
      <c r="D755" s="11" t="str">
        <f t="shared" si="415"/>
        <v>Furniture &amp; Fittings</v>
      </c>
      <c r="E755" s="7" t="s">
        <v>199</v>
      </c>
      <c r="F755" s="15"/>
      <c r="G755" s="1254" t="s">
        <v>199</v>
      </c>
      <c r="H755" s="6">
        <v>0</v>
      </c>
      <c r="I755" s="6">
        <v>0</v>
      </c>
      <c r="J755" s="1257" t="s">
        <v>769</v>
      </c>
      <c r="K755" s="251">
        <f>SUMIF('alb Note 5.1 -PP&amp;E - CY'!$A:$A,$J755,'alb Note 5.1 -PP&amp;E - CY'!$H:$H)</f>
        <v>0</v>
      </c>
      <c r="L755" s="251">
        <f>SUMIF('alb Note 5.1 -PP&amp;E - CY'!$A:$A,$J755,'alb Note 5.1 -PP&amp;E - CY'!$S:$S)</f>
        <v>0</v>
      </c>
      <c r="M755" s="10"/>
      <c r="N755" s="273">
        <f>ROUND(SUM(O755:S755)+SUM(W755:AV755),0)</f>
        <v>0</v>
      </c>
      <c r="O755" s="12"/>
      <c r="P755" s="12"/>
      <c r="Q755" s="12"/>
      <c r="R755" s="12"/>
      <c r="S755" s="6">
        <f t="shared" si="395"/>
        <v>0</v>
      </c>
      <c r="T755" s="273">
        <f>ROUND(SUM(U755:Y755),0)</f>
        <v>0</v>
      </c>
      <c r="U755" s="6">
        <f>SUM(BL755:BN755)</f>
        <v>0</v>
      </c>
      <c r="V755" s="6"/>
      <c r="W755" s="6">
        <f>+H755</f>
        <v>0</v>
      </c>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X755" s="6"/>
      <c r="AY755" s="6">
        <f>ROUND(AX755/1000/Update!$B$31*Update!$B$27,0)</f>
        <v>0</v>
      </c>
      <c r="BA755" s="6"/>
      <c r="BB755" s="6">
        <f>ROUND(BA755/1000/Update!$B$31,0)</f>
        <v>0</v>
      </c>
      <c r="BC755" s="6"/>
      <c r="BD755" s="29">
        <f t="shared" si="411"/>
        <v>0</v>
      </c>
      <c r="BE755" s="322"/>
      <c r="BF755" s="322"/>
      <c r="BG755" s="322"/>
      <c r="BH755" s="322"/>
      <c r="BI755" s="322"/>
      <c r="BJ755" s="322"/>
      <c r="BK755" s="29">
        <f t="shared" si="435"/>
        <v>0</v>
      </c>
      <c r="BL755" s="322"/>
      <c r="BM755" s="322"/>
      <c r="BN755" s="322"/>
      <c r="BO755" s="322"/>
      <c r="BP755" s="322"/>
      <c r="BQ755" s="322"/>
      <c r="BR755" s="322"/>
      <c r="BS755" s="322"/>
      <c r="BT755" s="322"/>
      <c r="BU755" s="322"/>
      <c r="BV755" s="322"/>
      <c r="BW755" s="322"/>
      <c r="BX755" s="322"/>
      <c r="BY755" s="322"/>
      <c r="BZ755" s="322"/>
      <c r="CA755" s="322"/>
      <c r="CB755" s="322"/>
      <c r="CC755" s="322"/>
      <c r="CD755" s="322"/>
      <c r="CE755" s="322"/>
      <c r="CF755" s="322"/>
      <c r="CG755" s="322"/>
      <c r="CH755" s="322"/>
      <c r="CI755" s="322"/>
      <c r="CM755" s="1139">
        <v>0</v>
      </c>
      <c r="CN755" s="1139">
        <v>0</v>
      </c>
      <c r="CP755" s="923">
        <f t="shared" si="408"/>
        <v>0</v>
      </c>
      <c r="CZ755" s="330"/>
    </row>
    <row r="756" spans="1:104" ht="15" customHeight="1" x14ac:dyDescent="0.25">
      <c r="A756" s="684">
        <f>MAX($A$6:A755)+1</f>
        <v>756</v>
      </c>
      <c r="B756" s="3">
        <f t="shared" si="422"/>
        <v>5.0999999999999996</v>
      </c>
      <c r="C756" s="11" t="str">
        <f t="shared" si="421"/>
        <v>Consolidated property, plant and equipment 2025-26</v>
      </c>
      <c r="D756" s="11" t="str">
        <f t="shared" si="415"/>
        <v>Furniture &amp; Fittings</v>
      </c>
      <c r="E756" s="7" t="s">
        <v>1695</v>
      </c>
      <c r="F756" s="15"/>
      <c r="G756" s="1257" t="s">
        <v>1695</v>
      </c>
      <c r="H756" s="6">
        <v>0</v>
      </c>
      <c r="I756" s="6">
        <v>0</v>
      </c>
      <c r="J756" s="1257" t="s">
        <v>1695</v>
      </c>
      <c r="K756" s="251">
        <f>SUMIF('alb Note 5.1 -PP&amp;E - CY'!$A:$A,$J756,'alb Note 5.1 -PP&amp;E - CY'!$H:$H)</f>
        <v>0</v>
      </c>
      <c r="L756" s="251">
        <f>SUMIF('alb Note 5.1 -PP&amp;E - CY'!$A:$A,$J756,'alb Note 5.1 -PP&amp;E - CY'!$S:$S)</f>
        <v>0</v>
      </c>
      <c r="M756" s="10"/>
      <c r="N756" s="273">
        <f>ROUND(SUM(O756:S756)+SUM(W756:AV756),0)</f>
        <v>0</v>
      </c>
      <c r="O756" s="12"/>
      <c r="P756" s="12"/>
      <c r="Q756" s="12"/>
      <c r="R756" s="12"/>
      <c r="S756" s="6">
        <f>-IF(ISNUMBER(BD756),BD756,0)</f>
        <v>0</v>
      </c>
      <c r="T756" s="273">
        <f>ROUND(SUM(U756:Y756),0)</f>
        <v>0</v>
      </c>
      <c r="U756" s="6">
        <f>SUM(BL756:BN756)</f>
        <v>0</v>
      </c>
      <c r="V756" s="6"/>
      <c r="W756" s="6">
        <f>+H756</f>
        <v>0</v>
      </c>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X756" s="6"/>
      <c r="AY756" s="6">
        <f>ROUND(AX756/1000/Update!$B$31*Update!$B$27,0)</f>
        <v>0</v>
      </c>
      <c r="BA756" s="6"/>
      <c r="BB756" s="6">
        <f>ROUND(BA756/1000/Update!$B$31,0)</f>
        <v>0</v>
      </c>
      <c r="BC756" s="6"/>
      <c r="BD756" s="29">
        <f t="shared" si="411"/>
        <v>0</v>
      </c>
      <c r="BE756" s="322"/>
      <c r="BF756" s="322"/>
      <c r="BG756" s="322"/>
      <c r="BH756" s="322"/>
      <c r="BI756" s="322"/>
      <c r="BJ756" s="322"/>
      <c r="BK756" s="29">
        <f t="shared" si="435"/>
        <v>0</v>
      </c>
      <c r="BL756" s="322"/>
      <c r="BM756" s="322"/>
      <c r="BN756" s="322"/>
      <c r="BO756" s="322"/>
      <c r="BP756" s="322"/>
      <c r="BQ756" s="322"/>
      <c r="BR756" s="322"/>
      <c r="BS756" s="322"/>
      <c r="BT756" s="322"/>
      <c r="BU756" s="322"/>
      <c r="BV756" s="322"/>
      <c r="BW756" s="322"/>
      <c r="BX756" s="322"/>
      <c r="BY756" s="322"/>
      <c r="BZ756" s="322"/>
      <c r="CA756" s="322"/>
      <c r="CB756" s="322"/>
      <c r="CC756" s="322"/>
      <c r="CD756" s="322"/>
      <c r="CE756" s="322"/>
      <c r="CF756" s="322"/>
      <c r="CG756" s="322"/>
      <c r="CH756" s="322"/>
      <c r="CI756" s="322"/>
      <c r="CM756" s="1139">
        <v>0</v>
      </c>
      <c r="CN756" s="1139">
        <v>0</v>
      </c>
      <c r="CP756" s="923">
        <f t="shared" si="408"/>
        <v>0</v>
      </c>
      <c r="CZ756" s="330"/>
    </row>
    <row r="757" spans="1:104" ht="15" customHeight="1" x14ac:dyDescent="0.25">
      <c r="A757" s="701">
        <f>MAX($A$6:A756)+1</f>
        <v>757</v>
      </c>
      <c r="B757" s="1291">
        <f t="shared" si="422"/>
        <v>5.0999999999999996</v>
      </c>
      <c r="C757" s="18" t="str">
        <f t="shared" si="421"/>
        <v>Consolidated property, plant and equipment 2025-26</v>
      </c>
      <c r="D757" s="18" t="str">
        <f>D755</f>
        <v>Furniture &amp; Fittings</v>
      </c>
      <c r="E757" s="19" t="str">
        <f>"Carrying amount "&amp;Update!$B$22</f>
        <v>Carrying amount  31 March 2026</v>
      </c>
      <c r="F757" s="20"/>
      <c r="G757" s="28"/>
      <c r="H757" s="14">
        <f>SUM(H752:H755)</f>
        <v>62</v>
      </c>
      <c r="I757" s="14">
        <f>SUM(I752:I755)</f>
        <v>0</v>
      </c>
      <c r="J757" s="19" t="str">
        <f>"Carrying amount "&amp;Update!$B$22</f>
        <v>Carrying amount  31 March 2026</v>
      </c>
      <c r="K757" s="256">
        <f>SUM(K752:K755)</f>
        <v>0</v>
      </c>
      <c r="L757" s="256">
        <f>SUM(L752:L755)</f>
        <v>0</v>
      </c>
      <c r="M757" s="21"/>
      <c r="N757" s="14">
        <f>ROUND(SUM(O757:S757)+T757+SUM(Z757:AV757),0)</f>
        <v>62</v>
      </c>
      <c r="O757" s="14">
        <f t="shared" ref="O757:W757" si="438">SUM(O752:O755)</f>
        <v>0</v>
      </c>
      <c r="P757" s="14">
        <f t="shared" si="438"/>
        <v>0</v>
      </c>
      <c r="Q757" s="14">
        <f t="shared" si="438"/>
        <v>0</v>
      </c>
      <c r="R757" s="14">
        <f t="shared" si="438"/>
        <v>0</v>
      </c>
      <c r="S757" s="14">
        <f t="shared" si="395"/>
        <v>0</v>
      </c>
      <c r="T757" s="14">
        <f t="shared" si="438"/>
        <v>62</v>
      </c>
      <c r="U757" s="14">
        <f t="shared" si="438"/>
        <v>0</v>
      </c>
      <c r="V757" s="14">
        <f t="shared" si="438"/>
        <v>0</v>
      </c>
      <c r="W757" s="14">
        <f t="shared" si="438"/>
        <v>62</v>
      </c>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2"/>
      <c r="AX757" s="14">
        <f>SUM(AX752:AX755)</f>
        <v>0</v>
      </c>
      <c r="AY757" s="14">
        <f>ROUND(AX757/1000/Update!$B$31*Update!$B$27,0)</f>
        <v>0</v>
      </c>
      <c r="AZ757" s="2"/>
      <c r="BA757" s="14">
        <f>SUM(BA752:BA755)</f>
        <v>0</v>
      </c>
      <c r="BB757" s="14">
        <f>ROUND(BA757/1000/Update!$B$31,0)</f>
        <v>0</v>
      </c>
      <c r="BC757" s="14"/>
      <c r="BD757" s="14">
        <f t="shared" si="411"/>
        <v>0</v>
      </c>
      <c r="BE757" s="14">
        <f t="shared" ref="BE757:BJ757" si="439">SUM(BE752:BE755)</f>
        <v>0</v>
      </c>
      <c r="BF757" s="14">
        <f t="shared" si="439"/>
        <v>0</v>
      </c>
      <c r="BG757" s="14">
        <f t="shared" si="439"/>
        <v>0</v>
      </c>
      <c r="BH757" s="14">
        <f t="shared" si="439"/>
        <v>0</v>
      </c>
      <c r="BI757" s="14">
        <f t="shared" si="439"/>
        <v>0</v>
      </c>
      <c r="BJ757" s="14">
        <f t="shared" si="439"/>
        <v>0</v>
      </c>
      <c r="BK757" s="14">
        <f t="shared" si="435"/>
        <v>0</v>
      </c>
      <c r="BL757" s="14"/>
      <c r="BM757" s="14"/>
      <c r="BN757" s="14"/>
      <c r="BO757" s="14"/>
      <c r="BP757" s="14"/>
      <c r="BQ757" s="14"/>
      <c r="BR757" s="14"/>
      <c r="BS757" s="14"/>
      <c r="BT757" s="324"/>
      <c r="BU757" s="14"/>
      <c r="BV757" s="14"/>
      <c r="BW757" s="14"/>
      <c r="BX757" s="14"/>
      <c r="BY757" s="14"/>
      <c r="BZ757" s="14"/>
      <c r="CA757" s="14"/>
      <c r="CB757" s="14"/>
      <c r="CC757" s="14"/>
      <c r="CD757" s="14"/>
      <c r="CE757" s="14"/>
      <c r="CF757" s="14"/>
      <c r="CG757" s="14"/>
      <c r="CH757" s="14"/>
      <c r="CI757" s="14"/>
      <c r="CJ757" s="2"/>
      <c r="CK757" s="2"/>
      <c r="CM757" s="1450">
        <v>0</v>
      </c>
      <c r="CN757" s="1450">
        <v>0</v>
      </c>
      <c r="CP757" s="923">
        <f t="shared" si="408"/>
        <v>0</v>
      </c>
      <c r="CZ757" s="330"/>
    </row>
    <row r="758" spans="1:104" ht="15" customHeight="1" x14ac:dyDescent="0.25">
      <c r="A758" s="684">
        <f>MAX($A$6:A757)+1</f>
        <v>758</v>
      </c>
      <c r="B758" s="3">
        <f t="shared" si="422"/>
        <v>5.0999999999999996</v>
      </c>
      <c r="C758" s="11" t="str">
        <f t="shared" si="421"/>
        <v>Consolidated property, plant and equipment 2025-26</v>
      </c>
      <c r="D758" s="11"/>
      <c r="E758" s="7"/>
      <c r="F758" s="15"/>
      <c r="G758" s="26"/>
      <c r="H758" s="6"/>
      <c r="I758" s="6"/>
      <c r="J758" s="1257" t="s">
        <v>286</v>
      </c>
      <c r="K758" s="251">
        <f>SUMIF('alb Note 5.1 -PP&amp;E - CY'!$A:$A,$J758,'alb Note 5.1 -PP&amp;E - CY'!$I:$I)</f>
        <v>0</v>
      </c>
      <c r="L758" s="251">
        <f>SUMIF('alb Note 5.1 -PP&amp;E - CY'!$A:$A,$J758,'alb Note 5.1 -PP&amp;E - CY'!$T:$T)</f>
        <v>0</v>
      </c>
      <c r="M758" s="10"/>
      <c r="N758" s="273">
        <f>ROUND(SUM(O758:S758)+SUM(W758:AV758),0)</f>
        <v>0</v>
      </c>
      <c r="O758" s="12"/>
      <c r="P758" s="12"/>
      <c r="Q758" s="12"/>
      <c r="R758" s="12"/>
      <c r="S758" s="6">
        <f t="shared" si="395"/>
        <v>0</v>
      </c>
      <c r="T758" s="273">
        <f>ROUND(SUM(U758:Y758),0)</f>
        <v>0</v>
      </c>
      <c r="U758" s="6">
        <f>SUM(BL758:BN758)</f>
        <v>0</v>
      </c>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X758" s="6"/>
      <c r="AY758" s="6">
        <f>ROUND(AX758/1000/Update!$B$31*Update!$B$27,0)</f>
        <v>0</v>
      </c>
      <c r="BA758" s="6"/>
      <c r="BB758" s="6">
        <f>ROUND(BA758/1000/Update!$B$31,0)</f>
        <v>0</v>
      </c>
      <c r="BC758" s="6"/>
      <c r="BD758" s="29">
        <f t="shared" si="411"/>
        <v>0</v>
      </c>
      <c r="BE758" s="322"/>
      <c r="BF758" s="322"/>
      <c r="BG758" s="322"/>
      <c r="BH758" s="322"/>
      <c r="BI758" s="322"/>
      <c r="BJ758" s="322"/>
      <c r="BK758" s="29">
        <f t="shared" si="435"/>
        <v>0</v>
      </c>
      <c r="BL758" s="322"/>
      <c r="BM758" s="322"/>
      <c r="BN758" s="322"/>
      <c r="BO758" s="322"/>
      <c r="BP758" s="322"/>
      <c r="BQ758" s="322"/>
      <c r="BR758" s="322"/>
      <c r="BS758" s="322"/>
      <c r="BT758" s="322"/>
      <c r="BU758" s="322"/>
      <c r="BV758" s="322"/>
      <c r="BW758" s="322"/>
      <c r="BX758" s="322"/>
      <c r="BY758" s="322"/>
      <c r="BZ758" s="322"/>
      <c r="CA758" s="322"/>
      <c r="CB758" s="322"/>
      <c r="CC758" s="322"/>
      <c r="CD758" s="322"/>
      <c r="CE758" s="322"/>
      <c r="CF758" s="322"/>
      <c r="CG758" s="322"/>
      <c r="CH758" s="322"/>
      <c r="CI758" s="322"/>
      <c r="CM758" s="1139">
        <v>0</v>
      </c>
      <c r="CN758" s="1139">
        <v>0</v>
      </c>
      <c r="CP758" s="923">
        <f t="shared" si="408"/>
        <v>0</v>
      </c>
      <c r="CZ758" s="330"/>
    </row>
    <row r="759" spans="1:104" ht="18.75" customHeight="1" x14ac:dyDescent="0.25">
      <c r="A759" s="684">
        <f>MAX($A$6:A758)+1</f>
        <v>759</v>
      </c>
      <c r="B759" s="3">
        <f t="shared" si="422"/>
        <v>5.0999999999999996</v>
      </c>
      <c r="C759" s="11" t="str">
        <f t="shared" si="421"/>
        <v>Consolidated property, plant and equipment 2025-26</v>
      </c>
      <c r="D759" s="11" t="s">
        <v>205</v>
      </c>
      <c r="E759" s="277" t="s">
        <v>183</v>
      </c>
      <c r="F759" s="15"/>
      <c r="G759" s="26"/>
      <c r="H759" s="6"/>
      <c r="I759" s="6"/>
      <c r="J759" s="1257" t="s">
        <v>286</v>
      </c>
      <c r="K759" s="251">
        <f>SUMIF('alb Note 5.1 -PP&amp;E - CY'!$A:$A,$J759,'alb Note 5.1 -PP&amp;E - CY'!$I:$I)</f>
        <v>0</v>
      </c>
      <c r="L759" s="251">
        <f>SUMIF('alb Note 5.1 -PP&amp;E - CY'!$A:$A,$J759,'alb Note 5.1 -PP&amp;E - CY'!$T:$T)</f>
        <v>0</v>
      </c>
      <c r="M759" s="10"/>
      <c r="N759" s="273">
        <f>ROUND(SUM(O759:S759)+SUM(W759:AV759),0)</f>
        <v>0</v>
      </c>
      <c r="O759" s="12"/>
      <c r="P759" s="12"/>
      <c r="Q759" s="12"/>
      <c r="R759" s="12"/>
      <c r="S759" s="6">
        <f t="shared" si="395"/>
        <v>0</v>
      </c>
      <c r="T759" s="273">
        <f>ROUND(SUM(U759:Y759),0)</f>
        <v>0</v>
      </c>
      <c r="U759" s="6">
        <f>SUM(BL759:BN759)</f>
        <v>0</v>
      </c>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X759" s="6"/>
      <c r="AY759" s="6">
        <f>ROUND(AX759/1000/Update!$B$31*Update!$B$27,0)</f>
        <v>0</v>
      </c>
      <c r="BA759" s="6"/>
      <c r="BB759" s="6">
        <f>ROUND(BA759/1000/Update!$B$31,0)</f>
        <v>0</v>
      </c>
      <c r="BC759" s="6"/>
      <c r="BD759" s="29">
        <f t="shared" si="411"/>
        <v>0</v>
      </c>
      <c r="BE759" s="322"/>
      <c r="BF759" s="322"/>
      <c r="BG759" s="322"/>
      <c r="BH759" s="322"/>
      <c r="BI759" s="322"/>
      <c r="BJ759" s="322"/>
      <c r="BK759" s="29">
        <f t="shared" si="435"/>
        <v>0</v>
      </c>
      <c r="BL759" s="322"/>
      <c r="BM759" s="322"/>
      <c r="BN759" s="322"/>
      <c r="BO759" s="322"/>
      <c r="BP759" s="322"/>
      <c r="BQ759" s="322"/>
      <c r="BR759" s="322"/>
      <c r="BS759" s="322"/>
      <c r="BT759" s="322"/>
      <c r="BU759" s="322"/>
      <c r="BV759" s="322"/>
      <c r="BW759" s="322"/>
      <c r="BX759" s="322"/>
      <c r="BY759" s="322"/>
      <c r="BZ759" s="322"/>
      <c r="CA759" s="322"/>
      <c r="CB759" s="322"/>
      <c r="CC759" s="322"/>
      <c r="CD759" s="322"/>
      <c r="CE759" s="322"/>
      <c r="CF759" s="322"/>
      <c r="CG759" s="322"/>
      <c r="CH759" s="322"/>
      <c r="CI759" s="322"/>
      <c r="CM759" s="1139">
        <v>0</v>
      </c>
      <c r="CN759" s="1139">
        <v>0</v>
      </c>
      <c r="CP759" s="923">
        <f t="shared" si="408"/>
        <v>0</v>
      </c>
      <c r="CZ759" s="330"/>
    </row>
    <row r="760" spans="1:104" ht="15" customHeight="1" x14ac:dyDescent="0.25">
      <c r="A760" s="684">
        <f>MAX($A$6:A759)+1</f>
        <v>760</v>
      </c>
      <c r="B760" s="3">
        <f t="shared" si="422"/>
        <v>5.0999999999999996</v>
      </c>
      <c r="C760" s="11" t="str">
        <f t="shared" si="421"/>
        <v>Consolidated property, plant and equipment 2025-26</v>
      </c>
      <c r="D760" s="11" t="s">
        <v>205</v>
      </c>
      <c r="E760" s="7" t="str">
        <f>"At"&amp;Update!$B$20</f>
        <v>At 1 April 2025</v>
      </c>
      <c r="F760" s="15"/>
      <c r="G760" s="1267" t="str">
        <f>"At"&amp;Update!$B$20</f>
        <v>At 1 April 2025</v>
      </c>
      <c r="H760" s="6">
        <v>0</v>
      </c>
      <c r="I760" s="6">
        <v>0</v>
      </c>
      <c r="J760" s="1257" t="str">
        <f>$E760</f>
        <v>At 1 April 2025</v>
      </c>
      <c r="K760" s="251">
        <f>SUMIF('alb Note 5.1 -PP&amp;E - CY'!$A:$A,$J760,'alb Note 5.1 -PP&amp;E - CY'!$I:$I)</f>
        <v>0</v>
      </c>
      <c r="L760" s="251">
        <f>SUMIF('alb Note 5.1 -PP&amp;E - CY'!$A:$A,$J760,'alb Note 5.1 -PP&amp;E - CY'!$T:$T)</f>
        <v>0</v>
      </c>
      <c r="M760" s="10"/>
      <c r="N760" s="273">
        <f>ROUND(SUM(O760:S760)+SUM(W760:AV760),0)</f>
        <v>0</v>
      </c>
      <c r="O760" s="12"/>
      <c r="P760" s="12"/>
      <c r="Q760" s="12"/>
      <c r="R760" s="12"/>
      <c r="S760" s="6">
        <f t="shared" si="395"/>
        <v>0</v>
      </c>
      <c r="T760" s="273">
        <f>ROUND(SUM(U760:Y760),0)</f>
        <v>0</v>
      </c>
      <c r="U760" s="6">
        <f>SUM(BL760:BN760)</f>
        <v>0</v>
      </c>
      <c r="V760" s="6"/>
      <c r="W760" s="6">
        <f t="shared" ref="W760:W772" si="440">+H760</f>
        <v>0</v>
      </c>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X760" s="6"/>
      <c r="AY760" s="6">
        <f>ROUND(AX760/1000/Update!$B$31*Update!$B$27,0)</f>
        <v>0</v>
      </c>
      <c r="BA760" s="6"/>
      <c r="BB760" s="6">
        <f>ROUND(BA760/1000/Update!$B$31,0)</f>
        <v>0</v>
      </c>
      <c r="BC760" s="6"/>
      <c r="BD760" s="29">
        <f t="shared" si="411"/>
        <v>0</v>
      </c>
      <c r="BE760" s="322"/>
      <c r="BF760" s="322"/>
      <c r="BG760" s="322"/>
      <c r="BH760" s="322"/>
      <c r="BI760" s="322"/>
      <c r="BJ760" s="322"/>
      <c r="BK760" s="29">
        <f t="shared" si="435"/>
        <v>0</v>
      </c>
      <c r="BL760" s="322"/>
      <c r="BM760" s="322"/>
      <c r="BN760" s="322"/>
      <c r="BO760" s="322"/>
      <c r="BP760" s="322"/>
      <c r="BQ760" s="322"/>
      <c r="BR760" s="322"/>
      <c r="BS760" s="322"/>
      <c r="BT760" s="322"/>
      <c r="BU760" s="322"/>
      <c r="BV760" s="322"/>
      <c r="BW760" s="322"/>
      <c r="BX760" s="322"/>
      <c r="BY760" s="322"/>
      <c r="BZ760" s="322"/>
      <c r="CA760" s="322"/>
      <c r="CB760" s="322"/>
      <c r="CC760" s="322"/>
      <c r="CD760" s="322"/>
      <c r="CE760" s="322"/>
      <c r="CF760" s="322"/>
      <c r="CG760" s="322"/>
      <c r="CH760" s="322"/>
      <c r="CI760" s="322"/>
      <c r="CM760" s="1139">
        <v>0</v>
      </c>
      <c r="CN760" s="1139">
        <v>0</v>
      </c>
      <c r="CP760" s="923">
        <f t="shared" si="408"/>
        <v>0</v>
      </c>
      <c r="CZ760" s="330"/>
    </row>
    <row r="761" spans="1:104" ht="15" customHeight="1" x14ac:dyDescent="0.25">
      <c r="A761" s="684">
        <f>MAX($A$6:A760)+1</f>
        <v>761</v>
      </c>
      <c r="B761" s="3">
        <f t="shared" si="422"/>
        <v>5.0999999999999996</v>
      </c>
      <c r="C761" s="11" t="str">
        <f t="shared" si="421"/>
        <v>Consolidated property, plant and equipment 2025-26</v>
      </c>
      <c r="D761" s="11" t="s">
        <v>205</v>
      </c>
      <c r="E761" s="7" t="s">
        <v>435</v>
      </c>
      <c r="F761" s="15"/>
      <c r="G761" s="1254" t="s">
        <v>435</v>
      </c>
      <c r="H761" s="6">
        <v>0</v>
      </c>
      <c r="I761" s="6">
        <v>0</v>
      </c>
      <c r="J761" s="1257" t="s">
        <v>184</v>
      </c>
      <c r="K761" s="251">
        <f>SUMIF('alb Note 5.1 -PP&amp;E - CY'!$A:$A,$J761,'alb Note 5.1 -PP&amp;E - CY'!$I:$I)</f>
        <v>0</v>
      </c>
      <c r="L761" s="251">
        <f>SUMIF('alb Note 5.1 -PP&amp;E - CY'!$A:$A,$J761,'alb Note 5.1 -PP&amp;E - CY'!$T:$T)</f>
        <v>0</v>
      </c>
      <c r="M761" s="10"/>
      <c r="N761" s="273">
        <f>ROUND(SUM(O761:S761)+SUM(W761:AV761),0)</f>
        <v>0</v>
      </c>
      <c r="O761" s="12"/>
      <c r="P761" s="12"/>
      <c r="Q761" s="12"/>
      <c r="R761" s="12"/>
      <c r="S761" s="6">
        <f t="shared" ref="S761:S835" si="441">-IF(ISNUMBER(BD761),BD761,0)</f>
        <v>0</v>
      </c>
      <c r="T761" s="273">
        <f>ROUND(SUM(U761:Y761),0)</f>
        <v>0</v>
      </c>
      <c r="U761" s="6">
        <f>SUM(BL761:BN761)</f>
        <v>0</v>
      </c>
      <c r="V761" s="6"/>
      <c r="W761" s="6">
        <f t="shared" si="440"/>
        <v>0</v>
      </c>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X761" s="6"/>
      <c r="AY761" s="6">
        <f>ROUND(AX761/1000/Update!$B$31*Update!$B$27,0)</f>
        <v>0</v>
      </c>
      <c r="BA761" s="6"/>
      <c r="BB761" s="6">
        <f>ROUND(BA761/1000/Update!$B$31,0)</f>
        <v>0</v>
      </c>
      <c r="BC761" s="6"/>
      <c r="BD761" s="29">
        <f t="shared" si="411"/>
        <v>0</v>
      </c>
      <c r="BE761" s="322"/>
      <c r="BF761" s="322"/>
      <c r="BG761" s="322"/>
      <c r="BH761" s="322"/>
      <c r="BI761" s="322"/>
      <c r="BJ761" s="322"/>
      <c r="BK761" s="29">
        <f t="shared" si="435"/>
        <v>0</v>
      </c>
      <c r="BL761" s="322"/>
      <c r="BM761" s="322"/>
      <c r="BN761" s="322"/>
      <c r="BO761" s="322"/>
      <c r="BP761" s="322"/>
      <c r="BQ761" s="322"/>
      <c r="BR761" s="322"/>
      <c r="BS761" s="322"/>
      <c r="BT761" s="322"/>
      <c r="BU761" s="322"/>
      <c r="BV761" s="322"/>
      <c r="BW761" s="322"/>
      <c r="BX761" s="322"/>
      <c r="BY761" s="322"/>
      <c r="BZ761" s="322"/>
      <c r="CA761" s="322"/>
      <c r="CB761" s="322"/>
      <c r="CC761" s="322"/>
      <c r="CD761" s="322"/>
      <c r="CE761" s="322"/>
      <c r="CF761" s="322"/>
      <c r="CG761" s="322"/>
      <c r="CH761" s="322"/>
      <c r="CI761" s="322"/>
      <c r="CM761" s="1139">
        <v>0</v>
      </c>
      <c r="CN761" s="1139">
        <v>0</v>
      </c>
      <c r="CP761" s="923">
        <f t="shared" si="408"/>
        <v>0</v>
      </c>
      <c r="CZ761" s="330"/>
    </row>
    <row r="762" spans="1:104" ht="15" customHeight="1" x14ac:dyDescent="0.25">
      <c r="A762" s="701">
        <f>MAX($A$6:A761)+1</f>
        <v>762</v>
      </c>
      <c r="B762" s="1291">
        <f t="shared" si="422"/>
        <v>5.0999999999999996</v>
      </c>
      <c r="C762" s="18" t="str">
        <f t="shared" si="421"/>
        <v>Consolidated property, plant and equipment 2025-26</v>
      </c>
      <c r="D762" s="18" t="s">
        <v>205</v>
      </c>
      <c r="E762" s="19" t="s">
        <v>869</v>
      </c>
      <c r="F762" s="20"/>
      <c r="G762" s="1278" t="s">
        <v>436</v>
      </c>
      <c r="H762" s="14">
        <f>SUM(H758:H761)</f>
        <v>0</v>
      </c>
      <c r="I762" s="14">
        <f>SUM(I758:I761)</f>
        <v>0</v>
      </c>
      <c r="J762" s="1258" t="s">
        <v>869</v>
      </c>
      <c r="K762" s="256">
        <f>SUM(K758:K761)</f>
        <v>0</v>
      </c>
      <c r="L762" s="256">
        <f>SUM(L758:L761)</f>
        <v>0</v>
      </c>
      <c r="M762" s="21"/>
      <c r="N762" s="14">
        <f>ROUND(SUM(O762:S762)+T762+SUM(Z762:AV762),0)</f>
        <v>0</v>
      </c>
      <c r="O762" s="14">
        <f t="shared" ref="O762:W762" si="442">SUM(O758:O761)</f>
        <v>0</v>
      </c>
      <c r="P762" s="14">
        <f t="shared" si="442"/>
        <v>0</v>
      </c>
      <c r="Q762" s="14">
        <f t="shared" si="442"/>
        <v>0</v>
      </c>
      <c r="R762" s="14">
        <f t="shared" si="442"/>
        <v>0</v>
      </c>
      <c r="S762" s="14">
        <f t="shared" si="441"/>
        <v>0</v>
      </c>
      <c r="T762" s="14">
        <f t="shared" si="442"/>
        <v>0</v>
      </c>
      <c r="U762" s="14">
        <f t="shared" si="442"/>
        <v>0</v>
      </c>
      <c r="V762" s="14">
        <f t="shared" si="442"/>
        <v>0</v>
      </c>
      <c r="W762" s="14">
        <f t="shared" si="442"/>
        <v>0</v>
      </c>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2"/>
      <c r="AX762" s="14">
        <f>SUM(AX758:AX761)</f>
        <v>0</v>
      </c>
      <c r="AY762" s="14">
        <f>ROUND(AX762/1000/Update!$B$31*Update!$B$27,0)</f>
        <v>0</v>
      </c>
      <c r="AZ762" s="2"/>
      <c r="BA762" s="14">
        <f>SUM(BA758:BA761)</f>
        <v>0</v>
      </c>
      <c r="BB762" s="14">
        <f>ROUND(BA762/1000/Update!$B$31,0)</f>
        <v>0</v>
      </c>
      <c r="BC762" s="14"/>
      <c r="BD762" s="14">
        <f t="shared" si="411"/>
        <v>0</v>
      </c>
      <c r="BE762" s="14">
        <f t="shared" ref="BE762:BJ762" si="443">SUM(BE758:BE761)</f>
        <v>0</v>
      </c>
      <c r="BF762" s="14">
        <f t="shared" si="443"/>
        <v>0</v>
      </c>
      <c r="BG762" s="14">
        <f t="shared" si="443"/>
        <v>0</v>
      </c>
      <c r="BH762" s="14">
        <f t="shared" si="443"/>
        <v>0</v>
      </c>
      <c r="BI762" s="14">
        <f t="shared" si="443"/>
        <v>0</v>
      </c>
      <c r="BJ762" s="14">
        <f t="shared" si="443"/>
        <v>0</v>
      </c>
      <c r="BK762" s="14">
        <f t="shared" si="435"/>
        <v>0</v>
      </c>
      <c r="BL762" s="14"/>
      <c r="BM762" s="14"/>
      <c r="BN762" s="14"/>
      <c r="BO762" s="14"/>
      <c r="BP762" s="14"/>
      <c r="BQ762" s="14"/>
      <c r="BR762" s="14"/>
      <c r="BS762" s="14"/>
      <c r="BT762" s="324"/>
      <c r="BU762" s="14"/>
      <c r="BV762" s="14"/>
      <c r="BW762" s="14"/>
      <c r="BX762" s="14"/>
      <c r="BY762" s="14"/>
      <c r="BZ762" s="14"/>
      <c r="CA762" s="14"/>
      <c r="CB762" s="14"/>
      <c r="CC762" s="14"/>
      <c r="CD762" s="14"/>
      <c r="CE762" s="14"/>
      <c r="CF762" s="14"/>
      <c r="CG762" s="14"/>
      <c r="CH762" s="14"/>
      <c r="CI762" s="14"/>
      <c r="CJ762" s="2"/>
      <c r="CK762" s="2"/>
      <c r="CM762" s="1450">
        <v>0</v>
      </c>
      <c r="CN762" s="1450">
        <v>0</v>
      </c>
      <c r="CP762" s="923">
        <f t="shared" si="408"/>
        <v>0</v>
      </c>
      <c r="CZ762" s="330"/>
    </row>
    <row r="763" spans="1:104" ht="15" customHeight="1" x14ac:dyDescent="0.25">
      <c r="A763" s="684">
        <f>MAX($A$6:A762)+1</f>
        <v>763</v>
      </c>
      <c r="B763" s="3">
        <f t="shared" si="422"/>
        <v>5.0999999999999996</v>
      </c>
      <c r="C763" s="11" t="str">
        <f t="shared" si="421"/>
        <v>Consolidated property, plant and equipment 2025-26</v>
      </c>
      <c r="D763" s="11" t="s">
        <v>205</v>
      </c>
      <c r="E763" s="7" t="s">
        <v>185</v>
      </c>
      <c r="F763" s="15"/>
      <c r="G763" s="1254" t="s">
        <v>185</v>
      </c>
      <c r="H763" s="6">
        <v>0</v>
      </c>
      <c r="I763" s="6">
        <v>0</v>
      </c>
      <c r="J763" s="1257" t="s">
        <v>185</v>
      </c>
      <c r="K763" s="251">
        <f>SUMIF('alb Note 5.1 -PP&amp;E - CY'!$A:$A,$J763,'alb Note 5.1 -PP&amp;E - CY'!$I:$I)</f>
        <v>0</v>
      </c>
      <c r="L763" s="251">
        <f>SUMIF('alb Note 5.1 -PP&amp;E - CY'!$A:$A,$J763,'alb Note 5.1 -PP&amp;E - CY'!$T:$T)</f>
        <v>0</v>
      </c>
      <c r="M763" s="10"/>
      <c r="N763" s="273">
        <f t="shared" ref="N763:N772" si="444">ROUND(SUM(O763:S763)+SUM(W763:AV763),0)</f>
        <v>0</v>
      </c>
      <c r="O763" s="12"/>
      <c r="P763" s="12"/>
      <c r="Q763" s="12"/>
      <c r="R763" s="12"/>
      <c r="S763" s="6">
        <f t="shared" si="441"/>
        <v>0</v>
      </c>
      <c r="T763" s="273">
        <f t="shared" ref="T763:T776" si="445">ROUND(SUM(U763:Y763),0)</f>
        <v>0</v>
      </c>
      <c r="U763" s="6">
        <f t="shared" ref="U763:U772" si="446">SUM(BL763:BN763)</f>
        <v>0</v>
      </c>
      <c r="V763" s="6"/>
      <c r="W763" s="6">
        <f t="shared" si="440"/>
        <v>0</v>
      </c>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X763" s="6"/>
      <c r="AY763" s="6">
        <f>ROUND(AX763/1000/Update!$B$31*Update!$B$27,0)</f>
        <v>0</v>
      </c>
      <c r="BA763" s="6"/>
      <c r="BB763" s="6">
        <f>ROUND(BA763/1000/Update!$B$31,0)</f>
        <v>0</v>
      </c>
      <c r="BC763" s="6"/>
      <c r="BD763" s="29">
        <f t="shared" si="411"/>
        <v>0</v>
      </c>
      <c r="BE763" s="322"/>
      <c r="BF763" s="322"/>
      <c r="BG763" s="322"/>
      <c r="BH763" s="322"/>
      <c r="BI763" s="322"/>
      <c r="BJ763" s="322"/>
      <c r="BK763" s="29">
        <f t="shared" si="435"/>
        <v>0</v>
      </c>
      <c r="BL763" s="322"/>
      <c r="BM763" s="322"/>
      <c r="BN763" s="322"/>
      <c r="BO763" s="322"/>
      <c r="BP763" s="322"/>
      <c r="BQ763" s="322"/>
      <c r="BR763" s="322"/>
      <c r="BS763" s="322"/>
      <c r="BT763" s="322"/>
      <c r="BU763" s="322"/>
      <c r="BV763" s="322"/>
      <c r="BW763" s="322"/>
      <c r="BX763" s="322"/>
      <c r="BY763" s="322"/>
      <c r="BZ763" s="322"/>
      <c r="CA763" s="322"/>
      <c r="CB763" s="322"/>
      <c r="CC763" s="322"/>
      <c r="CD763" s="322"/>
      <c r="CE763" s="322"/>
      <c r="CF763" s="322"/>
      <c r="CG763" s="322"/>
      <c r="CH763" s="322"/>
      <c r="CI763" s="322"/>
      <c r="CM763" s="1139">
        <v>0</v>
      </c>
      <c r="CN763" s="1139">
        <v>0</v>
      </c>
      <c r="CP763" s="923">
        <f t="shared" si="408"/>
        <v>0</v>
      </c>
      <c r="CZ763" s="330"/>
    </row>
    <row r="764" spans="1:104" ht="30" customHeight="1" x14ac:dyDescent="0.25">
      <c r="A764" s="684">
        <f>MAX($A$6:A763)+1</f>
        <v>764</v>
      </c>
      <c r="B764" s="3">
        <f t="shared" si="422"/>
        <v>5.0999999999999996</v>
      </c>
      <c r="C764" s="11" t="str">
        <f t="shared" si="421"/>
        <v>Consolidated property, plant and equipment 2025-26</v>
      </c>
      <c r="D764" s="11" t="s">
        <v>205</v>
      </c>
      <c r="E764" s="7" t="s">
        <v>437</v>
      </c>
      <c r="F764" s="15"/>
      <c r="G764" s="1254" t="s">
        <v>437</v>
      </c>
      <c r="H764" s="6">
        <v>0</v>
      </c>
      <c r="I764" s="6">
        <v>0</v>
      </c>
      <c r="J764" s="1257" t="s">
        <v>437</v>
      </c>
      <c r="K764" s="251">
        <f>SUMIF('alb Note 5.1 -PP&amp;E - CY'!$A:$A,$J764,'alb Note 5.1 -PP&amp;E - CY'!$I:$I)</f>
        <v>0</v>
      </c>
      <c r="L764" s="251">
        <f>SUMIF('alb Note 5.1 -PP&amp;E - CY'!$A:$A,$J764,'alb Note 5.1 -PP&amp;E - CY'!$T:$T)</f>
        <v>0</v>
      </c>
      <c r="M764" s="10"/>
      <c r="N764" s="273">
        <f t="shared" si="444"/>
        <v>0</v>
      </c>
      <c r="O764" s="12"/>
      <c r="P764" s="12"/>
      <c r="Q764" s="12"/>
      <c r="R764" s="12"/>
      <c r="S764" s="6">
        <f t="shared" si="441"/>
        <v>0</v>
      </c>
      <c r="T764" s="273">
        <f t="shared" si="445"/>
        <v>0</v>
      </c>
      <c r="U764" s="6">
        <f t="shared" si="446"/>
        <v>0</v>
      </c>
      <c r="V764" s="6"/>
      <c r="W764" s="6">
        <f t="shared" si="440"/>
        <v>0</v>
      </c>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X764" s="6"/>
      <c r="AY764" s="6">
        <f>ROUND(AX764/1000/Update!$B$31*Update!$B$27,0)</f>
        <v>0</v>
      </c>
      <c r="BA764" s="6"/>
      <c r="BB764" s="6">
        <f>ROUND(BA764/1000/Update!$B$31,0)</f>
        <v>0</v>
      </c>
      <c r="BC764" s="6"/>
      <c r="BD764" s="29">
        <f t="shared" si="411"/>
        <v>0</v>
      </c>
      <c r="BE764" s="322"/>
      <c r="BF764" s="322"/>
      <c r="BG764" s="322"/>
      <c r="BH764" s="322"/>
      <c r="BI764" s="322"/>
      <c r="BJ764" s="322"/>
      <c r="BK764" s="29">
        <f t="shared" si="435"/>
        <v>0</v>
      </c>
      <c r="BL764" s="322"/>
      <c r="BM764" s="322"/>
      <c r="BN764" s="322"/>
      <c r="BO764" s="322"/>
      <c r="BP764" s="322"/>
      <c r="BQ764" s="322"/>
      <c r="BR764" s="322"/>
      <c r="BS764" s="322"/>
      <c r="BT764" s="322"/>
      <c r="BU764" s="322"/>
      <c r="BV764" s="322"/>
      <c r="BW764" s="322"/>
      <c r="BX764" s="322"/>
      <c r="BY764" s="322"/>
      <c r="BZ764" s="322"/>
      <c r="CA764" s="322"/>
      <c r="CB764" s="322"/>
      <c r="CC764" s="322"/>
      <c r="CD764" s="322"/>
      <c r="CE764" s="322"/>
      <c r="CF764" s="322"/>
      <c r="CG764" s="322"/>
      <c r="CH764" s="322"/>
      <c r="CI764" s="322"/>
      <c r="CM764" s="1139">
        <v>0</v>
      </c>
      <c r="CN764" s="1139">
        <v>0</v>
      </c>
      <c r="CP764" s="923">
        <f t="shared" si="408"/>
        <v>0</v>
      </c>
      <c r="CZ764" s="330"/>
    </row>
    <row r="765" spans="1:104" ht="15" customHeight="1" x14ac:dyDescent="0.25">
      <c r="A765" s="684">
        <f>MAX($A$6:A764)+1</f>
        <v>765</v>
      </c>
      <c r="B765" s="3">
        <f t="shared" si="422"/>
        <v>5.0999999999999996</v>
      </c>
      <c r="C765" s="11" t="str">
        <f t="shared" si="421"/>
        <v>Consolidated property, plant and equipment 2025-26</v>
      </c>
      <c r="D765" s="11" t="s">
        <v>205</v>
      </c>
      <c r="E765" s="7" t="s">
        <v>191</v>
      </c>
      <c r="F765" s="15"/>
      <c r="G765" s="1254" t="s">
        <v>191</v>
      </c>
      <c r="H765" s="6">
        <v>0</v>
      </c>
      <c r="I765" s="6">
        <v>0</v>
      </c>
      <c r="J765" s="1257" t="s">
        <v>191</v>
      </c>
      <c r="K765" s="251">
        <f>SUMIF('alb Note 5.1 -PP&amp;E - CY'!$A:$A,$J765,'alb Note 5.1 -PP&amp;E - CY'!$I:$I)</f>
        <v>0</v>
      </c>
      <c r="L765" s="251">
        <f>SUMIF('alb Note 5.1 -PP&amp;E - CY'!$A:$A,$J765,'alb Note 5.1 -PP&amp;E - CY'!$T:$T)</f>
        <v>0</v>
      </c>
      <c r="M765" s="10"/>
      <c r="N765" s="273">
        <f t="shared" si="444"/>
        <v>0</v>
      </c>
      <c r="O765" s="12"/>
      <c r="P765" s="12"/>
      <c r="Q765" s="12"/>
      <c r="R765" s="12"/>
      <c r="S765" s="6">
        <f t="shared" si="441"/>
        <v>0</v>
      </c>
      <c r="T765" s="273">
        <f t="shared" si="445"/>
        <v>0</v>
      </c>
      <c r="U765" s="6">
        <f t="shared" si="446"/>
        <v>0</v>
      </c>
      <c r="V765" s="6"/>
      <c r="W765" s="6">
        <f t="shared" si="440"/>
        <v>0</v>
      </c>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X765" s="6"/>
      <c r="AY765" s="6">
        <f>ROUND(AX765/1000/Update!$B$31*Update!$B$27,0)</f>
        <v>0</v>
      </c>
      <c r="BA765" s="6"/>
      <c r="BB765" s="6">
        <f>ROUND(BA765/1000/Update!$B$31,0)</f>
        <v>0</v>
      </c>
      <c r="BC765" s="6"/>
      <c r="BD765" s="29">
        <f t="shared" si="411"/>
        <v>0</v>
      </c>
      <c r="BE765" s="322"/>
      <c r="BF765" s="322"/>
      <c r="BG765" s="322"/>
      <c r="BH765" s="322"/>
      <c r="BI765" s="322"/>
      <c r="BJ765" s="322"/>
      <c r="BK765" s="29">
        <f t="shared" si="435"/>
        <v>0</v>
      </c>
      <c r="BL765" s="322"/>
      <c r="BM765" s="322"/>
      <c r="BN765" s="322"/>
      <c r="BO765" s="322"/>
      <c r="BP765" s="322"/>
      <c r="BQ765" s="322"/>
      <c r="BR765" s="322"/>
      <c r="BS765" s="322"/>
      <c r="BT765" s="322"/>
      <c r="BU765" s="322"/>
      <c r="BV765" s="322"/>
      <c r="BW765" s="322"/>
      <c r="BX765" s="322"/>
      <c r="BY765" s="322"/>
      <c r="BZ765" s="322"/>
      <c r="CA765" s="322"/>
      <c r="CB765" s="322"/>
      <c r="CC765" s="322"/>
      <c r="CD765" s="322"/>
      <c r="CE765" s="322"/>
      <c r="CF765" s="322"/>
      <c r="CG765" s="322"/>
      <c r="CH765" s="322"/>
      <c r="CI765" s="322"/>
      <c r="CM765" s="1139">
        <v>0</v>
      </c>
      <c r="CN765" s="1139">
        <v>0</v>
      </c>
      <c r="CP765" s="923">
        <f t="shared" si="408"/>
        <v>0</v>
      </c>
      <c r="CZ765" s="330"/>
    </row>
    <row r="766" spans="1:104" ht="15" customHeight="1" x14ac:dyDescent="0.25">
      <c r="A766" s="684">
        <f>MAX($A$6:A765)+1</f>
        <v>766</v>
      </c>
      <c r="B766" s="3">
        <f t="shared" si="422"/>
        <v>5.0999999999999996</v>
      </c>
      <c r="C766" s="11" t="str">
        <f t="shared" si="421"/>
        <v>Consolidated property, plant and equipment 2025-26</v>
      </c>
      <c r="D766" s="11" t="s">
        <v>205</v>
      </c>
      <c r="E766" s="7" t="s">
        <v>186</v>
      </c>
      <c r="F766" s="15"/>
      <c r="G766" s="1254" t="s">
        <v>186</v>
      </c>
      <c r="H766" s="6">
        <v>0</v>
      </c>
      <c r="I766" s="6">
        <v>0</v>
      </c>
      <c r="J766" s="1257" t="s">
        <v>186</v>
      </c>
      <c r="K766" s="251">
        <f>SUMIF('alb Note 5.1 -PP&amp;E - CY'!$A:$A,$J766,'alb Note 5.1 -PP&amp;E - CY'!$I:$I)</f>
        <v>0</v>
      </c>
      <c r="L766" s="251">
        <f>SUMIF('alb Note 5.1 -PP&amp;E - CY'!$A:$A,$J766,'alb Note 5.1 -PP&amp;E - CY'!$T:$T)</f>
        <v>0</v>
      </c>
      <c r="M766" s="10"/>
      <c r="N766" s="273">
        <f t="shared" si="444"/>
        <v>0</v>
      </c>
      <c r="O766" s="12"/>
      <c r="P766" s="12"/>
      <c r="Q766" s="12"/>
      <c r="R766" s="12"/>
      <c r="S766" s="6">
        <f t="shared" si="441"/>
        <v>0</v>
      </c>
      <c r="T766" s="273">
        <f t="shared" si="445"/>
        <v>0</v>
      </c>
      <c r="U766" s="6">
        <f t="shared" si="446"/>
        <v>0</v>
      </c>
      <c r="V766" s="6"/>
      <c r="W766" s="6">
        <f t="shared" si="440"/>
        <v>0</v>
      </c>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X766" s="6"/>
      <c r="AY766" s="6">
        <f>ROUND(AX766/1000/Update!$B$31*Update!$B$27,0)</f>
        <v>0</v>
      </c>
      <c r="BA766" s="6"/>
      <c r="BB766" s="6">
        <f>ROUND(BA766/1000/Update!$B$31,0)</f>
        <v>0</v>
      </c>
      <c r="BC766" s="6"/>
      <c r="BD766" s="29">
        <f t="shared" si="411"/>
        <v>0</v>
      </c>
      <c r="BE766" s="322"/>
      <c r="BF766" s="322"/>
      <c r="BG766" s="322"/>
      <c r="BH766" s="322"/>
      <c r="BI766" s="322"/>
      <c r="BJ766" s="322"/>
      <c r="BK766" s="29">
        <f t="shared" si="435"/>
        <v>0</v>
      </c>
      <c r="BL766" s="322"/>
      <c r="BM766" s="322"/>
      <c r="BN766" s="322"/>
      <c r="BO766" s="322"/>
      <c r="BP766" s="322"/>
      <c r="BQ766" s="322"/>
      <c r="BR766" s="322"/>
      <c r="BS766" s="322"/>
      <c r="BT766" s="322"/>
      <c r="BU766" s="322"/>
      <c r="BV766" s="322"/>
      <c r="BW766" s="322"/>
      <c r="BX766" s="322"/>
      <c r="BY766" s="322"/>
      <c r="BZ766" s="322"/>
      <c r="CA766" s="322"/>
      <c r="CB766" s="322"/>
      <c r="CC766" s="322"/>
      <c r="CD766" s="322"/>
      <c r="CE766" s="322"/>
      <c r="CF766" s="322"/>
      <c r="CG766" s="322"/>
      <c r="CH766" s="322"/>
      <c r="CI766" s="322"/>
      <c r="CM766" s="1139">
        <v>0</v>
      </c>
      <c r="CN766" s="1139">
        <v>0</v>
      </c>
      <c r="CP766" s="923">
        <f t="shared" si="408"/>
        <v>0</v>
      </c>
      <c r="CZ766" s="330"/>
    </row>
    <row r="767" spans="1:104" ht="30" customHeight="1" x14ac:dyDescent="0.25">
      <c r="A767" s="684">
        <f>MAX($A$6:A766)+1</f>
        <v>767</v>
      </c>
      <c r="B767" s="3">
        <f t="shared" si="422"/>
        <v>5.0999999999999996</v>
      </c>
      <c r="C767" s="11" t="str">
        <f t="shared" si="421"/>
        <v>Consolidated property, plant and equipment 2025-26</v>
      </c>
      <c r="D767" s="11" t="s">
        <v>205</v>
      </c>
      <c r="E767" s="7" t="s">
        <v>192</v>
      </c>
      <c r="F767" s="15"/>
      <c r="G767" s="1254" t="s">
        <v>438</v>
      </c>
      <c r="H767" s="6">
        <v>0</v>
      </c>
      <c r="I767" s="6">
        <v>0</v>
      </c>
      <c r="J767" s="1257" t="s">
        <v>768</v>
      </c>
      <c r="K767" s="251">
        <f>SUMIF('alb Note 5.1 -PP&amp;E - CY'!$A:$A,$J767,'alb Note 5.1 -PP&amp;E - CY'!$I:$I)</f>
        <v>0</v>
      </c>
      <c r="L767" s="251">
        <f>SUMIF('alb Note 5.1 -PP&amp;E - CY'!$A:$A,$J767,'alb Note 5.1 -PP&amp;E - CY'!$T:$T)</f>
        <v>0</v>
      </c>
      <c r="M767" s="10"/>
      <c r="N767" s="273">
        <f t="shared" si="444"/>
        <v>0</v>
      </c>
      <c r="O767" s="12"/>
      <c r="P767" s="12"/>
      <c r="Q767" s="12"/>
      <c r="R767" s="12"/>
      <c r="S767" s="6">
        <f t="shared" si="441"/>
        <v>0</v>
      </c>
      <c r="T767" s="273">
        <f t="shared" si="445"/>
        <v>0</v>
      </c>
      <c r="U767" s="6">
        <f t="shared" si="446"/>
        <v>0</v>
      </c>
      <c r="V767" s="6"/>
      <c r="W767" s="6">
        <f t="shared" si="440"/>
        <v>0</v>
      </c>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X767" s="6"/>
      <c r="AY767" s="6">
        <f>ROUND(AX767/1000/Update!$B$31*Update!$B$27,0)</f>
        <v>0</v>
      </c>
      <c r="BA767" s="6"/>
      <c r="BB767" s="6">
        <f>ROUND(BA767/1000/Update!$B$31,0)</f>
        <v>0</v>
      </c>
      <c r="BC767" s="6"/>
      <c r="BD767" s="29">
        <f t="shared" si="411"/>
        <v>0</v>
      </c>
      <c r="BE767" s="322"/>
      <c r="BF767" s="322"/>
      <c r="BG767" s="322"/>
      <c r="BH767" s="322"/>
      <c r="BI767" s="322"/>
      <c r="BJ767" s="322"/>
      <c r="BK767" s="29">
        <f t="shared" si="435"/>
        <v>0</v>
      </c>
      <c r="BL767" s="322"/>
      <c r="BM767" s="322"/>
      <c r="BN767" s="322"/>
      <c r="BO767" s="322"/>
      <c r="BP767" s="322"/>
      <c r="BQ767" s="322"/>
      <c r="BR767" s="322"/>
      <c r="BS767" s="322"/>
      <c r="BT767" s="322"/>
      <c r="BU767" s="322"/>
      <c r="BV767" s="322"/>
      <c r="BW767" s="322"/>
      <c r="BX767" s="322"/>
      <c r="BY767" s="322"/>
      <c r="BZ767" s="322"/>
      <c r="CA767" s="322"/>
      <c r="CB767" s="322"/>
      <c r="CC767" s="322"/>
      <c r="CD767" s="322"/>
      <c r="CE767" s="322"/>
      <c r="CF767" s="322"/>
      <c r="CG767" s="322"/>
      <c r="CH767" s="322"/>
      <c r="CI767" s="322"/>
      <c r="CM767" s="1139">
        <v>0</v>
      </c>
      <c r="CN767" s="1139">
        <v>0</v>
      </c>
      <c r="CP767" s="923">
        <f t="shared" si="408"/>
        <v>0</v>
      </c>
      <c r="CZ767" s="330"/>
    </row>
    <row r="768" spans="1:104" ht="51" customHeight="1" x14ac:dyDescent="0.25">
      <c r="A768" s="684">
        <f>MAX($A$6:A767)+1</f>
        <v>768</v>
      </c>
      <c r="B768" s="3">
        <f t="shared" si="422"/>
        <v>5.0999999999999996</v>
      </c>
      <c r="C768" s="11" t="str">
        <f t="shared" si="421"/>
        <v>Consolidated property, plant and equipment 2025-26</v>
      </c>
      <c r="D768" s="11" t="s">
        <v>205</v>
      </c>
      <c r="E768" s="7" t="s">
        <v>193</v>
      </c>
      <c r="F768" s="15"/>
      <c r="G768" s="1254" t="s">
        <v>193</v>
      </c>
      <c r="H768" s="6">
        <v>0</v>
      </c>
      <c r="I768" s="6">
        <v>0</v>
      </c>
      <c r="J768" s="1257" t="s">
        <v>767</v>
      </c>
      <c r="K768" s="251">
        <f>SUMIF('alb Note 5.1 -PP&amp;E - CY'!$A:$A,$J768,'alb Note 5.1 -PP&amp;E - CY'!$I:$I)</f>
        <v>0</v>
      </c>
      <c r="L768" s="251">
        <f>SUMIF('alb Note 5.1 -PP&amp;E - CY'!$A:$A,$J768,'alb Note 5.1 -PP&amp;E - CY'!$T:$T)</f>
        <v>0</v>
      </c>
      <c r="M768" s="10"/>
      <c r="N768" s="273">
        <f t="shared" si="444"/>
        <v>0</v>
      </c>
      <c r="O768" s="12"/>
      <c r="P768" s="12"/>
      <c r="Q768" s="12"/>
      <c r="R768" s="12"/>
      <c r="S768" s="6">
        <f t="shared" si="441"/>
        <v>0</v>
      </c>
      <c r="T768" s="273">
        <f t="shared" si="445"/>
        <v>0</v>
      </c>
      <c r="U768" s="6">
        <f t="shared" si="446"/>
        <v>0</v>
      </c>
      <c r="V768" s="6"/>
      <c r="W768" s="6">
        <f t="shared" si="440"/>
        <v>0</v>
      </c>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X768" s="6"/>
      <c r="AY768" s="6">
        <f>ROUND(AX768/1000/Update!$B$31*Update!$B$27,0)</f>
        <v>0</v>
      </c>
      <c r="BA768" s="6"/>
      <c r="BB768" s="6">
        <f>ROUND(BA768/1000/Update!$B$31,0)</f>
        <v>0</v>
      </c>
      <c r="BC768" s="6"/>
      <c r="BD768" s="29">
        <f t="shared" si="411"/>
        <v>0</v>
      </c>
      <c r="BE768" s="322"/>
      <c r="BF768" s="322"/>
      <c r="BG768" s="322"/>
      <c r="BH768" s="322"/>
      <c r="BI768" s="322"/>
      <c r="BJ768" s="322"/>
      <c r="BK768" s="29">
        <f t="shared" si="435"/>
        <v>0</v>
      </c>
      <c r="BL768" s="322"/>
      <c r="BM768" s="322"/>
      <c r="BN768" s="322"/>
      <c r="BO768" s="322"/>
      <c r="BP768" s="322"/>
      <c r="BQ768" s="322"/>
      <c r="BR768" s="322"/>
      <c r="BS768" s="322"/>
      <c r="BT768" s="322"/>
      <c r="BU768" s="322"/>
      <c r="BV768" s="322"/>
      <c r="BW768" s="322"/>
      <c r="BX768" s="322"/>
      <c r="BY768" s="322"/>
      <c r="BZ768" s="322"/>
      <c r="CA768" s="322"/>
      <c r="CB768" s="322"/>
      <c r="CC768" s="322"/>
      <c r="CD768" s="322"/>
      <c r="CE768" s="322"/>
      <c r="CF768" s="322"/>
      <c r="CG768" s="322"/>
      <c r="CH768" s="322"/>
      <c r="CI768" s="322"/>
      <c r="CM768" s="1139">
        <v>0</v>
      </c>
      <c r="CN768" s="1139">
        <v>0</v>
      </c>
      <c r="CP768" s="923">
        <f t="shared" si="408"/>
        <v>0</v>
      </c>
      <c r="CZ768" s="330"/>
    </row>
    <row r="769" spans="1:104" ht="15" customHeight="1" x14ac:dyDescent="0.25">
      <c r="A769" s="684">
        <f>MAX($A$6:A768)+1</f>
        <v>769</v>
      </c>
      <c r="B769" s="3">
        <f t="shared" si="422"/>
        <v>5.0999999999999996</v>
      </c>
      <c r="C769" s="11" t="str">
        <f t="shared" si="421"/>
        <v>Consolidated property, plant and equipment 2025-26</v>
      </c>
      <c r="D769" s="11" t="str">
        <f>D768</f>
        <v>Payments on Account and Assets Under construction</v>
      </c>
      <c r="E769" s="7" t="s">
        <v>810</v>
      </c>
      <c r="F769" s="15"/>
      <c r="G769" s="1254"/>
      <c r="H769" s="6">
        <v>0</v>
      </c>
      <c r="I769" s="6">
        <v>0</v>
      </c>
      <c r="J769" s="1257" t="s">
        <v>810</v>
      </c>
      <c r="K769" s="251">
        <f>SUMIF('alb Note 5.1 -PP&amp;E - CY'!$A:$A,$J769,'alb Note 5.1 -PP&amp;E - CY'!$I:$I)</f>
        <v>0</v>
      </c>
      <c r="L769" s="251">
        <f>SUMIF('alb Note 5.1 -PP&amp;E - CY'!$A:$A,$J769,'alb Note 5.1 -PP&amp;E - CY'!$T:$T)</f>
        <v>0</v>
      </c>
      <c r="M769" s="10"/>
      <c r="N769" s="273">
        <f t="shared" si="444"/>
        <v>0</v>
      </c>
      <c r="O769" s="12"/>
      <c r="P769" s="12"/>
      <c r="Q769" s="12"/>
      <c r="R769" s="12"/>
      <c r="S769" s="6">
        <f t="shared" si="441"/>
        <v>0</v>
      </c>
      <c r="T769" s="273">
        <f t="shared" si="445"/>
        <v>0</v>
      </c>
      <c r="U769" s="6">
        <f t="shared" si="446"/>
        <v>0</v>
      </c>
      <c r="V769" s="6"/>
      <c r="W769" s="6">
        <f t="shared" si="440"/>
        <v>0</v>
      </c>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X769" s="6"/>
      <c r="AY769" s="6">
        <f>ROUND(AX769/1000/Update!$B$31*Update!$B$27,0)</f>
        <v>0</v>
      </c>
      <c r="BA769" s="6"/>
      <c r="BB769" s="6">
        <f>ROUND(BA769/1000/Update!$B$31,0)</f>
        <v>0</v>
      </c>
      <c r="BC769" s="6"/>
      <c r="BD769" s="29">
        <f t="shared" si="411"/>
        <v>0</v>
      </c>
      <c r="BE769" s="322"/>
      <c r="BF769" s="322"/>
      <c r="BG769" s="322"/>
      <c r="BH769" s="322"/>
      <c r="BI769" s="322"/>
      <c r="BJ769" s="322"/>
      <c r="BK769" s="29">
        <f t="shared" si="435"/>
        <v>0</v>
      </c>
      <c r="BL769" s="322"/>
      <c r="BM769" s="322"/>
      <c r="BN769" s="322"/>
      <c r="BO769" s="322"/>
      <c r="BP769" s="322"/>
      <c r="BQ769" s="322"/>
      <c r="BR769" s="322"/>
      <c r="BS769" s="322"/>
      <c r="BT769" s="322"/>
      <c r="BU769" s="322"/>
      <c r="BV769" s="322"/>
      <c r="BW769" s="322"/>
      <c r="BX769" s="322"/>
      <c r="BY769" s="322"/>
      <c r="BZ769" s="322"/>
      <c r="CA769" s="322"/>
      <c r="CB769" s="322"/>
      <c r="CC769" s="322"/>
      <c r="CD769" s="322"/>
      <c r="CE769" s="322"/>
      <c r="CF769" s="322"/>
      <c r="CG769" s="322"/>
      <c r="CH769" s="322"/>
      <c r="CI769" s="322"/>
      <c r="CM769" s="1139">
        <v>0</v>
      </c>
      <c r="CN769" s="1139">
        <v>0</v>
      </c>
      <c r="CP769" s="923">
        <f t="shared" si="408"/>
        <v>0</v>
      </c>
      <c r="CZ769" s="330"/>
    </row>
    <row r="770" spans="1:104" ht="15" customHeight="1" x14ac:dyDescent="0.25">
      <c r="A770" s="684">
        <f>MAX($A$6:A769)+1</f>
        <v>770</v>
      </c>
      <c r="B770" s="3">
        <f t="shared" si="422"/>
        <v>5.0999999999999996</v>
      </c>
      <c r="C770" s="11" t="str">
        <f>C768</f>
        <v>Consolidated property, plant and equipment 2025-26</v>
      </c>
      <c r="D770" s="11" t="s">
        <v>205</v>
      </c>
      <c r="E770" s="7" t="s">
        <v>187</v>
      </c>
      <c r="F770" s="15"/>
      <c r="G770" s="1254" t="s">
        <v>187</v>
      </c>
      <c r="H770" s="6">
        <v>0</v>
      </c>
      <c r="I770" s="6">
        <v>0</v>
      </c>
      <c r="J770" s="1257" t="s">
        <v>187</v>
      </c>
      <c r="K770" s="251">
        <f>SUMIF('alb Note 5.1 -PP&amp;E - CY'!$A:$A,$J770,'alb Note 5.1 -PP&amp;E - CY'!$I:$I)</f>
        <v>0</v>
      </c>
      <c r="L770" s="251">
        <f>SUMIF('alb Note 5.1 -PP&amp;E - CY'!$A:$A,$J770,'alb Note 5.1 -PP&amp;E - CY'!$T:$T)</f>
        <v>0</v>
      </c>
      <c r="M770" s="10"/>
      <c r="N770" s="273">
        <f t="shared" si="444"/>
        <v>0</v>
      </c>
      <c r="O770" s="12"/>
      <c r="P770" s="12"/>
      <c r="Q770" s="12"/>
      <c r="R770" s="12"/>
      <c r="S770" s="6">
        <f t="shared" si="441"/>
        <v>0</v>
      </c>
      <c r="T770" s="273">
        <f t="shared" si="445"/>
        <v>0</v>
      </c>
      <c r="U770" s="6">
        <f t="shared" si="446"/>
        <v>0</v>
      </c>
      <c r="V770" s="6"/>
      <c r="W770" s="6">
        <f t="shared" si="440"/>
        <v>0</v>
      </c>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X770" s="6"/>
      <c r="AY770" s="6">
        <f>ROUND(AX770/1000/Update!$B$31*Update!$B$27,0)</f>
        <v>0</v>
      </c>
      <c r="BA770" s="6"/>
      <c r="BB770" s="6">
        <f>ROUND(BA770/1000/Update!$B$31,0)</f>
        <v>0</v>
      </c>
      <c r="BC770" s="6"/>
      <c r="BD770" s="29">
        <f t="shared" si="411"/>
        <v>0</v>
      </c>
      <c r="BE770" s="322"/>
      <c r="BF770" s="322"/>
      <c r="BG770" s="322"/>
      <c r="BH770" s="322"/>
      <c r="BI770" s="322"/>
      <c r="BJ770" s="322"/>
      <c r="BK770" s="29">
        <f t="shared" si="435"/>
        <v>0</v>
      </c>
      <c r="BL770" s="322"/>
      <c r="BM770" s="322"/>
      <c r="BN770" s="322"/>
      <c r="BO770" s="322"/>
      <c r="BP770" s="322"/>
      <c r="BQ770" s="322"/>
      <c r="BR770" s="322"/>
      <c r="BS770" s="322"/>
      <c r="BT770" s="322"/>
      <c r="BU770" s="322"/>
      <c r="BV770" s="322"/>
      <c r="BW770" s="322"/>
      <c r="BX770" s="322"/>
      <c r="BY770" s="322"/>
      <c r="BZ770" s="322"/>
      <c r="CA770" s="322"/>
      <c r="CB770" s="322"/>
      <c r="CC770" s="322"/>
      <c r="CD770" s="322"/>
      <c r="CE770" s="322"/>
      <c r="CF770" s="322"/>
      <c r="CG770" s="322"/>
      <c r="CH770" s="322"/>
      <c r="CI770" s="322"/>
      <c r="CM770" s="1139">
        <v>0</v>
      </c>
      <c r="CN770" s="1139">
        <v>0</v>
      </c>
      <c r="CP770" s="923">
        <f t="shared" si="408"/>
        <v>0</v>
      </c>
      <c r="CZ770" s="330"/>
    </row>
    <row r="771" spans="1:104" ht="15" customHeight="1" x14ac:dyDescent="0.25">
      <c r="A771" s="684">
        <f>MAX($A$6:A770)+1</f>
        <v>771</v>
      </c>
      <c r="B771" s="3">
        <f t="shared" si="422"/>
        <v>5.0999999999999996</v>
      </c>
      <c r="C771" s="11" t="str">
        <f t="shared" si="421"/>
        <v>Consolidated property, plant and equipment 2025-26</v>
      </c>
      <c r="D771" s="11" t="s">
        <v>205</v>
      </c>
      <c r="E771" s="7" t="s">
        <v>188</v>
      </c>
      <c r="F771" s="15"/>
      <c r="G771" s="1254" t="s">
        <v>188</v>
      </c>
      <c r="H771" s="6">
        <v>0</v>
      </c>
      <c r="I771" s="6">
        <v>0</v>
      </c>
      <c r="J771" s="1257" t="s">
        <v>188</v>
      </c>
      <c r="K771" s="251">
        <f>SUMIF('alb Note 5.1 -PP&amp;E - CY'!$A:$A,$J771,'alb Note 5.1 -PP&amp;E - CY'!$I:$I)</f>
        <v>0</v>
      </c>
      <c r="L771" s="251">
        <f>SUMIF('alb Note 5.1 -PP&amp;E - CY'!$A:$A,$J771,'alb Note 5.1 -PP&amp;E - CY'!$T:$T)</f>
        <v>0</v>
      </c>
      <c r="M771" s="10"/>
      <c r="N771" s="273">
        <f t="shared" si="444"/>
        <v>0</v>
      </c>
      <c r="O771" s="12"/>
      <c r="P771" s="12"/>
      <c r="Q771" s="12"/>
      <c r="R771" s="12"/>
      <c r="S771" s="6">
        <f t="shared" si="441"/>
        <v>0</v>
      </c>
      <c r="T771" s="273">
        <f t="shared" si="445"/>
        <v>0</v>
      </c>
      <c r="U771" s="6">
        <f t="shared" si="446"/>
        <v>0</v>
      </c>
      <c r="V771" s="6"/>
      <c r="W771" s="6">
        <f t="shared" si="440"/>
        <v>0</v>
      </c>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X771" s="6"/>
      <c r="AY771" s="6">
        <f>ROUND(AX771/1000/Update!$B$31*Update!$B$27,0)</f>
        <v>0</v>
      </c>
      <c r="BA771" s="6"/>
      <c r="BB771" s="6">
        <f>ROUND(BA771/1000/Update!$B$31,0)</f>
        <v>0</v>
      </c>
      <c r="BC771" s="6"/>
      <c r="BD771" s="29">
        <f t="shared" si="411"/>
        <v>0</v>
      </c>
      <c r="BE771" s="322"/>
      <c r="BF771" s="322"/>
      <c r="BG771" s="322"/>
      <c r="BH771" s="322"/>
      <c r="BI771" s="322"/>
      <c r="BJ771" s="322"/>
      <c r="BK771" s="29">
        <f t="shared" si="435"/>
        <v>0</v>
      </c>
      <c r="BL771" s="322"/>
      <c r="BM771" s="322"/>
      <c r="BN771" s="322"/>
      <c r="BO771" s="322"/>
      <c r="BP771" s="322"/>
      <c r="BQ771" s="322"/>
      <c r="BR771" s="322"/>
      <c r="BS771" s="322"/>
      <c r="BT771" s="322"/>
      <c r="BU771" s="322"/>
      <c r="BV771" s="322"/>
      <c r="BW771" s="322"/>
      <c r="BX771" s="322"/>
      <c r="BY771" s="322"/>
      <c r="BZ771" s="322"/>
      <c r="CA771" s="322"/>
      <c r="CB771" s="322"/>
      <c r="CC771" s="322"/>
      <c r="CD771" s="322"/>
      <c r="CE771" s="322"/>
      <c r="CF771" s="322"/>
      <c r="CG771" s="322"/>
      <c r="CH771" s="322"/>
      <c r="CI771" s="322"/>
      <c r="CM771" s="1139">
        <v>0</v>
      </c>
      <c r="CN771" s="1139">
        <v>0</v>
      </c>
      <c r="CP771" s="923">
        <f t="shared" si="408"/>
        <v>0</v>
      </c>
      <c r="CZ771" s="330"/>
    </row>
    <row r="772" spans="1:104" ht="15" customHeight="1" x14ac:dyDescent="0.25">
      <c r="A772" s="684">
        <f>MAX($A$6:A771)+1</f>
        <v>772</v>
      </c>
      <c r="B772" s="3">
        <f t="shared" si="422"/>
        <v>5.0999999999999996</v>
      </c>
      <c r="C772" s="11" t="str">
        <f t="shared" si="421"/>
        <v>Consolidated property, plant and equipment 2025-26</v>
      </c>
      <c r="D772" s="11" t="s">
        <v>205</v>
      </c>
      <c r="E772" s="7" t="s">
        <v>189</v>
      </c>
      <c r="F772" s="15"/>
      <c r="G772" s="1254" t="s">
        <v>189</v>
      </c>
      <c r="H772" s="6">
        <v>0</v>
      </c>
      <c r="I772" s="6">
        <v>0</v>
      </c>
      <c r="J772" s="1257" t="s">
        <v>557</v>
      </c>
      <c r="K772" s="251">
        <f>SUMIF('alb Note 5.1 -PP&amp;E - CY'!$A:$A,$J772,'alb Note 5.1 -PP&amp;E - CY'!$I:$I)</f>
        <v>0</v>
      </c>
      <c r="L772" s="251">
        <f>SUMIF('alb Note 5.1 -PP&amp;E - CY'!$A:$A,$J772,'alb Note 5.1 -PP&amp;E - CY'!$T:$T)</f>
        <v>0</v>
      </c>
      <c r="M772" s="10"/>
      <c r="N772" s="273">
        <f t="shared" si="444"/>
        <v>0</v>
      </c>
      <c r="O772" s="12"/>
      <c r="P772" s="12"/>
      <c r="Q772" s="12"/>
      <c r="R772" s="12"/>
      <c r="S772" s="6">
        <f t="shared" si="441"/>
        <v>0</v>
      </c>
      <c r="T772" s="273">
        <f t="shared" si="445"/>
        <v>0</v>
      </c>
      <c r="U772" s="6">
        <f t="shared" si="446"/>
        <v>0</v>
      </c>
      <c r="V772" s="6"/>
      <c r="W772" s="6">
        <f t="shared" si="440"/>
        <v>0</v>
      </c>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X772" s="6"/>
      <c r="AY772" s="6">
        <f>ROUND(AX772/1000/Update!$B$31*Update!$B$27,0)</f>
        <v>0</v>
      </c>
      <c r="BA772" s="6"/>
      <c r="BB772" s="6">
        <f>ROUND(BA772/1000/Update!$B$31,0)</f>
        <v>0</v>
      </c>
      <c r="BC772" s="6"/>
      <c r="BD772" s="29">
        <f t="shared" si="411"/>
        <v>0</v>
      </c>
      <c r="BE772" s="322"/>
      <c r="BF772" s="322"/>
      <c r="BG772" s="322"/>
      <c r="BH772" s="322"/>
      <c r="BI772" s="322"/>
      <c r="BJ772" s="322"/>
      <c r="BK772" s="29">
        <f t="shared" si="435"/>
        <v>0</v>
      </c>
      <c r="BL772" s="322"/>
      <c r="BM772" s="322"/>
      <c r="BN772" s="322"/>
      <c r="BO772" s="322"/>
      <c r="BP772" s="322"/>
      <c r="BQ772" s="322"/>
      <c r="BR772" s="322"/>
      <c r="BS772" s="322"/>
      <c r="BT772" s="322"/>
      <c r="BU772" s="322"/>
      <c r="BV772" s="322"/>
      <c r="BW772" s="322"/>
      <c r="BX772" s="322"/>
      <c r="BY772" s="322"/>
      <c r="BZ772" s="322"/>
      <c r="CA772" s="322"/>
      <c r="CB772" s="322"/>
      <c r="CC772" s="322"/>
      <c r="CD772" s="322"/>
      <c r="CE772" s="322"/>
      <c r="CF772" s="322"/>
      <c r="CG772" s="322"/>
      <c r="CH772" s="322"/>
      <c r="CI772" s="322"/>
      <c r="CM772" s="1139">
        <v>0</v>
      </c>
      <c r="CN772" s="1139">
        <v>0</v>
      </c>
      <c r="CP772" s="923">
        <f t="shared" si="408"/>
        <v>0</v>
      </c>
      <c r="CZ772" s="330"/>
    </row>
    <row r="773" spans="1:104" ht="15" customHeight="1" x14ac:dyDescent="0.25">
      <c r="A773" s="701">
        <f>MAX($A$6:A772)+1</f>
        <v>773</v>
      </c>
      <c r="B773" s="1291">
        <f t="shared" si="422"/>
        <v>5.0999999999999996</v>
      </c>
      <c r="C773" s="18" t="str">
        <f t="shared" si="421"/>
        <v>Consolidated property, plant and equipment 2025-26</v>
      </c>
      <c r="D773" s="18" t="s">
        <v>205</v>
      </c>
      <c r="E773" s="19" t="str">
        <f>"At"&amp;Update!$B$22</f>
        <v>At 31 March 2026</v>
      </c>
      <c r="F773" s="20"/>
      <c r="G773" s="28"/>
      <c r="H773" s="14">
        <f>SUM(H763:H772)+H762</f>
        <v>0</v>
      </c>
      <c r="I773" s="14">
        <f>SUM(I763:I772)+I762</f>
        <v>0</v>
      </c>
      <c r="J773" s="19" t="str">
        <f>"At"&amp;Update!$B$22</f>
        <v>At 31 March 2026</v>
      </c>
      <c r="K773" s="256">
        <f>SUM(K763:K772)+K762</f>
        <v>0</v>
      </c>
      <c r="L773" s="256">
        <f>SUM(L763:L772)+L762</f>
        <v>0</v>
      </c>
      <c r="M773" s="21"/>
      <c r="N773" s="14">
        <f>ROUND(SUM(O773:S773)+T773+SUM(Z773:AV773),0)</f>
        <v>0</v>
      </c>
      <c r="O773" s="14">
        <f>SUM(O763:O772)+O762</f>
        <v>0</v>
      </c>
      <c r="P773" s="14">
        <f>SUM(P763:P772)+P762</f>
        <v>0</v>
      </c>
      <c r="Q773" s="14">
        <f>SUM(Q763:Q772)+Q762</f>
        <v>0</v>
      </c>
      <c r="R773" s="14">
        <f>SUM(R763:R772)+R762</f>
        <v>0</v>
      </c>
      <c r="S773" s="14">
        <f t="shared" si="441"/>
        <v>0</v>
      </c>
      <c r="T773" s="14">
        <f t="shared" si="445"/>
        <v>0</v>
      </c>
      <c r="U773" s="14">
        <f>SUM(U763:U772)+U762</f>
        <v>0</v>
      </c>
      <c r="V773" s="14">
        <f>SUM(V763:V772)+V762</f>
        <v>0</v>
      </c>
      <c r="W773" s="14">
        <f>SUM(W763:W772)+W762</f>
        <v>0</v>
      </c>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2"/>
      <c r="AX773" s="14">
        <f>SUM(AX763:AX772)+AX762</f>
        <v>0</v>
      </c>
      <c r="AY773" s="14">
        <f>ROUND(AX773/1000/Update!$B$31*Update!$B$27,0)</f>
        <v>0</v>
      </c>
      <c r="AZ773" s="2"/>
      <c r="BA773" s="14">
        <f>SUM(BA763:BA772)+BA762</f>
        <v>0</v>
      </c>
      <c r="BB773" s="14">
        <f>ROUND(BA773/1000/Update!$B$31,0)</f>
        <v>0</v>
      </c>
      <c r="BC773" s="14"/>
      <c r="BD773" s="14">
        <f t="shared" si="411"/>
        <v>0</v>
      </c>
      <c r="BE773" s="14">
        <f t="shared" ref="BE773:BJ773" si="447">SUM(BE763:BE772)+BE762</f>
        <v>0</v>
      </c>
      <c r="BF773" s="14">
        <f t="shared" si="447"/>
        <v>0</v>
      </c>
      <c r="BG773" s="14">
        <f t="shared" si="447"/>
        <v>0</v>
      </c>
      <c r="BH773" s="14">
        <f t="shared" si="447"/>
        <v>0</v>
      </c>
      <c r="BI773" s="14">
        <f t="shared" si="447"/>
        <v>0</v>
      </c>
      <c r="BJ773" s="14">
        <f t="shared" si="447"/>
        <v>0</v>
      </c>
      <c r="BK773" s="14">
        <f t="shared" si="435"/>
        <v>0</v>
      </c>
      <c r="BL773" s="14"/>
      <c r="BM773" s="14"/>
      <c r="BN773" s="14"/>
      <c r="BO773" s="14"/>
      <c r="BP773" s="14"/>
      <c r="BQ773" s="14"/>
      <c r="BR773" s="14"/>
      <c r="BS773" s="14"/>
      <c r="BT773" s="324"/>
      <c r="BU773" s="14"/>
      <c r="BV773" s="14"/>
      <c r="BW773" s="14"/>
      <c r="BX773" s="14"/>
      <c r="BY773" s="14"/>
      <c r="BZ773" s="14"/>
      <c r="CA773" s="14"/>
      <c r="CB773" s="14"/>
      <c r="CC773" s="14"/>
      <c r="CD773" s="14"/>
      <c r="CE773" s="14"/>
      <c r="CF773" s="14"/>
      <c r="CG773" s="14"/>
      <c r="CH773" s="14"/>
      <c r="CI773" s="14"/>
      <c r="CJ773" s="2"/>
      <c r="CK773" s="2"/>
      <c r="CM773" s="1450">
        <v>0</v>
      </c>
      <c r="CN773" s="1450">
        <v>0</v>
      </c>
      <c r="CP773" s="923">
        <f t="shared" si="408"/>
        <v>0</v>
      </c>
      <c r="CZ773" s="330"/>
    </row>
    <row r="774" spans="1:104" ht="18.75" customHeight="1" x14ac:dyDescent="0.25">
      <c r="A774" s="684">
        <f>MAX($A$6:A773)+1</f>
        <v>774</v>
      </c>
      <c r="B774" s="3">
        <f t="shared" si="422"/>
        <v>5.0999999999999996</v>
      </c>
      <c r="C774" s="11" t="str">
        <f t="shared" si="421"/>
        <v>Consolidated property, plant and equipment 2025-26</v>
      </c>
      <c r="D774" s="11" t="s">
        <v>205</v>
      </c>
      <c r="E774" s="277" t="s">
        <v>160</v>
      </c>
      <c r="F774" s="15"/>
      <c r="G774" s="26"/>
      <c r="H774" s="6">
        <v>0</v>
      </c>
      <c r="I774" s="6">
        <v>0</v>
      </c>
      <c r="J774" s="1257" t="s">
        <v>286</v>
      </c>
      <c r="K774" s="251">
        <f>SUMIF('alb Note 5.1 -PP&amp;E - CY'!$A:$A,$J774,'alb Note 5.1 -PP&amp;E - CY'!$I:$I)</f>
        <v>0</v>
      </c>
      <c r="L774" s="251">
        <f>SUMIF('alb Note 5.1 -PP&amp;E - CY'!$A:$A,$J774,'alb Note 5.1 -PP&amp;E - CY'!$T:$T)</f>
        <v>0</v>
      </c>
      <c r="M774" s="10"/>
      <c r="N774" s="273">
        <f>ROUND(SUM(O774:S774)+SUM(W774:AV774),0)</f>
        <v>0</v>
      </c>
      <c r="O774" s="12"/>
      <c r="P774" s="12"/>
      <c r="Q774" s="12"/>
      <c r="R774" s="12"/>
      <c r="S774" s="6">
        <f t="shared" si="441"/>
        <v>0</v>
      </c>
      <c r="T774" s="273">
        <f t="shared" si="445"/>
        <v>0</v>
      </c>
      <c r="U774" s="6">
        <f>SUM(BL774:BN774)</f>
        <v>0</v>
      </c>
      <c r="V774" s="6"/>
      <c r="W774" s="6">
        <v>0</v>
      </c>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X774" s="6"/>
      <c r="AY774" s="6">
        <f>ROUND(AX774/1000/Update!$B$31*Update!$B$27,0)</f>
        <v>0</v>
      </c>
      <c r="BA774" s="6"/>
      <c r="BB774" s="6">
        <f>ROUND(BA774/1000/Update!$B$31,0)</f>
        <v>0</v>
      </c>
      <c r="BC774" s="6"/>
      <c r="BD774" s="29">
        <f t="shared" si="411"/>
        <v>0</v>
      </c>
      <c r="BE774" s="322"/>
      <c r="BF774" s="322"/>
      <c r="BG774" s="322"/>
      <c r="BH774" s="322"/>
      <c r="BI774" s="322"/>
      <c r="BJ774" s="322"/>
      <c r="BK774" s="29">
        <f t="shared" si="435"/>
        <v>0</v>
      </c>
      <c r="BL774" s="322"/>
      <c r="BM774" s="322"/>
      <c r="BN774" s="322"/>
      <c r="BO774" s="322"/>
      <c r="BP774" s="322"/>
      <c r="BQ774" s="322"/>
      <c r="BR774" s="322"/>
      <c r="BS774" s="322"/>
      <c r="BT774" s="322"/>
      <c r="BU774" s="322"/>
      <c r="BV774" s="322"/>
      <c r="BW774" s="322"/>
      <c r="BX774" s="322"/>
      <c r="BY774" s="322"/>
      <c r="BZ774" s="322"/>
      <c r="CA774" s="322"/>
      <c r="CB774" s="322"/>
      <c r="CC774" s="322"/>
      <c r="CD774" s="322"/>
      <c r="CE774" s="322"/>
      <c r="CF774" s="322"/>
      <c r="CG774" s="322"/>
      <c r="CH774" s="322"/>
      <c r="CI774" s="322"/>
      <c r="CM774" s="1139">
        <v>0</v>
      </c>
      <c r="CN774" s="1139">
        <v>0</v>
      </c>
      <c r="CP774" s="923">
        <f t="shared" si="408"/>
        <v>0</v>
      </c>
      <c r="CZ774" s="330"/>
    </row>
    <row r="775" spans="1:104" ht="15" customHeight="1" x14ac:dyDescent="0.25">
      <c r="A775" s="684">
        <f>MAX($A$6:A774)+1</f>
        <v>775</v>
      </c>
      <c r="B775" s="3">
        <f t="shared" si="422"/>
        <v>5.0999999999999996</v>
      </c>
      <c r="C775" s="11" t="str">
        <f t="shared" si="421"/>
        <v>Consolidated property, plant and equipment 2025-26</v>
      </c>
      <c r="D775" s="11" t="s">
        <v>205</v>
      </c>
      <c r="E775" s="7" t="str">
        <f>"At"&amp;Update!$B$20&amp;" "</f>
        <v xml:space="preserve">At 1 April 2025 </v>
      </c>
      <c r="F775" s="15"/>
      <c r="G775" s="1267" t="str">
        <f>"At"&amp;Update!$B$20</f>
        <v>At 1 April 2025</v>
      </c>
      <c r="H775" s="6">
        <v>0</v>
      </c>
      <c r="I775" s="6">
        <v>0</v>
      </c>
      <c r="J775" s="1257" t="str">
        <f>$E775</f>
        <v xml:space="preserve">At 1 April 2025 </v>
      </c>
      <c r="K775" s="251">
        <f>SUMIF('alb Note 5.1 -PP&amp;E - CY'!$A:$A,$J775,'alb Note 5.1 -PP&amp;E - CY'!$I:$I)</f>
        <v>0</v>
      </c>
      <c r="L775" s="251">
        <f>SUMIF('alb Note 5.1 -PP&amp;E - CY'!$A:$A,$J775,'alb Note 5.1 -PP&amp;E - CY'!$T:$T)</f>
        <v>0</v>
      </c>
      <c r="M775" s="10"/>
      <c r="N775" s="273">
        <f>ROUND(SUM(O775:S775)+SUM(W775:AV775),0)</f>
        <v>0</v>
      </c>
      <c r="O775" s="12"/>
      <c r="P775" s="12"/>
      <c r="Q775" s="12"/>
      <c r="R775" s="12"/>
      <c r="S775" s="6">
        <f t="shared" si="441"/>
        <v>0</v>
      </c>
      <c r="T775" s="273">
        <f t="shared" si="445"/>
        <v>0</v>
      </c>
      <c r="U775" s="6">
        <f>SUM(BL775:BN775)</f>
        <v>0</v>
      </c>
      <c r="V775" s="6"/>
      <c r="W775" s="6">
        <f t="shared" ref="W775:W786" si="448">+H775</f>
        <v>0</v>
      </c>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X775" s="6"/>
      <c r="AY775" s="6">
        <f>ROUND(AX775/1000/Update!$B$31*Update!$B$27,0)</f>
        <v>0</v>
      </c>
      <c r="BA775" s="6"/>
      <c r="BB775" s="6">
        <f>ROUND(BA775/1000/Update!$B$31,0)</f>
        <v>0</v>
      </c>
      <c r="BC775" s="6"/>
      <c r="BD775" s="29">
        <f t="shared" si="411"/>
        <v>0</v>
      </c>
      <c r="BE775" s="322"/>
      <c r="BF775" s="322"/>
      <c r="BG775" s="322"/>
      <c r="BH775" s="322"/>
      <c r="BI775" s="322"/>
      <c r="BJ775" s="322"/>
      <c r="BK775" s="29">
        <f t="shared" si="435"/>
        <v>0</v>
      </c>
      <c r="BL775" s="322"/>
      <c r="BM775" s="322"/>
      <c r="BN775" s="322"/>
      <c r="BO775" s="322"/>
      <c r="BP775" s="322"/>
      <c r="BQ775" s="322"/>
      <c r="BR775" s="322"/>
      <c r="BS775" s="322"/>
      <c r="BT775" s="322"/>
      <c r="BU775" s="322"/>
      <c r="BV775" s="322"/>
      <c r="BW775" s="322"/>
      <c r="BX775" s="322"/>
      <c r="BY775" s="322"/>
      <c r="BZ775" s="322"/>
      <c r="CA775" s="322"/>
      <c r="CB775" s="322"/>
      <c r="CC775" s="322"/>
      <c r="CD775" s="322"/>
      <c r="CE775" s="322"/>
      <c r="CF775" s="322"/>
      <c r="CG775" s="322"/>
      <c r="CH775" s="322"/>
      <c r="CI775" s="322"/>
      <c r="CM775" s="1139">
        <v>0</v>
      </c>
      <c r="CN775" s="1139">
        <v>0</v>
      </c>
      <c r="CP775" s="923">
        <f t="shared" si="408"/>
        <v>0</v>
      </c>
      <c r="CZ775" s="330"/>
    </row>
    <row r="776" spans="1:104" ht="15" customHeight="1" x14ac:dyDescent="0.25">
      <c r="A776" s="684">
        <f>MAX($A$6:A775)+1</f>
        <v>776</v>
      </c>
      <c r="B776" s="3">
        <f t="shared" si="422"/>
        <v>5.0999999999999996</v>
      </c>
      <c r="C776" s="11" t="str">
        <f t="shared" si="421"/>
        <v>Consolidated property, plant and equipment 2025-26</v>
      </c>
      <c r="D776" s="11" t="s">
        <v>205</v>
      </c>
      <c r="E776" s="7" t="s">
        <v>1417</v>
      </c>
      <c r="F776" s="15"/>
      <c r="G776" s="1254" t="s">
        <v>435</v>
      </c>
      <c r="H776" s="6">
        <v>0</v>
      </c>
      <c r="I776" s="6">
        <v>0</v>
      </c>
      <c r="J776" s="1257" t="s">
        <v>435</v>
      </c>
      <c r="K776" s="251">
        <f>SUMIF('alb Note 5.1 -PP&amp;E - CY'!$A:$A,$J776,'alb Note 5.1 -PP&amp;E - CY'!$I:$I)</f>
        <v>0</v>
      </c>
      <c r="L776" s="251">
        <f>SUMIF('alb Note 5.1 -PP&amp;E - CY'!$A:$A,$J776,'alb Note 5.1 -PP&amp;E - CY'!$T:$T)</f>
        <v>0</v>
      </c>
      <c r="M776" s="10"/>
      <c r="N776" s="273">
        <f>ROUND(SUM(O776:S776)+SUM(W776:AV776),0)</f>
        <v>0</v>
      </c>
      <c r="O776" s="12"/>
      <c r="P776" s="12"/>
      <c r="Q776" s="12"/>
      <c r="R776" s="12"/>
      <c r="S776" s="6">
        <f t="shared" si="441"/>
        <v>0</v>
      </c>
      <c r="T776" s="273">
        <f t="shared" si="445"/>
        <v>0</v>
      </c>
      <c r="U776" s="6">
        <f>SUM(BL776:BN776)</f>
        <v>0</v>
      </c>
      <c r="V776" s="6"/>
      <c r="W776" s="6">
        <f t="shared" si="448"/>
        <v>0</v>
      </c>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X776" s="6"/>
      <c r="AY776" s="6">
        <f>ROUND(AX776/1000/Update!$B$31*Update!$B$27,0)</f>
        <v>0</v>
      </c>
      <c r="BA776" s="6"/>
      <c r="BB776" s="6">
        <f>ROUND(BA776/1000/Update!$B$31,0)</f>
        <v>0</v>
      </c>
      <c r="BC776" s="6"/>
      <c r="BD776" s="29">
        <f t="shared" si="411"/>
        <v>0</v>
      </c>
      <c r="BE776" s="322"/>
      <c r="BF776" s="322"/>
      <c r="BG776" s="322"/>
      <c r="BH776" s="322"/>
      <c r="BI776" s="322"/>
      <c r="BJ776" s="322"/>
      <c r="BK776" s="29">
        <f t="shared" si="435"/>
        <v>0</v>
      </c>
      <c r="BL776" s="322"/>
      <c r="BM776" s="322"/>
      <c r="BN776" s="322"/>
      <c r="BO776" s="322"/>
      <c r="BP776" s="322"/>
      <c r="BQ776" s="322"/>
      <c r="BR776" s="322"/>
      <c r="BS776" s="322"/>
      <c r="BT776" s="322"/>
      <c r="BU776" s="322"/>
      <c r="BV776" s="322"/>
      <c r="BW776" s="322"/>
      <c r="BX776" s="322"/>
      <c r="BY776" s="322"/>
      <c r="BZ776" s="322"/>
      <c r="CA776" s="322"/>
      <c r="CB776" s="322"/>
      <c r="CC776" s="322"/>
      <c r="CD776" s="322"/>
      <c r="CE776" s="322"/>
      <c r="CF776" s="322"/>
      <c r="CG776" s="322"/>
      <c r="CH776" s="322"/>
      <c r="CI776" s="322"/>
      <c r="CM776" s="1139">
        <v>0</v>
      </c>
      <c r="CN776" s="1139">
        <v>0</v>
      </c>
      <c r="CP776" s="923">
        <f t="shared" ref="CP776:CP839" si="449">-V776+BL776+BM776+BN776+CM776</f>
        <v>0</v>
      </c>
      <c r="CZ776" s="330"/>
    </row>
    <row r="777" spans="1:104" ht="15" customHeight="1" x14ac:dyDescent="0.25">
      <c r="A777" s="701">
        <f>MAX($A$6:A776)+1</f>
        <v>777</v>
      </c>
      <c r="B777" s="1291">
        <f t="shared" si="422"/>
        <v>5.0999999999999996</v>
      </c>
      <c r="C777" s="18" t="str">
        <f t="shared" si="421"/>
        <v>Consolidated property, plant and equipment 2025-26</v>
      </c>
      <c r="D777" s="18" t="s">
        <v>205</v>
      </c>
      <c r="E777" s="19" t="s">
        <v>442</v>
      </c>
      <c r="F777" s="20"/>
      <c r="G777" s="1278" t="s">
        <v>442</v>
      </c>
      <c r="H777" s="14">
        <f>SUM(H774:H776)</f>
        <v>0</v>
      </c>
      <c r="I777" s="14">
        <f>SUM(I774:I776)</f>
        <v>0</v>
      </c>
      <c r="J777" s="1258" t="s">
        <v>442</v>
      </c>
      <c r="K777" s="256">
        <f>SUM(K775:K776)</f>
        <v>0</v>
      </c>
      <c r="L777" s="256">
        <f>SUM(L775:L776)</f>
        <v>0</v>
      </c>
      <c r="M777" s="21"/>
      <c r="N777" s="14">
        <f>ROUND(SUM(O777:S777)+T777+SUM(Z777:AV777),0)</f>
        <v>0</v>
      </c>
      <c r="O777" s="14">
        <f t="shared" ref="O777:W777" si="450">SUM(O774:O776)</f>
        <v>0</v>
      </c>
      <c r="P777" s="14">
        <f t="shared" si="450"/>
        <v>0</v>
      </c>
      <c r="Q777" s="14">
        <f t="shared" si="450"/>
        <v>0</v>
      </c>
      <c r="R777" s="14">
        <f t="shared" si="450"/>
        <v>0</v>
      </c>
      <c r="S777" s="14">
        <f t="shared" si="441"/>
        <v>0</v>
      </c>
      <c r="T777" s="14">
        <f t="shared" si="450"/>
        <v>0</v>
      </c>
      <c r="U777" s="14">
        <f t="shared" si="450"/>
        <v>0</v>
      </c>
      <c r="V777" s="14">
        <f t="shared" si="450"/>
        <v>0</v>
      </c>
      <c r="W777" s="14">
        <f t="shared" si="450"/>
        <v>0</v>
      </c>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2"/>
      <c r="AX777" s="14">
        <f>SUM(AX774:AX776)</f>
        <v>0</v>
      </c>
      <c r="AY777" s="14">
        <f>ROUND(AX777/1000/Update!$B$31*Update!$B$27,0)</f>
        <v>0</v>
      </c>
      <c r="AZ777" s="2"/>
      <c r="BA777" s="14">
        <f>SUM(BA774:BA776)</f>
        <v>0</v>
      </c>
      <c r="BB777" s="14">
        <f>ROUND(BA777/1000/Update!$B$31,0)</f>
        <v>0</v>
      </c>
      <c r="BC777" s="14"/>
      <c r="BD777" s="14">
        <f t="shared" si="411"/>
        <v>0</v>
      </c>
      <c r="BE777" s="14">
        <f t="shared" ref="BE777:BJ777" si="451">SUM(BE774:BE776)</f>
        <v>0</v>
      </c>
      <c r="BF777" s="14">
        <f t="shared" si="451"/>
        <v>0</v>
      </c>
      <c r="BG777" s="14">
        <f t="shared" si="451"/>
        <v>0</v>
      </c>
      <c r="BH777" s="14">
        <f t="shared" si="451"/>
        <v>0</v>
      </c>
      <c r="BI777" s="14">
        <f t="shared" si="451"/>
        <v>0</v>
      </c>
      <c r="BJ777" s="14">
        <f t="shared" si="451"/>
        <v>0</v>
      </c>
      <c r="BK777" s="14">
        <f t="shared" si="435"/>
        <v>0</v>
      </c>
      <c r="BL777" s="14"/>
      <c r="BM777" s="14"/>
      <c r="BN777" s="14"/>
      <c r="BO777" s="14"/>
      <c r="BP777" s="14"/>
      <c r="BQ777" s="14"/>
      <c r="BR777" s="14"/>
      <c r="BS777" s="14"/>
      <c r="BT777" s="324"/>
      <c r="BU777" s="14"/>
      <c r="BV777" s="14"/>
      <c r="BW777" s="14"/>
      <c r="BX777" s="14"/>
      <c r="BY777" s="14"/>
      <c r="BZ777" s="14"/>
      <c r="CA777" s="14"/>
      <c r="CB777" s="14"/>
      <c r="CC777" s="14"/>
      <c r="CD777" s="14"/>
      <c r="CE777" s="14"/>
      <c r="CF777" s="14"/>
      <c r="CG777" s="14"/>
      <c r="CH777" s="14"/>
      <c r="CI777" s="14"/>
      <c r="CJ777" s="2"/>
      <c r="CK777" s="2"/>
      <c r="CM777" s="1450">
        <v>0</v>
      </c>
      <c r="CN777" s="1450">
        <v>0</v>
      </c>
      <c r="CP777" s="923">
        <f t="shared" si="449"/>
        <v>0</v>
      </c>
      <c r="CZ777" s="330"/>
    </row>
    <row r="778" spans="1:104" ht="15" customHeight="1" x14ac:dyDescent="0.25">
      <c r="A778" s="684">
        <f>MAX($A$6:A777)+1</f>
        <v>778</v>
      </c>
      <c r="B778" s="3">
        <f t="shared" si="422"/>
        <v>5.0999999999999996</v>
      </c>
      <c r="C778" s="11" t="str">
        <f t="shared" si="421"/>
        <v>Consolidated property, plant and equipment 2025-26</v>
      </c>
      <c r="D778" s="11" t="s">
        <v>205</v>
      </c>
      <c r="E778" s="7" t="s">
        <v>1409</v>
      </c>
      <c r="F778" s="15"/>
      <c r="G778" s="1254" t="s">
        <v>190</v>
      </c>
      <c r="H778" s="6">
        <v>0</v>
      </c>
      <c r="I778" s="6">
        <v>0</v>
      </c>
      <c r="J778" s="1257" t="s">
        <v>190</v>
      </c>
      <c r="K778" s="251">
        <f>SUMIF('alb Note 5.1 -PP&amp;E - CY'!$A:$A,$J778,'alb Note 5.1 -PP&amp;E - CY'!$I:$I)</f>
        <v>0</v>
      </c>
      <c r="L778" s="251">
        <f>SUMIF('alb Note 5.1 -PP&amp;E - CY'!$A:$A,$J778,'alb Note 5.1 -PP&amp;E - CY'!$T:$T)</f>
        <v>0</v>
      </c>
      <c r="M778" s="10"/>
      <c r="N778" s="273">
        <f t="shared" ref="N778:N786" si="452">ROUND(SUM(O778:S778)+SUM(W778:AV778),0)</f>
        <v>0</v>
      </c>
      <c r="O778" s="12"/>
      <c r="P778" s="12"/>
      <c r="Q778" s="12"/>
      <c r="R778" s="12"/>
      <c r="S778" s="6">
        <f t="shared" si="441"/>
        <v>0</v>
      </c>
      <c r="T778" s="273">
        <f t="shared" ref="T778:T786" si="453">ROUND(SUM(U778:Y778),0)</f>
        <v>0</v>
      </c>
      <c r="U778" s="6">
        <f t="shared" ref="U778:U786" si="454">SUM(BL778:BN778)</f>
        <v>0</v>
      </c>
      <c r="V778" s="6"/>
      <c r="W778" s="6">
        <f t="shared" si="448"/>
        <v>0</v>
      </c>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X778" s="6"/>
      <c r="AY778" s="6">
        <f>ROUND(AX778/1000/Update!$B$31*Update!$B$27,0)</f>
        <v>0</v>
      </c>
      <c r="BA778" s="6"/>
      <c r="BB778" s="6">
        <f>ROUND(BA778/1000/Update!$B$31,0)</f>
        <v>0</v>
      </c>
      <c r="BC778" s="6"/>
      <c r="BD778" s="29">
        <f t="shared" si="411"/>
        <v>0</v>
      </c>
      <c r="BE778" s="322"/>
      <c r="BF778" s="322"/>
      <c r="BG778" s="322"/>
      <c r="BH778" s="322"/>
      <c r="BI778" s="322"/>
      <c r="BJ778" s="322"/>
      <c r="BK778" s="29">
        <f t="shared" si="435"/>
        <v>0</v>
      </c>
      <c r="BL778" s="322"/>
      <c r="BM778" s="322"/>
      <c r="BN778" s="322"/>
      <c r="BO778" s="322"/>
      <c r="BP778" s="322"/>
      <c r="BQ778" s="322"/>
      <c r="BR778" s="322"/>
      <c r="BS778" s="322"/>
      <c r="BT778" s="322"/>
      <c r="BU778" s="322"/>
      <c r="BV778" s="322"/>
      <c r="BW778" s="322"/>
      <c r="BX778" s="322"/>
      <c r="BY778" s="322"/>
      <c r="BZ778" s="322"/>
      <c r="CA778" s="322"/>
      <c r="CB778" s="322"/>
      <c r="CC778" s="322"/>
      <c r="CD778" s="322"/>
      <c r="CE778" s="322"/>
      <c r="CF778" s="322"/>
      <c r="CG778" s="322"/>
      <c r="CH778" s="322"/>
      <c r="CI778" s="322"/>
      <c r="CM778" s="1139">
        <v>0</v>
      </c>
      <c r="CN778" s="1139">
        <v>0</v>
      </c>
      <c r="CP778" s="923">
        <f t="shared" si="449"/>
        <v>0</v>
      </c>
      <c r="CZ778" s="330"/>
    </row>
    <row r="779" spans="1:104" ht="15" customHeight="1" x14ac:dyDescent="0.25">
      <c r="A779" s="684">
        <f>MAX($A$6:A778)+1</f>
        <v>779</v>
      </c>
      <c r="B779" s="3">
        <f t="shared" si="422"/>
        <v>5.0999999999999996</v>
      </c>
      <c r="C779" s="11" t="str">
        <f t="shared" si="421"/>
        <v>Consolidated property, plant and equipment 2025-26</v>
      </c>
      <c r="D779" s="11" t="s">
        <v>205</v>
      </c>
      <c r="E779" s="7" t="s">
        <v>457</v>
      </c>
      <c r="F779" s="15"/>
      <c r="G779" s="1254" t="s">
        <v>191</v>
      </c>
      <c r="H779" s="6">
        <v>0</v>
      </c>
      <c r="I779" s="6">
        <v>0</v>
      </c>
      <c r="J779" s="1257" t="s">
        <v>457</v>
      </c>
      <c r="K779" s="251">
        <f>SUMIF('alb Note 5.1 -PP&amp;E - CY'!$A:$A,$J779,'alb Note 5.1 -PP&amp;E - CY'!$I:$I)</f>
        <v>0</v>
      </c>
      <c r="L779" s="251">
        <f>SUMIF('alb Note 5.1 -PP&amp;E - CY'!$A:$A,$J779,'alb Note 5.1 -PP&amp;E - CY'!$T:$T)</f>
        <v>0</v>
      </c>
      <c r="M779" s="10"/>
      <c r="N779" s="273">
        <f t="shared" si="452"/>
        <v>0</v>
      </c>
      <c r="O779" s="12"/>
      <c r="P779" s="12"/>
      <c r="Q779" s="12"/>
      <c r="R779" s="12"/>
      <c r="S779" s="6">
        <f t="shared" si="441"/>
        <v>0</v>
      </c>
      <c r="T779" s="273">
        <f t="shared" si="453"/>
        <v>0</v>
      </c>
      <c r="U779" s="6">
        <f t="shared" si="454"/>
        <v>0</v>
      </c>
      <c r="V779" s="6"/>
      <c r="W779" s="6">
        <f t="shared" si="448"/>
        <v>0</v>
      </c>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X779" s="6"/>
      <c r="AY779" s="6">
        <f>ROUND(AX779/1000/Update!$B$31*Update!$B$27,0)</f>
        <v>0</v>
      </c>
      <c r="BA779" s="6"/>
      <c r="BB779" s="6">
        <f>ROUND(BA779/1000/Update!$B$31,0)</f>
        <v>0</v>
      </c>
      <c r="BC779" s="6"/>
      <c r="BD779" s="29">
        <f t="shared" si="411"/>
        <v>0</v>
      </c>
      <c r="BE779" s="322"/>
      <c r="BF779" s="322"/>
      <c r="BG779" s="322"/>
      <c r="BH779" s="322"/>
      <c r="BI779" s="322"/>
      <c r="BJ779" s="322"/>
      <c r="BK779" s="29">
        <f t="shared" si="435"/>
        <v>0</v>
      </c>
      <c r="BL779" s="322"/>
      <c r="BM779" s="322"/>
      <c r="BN779" s="322"/>
      <c r="BO779" s="322"/>
      <c r="BP779" s="322"/>
      <c r="BQ779" s="322"/>
      <c r="BR779" s="322"/>
      <c r="BS779" s="322"/>
      <c r="BT779" s="322"/>
      <c r="BU779" s="322"/>
      <c r="BV779" s="322"/>
      <c r="BW779" s="322"/>
      <c r="BX779" s="322"/>
      <c r="BY779" s="322"/>
      <c r="BZ779" s="322"/>
      <c r="CA779" s="322"/>
      <c r="CB779" s="322"/>
      <c r="CC779" s="322"/>
      <c r="CD779" s="322"/>
      <c r="CE779" s="322"/>
      <c r="CF779" s="322"/>
      <c r="CG779" s="322"/>
      <c r="CH779" s="322"/>
      <c r="CI779" s="322"/>
      <c r="CM779" s="1139">
        <v>0</v>
      </c>
      <c r="CN779" s="1139">
        <v>0</v>
      </c>
      <c r="CP779" s="923">
        <f t="shared" si="449"/>
        <v>0</v>
      </c>
      <c r="CZ779" s="330"/>
    </row>
    <row r="780" spans="1:104" ht="15" customHeight="1" x14ac:dyDescent="0.25">
      <c r="A780" s="684">
        <f>MAX($A$6:A779)+1</f>
        <v>780</v>
      </c>
      <c r="B780" s="3">
        <f t="shared" si="422"/>
        <v>5.0999999999999996</v>
      </c>
      <c r="C780" s="11" t="str">
        <f t="shared" si="421"/>
        <v>Consolidated property, plant and equipment 2025-26</v>
      </c>
      <c r="D780" s="11" t="s">
        <v>205</v>
      </c>
      <c r="E780" s="7" t="s">
        <v>863</v>
      </c>
      <c r="F780" s="15"/>
      <c r="G780" s="1254" t="s">
        <v>186</v>
      </c>
      <c r="H780" s="6">
        <v>0</v>
      </c>
      <c r="I780" s="6">
        <v>0</v>
      </c>
      <c r="J780" s="1257" t="s">
        <v>863</v>
      </c>
      <c r="K780" s="251">
        <f>SUMIF('alb Note 5.1 -PP&amp;E - CY'!$A:$A,$J780,'alb Note 5.1 -PP&amp;E - CY'!$I:$I)</f>
        <v>0</v>
      </c>
      <c r="L780" s="251">
        <f>SUMIF('alb Note 5.1 -PP&amp;E - CY'!$A:$A,$J780,'alb Note 5.1 -PP&amp;E - CY'!$T:$T)</f>
        <v>0</v>
      </c>
      <c r="M780" s="10"/>
      <c r="N780" s="273">
        <f t="shared" si="452"/>
        <v>0</v>
      </c>
      <c r="O780" s="12"/>
      <c r="P780" s="12"/>
      <c r="Q780" s="12"/>
      <c r="R780" s="12"/>
      <c r="S780" s="6">
        <f t="shared" si="441"/>
        <v>0</v>
      </c>
      <c r="T780" s="273">
        <f t="shared" si="453"/>
        <v>0</v>
      </c>
      <c r="U780" s="6">
        <f t="shared" si="454"/>
        <v>0</v>
      </c>
      <c r="V780" s="6"/>
      <c r="W780" s="6">
        <f t="shared" si="448"/>
        <v>0</v>
      </c>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X780" s="6"/>
      <c r="AY780" s="6">
        <f>ROUND(AX780/1000/Update!$B$31*Update!$B$27,0)</f>
        <v>0</v>
      </c>
      <c r="BA780" s="6"/>
      <c r="BB780" s="6">
        <f>ROUND(BA780/1000/Update!$B$31,0)</f>
        <v>0</v>
      </c>
      <c r="BC780" s="6"/>
      <c r="BD780" s="29">
        <f t="shared" si="411"/>
        <v>0</v>
      </c>
      <c r="BE780" s="322"/>
      <c r="BF780" s="322"/>
      <c r="BG780" s="322"/>
      <c r="BH780" s="322"/>
      <c r="BI780" s="322"/>
      <c r="BJ780" s="322"/>
      <c r="BK780" s="29">
        <f t="shared" si="435"/>
        <v>0</v>
      </c>
      <c r="BL780" s="322"/>
      <c r="BM780" s="322"/>
      <c r="BN780" s="322"/>
      <c r="BO780" s="322"/>
      <c r="BP780" s="322"/>
      <c r="BQ780" s="322"/>
      <c r="BR780" s="322"/>
      <c r="BS780" s="322"/>
      <c r="BT780" s="322"/>
      <c r="BU780" s="322"/>
      <c r="BV780" s="322"/>
      <c r="BW780" s="322"/>
      <c r="BX780" s="322"/>
      <c r="BY780" s="322"/>
      <c r="BZ780" s="322"/>
      <c r="CA780" s="322"/>
      <c r="CB780" s="322"/>
      <c r="CC780" s="322"/>
      <c r="CD780" s="322"/>
      <c r="CE780" s="322"/>
      <c r="CF780" s="322"/>
      <c r="CG780" s="322"/>
      <c r="CH780" s="322"/>
      <c r="CI780" s="322"/>
      <c r="CM780" s="1139">
        <v>0</v>
      </c>
      <c r="CN780" s="1139">
        <v>0</v>
      </c>
      <c r="CP780" s="923">
        <f t="shared" si="449"/>
        <v>0</v>
      </c>
      <c r="CZ780" s="330"/>
    </row>
    <row r="781" spans="1:104" ht="30" customHeight="1" x14ac:dyDescent="0.25">
      <c r="A781" s="684">
        <f>MAX($A$6:A780)+1</f>
        <v>781</v>
      </c>
      <c r="B781" s="3">
        <f t="shared" si="422"/>
        <v>5.0999999999999996</v>
      </c>
      <c r="C781" s="11" t="str">
        <f t="shared" si="421"/>
        <v>Consolidated property, plant and equipment 2025-26</v>
      </c>
      <c r="D781" s="11" t="s">
        <v>205</v>
      </c>
      <c r="E781" s="7" t="s">
        <v>1415</v>
      </c>
      <c r="F781" s="15"/>
      <c r="G781" s="1254" t="s">
        <v>438</v>
      </c>
      <c r="H781" s="6">
        <v>0</v>
      </c>
      <c r="I781" s="6">
        <v>0</v>
      </c>
      <c r="J781" s="1257" t="s">
        <v>864</v>
      </c>
      <c r="K781" s="251">
        <f>SUMIF('alb Note 5.1 -PP&amp;E - CY'!$A:$A,$J781,'alb Note 5.1 -PP&amp;E - CY'!$I:$I)</f>
        <v>0</v>
      </c>
      <c r="L781" s="251">
        <f>SUMIF('alb Note 5.1 -PP&amp;E - CY'!$A:$A,$J781,'alb Note 5.1 -PP&amp;E - CY'!$T:$T)</f>
        <v>0</v>
      </c>
      <c r="M781" s="10"/>
      <c r="N781" s="273">
        <f t="shared" si="452"/>
        <v>0</v>
      </c>
      <c r="O781" s="12"/>
      <c r="P781" s="12"/>
      <c r="Q781" s="12"/>
      <c r="R781" s="12"/>
      <c r="S781" s="6">
        <f t="shared" si="441"/>
        <v>0</v>
      </c>
      <c r="T781" s="273">
        <f t="shared" si="453"/>
        <v>0</v>
      </c>
      <c r="U781" s="6">
        <f t="shared" si="454"/>
        <v>0</v>
      </c>
      <c r="V781" s="6"/>
      <c r="W781" s="6">
        <f t="shared" si="448"/>
        <v>0</v>
      </c>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X781" s="6"/>
      <c r="AY781" s="6">
        <f>ROUND(AX781/1000/Update!$B$31*Update!$B$27,0)</f>
        <v>0</v>
      </c>
      <c r="BA781" s="6"/>
      <c r="BB781" s="6">
        <f>ROUND(BA781/1000/Update!$B$31,0)</f>
        <v>0</v>
      </c>
      <c r="BC781" s="6"/>
      <c r="BD781" s="29">
        <f t="shared" si="411"/>
        <v>0</v>
      </c>
      <c r="BE781" s="322"/>
      <c r="BF781" s="322"/>
      <c r="BG781" s="322"/>
      <c r="BH781" s="322"/>
      <c r="BI781" s="322"/>
      <c r="BJ781" s="322"/>
      <c r="BK781" s="29">
        <f t="shared" si="435"/>
        <v>0</v>
      </c>
      <c r="BL781" s="322"/>
      <c r="BM781" s="322"/>
      <c r="BN781" s="322"/>
      <c r="BO781" s="322"/>
      <c r="BP781" s="322"/>
      <c r="BQ781" s="322"/>
      <c r="BR781" s="322"/>
      <c r="BS781" s="322"/>
      <c r="BT781" s="322"/>
      <c r="BU781" s="322"/>
      <c r="BV781" s="322"/>
      <c r="BW781" s="322"/>
      <c r="BX781" s="322"/>
      <c r="BY781" s="322"/>
      <c r="BZ781" s="322"/>
      <c r="CA781" s="322"/>
      <c r="CB781" s="322"/>
      <c r="CC781" s="322"/>
      <c r="CD781" s="322"/>
      <c r="CE781" s="322"/>
      <c r="CF781" s="322"/>
      <c r="CG781" s="322"/>
      <c r="CH781" s="322"/>
      <c r="CI781" s="322"/>
      <c r="CM781" s="1139">
        <v>0</v>
      </c>
      <c r="CN781" s="1139">
        <v>0</v>
      </c>
      <c r="CP781" s="923">
        <f t="shared" si="449"/>
        <v>0</v>
      </c>
      <c r="CZ781" s="330"/>
    </row>
    <row r="782" spans="1:104" ht="51" customHeight="1" x14ac:dyDescent="0.25">
      <c r="A782" s="684">
        <f>MAX($A$6:A781)+1</f>
        <v>782</v>
      </c>
      <c r="B782" s="3">
        <f t="shared" si="422"/>
        <v>5.0999999999999996</v>
      </c>
      <c r="C782" s="11" t="str">
        <f t="shared" si="421"/>
        <v>Consolidated property, plant and equipment 2025-26</v>
      </c>
      <c r="D782" s="11" t="s">
        <v>205</v>
      </c>
      <c r="E782" s="7" t="s">
        <v>1410</v>
      </c>
      <c r="F782" s="15"/>
      <c r="G782" s="1254" t="s">
        <v>193</v>
      </c>
      <c r="H782" s="6">
        <v>0</v>
      </c>
      <c r="I782" s="6">
        <v>0</v>
      </c>
      <c r="J782" s="1257" t="s">
        <v>865</v>
      </c>
      <c r="K782" s="251">
        <f>SUMIF('alb Note 5.1 -PP&amp;E - CY'!$A:$A,$J782,'alb Note 5.1 -PP&amp;E - CY'!$I:$I)</f>
        <v>0</v>
      </c>
      <c r="L782" s="251">
        <f>SUMIF('alb Note 5.1 -PP&amp;E - CY'!$A:$A,$J782,'alb Note 5.1 -PP&amp;E - CY'!$T:$T)</f>
        <v>0</v>
      </c>
      <c r="M782" s="10"/>
      <c r="N782" s="273">
        <f t="shared" si="452"/>
        <v>0</v>
      </c>
      <c r="O782" s="12"/>
      <c r="P782" s="12"/>
      <c r="Q782" s="12"/>
      <c r="R782" s="12"/>
      <c r="S782" s="6">
        <f t="shared" si="441"/>
        <v>0</v>
      </c>
      <c r="T782" s="273">
        <f t="shared" si="453"/>
        <v>0</v>
      </c>
      <c r="U782" s="6">
        <f t="shared" si="454"/>
        <v>0</v>
      </c>
      <c r="V782" s="6"/>
      <c r="W782" s="6">
        <f t="shared" si="448"/>
        <v>0</v>
      </c>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X782" s="6"/>
      <c r="AY782" s="6">
        <f>ROUND(AX782/1000/Update!$B$31*Update!$B$27,0)</f>
        <v>0</v>
      </c>
      <c r="BA782" s="6"/>
      <c r="BB782" s="6">
        <f>ROUND(BA782/1000/Update!$B$31,0)</f>
        <v>0</v>
      </c>
      <c r="BC782" s="6"/>
      <c r="BD782" s="29">
        <f t="shared" si="411"/>
        <v>0</v>
      </c>
      <c r="BE782" s="322"/>
      <c r="BF782" s="322"/>
      <c r="BG782" s="322"/>
      <c r="BH782" s="322"/>
      <c r="BI782" s="322"/>
      <c r="BJ782" s="322"/>
      <c r="BK782" s="29">
        <f t="shared" si="435"/>
        <v>0</v>
      </c>
      <c r="BL782" s="322"/>
      <c r="BM782" s="322"/>
      <c r="BN782" s="322"/>
      <c r="BO782" s="322"/>
      <c r="BP782" s="322"/>
      <c r="BQ782" s="322"/>
      <c r="BR782" s="322"/>
      <c r="BS782" s="322"/>
      <c r="BT782" s="322"/>
      <c r="BU782" s="322"/>
      <c r="BV782" s="322"/>
      <c r="BW782" s="322"/>
      <c r="BX782" s="322"/>
      <c r="BY782" s="322"/>
      <c r="BZ782" s="322"/>
      <c r="CA782" s="322"/>
      <c r="CB782" s="322"/>
      <c r="CC782" s="322"/>
      <c r="CD782" s="322"/>
      <c r="CE782" s="322"/>
      <c r="CF782" s="322"/>
      <c r="CG782" s="322"/>
      <c r="CH782" s="322"/>
      <c r="CI782" s="322"/>
      <c r="CM782" s="1139">
        <v>0</v>
      </c>
      <c r="CN782" s="1139">
        <v>0</v>
      </c>
      <c r="CP782" s="923">
        <f t="shared" si="449"/>
        <v>0</v>
      </c>
      <c r="CZ782" s="330"/>
    </row>
    <row r="783" spans="1:104" ht="15" customHeight="1" x14ac:dyDescent="0.25">
      <c r="A783" s="684">
        <f>MAX($A$6:A782)+1</f>
        <v>783</v>
      </c>
      <c r="B783" s="3">
        <f t="shared" si="422"/>
        <v>5.0999999999999996</v>
      </c>
      <c r="C783" s="11" t="str">
        <f t="shared" si="421"/>
        <v>Consolidated property, plant and equipment 2025-26</v>
      </c>
      <c r="D783" s="11" t="str">
        <f>D782</f>
        <v>Payments on Account and Assets Under construction</v>
      </c>
      <c r="E783" s="7" t="s">
        <v>810</v>
      </c>
      <c r="F783" s="15"/>
      <c r="G783" s="1254" t="s">
        <v>286</v>
      </c>
      <c r="H783" s="6">
        <v>0</v>
      </c>
      <c r="I783" s="6">
        <v>0</v>
      </c>
      <c r="J783" s="1257" t="s">
        <v>866</v>
      </c>
      <c r="K783" s="251">
        <f>SUMIF('alb Note 5.1 -PP&amp;E - CY'!$A:$A,$J783,'alb Note 5.1 -PP&amp;E - CY'!$I:$I)</f>
        <v>0</v>
      </c>
      <c r="L783" s="251">
        <f>SUMIF('alb Note 5.1 -PP&amp;E - CY'!$A:$A,$J783,'alb Note 5.1 -PP&amp;E - CY'!$T:$T)</f>
        <v>0</v>
      </c>
      <c r="M783" s="10"/>
      <c r="N783" s="273">
        <f t="shared" si="452"/>
        <v>0</v>
      </c>
      <c r="O783" s="12"/>
      <c r="P783" s="12"/>
      <c r="Q783" s="12"/>
      <c r="R783" s="12"/>
      <c r="S783" s="6">
        <f t="shared" si="441"/>
        <v>0</v>
      </c>
      <c r="T783" s="273">
        <f t="shared" si="453"/>
        <v>0</v>
      </c>
      <c r="U783" s="6">
        <f t="shared" si="454"/>
        <v>0</v>
      </c>
      <c r="V783" s="6"/>
      <c r="W783" s="6">
        <f t="shared" si="448"/>
        <v>0</v>
      </c>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X783" s="6"/>
      <c r="AY783" s="6">
        <f>ROUND(AX783/1000/Update!$B$31*Update!$B$27,0)</f>
        <v>0</v>
      </c>
      <c r="BA783" s="6"/>
      <c r="BB783" s="6">
        <f>ROUND(BA783/1000/Update!$B$31,0)</f>
        <v>0</v>
      </c>
      <c r="BC783" s="6"/>
      <c r="BD783" s="29">
        <f t="shared" si="411"/>
        <v>0</v>
      </c>
      <c r="BE783" s="322"/>
      <c r="BF783" s="322"/>
      <c r="BG783" s="322"/>
      <c r="BH783" s="322"/>
      <c r="BI783" s="322"/>
      <c r="BJ783" s="322"/>
      <c r="BK783" s="29">
        <f t="shared" si="435"/>
        <v>0</v>
      </c>
      <c r="BL783" s="322"/>
      <c r="BM783" s="322"/>
      <c r="BN783" s="322"/>
      <c r="BO783" s="322"/>
      <c r="BP783" s="322"/>
      <c r="BQ783" s="322"/>
      <c r="BR783" s="322"/>
      <c r="BS783" s="322"/>
      <c r="BT783" s="322"/>
      <c r="BU783" s="322"/>
      <c r="BV783" s="322"/>
      <c r="BW783" s="322"/>
      <c r="BX783" s="322"/>
      <c r="BY783" s="322"/>
      <c r="BZ783" s="322"/>
      <c r="CA783" s="322"/>
      <c r="CB783" s="322"/>
      <c r="CC783" s="322"/>
      <c r="CD783" s="322"/>
      <c r="CE783" s="322"/>
      <c r="CF783" s="322"/>
      <c r="CG783" s="322"/>
      <c r="CH783" s="322"/>
      <c r="CI783" s="322"/>
      <c r="CM783" s="1139">
        <v>0</v>
      </c>
      <c r="CN783" s="1139">
        <v>0</v>
      </c>
      <c r="CP783" s="923">
        <f t="shared" si="449"/>
        <v>0</v>
      </c>
      <c r="CZ783" s="330"/>
    </row>
    <row r="784" spans="1:104" ht="15" customHeight="1" x14ac:dyDescent="0.25">
      <c r="A784" s="684">
        <f>MAX($A$6:A783)+1</f>
        <v>784</v>
      </c>
      <c r="B784" s="3">
        <f t="shared" si="422"/>
        <v>5.0999999999999996</v>
      </c>
      <c r="C784" s="11" t="str">
        <f>C782</f>
        <v>Consolidated property, plant and equipment 2025-26</v>
      </c>
      <c r="D784" s="11" t="s">
        <v>205</v>
      </c>
      <c r="E784" s="7" t="s">
        <v>867</v>
      </c>
      <c r="F784" s="15"/>
      <c r="G784" s="1254" t="s">
        <v>187</v>
      </c>
      <c r="H784" s="6">
        <v>0</v>
      </c>
      <c r="I784" s="6">
        <v>0</v>
      </c>
      <c r="J784" s="1257" t="s">
        <v>867</v>
      </c>
      <c r="K784" s="251">
        <f>SUMIF('alb Note 5.1 -PP&amp;E - CY'!$A:$A,$J784,'alb Note 5.1 -PP&amp;E - CY'!$I:$I)</f>
        <v>0</v>
      </c>
      <c r="L784" s="251">
        <f>SUMIF('alb Note 5.1 -PP&amp;E - CY'!$A:$A,$J784,'alb Note 5.1 -PP&amp;E - CY'!$T:$T)</f>
        <v>0</v>
      </c>
      <c r="M784" s="10"/>
      <c r="N784" s="273">
        <f t="shared" si="452"/>
        <v>0</v>
      </c>
      <c r="O784" s="12"/>
      <c r="P784" s="12"/>
      <c r="Q784" s="12"/>
      <c r="R784" s="12"/>
      <c r="S784" s="6">
        <f t="shared" si="441"/>
        <v>0</v>
      </c>
      <c r="T784" s="273">
        <f t="shared" si="453"/>
        <v>0</v>
      </c>
      <c r="U784" s="6">
        <f t="shared" si="454"/>
        <v>0</v>
      </c>
      <c r="V784" s="6"/>
      <c r="W784" s="6">
        <f t="shared" si="448"/>
        <v>0</v>
      </c>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X784" s="6"/>
      <c r="AY784" s="6">
        <f>ROUND(AX784/1000/Update!$B$31*Update!$B$27,0)</f>
        <v>0</v>
      </c>
      <c r="BA784" s="6"/>
      <c r="BB784" s="6">
        <f>ROUND(BA784/1000/Update!$B$31,0)</f>
        <v>0</v>
      </c>
      <c r="BC784" s="6"/>
      <c r="BD784" s="29">
        <f t="shared" ref="BD784:BD858" si="455">ROUND(SUM(BE784:BK784),0)</f>
        <v>0</v>
      </c>
      <c r="BE784" s="322"/>
      <c r="BF784" s="322"/>
      <c r="BG784" s="322"/>
      <c r="BH784" s="322"/>
      <c r="BI784" s="322"/>
      <c r="BJ784" s="322"/>
      <c r="BK784" s="29">
        <f t="shared" si="435"/>
        <v>0</v>
      </c>
      <c r="BL784" s="322"/>
      <c r="BM784" s="322"/>
      <c r="BN784" s="322"/>
      <c r="BO784" s="322"/>
      <c r="BP784" s="322"/>
      <c r="BQ784" s="322"/>
      <c r="BR784" s="322"/>
      <c r="BS784" s="322"/>
      <c r="BT784" s="322"/>
      <c r="BU784" s="322"/>
      <c r="BV784" s="322"/>
      <c r="BW784" s="322"/>
      <c r="BX784" s="322"/>
      <c r="BY784" s="322"/>
      <c r="BZ784" s="322"/>
      <c r="CA784" s="322"/>
      <c r="CB784" s="322"/>
      <c r="CC784" s="322"/>
      <c r="CD784" s="322"/>
      <c r="CE784" s="322"/>
      <c r="CF784" s="322"/>
      <c r="CG784" s="322"/>
      <c r="CH784" s="322"/>
      <c r="CI784" s="322"/>
      <c r="CM784" s="1139">
        <v>0</v>
      </c>
      <c r="CN784" s="1139">
        <v>0</v>
      </c>
      <c r="CP784" s="923">
        <f t="shared" si="449"/>
        <v>0</v>
      </c>
      <c r="CZ784" s="330"/>
    </row>
    <row r="785" spans="1:104" ht="15" customHeight="1" x14ac:dyDescent="0.25">
      <c r="A785" s="684">
        <f>MAX($A$6:A784)+1</f>
        <v>785</v>
      </c>
      <c r="B785" s="3">
        <f t="shared" si="422"/>
        <v>5.0999999999999996</v>
      </c>
      <c r="C785" s="11" t="str">
        <f t="shared" si="421"/>
        <v>Consolidated property, plant and equipment 2025-26</v>
      </c>
      <c r="D785" s="11" t="s">
        <v>205</v>
      </c>
      <c r="E785" s="7" t="s">
        <v>868</v>
      </c>
      <c r="F785" s="15"/>
      <c r="G785" s="1254" t="s">
        <v>188</v>
      </c>
      <c r="H785" s="6">
        <v>0</v>
      </c>
      <c r="I785" s="6">
        <v>0</v>
      </c>
      <c r="J785" s="1257" t="s">
        <v>868</v>
      </c>
      <c r="K785" s="251">
        <f>SUMIF('alb Note 5.1 -PP&amp;E - CY'!$A:$A,$J785,'alb Note 5.1 -PP&amp;E - CY'!$I:$I)</f>
        <v>0</v>
      </c>
      <c r="L785" s="251">
        <f>SUMIF('alb Note 5.1 -PP&amp;E - CY'!$A:$A,$J785,'alb Note 5.1 -PP&amp;E - CY'!$T:$T)</f>
        <v>0</v>
      </c>
      <c r="M785" s="10"/>
      <c r="N785" s="273">
        <f t="shared" si="452"/>
        <v>0</v>
      </c>
      <c r="O785" s="12"/>
      <c r="P785" s="12"/>
      <c r="Q785" s="12"/>
      <c r="R785" s="12"/>
      <c r="S785" s="6">
        <f t="shared" si="441"/>
        <v>0</v>
      </c>
      <c r="T785" s="273">
        <f t="shared" si="453"/>
        <v>0</v>
      </c>
      <c r="U785" s="6">
        <f t="shared" si="454"/>
        <v>0</v>
      </c>
      <c r="V785" s="6"/>
      <c r="W785" s="6">
        <f t="shared" si="448"/>
        <v>0</v>
      </c>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X785" s="6"/>
      <c r="AY785" s="6">
        <f>ROUND(AX785/1000/Update!$B$31*Update!$B$27,0)</f>
        <v>0</v>
      </c>
      <c r="BA785" s="6"/>
      <c r="BB785" s="6">
        <f>ROUND(BA785/1000/Update!$B$31,0)</f>
        <v>0</v>
      </c>
      <c r="BC785" s="6"/>
      <c r="BD785" s="29">
        <f t="shared" si="455"/>
        <v>0</v>
      </c>
      <c r="BE785" s="322"/>
      <c r="BF785" s="322"/>
      <c r="BG785" s="322"/>
      <c r="BH785" s="322"/>
      <c r="BI785" s="322"/>
      <c r="BJ785" s="322"/>
      <c r="BK785" s="29">
        <f t="shared" si="435"/>
        <v>0</v>
      </c>
      <c r="BL785" s="322"/>
      <c r="BM785" s="322"/>
      <c r="BN785" s="322"/>
      <c r="BO785" s="322"/>
      <c r="BP785" s="322"/>
      <c r="BQ785" s="322"/>
      <c r="BR785" s="322"/>
      <c r="BS785" s="322"/>
      <c r="BT785" s="322"/>
      <c r="BU785" s="322"/>
      <c r="BV785" s="322"/>
      <c r="BW785" s="322"/>
      <c r="BX785" s="322"/>
      <c r="BY785" s="322"/>
      <c r="BZ785" s="322"/>
      <c r="CA785" s="322"/>
      <c r="CB785" s="322"/>
      <c r="CC785" s="322"/>
      <c r="CD785" s="322"/>
      <c r="CE785" s="322"/>
      <c r="CF785" s="322"/>
      <c r="CG785" s="322"/>
      <c r="CH785" s="322"/>
      <c r="CI785" s="322"/>
      <c r="CM785" s="1139">
        <v>0</v>
      </c>
      <c r="CN785" s="1139">
        <v>0</v>
      </c>
      <c r="CP785" s="923">
        <f t="shared" si="449"/>
        <v>0</v>
      </c>
      <c r="CZ785" s="330"/>
    </row>
    <row r="786" spans="1:104" ht="15" customHeight="1" x14ac:dyDescent="0.25">
      <c r="A786" s="684">
        <f>MAX($A$6:A785)+1</f>
        <v>786</v>
      </c>
      <c r="B786" s="3">
        <f t="shared" si="422"/>
        <v>5.0999999999999996</v>
      </c>
      <c r="C786" s="11" t="str">
        <f t="shared" si="421"/>
        <v>Consolidated property, plant and equipment 2025-26</v>
      </c>
      <c r="D786" s="11" t="s">
        <v>205</v>
      </c>
      <c r="E786" s="7" t="s">
        <v>1416</v>
      </c>
      <c r="F786" s="15"/>
      <c r="G786" s="1254" t="s">
        <v>189</v>
      </c>
      <c r="H786" s="6">
        <v>0</v>
      </c>
      <c r="I786" s="6">
        <v>0</v>
      </c>
      <c r="J786" s="1257" t="s">
        <v>870</v>
      </c>
      <c r="K786" s="251">
        <f>SUMIF('alb Note 5.1 -PP&amp;E - CY'!$A:$A,$J786,'alb Note 5.1 -PP&amp;E - CY'!$I:$I)</f>
        <v>0</v>
      </c>
      <c r="L786" s="251">
        <f>SUMIF('alb Note 5.1 -PP&amp;E - CY'!$A:$A,$J786,'alb Note 5.1 -PP&amp;E - CY'!$T:$T)</f>
        <v>0</v>
      </c>
      <c r="M786" s="10"/>
      <c r="N786" s="273">
        <f t="shared" si="452"/>
        <v>0</v>
      </c>
      <c r="O786" s="12"/>
      <c r="P786" s="12"/>
      <c r="Q786" s="12"/>
      <c r="R786" s="12"/>
      <c r="S786" s="6">
        <f t="shared" si="441"/>
        <v>0</v>
      </c>
      <c r="T786" s="273">
        <f t="shared" si="453"/>
        <v>0</v>
      </c>
      <c r="U786" s="6">
        <f t="shared" si="454"/>
        <v>0</v>
      </c>
      <c r="V786" s="6"/>
      <c r="W786" s="6">
        <f t="shared" si="448"/>
        <v>0</v>
      </c>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X786" s="6"/>
      <c r="AY786" s="6">
        <f>ROUND(AX786/1000/Update!$B$31*Update!$B$27,0)</f>
        <v>0</v>
      </c>
      <c r="BA786" s="6"/>
      <c r="BB786" s="6">
        <f>ROUND(BA786/1000/Update!$B$31,0)</f>
        <v>0</v>
      </c>
      <c r="BC786" s="6"/>
      <c r="BD786" s="29">
        <f t="shared" si="455"/>
        <v>0</v>
      </c>
      <c r="BE786" s="322"/>
      <c r="BF786" s="322"/>
      <c r="BG786" s="322"/>
      <c r="BH786" s="322"/>
      <c r="BI786" s="322"/>
      <c r="BJ786" s="322"/>
      <c r="BK786" s="29">
        <f t="shared" si="435"/>
        <v>0</v>
      </c>
      <c r="BL786" s="322"/>
      <c r="BM786" s="322"/>
      <c r="BN786" s="322"/>
      <c r="BO786" s="322"/>
      <c r="BP786" s="322"/>
      <c r="BQ786" s="322"/>
      <c r="BR786" s="322"/>
      <c r="BS786" s="322"/>
      <c r="BT786" s="322"/>
      <c r="BU786" s="322"/>
      <c r="BV786" s="322"/>
      <c r="BW786" s="322"/>
      <c r="BX786" s="322"/>
      <c r="BY786" s="322"/>
      <c r="BZ786" s="322"/>
      <c r="CA786" s="322"/>
      <c r="CB786" s="322"/>
      <c r="CC786" s="322"/>
      <c r="CD786" s="322"/>
      <c r="CE786" s="322"/>
      <c r="CF786" s="322"/>
      <c r="CG786" s="322"/>
      <c r="CH786" s="322"/>
      <c r="CI786" s="322"/>
      <c r="CM786" s="1139">
        <v>0</v>
      </c>
      <c r="CN786" s="1139">
        <v>0</v>
      </c>
      <c r="CP786" s="923">
        <f t="shared" si="449"/>
        <v>0</v>
      </c>
      <c r="CZ786" s="330"/>
    </row>
    <row r="787" spans="1:104" ht="15" customHeight="1" x14ac:dyDescent="0.25">
      <c r="A787" s="701">
        <f>MAX($A$6:A786)+1</f>
        <v>787</v>
      </c>
      <c r="B787" s="1291">
        <f t="shared" si="422"/>
        <v>5.0999999999999996</v>
      </c>
      <c r="C787" s="18" t="str">
        <f t="shared" si="421"/>
        <v>Consolidated property, plant and equipment 2025-26</v>
      </c>
      <c r="D787" s="18" t="s">
        <v>205</v>
      </c>
      <c r="E787" s="19" t="str">
        <f>Update!$B$22</f>
        <v xml:space="preserve"> 31 March 2026</v>
      </c>
      <c r="F787" s="20"/>
      <c r="G787" s="28"/>
      <c r="H787" s="14">
        <f>SUM(H777:H786)</f>
        <v>0</v>
      </c>
      <c r="I787" s="14">
        <f>SUM(I777:I786)</f>
        <v>0</v>
      </c>
      <c r="J787" s="1258" t="s">
        <v>2456</v>
      </c>
      <c r="K787" s="256">
        <f>SUM(K777:K786)</f>
        <v>0</v>
      </c>
      <c r="L787" s="256">
        <f>SUM(L777:L786)</f>
        <v>0</v>
      </c>
      <c r="M787" s="21"/>
      <c r="N787" s="14">
        <f>ROUND(SUM(O787:S787)+T787+SUM(Z787:AV787),0)</f>
        <v>0</v>
      </c>
      <c r="O787" s="14">
        <f t="shared" ref="O787:V787" si="456">SUM(O777:O786)</f>
        <v>0</v>
      </c>
      <c r="P787" s="14">
        <f t="shared" si="456"/>
        <v>0</v>
      </c>
      <c r="Q787" s="14">
        <f t="shared" si="456"/>
        <v>0</v>
      </c>
      <c r="R787" s="14">
        <f t="shared" si="456"/>
        <v>0</v>
      </c>
      <c r="S787" s="14">
        <f t="shared" si="441"/>
        <v>0</v>
      </c>
      <c r="T787" s="14">
        <f t="shared" si="456"/>
        <v>0</v>
      </c>
      <c r="U787" s="14">
        <f t="shared" si="456"/>
        <v>0</v>
      </c>
      <c r="V787" s="14">
        <f t="shared" si="456"/>
        <v>0</v>
      </c>
      <c r="W787" s="14">
        <f>SUM(W777:W786)</f>
        <v>0</v>
      </c>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2"/>
      <c r="AX787" s="14">
        <f>SUM(AX777:AX786)</f>
        <v>0</v>
      </c>
      <c r="AY787" s="14">
        <f>ROUND(AX787/1000/Update!$B$31*Update!$B$27,0)</f>
        <v>0</v>
      </c>
      <c r="AZ787" s="2"/>
      <c r="BA787" s="14">
        <f>SUM(BA777:BA786)</f>
        <v>0</v>
      </c>
      <c r="BB787" s="14">
        <f>ROUND(BA787/1000/Update!$B$31,0)</f>
        <v>0</v>
      </c>
      <c r="BC787" s="14"/>
      <c r="BD787" s="14">
        <f t="shared" si="455"/>
        <v>0</v>
      </c>
      <c r="BE787" s="14">
        <f t="shared" ref="BE787:BJ787" si="457">SUM(BE777:BE786)</f>
        <v>0</v>
      </c>
      <c r="BF787" s="14">
        <f t="shared" si="457"/>
        <v>0</v>
      </c>
      <c r="BG787" s="14">
        <f t="shared" si="457"/>
        <v>0</v>
      </c>
      <c r="BH787" s="14">
        <f t="shared" si="457"/>
        <v>0</v>
      </c>
      <c r="BI787" s="14">
        <f t="shared" si="457"/>
        <v>0</v>
      </c>
      <c r="BJ787" s="14">
        <f t="shared" si="457"/>
        <v>0</v>
      </c>
      <c r="BK787" s="14">
        <f t="shared" si="435"/>
        <v>0</v>
      </c>
      <c r="BL787" s="14"/>
      <c r="BM787" s="14"/>
      <c r="BN787" s="14"/>
      <c r="BO787" s="14"/>
      <c r="BP787" s="14"/>
      <c r="BQ787" s="14"/>
      <c r="BR787" s="14"/>
      <c r="BS787" s="14"/>
      <c r="BT787" s="324"/>
      <c r="BU787" s="14"/>
      <c r="BV787" s="14"/>
      <c r="BW787" s="14"/>
      <c r="BX787" s="14"/>
      <c r="BY787" s="14"/>
      <c r="BZ787" s="14"/>
      <c r="CA787" s="14"/>
      <c r="CB787" s="14"/>
      <c r="CC787" s="14"/>
      <c r="CD787" s="14"/>
      <c r="CE787" s="14"/>
      <c r="CF787" s="14"/>
      <c r="CG787" s="14"/>
      <c r="CH787" s="14"/>
      <c r="CI787" s="14"/>
      <c r="CJ787" s="2"/>
      <c r="CK787" s="2"/>
      <c r="CM787" s="1450">
        <v>0</v>
      </c>
      <c r="CN787" s="1450">
        <v>0</v>
      </c>
      <c r="CP787" s="923">
        <f t="shared" si="449"/>
        <v>0</v>
      </c>
      <c r="CZ787" s="330"/>
    </row>
    <row r="788" spans="1:104" ht="15" customHeight="1" x14ac:dyDescent="0.25">
      <c r="A788" s="701">
        <f>MAX($A$6:A787)+1</f>
        <v>788</v>
      </c>
      <c r="B788" s="1291">
        <f t="shared" si="422"/>
        <v>5.0999999999999996</v>
      </c>
      <c r="C788" s="18" t="str">
        <f t="shared" si="421"/>
        <v>Consolidated property, plant and equipment 2025-26</v>
      </c>
      <c r="D788" s="18" t="s">
        <v>205</v>
      </c>
      <c r="E788" s="19" t="str">
        <f>"Carrying amount "&amp;Update!$B$22</f>
        <v>Carrying amount  31 March 2026</v>
      </c>
      <c r="F788" s="20"/>
      <c r="G788" s="28"/>
      <c r="H788" s="14">
        <f>H773-H787</f>
        <v>0</v>
      </c>
      <c r="I788" s="14">
        <f>I773-I787</f>
        <v>0</v>
      </c>
      <c r="J788" s="1258" t="s">
        <v>2493</v>
      </c>
      <c r="K788" s="256">
        <f>K773-K787</f>
        <v>0</v>
      </c>
      <c r="L788" s="256">
        <f>L773-L787</f>
        <v>0</v>
      </c>
      <c r="M788" s="21"/>
      <c r="N788" s="14">
        <f>ROUND(SUM(O788:S788)+T788+SUM(Z788:AV788),0)</f>
        <v>0</v>
      </c>
      <c r="O788" s="14">
        <f>O773-O787</f>
        <v>0</v>
      </c>
      <c r="P788" s="14">
        <f t="shared" ref="P788:V788" si="458">P773-P787</f>
        <v>0</v>
      </c>
      <c r="Q788" s="14">
        <f t="shared" si="458"/>
        <v>0</v>
      </c>
      <c r="R788" s="14">
        <f t="shared" si="458"/>
        <v>0</v>
      </c>
      <c r="S788" s="14">
        <f t="shared" si="441"/>
        <v>0</v>
      </c>
      <c r="T788" s="14">
        <f t="shared" si="458"/>
        <v>0</v>
      </c>
      <c r="U788" s="14">
        <f t="shared" si="458"/>
        <v>0</v>
      </c>
      <c r="V788" s="14">
        <f t="shared" si="458"/>
        <v>0</v>
      </c>
      <c r="W788" s="14">
        <f>W773-W787</f>
        <v>0</v>
      </c>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2"/>
      <c r="AX788" s="14">
        <f>AX773-AX787</f>
        <v>0</v>
      </c>
      <c r="AY788" s="14">
        <f>ROUND(AX788/1000/Update!$B$31*Update!$B$27,0)</f>
        <v>0</v>
      </c>
      <c r="AZ788" s="2"/>
      <c r="BA788" s="14">
        <f>BA773-BA787</f>
        <v>0</v>
      </c>
      <c r="BB788" s="14">
        <f>ROUND(BA788/1000/Update!$B$31,0)</f>
        <v>0</v>
      </c>
      <c r="BC788" s="14"/>
      <c r="BD788" s="14">
        <f t="shared" si="455"/>
        <v>0</v>
      </c>
      <c r="BE788" s="14">
        <f t="shared" ref="BE788:BJ788" si="459">BE773-BE787</f>
        <v>0</v>
      </c>
      <c r="BF788" s="14">
        <f t="shared" si="459"/>
        <v>0</v>
      </c>
      <c r="BG788" s="14">
        <f t="shared" si="459"/>
        <v>0</v>
      </c>
      <c r="BH788" s="14">
        <f t="shared" si="459"/>
        <v>0</v>
      </c>
      <c r="BI788" s="14">
        <f t="shared" si="459"/>
        <v>0</v>
      </c>
      <c r="BJ788" s="14">
        <f t="shared" si="459"/>
        <v>0</v>
      </c>
      <c r="BK788" s="14">
        <f t="shared" si="435"/>
        <v>0</v>
      </c>
      <c r="BL788" s="14"/>
      <c r="BM788" s="14"/>
      <c r="BN788" s="14"/>
      <c r="BO788" s="14"/>
      <c r="BP788" s="14"/>
      <c r="BQ788" s="14"/>
      <c r="BR788" s="14"/>
      <c r="BS788" s="14"/>
      <c r="BT788" s="324"/>
      <c r="BU788" s="14"/>
      <c r="BV788" s="14"/>
      <c r="BW788" s="14"/>
      <c r="BX788" s="14"/>
      <c r="BY788" s="14"/>
      <c r="BZ788" s="14"/>
      <c r="CA788" s="14"/>
      <c r="CB788" s="14"/>
      <c r="CC788" s="14"/>
      <c r="CD788" s="14"/>
      <c r="CE788" s="14"/>
      <c r="CF788" s="14"/>
      <c r="CG788" s="14"/>
      <c r="CH788" s="14"/>
      <c r="CI788" s="14"/>
      <c r="CJ788" s="2"/>
      <c r="CK788" s="2"/>
      <c r="CM788" s="1450">
        <v>0</v>
      </c>
      <c r="CN788" s="1450">
        <v>0</v>
      </c>
      <c r="CP788" s="923">
        <f t="shared" si="449"/>
        <v>0</v>
      </c>
      <c r="CZ788" s="330"/>
    </row>
    <row r="789" spans="1:104" ht="15" customHeight="1" x14ac:dyDescent="0.25">
      <c r="A789" s="701">
        <f>MAX($A$6:A788)+1</f>
        <v>789</v>
      </c>
      <c r="B789" s="1291">
        <f t="shared" si="422"/>
        <v>5.0999999999999996</v>
      </c>
      <c r="C789" s="18" t="str">
        <f t="shared" si="421"/>
        <v>Consolidated property, plant and equipment 2025-26</v>
      </c>
      <c r="D789" s="18" t="s">
        <v>205</v>
      </c>
      <c r="E789" s="19" t="str">
        <f>"Carrying amount "&amp;Update!$B$24</f>
        <v>Carrying amount  31 March 2025</v>
      </c>
      <c r="F789" s="20"/>
      <c r="G789" s="28"/>
      <c r="H789" s="14">
        <f>H760-H775</f>
        <v>0</v>
      </c>
      <c r="I789" s="14">
        <f>I762-I775</f>
        <v>0</v>
      </c>
      <c r="J789" s="1258" t="s">
        <v>2494</v>
      </c>
      <c r="K789" s="256">
        <f>K760-K775</f>
        <v>0</v>
      </c>
      <c r="L789" s="256">
        <f>L762-L775</f>
        <v>0</v>
      </c>
      <c r="M789" s="21"/>
      <c r="N789" s="14">
        <f>ROUND(SUM(O789:S789)+T789+SUM(Z789:AV789),0)</f>
        <v>0</v>
      </c>
      <c r="O789" s="14">
        <f t="shared" ref="O789:V789" si="460">O762-O775</f>
        <v>0</v>
      </c>
      <c r="P789" s="14">
        <f t="shared" si="460"/>
        <v>0</v>
      </c>
      <c r="Q789" s="14">
        <f t="shared" si="460"/>
        <v>0</v>
      </c>
      <c r="R789" s="14">
        <f t="shared" si="460"/>
        <v>0</v>
      </c>
      <c r="S789" s="14">
        <f t="shared" si="441"/>
        <v>0</v>
      </c>
      <c r="T789" s="14">
        <f t="shared" si="460"/>
        <v>0</v>
      </c>
      <c r="U789" s="14">
        <f t="shared" si="460"/>
        <v>0</v>
      </c>
      <c r="V789" s="14">
        <f t="shared" si="460"/>
        <v>0</v>
      </c>
      <c r="W789" s="14">
        <f>W762-W775</f>
        <v>0</v>
      </c>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2"/>
      <c r="AX789" s="14">
        <f>AX762-AX775</f>
        <v>0</v>
      </c>
      <c r="AY789" s="14">
        <f>ROUND(AX789/1000/Update!$B$31*Update!$B$27,0)</f>
        <v>0</v>
      </c>
      <c r="AZ789" s="2"/>
      <c r="BA789" s="14">
        <f>BA762-BA775</f>
        <v>0</v>
      </c>
      <c r="BB789" s="14">
        <f>ROUND(BA789/1000/Update!$B$31,0)</f>
        <v>0</v>
      </c>
      <c r="BC789" s="14"/>
      <c r="BD789" s="14">
        <f t="shared" si="455"/>
        <v>0</v>
      </c>
      <c r="BE789" s="14">
        <f t="shared" ref="BE789:BJ789" si="461">BE762-BE775</f>
        <v>0</v>
      </c>
      <c r="BF789" s="14">
        <f t="shared" si="461"/>
        <v>0</v>
      </c>
      <c r="BG789" s="14">
        <f t="shared" si="461"/>
        <v>0</v>
      </c>
      <c r="BH789" s="14">
        <f t="shared" si="461"/>
        <v>0</v>
      </c>
      <c r="BI789" s="14">
        <f t="shared" si="461"/>
        <v>0</v>
      </c>
      <c r="BJ789" s="14">
        <f t="shared" si="461"/>
        <v>0</v>
      </c>
      <c r="BK789" s="14">
        <f t="shared" si="435"/>
        <v>0</v>
      </c>
      <c r="BL789" s="14"/>
      <c r="BM789" s="14"/>
      <c r="BN789" s="14"/>
      <c r="BO789" s="14"/>
      <c r="BP789" s="14"/>
      <c r="BQ789" s="14"/>
      <c r="BR789" s="14"/>
      <c r="BS789" s="14"/>
      <c r="BT789" s="324"/>
      <c r="BU789" s="14"/>
      <c r="BV789" s="14"/>
      <c r="BW789" s="14"/>
      <c r="BX789" s="14"/>
      <c r="BY789" s="14"/>
      <c r="BZ789" s="14"/>
      <c r="CA789" s="14"/>
      <c r="CB789" s="14"/>
      <c r="CC789" s="14"/>
      <c r="CD789" s="14"/>
      <c r="CE789" s="14"/>
      <c r="CF789" s="14"/>
      <c r="CG789" s="14"/>
      <c r="CH789" s="14"/>
      <c r="CI789" s="14"/>
      <c r="CJ789" s="2"/>
      <c r="CK789" s="2"/>
      <c r="CM789" s="1450">
        <v>0</v>
      </c>
      <c r="CN789" s="1450">
        <v>0</v>
      </c>
      <c r="CP789" s="923">
        <f t="shared" si="449"/>
        <v>0</v>
      </c>
      <c r="CZ789" s="330"/>
    </row>
    <row r="790" spans="1:104" ht="15" customHeight="1" x14ac:dyDescent="0.25">
      <c r="A790" s="684">
        <f>MAX($A$6:A789)+1</f>
        <v>790</v>
      </c>
      <c r="B790" s="3">
        <f t="shared" si="422"/>
        <v>5.0999999999999996</v>
      </c>
      <c r="C790" s="11" t="str">
        <f t="shared" si="421"/>
        <v>Consolidated property, plant and equipment 2025-26</v>
      </c>
      <c r="D790" s="11" t="s">
        <v>205</v>
      </c>
      <c r="E790" s="13" t="s">
        <v>194</v>
      </c>
      <c r="F790" s="15"/>
      <c r="G790" s="26"/>
      <c r="H790" s="6"/>
      <c r="I790" s="6"/>
      <c r="J790" s="1257" t="s">
        <v>286</v>
      </c>
      <c r="K790" s="251">
        <f>SUMIF('alb Note 5.1 -PP&amp;E - CY'!$A:$A,$J790,'alb Note 5.1 -PP&amp;E - CY'!$I:$I)</f>
        <v>0</v>
      </c>
      <c r="L790" s="251">
        <f>SUMIF('alb Note 5.1 -PP&amp;E - CY'!$A:$A,$J790,'alb Note 5.1 -PP&amp;E - CY'!$T:$T)</f>
        <v>0</v>
      </c>
      <c r="M790" s="10"/>
      <c r="N790" s="273">
        <f>ROUND(SUM(O790:S790)+SUM(W790:AV790),0)</f>
        <v>0</v>
      </c>
      <c r="O790" s="12"/>
      <c r="P790" s="12"/>
      <c r="Q790" s="12"/>
      <c r="R790" s="12"/>
      <c r="S790" s="6">
        <f t="shared" si="441"/>
        <v>0</v>
      </c>
      <c r="T790" s="273">
        <f>ROUND(SUM(U790:Y790),0)</f>
        <v>0</v>
      </c>
      <c r="U790" s="6">
        <f>SUM(BL790:BN790)</f>
        <v>0</v>
      </c>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X790" s="6"/>
      <c r="AY790" s="6">
        <f>ROUND(AX790/1000/Update!$B$31*Update!$B$27,0)</f>
        <v>0</v>
      </c>
      <c r="BA790" s="6"/>
      <c r="BB790" s="6">
        <f>ROUND(BA790/1000/Update!$B$31,0)</f>
        <v>0</v>
      </c>
      <c r="BC790" s="6"/>
      <c r="BD790" s="29">
        <f t="shared" si="455"/>
        <v>0</v>
      </c>
      <c r="BE790" s="322"/>
      <c r="BF790" s="322"/>
      <c r="BG790" s="322"/>
      <c r="BH790" s="322"/>
      <c r="BI790" s="322"/>
      <c r="BJ790" s="322"/>
      <c r="BK790" s="29">
        <f t="shared" si="435"/>
        <v>0</v>
      </c>
      <c r="BL790" s="322"/>
      <c r="BM790" s="322"/>
      <c r="BN790" s="322"/>
      <c r="BO790" s="322"/>
      <c r="BP790" s="322"/>
      <c r="BQ790" s="322"/>
      <c r="BR790" s="322"/>
      <c r="BS790" s="322"/>
      <c r="BT790" s="322"/>
      <c r="BU790" s="322"/>
      <c r="BV790" s="322"/>
      <c r="BW790" s="322"/>
      <c r="BX790" s="322"/>
      <c r="BY790" s="322"/>
      <c r="BZ790" s="322"/>
      <c r="CA790" s="322"/>
      <c r="CB790" s="322"/>
      <c r="CC790" s="322"/>
      <c r="CD790" s="322"/>
      <c r="CE790" s="322"/>
      <c r="CF790" s="322"/>
      <c r="CG790" s="322"/>
      <c r="CH790" s="322"/>
      <c r="CI790" s="322"/>
      <c r="CM790" s="1139">
        <v>0</v>
      </c>
      <c r="CN790" s="1139">
        <v>0</v>
      </c>
      <c r="CP790" s="923">
        <f t="shared" si="449"/>
        <v>0</v>
      </c>
      <c r="CZ790" s="330"/>
    </row>
    <row r="791" spans="1:104" ht="15" customHeight="1" x14ac:dyDescent="0.25">
      <c r="A791" s="684">
        <f>MAX($A$6:A790)+1</f>
        <v>791</v>
      </c>
      <c r="B791" s="3">
        <f t="shared" si="422"/>
        <v>5.0999999999999996</v>
      </c>
      <c r="C791" s="11" t="str">
        <f t="shared" si="421"/>
        <v>Consolidated property, plant and equipment 2025-26</v>
      </c>
      <c r="D791" s="11" t="s">
        <v>205</v>
      </c>
      <c r="E791" s="7" t="s">
        <v>197</v>
      </c>
      <c r="F791" s="15"/>
      <c r="G791" s="1254" t="s">
        <v>443</v>
      </c>
      <c r="H791" s="6">
        <v>0</v>
      </c>
      <c r="I791" s="6">
        <v>0</v>
      </c>
      <c r="J791" s="1257" t="s">
        <v>197</v>
      </c>
      <c r="K791" s="251">
        <f>SUMIF('alb Note 5.1 -PP&amp;E - CY'!$A:$A,$J791,'alb Note 5.1 -PP&amp;E - CY'!$I:$I)</f>
        <v>0</v>
      </c>
      <c r="L791" s="251">
        <f>SUMIF('alb Note 5.1 -PP&amp;E - CY'!$A:$A,$J791,'alb Note 5.1 -PP&amp;E - CY'!$T:$T)</f>
        <v>0</v>
      </c>
      <c r="M791" s="10"/>
      <c r="N791" s="273">
        <f>ROUND(SUM(O791:S791)+SUM(W791:AV791),0)</f>
        <v>0</v>
      </c>
      <c r="O791" s="12"/>
      <c r="P791" s="12"/>
      <c r="Q791" s="12"/>
      <c r="R791" s="12"/>
      <c r="S791" s="6">
        <f t="shared" si="441"/>
        <v>0</v>
      </c>
      <c r="T791" s="273">
        <f>ROUND(SUM(U791:Y791),0)</f>
        <v>0</v>
      </c>
      <c r="U791" s="6">
        <f>SUM(BL791:BN791)</f>
        <v>0</v>
      </c>
      <c r="V791" s="6"/>
      <c r="W791" s="6">
        <f>+H791</f>
        <v>0</v>
      </c>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X791" s="6"/>
      <c r="AY791" s="6">
        <f>ROUND(AX791/1000/Update!$B$31*Update!$B$27,0)</f>
        <v>0</v>
      </c>
      <c r="BA791" s="6"/>
      <c r="BB791" s="6">
        <f>ROUND(BA791/1000/Update!$B$31,0)</f>
        <v>0</v>
      </c>
      <c r="BC791" s="6"/>
      <c r="BD791" s="29">
        <f t="shared" si="455"/>
        <v>0</v>
      </c>
      <c r="BE791" s="322"/>
      <c r="BF791" s="322"/>
      <c r="BG791" s="322"/>
      <c r="BH791" s="322"/>
      <c r="BI791" s="322"/>
      <c r="BJ791" s="322"/>
      <c r="BK791" s="29">
        <f t="shared" si="435"/>
        <v>0</v>
      </c>
      <c r="BL791" s="322"/>
      <c r="BM791" s="322"/>
      <c r="BN791" s="322"/>
      <c r="BO791" s="322"/>
      <c r="BP791" s="322"/>
      <c r="BQ791" s="322"/>
      <c r="BR791" s="322"/>
      <c r="BS791" s="322"/>
      <c r="BT791" s="322"/>
      <c r="BU791" s="322"/>
      <c r="BV791" s="322"/>
      <c r="BW791" s="322"/>
      <c r="BX791" s="322"/>
      <c r="BY791" s="322"/>
      <c r="BZ791" s="322"/>
      <c r="CA791" s="322"/>
      <c r="CB791" s="322"/>
      <c r="CC791" s="322"/>
      <c r="CD791" s="322"/>
      <c r="CE791" s="322"/>
      <c r="CF791" s="322"/>
      <c r="CG791" s="322"/>
      <c r="CH791" s="322"/>
      <c r="CI791" s="322"/>
      <c r="CM791" s="1139">
        <v>0</v>
      </c>
      <c r="CN791" s="1139">
        <v>0</v>
      </c>
      <c r="CP791" s="923">
        <f t="shared" si="449"/>
        <v>0</v>
      </c>
      <c r="CZ791" s="330"/>
    </row>
    <row r="792" spans="1:104" ht="15" customHeight="1" x14ac:dyDescent="0.25">
      <c r="A792" s="684">
        <f>MAX($A$6:A791)+1</f>
        <v>792</v>
      </c>
      <c r="B792" s="3">
        <f t="shared" si="422"/>
        <v>5.0999999999999996</v>
      </c>
      <c r="C792" s="11" t="str">
        <f t="shared" si="421"/>
        <v>Consolidated property, plant and equipment 2025-26</v>
      </c>
      <c r="D792" s="11" t="s">
        <v>205</v>
      </c>
      <c r="E792" s="7" t="s">
        <v>198</v>
      </c>
      <c r="F792" s="15"/>
      <c r="G792" s="1254" t="s">
        <v>444</v>
      </c>
      <c r="H792" s="6">
        <v>0</v>
      </c>
      <c r="I792" s="6">
        <v>0</v>
      </c>
      <c r="J792" s="1257" t="s">
        <v>198</v>
      </c>
      <c r="K792" s="251">
        <f>SUMIF('alb Note 5.1 -PP&amp;E - CY'!$A:$A,$J792,'alb Note 5.1 -PP&amp;E - CY'!$I:$I)</f>
        <v>0</v>
      </c>
      <c r="L792" s="251">
        <f>SUMIF('alb Note 5.1 -PP&amp;E - CY'!$A:$A,$J792,'alb Note 5.1 -PP&amp;E - CY'!$T:$T)</f>
        <v>0</v>
      </c>
      <c r="M792" s="10"/>
      <c r="N792" s="273">
        <f>ROUND(SUM(O792:S792)+SUM(W792:AV792),0)</f>
        <v>0</v>
      </c>
      <c r="O792" s="12"/>
      <c r="P792" s="12"/>
      <c r="Q792" s="12"/>
      <c r="R792" s="12"/>
      <c r="S792" s="6">
        <f t="shared" si="441"/>
        <v>0</v>
      </c>
      <c r="T792" s="273">
        <f>ROUND(SUM(U792:Y792),0)</f>
        <v>0</v>
      </c>
      <c r="U792" s="6">
        <f>SUM(BL792:BN792)</f>
        <v>0</v>
      </c>
      <c r="V792" s="6"/>
      <c r="W792" s="6">
        <f>+H792</f>
        <v>0</v>
      </c>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X792" s="6"/>
      <c r="AY792" s="6">
        <f>ROUND(AX792/1000/Update!$B$31*Update!$B$27,0)</f>
        <v>0</v>
      </c>
      <c r="BA792" s="6"/>
      <c r="BB792" s="6">
        <f>ROUND(BA792/1000/Update!$B$31,0)</f>
        <v>0</v>
      </c>
      <c r="BC792" s="6"/>
      <c r="BD792" s="29">
        <f t="shared" si="455"/>
        <v>0</v>
      </c>
      <c r="BE792" s="322"/>
      <c r="BF792" s="322"/>
      <c r="BG792" s="322"/>
      <c r="BH792" s="322"/>
      <c r="BI792" s="322"/>
      <c r="BJ792" s="322"/>
      <c r="BK792" s="29">
        <f t="shared" si="435"/>
        <v>0</v>
      </c>
      <c r="BL792" s="322"/>
      <c r="BM792" s="322"/>
      <c r="BN792" s="322"/>
      <c r="BO792" s="322"/>
      <c r="BP792" s="322"/>
      <c r="BQ792" s="322"/>
      <c r="BR792" s="322"/>
      <c r="BS792" s="322"/>
      <c r="BT792" s="322"/>
      <c r="BU792" s="322"/>
      <c r="BV792" s="322"/>
      <c r="BW792" s="322"/>
      <c r="BX792" s="322"/>
      <c r="BY792" s="322"/>
      <c r="BZ792" s="322"/>
      <c r="CA792" s="322"/>
      <c r="CB792" s="322"/>
      <c r="CC792" s="322"/>
      <c r="CD792" s="322"/>
      <c r="CE792" s="322"/>
      <c r="CF792" s="322"/>
      <c r="CG792" s="322"/>
      <c r="CH792" s="322"/>
      <c r="CI792" s="322"/>
      <c r="CM792" s="1139">
        <v>0</v>
      </c>
      <c r="CN792" s="1139">
        <v>0</v>
      </c>
      <c r="CP792" s="923">
        <f t="shared" si="449"/>
        <v>0</v>
      </c>
      <c r="CZ792" s="330"/>
    </row>
    <row r="793" spans="1:104" ht="45" customHeight="1" x14ac:dyDescent="0.25">
      <c r="A793" s="684">
        <f>MAX($A$6:A792)+1</f>
        <v>793</v>
      </c>
      <c r="B793" s="3">
        <f t="shared" si="422"/>
        <v>5.0999999999999996</v>
      </c>
      <c r="C793" s="11" t="str">
        <f t="shared" si="421"/>
        <v>Consolidated property, plant and equipment 2025-26</v>
      </c>
      <c r="D793" s="11" t="s">
        <v>205</v>
      </c>
      <c r="E793" s="7" t="s">
        <v>199</v>
      </c>
      <c r="F793" s="15"/>
      <c r="G793" s="1254" t="s">
        <v>199</v>
      </c>
      <c r="H793" s="6">
        <v>0</v>
      </c>
      <c r="I793" s="6">
        <v>0</v>
      </c>
      <c r="J793" s="1257" t="s">
        <v>769</v>
      </c>
      <c r="K793" s="251">
        <f>SUMIF('alb Note 5.1 -PP&amp;E - CY'!$A:$A,$J793,'alb Note 5.1 -PP&amp;E - CY'!$I:$I)</f>
        <v>0</v>
      </c>
      <c r="L793" s="251">
        <f>SUMIF('alb Note 5.1 -PP&amp;E - CY'!$A:$A,$J793,'alb Note 5.1 -PP&amp;E - CY'!$T:$T)</f>
        <v>0</v>
      </c>
      <c r="M793" s="10"/>
      <c r="N793" s="273">
        <f>ROUND(SUM(O793:S793)+SUM(W793:AV793),0)</f>
        <v>0</v>
      </c>
      <c r="O793" s="12"/>
      <c r="P793" s="12"/>
      <c r="Q793" s="12"/>
      <c r="R793" s="12"/>
      <c r="S793" s="6">
        <f t="shared" si="441"/>
        <v>0</v>
      </c>
      <c r="T793" s="273">
        <f>ROUND(SUM(U793:Y793),0)</f>
        <v>0</v>
      </c>
      <c r="U793" s="6">
        <f>SUM(BL793:BN793)</f>
        <v>0</v>
      </c>
      <c r="V793" s="6"/>
      <c r="W793" s="6">
        <f>+H793</f>
        <v>0</v>
      </c>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X793" s="6"/>
      <c r="AY793" s="6">
        <f>ROUND(AX793/1000/Update!$B$31*Update!$B$27,0)</f>
        <v>0</v>
      </c>
      <c r="BA793" s="6"/>
      <c r="BB793" s="6">
        <f>ROUND(BA793/1000/Update!$B$31,0)</f>
        <v>0</v>
      </c>
      <c r="BC793" s="6"/>
      <c r="BD793" s="29">
        <f t="shared" si="455"/>
        <v>0</v>
      </c>
      <c r="BE793" s="322"/>
      <c r="BF793" s="322"/>
      <c r="BG793" s="322"/>
      <c r="BH793" s="322"/>
      <c r="BI793" s="322"/>
      <c r="BJ793" s="322"/>
      <c r="BK793" s="29">
        <f t="shared" si="435"/>
        <v>0</v>
      </c>
      <c r="BL793" s="322"/>
      <c r="BM793" s="322"/>
      <c r="BN793" s="322"/>
      <c r="BO793" s="322"/>
      <c r="BP793" s="322"/>
      <c r="BQ793" s="322"/>
      <c r="BR793" s="322"/>
      <c r="BS793" s="322"/>
      <c r="BT793" s="322"/>
      <c r="BU793" s="322"/>
      <c r="BV793" s="322"/>
      <c r="BW793" s="322"/>
      <c r="BX793" s="322"/>
      <c r="BY793" s="322"/>
      <c r="BZ793" s="322"/>
      <c r="CA793" s="322"/>
      <c r="CB793" s="322"/>
      <c r="CC793" s="322"/>
      <c r="CD793" s="322"/>
      <c r="CE793" s="322"/>
      <c r="CF793" s="322"/>
      <c r="CG793" s="322"/>
      <c r="CH793" s="322"/>
      <c r="CI793" s="322"/>
      <c r="CM793" s="1139">
        <v>0</v>
      </c>
      <c r="CN793" s="1139">
        <v>0</v>
      </c>
      <c r="CP793" s="923">
        <f t="shared" si="449"/>
        <v>0</v>
      </c>
      <c r="CZ793" s="330"/>
    </row>
    <row r="794" spans="1:104" ht="15" customHeight="1" x14ac:dyDescent="0.25">
      <c r="A794" s="684">
        <f>MAX($A$6:A793)+1</f>
        <v>794</v>
      </c>
      <c r="B794" s="3">
        <f t="shared" si="422"/>
        <v>5.0999999999999996</v>
      </c>
      <c r="C794" s="11" t="str">
        <f t="shared" si="421"/>
        <v>Consolidated property, plant and equipment 2025-26</v>
      </c>
      <c r="D794" s="11" t="s">
        <v>205</v>
      </c>
      <c r="E794" s="7" t="s">
        <v>1695</v>
      </c>
      <c r="F794" s="15"/>
      <c r="G794" s="1254" t="s">
        <v>1695</v>
      </c>
      <c r="H794" s="6">
        <v>0</v>
      </c>
      <c r="I794" s="6">
        <v>0</v>
      </c>
      <c r="J794" s="1257" t="s">
        <v>1695</v>
      </c>
      <c r="K794" s="251">
        <f>SUMIF('alb Note 5.1 -PP&amp;E - CY'!$A:$A,$J794,'alb Note 5.1 -PP&amp;E - CY'!$I:$I)</f>
        <v>0</v>
      </c>
      <c r="L794" s="251">
        <f>SUMIF('alb Note 5.1 -PP&amp;E - CY'!$A:$A,$J794,'alb Note 5.1 -PP&amp;E - CY'!$T:$T)</f>
        <v>0</v>
      </c>
      <c r="M794" s="10"/>
      <c r="N794" s="273">
        <f>ROUND(SUM(O794:S794)+SUM(W794:AV794),0)</f>
        <v>0</v>
      </c>
      <c r="O794" s="12"/>
      <c r="P794" s="12"/>
      <c r="Q794" s="12"/>
      <c r="R794" s="12"/>
      <c r="S794" s="6">
        <f>-IF(ISNUMBER(BD794),BD794,0)</f>
        <v>0</v>
      </c>
      <c r="T794" s="273">
        <f>ROUND(SUM(U794:Y794),0)</f>
        <v>0</v>
      </c>
      <c r="U794" s="6">
        <f>SUM(BL794:BN794)</f>
        <v>0</v>
      </c>
      <c r="V794" s="6"/>
      <c r="W794" s="6">
        <f>+H794</f>
        <v>0</v>
      </c>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X794" s="6"/>
      <c r="AY794" s="6"/>
      <c r="BA794" s="6"/>
      <c r="BB794" s="6"/>
      <c r="BC794" s="6"/>
      <c r="BD794" s="29">
        <f t="shared" si="455"/>
        <v>0</v>
      </c>
      <c r="BE794" s="322"/>
      <c r="BF794" s="322"/>
      <c r="BG794" s="322"/>
      <c r="BH794" s="322"/>
      <c r="BI794" s="322"/>
      <c r="BJ794" s="322"/>
      <c r="BK794" s="29">
        <f t="shared" si="435"/>
        <v>0</v>
      </c>
      <c r="BL794" s="322"/>
      <c r="BM794" s="322"/>
      <c r="BN794" s="322"/>
      <c r="BO794" s="322"/>
      <c r="BP794" s="322"/>
      <c r="BQ794" s="322"/>
      <c r="BR794" s="322"/>
      <c r="BS794" s="322"/>
      <c r="BT794" s="322"/>
      <c r="BU794" s="322"/>
      <c r="BV794" s="322"/>
      <c r="BW794" s="322"/>
      <c r="BX794" s="322"/>
      <c r="BY794" s="322"/>
      <c r="BZ794" s="322"/>
      <c r="CA794" s="322"/>
      <c r="CB794" s="322"/>
      <c r="CC794" s="322"/>
      <c r="CD794" s="322"/>
      <c r="CE794" s="322"/>
      <c r="CF794" s="322"/>
      <c r="CG794" s="322"/>
      <c r="CH794" s="322"/>
      <c r="CI794" s="322"/>
      <c r="CM794" s="1139">
        <v>0</v>
      </c>
      <c r="CN794" s="1139">
        <v>0</v>
      </c>
      <c r="CP794" s="923">
        <f t="shared" si="449"/>
        <v>0</v>
      </c>
      <c r="CZ794" s="330"/>
    </row>
    <row r="795" spans="1:104" ht="15" customHeight="1" thickBot="1" x14ac:dyDescent="0.3">
      <c r="A795" s="701">
        <f>MAX($A$6:A794)+1</f>
        <v>795</v>
      </c>
      <c r="B795" s="1291">
        <f t="shared" si="422"/>
        <v>5.0999999999999996</v>
      </c>
      <c r="C795" s="18" t="str">
        <f t="shared" si="421"/>
        <v>Consolidated property, plant and equipment 2025-26</v>
      </c>
      <c r="D795" s="18" t="s">
        <v>205</v>
      </c>
      <c r="E795" s="1249" t="str">
        <f>"Carrying amount "&amp;Update!$B$22</f>
        <v>Carrying amount  31 March 2026</v>
      </c>
      <c r="F795" s="20"/>
      <c r="G795" s="28"/>
      <c r="H795" s="14">
        <f>SUM(H790:H794)</f>
        <v>0</v>
      </c>
      <c r="I795" s="14">
        <f>SUM(I790:I794)</f>
        <v>0</v>
      </c>
      <c r="J795" s="1258" t="s">
        <v>2493</v>
      </c>
      <c r="K795" s="14">
        <f>SUM(K790:K794)</f>
        <v>0</v>
      </c>
      <c r="L795" s="14">
        <f>SUM(L790:L794)</f>
        <v>0</v>
      </c>
      <c r="M795" s="21"/>
      <c r="N795" s="14">
        <f>ROUND(SUM(O795:S795)+T795+SUM(Z795:AV795),0)</f>
        <v>0</v>
      </c>
      <c r="O795" s="14">
        <f t="shared" ref="O795:W795" si="462">SUM(O790:O794)</f>
        <v>0</v>
      </c>
      <c r="P795" s="14">
        <f t="shared" si="462"/>
        <v>0</v>
      </c>
      <c r="Q795" s="14">
        <f t="shared" si="462"/>
        <v>0</v>
      </c>
      <c r="R795" s="14">
        <f t="shared" si="462"/>
        <v>0</v>
      </c>
      <c r="S795" s="14">
        <f t="shared" si="462"/>
        <v>0</v>
      </c>
      <c r="T795" s="14">
        <f t="shared" si="462"/>
        <v>0</v>
      </c>
      <c r="U795" s="14">
        <f t="shared" si="462"/>
        <v>0</v>
      </c>
      <c r="V795" s="14">
        <f t="shared" si="462"/>
        <v>0</v>
      </c>
      <c r="W795" s="14">
        <f t="shared" si="462"/>
        <v>0</v>
      </c>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2">
        <f t="shared" ref="AW795:BJ795" si="463">SUM(AW790:AW794)</f>
        <v>0</v>
      </c>
      <c r="AX795" s="14">
        <f t="shared" si="463"/>
        <v>0</v>
      </c>
      <c r="AY795" s="14">
        <f t="shared" si="463"/>
        <v>0</v>
      </c>
      <c r="AZ795" s="2">
        <f t="shared" si="463"/>
        <v>0</v>
      </c>
      <c r="BA795" s="14">
        <f t="shared" si="463"/>
        <v>0</v>
      </c>
      <c r="BB795" s="14">
        <f t="shared" si="463"/>
        <v>0</v>
      </c>
      <c r="BC795" s="14">
        <f t="shared" si="463"/>
        <v>0</v>
      </c>
      <c r="BD795" s="14">
        <f t="shared" si="463"/>
        <v>0</v>
      </c>
      <c r="BE795" s="14">
        <f t="shared" si="463"/>
        <v>0</v>
      </c>
      <c r="BF795" s="14">
        <f t="shared" si="463"/>
        <v>0</v>
      </c>
      <c r="BG795" s="14">
        <f t="shared" si="463"/>
        <v>0</v>
      </c>
      <c r="BH795" s="14">
        <f t="shared" si="463"/>
        <v>0</v>
      </c>
      <c r="BI795" s="14">
        <f t="shared" si="463"/>
        <v>0</v>
      </c>
      <c r="BJ795" s="14">
        <f t="shared" si="463"/>
        <v>0</v>
      </c>
      <c r="BK795" s="14">
        <f t="shared" si="435"/>
        <v>0</v>
      </c>
      <c r="BL795" s="14"/>
      <c r="BM795" s="14"/>
      <c r="BN795" s="14"/>
      <c r="BO795" s="14"/>
      <c r="BP795" s="14"/>
      <c r="BQ795" s="14"/>
      <c r="BR795" s="14"/>
      <c r="BS795" s="14"/>
      <c r="BT795" s="324"/>
      <c r="BU795" s="14"/>
      <c r="BV795" s="14"/>
      <c r="BW795" s="14"/>
      <c r="BX795" s="14"/>
      <c r="BY795" s="14"/>
      <c r="BZ795" s="14"/>
      <c r="CA795" s="14"/>
      <c r="CB795" s="14"/>
      <c r="CC795" s="14"/>
      <c r="CD795" s="14"/>
      <c r="CE795" s="14"/>
      <c r="CF795" s="14"/>
      <c r="CG795" s="14"/>
      <c r="CH795" s="14"/>
      <c r="CI795" s="14"/>
      <c r="CJ795" s="2"/>
      <c r="CK795" s="2"/>
      <c r="CM795" s="1450">
        <v>0</v>
      </c>
      <c r="CN795" s="1450">
        <v>0</v>
      </c>
      <c r="CP795" s="923">
        <f t="shared" si="449"/>
        <v>0</v>
      </c>
      <c r="CZ795" s="330"/>
    </row>
    <row r="796" spans="1:104" ht="15.75" customHeight="1" thickBot="1" x14ac:dyDescent="0.3">
      <c r="A796" s="701">
        <f>MAX($A$6:A795)+1</f>
        <v>796</v>
      </c>
      <c r="B796" s="1291">
        <f t="shared" ref="B796:B806" si="464">B795</f>
        <v>5.0999999999999996</v>
      </c>
      <c r="C796" s="281" t="s">
        <v>850</v>
      </c>
      <c r="D796" s="282"/>
      <c r="E796" s="1249" t="str">
        <f>"Carrying amount "&amp;Update!$B$22</f>
        <v>Carrying amount  31 March 2026</v>
      </c>
      <c r="F796" s="283"/>
      <c r="G796" s="284"/>
      <c r="H796" s="285"/>
      <c r="I796" s="285"/>
      <c r="J796" s="1264" t="s">
        <v>2493</v>
      </c>
      <c r="K796" s="286">
        <f>SUM(K523,K560,K598,K636,K674,K712,K750,K788)</f>
        <v>0</v>
      </c>
      <c r="L796" s="286">
        <f>SUM(L523,L560,L598,L636,L674,L712,L750,L788)</f>
        <v>0</v>
      </c>
      <c r="M796" s="287"/>
      <c r="N796" s="285">
        <f>ROUND(SUM(O796:S796)+T796+SUM(Z796:AV796),0)</f>
        <v>55342</v>
      </c>
      <c r="O796" s="285">
        <f>SUM(O523,O560,O598,O636,O674,O712,O750,O788)</f>
        <v>0</v>
      </c>
      <c r="P796" s="285">
        <f>SUM(P523,P560,P598,P636,P674,P712,P750,P788)</f>
        <v>0</v>
      </c>
      <c r="Q796" s="285">
        <f>SUM(Q523,Q560,Q598,Q636,Q674,Q712,Q750,Q788)</f>
        <v>0</v>
      </c>
      <c r="R796" s="285">
        <f>SUM(R523,R560,R598,R636,R674,R712,R750,R788)</f>
        <v>0</v>
      </c>
      <c r="S796" s="285">
        <f t="shared" si="441"/>
        <v>0</v>
      </c>
      <c r="T796" s="285">
        <f>SUM(T523,T560,T598,T636,T674,T712,T750,T788)</f>
        <v>55342</v>
      </c>
      <c r="U796" s="285">
        <f>SUM(U523,U560,U598,U636,U674,U712,U750,U788)</f>
        <v>0</v>
      </c>
      <c r="V796" s="285">
        <f>SUM(V523,V560,V598,V636,V674,V712,V750,V788)</f>
        <v>0</v>
      </c>
      <c r="W796" s="285">
        <f>SUM(W523,W560,W598,W636,W674,W712,W750,W788)</f>
        <v>55342</v>
      </c>
      <c r="X796" s="285"/>
      <c r="Y796" s="285"/>
      <c r="Z796" s="285"/>
      <c r="AA796" s="285"/>
      <c r="AB796" s="285"/>
      <c r="AC796" s="285"/>
      <c r="AD796" s="285"/>
      <c r="AE796" s="285"/>
      <c r="AF796" s="285"/>
      <c r="AG796" s="285"/>
      <c r="AH796" s="285"/>
      <c r="AI796" s="285"/>
      <c r="AJ796" s="285"/>
      <c r="AK796" s="285"/>
      <c r="AL796" s="285"/>
      <c r="AM796" s="285"/>
      <c r="AN796" s="285"/>
      <c r="AO796" s="285"/>
      <c r="AP796" s="285"/>
      <c r="AQ796" s="285"/>
      <c r="AR796" s="285"/>
      <c r="AS796" s="285"/>
      <c r="AT796" s="285"/>
      <c r="AU796" s="285"/>
      <c r="AV796" s="285"/>
      <c r="AW796" s="2"/>
      <c r="AX796" s="285">
        <f>SUM(AX523,AX560,AX598,AX636,AX674,AX712,AX750,AX788)</f>
        <v>0</v>
      </c>
      <c r="AY796" s="14"/>
      <c r="AZ796" s="2"/>
      <c r="BA796" s="285">
        <f>SUM(BA523,BA560,BA598,BA636,BA674,BA712,BA750,BA788)</f>
        <v>0</v>
      </c>
      <c r="BB796" s="14"/>
      <c r="BC796" s="14"/>
      <c r="BD796" s="14">
        <f t="shared" si="455"/>
        <v>0</v>
      </c>
      <c r="BE796" s="14">
        <f t="shared" ref="BE796:BJ796" si="465">SUM(BE523,BE560,BE598,BE636,BE674,BE712,BE750,BE788)</f>
        <v>0</v>
      </c>
      <c r="BF796" s="14">
        <f t="shared" si="465"/>
        <v>0</v>
      </c>
      <c r="BG796" s="14">
        <f t="shared" si="465"/>
        <v>0</v>
      </c>
      <c r="BH796" s="14">
        <f t="shared" si="465"/>
        <v>0</v>
      </c>
      <c r="BI796" s="14">
        <f t="shared" si="465"/>
        <v>0</v>
      </c>
      <c r="BJ796" s="14">
        <f t="shared" si="465"/>
        <v>0</v>
      </c>
      <c r="BK796" s="14">
        <f t="shared" si="435"/>
        <v>0</v>
      </c>
      <c r="BL796" s="14"/>
      <c r="BM796" s="14"/>
      <c r="BN796" s="14"/>
      <c r="BO796" s="14"/>
      <c r="BP796" s="14"/>
      <c r="BQ796" s="14"/>
      <c r="BR796" s="14"/>
      <c r="BS796" s="14"/>
      <c r="BT796" s="324"/>
      <c r="BU796" s="14"/>
      <c r="BV796" s="14"/>
      <c r="BW796" s="14"/>
      <c r="BX796" s="14"/>
      <c r="BY796" s="14"/>
      <c r="BZ796" s="14"/>
      <c r="CA796" s="14"/>
      <c r="CB796" s="14"/>
      <c r="CC796" s="14"/>
      <c r="CD796" s="14"/>
      <c r="CE796" s="14"/>
      <c r="CF796" s="14"/>
      <c r="CG796" s="14"/>
      <c r="CH796" s="14"/>
      <c r="CI796" s="14"/>
      <c r="CJ796" s="2"/>
      <c r="CK796" s="2"/>
      <c r="CM796" s="1450">
        <v>0</v>
      </c>
      <c r="CN796" s="1450">
        <v>0</v>
      </c>
      <c r="CP796" s="923">
        <f t="shared" si="449"/>
        <v>0</v>
      </c>
      <c r="CZ796" s="330"/>
    </row>
    <row r="797" spans="1:104" ht="15" customHeight="1" x14ac:dyDescent="0.25">
      <c r="A797" s="684">
        <f>MAX($A$6:A796)+1</f>
        <v>797</v>
      </c>
      <c r="B797" s="3">
        <f t="shared" si="464"/>
        <v>5.0999999999999996</v>
      </c>
      <c r="C797" s="11" t="s">
        <v>1717</v>
      </c>
      <c r="D797" s="1250" t="s">
        <v>1719</v>
      </c>
      <c r="E797" s="965" t="s">
        <v>1718</v>
      </c>
      <c r="F797" s="15"/>
      <c r="G797" s="1254"/>
      <c r="H797" s="1190"/>
      <c r="I797" s="6"/>
      <c r="J797" s="965">
        <f>'alb Note 5.1 -PP&amp;E - CY'!A60</f>
        <v>0</v>
      </c>
      <c r="K797" s="280">
        <f>'alb Note 5.1 -PP&amp;E - CY'!E60</f>
        <v>0</v>
      </c>
      <c r="L797" s="251"/>
      <c r="M797" s="10"/>
      <c r="N797" s="273"/>
      <c r="O797" s="12"/>
      <c r="P797" s="12"/>
      <c r="Q797" s="12"/>
      <c r="R797" s="12"/>
      <c r="S797" s="6"/>
      <c r="T797" s="273"/>
      <c r="U797" s="6">
        <f t="shared" ref="U797:U806" si="466">SUM(BL797:BN797)</f>
        <v>0</v>
      </c>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X797" s="6"/>
      <c r="AY797" s="6"/>
      <c r="BA797" s="6"/>
      <c r="BB797" s="6"/>
      <c r="BC797" s="6"/>
      <c r="BD797" s="29"/>
      <c r="BE797" s="322"/>
      <c r="BF797" s="322"/>
      <c r="BG797" s="322"/>
      <c r="BH797" s="322"/>
      <c r="BI797" s="322"/>
      <c r="BJ797" s="322"/>
      <c r="BK797" s="29">
        <f t="shared" si="435"/>
        <v>0</v>
      </c>
      <c r="BL797" s="322"/>
      <c r="BM797" s="322"/>
      <c r="BN797" s="322"/>
      <c r="BO797" s="322"/>
      <c r="BP797" s="322"/>
      <c r="BQ797" s="322"/>
      <c r="BR797" s="322"/>
      <c r="BS797" s="322"/>
      <c r="BT797" s="322"/>
      <c r="BU797" s="322"/>
      <c r="BV797" s="322"/>
      <c r="BW797" s="322"/>
      <c r="BX797" s="322"/>
      <c r="BY797" s="322"/>
      <c r="BZ797" s="322"/>
      <c r="CA797" s="322"/>
      <c r="CB797" s="322"/>
      <c r="CC797" s="322"/>
      <c r="CD797" s="322"/>
      <c r="CE797" s="322"/>
      <c r="CF797" s="322"/>
      <c r="CG797" s="322"/>
      <c r="CH797" s="322"/>
      <c r="CI797" s="322"/>
      <c r="CM797" s="1139">
        <v>0</v>
      </c>
      <c r="CN797" s="1139"/>
      <c r="CP797" s="923">
        <f t="shared" si="449"/>
        <v>0</v>
      </c>
      <c r="CZ797" s="330"/>
    </row>
    <row r="798" spans="1:104" ht="15" customHeight="1" x14ac:dyDescent="0.25">
      <c r="A798" s="684">
        <f>MAX($A$6:A797)+1</f>
        <v>798</v>
      </c>
      <c r="B798" s="3">
        <f t="shared" si="464"/>
        <v>5.0999999999999996</v>
      </c>
      <c r="C798" s="11" t="str">
        <f t="shared" si="421"/>
        <v>Consolidated property, plant and equipment 2018-19</v>
      </c>
      <c r="D798" s="1250" t="s">
        <v>1719</v>
      </c>
      <c r="E798" s="965" t="s">
        <v>1718</v>
      </c>
      <c r="F798" s="15"/>
      <c r="G798" s="1279"/>
      <c r="H798" s="1190">
        <v>0</v>
      </c>
      <c r="J798" s="965">
        <f>'alb Note 5.1 -PP&amp;E - CY'!A61</f>
        <v>0</v>
      </c>
      <c r="K798" s="280">
        <f>'alb Note 5.1 -PP&amp;E - CY'!E61</f>
        <v>0</v>
      </c>
      <c r="L798" s="251"/>
      <c r="M798" s="10"/>
      <c r="N798" s="273"/>
      <c r="O798" s="12"/>
      <c r="P798" s="12"/>
      <c r="Q798" s="12"/>
      <c r="R798" s="12"/>
      <c r="S798" s="6"/>
      <c r="T798" s="273"/>
      <c r="U798" s="6">
        <f t="shared" si="466"/>
        <v>0</v>
      </c>
      <c r="V798" s="6"/>
      <c r="W798" s="6">
        <v>0</v>
      </c>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X798" s="6"/>
      <c r="AY798" s="6"/>
      <c r="BA798" s="6"/>
      <c r="BB798" s="6"/>
      <c r="BC798" s="6"/>
      <c r="BD798" s="29"/>
      <c r="BE798" s="322"/>
      <c r="BF798" s="322"/>
      <c r="BG798" s="322"/>
      <c r="BH798" s="322"/>
      <c r="BI798" s="322"/>
      <c r="BJ798" s="322"/>
      <c r="BK798" s="29">
        <f t="shared" si="435"/>
        <v>0</v>
      </c>
      <c r="BL798" s="322"/>
      <c r="BM798" s="322"/>
      <c r="BN798" s="322"/>
      <c r="BO798" s="322"/>
      <c r="BP798" s="322"/>
      <c r="BQ798" s="322"/>
      <c r="BR798" s="322"/>
      <c r="BS798" s="322"/>
      <c r="BT798" s="322"/>
      <c r="BU798" s="322"/>
      <c r="BV798" s="322"/>
      <c r="BW798" s="322"/>
      <c r="BX798" s="322"/>
      <c r="BY798" s="322"/>
      <c r="BZ798" s="322"/>
      <c r="CA798" s="322"/>
      <c r="CB798" s="322"/>
      <c r="CC798" s="322"/>
      <c r="CD798" s="322"/>
      <c r="CE798" s="322"/>
      <c r="CF798" s="322"/>
      <c r="CG798" s="322"/>
      <c r="CH798" s="322"/>
      <c r="CI798" s="322"/>
      <c r="CM798" s="1139">
        <v>0</v>
      </c>
      <c r="CN798" s="1139"/>
      <c r="CP798" s="923">
        <f t="shared" si="449"/>
        <v>0</v>
      </c>
      <c r="CZ798" s="330"/>
    </row>
    <row r="799" spans="1:104" ht="15" customHeight="1" x14ac:dyDescent="0.25">
      <c r="A799" s="684">
        <f>MAX($A$6:A798)+1</f>
        <v>799</v>
      </c>
      <c r="B799" s="3">
        <f t="shared" si="464"/>
        <v>5.0999999999999996</v>
      </c>
      <c r="C799" s="11" t="str">
        <f t="shared" si="421"/>
        <v>Consolidated property, plant and equipment 2018-19</v>
      </c>
      <c r="D799" s="1250" t="s">
        <v>1719</v>
      </c>
      <c r="E799" s="965" t="s">
        <v>1718</v>
      </c>
      <c r="F799" s="15"/>
      <c r="G799" s="1254"/>
      <c r="H799" s="1190"/>
      <c r="I799" s="6"/>
      <c r="J799" s="965">
        <f>'alb Note 5.1 -PP&amp;E - CY'!A62</f>
        <v>0</v>
      </c>
      <c r="K799" s="280">
        <f>'alb Note 5.1 -PP&amp;E - CY'!E62</f>
        <v>0</v>
      </c>
      <c r="L799" s="251"/>
      <c r="M799" s="10"/>
      <c r="N799" s="273"/>
      <c r="O799" s="12"/>
      <c r="P799" s="12"/>
      <c r="Q799" s="12"/>
      <c r="R799" s="12"/>
      <c r="S799" s="6"/>
      <c r="T799" s="273"/>
      <c r="U799" s="6">
        <f t="shared" si="466"/>
        <v>0</v>
      </c>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X799" s="6"/>
      <c r="AY799" s="6"/>
      <c r="BA799" s="6"/>
      <c r="BB799" s="6"/>
      <c r="BC799" s="6"/>
      <c r="BD799" s="29"/>
      <c r="BE799" s="322"/>
      <c r="BF799" s="322"/>
      <c r="BG799" s="322"/>
      <c r="BH799" s="322"/>
      <c r="BI799" s="322"/>
      <c r="BJ799" s="322"/>
      <c r="BK799" s="29">
        <f t="shared" si="435"/>
        <v>0</v>
      </c>
      <c r="BL799" s="322"/>
      <c r="BM799" s="322"/>
      <c r="BN799" s="322"/>
      <c r="BO799" s="322"/>
      <c r="BP799" s="322"/>
      <c r="BQ799" s="322"/>
      <c r="BR799" s="322"/>
      <c r="BS799" s="322"/>
      <c r="BT799" s="322"/>
      <c r="BU799" s="322"/>
      <c r="BV799" s="322"/>
      <c r="BW799" s="322"/>
      <c r="BX799" s="322"/>
      <c r="BY799" s="322"/>
      <c r="BZ799" s="322"/>
      <c r="CA799" s="322"/>
      <c r="CB799" s="322"/>
      <c r="CC799" s="322"/>
      <c r="CD799" s="322"/>
      <c r="CE799" s="322"/>
      <c r="CF799" s="322"/>
      <c r="CG799" s="322"/>
      <c r="CH799" s="322"/>
      <c r="CI799" s="322"/>
      <c r="CM799" s="1139">
        <v>0</v>
      </c>
      <c r="CN799" s="1139"/>
      <c r="CP799" s="923">
        <f t="shared" si="449"/>
        <v>0</v>
      </c>
      <c r="CZ799" s="330"/>
    </row>
    <row r="800" spans="1:104" ht="15" customHeight="1" x14ac:dyDescent="0.25">
      <c r="A800" s="684">
        <f>MAX($A$6:A799)+1</f>
        <v>800</v>
      </c>
      <c r="B800" s="3">
        <f t="shared" si="464"/>
        <v>5.0999999999999996</v>
      </c>
      <c r="C800" s="11" t="str">
        <f t="shared" si="421"/>
        <v>Consolidated property, plant and equipment 2018-19</v>
      </c>
      <c r="D800" s="1250" t="s">
        <v>1719</v>
      </c>
      <c r="E800" s="965" t="s">
        <v>1718</v>
      </c>
      <c r="F800" s="15"/>
      <c r="G800" s="1254"/>
      <c r="H800" s="1190"/>
      <c r="I800" s="6"/>
      <c r="J800" s="965">
        <f>'alb Note 5.1 -PP&amp;E - CY'!A63</f>
        <v>0</v>
      </c>
      <c r="K800" s="280">
        <f>'alb Note 5.1 -PP&amp;E - CY'!E63</f>
        <v>0</v>
      </c>
      <c r="L800" s="251"/>
      <c r="M800" s="10"/>
      <c r="N800" s="273"/>
      <c r="O800" s="12"/>
      <c r="P800" s="12"/>
      <c r="Q800" s="12"/>
      <c r="R800" s="12"/>
      <c r="S800" s="6"/>
      <c r="T800" s="273"/>
      <c r="U800" s="6">
        <f t="shared" si="466"/>
        <v>0</v>
      </c>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X800" s="6"/>
      <c r="AY800" s="6"/>
      <c r="BA800" s="6"/>
      <c r="BB800" s="6"/>
      <c r="BC800" s="6"/>
      <c r="BD800" s="29"/>
      <c r="BE800" s="322"/>
      <c r="BF800" s="322"/>
      <c r="BG800" s="322"/>
      <c r="BH800" s="322"/>
      <c r="BI800" s="322"/>
      <c r="BJ800" s="322"/>
      <c r="BK800" s="29">
        <f t="shared" si="435"/>
        <v>0</v>
      </c>
      <c r="BL800" s="322"/>
      <c r="BM800" s="322"/>
      <c r="BN800" s="322"/>
      <c r="BO800" s="322"/>
      <c r="BP800" s="322"/>
      <c r="BQ800" s="322"/>
      <c r="BR800" s="322"/>
      <c r="BS800" s="322"/>
      <c r="BT800" s="322"/>
      <c r="BU800" s="322"/>
      <c r="BV800" s="322"/>
      <c r="BW800" s="322"/>
      <c r="BX800" s="322"/>
      <c r="BY800" s="322"/>
      <c r="BZ800" s="322"/>
      <c r="CA800" s="322"/>
      <c r="CB800" s="322"/>
      <c r="CC800" s="322"/>
      <c r="CD800" s="322"/>
      <c r="CE800" s="322"/>
      <c r="CF800" s="322"/>
      <c r="CG800" s="322"/>
      <c r="CH800" s="322"/>
      <c r="CI800" s="322"/>
      <c r="CM800" s="1139">
        <v>0</v>
      </c>
      <c r="CN800" s="1139"/>
      <c r="CP800" s="923">
        <f t="shared" si="449"/>
        <v>0</v>
      </c>
      <c r="CZ800" s="330"/>
    </row>
    <row r="801" spans="1:104" ht="15" customHeight="1" x14ac:dyDescent="0.25">
      <c r="A801" s="684">
        <f>MAX($A$6:A800)+1</f>
        <v>801</v>
      </c>
      <c r="B801" s="3">
        <f t="shared" si="464"/>
        <v>5.0999999999999996</v>
      </c>
      <c r="C801" s="11" t="str">
        <f t="shared" si="421"/>
        <v>Consolidated property, plant and equipment 2018-19</v>
      </c>
      <c r="D801" s="1250" t="s">
        <v>1719</v>
      </c>
      <c r="E801" s="965" t="s">
        <v>1718</v>
      </c>
      <c r="F801" s="15"/>
      <c r="G801" s="1254"/>
      <c r="H801" s="1190"/>
      <c r="I801" s="6"/>
      <c r="J801" s="965">
        <f>'alb Note 5.1 -PP&amp;E - CY'!A64</f>
        <v>0</v>
      </c>
      <c r="K801" s="280">
        <f>'alb Note 5.1 -PP&amp;E - CY'!E64</f>
        <v>0</v>
      </c>
      <c r="L801" s="251"/>
      <c r="M801" s="10"/>
      <c r="N801" s="273"/>
      <c r="O801" s="12"/>
      <c r="P801" s="12"/>
      <c r="Q801" s="12"/>
      <c r="R801" s="12"/>
      <c r="S801" s="6"/>
      <c r="T801" s="273"/>
      <c r="U801" s="6">
        <f t="shared" si="466"/>
        <v>0</v>
      </c>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X801" s="6"/>
      <c r="AY801" s="6"/>
      <c r="BA801" s="6"/>
      <c r="BB801" s="6"/>
      <c r="BC801" s="6"/>
      <c r="BD801" s="29"/>
      <c r="BE801" s="322"/>
      <c r="BF801" s="322"/>
      <c r="BG801" s="322"/>
      <c r="BH801" s="322"/>
      <c r="BI801" s="322"/>
      <c r="BJ801" s="322"/>
      <c r="BK801" s="29">
        <f t="shared" si="435"/>
        <v>0</v>
      </c>
      <c r="BL801" s="322"/>
      <c r="BM801" s="322"/>
      <c r="BN801" s="322"/>
      <c r="BO801" s="322"/>
      <c r="BP801" s="322"/>
      <c r="BQ801" s="322"/>
      <c r="BR801" s="322"/>
      <c r="BS801" s="322"/>
      <c r="BT801" s="322"/>
      <c r="BU801" s="322"/>
      <c r="BV801" s="322"/>
      <c r="BW801" s="322"/>
      <c r="BX801" s="322"/>
      <c r="BY801" s="322"/>
      <c r="BZ801" s="322"/>
      <c r="CA801" s="322"/>
      <c r="CB801" s="322"/>
      <c r="CC801" s="322"/>
      <c r="CD801" s="322"/>
      <c r="CE801" s="322"/>
      <c r="CF801" s="322"/>
      <c r="CG801" s="322"/>
      <c r="CH801" s="322"/>
      <c r="CI801" s="322"/>
      <c r="CM801" s="1139">
        <v>0</v>
      </c>
      <c r="CN801" s="1139"/>
      <c r="CP801" s="923">
        <f t="shared" si="449"/>
        <v>0</v>
      </c>
      <c r="CZ801" s="330"/>
    </row>
    <row r="802" spans="1:104" ht="15" customHeight="1" x14ac:dyDescent="0.25">
      <c r="A802" s="684">
        <f>MAX($A$6:A801)+1</f>
        <v>802</v>
      </c>
      <c r="B802" s="3">
        <f t="shared" si="464"/>
        <v>5.0999999999999996</v>
      </c>
      <c r="C802" s="11" t="str">
        <f t="shared" si="421"/>
        <v>Consolidated property, plant and equipment 2018-19</v>
      </c>
      <c r="D802" s="1250" t="s">
        <v>1719</v>
      </c>
      <c r="E802" s="965" t="s">
        <v>1718</v>
      </c>
      <c r="F802" s="15"/>
      <c r="G802" s="1254"/>
      <c r="H802" s="1190"/>
      <c r="I802" s="6"/>
      <c r="J802" s="965">
        <f>'alb Note 5.1 -PP&amp;E - CY'!A65</f>
        <v>0</v>
      </c>
      <c r="K802" s="280">
        <f>'alb Note 5.1 -PP&amp;E - CY'!E65</f>
        <v>0</v>
      </c>
      <c r="L802" s="251"/>
      <c r="M802" s="10"/>
      <c r="N802" s="273"/>
      <c r="O802" s="12"/>
      <c r="P802" s="12"/>
      <c r="Q802" s="12"/>
      <c r="R802" s="12"/>
      <c r="S802" s="6"/>
      <c r="T802" s="273"/>
      <c r="U802" s="6">
        <f t="shared" si="466"/>
        <v>0</v>
      </c>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X802" s="6"/>
      <c r="AY802" s="6"/>
      <c r="BA802" s="6"/>
      <c r="BB802" s="6"/>
      <c r="BC802" s="6"/>
      <c r="BD802" s="29"/>
      <c r="BE802" s="322"/>
      <c r="BF802" s="322"/>
      <c r="BG802" s="322"/>
      <c r="BH802" s="322"/>
      <c r="BI802" s="322"/>
      <c r="BJ802" s="322"/>
      <c r="BK802" s="29">
        <f t="shared" si="435"/>
        <v>0</v>
      </c>
      <c r="BL802" s="322"/>
      <c r="BM802" s="322"/>
      <c r="BN802" s="322"/>
      <c r="BO802" s="322"/>
      <c r="BP802" s="322"/>
      <c r="BQ802" s="322"/>
      <c r="BR802" s="322"/>
      <c r="BS802" s="322"/>
      <c r="BT802" s="322"/>
      <c r="BU802" s="322"/>
      <c r="BV802" s="322"/>
      <c r="BW802" s="322"/>
      <c r="BX802" s="322"/>
      <c r="BY802" s="322"/>
      <c r="BZ802" s="322"/>
      <c r="CA802" s="322"/>
      <c r="CB802" s="322"/>
      <c r="CC802" s="322"/>
      <c r="CD802" s="322"/>
      <c r="CE802" s="322"/>
      <c r="CF802" s="322"/>
      <c r="CG802" s="322"/>
      <c r="CH802" s="322"/>
      <c r="CI802" s="322"/>
      <c r="CM802" s="1139">
        <v>0</v>
      </c>
      <c r="CN802" s="1139"/>
      <c r="CP802" s="923">
        <f t="shared" si="449"/>
        <v>0</v>
      </c>
      <c r="CZ802" s="330"/>
    </row>
    <row r="803" spans="1:104" ht="15" customHeight="1" x14ac:dyDescent="0.25">
      <c r="A803" s="684">
        <f>MAX($A$6:A802)+1</f>
        <v>803</v>
      </c>
      <c r="B803" s="3">
        <f t="shared" si="464"/>
        <v>5.0999999999999996</v>
      </c>
      <c r="C803" s="11" t="str">
        <f t="shared" si="421"/>
        <v>Consolidated property, plant and equipment 2018-19</v>
      </c>
      <c r="D803" s="1250" t="s">
        <v>1719</v>
      </c>
      <c r="E803" s="965" t="s">
        <v>1721</v>
      </c>
      <c r="F803" s="15"/>
      <c r="G803" s="1254"/>
      <c r="H803" s="1190"/>
      <c r="I803" s="6"/>
      <c r="J803" s="965" t="s">
        <v>1712</v>
      </c>
      <c r="K803" s="280">
        <f>'alb Note 5.1 -PP&amp;E - CY'!B68</f>
        <v>0</v>
      </c>
      <c r="L803" s="251"/>
      <c r="M803" s="10"/>
      <c r="N803" s="273"/>
      <c r="O803" s="12"/>
      <c r="P803" s="12"/>
      <c r="Q803" s="12"/>
      <c r="R803" s="12"/>
      <c r="S803" s="6"/>
      <c r="T803" s="273"/>
      <c r="U803" s="6">
        <f t="shared" si="466"/>
        <v>0</v>
      </c>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X803" s="6"/>
      <c r="AY803" s="6"/>
      <c r="BA803" s="6"/>
      <c r="BB803" s="6"/>
      <c r="BC803" s="6"/>
      <c r="BD803" s="29"/>
      <c r="BE803" s="322"/>
      <c r="BF803" s="322"/>
      <c r="BG803" s="322"/>
      <c r="BH803" s="322"/>
      <c r="BI803" s="322"/>
      <c r="BJ803" s="322"/>
      <c r="BK803" s="29">
        <f t="shared" si="435"/>
        <v>0</v>
      </c>
      <c r="BL803" s="322"/>
      <c r="BM803" s="322"/>
      <c r="BN803" s="322"/>
      <c r="BO803" s="322"/>
      <c r="BP803" s="322"/>
      <c r="BQ803" s="322"/>
      <c r="BR803" s="322"/>
      <c r="BS803" s="322"/>
      <c r="BT803" s="322"/>
      <c r="BU803" s="322"/>
      <c r="BV803" s="322"/>
      <c r="BW803" s="322"/>
      <c r="BX803" s="322"/>
      <c r="BY803" s="322"/>
      <c r="BZ803" s="322"/>
      <c r="CA803" s="322"/>
      <c r="CB803" s="322"/>
      <c r="CC803" s="322"/>
      <c r="CD803" s="322"/>
      <c r="CE803" s="322"/>
      <c r="CF803" s="322"/>
      <c r="CG803" s="322"/>
      <c r="CH803" s="322"/>
      <c r="CI803" s="322"/>
      <c r="CM803" s="1139">
        <v>0</v>
      </c>
      <c r="CN803" s="1139"/>
      <c r="CP803" s="923">
        <f t="shared" si="449"/>
        <v>0</v>
      </c>
      <c r="CZ803" s="330"/>
    </row>
    <row r="804" spans="1:104" ht="15" customHeight="1" x14ac:dyDescent="0.25">
      <c r="A804" s="684">
        <f>MAX($A$6:A803)+1</f>
        <v>804</v>
      </c>
      <c r="B804" s="3">
        <f t="shared" si="464"/>
        <v>5.0999999999999996</v>
      </c>
      <c r="C804" s="11" t="str">
        <f t="shared" si="421"/>
        <v>Consolidated property, plant and equipment 2018-19</v>
      </c>
      <c r="D804" s="1250" t="s">
        <v>1719</v>
      </c>
      <c r="E804" s="965" t="s">
        <v>1721</v>
      </c>
      <c r="F804" s="15"/>
      <c r="G804" s="1254"/>
      <c r="H804" s="1190"/>
      <c r="I804" s="6"/>
      <c r="J804" s="965" t="s">
        <v>1713</v>
      </c>
      <c r="K804" s="280">
        <f>'alb Note 5.1 -PP&amp;E - CY'!B69</f>
        <v>0</v>
      </c>
      <c r="L804" s="251"/>
      <c r="M804" s="10"/>
      <c r="N804" s="273"/>
      <c r="O804" s="12"/>
      <c r="P804" s="12"/>
      <c r="Q804" s="12"/>
      <c r="R804" s="12"/>
      <c r="S804" s="6"/>
      <c r="T804" s="273"/>
      <c r="U804" s="6">
        <f t="shared" si="466"/>
        <v>0</v>
      </c>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X804" s="6"/>
      <c r="AY804" s="6"/>
      <c r="BA804" s="6"/>
      <c r="BB804" s="6"/>
      <c r="BC804" s="6"/>
      <c r="BD804" s="29"/>
      <c r="BE804" s="322"/>
      <c r="BF804" s="322"/>
      <c r="BG804" s="322"/>
      <c r="BH804" s="322"/>
      <c r="BI804" s="322"/>
      <c r="BJ804" s="322"/>
      <c r="BK804" s="29">
        <f t="shared" si="435"/>
        <v>0</v>
      </c>
      <c r="BL804" s="322"/>
      <c r="BM804" s="322"/>
      <c r="BN804" s="322"/>
      <c r="BO804" s="322"/>
      <c r="BP804" s="322"/>
      <c r="BQ804" s="322"/>
      <c r="BR804" s="322"/>
      <c r="BS804" s="322"/>
      <c r="BT804" s="322"/>
      <c r="BU804" s="322"/>
      <c r="BV804" s="322"/>
      <c r="BW804" s="322"/>
      <c r="BX804" s="322"/>
      <c r="BY804" s="322"/>
      <c r="BZ804" s="322"/>
      <c r="CA804" s="322"/>
      <c r="CB804" s="322"/>
      <c r="CC804" s="322"/>
      <c r="CD804" s="322"/>
      <c r="CE804" s="322"/>
      <c r="CF804" s="322"/>
      <c r="CG804" s="322"/>
      <c r="CH804" s="322"/>
      <c r="CI804" s="322"/>
      <c r="CM804" s="1139">
        <v>0</v>
      </c>
      <c r="CN804" s="1139"/>
      <c r="CP804" s="923">
        <f t="shared" si="449"/>
        <v>0</v>
      </c>
      <c r="CZ804" s="330"/>
    </row>
    <row r="805" spans="1:104" ht="15" customHeight="1" x14ac:dyDescent="0.25">
      <c r="A805" s="684">
        <f>MAX($A$6:A804)+1</f>
        <v>805</v>
      </c>
      <c r="B805" s="3">
        <f t="shared" si="464"/>
        <v>5.0999999999999996</v>
      </c>
      <c r="C805" s="11" t="str">
        <f t="shared" si="421"/>
        <v>Consolidated property, plant and equipment 2018-19</v>
      </c>
      <c r="D805" s="1250" t="s">
        <v>1719</v>
      </c>
      <c r="E805" s="965" t="s">
        <v>1721</v>
      </c>
      <c r="F805" s="15"/>
      <c r="G805" s="1254"/>
      <c r="H805" s="1190"/>
      <c r="I805" s="6"/>
      <c r="J805" s="965" t="s">
        <v>1714</v>
      </c>
      <c r="K805" s="280">
        <f>'alb Note 5.1 -PP&amp;E - CY'!B70</f>
        <v>0</v>
      </c>
      <c r="L805" s="251"/>
      <c r="M805" s="10"/>
      <c r="N805" s="273"/>
      <c r="O805" s="12"/>
      <c r="P805" s="12"/>
      <c r="Q805" s="12"/>
      <c r="R805" s="12"/>
      <c r="S805" s="6"/>
      <c r="T805" s="273"/>
      <c r="U805" s="6">
        <f t="shared" si="466"/>
        <v>0</v>
      </c>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X805" s="6"/>
      <c r="AY805" s="6"/>
      <c r="BA805" s="6"/>
      <c r="BB805" s="6"/>
      <c r="BC805" s="6"/>
      <c r="BD805" s="29"/>
      <c r="BE805" s="322"/>
      <c r="BF805" s="322"/>
      <c r="BG805" s="322"/>
      <c r="BH805" s="322"/>
      <c r="BI805" s="322"/>
      <c r="BJ805" s="322"/>
      <c r="BK805" s="29">
        <f t="shared" si="435"/>
        <v>0</v>
      </c>
      <c r="BL805" s="322"/>
      <c r="BM805" s="322"/>
      <c r="BN805" s="322"/>
      <c r="BO805" s="322"/>
      <c r="BP805" s="322"/>
      <c r="BQ805" s="322"/>
      <c r="BR805" s="322"/>
      <c r="BS805" s="322"/>
      <c r="BT805" s="322"/>
      <c r="BU805" s="322"/>
      <c r="BV805" s="322"/>
      <c r="BW805" s="322"/>
      <c r="BX805" s="322"/>
      <c r="BY805" s="322"/>
      <c r="BZ805" s="322"/>
      <c r="CA805" s="322"/>
      <c r="CB805" s="322"/>
      <c r="CC805" s="322"/>
      <c r="CD805" s="322"/>
      <c r="CE805" s="322"/>
      <c r="CF805" s="322"/>
      <c r="CG805" s="322"/>
      <c r="CH805" s="322"/>
      <c r="CI805" s="322"/>
      <c r="CM805" s="1139">
        <v>0</v>
      </c>
      <c r="CN805" s="1139"/>
      <c r="CP805" s="923">
        <f t="shared" si="449"/>
        <v>0</v>
      </c>
      <c r="CZ805" s="330"/>
    </row>
    <row r="806" spans="1:104" ht="15" customHeight="1" x14ac:dyDescent="0.25">
      <c r="A806" s="684">
        <f>MAX($A$6:A805)+1</f>
        <v>806</v>
      </c>
      <c r="B806" s="3">
        <f t="shared" si="464"/>
        <v>5.0999999999999996</v>
      </c>
      <c r="C806" s="11" t="str">
        <f t="shared" si="421"/>
        <v>Consolidated property, plant and equipment 2018-19</v>
      </c>
      <c r="D806" s="1250" t="s">
        <v>1719</v>
      </c>
      <c r="E806" s="965" t="s">
        <v>1722</v>
      </c>
      <c r="F806" s="15"/>
      <c r="G806" s="1254"/>
      <c r="H806" s="1190"/>
      <c r="I806" s="6"/>
      <c r="J806" s="965" t="s">
        <v>1722</v>
      </c>
      <c r="K806" s="280">
        <f>'alb Note 5.1 -PP&amp;E - CY'!J73</f>
        <v>0</v>
      </c>
      <c r="L806" s="251"/>
      <c r="M806" s="10"/>
      <c r="N806" s="273"/>
      <c r="O806" s="12"/>
      <c r="P806" s="12"/>
      <c r="Q806" s="12"/>
      <c r="R806" s="12"/>
      <c r="S806" s="6"/>
      <c r="T806" s="273"/>
      <c r="U806" s="6">
        <f t="shared" si="466"/>
        <v>0</v>
      </c>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X806" s="6"/>
      <c r="AY806" s="6"/>
      <c r="BA806" s="6"/>
      <c r="BB806" s="6"/>
      <c r="BC806" s="6"/>
      <c r="BD806" s="29"/>
      <c r="BE806" s="322"/>
      <c r="BF806" s="322"/>
      <c r="BG806" s="322"/>
      <c r="BH806" s="322"/>
      <c r="BI806" s="322"/>
      <c r="BJ806" s="322"/>
      <c r="BK806" s="29">
        <f t="shared" si="435"/>
        <v>0</v>
      </c>
      <c r="BL806" s="322"/>
      <c r="BM806" s="322"/>
      <c r="BN806" s="322"/>
      <c r="BO806" s="322"/>
      <c r="BP806" s="322"/>
      <c r="BQ806" s="322"/>
      <c r="BR806" s="322"/>
      <c r="BS806" s="322"/>
      <c r="BT806" s="322"/>
      <c r="BU806" s="322"/>
      <c r="BV806" s="322"/>
      <c r="BW806" s="322"/>
      <c r="BX806" s="322"/>
      <c r="BY806" s="322"/>
      <c r="BZ806" s="322"/>
      <c r="CA806" s="322"/>
      <c r="CB806" s="322"/>
      <c r="CC806" s="322"/>
      <c r="CD806" s="322"/>
      <c r="CE806" s="322"/>
      <c r="CF806" s="322"/>
      <c r="CG806" s="322"/>
      <c r="CH806" s="322"/>
      <c r="CI806" s="322"/>
      <c r="CM806" s="1139">
        <v>0</v>
      </c>
      <c r="CN806" s="1139"/>
      <c r="CP806" s="923">
        <f t="shared" si="449"/>
        <v>0</v>
      </c>
      <c r="CZ806" s="330"/>
    </row>
    <row r="807" spans="1:104" ht="18.75" customHeight="1" x14ac:dyDescent="0.25">
      <c r="A807" s="1294">
        <f>MAX($A$6:A806)+1</f>
        <v>807</v>
      </c>
      <c r="B807" s="1295">
        <f>SUMIF(Update!$B$33:$B$106,C807,Update!$A$33:$A$106)</f>
        <v>5.3999999999999986</v>
      </c>
      <c r="C807" s="696" t="s">
        <v>601</v>
      </c>
      <c r="D807" s="695"/>
      <c r="E807" s="696" t="str">
        <f>B807&amp;" "&amp;C807</f>
        <v>5.4 Assets Classified as Held for Sale</v>
      </c>
      <c r="F807" s="697"/>
      <c r="G807" s="697"/>
      <c r="H807" s="695"/>
      <c r="I807" s="695"/>
      <c r="J807" s="698" t="s">
        <v>286</v>
      </c>
      <c r="K807" s="699">
        <f>SUMIF('alb Note 5.3 -Asset held resale'!$A:$A,$J807,'alb Note 5.3 -Asset held resale'!$B:$B)</f>
        <v>0</v>
      </c>
      <c r="L807" s="699">
        <f>SUMIF('alb Note 5.3 -Asset held resale'!$A:$A,$J807,'alb Note 5.3 -Asset held resale'!$B:$B)</f>
        <v>0</v>
      </c>
      <c r="M807" s="695"/>
      <c r="N807" s="713">
        <f>ROUND(SUM(O807:S807)+T807+SUM(Z807:AV807),0)</f>
        <v>0</v>
      </c>
      <c r="O807" s="695"/>
      <c r="P807" s="695"/>
      <c r="Q807" s="695"/>
      <c r="R807" s="695"/>
      <c r="S807" s="695">
        <f t="shared" si="441"/>
        <v>0</v>
      </c>
      <c r="T807" s="713">
        <f t="shared" ref="T807:T825" si="467">ROUND(SUM(U807:Y807),0)</f>
        <v>0</v>
      </c>
      <c r="U807" s="695"/>
      <c r="V807" s="695"/>
      <c r="W807" s="695"/>
      <c r="X807" s="695"/>
      <c r="Y807" s="695"/>
      <c r="Z807" s="695"/>
      <c r="AA807" s="695"/>
      <c r="AB807" s="695"/>
      <c r="AC807" s="695"/>
      <c r="AD807" s="695"/>
      <c r="AE807" s="695"/>
      <c r="AF807" s="695"/>
      <c r="AG807" s="695"/>
      <c r="AH807" s="695"/>
      <c r="AI807" s="695"/>
      <c r="AJ807" s="695"/>
      <c r="AK807" s="695"/>
      <c r="AL807" s="695"/>
      <c r="AM807" s="695"/>
      <c r="AN807" s="695"/>
      <c r="AO807" s="695"/>
      <c r="AP807" s="695"/>
      <c r="AQ807" s="695"/>
      <c r="AR807" s="695"/>
      <c r="AS807" s="695"/>
      <c r="AT807" s="695"/>
      <c r="AU807" s="695"/>
      <c r="AV807" s="695"/>
      <c r="AW807" s="700"/>
      <c r="AX807" s="700"/>
      <c r="AY807" s="700">
        <f>ROUND(AX807/1000/Update!$B$31*Update!$B$27,0)</f>
        <v>0</v>
      </c>
      <c r="AZ807" s="700"/>
      <c r="BA807" s="700"/>
      <c r="BB807" s="700">
        <f>ROUND(BA807/1000/Update!$B$31,0)</f>
        <v>0</v>
      </c>
      <c r="BC807" s="700"/>
      <c r="BD807" s="721">
        <f t="shared" si="455"/>
        <v>0</v>
      </c>
      <c r="BE807" s="700"/>
      <c r="BF807" s="700"/>
      <c r="BG807" s="700"/>
      <c r="BH807" s="700"/>
      <c r="BI807" s="700"/>
      <c r="BJ807" s="700"/>
      <c r="BK807" s="721">
        <f t="shared" si="435"/>
        <v>0</v>
      </c>
      <c r="BL807" s="700"/>
      <c r="BM807" s="700"/>
      <c r="BN807" s="700"/>
      <c r="BO807" s="700"/>
      <c r="BP807" s="700"/>
      <c r="BQ807" s="700"/>
      <c r="BR807" s="700"/>
      <c r="BS807" s="700"/>
      <c r="BT807" s="700"/>
      <c r="BU807" s="700"/>
      <c r="BV807" s="700"/>
      <c r="BW807" s="700"/>
      <c r="BX807" s="700"/>
      <c r="BY807" s="700"/>
      <c r="BZ807" s="700"/>
      <c r="CA807" s="700"/>
      <c r="CB807" s="700"/>
      <c r="CC807" s="700"/>
      <c r="CD807" s="700"/>
      <c r="CE807" s="700"/>
      <c r="CF807" s="700"/>
      <c r="CG807" s="700"/>
      <c r="CH807" s="700"/>
      <c r="CI807" s="700"/>
      <c r="CJ807" s="700"/>
      <c r="CK807" s="700"/>
      <c r="CM807" s="700">
        <v>0</v>
      </c>
      <c r="CN807" s="700">
        <v>0</v>
      </c>
      <c r="CP807" s="923">
        <f t="shared" si="449"/>
        <v>0</v>
      </c>
      <c r="CZ807" s="330"/>
    </row>
    <row r="808" spans="1:104" ht="15" customHeight="1" x14ac:dyDescent="0.25">
      <c r="A808" s="684">
        <f>MAX($A$6:A807)+1</f>
        <v>808</v>
      </c>
      <c r="B808" s="3">
        <f t="shared" ref="B808:B825" si="468">B807</f>
        <v>5.3999999999999986</v>
      </c>
      <c r="C808" s="11" t="s">
        <v>601</v>
      </c>
      <c r="D808" s="11" t="s">
        <v>827</v>
      </c>
      <c r="E808" s="13" t="s">
        <v>450</v>
      </c>
      <c r="F808" s="15"/>
      <c r="G808" s="1254" t="s">
        <v>450</v>
      </c>
      <c r="H808" s="6">
        <v>0</v>
      </c>
      <c r="I808" s="6"/>
      <c r="J808" s="1257" t="s">
        <v>450</v>
      </c>
      <c r="K808" s="251">
        <f>SUMIF('alb Note 5.3 -Asset held resale'!$A:$A,$J808,'alb Note 5.3 -Asset held resale'!$B:$B)</f>
        <v>0</v>
      </c>
      <c r="L808" s="266"/>
      <c r="M808" s="10"/>
      <c r="N808" s="273">
        <f>ROUND(SUM(O808:S808)+SUM(W808:AV808),0)</f>
        <v>0</v>
      </c>
      <c r="O808" s="12"/>
      <c r="P808" s="12"/>
      <c r="Q808" s="12"/>
      <c r="R808" s="12"/>
      <c r="S808" s="6">
        <f t="shared" si="441"/>
        <v>0</v>
      </c>
      <c r="T808" s="273">
        <f t="shared" si="467"/>
        <v>0</v>
      </c>
      <c r="U808" s="6">
        <f t="shared" ref="U808:U830" si="469">SUM(BL808:BN808)</f>
        <v>0</v>
      </c>
      <c r="V808" s="6"/>
      <c r="W808" s="6">
        <f t="shared" ref="W808:W842" si="470">+H808</f>
        <v>0</v>
      </c>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X808" s="6"/>
      <c r="AY808" s="6">
        <f>ROUND(AX808/1000/Update!$B$31*Update!$B$27,0)</f>
        <v>0</v>
      </c>
      <c r="BA808" s="6"/>
      <c r="BB808" s="6">
        <f>ROUND(BA808/1000/Update!$B$31,0)</f>
        <v>0</v>
      </c>
      <c r="BC808" s="6"/>
      <c r="BD808" s="29">
        <f t="shared" si="455"/>
        <v>0</v>
      </c>
      <c r="BE808" s="322"/>
      <c r="BF808" s="322"/>
      <c r="BG808" s="322"/>
      <c r="BH808" s="322"/>
      <c r="BI808" s="322"/>
      <c r="BJ808" s="322"/>
      <c r="BK808" s="29">
        <f t="shared" si="435"/>
        <v>0</v>
      </c>
      <c r="BL808" s="322"/>
      <c r="BM808" s="322"/>
      <c r="BN808" s="322"/>
      <c r="BO808" s="322"/>
      <c r="BP808" s="322"/>
      <c r="BQ808" s="322"/>
      <c r="BR808" s="322"/>
      <c r="BS808" s="322"/>
      <c r="BT808" s="322"/>
      <c r="BU808" s="322"/>
      <c r="BV808" s="322"/>
      <c r="BW808" s="322"/>
      <c r="BX808" s="322"/>
      <c r="BY808" s="322"/>
      <c r="BZ808" s="322"/>
      <c r="CA808" s="322"/>
      <c r="CB808" s="322"/>
      <c r="CC808" s="322"/>
      <c r="CD808" s="322"/>
      <c r="CE808" s="322"/>
      <c r="CF808" s="322"/>
      <c r="CG808" s="322"/>
      <c r="CH808" s="322"/>
      <c r="CI808" s="322"/>
      <c r="CM808" s="1139">
        <v>0</v>
      </c>
      <c r="CN808" s="1139">
        <v>0</v>
      </c>
      <c r="CP808" s="923">
        <f t="shared" si="449"/>
        <v>0</v>
      </c>
      <c r="CZ808" s="330"/>
    </row>
    <row r="809" spans="1:104" ht="30" customHeight="1" x14ac:dyDescent="0.25">
      <c r="A809" s="684">
        <f>MAX($A$6:A808)+1</f>
        <v>809</v>
      </c>
      <c r="B809" s="3">
        <f t="shared" si="468"/>
        <v>5.3999999999999986</v>
      </c>
      <c r="C809" s="11" t="str">
        <f t="shared" ref="C809:D813" si="471">C808</f>
        <v>Assets Classified as Held for Sale</v>
      </c>
      <c r="D809" s="11" t="str">
        <f>D808</f>
        <v>Land Cost</v>
      </c>
      <c r="E809" s="7" t="s">
        <v>206</v>
      </c>
      <c r="F809" s="15"/>
      <c r="G809" s="1254" t="s">
        <v>448</v>
      </c>
      <c r="H809" s="6">
        <v>0</v>
      </c>
      <c r="I809" s="6"/>
      <c r="J809" s="1257" t="s">
        <v>771</v>
      </c>
      <c r="K809" s="251">
        <f>SUMIF('alb Note 5.3 -Asset held resale'!$A:$A,$J809,'alb Note 5.3 -Asset held resale'!$B:$B)</f>
        <v>0</v>
      </c>
      <c r="L809" s="266"/>
      <c r="M809" s="10"/>
      <c r="N809" s="273">
        <f>ROUND(SUM(O809:S809)+SUM(W809:AV809),0)</f>
        <v>0</v>
      </c>
      <c r="O809" s="12"/>
      <c r="P809" s="12"/>
      <c r="Q809" s="12"/>
      <c r="R809" s="12"/>
      <c r="S809" s="6">
        <f t="shared" si="441"/>
        <v>0</v>
      </c>
      <c r="T809" s="273">
        <f t="shared" si="467"/>
        <v>0</v>
      </c>
      <c r="U809" s="6">
        <f t="shared" si="469"/>
        <v>0</v>
      </c>
      <c r="V809" s="6"/>
      <c r="W809" s="6">
        <f t="shared" si="470"/>
        <v>0</v>
      </c>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X809" s="6"/>
      <c r="AY809" s="6">
        <f>ROUND(AX809/1000/Update!$B$31*Update!$B$27,0)</f>
        <v>0</v>
      </c>
      <c r="BA809" s="6"/>
      <c r="BB809" s="6">
        <f>ROUND(BA809/1000/Update!$B$31,0)</f>
        <v>0</v>
      </c>
      <c r="BC809" s="6"/>
      <c r="BD809" s="29">
        <f t="shared" si="455"/>
        <v>0</v>
      </c>
      <c r="BE809" s="322"/>
      <c r="BF809" s="322"/>
      <c r="BG809" s="322"/>
      <c r="BH809" s="322"/>
      <c r="BI809" s="322"/>
      <c r="BJ809" s="322"/>
      <c r="BK809" s="29">
        <f t="shared" si="435"/>
        <v>0</v>
      </c>
      <c r="BL809" s="322"/>
      <c r="BM809" s="322"/>
      <c r="BN809" s="322"/>
      <c r="BO809" s="322"/>
      <c r="BP809" s="322"/>
      <c r="BQ809" s="322"/>
      <c r="BR809" s="322"/>
      <c r="BS809" s="322"/>
      <c r="BT809" s="322"/>
      <c r="BU809" s="322"/>
      <c r="BV809" s="322"/>
      <c r="BW809" s="322"/>
      <c r="BX809" s="322"/>
      <c r="BY809" s="322"/>
      <c r="BZ809" s="322"/>
      <c r="CA809" s="322"/>
      <c r="CB809" s="322"/>
      <c r="CC809" s="322"/>
      <c r="CD809" s="322"/>
      <c r="CE809" s="322"/>
      <c r="CF809" s="322"/>
      <c r="CG809" s="322"/>
      <c r="CH809" s="322"/>
      <c r="CI809" s="322"/>
      <c r="CM809" s="1139">
        <v>0</v>
      </c>
      <c r="CN809" s="1139">
        <v>0</v>
      </c>
      <c r="CP809" s="923">
        <f t="shared" si="449"/>
        <v>0</v>
      </c>
      <c r="CZ809" s="330"/>
    </row>
    <row r="810" spans="1:104" ht="30" customHeight="1" x14ac:dyDescent="0.25">
      <c r="A810" s="684">
        <f>MAX($A$6:A809)+1</f>
        <v>810</v>
      </c>
      <c r="B810" s="3">
        <f t="shared" si="468"/>
        <v>5.3999999999999986</v>
      </c>
      <c r="C810" s="11" t="str">
        <f t="shared" si="471"/>
        <v>Assets Classified as Held for Sale</v>
      </c>
      <c r="D810" s="11" t="str">
        <f t="shared" si="471"/>
        <v>Land Cost</v>
      </c>
      <c r="E810" s="7" t="s">
        <v>206</v>
      </c>
      <c r="F810" s="15"/>
      <c r="G810" s="1254" t="s">
        <v>449</v>
      </c>
      <c r="H810" s="6">
        <v>0</v>
      </c>
      <c r="I810" s="6"/>
      <c r="J810" s="1257" t="s">
        <v>772</v>
      </c>
      <c r="K810" s="251">
        <f>SUMIF('alb Note 5.3 -Asset held resale'!$A:$A,$J810,'alb Note 5.3 -Asset held resale'!$B:$B)</f>
        <v>0</v>
      </c>
      <c r="L810" s="266"/>
      <c r="M810" s="10"/>
      <c r="N810" s="273">
        <f>ROUND(SUM(O810:S810)+SUM(W810:AV810),0)</f>
        <v>0</v>
      </c>
      <c r="O810" s="12"/>
      <c r="P810" s="12"/>
      <c r="Q810" s="12"/>
      <c r="R810" s="12"/>
      <c r="S810" s="6">
        <f t="shared" si="441"/>
        <v>0</v>
      </c>
      <c r="T810" s="273">
        <f t="shared" si="467"/>
        <v>0</v>
      </c>
      <c r="U810" s="6">
        <f t="shared" si="469"/>
        <v>0</v>
      </c>
      <c r="V810" s="6"/>
      <c r="W810" s="6">
        <f t="shared" si="470"/>
        <v>0</v>
      </c>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X810" s="6"/>
      <c r="AY810" s="6">
        <f>ROUND(AX810/1000/Update!$B$31*Update!$B$27,0)</f>
        <v>0</v>
      </c>
      <c r="BA810" s="6"/>
      <c r="BB810" s="6">
        <f>ROUND(BA810/1000/Update!$B$31,0)</f>
        <v>0</v>
      </c>
      <c r="BC810" s="6"/>
      <c r="BD810" s="29">
        <f t="shared" si="455"/>
        <v>0</v>
      </c>
      <c r="BE810" s="322"/>
      <c r="BF810" s="322"/>
      <c r="BG810" s="322"/>
      <c r="BH810" s="322"/>
      <c r="BI810" s="322"/>
      <c r="BJ810" s="322"/>
      <c r="BK810" s="29">
        <f t="shared" si="435"/>
        <v>0</v>
      </c>
      <c r="BL810" s="322"/>
      <c r="BM810" s="322"/>
      <c r="BN810" s="322"/>
      <c r="BO810" s="322"/>
      <c r="BP810" s="322"/>
      <c r="BQ810" s="322"/>
      <c r="BR810" s="322"/>
      <c r="BS810" s="322"/>
      <c r="BT810" s="322"/>
      <c r="BU810" s="322"/>
      <c r="BV810" s="322"/>
      <c r="BW810" s="322"/>
      <c r="BX810" s="322"/>
      <c r="BY810" s="322"/>
      <c r="BZ810" s="322"/>
      <c r="CA810" s="322"/>
      <c r="CB810" s="322"/>
      <c r="CC810" s="322"/>
      <c r="CD810" s="322"/>
      <c r="CE810" s="322"/>
      <c r="CF810" s="322"/>
      <c r="CG810" s="322"/>
      <c r="CH810" s="322"/>
      <c r="CI810" s="322"/>
      <c r="CM810" s="1139">
        <v>0</v>
      </c>
      <c r="CN810" s="1139">
        <v>0</v>
      </c>
      <c r="CP810" s="923">
        <f t="shared" si="449"/>
        <v>0</v>
      </c>
      <c r="CZ810" s="330"/>
    </row>
    <row r="811" spans="1:104" ht="15" customHeight="1" x14ac:dyDescent="0.25">
      <c r="A811" s="684">
        <f>MAX($A$6:A810)+1</f>
        <v>811</v>
      </c>
      <c r="B811" s="3">
        <f t="shared" si="468"/>
        <v>5.3999999999999986</v>
      </c>
      <c r="C811" s="11" t="str">
        <f>C809</f>
        <v>Assets Classified as Held for Sale</v>
      </c>
      <c r="D811" s="11" t="str">
        <f t="shared" ref="D811:D825" si="472">D810</f>
        <v>Land Cost</v>
      </c>
      <c r="E811" s="7" t="s">
        <v>207</v>
      </c>
      <c r="F811" s="15"/>
      <c r="G811" s="1254" t="s">
        <v>207</v>
      </c>
      <c r="H811" s="6">
        <v>0</v>
      </c>
      <c r="I811" s="6"/>
      <c r="J811" s="1257" t="s">
        <v>773</v>
      </c>
      <c r="K811" s="251">
        <f>SUMIF('alb Note 5.3 -Asset held resale'!$A:$A,$J811,'alb Note 5.3 -Asset held resale'!$B:$B)</f>
        <v>0</v>
      </c>
      <c r="L811" s="266"/>
      <c r="M811" s="10"/>
      <c r="N811" s="273">
        <f>ROUND(SUM(O811:S811)+SUM(W811:AV811),0)</f>
        <v>0</v>
      </c>
      <c r="O811" s="12"/>
      <c r="P811" s="12"/>
      <c r="Q811" s="12"/>
      <c r="R811" s="12"/>
      <c r="S811" s="6">
        <f t="shared" si="441"/>
        <v>0</v>
      </c>
      <c r="T811" s="273">
        <f t="shared" si="467"/>
        <v>0</v>
      </c>
      <c r="U811" s="6">
        <f t="shared" si="469"/>
        <v>0</v>
      </c>
      <c r="V811" s="6"/>
      <c r="W811" s="6">
        <f t="shared" si="470"/>
        <v>0</v>
      </c>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X811" s="6"/>
      <c r="AY811" s="6">
        <f>ROUND(AX811/1000/Update!$B$31*Update!$B$27,0)</f>
        <v>0</v>
      </c>
      <c r="BA811" s="6"/>
      <c r="BB811" s="6">
        <f>ROUND(BA811/1000/Update!$B$31,0)</f>
        <v>0</v>
      </c>
      <c r="BC811" s="6"/>
      <c r="BD811" s="29">
        <f t="shared" si="455"/>
        <v>0</v>
      </c>
      <c r="BE811" s="322"/>
      <c r="BF811" s="322"/>
      <c r="BG811" s="322"/>
      <c r="BH811" s="322"/>
      <c r="BI811" s="322"/>
      <c r="BJ811" s="322"/>
      <c r="BK811" s="29">
        <f t="shared" si="435"/>
        <v>0</v>
      </c>
      <c r="BL811" s="322"/>
      <c r="BM811" s="322"/>
      <c r="BN811" s="322"/>
      <c r="BO811" s="322"/>
      <c r="BP811" s="322"/>
      <c r="BQ811" s="322"/>
      <c r="BR811" s="322"/>
      <c r="BS811" s="322"/>
      <c r="BT811" s="322"/>
      <c r="BU811" s="322"/>
      <c r="BV811" s="322"/>
      <c r="BW811" s="322"/>
      <c r="BX811" s="322"/>
      <c r="BY811" s="322"/>
      <c r="BZ811" s="322"/>
      <c r="CA811" s="322"/>
      <c r="CB811" s="322"/>
      <c r="CC811" s="322"/>
      <c r="CD811" s="322"/>
      <c r="CE811" s="322"/>
      <c r="CF811" s="322"/>
      <c r="CG811" s="322"/>
      <c r="CH811" s="322"/>
      <c r="CI811" s="322"/>
      <c r="CM811" s="1139">
        <v>0</v>
      </c>
      <c r="CN811" s="1139">
        <v>0</v>
      </c>
      <c r="CP811" s="923">
        <f t="shared" si="449"/>
        <v>0</v>
      </c>
      <c r="CZ811" s="330"/>
    </row>
    <row r="812" spans="1:104" ht="15" customHeight="1" x14ac:dyDescent="0.25">
      <c r="A812" s="684">
        <f>MAX($A$6:A811)+1</f>
        <v>812</v>
      </c>
      <c r="B812" s="3">
        <f t="shared" si="468"/>
        <v>5.3999999999999986</v>
      </c>
      <c r="C812" s="11" t="str">
        <f t="shared" si="471"/>
        <v>Assets Classified as Held for Sale</v>
      </c>
      <c r="D812" s="11" t="str">
        <f t="shared" si="472"/>
        <v>Land Cost</v>
      </c>
      <c r="E812" s="7" t="s">
        <v>208</v>
      </c>
      <c r="F812" s="15"/>
      <c r="G812" s="1254" t="s">
        <v>208</v>
      </c>
      <c r="H812" s="6">
        <v>0</v>
      </c>
      <c r="I812" s="6"/>
      <c r="J812" s="1257" t="s">
        <v>725</v>
      </c>
      <c r="K812" s="251">
        <f>SUMIF('alb Note 5.3 -Asset held resale'!$A:$A,$J812,'alb Note 5.3 -Asset held resale'!$B:$B)</f>
        <v>0</v>
      </c>
      <c r="L812" s="266"/>
      <c r="M812" s="10"/>
      <c r="N812" s="273">
        <f>ROUND(SUM(O812:S812)+SUM(W812:AV812),0)</f>
        <v>0</v>
      </c>
      <c r="O812" s="12"/>
      <c r="P812" s="12"/>
      <c r="Q812" s="12"/>
      <c r="R812" s="12"/>
      <c r="S812" s="6">
        <f t="shared" si="441"/>
        <v>0</v>
      </c>
      <c r="T812" s="273">
        <f t="shared" si="467"/>
        <v>0</v>
      </c>
      <c r="U812" s="6">
        <f t="shared" si="469"/>
        <v>0</v>
      </c>
      <c r="V812" s="6"/>
      <c r="W812" s="6">
        <f t="shared" si="470"/>
        <v>0</v>
      </c>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X812" s="6"/>
      <c r="AY812" s="6">
        <f>ROUND(AX812/1000/Update!$B$31*Update!$B$27,0)</f>
        <v>0</v>
      </c>
      <c r="BA812" s="6"/>
      <c r="BB812" s="6">
        <f>ROUND(BA812/1000/Update!$B$31,0)</f>
        <v>0</v>
      </c>
      <c r="BC812" s="6"/>
      <c r="BD812" s="29">
        <f t="shared" si="455"/>
        <v>0</v>
      </c>
      <c r="BE812" s="322"/>
      <c r="BF812" s="322"/>
      <c r="BG812" s="322"/>
      <c r="BH812" s="322"/>
      <c r="BI812" s="322"/>
      <c r="BJ812" s="322"/>
      <c r="BK812" s="29">
        <f t="shared" si="435"/>
        <v>0</v>
      </c>
      <c r="BL812" s="322"/>
      <c r="BM812" s="322"/>
      <c r="BN812" s="322"/>
      <c r="BO812" s="322"/>
      <c r="BP812" s="322"/>
      <c r="BQ812" s="322"/>
      <c r="BR812" s="322"/>
      <c r="BS812" s="322"/>
      <c r="BT812" s="322"/>
      <c r="BU812" s="322"/>
      <c r="BV812" s="322"/>
      <c r="BW812" s="322"/>
      <c r="BX812" s="322"/>
      <c r="BY812" s="322"/>
      <c r="BZ812" s="322"/>
      <c r="CA812" s="322"/>
      <c r="CB812" s="322"/>
      <c r="CC812" s="322"/>
      <c r="CD812" s="322"/>
      <c r="CE812" s="322"/>
      <c r="CF812" s="322"/>
      <c r="CG812" s="322"/>
      <c r="CH812" s="322"/>
      <c r="CI812" s="322"/>
      <c r="CM812" s="1139">
        <v>0</v>
      </c>
      <c r="CN812" s="1139">
        <v>0</v>
      </c>
      <c r="CP812" s="923">
        <f t="shared" si="449"/>
        <v>0</v>
      </c>
      <c r="CZ812" s="330"/>
    </row>
    <row r="813" spans="1:104" ht="15" customHeight="1" x14ac:dyDescent="0.25">
      <c r="A813" s="701">
        <f>MAX($A$6:A812)+1</f>
        <v>813</v>
      </c>
      <c r="B813" s="1291">
        <f t="shared" si="468"/>
        <v>5.3999999999999986</v>
      </c>
      <c r="C813" s="18" t="str">
        <f t="shared" si="471"/>
        <v>Assets Classified as Held for Sale</v>
      </c>
      <c r="D813" s="18" t="str">
        <f t="shared" si="472"/>
        <v>Land Cost</v>
      </c>
      <c r="E813" s="19" t="s">
        <v>209</v>
      </c>
      <c r="F813" s="20"/>
      <c r="G813" s="1278"/>
      <c r="H813" s="14">
        <f>SUM(H808:H812)</f>
        <v>0</v>
      </c>
      <c r="I813" s="14"/>
      <c r="J813" s="1258" t="s">
        <v>286</v>
      </c>
      <c r="K813" s="256">
        <f>SUM(K808:K812)</f>
        <v>0</v>
      </c>
      <c r="L813" s="256"/>
      <c r="M813" s="21"/>
      <c r="N813" s="14">
        <f>ROUND(SUM(O813:S813)+T813+SUM(Z813:AV813),0)</f>
        <v>0</v>
      </c>
      <c r="O813" s="14">
        <f>SUM(O808:O812)</f>
        <v>0</v>
      </c>
      <c r="P813" s="14">
        <f>SUM(P808:P812)</f>
        <v>0</v>
      </c>
      <c r="Q813" s="14">
        <f>SUM(Q808:Q812)</f>
        <v>0</v>
      </c>
      <c r="R813" s="14">
        <f>SUM(R808:R812)</f>
        <v>0</v>
      </c>
      <c r="S813" s="14">
        <f t="shared" si="441"/>
        <v>0</v>
      </c>
      <c r="T813" s="14">
        <f t="shared" si="467"/>
        <v>0</v>
      </c>
      <c r="U813" s="14">
        <f t="shared" si="469"/>
        <v>0</v>
      </c>
      <c r="V813" s="14"/>
      <c r="W813" s="14">
        <f>SUM(BN813:BP813)</f>
        <v>0</v>
      </c>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2"/>
      <c r="AX813" s="14">
        <f>SUM(AX808:AX812)</f>
        <v>0</v>
      </c>
      <c r="AY813" s="14">
        <f>ROUND(AX813/1000/Update!$B$31*Update!$B$27,0)</f>
        <v>0</v>
      </c>
      <c r="AZ813" s="2"/>
      <c r="BA813" s="14">
        <f>SUM(BA808:BA812)</f>
        <v>0</v>
      </c>
      <c r="BB813" s="14">
        <f>ROUND(BA813/1000/Update!$B$31,0)</f>
        <v>0</v>
      </c>
      <c r="BC813" s="14"/>
      <c r="BD813" s="14">
        <f t="shared" si="455"/>
        <v>0</v>
      </c>
      <c r="BE813" s="14">
        <f t="shared" ref="BE813:BJ813" si="473">SUM(BE808:BE812)</f>
        <v>0</v>
      </c>
      <c r="BF813" s="14">
        <f t="shared" si="473"/>
        <v>0</v>
      </c>
      <c r="BG813" s="14">
        <f t="shared" si="473"/>
        <v>0</v>
      </c>
      <c r="BH813" s="14">
        <f t="shared" si="473"/>
        <v>0</v>
      </c>
      <c r="BI813" s="14">
        <f t="shared" si="473"/>
        <v>0</v>
      </c>
      <c r="BJ813" s="14">
        <f t="shared" si="473"/>
        <v>0</v>
      </c>
      <c r="BK813" s="14">
        <f t="shared" si="435"/>
        <v>0</v>
      </c>
      <c r="BL813" s="14"/>
      <c r="BM813" s="14"/>
      <c r="BN813" s="14"/>
      <c r="BO813" s="14"/>
      <c r="BP813" s="14"/>
      <c r="BQ813" s="14"/>
      <c r="BR813" s="14"/>
      <c r="BS813" s="14"/>
      <c r="BT813" s="324"/>
      <c r="BU813" s="14"/>
      <c r="BV813" s="14"/>
      <c r="BW813" s="14"/>
      <c r="BX813" s="14"/>
      <c r="BY813" s="14"/>
      <c r="BZ813" s="14"/>
      <c r="CA813" s="14"/>
      <c r="CB813" s="14"/>
      <c r="CC813" s="14"/>
      <c r="CD813" s="14"/>
      <c r="CE813" s="14"/>
      <c r="CF813" s="14"/>
      <c r="CG813" s="14"/>
      <c r="CH813" s="14"/>
      <c r="CI813" s="14"/>
      <c r="CJ813" s="2"/>
      <c r="CK813" s="2"/>
      <c r="CM813" s="1450">
        <v>0</v>
      </c>
      <c r="CN813" s="1450">
        <v>0</v>
      </c>
      <c r="CP813" s="923">
        <f t="shared" si="449"/>
        <v>0</v>
      </c>
      <c r="CZ813" s="330"/>
    </row>
    <row r="814" spans="1:104" ht="15" customHeight="1" x14ac:dyDescent="0.25">
      <c r="A814" s="684">
        <f>MAX($A$6:A813)+1</f>
        <v>814</v>
      </c>
      <c r="B814" s="3">
        <f t="shared" si="468"/>
        <v>5.3999999999999986</v>
      </c>
      <c r="C814" s="11" t="str">
        <f>C813</f>
        <v>Assets Classified as Held for Sale</v>
      </c>
      <c r="D814" s="11" t="s">
        <v>828</v>
      </c>
      <c r="E814" s="13" t="s">
        <v>450</v>
      </c>
      <c r="F814" s="15"/>
      <c r="G814" s="1254" t="s">
        <v>450</v>
      </c>
      <c r="H814" s="6">
        <v>0</v>
      </c>
      <c r="I814" s="6"/>
      <c r="J814" s="1257" t="s">
        <v>450</v>
      </c>
      <c r="K814" s="251">
        <f>SUMIF('alb Note 5.3 -Asset held resale'!$A:$A,$J814,'alb Note 5.3 -Asset held resale'!$E:$E)</f>
        <v>0</v>
      </c>
      <c r="L814" s="266"/>
      <c r="M814" s="10"/>
      <c r="N814" s="273">
        <f>ROUND(SUM(O814:S814)+SUM(W814:AV814),0)</f>
        <v>0</v>
      </c>
      <c r="O814" s="12"/>
      <c r="P814" s="12"/>
      <c r="Q814" s="12"/>
      <c r="R814" s="12"/>
      <c r="S814" s="6">
        <f t="shared" si="441"/>
        <v>0</v>
      </c>
      <c r="T814" s="273">
        <f t="shared" si="467"/>
        <v>0</v>
      </c>
      <c r="U814" s="6">
        <f t="shared" si="469"/>
        <v>0</v>
      </c>
      <c r="V814" s="6"/>
      <c r="W814" s="6">
        <f t="shared" si="470"/>
        <v>0</v>
      </c>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X814" s="6"/>
      <c r="AY814" s="6">
        <f>ROUND(AX814/1000/Update!$B$31*Update!$B$27,0)</f>
        <v>0</v>
      </c>
      <c r="BA814" s="6"/>
      <c r="BB814" s="6">
        <f>ROUND(BA814/1000/Update!$B$31,0)</f>
        <v>0</v>
      </c>
      <c r="BC814" s="6"/>
      <c r="BD814" s="29">
        <f t="shared" si="455"/>
        <v>0</v>
      </c>
      <c r="BE814" s="322"/>
      <c r="BF814" s="322"/>
      <c r="BG814" s="322"/>
      <c r="BH814" s="322"/>
      <c r="BI814" s="322"/>
      <c r="BJ814" s="322"/>
      <c r="BK814" s="29">
        <f t="shared" ref="BK814:BK877" si="474">ROUND(SUM(BO814:CI814),0)</f>
        <v>0</v>
      </c>
      <c r="BL814" s="322"/>
      <c r="BM814" s="322"/>
      <c r="BN814" s="322"/>
      <c r="BO814" s="322"/>
      <c r="BP814" s="322"/>
      <c r="BQ814" s="322"/>
      <c r="BR814" s="322"/>
      <c r="BS814" s="322"/>
      <c r="BT814" s="322"/>
      <c r="BU814" s="322"/>
      <c r="BV814" s="322"/>
      <c r="BW814" s="322"/>
      <c r="BX814" s="322"/>
      <c r="BY814" s="322"/>
      <c r="BZ814" s="322"/>
      <c r="CA814" s="322"/>
      <c r="CB814" s="322"/>
      <c r="CC814" s="322"/>
      <c r="CD814" s="322"/>
      <c r="CE814" s="322"/>
      <c r="CF814" s="322"/>
      <c r="CG814" s="322"/>
      <c r="CH814" s="322"/>
      <c r="CI814" s="322"/>
      <c r="CM814" s="1139">
        <v>0</v>
      </c>
      <c r="CN814" s="1139">
        <v>0</v>
      </c>
      <c r="CP814" s="923">
        <f t="shared" si="449"/>
        <v>0</v>
      </c>
      <c r="CZ814" s="330"/>
    </row>
    <row r="815" spans="1:104" ht="30" customHeight="1" x14ac:dyDescent="0.25">
      <c r="A815" s="684">
        <f>MAX($A$6:A814)+1</f>
        <v>815</v>
      </c>
      <c r="B815" s="3">
        <f t="shared" si="468"/>
        <v>5.3999999999999986</v>
      </c>
      <c r="C815" s="11" t="str">
        <f t="shared" ref="C815:C914" si="475">C814</f>
        <v>Assets Classified as Held for Sale</v>
      </c>
      <c r="D815" s="11" t="str">
        <f t="shared" si="472"/>
        <v>Building Cost</v>
      </c>
      <c r="E815" s="7" t="s">
        <v>206</v>
      </c>
      <c r="F815" s="15"/>
      <c r="G815" s="1254" t="s">
        <v>448</v>
      </c>
      <c r="H815" s="6">
        <v>0</v>
      </c>
      <c r="I815" s="6"/>
      <c r="J815" s="1257" t="s">
        <v>771</v>
      </c>
      <c r="K815" s="251">
        <f>SUMIF('alb Note 5.3 -Asset held resale'!$A:$A,$J815,'alb Note 5.3 -Asset held resale'!$E:$E)</f>
        <v>0</v>
      </c>
      <c r="L815" s="266"/>
      <c r="M815" s="10"/>
      <c r="N815" s="273">
        <f>ROUND(SUM(O815:S815)+SUM(W815:AV815),0)</f>
        <v>0</v>
      </c>
      <c r="O815" s="12"/>
      <c r="P815" s="12"/>
      <c r="Q815" s="12"/>
      <c r="R815" s="12"/>
      <c r="S815" s="6">
        <f t="shared" si="441"/>
        <v>0</v>
      </c>
      <c r="T815" s="273">
        <f t="shared" si="467"/>
        <v>0</v>
      </c>
      <c r="U815" s="6">
        <f t="shared" si="469"/>
        <v>0</v>
      </c>
      <c r="V815" s="6"/>
      <c r="W815" s="6">
        <f t="shared" si="470"/>
        <v>0</v>
      </c>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X815" s="6"/>
      <c r="AY815" s="6">
        <f>ROUND(AX815/1000/Update!$B$31*Update!$B$27,0)</f>
        <v>0</v>
      </c>
      <c r="BA815" s="6"/>
      <c r="BB815" s="6">
        <f>ROUND(BA815/1000/Update!$B$31,0)</f>
        <v>0</v>
      </c>
      <c r="BC815" s="6"/>
      <c r="BD815" s="29">
        <f t="shared" si="455"/>
        <v>0</v>
      </c>
      <c r="BE815" s="322"/>
      <c r="BF815" s="322"/>
      <c r="BG815" s="322"/>
      <c r="BH815" s="322"/>
      <c r="BI815" s="322"/>
      <c r="BJ815" s="322"/>
      <c r="BK815" s="29">
        <f t="shared" si="474"/>
        <v>0</v>
      </c>
      <c r="BL815" s="322"/>
      <c r="BM815" s="322"/>
      <c r="BN815" s="322"/>
      <c r="BO815" s="322"/>
      <c r="BP815" s="322"/>
      <c r="BQ815" s="322"/>
      <c r="BR815" s="322"/>
      <c r="BS815" s="322"/>
      <c r="BT815" s="322"/>
      <c r="BU815" s="322"/>
      <c r="BV815" s="322"/>
      <c r="BW815" s="322"/>
      <c r="BX815" s="322"/>
      <c r="BY815" s="322"/>
      <c r="BZ815" s="322"/>
      <c r="CA815" s="322"/>
      <c r="CB815" s="322"/>
      <c r="CC815" s="322"/>
      <c r="CD815" s="322"/>
      <c r="CE815" s="322"/>
      <c r="CF815" s="322"/>
      <c r="CG815" s="322"/>
      <c r="CH815" s="322"/>
      <c r="CI815" s="322"/>
      <c r="CM815" s="1139">
        <v>0</v>
      </c>
      <c r="CN815" s="1139">
        <v>0</v>
      </c>
      <c r="CP815" s="923">
        <f t="shared" si="449"/>
        <v>0</v>
      </c>
      <c r="CZ815" s="330"/>
    </row>
    <row r="816" spans="1:104" ht="30" customHeight="1" x14ac:dyDescent="0.25">
      <c r="A816" s="684">
        <f>MAX($A$6:A815)+1</f>
        <v>816</v>
      </c>
      <c r="B816" s="3">
        <f t="shared" si="468"/>
        <v>5.3999999999999986</v>
      </c>
      <c r="C816" s="11" t="str">
        <f t="shared" si="475"/>
        <v>Assets Classified as Held for Sale</v>
      </c>
      <c r="D816" s="11" t="str">
        <f t="shared" si="472"/>
        <v>Building Cost</v>
      </c>
      <c r="E816" s="7" t="s">
        <v>206</v>
      </c>
      <c r="F816" s="15"/>
      <c r="G816" s="1254" t="s">
        <v>449</v>
      </c>
      <c r="H816" s="6">
        <v>0</v>
      </c>
      <c r="I816" s="6"/>
      <c r="J816" s="1257" t="s">
        <v>772</v>
      </c>
      <c r="K816" s="251">
        <f>SUMIF('alb Note 5.3 -Asset held resale'!$A:$A,$J816,'alb Note 5.3 -Asset held resale'!$E:$E)</f>
        <v>0</v>
      </c>
      <c r="L816" s="266"/>
      <c r="M816" s="10"/>
      <c r="N816" s="273">
        <f>ROUND(SUM(O816:S816)+SUM(W816:AV816),0)</f>
        <v>0</v>
      </c>
      <c r="O816" s="12"/>
      <c r="P816" s="12"/>
      <c r="Q816" s="12"/>
      <c r="R816" s="12"/>
      <c r="S816" s="6">
        <f t="shared" si="441"/>
        <v>0</v>
      </c>
      <c r="T816" s="273">
        <f t="shared" si="467"/>
        <v>0</v>
      </c>
      <c r="U816" s="6">
        <f t="shared" si="469"/>
        <v>0</v>
      </c>
      <c r="V816" s="6"/>
      <c r="W816" s="6">
        <f t="shared" si="470"/>
        <v>0</v>
      </c>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X816" s="6"/>
      <c r="AY816" s="6">
        <f>ROUND(AX816/1000/Update!$B$31*Update!$B$27,0)</f>
        <v>0</v>
      </c>
      <c r="BA816" s="6"/>
      <c r="BB816" s="6">
        <f>ROUND(BA816/1000/Update!$B$31,0)</f>
        <v>0</v>
      </c>
      <c r="BC816" s="6"/>
      <c r="BD816" s="29">
        <f t="shared" si="455"/>
        <v>0</v>
      </c>
      <c r="BE816" s="322"/>
      <c r="BF816" s="322"/>
      <c r="BG816" s="322"/>
      <c r="BH816" s="322"/>
      <c r="BI816" s="322"/>
      <c r="BJ816" s="322"/>
      <c r="BK816" s="29">
        <f t="shared" si="474"/>
        <v>0</v>
      </c>
      <c r="BL816" s="322"/>
      <c r="BM816" s="322"/>
      <c r="BN816" s="322"/>
      <c r="BO816" s="322"/>
      <c r="BP816" s="322"/>
      <c r="BQ816" s="322"/>
      <c r="BR816" s="322"/>
      <c r="BS816" s="322"/>
      <c r="BT816" s="322"/>
      <c r="BU816" s="322"/>
      <c r="BV816" s="322"/>
      <c r="BW816" s="322"/>
      <c r="BX816" s="322"/>
      <c r="BY816" s="322"/>
      <c r="BZ816" s="322"/>
      <c r="CA816" s="322"/>
      <c r="CB816" s="322"/>
      <c r="CC816" s="322"/>
      <c r="CD816" s="322"/>
      <c r="CE816" s="322"/>
      <c r="CF816" s="322"/>
      <c r="CG816" s="322"/>
      <c r="CH816" s="322"/>
      <c r="CI816" s="322"/>
      <c r="CM816" s="1139">
        <v>0</v>
      </c>
      <c r="CN816" s="1139">
        <v>0</v>
      </c>
      <c r="CP816" s="923">
        <f t="shared" si="449"/>
        <v>0</v>
      </c>
      <c r="CZ816" s="330"/>
    </row>
    <row r="817" spans="1:104" ht="15" customHeight="1" x14ac:dyDescent="0.25">
      <c r="A817" s="684">
        <f>MAX($A$6:A816)+1</f>
        <v>817</v>
      </c>
      <c r="B817" s="3">
        <f t="shared" si="468"/>
        <v>5.3999999999999986</v>
      </c>
      <c r="C817" s="11" t="str">
        <f>C815</f>
        <v>Assets Classified as Held for Sale</v>
      </c>
      <c r="D817" s="11" t="str">
        <f t="shared" si="472"/>
        <v>Building Cost</v>
      </c>
      <c r="E817" s="7" t="s">
        <v>207</v>
      </c>
      <c r="F817" s="15"/>
      <c r="G817" s="1254" t="s">
        <v>207</v>
      </c>
      <c r="H817" s="6">
        <v>0</v>
      </c>
      <c r="I817" s="6"/>
      <c r="J817" s="1257" t="s">
        <v>773</v>
      </c>
      <c r="K817" s="251">
        <f>SUMIF('alb Note 5.3 -Asset held resale'!$A:$A,$J817,'alb Note 5.3 -Asset held resale'!$E:$E)</f>
        <v>0</v>
      </c>
      <c r="L817" s="266"/>
      <c r="M817" s="10"/>
      <c r="N817" s="273">
        <f>ROUND(SUM(O817:S817)+SUM(W817:AV817),0)</f>
        <v>0</v>
      </c>
      <c r="O817" s="12"/>
      <c r="P817" s="12"/>
      <c r="Q817" s="12"/>
      <c r="R817" s="12"/>
      <c r="S817" s="6">
        <f t="shared" si="441"/>
        <v>0</v>
      </c>
      <c r="T817" s="273">
        <f t="shared" si="467"/>
        <v>0</v>
      </c>
      <c r="U817" s="6">
        <f t="shared" si="469"/>
        <v>0</v>
      </c>
      <c r="V817" s="6"/>
      <c r="W817" s="6">
        <f t="shared" si="470"/>
        <v>0</v>
      </c>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X817" s="6"/>
      <c r="AY817" s="6">
        <f>ROUND(AX817/1000/Update!$B$31*Update!$B$27,0)</f>
        <v>0</v>
      </c>
      <c r="BA817" s="6"/>
      <c r="BB817" s="6">
        <f>ROUND(BA817/1000/Update!$B$31,0)</f>
        <v>0</v>
      </c>
      <c r="BC817" s="6"/>
      <c r="BD817" s="29">
        <f t="shared" si="455"/>
        <v>0</v>
      </c>
      <c r="BE817" s="322"/>
      <c r="BF817" s="322"/>
      <c r="BG817" s="322"/>
      <c r="BH817" s="322"/>
      <c r="BI817" s="322"/>
      <c r="BJ817" s="322"/>
      <c r="BK817" s="29">
        <f t="shared" si="474"/>
        <v>0</v>
      </c>
      <c r="BL817" s="322"/>
      <c r="BM817" s="322"/>
      <c r="BN817" s="322"/>
      <c r="BO817" s="322"/>
      <c r="BP817" s="322"/>
      <c r="BQ817" s="322"/>
      <c r="BR817" s="322"/>
      <c r="BS817" s="322"/>
      <c r="BT817" s="322"/>
      <c r="BU817" s="322"/>
      <c r="BV817" s="322"/>
      <c r="BW817" s="322"/>
      <c r="BX817" s="322"/>
      <c r="BY817" s="322"/>
      <c r="BZ817" s="322"/>
      <c r="CA817" s="322"/>
      <c r="CB817" s="322"/>
      <c r="CC817" s="322"/>
      <c r="CD817" s="322"/>
      <c r="CE817" s="322"/>
      <c r="CF817" s="322"/>
      <c r="CG817" s="322"/>
      <c r="CH817" s="322"/>
      <c r="CI817" s="322"/>
      <c r="CM817" s="1139">
        <v>0</v>
      </c>
      <c r="CN817" s="1139">
        <v>0</v>
      </c>
      <c r="CP817" s="923">
        <f t="shared" si="449"/>
        <v>0</v>
      </c>
      <c r="CZ817" s="330"/>
    </row>
    <row r="818" spans="1:104" ht="15" customHeight="1" x14ac:dyDescent="0.25">
      <c r="A818" s="684">
        <f>MAX($A$6:A817)+1</f>
        <v>818</v>
      </c>
      <c r="B818" s="3">
        <f t="shared" si="468"/>
        <v>5.3999999999999986</v>
      </c>
      <c r="C818" s="11" t="str">
        <f t="shared" si="475"/>
        <v>Assets Classified as Held for Sale</v>
      </c>
      <c r="D818" s="11" t="str">
        <f t="shared" si="472"/>
        <v>Building Cost</v>
      </c>
      <c r="E818" s="7" t="s">
        <v>208</v>
      </c>
      <c r="F818" s="15"/>
      <c r="G818" s="1254" t="s">
        <v>208</v>
      </c>
      <c r="H818" s="6">
        <v>0</v>
      </c>
      <c r="I818" s="6"/>
      <c r="J818" s="1257" t="s">
        <v>725</v>
      </c>
      <c r="K818" s="251">
        <f>SUMIF('alb Note 5.3 -Asset held resale'!$A:$A,$J818,'alb Note 5.3 -Asset held resale'!$E:$E)</f>
        <v>0</v>
      </c>
      <c r="L818" s="266"/>
      <c r="M818" s="10"/>
      <c r="N818" s="273">
        <f>ROUND(SUM(O818:S818)+SUM(W818:AV818),0)</f>
        <v>0</v>
      </c>
      <c r="O818" s="12"/>
      <c r="P818" s="12"/>
      <c r="Q818" s="12"/>
      <c r="R818" s="12"/>
      <c r="S818" s="6">
        <f t="shared" si="441"/>
        <v>0</v>
      </c>
      <c r="T818" s="273">
        <f t="shared" si="467"/>
        <v>0</v>
      </c>
      <c r="U818" s="6">
        <f t="shared" si="469"/>
        <v>0</v>
      </c>
      <c r="V818" s="6"/>
      <c r="W818" s="6">
        <f t="shared" si="470"/>
        <v>0</v>
      </c>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X818" s="6"/>
      <c r="AY818" s="6">
        <f>ROUND(AX818/1000/Update!$B$31*Update!$B$27,0)</f>
        <v>0</v>
      </c>
      <c r="BA818" s="6"/>
      <c r="BB818" s="6">
        <f>ROUND(BA818/1000/Update!$B$31,0)</f>
        <v>0</v>
      </c>
      <c r="BC818" s="6"/>
      <c r="BD818" s="29">
        <f t="shared" si="455"/>
        <v>0</v>
      </c>
      <c r="BE818" s="322"/>
      <c r="BF818" s="322"/>
      <c r="BG818" s="322"/>
      <c r="BH818" s="322"/>
      <c r="BI818" s="322"/>
      <c r="BJ818" s="322"/>
      <c r="BK818" s="29">
        <f t="shared" si="474"/>
        <v>0</v>
      </c>
      <c r="BL818" s="322"/>
      <c r="BM818" s="322"/>
      <c r="BN818" s="322"/>
      <c r="BO818" s="322"/>
      <c r="BP818" s="322"/>
      <c r="BQ818" s="322"/>
      <c r="BR818" s="322"/>
      <c r="BS818" s="322"/>
      <c r="BT818" s="322"/>
      <c r="BU818" s="322"/>
      <c r="BV818" s="322"/>
      <c r="BW818" s="322"/>
      <c r="BX818" s="322"/>
      <c r="BY818" s="322"/>
      <c r="BZ818" s="322"/>
      <c r="CA818" s="322"/>
      <c r="CB818" s="322"/>
      <c r="CC818" s="322"/>
      <c r="CD818" s="322"/>
      <c r="CE818" s="322"/>
      <c r="CF818" s="322"/>
      <c r="CG818" s="322"/>
      <c r="CH818" s="322"/>
      <c r="CI818" s="322"/>
      <c r="CM818" s="1139">
        <v>0</v>
      </c>
      <c r="CN818" s="1139">
        <v>0</v>
      </c>
      <c r="CP818" s="923">
        <f t="shared" si="449"/>
        <v>0</v>
      </c>
      <c r="CZ818" s="330"/>
    </row>
    <row r="819" spans="1:104" ht="15" customHeight="1" x14ac:dyDescent="0.25">
      <c r="A819" s="701">
        <f>MAX($A$6:A818)+1</f>
        <v>819</v>
      </c>
      <c r="B819" s="1291">
        <f t="shared" si="468"/>
        <v>5.3999999999999986</v>
      </c>
      <c r="C819" s="18" t="str">
        <f t="shared" si="475"/>
        <v>Assets Classified as Held for Sale</v>
      </c>
      <c r="D819" s="18" t="str">
        <f t="shared" si="472"/>
        <v>Building Cost</v>
      </c>
      <c r="E819" s="19" t="s">
        <v>209</v>
      </c>
      <c r="F819" s="20"/>
      <c r="G819" s="1278"/>
      <c r="H819" s="14">
        <f>SUM(H814:H818)</f>
        <v>0</v>
      </c>
      <c r="I819" s="14"/>
      <c r="J819" s="1258" t="s">
        <v>286</v>
      </c>
      <c r="K819" s="256">
        <f>SUM(K814:K818)</f>
        <v>0</v>
      </c>
      <c r="L819" s="256"/>
      <c r="M819" s="21"/>
      <c r="N819" s="14">
        <f>ROUND(SUM(O819:S819)+T819+SUM(Z819:AV819),0)</f>
        <v>0</v>
      </c>
      <c r="O819" s="14">
        <f>SUM(O814:O818)</f>
        <v>0</v>
      </c>
      <c r="P819" s="14">
        <f>SUM(P814:P818)</f>
        <v>0</v>
      </c>
      <c r="Q819" s="14">
        <f>SUM(Q814:Q818)</f>
        <v>0</v>
      </c>
      <c r="R819" s="14">
        <f>SUM(R814:R818)</f>
        <v>0</v>
      </c>
      <c r="S819" s="14">
        <f t="shared" si="441"/>
        <v>0</v>
      </c>
      <c r="T819" s="14">
        <f t="shared" si="467"/>
        <v>0</v>
      </c>
      <c r="U819" s="14">
        <f t="shared" si="469"/>
        <v>0</v>
      </c>
      <c r="V819" s="14"/>
      <c r="W819" s="14">
        <f>ROUND(SUM(X819:AB819),0)</f>
        <v>0</v>
      </c>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2"/>
      <c r="AX819" s="14">
        <f>SUM(AX814:AX818)</f>
        <v>0</v>
      </c>
      <c r="AY819" s="14">
        <f>ROUND(AX819/1000/Update!$B$31*Update!$B$27,0)</f>
        <v>0</v>
      </c>
      <c r="AZ819" s="2"/>
      <c r="BA819" s="14">
        <f>SUM(BA814:BA818)</f>
        <v>0</v>
      </c>
      <c r="BB819" s="14">
        <f>ROUND(BA819/1000/Update!$B$31,0)</f>
        <v>0</v>
      </c>
      <c r="BC819" s="14"/>
      <c r="BD819" s="14">
        <f t="shared" si="455"/>
        <v>0</v>
      </c>
      <c r="BE819" s="14">
        <f t="shared" ref="BE819:BJ819" si="476">SUM(BE814:BE818)</f>
        <v>0</v>
      </c>
      <c r="BF819" s="14">
        <f t="shared" si="476"/>
        <v>0</v>
      </c>
      <c r="BG819" s="14">
        <f t="shared" si="476"/>
        <v>0</v>
      </c>
      <c r="BH819" s="14">
        <f t="shared" si="476"/>
        <v>0</v>
      </c>
      <c r="BI819" s="14">
        <f t="shared" si="476"/>
        <v>0</v>
      </c>
      <c r="BJ819" s="14">
        <f t="shared" si="476"/>
        <v>0</v>
      </c>
      <c r="BK819" s="14">
        <f t="shared" si="474"/>
        <v>0</v>
      </c>
      <c r="BL819" s="14"/>
      <c r="BM819" s="14"/>
      <c r="BN819" s="14"/>
      <c r="BO819" s="14"/>
      <c r="BP819" s="14"/>
      <c r="BQ819" s="14"/>
      <c r="BR819" s="14"/>
      <c r="BS819" s="14"/>
      <c r="BT819" s="324"/>
      <c r="BU819" s="14"/>
      <c r="BV819" s="14"/>
      <c r="BW819" s="14"/>
      <c r="BX819" s="14"/>
      <c r="BY819" s="14"/>
      <c r="BZ819" s="14"/>
      <c r="CA819" s="14"/>
      <c r="CB819" s="14"/>
      <c r="CC819" s="14"/>
      <c r="CD819" s="14"/>
      <c r="CE819" s="14"/>
      <c r="CF819" s="14"/>
      <c r="CG819" s="14"/>
      <c r="CH819" s="14"/>
      <c r="CI819" s="14"/>
      <c r="CJ819" s="2"/>
      <c r="CK819" s="2"/>
      <c r="CM819" s="1450">
        <v>0</v>
      </c>
      <c r="CN819" s="1450">
        <v>0</v>
      </c>
      <c r="CP819" s="923">
        <f t="shared" si="449"/>
        <v>0</v>
      </c>
      <c r="CZ819" s="330"/>
    </row>
    <row r="820" spans="1:104" ht="15" customHeight="1" x14ac:dyDescent="0.25">
      <c r="A820" s="684">
        <f>MAX($A$6:A819)+1</f>
        <v>820</v>
      </c>
      <c r="B820" s="3">
        <f t="shared" si="468"/>
        <v>5.3999999999999986</v>
      </c>
      <c r="C820" s="11" t="str">
        <f>C819</f>
        <v>Assets Classified as Held for Sale</v>
      </c>
      <c r="D820" s="11" t="s">
        <v>1053</v>
      </c>
      <c r="E820" s="13" t="s">
        <v>450</v>
      </c>
      <c r="F820" s="15"/>
      <c r="G820" s="1254" t="s">
        <v>286</v>
      </c>
      <c r="H820" s="6"/>
      <c r="I820" s="6"/>
      <c r="J820" s="1257" t="s">
        <v>450</v>
      </c>
      <c r="K820" s="251">
        <f>SUMIF('alb Note 5.3 -Asset held resale'!$A:$A,$J820,'alb Note 5.3 -Asset held resale'!$H:$H)</f>
        <v>0</v>
      </c>
      <c r="L820" s="266"/>
      <c r="M820" s="10"/>
      <c r="N820" s="273">
        <f>ROUND(SUM(O820:S820)+SUM(W820:AV820),0)</f>
        <v>0</v>
      </c>
      <c r="O820" s="12"/>
      <c r="P820" s="251"/>
      <c r="Q820" s="251"/>
      <c r="R820" s="251"/>
      <c r="S820" s="251">
        <f t="shared" si="441"/>
        <v>0</v>
      </c>
      <c r="T820" s="273">
        <f t="shared" si="467"/>
        <v>0</v>
      </c>
      <c r="U820" s="251">
        <f t="shared" si="469"/>
        <v>0</v>
      </c>
      <c r="V820" s="251"/>
      <c r="W820" s="251">
        <f t="shared" si="470"/>
        <v>0</v>
      </c>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c r="AT820" s="251"/>
      <c r="AU820" s="251"/>
      <c r="AV820" s="251"/>
      <c r="AX820" s="14"/>
      <c r="AY820" s="14"/>
      <c r="BA820" s="14"/>
      <c r="BB820" s="14"/>
      <c r="BC820" s="14"/>
      <c r="BD820" s="29">
        <f t="shared" si="455"/>
        <v>0</v>
      </c>
      <c r="BE820" s="324"/>
      <c r="BF820" s="324"/>
      <c r="BG820" s="324"/>
      <c r="BH820" s="324"/>
      <c r="BI820" s="324"/>
      <c r="BJ820" s="324"/>
      <c r="BK820" s="29">
        <f t="shared" si="474"/>
        <v>0</v>
      </c>
      <c r="BL820" s="324"/>
      <c r="BM820" s="324"/>
      <c r="BN820" s="324"/>
      <c r="BO820" s="324"/>
      <c r="BP820" s="324"/>
      <c r="BQ820" s="324"/>
      <c r="BR820" s="324"/>
      <c r="BS820" s="324"/>
      <c r="BT820" s="324"/>
      <c r="BU820" s="324"/>
      <c r="BV820" s="324"/>
      <c r="BW820" s="324"/>
      <c r="BX820" s="324"/>
      <c r="BY820" s="324"/>
      <c r="BZ820" s="324"/>
      <c r="CA820" s="324"/>
      <c r="CB820" s="324"/>
      <c r="CC820" s="324"/>
      <c r="CD820" s="324"/>
      <c r="CE820" s="324"/>
      <c r="CF820" s="324"/>
      <c r="CG820" s="324"/>
      <c r="CH820" s="324"/>
      <c r="CI820" s="324"/>
      <c r="CM820" s="1139">
        <v>0</v>
      </c>
      <c r="CN820" s="1139">
        <v>0</v>
      </c>
      <c r="CP820" s="923">
        <f t="shared" si="449"/>
        <v>0</v>
      </c>
      <c r="CZ820" s="330"/>
    </row>
    <row r="821" spans="1:104" ht="30" customHeight="1" x14ac:dyDescent="0.25">
      <c r="A821" s="684">
        <f>MAX($A$6:A820)+1</f>
        <v>821</v>
      </c>
      <c r="B821" s="3">
        <f t="shared" si="468"/>
        <v>5.3999999999999986</v>
      </c>
      <c r="C821" s="11" t="str">
        <f t="shared" si="475"/>
        <v>Assets Classified as Held for Sale</v>
      </c>
      <c r="D821" s="11" t="str">
        <f t="shared" si="472"/>
        <v>Other Cost</v>
      </c>
      <c r="E821" s="7" t="s">
        <v>206</v>
      </c>
      <c r="F821" s="15"/>
      <c r="G821" s="1254" t="s">
        <v>286</v>
      </c>
      <c r="H821" s="6"/>
      <c r="I821" s="6"/>
      <c r="J821" s="1257" t="s">
        <v>771</v>
      </c>
      <c r="K821" s="251">
        <f>SUMIF('alb Note 5.3 -Asset held resale'!$A:$A,$J821,'alb Note 5.3 -Asset held resale'!$H:$H)</f>
        <v>0</v>
      </c>
      <c r="L821" s="266"/>
      <c r="M821" s="10"/>
      <c r="N821" s="273">
        <f>ROUND(SUM(O821:S821)+SUM(W821:AV821),0)</f>
        <v>0</v>
      </c>
      <c r="O821" s="12"/>
      <c r="P821" s="251"/>
      <c r="Q821" s="251"/>
      <c r="R821" s="251"/>
      <c r="S821" s="251">
        <f t="shared" si="441"/>
        <v>0</v>
      </c>
      <c r="T821" s="273">
        <f t="shared" si="467"/>
        <v>0</v>
      </c>
      <c r="U821" s="251">
        <f t="shared" si="469"/>
        <v>0</v>
      </c>
      <c r="V821" s="251"/>
      <c r="W821" s="251">
        <f t="shared" si="470"/>
        <v>0</v>
      </c>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c r="AT821" s="251"/>
      <c r="AU821" s="251"/>
      <c r="AV821" s="251"/>
      <c r="AX821" s="14"/>
      <c r="AY821" s="14"/>
      <c r="BA821" s="14"/>
      <c r="BB821" s="14"/>
      <c r="BC821" s="14"/>
      <c r="BD821" s="29">
        <f t="shared" si="455"/>
        <v>0</v>
      </c>
      <c r="BE821" s="324"/>
      <c r="BF821" s="324"/>
      <c r="BG821" s="324"/>
      <c r="BH821" s="324"/>
      <c r="BI821" s="324"/>
      <c r="BJ821" s="324"/>
      <c r="BK821" s="29">
        <f t="shared" si="474"/>
        <v>0</v>
      </c>
      <c r="BL821" s="324"/>
      <c r="BM821" s="324"/>
      <c r="BN821" s="324"/>
      <c r="BO821" s="324"/>
      <c r="BP821" s="324"/>
      <c r="BQ821" s="324"/>
      <c r="BR821" s="324"/>
      <c r="BS821" s="324"/>
      <c r="BT821" s="324"/>
      <c r="BU821" s="324"/>
      <c r="BV821" s="324"/>
      <c r="BW821" s="324"/>
      <c r="BX821" s="324"/>
      <c r="BY821" s="324"/>
      <c r="BZ821" s="324"/>
      <c r="CA821" s="324"/>
      <c r="CB821" s="324"/>
      <c r="CC821" s="324"/>
      <c r="CD821" s="324"/>
      <c r="CE821" s="324"/>
      <c r="CF821" s="324"/>
      <c r="CG821" s="324"/>
      <c r="CH821" s="324"/>
      <c r="CI821" s="324"/>
      <c r="CM821" s="1139">
        <v>0</v>
      </c>
      <c r="CN821" s="1139">
        <v>0</v>
      </c>
      <c r="CP821" s="923">
        <f t="shared" si="449"/>
        <v>0</v>
      </c>
      <c r="CZ821" s="330"/>
    </row>
    <row r="822" spans="1:104" ht="30" customHeight="1" x14ac:dyDescent="0.25">
      <c r="A822" s="684">
        <f>MAX($A$6:A821)+1</f>
        <v>822</v>
      </c>
      <c r="B822" s="3">
        <f t="shared" si="468"/>
        <v>5.3999999999999986</v>
      </c>
      <c r="C822" s="11" t="str">
        <f t="shared" si="475"/>
        <v>Assets Classified as Held for Sale</v>
      </c>
      <c r="D822" s="11" t="str">
        <f t="shared" si="472"/>
        <v>Other Cost</v>
      </c>
      <c r="E822" s="7" t="s">
        <v>206</v>
      </c>
      <c r="F822" s="15"/>
      <c r="G822" s="1254" t="s">
        <v>286</v>
      </c>
      <c r="H822" s="6"/>
      <c r="I822" s="6"/>
      <c r="J822" s="1257" t="s">
        <v>772</v>
      </c>
      <c r="K822" s="251">
        <f>SUMIF('alb Note 5.3 -Asset held resale'!$A:$A,$J822,'alb Note 5.3 -Asset held resale'!$H:$H)</f>
        <v>0</v>
      </c>
      <c r="L822" s="266"/>
      <c r="M822" s="10"/>
      <c r="N822" s="273">
        <f>ROUND(SUM(O822:S822)+SUM(W822:AV822),0)</f>
        <v>0</v>
      </c>
      <c r="O822" s="12"/>
      <c r="P822" s="251"/>
      <c r="Q822" s="251"/>
      <c r="R822" s="251"/>
      <c r="S822" s="251">
        <f t="shared" si="441"/>
        <v>0</v>
      </c>
      <c r="T822" s="273">
        <f t="shared" si="467"/>
        <v>0</v>
      </c>
      <c r="U822" s="251">
        <f t="shared" si="469"/>
        <v>0</v>
      </c>
      <c r="V822" s="251"/>
      <c r="W822" s="251">
        <f t="shared" si="470"/>
        <v>0</v>
      </c>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c r="AT822" s="251"/>
      <c r="AU822" s="251"/>
      <c r="AV822" s="251"/>
      <c r="AX822" s="14"/>
      <c r="AY822" s="14"/>
      <c r="BA822" s="14"/>
      <c r="BB822" s="14"/>
      <c r="BC822" s="14"/>
      <c r="BD822" s="29">
        <f t="shared" si="455"/>
        <v>0</v>
      </c>
      <c r="BE822" s="324"/>
      <c r="BF822" s="324"/>
      <c r="BG822" s="324"/>
      <c r="BH822" s="324"/>
      <c r="BI822" s="324"/>
      <c r="BJ822" s="324"/>
      <c r="BK822" s="29">
        <f t="shared" si="474"/>
        <v>0</v>
      </c>
      <c r="BL822" s="324"/>
      <c r="BM822" s="324"/>
      <c r="BN822" s="324"/>
      <c r="BO822" s="324"/>
      <c r="BP822" s="324"/>
      <c r="BQ822" s="324"/>
      <c r="BR822" s="324"/>
      <c r="BS822" s="324"/>
      <c r="BT822" s="324"/>
      <c r="BU822" s="324"/>
      <c r="BV822" s="324"/>
      <c r="BW822" s="324"/>
      <c r="BX822" s="324"/>
      <c r="BY822" s="324"/>
      <c r="BZ822" s="324"/>
      <c r="CA822" s="324"/>
      <c r="CB822" s="324"/>
      <c r="CC822" s="324"/>
      <c r="CD822" s="324"/>
      <c r="CE822" s="324"/>
      <c r="CF822" s="324"/>
      <c r="CG822" s="324"/>
      <c r="CH822" s="324"/>
      <c r="CI822" s="324"/>
      <c r="CM822" s="1139">
        <v>0</v>
      </c>
      <c r="CN822" s="1139">
        <v>0</v>
      </c>
      <c r="CP822" s="923">
        <f t="shared" si="449"/>
        <v>0</v>
      </c>
      <c r="CZ822" s="330"/>
    </row>
    <row r="823" spans="1:104" ht="15" customHeight="1" x14ac:dyDescent="0.25">
      <c r="A823" s="684">
        <f>MAX($A$6:A822)+1</f>
        <v>823</v>
      </c>
      <c r="B823" s="3">
        <f t="shared" si="468"/>
        <v>5.3999999999999986</v>
      </c>
      <c r="C823" s="11" t="str">
        <f>C821</f>
        <v>Assets Classified as Held for Sale</v>
      </c>
      <c r="D823" s="11" t="str">
        <f t="shared" si="472"/>
        <v>Other Cost</v>
      </c>
      <c r="E823" s="7" t="s">
        <v>207</v>
      </c>
      <c r="F823" s="15"/>
      <c r="G823" s="1254" t="s">
        <v>286</v>
      </c>
      <c r="H823" s="6"/>
      <c r="I823" s="6"/>
      <c r="J823" s="1257" t="s">
        <v>773</v>
      </c>
      <c r="K823" s="251">
        <f>SUMIF('alb Note 5.3 -Asset held resale'!$A:$A,$J823,'alb Note 5.3 -Asset held resale'!$H:$H)</f>
        <v>0</v>
      </c>
      <c r="L823" s="266"/>
      <c r="M823" s="10"/>
      <c r="N823" s="273">
        <f>ROUND(SUM(O823:S823)+SUM(W823:AV823),0)</f>
        <v>0</v>
      </c>
      <c r="O823" s="12"/>
      <c r="P823" s="251"/>
      <c r="Q823" s="251"/>
      <c r="R823" s="251"/>
      <c r="S823" s="251">
        <f t="shared" si="441"/>
        <v>0</v>
      </c>
      <c r="T823" s="273">
        <f t="shared" si="467"/>
        <v>0</v>
      </c>
      <c r="U823" s="251">
        <f t="shared" si="469"/>
        <v>0</v>
      </c>
      <c r="V823" s="251"/>
      <c r="W823" s="251">
        <f t="shared" si="470"/>
        <v>0</v>
      </c>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c r="AT823" s="251"/>
      <c r="AU823" s="251"/>
      <c r="AV823" s="251"/>
      <c r="AX823" s="14"/>
      <c r="AY823" s="14"/>
      <c r="BA823" s="14"/>
      <c r="BB823" s="14"/>
      <c r="BC823" s="14"/>
      <c r="BD823" s="29">
        <f t="shared" si="455"/>
        <v>0</v>
      </c>
      <c r="BE823" s="324"/>
      <c r="BF823" s="324"/>
      <c r="BG823" s="324"/>
      <c r="BH823" s="324"/>
      <c r="BI823" s="324"/>
      <c r="BJ823" s="324"/>
      <c r="BK823" s="29">
        <f t="shared" si="474"/>
        <v>0</v>
      </c>
      <c r="BL823" s="324"/>
      <c r="BM823" s="324"/>
      <c r="BN823" s="324"/>
      <c r="BO823" s="324"/>
      <c r="BP823" s="324"/>
      <c r="BQ823" s="324"/>
      <c r="BR823" s="324"/>
      <c r="BS823" s="324"/>
      <c r="BT823" s="324"/>
      <c r="BU823" s="324"/>
      <c r="BV823" s="324"/>
      <c r="BW823" s="324"/>
      <c r="BX823" s="324"/>
      <c r="BY823" s="324"/>
      <c r="BZ823" s="324"/>
      <c r="CA823" s="324"/>
      <c r="CB823" s="324"/>
      <c r="CC823" s="324"/>
      <c r="CD823" s="324"/>
      <c r="CE823" s="324"/>
      <c r="CF823" s="324"/>
      <c r="CG823" s="324"/>
      <c r="CH823" s="324"/>
      <c r="CI823" s="324"/>
      <c r="CM823" s="1139">
        <v>0</v>
      </c>
      <c r="CN823" s="1139">
        <v>0</v>
      </c>
      <c r="CP823" s="923">
        <f t="shared" si="449"/>
        <v>0</v>
      </c>
      <c r="CZ823" s="330"/>
    </row>
    <row r="824" spans="1:104" ht="15" customHeight="1" x14ac:dyDescent="0.25">
      <c r="A824" s="684">
        <f>MAX($A$6:A823)+1</f>
        <v>824</v>
      </c>
      <c r="B824" s="3">
        <f t="shared" si="468"/>
        <v>5.3999999999999986</v>
      </c>
      <c r="C824" s="11" t="str">
        <f t="shared" si="475"/>
        <v>Assets Classified as Held for Sale</v>
      </c>
      <c r="D824" s="11" t="str">
        <f t="shared" si="472"/>
        <v>Other Cost</v>
      </c>
      <c r="E824" s="7" t="s">
        <v>208</v>
      </c>
      <c r="F824" s="15"/>
      <c r="G824" s="1254" t="s">
        <v>286</v>
      </c>
      <c r="H824" s="6"/>
      <c r="I824" s="6"/>
      <c r="J824" s="1257" t="s">
        <v>725</v>
      </c>
      <c r="K824" s="251">
        <f>SUMIF('alb Note 5.3 -Asset held resale'!$A:$A,$J824,'alb Note 5.3 -Asset held resale'!$H:$H)</f>
        <v>0</v>
      </c>
      <c r="L824" s="266"/>
      <c r="M824" s="10"/>
      <c r="N824" s="273">
        <f>ROUND(SUM(O824:S824)+SUM(W824:AV824),0)</f>
        <v>0</v>
      </c>
      <c r="O824" s="12"/>
      <c r="P824" s="251"/>
      <c r="Q824" s="251"/>
      <c r="R824" s="251"/>
      <c r="S824" s="251">
        <f t="shared" si="441"/>
        <v>0</v>
      </c>
      <c r="T824" s="273">
        <f t="shared" si="467"/>
        <v>0</v>
      </c>
      <c r="U824" s="251">
        <f t="shared" si="469"/>
        <v>0</v>
      </c>
      <c r="V824" s="251"/>
      <c r="W824" s="251">
        <f t="shared" si="470"/>
        <v>0</v>
      </c>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c r="AT824" s="251"/>
      <c r="AU824" s="251"/>
      <c r="AV824" s="251"/>
      <c r="AX824" s="14"/>
      <c r="AY824" s="14"/>
      <c r="BA824" s="14"/>
      <c r="BB824" s="14"/>
      <c r="BC824" s="14"/>
      <c r="BD824" s="29">
        <f t="shared" si="455"/>
        <v>0</v>
      </c>
      <c r="BE824" s="324"/>
      <c r="BF824" s="324"/>
      <c r="BG824" s="324"/>
      <c r="BH824" s="324"/>
      <c r="BI824" s="324"/>
      <c r="BJ824" s="324"/>
      <c r="BK824" s="29">
        <f t="shared" si="474"/>
        <v>0</v>
      </c>
      <c r="BL824" s="324"/>
      <c r="BM824" s="324"/>
      <c r="BN824" s="324"/>
      <c r="BO824" s="324"/>
      <c r="BP824" s="324"/>
      <c r="BQ824" s="324"/>
      <c r="BR824" s="324"/>
      <c r="BS824" s="324"/>
      <c r="BT824" s="324"/>
      <c r="BU824" s="324"/>
      <c r="BV824" s="324"/>
      <c r="BW824" s="324"/>
      <c r="BX824" s="324"/>
      <c r="BY824" s="324"/>
      <c r="BZ824" s="324"/>
      <c r="CA824" s="324"/>
      <c r="CB824" s="324"/>
      <c r="CC824" s="324"/>
      <c r="CD824" s="324"/>
      <c r="CE824" s="324"/>
      <c r="CF824" s="324"/>
      <c r="CG824" s="324"/>
      <c r="CH824" s="324"/>
      <c r="CI824" s="324"/>
      <c r="CM824" s="1139">
        <v>0</v>
      </c>
      <c r="CN824" s="1139">
        <v>0</v>
      </c>
      <c r="CP824" s="923">
        <f t="shared" si="449"/>
        <v>0</v>
      </c>
      <c r="CZ824" s="330"/>
    </row>
    <row r="825" spans="1:104" ht="15" customHeight="1" x14ac:dyDescent="0.25">
      <c r="A825" s="701">
        <f>MAX($A$6:A824)+1</f>
        <v>825</v>
      </c>
      <c r="B825" s="1291">
        <f t="shared" si="468"/>
        <v>5.3999999999999986</v>
      </c>
      <c r="C825" s="18" t="str">
        <f t="shared" si="475"/>
        <v>Assets Classified as Held for Sale</v>
      </c>
      <c r="D825" s="18" t="str">
        <f t="shared" si="472"/>
        <v>Other Cost</v>
      </c>
      <c r="E825" s="19" t="s">
        <v>209</v>
      </c>
      <c r="F825" s="20"/>
      <c r="G825" s="1278"/>
      <c r="H825" s="14">
        <f>SUM(H820:H824)</f>
        <v>0</v>
      </c>
      <c r="I825" s="14"/>
      <c r="J825" s="1258" t="s">
        <v>286</v>
      </c>
      <c r="K825" s="256">
        <f>SUM(K820:K824)</f>
        <v>0</v>
      </c>
      <c r="L825" s="256"/>
      <c r="M825" s="21"/>
      <c r="N825" s="14">
        <f>ROUND(SUM(O825:S825)+T825+SUM(Z825:AV825),0)</f>
        <v>0</v>
      </c>
      <c r="O825" s="23"/>
      <c r="P825" s="23"/>
      <c r="Q825" s="23"/>
      <c r="R825" s="23"/>
      <c r="S825" s="14">
        <f t="shared" si="441"/>
        <v>0</v>
      </c>
      <c r="T825" s="14">
        <f t="shared" si="467"/>
        <v>0</v>
      </c>
      <c r="U825" s="14">
        <f t="shared" si="469"/>
        <v>0</v>
      </c>
      <c r="V825" s="14"/>
      <c r="W825" s="14">
        <f>SUM(BN825:BP825)</f>
        <v>0</v>
      </c>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2"/>
      <c r="AX825" s="14"/>
      <c r="AY825" s="14"/>
      <c r="AZ825" s="2"/>
      <c r="BA825" s="14"/>
      <c r="BB825" s="14"/>
      <c r="BC825" s="14"/>
      <c r="BD825" s="14">
        <f t="shared" si="455"/>
        <v>0</v>
      </c>
      <c r="BE825" s="14"/>
      <c r="BF825" s="14"/>
      <c r="BG825" s="14"/>
      <c r="BH825" s="14"/>
      <c r="BI825" s="14"/>
      <c r="BJ825" s="14"/>
      <c r="BK825" s="14">
        <f t="shared" si="474"/>
        <v>0</v>
      </c>
      <c r="BL825" s="14"/>
      <c r="BM825" s="14"/>
      <c r="BN825" s="14"/>
      <c r="BO825" s="14"/>
      <c r="BP825" s="14"/>
      <c r="BQ825" s="14"/>
      <c r="BR825" s="14"/>
      <c r="BS825" s="14"/>
      <c r="BT825" s="324"/>
      <c r="BU825" s="14"/>
      <c r="BV825" s="14"/>
      <c r="BW825" s="14"/>
      <c r="BX825" s="14"/>
      <c r="BY825" s="14"/>
      <c r="BZ825" s="14"/>
      <c r="CA825" s="14"/>
      <c r="CB825" s="14"/>
      <c r="CC825" s="14"/>
      <c r="CD825" s="14"/>
      <c r="CE825" s="14"/>
      <c r="CF825" s="14"/>
      <c r="CG825" s="14"/>
      <c r="CH825" s="14"/>
      <c r="CI825" s="14"/>
      <c r="CJ825" s="2"/>
      <c r="CK825" s="2"/>
      <c r="CM825" s="1450">
        <v>0</v>
      </c>
      <c r="CN825" s="1450">
        <v>0</v>
      </c>
      <c r="CP825" s="923">
        <f t="shared" si="449"/>
        <v>0</v>
      </c>
      <c r="CZ825" s="330"/>
    </row>
    <row r="826" spans="1:104" ht="15" customHeight="1" x14ac:dyDescent="0.25">
      <c r="A826" s="684">
        <f>MAX($A$6:A825)+1</f>
        <v>826</v>
      </c>
      <c r="B826" s="3">
        <f>B819</f>
        <v>5.3999999999999986</v>
      </c>
      <c r="C826" s="11" t="s">
        <v>601</v>
      </c>
      <c r="D826" s="11" t="s">
        <v>829</v>
      </c>
      <c r="E826" s="7" t="s">
        <v>450</v>
      </c>
      <c r="F826" s="15"/>
      <c r="G826" s="1254" t="s">
        <v>286</v>
      </c>
      <c r="H826" s="6"/>
      <c r="I826" s="6"/>
      <c r="J826" s="1257" t="s">
        <v>450</v>
      </c>
      <c r="K826" s="266"/>
      <c r="L826" s="266"/>
      <c r="M826" s="10"/>
      <c r="N826" s="273">
        <f>ROUND(SUM(O826:S826)+SUM(W826:AV826),0)</f>
        <v>0</v>
      </c>
      <c r="O826" s="12"/>
      <c r="P826" s="12"/>
      <c r="Q826" s="12"/>
      <c r="R826" s="12"/>
      <c r="S826" s="6">
        <f t="shared" si="441"/>
        <v>0</v>
      </c>
      <c r="T826" s="273">
        <f>ROUND(SUM(U826:Y826),0)</f>
        <v>0</v>
      </c>
      <c r="U826" s="6">
        <f t="shared" si="469"/>
        <v>0</v>
      </c>
      <c r="V826" s="6"/>
      <c r="W826" s="6">
        <f t="shared" si="470"/>
        <v>0</v>
      </c>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X826" s="6"/>
      <c r="AY826" s="6">
        <f>ROUND(AX826/1000/Update!$B$31*Update!$B$27,0)</f>
        <v>0</v>
      </c>
      <c r="BA826" s="6"/>
      <c r="BB826" s="6">
        <f>ROUND(BA826/1000/Update!$B$31,0)</f>
        <v>0</v>
      </c>
      <c r="BC826" s="6"/>
      <c r="BD826" s="29">
        <f t="shared" si="455"/>
        <v>0</v>
      </c>
      <c r="BE826" s="322"/>
      <c r="BF826" s="322"/>
      <c r="BG826" s="322"/>
      <c r="BH826" s="322"/>
      <c r="BI826" s="322"/>
      <c r="BJ826" s="322"/>
      <c r="BK826" s="29">
        <f t="shared" si="474"/>
        <v>0</v>
      </c>
      <c r="BL826" s="322"/>
      <c r="BM826" s="322"/>
      <c r="BN826" s="322"/>
      <c r="BO826" s="322"/>
      <c r="BP826" s="322"/>
      <c r="BQ826" s="322"/>
      <c r="BR826" s="322"/>
      <c r="BS826" s="322"/>
      <c r="BT826" s="322"/>
      <c r="BU826" s="322"/>
      <c r="BV826" s="322"/>
      <c r="BW826" s="322"/>
      <c r="BX826" s="322"/>
      <c r="BY826" s="322"/>
      <c r="BZ826" s="322"/>
      <c r="CA826" s="322"/>
      <c r="CB826" s="322"/>
      <c r="CC826" s="322"/>
      <c r="CD826" s="322"/>
      <c r="CE826" s="322"/>
      <c r="CF826" s="322"/>
      <c r="CG826" s="322"/>
      <c r="CH826" s="322"/>
      <c r="CI826" s="322"/>
      <c r="CM826" s="1139">
        <v>0</v>
      </c>
      <c r="CN826" s="1139">
        <v>0</v>
      </c>
      <c r="CP826" s="923">
        <f t="shared" si="449"/>
        <v>0</v>
      </c>
      <c r="CZ826" s="330"/>
    </row>
    <row r="827" spans="1:104" ht="30" customHeight="1" x14ac:dyDescent="0.25">
      <c r="A827" s="684">
        <f>MAX($A$6:A826)+1</f>
        <v>827</v>
      </c>
      <c r="B827" s="3">
        <f t="shared" ref="B827:D828" si="477">B826</f>
        <v>5.3999999999999986</v>
      </c>
      <c r="C827" s="11" t="str">
        <f t="shared" si="477"/>
        <v>Assets Classified as Held for Sale</v>
      </c>
      <c r="D827" s="11" t="str">
        <f t="shared" si="477"/>
        <v>Land Deprec</v>
      </c>
      <c r="E827" s="7" t="s">
        <v>206</v>
      </c>
      <c r="F827" s="15"/>
      <c r="G827" s="1254" t="s">
        <v>286</v>
      </c>
      <c r="H827" s="6"/>
      <c r="I827" s="6"/>
      <c r="J827" s="1257" t="s">
        <v>871</v>
      </c>
      <c r="K827" s="266"/>
      <c r="L827" s="266"/>
      <c r="M827" s="10"/>
      <c r="N827" s="273">
        <f>ROUND(SUM(O827:S827)+SUM(W827:AV827),0)</f>
        <v>0</v>
      </c>
      <c r="O827" s="12"/>
      <c r="P827" s="12"/>
      <c r="Q827" s="12"/>
      <c r="R827" s="12"/>
      <c r="S827" s="6">
        <f t="shared" si="441"/>
        <v>0</v>
      </c>
      <c r="T827" s="273">
        <f>ROUND(SUM(U827:Y827),0)</f>
        <v>0</v>
      </c>
      <c r="U827" s="6">
        <f t="shared" si="469"/>
        <v>0</v>
      </c>
      <c r="V827" s="6"/>
      <c r="W827" s="6">
        <f t="shared" si="470"/>
        <v>0</v>
      </c>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X827" s="6"/>
      <c r="AY827" s="6">
        <f>ROUND(AX827/1000/Update!$B$31*Update!$B$27,0)</f>
        <v>0</v>
      </c>
      <c r="BA827" s="6"/>
      <c r="BB827" s="6">
        <f>ROUND(BA827/1000/Update!$B$31,0)</f>
        <v>0</v>
      </c>
      <c r="BC827" s="6"/>
      <c r="BD827" s="29">
        <f t="shared" si="455"/>
        <v>0</v>
      </c>
      <c r="BE827" s="322"/>
      <c r="BF827" s="322"/>
      <c r="BG827" s="322"/>
      <c r="BH827" s="322"/>
      <c r="BI827" s="322"/>
      <c r="BJ827" s="322"/>
      <c r="BK827" s="29">
        <f t="shared" si="474"/>
        <v>0</v>
      </c>
      <c r="BL827" s="322"/>
      <c r="BM827" s="322"/>
      <c r="BN827" s="322"/>
      <c r="BO827" s="322"/>
      <c r="BP827" s="322"/>
      <c r="BQ827" s="322"/>
      <c r="BR827" s="322"/>
      <c r="BS827" s="322"/>
      <c r="BT827" s="322"/>
      <c r="BU827" s="322"/>
      <c r="BV827" s="322"/>
      <c r="BW827" s="322"/>
      <c r="BX827" s="322"/>
      <c r="BY827" s="322"/>
      <c r="BZ827" s="322"/>
      <c r="CA827" s="322"/>
      <c r="CB827" s="322"/>
      <c r="CC827" s="322"/>
      <c r="CD827" s="322"/>
      <c r="CE827" s="322"/>
      <c r="CF827" s="322"/>
      <c r="CG827" s="322"/>
      <c r="CH827" s="322"/>
      <c r="CI827" s="322"/>
      <c r="CM827" s="1139">
        <v>0</v>
      </c>
      <c r="CN827" s="1139">
        <v>0</v>
      </c>
      <c r="CP827" s="923">
        <f t="shared" si="449"/>
        <v>0</v>
      </c>
      <c r="CZ827" s="330"/>
    </row>
    <row r="828" spans="1:104" ht="30" customHeight="1" x14ac:dyDescent="0.25">
      <c r="A828" s="684">
        <f>MAX($A$6:A827)+1</f>
        <v>828</v>
      </c>
      <c r="B828" s="3">
        <f t="shared" si="477"/>
        <v>5.3999999999999986</v>
      </c>
      <c r="C828" s="11" t="str">
        <f t="shared" si="477"/>
        <v>Assets Classified as Held for Sale</v>
      </c>
      <c r="D828" s="11" t="str">
        <f t="shared" si="477"/>
        <v>Land Deprec</v>
      </c>
      <c r="E828" s="7" t="s">
        <v>206</v>
      </c>
      <c r="F828" s="15"/>
      <c r="G828" s="1254" t="s">
        <v>286</v>
      </c>
      <c r="H828" s="6"/>
      <c r="I828" s="6"/>
      <c r="J828" s="1257" t="s">
        <v>872</v>
      </c>
      <c r="K828" s="266"/>
      <c r="L828" s="266"/>
      <c r="M828" s="10"/>
      <c r="N828" s="273">
        <f>ROUND(SUM(O828:S828)+SUM(W828:AV828),0)</f>
        <v>0</v>
      </c>
      <c r="O828" s="12"/>
      <c r="P828" s="12"/>
      <c r="Q828" s="12"/>
      <c r="R828" s="12"/>
      <c r="S828" s="6">
        <f t="shared" si="441"/>
        <v>0</v>
      </c>
      <c r="T828" s="273">
        <f>ROUND(SUM(U828:Y828),0)</f>
        <v>0</v>
      </c>
      <c r="U828" s="6">
        <f t="shared" si="469"/>
        <v>0</v>
      </c>
      <c r="V828" s="6"/>
      <c r="W828" s="6">
        <f t="shared" si="470"/>
        <v>0</v>
      </c>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X828" s="6"/>
      <c r="AY828" s="6">
        <f>ROUND(AX828/1000/Update!$B$31*Update!$B$27,0)</f>
        <v>0</v>
      </c>
      <c r="BA828" s="6"/>
      <c r="BB828" s="6">
        <f>ROUND(BA828/1000/Update!$B$31,0)</f>
        <v>0</v>
      </c>
      <c r="BC828" s="6"/>
      <c r="BD828" s="29">
        <f t="shared" si="455"/>
        <v>0</v>
      </c>
      <c r="BE828" s="322"/>
      <c r="BF828" s="322"/>
      <c r="BG828" s="322"/>
      <c r="BH828" s="322"/>
      <c r="BI828" s="322"/>
      <c r="BJ828" s="322"/>
      <c r="BK828" s="29">
        <f t="shared" si="474"/>
        <v>0</v>
      </c>
      <c r="BL828" s="322"/>
      <c r="BM828" s="322"/>
      <c r="BN828" s="322"/>
      <c r="BO828" s="322"/>
      <c r="BP828" s="322"/>
      <c r="BQ828" s="322"/>
      <c r="BR828" s="322"/>
      <c r="BS828" s="322"/>
      <c r="BT828" s="322"/>
      <c r="BU828" s="322"/>
      <c r="BV828" s="322"/>
      <c r="BW828" s="322"/>
      <c r="BX828" s="322"/>
      <c r="BY828" s="322"/>
      <c r="BZ828" s="322"/>
      <c r="CA828" s="322"/>
      <c r="CB828" s="322"/>
      <c r="CC828" s="322"/>
      <c r="CD828" s="322"/>
      <c r="CE828" s="322"/>
      <c r="CF828" s="322"/>
      <c r="CG828" s="322"/>
      <c r="CH828" s="322"/>
      <c r="CI828" s="322"/>
      <c r="CM828" s="1139">
        <v>0</v>
      </c>
      <c r="CN828" s="1139">
        <v>0</v>
      </c>
      <c r="CP828" s="923">
        <f t="shared" si="449"/>
        <v>0</v>
      </c>
      <c r="CZ828" s="330"/>
    </row>
    <row r="829" spans="1:104" ht="15" customHeight="1" x14ac:dyDescent="0.25">
      <c r="A829" s="684">
        <f>MAX($A$6:A828)+1</f>
        <v>829</v>
      </c>
      <c r="B829" s="3">
        <f t="shared" ref="B829:B843" si="478">B828</f>
        <v>5.3999999999999986</v>
      </c>
      <c r="C829" s="11" t="str">
        <f>C827</f>
        <v>Assets Classified as Held for Sale</v>
      </c>
      <c r="D829" s="11" t="str">
        <f>D828</f>
        <v>Land Deprec</v>
      </c>
      <c r="E829" s="7" t="s">
        <v>207</v>
      </c>
      <c r="F829" s="15"/>
      <c r="G829" s="1254" t="s">
        <v>286</v>
      </c>
      <c r="H829" s="6"/>
      <c r="I829" s="6"/>
      <c r="J829" s="1257" t="s">
        <v>873</v>
      </c>
      <c r="K829" s="266"/>
      <c r="L829" s="266"/>
      <c r="M829" s="10"/>
      <c r="N829" s="273">
        <f>ROUND(SUM(O829:S829)+SUM(W829:AV829),0)</f>
        <v>0</v>
      </c>
      <c r="O829" s="12"/>
      <c r="P829" s="12"/>
      <c r="Q829" s="12"/>
      <c r="R829" s="12"/>
      <c r="S829" s="6">
        <f t="shared" si="441"/>
        <v>0</v>
      </c>
      <c r="T829" s="273">
        <f>ROUND(SUM(U829:Y829),0)</f>
        <v>0</v>
      </c>
      <c r="U829" s="6">
        <f t="shared" si="469"/>
        <v>0</v>
      </c>
      <c r="V829" s="6"/>
      <c r="W829" s="6">
        <f t="shared" si="470"/>
        <v>0</v>
      </c>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X829" s="6"/>
      <c r="AY829" s="6">
        <f>ROUND(AX829/1000/Update!$B$31*Update!$B$27,0)</f>
        <v>0</v>
      </c>
      <c r="BA829" s="6"/>
      <c r="BB829" s="6">
        <f>ROUND(BA829/1000/Update!$B$31,0)</f>
        <v>0</v>
      </c>
      <c r="BC829" s="6"/>
      <c r="BD829" s="29">
        <f t="shared" si="455"/>
        <v>0</v>
      </c>
      <c r="BE829" s="322"/>
      <c r="BF829" s="322"/>
      <c r="BG829" s="322"/>
      <c r="BH829" s="322"/>
      <c r="BI829" s="322"/>
      <c r="BJ829" s="322"/>
      <c r="BK829" s="29">
        <f t="shared" si="474"/>
        <v>0</v>
      </c>
      <c r="BL829" s="322"/>
      <c r="BM829" s="322"/>
      <c r="BN829" s="322"/>
      <c r="BO829" s="322"/>
      <c r="BP829" s="322"/>
      <c r="BQ829" s="322"/>
      <c r="BR829" s="322"/>
      <c r="BS829" s="322"/>
      <c r="BT829" s="322"/>
      <c r="BU829" s="322"/>
      <c r="BV829" s="322"/>
      <c r="BW829" s="322"/>
      <c r="BX829" s="322"/>
      <c r="BY829" s="322"/>
      <c r="BZ829" s="322"/>
      <c r="CA829" s="322"/>
      <c r="CB829" s="322"/>
      <c r="CC829" s="322"/>
      <c r="CD829" s="322"/>
      <c r="CE829" s="322"/>
      <c r="CF829" s="322"/>
      <c r="CG829" s="322"/>
      <c r="CH829" s="322"/>
      <c r="CI829" s="322"/>
      <c r="CM829" s="1139">
        <v>0</v>
      </c>
      <c r="CN829" s="1139">
        <v>0</v>
      </c>
      <c r="CP829" s="923">
        <f t="shared" si="449"/>
        <v>0</v>
      </c>
      <c r="CZ829" s="330"/>
    </row>
    <row r="830" spans="1:104" ht="15" customHeight="1" x14ac:dyDescent="0.25">
      <c r="A830" s="684">
        <f>MAX($A$6:A829)+1</f>
        <v>830</v>
      </c>
      <c r="B830" s="3">
        <f t="shared" si="478"/>
        <v>5.3999999999999986</v>
      </c>
      <c r="C830" s="11" t="str">
        <f>C829</f>
        <v>Assets Classified as Held for Sale</v>
      </c>
      <c r="D830" s="11" t="str">
        <f>D829</f>
        <v>Land Deprec</v>
      </c>
      <c r="E830" s="7" t="s">
        <v>208</v>
      </c>
      <c r="F830" s="15"/>
      <c r="G830" s="1254" t="s">
        <v>286</v>
      </c>
      <c r="H830" s="6"/>
      <c r="I830" s="6"/>
      <c r="J830" s="1257" t="s">
        <v>874</v>
      </c>
      <c r="K830" s="266"/>
      <c r="L830" s="266"/>
      <c r="M830" s="10"/>
      <c r="N830" s="273">
        <f>ROUND(SUM(O830:S830)+SUM(W830:AV830),0)</f>
        <v>0</v>
      </c>
      <c r="O830" s="12"/>
      <c r="P830" s="12"/>
      <c r="Q830" s="12"/>
      <c r="R830" s="12"/>
      <c r="S830" s="6">
        <f t="shared" si="441"/>
        <v>0</v>
      </c>
      <c r="T830" s="273">
        <f>ROUND(SUM(U830:Y830),0)</f>
        <v>0</v>
      </c>
      <c r="U830" s="6">
        <f t="shared" si="469"/>
        <v>0</v>
      </c>
      <c r="V830" s="6"/>
      <c r="W830" s="6">
        <f t="shared" si="470"/>
        <v>0</v>
      </c>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X830" s="6"/>
      <c r="AY830" s="6">
        <f>ROUND(AX830/1000/Update!$B$31*Update!$B$27,0)</f>
        <v>0</v>
      </c>
      <c r="BA830" s="6"/>
      <c r="BB830" s="6">
        <f>ROUND(BA830/1000/Update!$B$31,0)</f>
        <v>0</v>
      </c>
      <c r="BC830" s="6"/>
      <c r="BD830" s="29">
        <f t="shared" si="455"/>
        <v>0</v>
      </c>
      <c r="BE830" s="322"/>
      <c r="BF830" s="322"/>
      <c r="BG830" s="322"/>
      <c r="BH830" s="322"/>
      <c r="BI830" s="322"/>
      <c r="BJ830" s="322"/>
      <c r="BK830" s="29">
        <f t="shared" si="474"/>
        <v>0</v>
      </c>
      <c r="BL830" s="322"/>
      <c r="BM830" s="322"/>
      <c r="BN830" s="322"/>
      <c r="BO830" s="322"/>
      <c r="BP830" s="322"/>
      <c r="BQ830" s="322"/>
      <c r="BR830" s="322"/>
      <c r="BS830" s="322"/>
      <c r="BT830" s="322"/>
      <c r="BU830" s="322"/>
      <c r="BV830" s="322"/>
      <c r="BW830" s="322"/>
      <c r="BX830" s="322"/>
      <c r="BY830" s="322"/>
      <c r="BZ830" s="322"/>
      <c r="CA830" s="322"/>
      <c r="CB830" s="322"/>
      <c r="CC830" s="322"/>
      <c r="CD830" s="322"/>
      <c r="CE830" s="322"/>
      <c r="CF830" s="322"/>
      <c r="CG830" s="322"/>
      <c r="CH830" s="322"/>
      <c r="CI830" s="322"/>
      <c r="CM830" s="1139">
        <v>0</v>
      </c>
      <c r="CN830" s="1139">
        <v>0</v>
      </c>
      <c r="CP830" s="923">
        <f t="shared" si="449"/>
        <v>0</v>
      </c>
      <c r="CZ830" s="330"/>
    </row>
    <row r="831" spans="1:104" ht="15" customHeight="1" x14ac:dyDescent="0.25">
      <c r="A831" s="701">
        <f>MAX($A$6:A830)+1</f>
        <v>831</v>
      </c>
      <c r="B831" s="1291">
        <f t="shared" si="478"/>
        <v>5.3999999999999986</v>
      </c>
      <c r="C831" s="18" t="str">
        <f>C830</f>
        <v>Assets Classified as Held for Sale</v>
      </c>
      <c r="D831" s="18" t="str">
        <f>D830</f>
        <v>Land Deprec</v>
      </c>
      <c r="E831" s="19" t="s">
        <v>209</v>
      </c>
      <c r="F831" s="20"/>
      <c r="G831" s="1278"/>
      <c r="H831" s="14"/>
      <c r="I831" s="14"/>
      <c r="J831" s="1258" t="s">
        <v>286</v>
      </c>
      <c r="K831" s="256"/>
      <c r="L831" s="256"/>
      <c r="M831" s="21"/>
      <c r="N831" s="14">
        <f>ROUND(SUM(O831:S831)+T831+SUM(Z831:AV831),0)</f>
        <v>0</v>
      </c>
      <c r="O831" s="14">
        <f t="shared" ref="O831:W831" si="479">SUM(O826:O830)</f>
        <v>0</v>
      </c>
      <c r="P831" s="14">
        <f t="shared" si="479"/>
        <v>0</v>
      </c>
      <c r="Q831" s="14">
        <f t="shared" si="479"/>
        <v>0</v>
      </c>
      <c r="R831" s="14">
        <f t="shared" si="479"/>
        <v>0</v>
      </c>
      <c r="S831" s="14">
        <f t="shared" si="441"/>
        <v>0</v>
      </c>
      <c r="T831" s="14">
        <f t="shared" si="479"/>
        <v>0</v>
      </c>
      <c r="U831" s="14">
        <f t="shared" si="479"/>
        <v>0</v>
      </c>
      <c r="V831" s="14">
        <f t="shared" si="479"/>
        <v>0</v>
      </c>
      <c r="W831" s="14">
        <f t="shared" si="479"/>
        <v>0</v>
      </c>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f>SUM(AW826:AW830)</f>
        <v>0</v>
      </c>
      <c r="AX831" s="14">
        <f>SUM(AX826:AX830)</f>
        <v>0</v>
      </c>
      <c r="AY831" s="14">
        <f>ROUND(AX831/1000/Update!$B$31*Update!$B$27,0)</f>
        <v>0</v>
      </c>
      <c r="AZ831" s="14"/>
      <c r="BA831" s="14">
        <f>SUM(BA826:BA830)</f>
        <v>0</v>
      </c>
      <c r="BB831" s="14">
        <f>SUM(BB826:BB830)</f>
        <v>0</v>
      </c>
      <c r="BC831" s="14"/>
      <c r="BD831" s="14">
        <f t="shared" si="455"/>
        <v>0</v>
      </c>
      <c r="BE831" s="14">
        <f t="shared" ref="BE831:BJ831" si="480">SUM(BE826:BE830)</f>
        <v>0</v>
      </c>
      <c r="BF831" s="14">
        <f t="shared" si="480"/>
        <v>0</v>
      </c>
      <c r="BG831" s="14">
        <f t="shared" si="480"/>
        <v>0</v>
      </c>
      <c r="BH831" s="14">
        <f t="shared" si="480"/>
        <v>0</v>
      </c>
      <c r="BI831" s="14">
        <f t="shared" si="480"/>
        <v>0</v>
      </c>
      <c r="BJ831" s="14">
        <f t="shared" si="480"/>
        <v>0</v>
      </c>
      <c r="BK831" s="14">
        <f t="shared" si="474"/>
        <v>0</v>
      </c>
      <c r="BL831" s="14"/>
      <c r="BM831" s="14"/>
      <c r="BN831" s="14"/>
      <c r="BO831" s="14"/>
      <c r="BP831" s="14"/>
      <c r="BQ831" s="14"/>
      <c r="BR831" s="14"/>
      <c r="BS831" s="14"/>
      <c r="BT831" s="324"/>
      <c r="BU831" s="14"/>
      <c r="BV831" s="14"/>
      <c r="BW831" s="14"/>
      <c r="BX831" s="14"/>
      <c r="BY831" s="14"/>
      <c r="BZ831" s="14"/>
      <c r="CA831" s="14"/>
      <c r="CB831" s="14"/>
      <c r="CC831" s="14"/>
      <c r="CD831" s="14"/>
      <c r="CE831" s="14"/>
      <c r="CF831" s="14"/>
      <c r="CG831" s="14"/>
      <c r="CH831" s="14"/>
      <c r="CI831" s="14"/>
      <c r="CJ831" s="2"/>
      <c r="CK831" s="2"/>
      <c r="CM831" s="1450">
        <v>0</v>
      </c>
      <c r="CN831" s="1450">
        <v>0</v>
      </c>
      <c r="CP831" s="923">
        <f t="shared" si="449"/>
        <v>0</v>
      </c>
      <c r="CZ831" s="330"/>
    </row>
    <row r="832" spans="1:104" ht="15" customHeight="1" x14ac:dyDescent="0.25">
      <c r="A832" s="684">
        <f>MAX($A$6:A831)+1</f>
        <v>832</v>
      </c>
      <c r="B832" s="3">
        <f t="shared" si="478"/>
        <v>5.3999999999999986</v>
      </c>
      <c r="C832" s="11" t="str">
        <f>C831</f>
        <v>Assets Classified as Held for Sale</v>
      </c>
      <c r="D832" s="11" t="s">
        <v>830</v>
      </c>
      <c r="E832" s="7" t="s">
        <v>450</v>
      </c>
      <c r="F832" s="15"/>
      <c r="G832" s="1254" t="s">
        <v>286</v>
      </c>
      <c r="H832" s="6"/>
      <c r="I832" s="6"/>
      <c r="J832" s="1257" t="s">
        <v>450</v>
      </c>
      <c r="K832" s="266"/>
      <c r="L832" s="266"/>
      <c r="M832" s="10"/>
      <c r="N832" s="273">
        <f>ROUND(SUM(O832:S832)+SUM(W832:AV832),0)</f>
        <v>0</v>
      </c>
      <c r="O832" s="12"/>
      <c r="P832" s="12"/>
      <c r="Q832" s="12"/>
      <c r="R832" s="12"/>
      <c r="S832" s="6">
        <f t="shared" si="441"/>
        <v>0</v>
      </c>
      <c r="T832" s="273">
        <f t="shared" ref="T832:T850" si="481">ROUND(SUM(U832:Y832),0)</f>
        <v>0</v>
      </c>
      <c r="U832" s="6">
        <f>SUM(BL832:BN832)</f>
        <v>0</v>
      </c>
      <c r="V832" s="6"/>
      <c r="W832" s="6">
        <f t="shared" si="470"/>
        <v>0</v>
      </c>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X832" s="6"/>
      <c r="AY832" s="6">
        <f>ROUND(AX832/1000/Update!$B$31*Update!$B$27,0)</f>
        <v>0</v>
      </c>
      <c r="BA832" s="6"/>
      <c r="BB832" s="6">
        <f>ROUND(BA832/1000/Update!$B$31,0)</f>
        <v>0</v>
      </c>
      <c r="BC832" s="6"/>
      <c r="BD832" s="29">
        <f t="shared" si="455"/>
        <v>0</v>
      </c>
      <c r="BE832" s="322"/>
      <c r="BF832" s="322"/>
      <c r="BG832" s="322"/>
      <c r="BH832" s="322"/>
      <c r="BI832" s="322"/>
      <c r="BJ832" s="322"/>
      <c r="BK832" s="29">
        <f t="shared" si="474"/>
        <v>0</v>
      </c>
      <c r="BL832" s="322"/>
      <c r="BM832" s="322"/>
      <c r="BN832" s="322"/>
      <c r="BO832" s="322"/>
      <c r="BP832" s="322"/>
      <c r="BQ832" s="322"/>
      <c r="BR832" s="322"/>
      <c r="BS832" s="322"/>
      <c r="BT832" s="322"/>
      <c r="BU832" s="322"/>
      <c r="BV832" s="322"/>
      <c r="BW832" s="322"/>
      <c r="BX832" s="322"/>
      <c r="BY832" s="322"/>
      <c r="BZ832" s="322"/>
      <c r="CA832" s="322"/>
      <c r="CB832" s="322"/>
      <c r="CC832" s="322"/>
      <c r="CD832" s="322"/>
      <c r="CE832" s="322"/>
      <c r="CF832" s="322"/>
      <c r="CG832" s="322"/>
      <c r="CH832" s="322"/>
      <c r="CI832" s="322"/>
      <c r="CM832" s="1139">
        <v>0</v>
      </c>
      <c r="CN832" s="1139">
        <v>0</v>
      </c>
      <c r="CP832" s="923">
        <f t="shared" si="449"/>
        <v>0</v>
      </c>
      <c r="CZ832" s="330"/>
    </row>
    <row r="833" spans="1:104" ht="30" customHeight="1" x14ac:dyDescent="0.25">
      <c r="A833" s="684">
        <f>MAX($A$6:A832)+1</f>
        <v>833</v>
      </c>
      <c r="B833" s="3">
        <f t="shared" si="478"/>
        <v>5.3999999999999986</v>
      </c>
      <c r="C833" s="11" t="str">
        <f t="shared" si="475"/>
        <v>Assets Classified as Held for Sale</v>
      </c>
      <c r="D833" s="11" t="str">
        <f t="shared" ref="D833:D843" si="482">D832</f>
        <v>Building Deprec</v>
      </c>
      <c r="E833" s="7" t="s">
        <v>206</v>
      </c>
      <c r="F833" s="15"/>
      <c r="G833" s="1254" t="s">
        <v>286</v>
      </c>
      <c r="H833" s="6"/>
      <c r="I833" s="6"/>
      <c r="J833" s="1257" t="s">
        <v>871</v>
      </c>
      <c r="K833" s="266"/>
      <c r="L833" s="266"/>
      <c r="M833" s="10"/>
      <c r="N833" s="273">
        <f>ROUND(SUM(O833:S833)+SUM(W833:AV833),0)</f>
        <v>0</v>
      </c>
      <c r="O833" s="12"/>
      <c r="P833" s="12"/>
      <c r="Q833" s="12"/>
      <c r="R833" s="12"/>
      <c r="S833" s="6">
        <f t="shared" si="441"/>
        <v>0</v>
      </c>
      <c r="T833" s="273">
        <f t="shared" si="481"/>
        <v>0</v>
      </c>
      <c r="U833" s="6">
        <f>SUM(BL833:BN833)</f>
        <v>0</v>
      </c>
      <c r="V833" s="6"/>
      <c r="W833" s="6">
        <f t="shared" si="470"/>
        <v>0</v>
      </c>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X833" s="6"/>
      <c r="AY833" s="6">
        <f>ROUND(AX833/1000/Update!$B$31*Update!$B$27,0)</f>
        <v>0</v>
      </c>
      <c r="BA833" s="6"/>
      <c r="BB833" s="6">
        <f>ROUND(BA833/1000/Update!$B$31,0)</f>
        <v>0</v>
      </c>
      <c r="BC833" s="6"/>
      <c r="BD833" s="29">
        <f t="shared" si="455"/>
        <v>0</v>
      </c>
      <c r="BE833" s="322"/>
      <c r="BF833" s="322"/>
      <c r="BG833" s="322"/>
      <c r="BH833" s="322"/>
      <c r="BI833" s="322"/>
      <c r="BJ833" s="322"/>
      <c r="BK833" s="29">
        <f t="shared" si="474"/>
        <v>0</v>
      </c>
      <c r="BL833" s="322"/>
      <c r="BM833" s="322"/>
      <c r="BN833" s="322"/>
      <c r="BO833" s="322"/>
      <c r="BP833" s="322"/>
      <c r="BQ833" s="322"/>
      <c r="BR833" s="322"/>
      <c r="BS833" s="322"/>
      <c r="BT833" s="322"/>
      <c r="BU833" s="322"/>
      <c r="BV833" s="322"/>
      <c r="BW833" s="322"/>
      <c r="BX833" s="322"/>
      <c r="BY833" s="322"/>
      <c r="BZ833" s="322"/>
      <c r="CA833" s="322"/>
      <c r="CB833" s="322"/>
      <c r="CC833" s="322"/>
      <c r="CD833" s="322"/>
      <c r="CE833" s="322"/>
      <c r="CF833" s="322"/>
      <c r="CG833" s="322"/>
      <c r="CH833" s="322"/>
      <c r="CI833" s="322"/>
      <c r="CM833" s="1139">
        <v>0</v>
      </c>
      <c r="CN833" s="1139">
        <v>0</v>
      </c>
      <c r="CP833" s="923">
        <f t="shared" si="449"/>
        <v>0</v>
      </c>
      <c r="CZ833" s="330"/>
    </row>
    <row r="834" spans="1:104" ht="30" customHeight="1" x14ac:dyDescent="0.25">
      <c r="A834" s="684">
        <f>MAX($A$6:A833)+1</f>
        <v>834</v>
      </c>
      <c r="B834" s="3">
        <f t="shared" si="478"/>
        <v>5.3999999999999986</v>
      </c>
      <c r="C834" s="11" t="str">
        <f t="shared" si="475"/>
        <v>Assets Classified as Held for Sale</v>
      </c>
      <c r="D834" s="11" t="str">
        <f t="shared" si="482"/>
        <v>Building Deprec</v>
      </c>
      <c r="E834" s="7" t="s">
        <v>206</v>
      </c>
      <c r="F834" s="15"/>
      <c r="G834" s="1254" t="s">
        <v>286</v>
      </c>
      <c r="H834" s="6"/>
      <c r="I834" s="6"/>
      <c r="J834" s="1257" t="s">
        <v>872</v>
      </c>
      <c r="K834" s="266"/>
      <c r="L834" s="266"/>
      <c r="M834" s="10"/>
      <c r="N834" s="273">
        <f>ROUND(SUM(O834:S834)+SUM(W834:AV834),0)</f>
        <v>0</v>
      </c>
      <c r="O834" s="12"/>
      <c r="P834" s="12"/>
      <c r="Q834" s="12"/>
      <c r="R834" s="12"/>
      <c r="S834" s="6">
        <f t="shared" si="441"/>
        <v>0</v>
      </c>
      <c r="T834" s="273">
        <f t="shared" si="481"/>
        <v>0</v>
      </c>
      <c r="U834" s="6">
        <f>SUM(BL834:BN834)</f>
        <v>0</v>
      </c>
      <c r="V834" s="6"/>
      <c r="W834" s="6">
        <f t="shared" si="470"/>
        <v>0</v>
      </c>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X834" s="6"/>
      <c r="AY834" s="6">
        <f>ROUND(AX834/1000/Update!$B$31*Update!$B$27,0)</f>
        <v>0</v>
      </c>
      <c r="BA834" s="6"/>
      <c r="BB834" s="6">
        <f>ROUND(BA834/1000/Update!$B$31,0)</f>
        <v>0</v>
      </c>
      <c r="BC834" s="6"/>
      <c r="BD834" s="29">
        <f t="shared" si="455"/>
        <v>0</v>
      </c>
      <c r="BE834" s="322"/>
      <c r="BF834" s="322"/>
      <c r="BG834" s="322"/>
      <c r="BH834" s="322"/>
      <c r="BI834" s="322"/>
      <c r="BJ834" s="322"/>
      <c r="BK834" s="29">
        <f t="shared" si="474"/>
        <v>0</v>
      </c>
      <c r="BL834" s="322"/>
      <c r="BM834" s="322"/>
      <c r="BN834" s="322"/>
      <c r="BO834" s="322"/>
      <c r="BP834" s="322"/>
      <c r="BQ834" s="322"/>
      <c r="BR834" s="322"/>
      <c r="BS834" s="322"/>
      <c r="BT834" s="322"/>
      <c r="BU834" s="322"/>
      <c r="BV834" s="322"/>
      <c r="BW834" s="322"/>
      <c r="BX834" s="322"/>
      <c r="BY834" s="322"/>
      <c r="BZ834" s="322"/>
      <c r="CA834" s="322"/>
      <c r="CB834" s="322"/>
      <c r="CC834" s="322"/>
      <c r="CD834" s="322"/>
      <c r="CE834" s="322"/>
      <c r="CF834" s="322"/>
      <c r="CG834" s="322"/>
      <c r="CH834" s="322"/>
      <c r="CI834" s="322"/>
      <c r="CM834" s="1139">
        <v>0</v>
      </c>
      <c r="CN834" s="1139">
        <v>0</v>
      </c>
      <c r="CP834" s="923">
        <f t="shared" si="449"/>
        <v>0</v>
      </c>
      <c r="CZ834" s="330"/>
    </row>
    <row r="835" spans="1:104" ht="15" customHeight="1" x14ac:dyDescent="0.25">
      <c r="A835" s="684">
        <f>MAX($A$6:A834)+1</f>
        <v>835</v>
      </c>
      <c r="B835" s="3">
        <f t="shared" si="478"/>
        <v>5.3999999999999986</v>
      </c>
      <c r="C835" s="11" t="str">
        <f>C833</f>
        <v>Assets Classified as Held for Sale</v>
      </c>
      <c r="D835" s="11" t="str">
        <f t="shared" si="482"/>
        <v>Building Deprec</v>
      </c>
      <c r="E835" s="7" t="s">
        <v>207</v>
      </c>
      <c r="F835" s="15"/>
      <c r="G835" s="1254" t="s">
        <v>286</v>
      </c>
      <c r="H835" s="6"/>
      <c r="I835" s="6"/>
      <c r="J835" s="1257" t="s">
        <v>873</v>
      </c>
      <c r="K835" s="266"/>
      <c r="L835" s="266"/>
      <c r="M835" s="10"/>
      <c r="N835" s="273">
        <f>ROUND(SUM(O835:S835)+SUM(W835:AV835),0)</f>
        <v>0</v>
      </c>
      <c r="O835" s="12"/>
      <c r="P835" s="12"/>
      <c r="Q835" s="12"/>
      <c r="R835" s="12"/>
      <c r="S835" s="6">
        <f t="shared" si="441"/>
        <v>0</v>
      </c>
      <c r="T835" s="273">
        <f t="shared" si="481"/>
        <v>0</v>
      </c>
      <c r="U835" s="6">
        <f>SUM(BL835:BN835)</f>
        <v>0</v>
      </c>
      <c r="V835" s="6"/>
      <c r="W835" s="6">
        <f t="shared" si="470"/>
        <v>0</v>
      </c>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X835" s="6"/>
      <c r="AY835" s="6">
        <f>ROUND(AX835/1000/Update!$B$31*Update!$B$27,0)</f>
        <v>0</v>
      </c>
      <c r="BA835" s="6"/>
      <c r="BB835" s="6">
        <f>ROUND(BA835/1000/Update!$B$31,0)</f>
        <v>0</v>
      </c>
      <c r="BC835" s="6"/>
      <c r="BD835" s="29">
        <f t="shared" si="455"/>
        <v>0</v>
      </c>
      <c r="BE835" s="322"/>
      <c r="BF835" s="322"/>
      <c r="BG835" s="322"/>
      <c r="BH835" s="322"/>
      <c r="BI835" s="322"/>
      <c r="BJ835" s="322"/>
      <c r="BK835" s="29">
        <f t="shared" si="474"/>
        <v>0</v>
      </c>
      <c r="BL835" s="322"/>
      <c r="BM835" s="322"/>
      <c r="BN835" s="322"/>
      <c r="BO835" s="322"/>
      <c r="BP835" s="322"/>
      <c r="BQ835" s="322"/>
      <c r="BR835" s="322"/>
      <c r="BS835" s="322"/>
      <c r="BT835" s="322"/>
      <c r="BU835" s="322"/>
      <c r="BV835" s="322"/>
      <c r="BW835" s="322"/>
      <c r="BX835" s="322"/>
      <c r="BY835" s="322"/>
      <c r="BZ835" s="322"/>
      <c r="CA835" s="322"/>
      <c r="CB835" s="322"/>
      <c r="CC835" s="322"/>
      <c r="CD835" s="322"/>
      <c r="CE835" s="322"/>
      <c r="CF835" s="322"/>
      <c r="CG835" s="322"/>
      <c r="CH835" s="322"/>
      <c r="CI835" s="322"/>
      <c r="CJ835" s="251"/>
      <c r="CK835" s="251"/>
      <c r="CM835" s="1139">
        <v>0</v>
      </c>
      <c r="CN835" s="1139">
        <v>0</v>
      </c>
      <c r="CP835" s="923">
        <f t="shared" si="449"/>
        <v>0</v>
      </c>
      <c r="CZ835" s="330"/>
    </row>
    <row r="836" spans="1:104" ht="15" customHeight="1" x14ac:dyDescent="0.25">
      <c r="A836" s="684">
        <f>MAX($A$6:A835)+1</f>
        <v>836</v>
      </c>
      <c r="B836" s="3">
        <f t="shared" si="478"/>
        <v>5.3999999999999986</v>
      </c>
      <c r="C836" s="11" t="str">
        <f t="shared" si="475"/>
        <v>Assets Classified as Held for Sale</v>
      </c>
      <c r="D836" s="11" t="str">
        <f t="shared" si="482"/>
        <v>Building Deprec</v>
      </c>
      <c r="E836" s="7" t="s">
        <v>208</v>
      </c>
      <c r="F836" s="15"/>
      <c r="G836" s="1254" t="s">
        <v>286</v>
      </c>
      <c r="H836" s="6"/>
      <c r="I836" s="6"/>
      <c r="J836" s="1257" t="s">
        <v>874</v>
      </c>
      <c r="K836" s="266"/>
      <c r="L836" s="266"/>
      <c r="M836" s="10"/>
      <c r="N836" s="273">
        <f>ROUND(SUM(O836:S836)+SUM(W836:AV836),0)</f>
        <v>0</v>
      </c>
      <c r="O836" s="12"/>
      <c r="P836" s="12"/>
      <c r="Q836" s="12"/>
      <c r="R836" s="12"/>
      <c r="S836" s="6">
        <f t="shared" ref="S836:S900" si="483">-IF(ISNUMBER(BD836),BD836,0)</f>
        <v>0</v>
      </c>
      <c r="T836" s="273">
        <f t="shared" si="481"/>
        <v>0</v>
      </c>
      <c r="U836" s="6">
        <f>SUM(BL836:BN836)</f>
        <v>0</v>
      </c>
      <c r="V836" s="6"/>
      <c r="W836" s="6">
        <f t="shared" si="470"/>
        <v>0</v>
      </c>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X836" s="6"/>
      <c r="AY836" s="6">
        <f>ROUND(AX836/1000/Update!$B$31*Update!$B$27,0)</f>
        <v>0</v>
      </c>
      <c r="BA836" s="6"/>
      <c r="BB836" s="6">
        <f>ROUND(BA836/1000/Update!$B$31,0)</f>
        <v>0</v>
      </c>
      <c r="BC836" s="6"/>
      <c r="BD836" s="29">
        <f t="shared" si="455"/>
        <v>0</v>
      </c>
      <c r="BE836" s="322"/>
      <c r="BF836" s="322"/>
      <c r="BG836" s="322"/>
      <c r="BH836" s="322"/>
      <c r="BI836" s="322"/>
      <c r="BJ836" s="322"/>
      <c r="BK836" s="29">
        <f t="shared" si="474"/>
        <v>0</v>
      </c>
      <c r="BL836" s="322"/>
      <c r="BM836" s="322"/>
      <c r="BN836" s="322"/>
      <c r="BO836" s="322"/>
      <c r="BP836" s="322"/>
      <c r="BQ836" s="322"/>
      <c r="BR836" s="322"/>
      <c r="BS836" s="322"/>
      <c r="BT836" s="322"/>
      <c r="BU836" s="322"/>
      <c r="BV836" s="322"/>
      <c r="BW836" s="322"/>
      <c r="BX836" s="322"/>
      <c r="BY836" s="322"/>
      <c r="BZ836" s="322"/>
      <c r="CA836" s="322"/>
      <c r="CB836" s="322"/>
      <c r="CC836" s="322"/>
      <c r="CD836" s="322"/>
      <c r="CE836" s="322"/>
      <c r="CF836" s="322"/>
      <c r="CG836" s="322"/>
      <c r="CH836" s="322"/>
      <c r="CI836" s="322"/>
      <c r="CM836" s="1139">
        <v>0</v>
      </c>
      <c r="CN836" s="1139">
        <v>0</v>
      </c>
      <c r="CP836" s="923">
        <f t="shared" si="449"/>
        <v>0</v>
      </c>
      <c r="CZ836" s="330"/>
    </row>
    <row r="837" spans="1:104" ht="15" customHeight="1" x14ac:dyDescent="0.25">
      <c r="A837" s="701">
        <f>MAX($A$6:A836)+1</f>
        <v>837</v>
      </c>
      <c r="B837" s="1291">
        <f t="shared" si="478"/>
        <v>5.3999999999999986</v>
      </c>
      <c r="C837" s="18" t="str">
        <f t="shared" si="475"/>
        <v>Assets Classified as Held for Sale</v>
      </c>
      <c r="D837" s="18" t="str">
        <f t="shared" si="482"/>
        <v>Building Deprec</v>
      </c>
      <c r="E837" s="19" t="s">
        <v>209</v>
      </c>
      <c r="F837" s="20"/>
      <c r="G837" s="1278"/>
      <c r="H837" s="14"/>
      <c r="I837" s="14"/>
      <c r="J837" s="1258" t="s">
        <v>286</v>
      </c>
      <c r="K837" s="256"/>
      <c r="L837" s="256"/>
      <c r="M837" s="21"/>
      <c r="N837" s="14">
        <f>ROUND(SUM(O837:S837)+T837+SUM(Z837:AV837),0)</f>
        <v>0</v>
      </c>
      <c r="O837" s="14">
        <f>SUM(O832:O836)</f>
        <v>0</v>
      </c>
      <c r="P837" s="14">
        <f>SUM(P832:P836)</f>
        <v>0</v>
      </c>
      <c r="Q837" s="14">
        <f>SUM(Q832:Q836)</f>
        <v>0</v>
      </c>
      <c r="R837" s="14">
        <f>SUM(R832:R836)</f>
        <v>0</v>
      </c>
      <c r="S837" s="14">
        <f t="shared" si="483"/>
        <v>0</v>
      </c>
      <c r="T837" s="14">
        <f t="shared" si="481"/>
        <v>0</v>
      </c>
      <c r="U837" s="14">
        <f>ROUND(SUM(V837:Z837),0)</f>
        <v>0</v>
      </c>
      <c r="V837" s="14"/>
      <c r="W837" s="14">
        <f>ROUND(SUM(X837:AB837),0)</f>
        <v>0</v>
      </c>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2"/>
      <c r="AX837" s="14"/>
      <c r="AY837" s="14">
        <f>ROUND(AX837/1000/Update!$B$31*Update!$B$27,0)</f>
        <v>0</v>
      </c>
      <c r="AZ837" s="2"/>
      <c r="BA837" s="14"/>
      <c r="BB837" s="14">
        <f>ROUND(BA837/1000/Update!$B$31,0)</f>
        <v>0</v>
      </c>
      <c r="BC837" s="14"/>
      <c r="BD837" s="14">
        <f t="shared" si="455"/>
        <v>0</v>
      </c>
      <c r="BE837" s="318"/>
      <c r="BF837" s="318"/>
      <c r="BG837" s="318"/>
      <c r="BH837" s="318"/>
      <c r="BI837" s="318"/>
      <c r="BJ837" s="318"/>
      <c r="BK837" s="14">
        <f t="shared" si="474"/>
        <v>0</v>
      </c>
      <c r="BL837" s="318"/>
      <c r="BM837" s="318"/>
      <c r="BN837" s="318"/>
      <c r="BO837" s="318"/>
      <c r="BP837" s="318"/>
      <c r="BQ837" s="318"/>
      <c r="BR837" s="318"/>
      <c r="BS837" s="318"/>
      <c r="BT837" s="318"/>
      <c r="BU837" s="318"/>
      <c r="BV837" s="318"/>
      <c r="BW837" s="318"/>
      <c r="BX837" s="318"/>
      <c r="BY837" s="318"/>
      <c r="BZ837" s="318"/>
      <c r="CA837" s="318"/>
      <c r="CB837" s="318"/>
      <c r="CC837" s="318"/>
      <c r="CD837" s="318"/>
      <c r="CE837" s="318"/>
      <c r="CF837" s="318"/>
      <c r="CG837" s="318"/>
      <c r="CH837" s="318"/>
      <c r="CI837" s="318"/>
      <c r="CJ837" s="2"/>
      <c r="CK837" s="2"/>
      <c r="CM837" s="1140">
        <v>0</v>
      </c>
      <c r="CN837" s="1140">
        <v>0</v>
      </c>
      <c r="CP837" s="923">
        <f t="shared" si="449"/>
        <v>0</v>
      </c>
      <c r="CZ837" s="330"/>
    </row>
    <row r="838" spans="1:104" ht="15" customHeight="1" x14ac:dyDescent="0.25">
      <c r="A838" s="684">
        <f>MAX($A$6:A837)+1</f>
        <v>838</v>
      </c>
      <c r="B838" s="3">
        <f t="shared" si="478"/>
        <v>5.3999999999999986</v>
      </c>
      <c r="C838" s="11" t="str">
        <f>C837</f>
        <v>Assets Classified as Held for Sale</v>
      </c>
      <c r="D838" s="11" t="s">
        <v>1054</v>
      </c>
      <c r="E838" s="7" t="s">
        <v>450</v>
      </c>
      <c r="F838" s="15"/>
      <c r="G838" s="1254" t="s">
        <v>286</v>
      </c>
      <c r="H838" s="6"/>
      <c r="I838" s="6"/>
      <c r="J838" s="1257" t="s">
        <v>450</v>
      </c>
      <c r="K838" s="266"/>
      <c r="L838" s="266"/>
      <c r="M838" s="10"/>
      <c r="N838" s="273">
        <f>ROUND(SUM(O838:S838)+SUM(W838:AV838),0)</f>
        <v>0</v>
      </c>
      <c r="O838" s="12"/>
      <c r="P838" s="12"/>
      <c r="Q838" s="12"/>
      <c r="R838" s="12"/>
      <c r="S838" s="6">
        <f t="shared" si="483"/>
        <v>0</v>
      </c>
      <c r="T838" s="273">
        <f t="shared" si="481"/>
        <v>0</v>
      </c>
      <c r="U838" s="6"/>
      <c r="V838" s="6"/>
      <c r="W838" s="6">
        <f t="shared" si="470"/>
        <v>0</v>
      </c>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X838" s="14"/>
      <c r="AY838" s="14"/>
      <c r="BA838" s="14"/>
      <c r="BB838" s="14"/>
      <c r="BC838" s="14"/>
      <c r="BD838" s="14">
        <f t="shared" si="455"/>
        <v>0</v>
      </c>
      <c r="BE838" s="318"/>
      <c r="BF838" s="318"/>
      <c r="BG838" s="318"/>
      <c r="BH838" s="318"/>
      <c r="BI838" s="318"/>
      <c r="BJ838" s="318"/>
      <c r="BK838" s="14">
        <f t="shared" si="474"/>
        <v>0</v>
      </c>
      <c r="BL838" s="318"/>
      <c r="BM838" s="318"/>
      <c r="BN838" s="318"/>
      <c r="BO838" s="318"/>
      <c r="BP838" s="318"/>
      <c r="BQ838" s="318"/>
      <c r="BR838" s="318"/>
      <c r="BS838" s="318"/>
      <c r="BT838" s="318"/>
      <c r="BU838" s="318"/>
      <c r="BV838" s="318"/>
      <c r="BW838" s="318"/>
      <c r="BX838" s="318"/>
      <c r="BY838" s="318"/>
      <c r="BZ838" s="318"/>
      <c r="CA838" s="318"/>
      <c r="CB838" s="318"/>
      <c r="CC838" s="318"/>
      <c r="CD838" s="318"/>
      <c r="CE838" s="318"/>
      <c r="CF838" s="318"/>
      <c r="CG838" s="318"/>
      <c r="CH838" s="318"/>
      <c r="CI838" s="318"/>
      <c r="CM838" s="1139">
        <v>0</v>
      </c>
      <c r="CN838" s="1139">
        <v>0</v>
      </c>
      <c r="CP838" s="923">
        <f t="shared" si="449"/>
        <v>0</v>
      </c>
      <c r="CZ838" s="330"/>
    </row>
    <row r="839" spans="1:104" ht="30" customHeight="1" x14ac:dyDescent="0.25">
      <c r="A839" s="684">
        <f>MAX($A$6:A838)+1</f>
        <v>839</v>
      </c>
      <c r="B839" s="3">
        <f t="shared" si="478"/>
        <v>5.3999999999999986</v>
      </c>
      <c r="C839" s="11" t="str">
        <f t="shared" si="475"/>
        <v>Assets Classified as Held for Sale</v>
      </c>
      <c r="D839" s="11" t="str">
        <f t="shared" si="482"/>
        <v>Other Deprec</v>
      </c>
      <c r="E839" s="7" t="s">
        <v>206</v>
      </c>
      <c r="F839" s="15"/>
      <c r="G839" s="1254" t="s">
        <v>286</v>
      </c>
      <c r="H839" s="6"/>
      <c r="I839" s="6"/>
      <c r="J839" s="1257" t="s">
        <v>871</v>
      </c>
      <c r="K839" s="266"/>
      <c r="L839" s="266"/>
      <c r="M839" s="10"/>
      <c r="N839" s="273">
        <f>ROUND(SUM(O839:S839)+SUM(W839:AV839),0)</f>
        <v>0</v>
      </c>
      <c r="O839" s="12"/>
      <c r="P839" s="12"/>
      <c r="Q839" s="12"/>
      <c r="R839" s="12"/>
      <c r="S839" s="6">
        <f t="shared" si="483"/>
        <v>0</v>
      </c>
      <c r="T839" s="273">
        <f t="shared" si="481"/>
        <v>0</v>
      </c>
      <c r="U839" s="6"/>
      <c r="V839" s="6"/>
      <c r="W839" s="6">
        <f t="shared" si="470"/>
        <v>0</v>
      </c>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X839" s="14"/>
      <c r="AY839" s="14"/>
      <c r="BA839" s="14"/>
      <c r="BB839" s="14"/>
      <c r="BC839" s="14"/>
      <c r="BD839" s="14">
        <f t="shared" si="455"/>
        <v>0</v>
      </c>
      <c r="BE839" s="318"/>
      <c r="BF839" s="318"/>
      <c r="BG839" s="318"/>
      <c r="BH839" s="318"/>
      <c r="BI839" s="318"/>
      <c r="BJ839" s="318"/>
      <c r="BK839" s="14">
        <f t="shared" si="474"/>
        <v>0</v>
      </c>
      <c r="BL839" s="318"/>
      <c r="BM839" s="318"/>
      <c r="BN839" s="318"/>
      <c r="BO839" s="318"/>
      <c r="BP839" s="318"/>
      <c r="BQ839" s="318"/>
      <c r="BR839" s="318"/>
      <c r="BS839" s="318"/>
      <c r="BT839" s="318"/>
      <c r="BU839" s="318"/>
      <c r="BV839" s="318"/>
      <c r="BW839" s="318"/>
      <c r="BX839" s="318"/>
      <c r="BY839" s="318"/>
      <c r="BZ839" s="318"/>
      <c r="CA839" s="318"/>
      <c r="CB839" s="318"/>
      <c r="CC839" s="318"/>
      <c r="CD839" s="318"/>
      <c r="CE839" s="318"/>
      <c r="CF839" s="318"/>
      <c r="CG839" s="318"/>
      <c r="CH839" s="318"/>
      <c r="CI839" s="318"/>
      <c r="CM839" s="1139">
        <v>0</v>
      </c>
      <c r="CN839" s="1139">
        <v>0</v>
      </c>
      <c r="CP839" s="923">
        <f t="shared" si="449"/>
        <v>0</v>
      </c>
      <c r="CZ839" s="330"/>
    </row>
    <row r="840" spans="1:104" ht="30" customHeight="1" x14ac:dyDescent="0.25">
      <c r="A840" s="684">
        <f>MAX($A$6:A839)+1</f>
        <v>840</v>
      </c>
      <c r="B840" s="3">
        <f t="shared" si="478"/>
        <v>5.3999999999999986</v>
      </c>
      <c r="C840" s="11" t="str">
        <f t="shared" si="475"/>
        <v>Assets Classified as Held for Sale</v>
      </c>
      <c r="D840" s="11" t="str">
        <f t="shared" si="482"/>
        <v>Other Deprec</v>
      </c>
      <c r="E840" s="7" t="s">
        <v>206</v>
      </c>
      <c r="F840" s="15"/>
      <c r="G840" s="1254" t="s">
        <v>286</v>
      </c>
      <c r="H840" s="6"/>
      <c r="I840" s="6"/>
      <c r="J840" s="1257" t="s">
        <v>872</v>
      </c>
      <c r="K840" s="266"/>
      <c r="L840" s="266"/>
      <c r="M840" s="10"/>
      <c r="N840" s="273">
        <f>ROUND(SUM(O840:S840)+SUM(W840:AV840),0)</f>
        <v>0</v>
      </c>
      <c r="O840" s="12"/>
      <c r="P840" s="12"/>
      <c r="Q840" s="12"/>
      <c r="R840" s="12"/>
      <c r="S840" s="6">
        <f t="shared" si="483"/>
        <v>0</v>
      </c>
      <c r="T840" s="273">
        <f t="shared" si="481"/>
        <v>0</v>
      </c>
      <c r="U840" s="6"/>
      <c r="V840" s="6"/>
      <c r="W840" s="6">
        <f t="shared" si="470"/>
        <v>0</v>
      </c>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X840" s="14"/>
      <c r="AY840" s="14"/>
      <c r="BA840" s="14"/>
      <c r="BB840" s="14"/>
      <c r="BC840" s="14"/>
      <c r="BD840" s="14">
        <f t="shared" si="455"/>
        <v>0</v>
      </c>
      <c r="BE840" s="318"/>
      <c r="BF840" s="318"/>
      <c r="BG840" s="318"/>
      <c r="BH840" s="318"/>
      <c r="BI840" s="318"/>
      <c r="BJ840" s="318"/>
      <c r="BK840" s="14">
        <f t="shared" si="474"/>
        <v>0</v>
      </c>
      <c r="BL840" s="318"/>
      <c r="BM840" s="318"/>
      <c r="BN840" s="318"/>
      <c r="BO840" s="318"/>
      <c r="BP840" s="318"/>
      <c r="BQ840" s="318"/>
      <c r="BR840" s="318"/>
      <c r="BS840" s="318"/>
      <c r="BT840" s="318"/>
      <c r="BU840" s="318"/>
      <c r="BV840" s="318"/>
      <c r="BW840" s="318"/>
      <c r="BX840" s="318"/>
      <c r="BY840" s="318"/>
      <c r="BZ840" s="318"/>
      <c r="CA840" s="318"/>
      <c r="CB840" s="318"/>
      <c r="CC840" s="318"/>
      <c r="CD840" s="318"/>
      <c r="CE840" s="318"/>
      <c r="CF840" s="318"/>
      <c r="CG840" s="318"/>
      <c r="CH840" s="318"/>
      <c r="CI840" s="318"/>
      <c r="CM840" s="1139">
        <v>0</v>
      </c>
      <c r="CN840" s="1139">
        <v>0</v>
      </c>
      <c r="CP840" s="923">
        <f t="shared" ref="CP840:CP903" si="484">-V840+BL840+BM840+BN840+CM840</f>
        <v>0</v>
      </c>
      <c r="CZ840" s="330"/>
    </row>
    <row r="841" spans="1:104" ht="15" customHeight="1" x14ac:dyDescent="0.25">
      <c r="A841" s="684">
        <f>MAX($A$6:A840)+1</f>
        <v>841</v>
      </c>
      <c r="B841" s="3">
        <f t="shared" si="478"/>
        <v>5.3999999999999986</v>
      </c>
      <c r="C841" s="11" t="str">
        <f>C839</f>
        <v>Assets Classified as Held for Sale</v>
      </c>
      <c r="D841" s="11" t="str">
        <f t="shared" si="482"/>
        <v>Other Deprec</v>
      </c>
      <c r="E841" s="7" t="s">
        <v>207</v>
      </c>
      <c r="F841" s="15"/>
      <c r="G841" s="1254" t="s">
        <v>286</v>
      </c>
      <c r="H841" s="6"/>
      <c r="I841" s="6"/>
      <c r="J841" s="1257" t="s">
        <v>873</v>
      </c>
      <c r="K841" s="266"/>
      <c r="L841" s="266"/>
      <c r="M841" s="10"/>
      <c r="N841" s="273">
        <f>ROUND(SUM(O841:S841)+SUM(W841:AV841),0)</f>
        <v>0</v>
      </c>
      <c r="O841" s="12"/>
      <c r="P841" s="12"/>
      <c r="Q841" s="12"/>
      <c r="R841" s="12"/>
      <c r="S841" s="6">
        <f t="shared" si="483"/>
        <v>0</v>
      </c>
      <c r="T841" s="273">
        <f t="shared" si="481"/>
        <v>0</v>
      </c>
      <c r="U841" s="6"/>
      <c r="V841" s="6"/>
      <c r="W841" s="6">
        <f t="shared" si="470"/>
        <v>0</v>
      </c>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X841" s="14"/>
      <c r="AY841" s="14"/>
      <c r="BA841" s="14"/>
      <c r="BB841" s="14"/>
      <c r="BC841" s="14"/>
      <c r="BD841" s="14">
        <f t="shared" si="455"/>
        <v>0</v>
      </c>
      <c r="BE841" s="318"/>
      <c r="BF841" s="318"/>
      <c r="BG841" s="318"/>
      <c r="BH841" s="318"/>
      <c r="BI841" s="318"/>
      <c r="BJ841" s="318"/>
      <c r="BK841" s="14">
        <f t="shared" si="474"/>
        <v>0</v>
      </c>
      <c r="BL841" s="318"/>
      <c r="BM841" s="318"/>
      <c r="BN841" s="318"/>
      <c r="BO841" s="318"/>
      <c r="BP841" s="318"/>
      <c r="BQ841" s="318"/>
      <c r="BR841" s="318"/>
      <c r="BS841" s="318"/>
      <c r="BT841" s="318"/>
      <c r="BU841" s="318"/>
      <c r="BV841" s="318"/>
      <c r="BW841" s="318"/>
      <c r="BX841" s="318"/>
      <c r="BY841" s="318"/>
      <c r="BZ841" s="318"/>
      <c r="CA841" s="318"/>
      <c r="CB841" s="318"/>
      <c r="CC841" s="318"/>
      <c r="CD841" s="318"/>
      <c r="CE841" s="318"/>
      <c r="CF841" s="318"/>
      <c r="CG841" s="318"/>
      <c r="CH841" s="318"/>
      <c r="CI841" s="318"/>
      <c r="CM841" s="1139">
        <v>0</v>
      </c>
      <c r="CN841" s="1139">
        <v>0</v>
      </c>
      <c r="CP841" s="923">
        <f t="shared" si="484"/>
        <v>0</v>
      </c>
      <c r="CZ841" s="330"/>
    </row>
    <row r="842" spans="1:104" ht="15" customHeight="1" x14ac:dyDescent="0.25">
      <c r="A842" s="684">
        <f>MAX($A$6:A841)+1</f>
        <v>842</v>
      </c>
      <c r="B842" s="3">
        <f t="shared" si="478"/>
        <v>5.3999999999999986</v>
      </c>
      <c r="C842" s="11" t="str">
        <f t="shared" si="475"/>
        <v>Assets Classified as Held for Sale</v>
      </c>
      <c r="D842" s="11" t="str">
        <f t="shared" si="482"/>
        <v>Other Deprec</v>
      </c>
      <c r="E842" s="7" t="s">
        <v>208</v>
      </c>
      <c r="F842" s="15"/>
      <c r="G842" s="1254" t="s">
        <v>286</v>
      </c>
      <c r="H842" s="6"/>
      <c r="I842" s="6"/>
      <c r="J842" s="1257" t="s">
        <v>874</v>
      </c>
      <c r="K842" s="266"/>
      <c r="L842" s="266"/>
      <c r="M842" s="10"/>
      <c r="N842" s="273">
        <f>ROUND(SUM(O842:S842)+SUM(W842:AV842),0)</f>
        <v>0</v>
      </c>
      <c r="O842" s="12"/>
      <c r="P842" s="12"/>
      <c r="Q842" s="12"/>
      <c r="R842" s="12"/>
      <c r="S842" s="6">
        <f t="shared" si="483"/>
        <v>0</v>
      </c>
      <c r="T842" s="273">
        <f t="shared" si="481"/>
        <v>0</v>
      </c>
      <c r="U842" s="6"/>
      <c r="V842" s="6"/>
      <c r="W842" s="6">
        <f t="shared" si="470"/>
        <v>0</v>
      </c>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X842" s="14"/>
      <c r="AY842" s="14"/>
      <c r="BA842" s="14"/>
      <c r="BB842" s="14"/>
      <c r="BC842" s="14"/>
      <c r="BD842" s="14">
        <f t="shared" si="455"/>
        <v>0</v>
      </c>
      <c r="BE842" s="318"/>
      <c r="BF842" s="318"/>
      <c r="BG842" s="318"/>
      <c r="BH842" s="318"/>
      <c r="BI842" s="318"/>
      <c r="BJ842" s="318"/>
      <c r="BK842" s="14">
        <f t="shared" si="474"/>
        <v>0</v>
      </c>
      <c r="BL842" s="318"/>
      <c r="BM842" s="318"/>
      <c r="BN842" s="318"/>
      <c r="BO842" s="318"/>
      <c r="BP842" s="318"/>
      <c r="BQ842" s="318"/>
      <c r="BR842" s="318"/>
      <c r="BS842" s="318"/>
      <c r="BT842" s="318"/>
      <c r="BU842" s="318"/>
      <c r="BV842" s="318"/>
      <c r="BW842" s="318"/>
      <c r="BX842" s="318"/>
      <c r="BY842" s="318"/>
      <c r="BZ842" s="318"/>
      <c r="CA842" s="318"/>
      <c r="CB842" s="318"/>
      <c r="CC842" s="318"/>
      <c r="CD842" s="318"/>
      <c r="CE842" s="318"/>
      <c r="CF842" s="318"/>
      <c r="CG842" s="318"/>
      <c r="CH842" s="318"/>
      <c r="CI842" s="318"/>
      <c r="CM842" s="1139">
        <v>0</v>
      </c>
      <c r="CN842" s="1139">
        <v>0</v>
      </c>
      <c r="CP842" s="923">
        <f t="shared" si="484"/>
        <v>0</v>
      </c>
      <c r="CZ842" s="330"/>
    </row>
    <row r="843" spans="1:104" ht="15" customHeight="1" x14ac:dyDescent="0.25">
      <c r="A843" s="701">
        <f>MAX($A$6:A842)+1</f>
        <v>843</v>
      </c>
      <c r="B843" s="1291">
        <f t="shared" si="478"/>
        <v>5.3999999999999986</v>
      </c>
      <c r="C843" s="18" t="str">
        <f t="shared" si="475"/>
        <v>Assets Classified as Held for Sale</v>
      </c>
      <c r="D843" s="18" t="str">
        <f t="shared" si="482"/>
        <v>Other Deprec</v>
      </c>
      <c r="E843" s="19" t="s">
        <v>209</v>
      </c>
      <c r="F843" s="20"/>
      <c r="G843" s="1278"/>
      <c r="H843" s="14"/>
      <c r="I843" s="14"/>
      <c r="J843" s="1258" t="s">
        <v>286</v>
      </c>
      <c r="K843" s="256"/>
      <c r="L843" s="256"/>
      <c r="M843" s="21"/>
      <c r="N843" s="14">
        <f>ROUND(SUM(O843:S843)+T843+SUM(Z843:AV843),0)</f>
        <v>0</v>
      </c>
      <c r="O843" s="14">
        <f>SUM(O838:O842)</f>
        <v>0</v>
      </c>
      <c r="P843" s="14">
        <f>SUM(P838:P842)</f>
        <v>0</v>
      </c>
      <c r="Q843" s="14">
        <f>SUM(Q838:Q842)</f>
        <v>0</v>
      </c>
      <c r="R843" s="14">
        <f>SUM(R838:R842)</f>
        <v>0</v>
      </c>
      <c r="S843" s="14">
        <f t="shared" si="483"/>
        <v>0</v>
      </c>
      <c r="T843" s="14">
        <f t="shared" si="481"/>
        <v>0</v>
      </c>
      <c r="U843" s="14">
        <f>SUM(U838:U842)</f>
        <v>0</v>
      </c>
      <c r="V843" s="14">
        <f>SUM(V838:V842)</f>
        <v>0</v>
      </c>
      <c r="W843" s="14">
        <f>SUM(W838:W842)</f>
        <v>0</v>
      </c>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2"/>
      <c r="AX843" s="14"/>
      <c r="AY843" s="14"/>
      <c r="AZ843" s="2"/>
      <c r="BA843" s="14"/>
      <c r="BB843" s="14"/>
      <c r="BC843" s="14"/>
      <c r="BD843" s="14">
        <f t="shared" si="455"/>
        <v>0</v>
      </c>
      <c r="BE843" s="318"/>
      <c r="BF843" s="318"/>
      <c r="BG843" s="318"/>
      <c r="BH843" s="318"/>
      <c r="BI843" s="318"/>
      <c r="BJ843" s="318"/>
      <c r="BK843" s="14">
        <f t="shared" si="474"/>
        <v>0</v>
      </c>
      <c r="BL843" s="318"/>
      <c r="BM843" s="318"/>
      <c r="BN843" s="318"/>
      <c r="BO843" s="318"/>
      <c r="BP843" s="318"/>
      <c r="BQ843" s="318"/>
      <c r="BR843" s="318"/>
      <c r="BS843" s="318"/>
      <c r="BT843" s="318"/>
      <c r="BU843" s="318"/>
      <c r="BV843" s="318"/>
      <c r="BW843" s="318"/>
      <c r="BX843" s="318"/>
      <c r="BY843" s="318"/>
      <c r="BZ843" s="318"/>
      <c r="CA843" s="318"/>
      <c r="CB843" s="318"/>
      <c r="CC843" s="318"/>
      <c r="CD843" s="318"/>
      <c r="CE843" s="318"/>
      <c r="CF843" s="318"/>
      <c r="CG843" s="318"/>
      <c r="CH843" s="318"/>
      <c r="CI843" s="318"/>
      <c r="CJ843" s="2"/>
      <c r="CK843" s="2"/>
      <c r="CM843" s="1140">
        <v>0</v>
      </c>
      <c r="CN843" s="1140">
        <v>0</v>
      </c>
      <c r="CP843" s="923">
        <f t="shared" si="484"/>
        <v>0</v>
      </c>
      <c r="CZ843" s="330"/>
    </row>
    <row r="844" spans="1:104" ht="45" customHeight="1" x14ac:dyDescent="0.25">
      <c r="A844" s="684">
        <f>MAX($A$6:A843)+1</f>
        <v>844</v>
      </c>
      <c r="B844" s="3">
        <f>B826</f>
        <v>5.3999999999999986</v>
      </c>
      <c r="C844" s="11" t="str">
        <f>C826</f>
        <v>Assets Classified as Held for Sale</v>
      </c>
      <c r="D844" s="11" t="s">
        <v>392</v>
      </c>
      <c r="E844" s="7" t="s">
        <v>446</v>
      </c>
      <c r="F844" s="15" t="s">
        <v>447</v>
      </c>
      <c r="G844" s="1254" t="s">
        <v>733</v>
      </c>
      <c r="H844" s="253"/>
      <c r="J844" s="1257" t="s">
        <v>1081</v>
      </c>
      <c r="K844" s="1185"/>
      <c r="L844" s="1185"/>
      <c r="M844" s="10" t="s">
        <v>176</v>
      </c>
      <c r="N844" s="273">
        <f>ROUND(SUM(O844:S844)+SUM(W844:AV844),0)</f>
        <v>0</v>
      </c>
      <c r="O844" s="12"/>
      <c r="P844" s="12"/>
      <c r="Q844" s="12"/>
      <c r="R844" s="12"/>
      <c r="S844" s="6">
        <f t="shared" si="483"/>
        <v>0</v>
      </c>
      <c r="T844" s="273">
        <f t="shared" si="481"/>
        <v>0</v>
      </c>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X844" s="6"/>
      <c r="AY844" s="6">
        <f>ROUND(AX844/1000/Update!$B$31*Update!$B$27,0)</f>
        <v>0</v>
      </c>
      <c r="BA844" s="6"/>
      <c r="BB844" s="6">
        <f>ROUND(BA844/1000/Update!$B$31,0)</f>
        <v>0</v>
      </c>
      <c r="BC844" s="6"/>
      <c r="BD844" s="29">
        <f t="shared" si="455"/>
        <v>0</v>
      </c>
      <c r="BE844" s="322"/>
      <c r="BF844" s="322"/>
      <c r="BG844" s="322"/>
      <c r="BH844" s="322"/>
      <c r="BI844" s="322"/>
      <c r="BJ844" s="322"/>
      <c r="BK844" s="29">
        <f t="shared" si="474"/>
        <v>0</v>
      </c>
      <c r="BL844" s="322"/>
      <c r="BM844" s="322"/>
      <c r="BN844" s="322"/>
      <c r="BO844" s="322"/>
      <c r="BP844" s="322"/>
      <c r="BQ844" s="322"/>
      <c r="BR844" s="322"/>
      <c r="BS844" s="322"/>
      <c r="BT844" s="322"/>
      <c r="BU844" s="322"/>
      <c r="BV844" s="322"/>
      <c r="BW844" s="322"/>
      <c r="BX844" s="322"/>
      <c r="BY844" s="322"/>
      <c r="BZ844" s="322"/>
      <c r="CA844" s="322"/>
      <c r="CB844" s="322"/>
      <c r="CC844" s="322"/>
      <c r="CD844" s="322"/>
      <c r="CE844" s="322"/>
      <c r="CF844" s="322"/>
      <c r="CG844" s="322"/>
      <c r="CH844" s="322"/>
      <c r="CI844" s="322"/>
      <c r="CM844" s="1139">
        <v>0</v>
      </c>
      <c r="CN844" s="1139">
        <v>0</v>
      </c>
      <c r="CP844" s="923">
        <f t="shared" si="484"/>
        <v>0</v>
      </c>
      <c r="CZ844" s="330"/>
    </row>
    <row r="845" spans="1:104" ht="45" customHeight="1" x14ac:dyDescent="0.25">
      <c r="A845" s="684">
        <f>MAX($A$6:A844)+1</f>
        <v>845</v>
      </c>
      <c r="B845" s="3">
        <f>B844</f>
        <v>5.3999999999999986</v>
      </c>
      <c r="C845" s="11" t="str">
        <f t="shared" si="475"/>
        <v>Assets Classified as Held for Sale</v>
      </c>
      <c r="D845" s="11" t="s">
        <v>392</v>
      </c>
      <c r="E845" s="7" t="s">
        <v>445</v>
      </c>
      <c r="F845" s="288" t="s">
        <v>62</v>
      </c>
      <c r="G845" s="1254" t="s">
        <v>733</v>
      </c>
      <c r="H845" s="253"/>
      <c r="J845" s="1257" t="s">
        <v>286</v>
      </c>
      <c r="K845" s="1185"/>
      <c r="L845" s="1185"/>
      <c r="M845" s="10"/>
      <c r="N845" s="273">
        <f>ROUND(SUM(O845:S845)+SUM(W845:AV845),0)</f>
        <v>0</v>
      </c>
      <c r="O845" s="12"/>
      <c r="P845" s="12"/>
      <c r="Q845" s="12"/>
      <c r="R845" s="12"/>
      <c r="S845" s="6">
        <f t="shared" si="483"/>
        <v>0</v>
      </c>
      <c r="T845" s="273">
        <f t="shared" si="481"/>
        <v>0</v>
      </c>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X845" s="6"/>
      <c r="AY845" s="6">
        <f>ROUND(AX845/1000/Update!$B$31*Update!$B$27,0)</f>
        <v>0</v>
      </c>
      <c r="BA845" s="6"/>
      <c r="BB845" s="6">
        <f>ROUND(BA845/1000/Update!$B$31,0)</f>
        <v>0</v>
      </c>
      <c r="BC845" s="6"/>
      <c r="BD845" s="29">
        <f t="shared" si="455"/>
        <v>0</v>
      </c>
      <c r="BE845" s="322"/>
      <c r="BF845" s="322"/>
      <c r="BG845" s="322"/>
      <c r="BH845" s="322"/>
      <c r="BI845" s="322"/>
      <c r="BJ845" s="322"/>
      <c r="BK845" s="29">
        <f t="shared" si="474"/>
        <v>0</v>
      </c>
      <c r="BL845" s="322"/>
      <c r="BM845" s="322"/>
      <c r="BN845" s="322"/>
      <c r="BO845" s="322"/>
      <c r="BP845" s="322"/>
      <c r="BQ845" s="322"/>
      <c r="BR845" s="322"/>
      <c r="BS845" s="322"/>
      <c r="BT845" s="322"/>
      <c r="BU845" s="322"/>
      <c r="BV845" s="322"/>
      <c r="BW845" s="322"/>
      <c r="BX845" s="322"/>
      <c r="BY845" s="322"/>
      <c r="BZ845" s="322"/>
      <c r="CA845" s="322"/>
      <c r="CB845" s="322"/>
      <c r="CC845" s="322"/>
      <c r="CD845" s="322"/>
      <c r="CE845" s="322"/>
      <c r="CF845" s="322"/>
      <c r="CG845" s="322"/>
      <c r="CH845" s="322"/>
      <c r="CI845" s="322"/>
      <c r="CM845" s="1139">
        <v>0</v>
      </c>
      <c r="CN845" s="1139">
        <v>0</v>
      </c>
      <c r="CP845" s="923">
        <f t="shared" si="484"/>
        <v>0</v>
      </c>
      <c r="CZ845" s="330"/>
    </row>
    <row r="846" spans="1:104" ht="18.75" customHeight="1" x14ac:dyDescent="0.25">
      <c r="A846" s="1296">
        <f>MAX($A$6:A845)+1</f>
        <v>846</v>
      </c>
      <c r="B846" s="1293">
        <f>SUMIF(Update!$B$33:$B$106,C846,Update!$A$33:$A$106)</f>
        <v>6</v>
      </c>
      <c r="C846" s="696" t="s">
        <v>602</v>
      </c>
      <c r="D846" s="695"/>
      <c r="E846" s="696" t="str">
        <f>B846&amp;" "&amp;C846</f>
        <v>6 Intangible Assets</v>
      </c>
      <c r="F846" s="697"/>
      <c r="G846" s="697"/>
      <c r="H846" s="695"/>
      <c r="I846" s="695"/>
      <c r="J846" s="698" t="s">
        <v>286</v>
      </c>
      <c r="K846" s="699">
        <f>SUMIF('alb Note 6.1 -  Intangibles CY'!$A:$A,$J846,'alb Note 6.1 -  Intangibles CY'!$C:$C)</f>
        <v>0</v>
      </c>
      <c r="L846" s="699">
        <f>SUMIF('alb Note 6.1 -  Intangibles CY'!$A:$A,$J846,'alb Note 6.1 -  Intangibles CY'!$N:$N)</f>
        <v>0</v>
      </c>
      <c r="M846" s="695"/>
      <c r="N846" s="713">
        <f>ROUND(SUM(O846:S846)+T846+SUM(Z846:AV846),0)</f>
        <v>0</v>
      </c>
      <c r="O846" s="695"/>
      <c r="P846" s="695"/>
      <c r="Q846" s="695"/>
      <c r="R846" s="695"/>
      <c r="S846" s="695">
        <f t="shared" si="483"/>
        <v>0</v>
      </c>
      <c r="T846" s="713">
        <f t="shared" si="481"/>
        <v>0</v>
      </c>
      <c r="U846" s="695"/>
      <c r="V846" s="695"/>
      <c r="W846" s="695"/>
      <c r="X846" s="695"/>
      <c r="Y846" s="695"/>
      <c r="Z846" s="695"/>
      <c r="AA846" s="695"/>
      <c r="AB846" s="695"/>
      <c r="AC846" s="695"/>
      <c r="AD846" s="695"/>
      <c r="AE846" s="695"/>
      <c r="AF846" s="695"/>
      <c r="AG846" s="695"/>
      <c r="AH846" s="695"/>
      <c r="AI846" s="695"/>
      <c r="AJ846" s="695"/>
      <c r="AK846" s="695"/>
      <c r="AL846" s="695"/>
      <c r="AM846" s="695"/>
      <c r="AN846" s="695"/>
      <c r="AO846" s="695"/>
      <c r="AP846" s="695"/>
      <c r="AQ846" s="695"/>
      <c r="AR846" s="695"/>
      <c r="AS846" s="695"/>
      <c r="AT846" s="695"/>
      <c r="AU846" s="695"/>
      <c r="AV846" s="695"/>
      <c r="AW846" s="700"/>
      <c r="AX846" s="700"/>
      <c r="AY846" s="700">
        <f>ROUND(AX846/1000/Update!$B$31*Update!$B$27,0)</f>
        <v>0</v>
      </c>
      <c r="AZ846" s="700"/>
      <c r="BA846" s="700"/>
      <c r="BB846" s="700">
        <f>ROUND(BA846/1000/Update!$B$31,0)</f>
        <v>0</v>
      </c>
      <c r="BC846" s="700"/>
      <c r="BD846" s="721">
        <f t="shared" si="455"/>
        <v>0</v>
      </c>
      <c r="BE846" s="700"/>
      <c r="BF846" s="700"/>
      <c r="BG846" s="700"/>
      <c r="BH846" s="700"/>
      <c r="BI846" s="700"/>
      <c r="BJ846" s="700"/>
      <c r="BK846" s="721">
        <f t="shared" si="474"/>
        <v>0</v>
      </c>
      <c r="BL846" s="700"/>
      <c r="BM846" s="700"/>
      <c r="BN846" s="700"/>
      <c r="BO846" s="700"/>
      <c r="BP846" s="700"/>
      <c r="BQ846" s="700"/>
      <c r="BR846" s="700"/>
      <c r="BS846" s="700"/>
      <c r="BT846" s="700"/>
      <c r="BU846" s="700"/>
      <c r="BV846" s="700"/>
      <c r="BW846" s="700"/>
      <c r="BX846" s="700"/>
      <c r="BY846" s="700"/>
      <c r="BZ846" s="700"/>
      <c r="CA846" s="700"/>
      <c r="CB846" s="700"/>
      <c r="CC846" s="700"/>
      <c r="CD846" s="700"/>
      <c r="CE846" s="700"/>
      <c r="CF846" s="700"/>
      <c r="CG846" s="700"/>
      <c r="CH846" s="700"/>
      <c r="CI846" s="700"/>
      <c r="CJ846" s="700"/>
      <c r="CK846" s="700"/>
      <c r="CM846" s="700">
        <v>0</v>
      </c>
      <c r="CN846" s="700">
        <v>0</v>
      </c>
      <c r="CP846" s="923">
        <f t="shared" si="484"/>
        <v>0</v>
      </c>
      <c r="CZ846" s="330"/>
    </row>
    <row r="847" spans="1:104" ht="30" customHeight="1" x14ac:dyDescent="0.25">
      <c r="A847" s="684">
        <f>MAX($A$6:A846)+1</f>
        <v>847</v>
      </c>
      <c r="B847" s="3">
        <f>SUMIF(Update!$B$33:$B$106,C847,Update!$A$33:$A$106)</f>
        <v>6.1</v>
      </c>
      <c r="C847" s="772" t="str">
        <f>"Consolidated intangible assets "&amp;Update!$B$13</f>
        <v>Consolidated intangible assets 2025-26</v>
      </c>
      <c r="D847" s="11"/>
      <c r="E847" s="13" t="str">
        <f>B847&amp;" "&amp;C847</f>
        <v>6.1 Consolidated intangible assets 2025-26</v>
      </c>
      <c r="F847" s="13"/>
      <c r="G847" s="26"/>
      <c r="H847" s="6"/>
      <c r="I847" s="6"/>
      <c r="J847" s="1257" t="s">
        <v>286</v>
      </c>
      <c r="K847" s="251">
        <f>SUMIF('alb Note 6.1 -  Intangibles CY'!$A:$A,$J847,'alb Note 6.1 -  Intangibles CY'!$C:$C)</f>
        <v>0</v>
      </c>
      <c r="L847" s="251">
        <f>SUMIF('alb Note 6.1 -  Intangibles CY'!$A:$A,$J847,'alb Note 6.1 -  Intangibles CY'!$N:$N)</f>
        <v>0</v>
      </c>
      <c r="M847" s="10"/>
      <c r="N847" s="273">
        <f>ROUND(SUM(O847:S847)+SUM(W847:AV847),0)</f>
        <v>0</v>
      </c>
      <c r="O847" s="12"/>
      <c r="P847" s="12"/>
      <c r="Q847" s="12"/>
      <c r="R847" s="12"/>
      <c r="S847" s="6">
        <f t="shared" si="483"/>
        <v>0</v>
      </c>
      <c r="T847" s="273">
        <f t="shared" si="481"/>
        <v>0</v>
      </c>
      <c r="U847" s="6">
        <f>SUM(BL847:BN847)</f>
        <v>0</v>
      </c>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X847" s="6"/>
      <c r="AY847" s="6">
        <f>ROUND(AX847/1000/Update!$B$31*Update!$B$27,0)</f>
        <v>0</v>
      </c>
      <c r="BA847" s="6"/>
      <c r="BB847" s="6">
        <f>ROUND(BA847/1000/Update!$B$31,0)</f>
        <v>0</v>
      </c>
      <c r="BC847" s="6"/>
      <c r="BD847" s="29">
        <f t="shared" si="455"/>
        <v>0</v>
      </c>
      <c r="BE847" s="317"/>
      <c r="BF847" s="317"/>
      <c r="BG847" s="317"/>
      <c r="BH847" s="317"/>
      <c r="BI847" s="317"/>
      <c r="BJ847" s="317"/>
      <c r="BK847" s="29">
        <f t="shared" si="474"/>
        <v>0</v>
      </c>
      <c r="BL847" s="317"/>
      <c r="BM847" s="317"/>
      <c r="BN847" s="317"/>
      <c r="BO847" s="317"/>
      <c r="BP847" s="317"/>
      <c r="BQ847" s="317"/>
      <c r="BR847" s="317"/>
      <c r="BS847" s="317"/>
      <c r="BT847" s="317"/>
      <c r="BU847" s="317"/>
      <c r="BV847" s="317"/>
      <c r="BW847" s="317"/>
      <c r="BX847" s="317"/>
      <c r="BY847" s="317"/>
      <c r="BZ847" s="317"/>
      <c r="CA847" s="317"/>
      <c r="CB847" s="317"/>
      <c r="CC847" s="317"/>
      <c r="CD847" s="317"/>
      <c r="CE847" s="317"/>
      <c r="CF847" s="317"/>
      <c r="CG847" s="317"/>
      <c r="CH847" s="317"/>
      <c r="CI847" s="317"/>
      <c r="CM847" s="1139">
        <v>0</v>
      </c>
      <c r="CN847" s="1139">
        <v>0</v>
      </c>
      <c r="CP847" s="923">
        <f t="shared" si="484"/>
        <v>0</v>
      </c>
      <c r="CZ847" s="330"/>
    </row>
    <row r="848" spans="1:104" ht="18.75" customHeight="1" x14ac:dyDescent="0.25">
      <c r="A848" s="684">
        <f>MAX($A$6:A847)+1</f>
        <v>848</v>
      </c>
      <c r="B848" s="3">
        <f t="shared" ref="B848:B893" si="485">B847</f>
        <v>6.1</v>
      </c>
      <c r="C848" s="11" t="str">
        <f t="shared" si="475"/>
        <v>Consolidated intangible assets 2025-26</v>
      </c>
      <c r="D848" s="11" t="s">
        <v>201</v>
      </c>
      <c r="E848" s="277" t="s">
        <v>183</v>
      </c>
      <c r="F848" s="277"/>
      <c r="G848" s="26"/>
      <c r="H848" s="6"/>
      <c r="I848" s="6"/>
      <c r="J848" s="1257" t="s">
        <v>286</v>
      </c>
      <c r="K848" s="251">
        <f>SUMIF('alb Note 6.1 -  Intangibles CY'!$A:$A,$J848,'alb Note 6.1 -  Intangibles CY'!$C:$C)</f>
        <v>0</v>
      </c>
      <c r="L848" s="251">
        <f>SUMIF('alb Note 6.1 -  Intangibles CY'!$A:$A,$J848,'alb Note 6.1 -  Intangibles CY'!$N:$N)</f>
        <v>0</v>
      </c>
      <c r="M848" s="10"/>
      <c r="N848" s="273">
        <f>ROUND(SUM(O848:S848)+SUM(W848:AV848),0)</f>
        <v>0</v>
      </c>
      <c r="O848" s="12"/>
      <c r="P848" s="12"/>
      <c r="Q848" s="12"/>
      <c r="R848" s="12"/>
      <c r="S848" s="6">
        <f t="shared" si="483"/>
        <v>0</v>
      </c>
      <c r="T848" s="273">
        <f t="shared" si="481"/>
        <v>0</v>
      </c>
      <c r="U848" s="6">
        <f>SUM(BL848:BN848)</f>
        <v>0</v>
      </c>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X848" s="6"/>
      <c r="AY848" s="6">
        <f>ROUND(AX848/1000/Update!$B$31*Update!$B$27,0)</f>
        <v>0</v>
      </c>
      <c r="BA848" s="6"/>
      <c r="BB848" s="6">
        <f>ROUND(BA848/1000/Update!$B$31,0)</f>
        <v>0</v>
      </c>
      <c r="BC848" s="6"/>
      <c r="BD848" s="29">
        <f t="shared" si="455"/>
        <v>0</v>
      </c>
      <c r="BE848" s="317"/>
      <c r="BF848" s="317"/>
      <c r="BG848" s="317"/>
      <c r="BH848" s="317"/>
      <c r="BI848" s="317"/>
      <c r="BJ848" s="317"/>
      <c r="BK848" s="29">
        <f t="shared" si="474"/>
        <v>0</v>
      </c>
      <c r="BL848" s="317"/>
      <c r="BM848" s="317"/>
      <c r="BN848" s="317"/>
      <c r="BO848" s="317"/>
      <c r="BP848" s="317"/>
      <c r="BQ848" s="317"/>
      <c r="BR848" s="317"/>
      <c r="BS848" s="317"/>
      <c r="BT848" s="317"/>
      <c r="BU848" s="317"/>
      <c r="BV848" s="317"/>
      <c r="BW848" s="317"/>
      <c r="BX848" s="317"/>
      <c r="BY848" s="317"/>
      <c r="BZ848" s="317"/>
      <c r="CA848" s="317"/>
      <c r="CB848" s="317"/>
      <c r="CC848" s="317"/>
      <c r="CD848" s="317"/>
      <c r="CE848" s="317"/>
      <c r="CF848" s="317"/>
      <c r="CG848" s="317"/>
      <c r="CH848" s="317"/>
      <c r="CI848" s="317"/>
      <c r="CM848" s="1139">
        <v>0</v>
      </c>
      <c r="CN848" s="1139">
        <v>0</v>
      </c>
      <c r="CP848" s="923">
        <f t="shared" si="484"/>
        <v>0</v>
      </c>
      <c r="CZ848" s="330"/>
    </row>
    <row r="849" spans="1:104" ht="15" customHeight="1" x14ac:dyDescent="0.25">
      <c r="A849" s="684">
        <f>MAX($A$6:A848)+1</f>
        <v>849</v>
      </c>
      <c r="B849" s="3">
        <f t="shared" si="485"/>
        <v>6.1</v>
      </c>
      <c r="C849" s="11" t="str">
        <f t="shared" si="475"/>
        <v>Consolidated intangible assets 2025-26</v>
      </c>
      <c r="D849" s="11" t="s">
        <v>201</v>
      </c>
      <c r="E849" s="7" t="str">
        <f>"At"&amp;Update!$B$20</f>
        <v>At 1 April 2025</v>
      </c>
      <c r="F849" s="15"/>
      <c r="G849" s="1267" t="str">
        <f>"At"&amp;Update!$B$20</f>
        <v>At 1 April 2025</v>
      </c>
      <c r="H849" s="6">
        <v>0</v>
      </c>
      <c r="I849" s="6">
        <v>0</v>
      </c>
      <c r="J849" s="1257" t="str">
        <f>$E849</f>
        <v>At 1 April 2025</v>
      </c>
      <c r="K849" s="251">
        <f>SUMIF('alb Note 6.1 -  Intangibles CY'!$A:$A,$J849,'alb Note 6.1 -  Intangibles CY'!$C:$C)</f>
        <v>0</v>
      </c>
      <c r="L849" s="251">
        <f>SUMIF('alb Note 6.1 -  Intangibles CY'!$A:$A,$J849,'alb Note 6.1 -  Intangibles CY'!$N:$N)</f>
        <v>0</v>
      </c>
      <c r="M849" s="10"/>
      <c r="N849" s="273">
        <f>ROUND(SUM(O849:S849)+SUM(W849:AV849),0)</f>
        <v>0</v>
      </c>
      <c r="O849" s="12"/>
      <c r="P849" s="12"/>
      <c r="Q849" s="12"/>
      <c r="R849" s="12"/>
      <c r="S849" s="6">
        <f t="shared" si="483"/>
        <v>0</v>
      </c>
      <c r="T849" s="273">
        <f t="shared" si="481"/>
        <v>0</v>
      </c>
      <c r="U849" s="6">
        <f>SUM(BL849:BN849)</f>
        <v>0</v>
      </c>
      <c r="V849" s="6"/>
      <c r="W849" s="6">
        <f t="shared" ref="W849:W860" si="486">+H849</f>
        <v>0</v>
      </c>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X849" s="6"/>
      <c r="AY849" s="6">
        <f>ROUND(AX849/1000/Update!$B$31*Update!$B$27,0)</f>
        <v>0</v>
      </c>
      <c r="BA849" s="6"/>
      <c r="BB849" s="6">
        <f>ROUND(BA849/1000/Update!$B$31,0)</f>
        <v>0</v>
      </c>
      <c r="BC849" s="6"/>
      <c r="BD849" s="29">
        <f t="shared" si="455"/>
        <v>0</v>
      </c>
      <c r="BE849" s="317"/>
      <c r="BF849" s="317"/>
      <c r="BG849" s="317"/>
      <c r="BH849" s="317"/>
      <c r="BI849" s="317"/>
      <c r="BJ849" s="317"/>
      <c r="BK849" s="29">
        <f t="shared" si="474"/>
        <v>0</v>
      </c>
      <c r="BL849" s="317"/>
      <c r="BM849" s="317"/>
      <c r="BN849" s="317"/>
      <c r="BO849" s="317"/>
      <c r="BP849" s="317"/>
      <c r="BQ849" s="317"/>
      <c r="BR849" s="317"/>
      <c r="BS849" s="317"/>
      <c r="BT849" s="317"/>
      <c r="BU849" s="317"/>
      <c r="BV849" s="317"/>
      <c r="BW849" s="317"/>
      <c r="BX849" s="317"/>
      <c r="BY849" s="317"/>
      <c r="BZ849" s="317"/>
      <c r="CA849" s="317"/>
      <c r="CB849" s="317"/>
      <c r="CC849" s="317"/>
      <c r="CD849" s="317"/>
      <c r="CE849" s="317"/>
      <c r="CF849" s="317"/>
      <c r="CG849" s="317"/>
      <c r="CH849" s="317"/>
      <c r="CI849" s="317"/>
      <c r="CM849" s="1139">
        <v>0</v>
      </c>
      <c r="CN849" s="1139">
        <v>0</v>
      </c>
      <c r="CP849" s="923">
        <f t="shared" si="484"/>
        <v>0</v>
      </c>
      <c r="CZ849" s="330"/>
    </row>
    <row r="850" spans="1:104" ht="15" customHeight="1" x14ac:dyDescent="0.25">
      <c r="A850" s="684">
        <f>MAX($A$6:A849)+1</f>
        <v>850</v>
      </c>
      <c r="B850" s="3">
        <f t="shared" si="485"/>
        <v>6.1</v>
      </c>
      <c r="C850" s="11" t="str">
        <f t="shared" si="475"/>
        <v>Consolidated intangible assets 2025-26</v>
      </c>
      <c r="D850" s="11" t="s">
        <v>201</v>
      </c>
      <c r="E850" s="7" t="s">
        <v>435</v>
      </c>
      <c r="F850" s="7"/>
      <c r="G850" s="1254" t="s">
        <v>435</v>
      </c>
      <c r="H850" s="6">
        <v>0</v>
      </c>
      <c r="I850" s="6">
        <v>0</v>
      </c>
      <c r="J850" s="1257" t="s">
        <v>184</v>
      </c>
      <c r="K850" s="251">
        <f>SUMIF('alb Note 6.1 -  Intangibles CY'!$A:$A,$J850,'alb Note 6.1 -  Intangibles CY'!$C:$C)</f>
        <v>0</v>
      </c>
      <c r="L850" s="251">
        <f>SUMIF('alb Note 6.1 -  Intangibles CY'!$A:$A,$J850,'alb Note 6.1 -  Intangibles CY'!$N:$N)</f>
        <v>0</v>
      </c>
      <c r="M850" s="10"/>
      <c r="N850" s="273">
        <f>ROUND(SUM(O850:S850)+SUM(W850:AV850),0)</f>
        <v>0</v>
      </c>
      <c r="O850" s="12"/>
      <c r="P850" s="12"/>
      <c r="Q850" s="12"/>
      <c r="R850" s="12"/>
      <c r="S850" s="6">
        <f t="shared" si="483"/>
        <v>0</v>
      </c>
      <c r="T850" s="273">
        <f t="shared" si="481"/>
        <v>0</v>
      </c>
      <c r="U850" s="6">
        <f>SUM(BL850:BN850)</f>
        <v>0</v>
      </c>
      <c r="V850" s="6"/>
      <c r="W850" s="6">
        <f t="shared" si="486"/>
        <v>0</v>
      </c>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X850" s="6"/>
      <c r="AY850" s="6">
        <f>ROUND(AX850/1000/Update!$B$31*Update!$B$27,0)</f>
        <v>0</v>
      </c>
      <c r="BA850" s="6"/>
      <c r="BB850" s="6">
        <f>ROUND(BA850/1000/Update!$B$31,0)</f>
        <v>0</v>
      </c>
      <c r="BC850" s="6"/>
      <c r="BD850" s="29">
        <f t="shared" si="455"/>
        <v>0</v>
      </c>
      <c r="BE850" s="317"/>
      <c r="BF850" s="317"/>
      <c r="BG850" s="317"/>
      <c r="BH850" s="317"/>
      <c r="BI850" s="317"/>
      <c r="BJ850" s="317"/>
      <c r="BK850" s="29">
        <f t="shared" si="474"/>
        <v>0</v>
      </c>
      <c r="BL850" s="317"/>
      <c r="BM850" s="317"/>
      <c r="BN850" s="317"/>
      <c r="BO850" s="317"/>
      <c r="BP850" s="317"/>
      <c r="BQ850" s="317"/>
      <c r="BR850" s="317"/>
      <c r="BS850" s="317"/>
      <c r="BT850" s="317"/>
      <c r="BU850" s="317"/>
      <c r="BV850" s="317"/>
      <c r="BW850" s="317"/>
      <c r="BX850" s="317"/>
      <c r="BY850" s="317"/>
      <c r="BZ850" s="317"/>
      <c r="CA850" s="317"/>
      <c r="CB850" s="317"/>
      <c r="CC850" s="317"/>
      <c r="CD850" s="317"/>
      <c r="CE850" s="317"/>
      <c r="CF850" s="317"/>
      <c r="CG850" s="317"/>
      <c r="CH850" s="317"/>
      <c r="CI850" s="317"/>
      <c r="CM850" s="1139">
        <v>0</v>
      </c>
      <c r="CN850" s="1139">
        <v>0</v>
      </c>
      <c r="CP850" s="923">
        <f t="shared" si="484"/>
        <v>0</v>
      </c>
      <c r="CZ850" s="330"/>
    </row>
    <row r="851" spans="1:104" ht="15" customHeight="1" x14ac:dyDescent="0.25">
      <c r="A851" s="701">
        <f>MAX($A$6:A850)+1</f>
        <v>851</v>
      </c>
      <c r="B851" s="1291">
        <f t="shared" si="485"/>
        <v>6.1</v>
      </c>
      <c r="C851" s="18" t="str">
        <f t="shared" si="475"/>
        <v>Consolidated intangible assets 2025-26</v>
      </c>
      <c r="D851" s="18" t="s">
        <v>201</v>
      </c>
      <c r="E851" s="19" t="s">
        <v>869</v>
      </c>
      <c r="F851" s="20"/>
      <c r="G851" s="1278" t="s">
        <v>442</v>
      </c>
      <c r="H851" s="14">
        <f>SUM(H848:H850)</f>
        <v>0</v>
      </c>
      <c r="I851" s="14">
        <f>SUM(I848:I850)</f>
        <v>0</v>
      </c>
      <c r="J851" s="1258" t="s">
        <v>869</v>
      </c>
      <c r="K851" s="256">
        <f>SUM(K848:K850)</f>
        <v>0</v>
      </c>
      <c r="L851" s="256">
        <f>SUM(L848:L850)</f>
        <v>0</v>
      </c>
      <c r="M851" s="21"/>
      <c r="N851" s="14">
        <f>ROUND(SUM(O851:S851)+T851+SUM(Z851:AV851),0)</f>
        <v>0</v>
      </c>
      <c r="O851" s="14">
        <f t="shared" ref="O851:W851" si="487">SUM(O848:O850)</f>
        <v>0</v>
      </c>
      <c r="P851" s="14">
        <f t="shared" si="487"/>
        <v>0</v>
      </c>
      <c r="Q851" s="14">
        <f t="shared" si="487"/>
        <v>0</v>
      </c>
      <c r="R851" s="14">
        <f t="shared" si="487"/>
        <v>0</v>
      </c>
      <c r="S851" s="14">
        <f t="shared" si="483"/>
        <v>0</v>
      </c>
      <c r="T851" s="14">
        <f t="shared" si="487"/>
        <v>0</v>
      </c>
      <c r="U851" s="14">
        <f t="shared" si="487"/>
        <v>0</v>
      </c>
      <c r="V851" s="14">
        <f t="shared" si="487"/>
        <v>0</v>
      </c>
      <c r="W851" s="14">
        <f t="shared" si="487"/>
        <v>0</v>
      </c>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2"/>
      <c r="AX851" s="14">
        <f>SUM(AX848:AX850)</f>
        <v>0</v>
      </c>
      <c r="AY851" s="14">
        <f>ROUND(AX851/1000/Update!$B$31*Update!$B$27,0)</f>
        <v>0</v>
      </c>
      <c r="AZ851" s="2"/>
      <c r="BA851" s="14">
        <f>SUM(BA848:BA850)</f>
        <v>0</v>
      </c>
      <c r="BB851" s="14">
        <f>ROUND(BA851/1000/Update!$B$31,0)</f>
        <v>0</v>
      </c>
      <c r="BC851" s="14"/>
      <c r="BD851" s="14">
        <f t="shared" si="455"/>
        <v>0</v>
      </c>
      <c r="BE851" s="318">
        <f t="shared" ref="BE851:BJ851" si="488">SUM(BE848:BE850)</f>
        <v>0</v>
      </c>
      <c r="BF851" s="318">
        <f t="shared" si="488"/>
        <v>0</v>
      </c>
      <c r="BG851" s="318">
        <f t="shared" si="488"/>
        <v>0</v>
      </c>
      <c r="BH851" s="318">
        <f t="shared" si="488"/>
        <v>0</v>
      </c>
      <c r="BI851" s="318">
        <f t="shared" si="488"/>
        <v>0</v>
      </c>
      <c r="BJ851" s="318">
        <f t="shared" si="488"/>
        <v>0</v>
      </c>
      <c r="BK851" s="14">
        <f t="shared" si="474"/>
        <v>0</v>
      </c>
      <c r="BL851" s="318"/>
      <c r="BM851" s="318"/>
      <c r="BN851" s="318"/>
      <c r="BO851" s="318"/>
      <c r="BP851" s="318"/>
      <c r="BQ851" s="318"/>
      <c r="BR851" s="318"/>
      <c r="BS851" s="318"/>
      <c r="BT851" s="318"/>
      <c r="BU851" s="318"/>
      <c r="BV851" s="318"/>
      <c r="BW851" s="318"/>
      <c r="BX851" s="318"/>
      <c r="BY851" s="318"/>
      <c r="BZ851" s="318"/>
      <c r="CA851" s="318"/>
      <c r="CB851" s="318"/>
      <c r="CC851" s="318"/>
      <c r="CD851" s="318"/>
      <c r="CE851" s="318"/>
      <c r="CF851" s="318"/>
      <c r="CG851" s="318"/>
      <c r="CH851" s="318"/>
      <c r="CI851" s="318"/>
      <c r="CJ851" s="2"/>
      <c r="CK851" s="2"/>
      <c r="CM851" s="1140">
        <v>0</v>
      </c>
      <c r="CN851" s="1140">
        <v>0</v>
      </c>
      <c r="CP851" s="923">
        <f t="shared" si="484"/>
        <v>0</v>
      </c>
      <c r="CZ851" s="330"/>
    </row>
    <row r="852" spans="1:104" ht="15" customHeight="1" x14ac:dyDescent="0.25">
      <c r="A852" s="684">
        <f>MAX($A$6:A851)+1</f>
        <v>852</v>
      </c>
      <c r="B852" s="3">
        <f t="shared" si="485"/>
        <v>6.1</v>
      </c>
      <c r="C852" s="11" t="str">
        <f>C849</f>
        <v>Consolidated intangible assets 2025-26</v>
      </c>
      <c r="D852" s="11" t="s">
        <v>201</v>
      </c>
      <c r="E852" s="7" t="s">
        <v>185</v>
      </c>
      <c r="F852" s="7"/>
      <c r="G852" s="1254" t="s">
        <v>185</v>
      </c>
      <c r="H852" s="6">
        <v>0</v>
      </c>
      <c r="I852" s="6">
        <v>0</v>
      </c>
      <c r="J852" s="1257" t="s">
        <v>185</v>
      </c>
      <c r="K852" s="251">
        <f>SUMIF('alb Note 6.1 -  Intangibles CY'!$A:$A,$J852,'alb Note 6.1 -  Intangibles CY'!$C:$C)</f>
        <v>0</v>
      </c>
      <c r="L852" s="251">
        <f>SUMIF('alb Note 6.1 -  Intangibles CY'!$A:$A,$J852,'alb Note 6.1 -  Intangibles CY'!$N:$N)</f>
        <v>0</v>
      </c>
      <c r="M852" s="10"/>
      <c r="N852" s="273">
        <f t="shared" ref="N852:N860" si="489">ROUND(SUM(O852:S852)+SUM(W852:AV852),0)</f>
        <v>0</v>
      </c>
      <c r="O852" s="12"/>
      <c r="P852" s="12"/>
      <c r="Q852" s="12"/>
      <c r="R852" s="12"/>
      <c r="S852" s="6">
        <f t="shared" si="483"/>
        <v>0</v>
      </c>
      <c r="T852" s="273">
        <f t="shared" ref="T852:T860" si="490">ROUND(SUM(U852:Y852),0)</f>
        <v>0</v>
      </c>
      <c r="U852" s="6">
        <f t="shared" ref="U852:U860" si="491">SUM(BL852:BN852)</f>
        <v>0</v>
      </c>
      <c r="V852" s="6"/>
      <c r="W852" s="6">
        <f t="shared" si="486"/>
        <v>0</v>
      </c>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X852" s="6"/>
      <c r="AY852" s="6">
        <f>ROUND(AX852/1000/Update!$B$31*Update!$B$27,0)</f>
        <v>0</v>
      </c>
      <c r="BA852" s="6"/>
      <c r="BB852" s="6">
        <f>ROUND(BA852/1000/Update!$B$31,0)</f>
        <v>0</v>
      </c>
      <c r="BC852" s="6"/>
      <c r="BD852" s="29">
        <f t="shared" si="455"/>
        <v>0</v>
      </c>
      <c r="BE852" s="317"/>
      <c r="BF852" s="317"/>
      <c r="BG852" s="317"/>
      <c r="BH852" s="317"/>
      <c r="BI852" s="317"/>
      <c r="BJ852" s="317"/>
      <c r="BK852" s="29">
        <f t="shared" si="474"/>
        <v>0</v>
      </c>
      <c r="BL852" s="317"/>
      <c r="BM852" s="317"/>
      <c r="BN852" s="317"/>
      <c r="BO852" s="317"/>
      <c r="BP852" s="317"/>
      <c r="BQ852" s="317"/>
      <c r="BR852" s="317"/>
      <c r="BS852" s="317"/>
      <c r="BT852" s="317"/>
      <c r="BU852" s="317"/>
      <c r="BV852" s="317"/>
      <c r="BW852" s="317"/>
      <c r="BX852" s="317"/>
      <c r="BY852" s="317"/>
      <c r="BZ852" s="317"/>
      <c r="CA852" s="317"/>
      <c r="CB852" s="317"/>
      <c r="CC852" s="317"/>
      <c r="CD852" s="317"/>
      <c r="CE852" s="317"/>
      <c r="CF852" s="317"/>
      <c r="CG852" s="317"/>
      <c r="CH852" s="317"/>
      <c r="CI852" s="317"/>
      <c r="CM852" s="1139">
        <v>0</v>
      </c>
      <c r="CN852" s="1139">
        <v>0</v>
      </c>
      <c r="CP852" s="923">
        <f t="shared" si="484"/>
        <v>0</v>
      </c>
      <c r="CZ852" s="330"/>
    </row>
    <row r="853" spans="1:104" ht="30" customHeight="1" x14ac:dyDescent="0.25">
      <c r="A853" s="684">
        <f>MAX($A$6:A852)+1</f>
        <v>853</v>
      </c>
      <c r="B853" s="3">
        <f t="shared" si="485"/>
        <v>6.1</v>
      </c>
      <c r="C853" s="11" t="str">
        <f>C850</f>
        <v>Consolidated intangible assets 2025-26</v>
      </c>
      <c r="D853" s="11" t="s">
        <v>201</v>
      </c>
      <c r="E853" s="7" t="s">
        <v>437</v>
      </c>
      <c r="F853" s="7"/>
      <c r="G853" s="1254" t="s">
        <v>437</v>
      </c>
      <c r="H853" s="6">
        <v>0</v>
      </c>
      <c r="I853" s="6">
        <v>0</v>
      </c>
      <c r="J853" s="1257" t="s">
        <v>437</v>
      </c>
      <c r="K853" s="251">
        <f>SUMIF('alb Note 6.1 -  Intangibles CY'!$A:$A,$J853,'alb Note 6.1 -  Intangibles CY'!$C:$C)</f>
        <v>0</v>
      </c>
      <c r="L853" s="251">
        <f>SUMIF('alb Note 6.1 -  Intangibles CY'!$A:$A,$J853,'alb Note 6.1 -  Intangibles CY'!$N:$N)</f>
        <v>0</v>
      </c>
      <c r="M853" s="10"/>
      <c r="N853" s="273">
        <f t="shared" si="489"/>
        <v>0</v>
      </c>
      <c r="O853" s="12"/>
      <c r="P853" s="12"/>
      <c r="Q853" s="12"/>
      <c r="R853" s="12"/>
      <c r="S853" s="6">
        <f t="shared" si="483"/>
        <v>0</v>
      </c>
      <c r="T853" s="273">
        <f t="shared" si="490"/>
        <v>0</v>
      </c>
      <c r="U853" s="6">
        <f t="shared" si="491"/>
        <v>0</v>
      </c>
      <c r="V853" s="6"/>
      <c r="W853" s="6">
        <f t="shared" si="486"/>
        <v>0</v>
      </c>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X853" s="6"/>
      <c r="AY853" s="6">
        <f>ROUND(AX853/1000/Update!$B$31*Update!$B$27,0)</f>
        <v>0</v>
      </c>
      <c r="BA853" s="6"/>
      <c r="BB853" s="6">
        <f>ROUND(BA853/1000/Update!$B$31,0)</f>
        <v>0</v>
      </c>
      <c r="BC853" s="6"/>
      <c r="BD853" s="29">
        <f t="shared" si="455"/>
        <v>0</v>
      </c>
      <c r="BE853" s="317"/>
      <c r="BF853" s="317"/>
      <c r="BG853" s="317"/>
      <c r="BH853" s="317"/>
      <c r="BI853" s="317"/>
      <c r="BJ853" s="317"/>
      <c r="BK853" s="29">
        <f t="shared" si="474"/>
        <v>0</v>
      </c>
      <c r="BL853" s="317"/>
      <c r="BM853" s="317"/>
      <c r="BN853" s="317"/>
      <c r="BO853" s="317"/>
      <c r="BP853" s="317"/>
      <c r="BQ853" s="317"/>
      <c r="BR853" s="317"/>
      <c r="BS853" s="317"/>
      <c r="BT853" s="317"/>
      <c r="BU853" s="317"/>
      <c r="BV853" s="317"/>
      <c r="BW853" s="317"/>
      <c r="BX853" s="317"/>
      <c r="BY853" s="317"/>
      <c r="BZ853" s="317"/>
      <c r="CA853" s="317"/>
      <c r="CB853" s="317"/>
      <c r="CC853" s="317"/>
      <c r="CD853" s="317"/>
      <c r="CE853" s="317"/>
      <c r="CF853" s="317"/>
      <c r="CG853" s="317"/>
      <c r="CH853" s="317"/>
      <c r="CI853" s="317"/>
      <c r="CM853" s="1139">
        <v>0</v>
      </c>
      <c r="CN853" s="1139">
        <v>0</v>
      </c>
      <c r="CP853" s="923">
        <f t="shared" si="484"/>
        <v>0</v>
      </c>
      <c r="CZ853" s="330"/>
    </row>
    <row r="854" spans="1:104" ht="15" customHeight="1" x14ac:dyDescent="0.25">
      <c r="A854" s="684">
        <f>MAX($A$6:A853)+1</f>
        <v>854</v>
      </c>
      <c r="B854" s="3">
        <f t="shared" si="485"/>
        <v>6.1</v>
      </c>
      <c r="C854" s="11" t="str">
        <f>C851</f>
        <v>Consolidated intangible assets 2025-26</v>
      </c>
      <c r="D854" s="11" t="s">
        <v>201</v>
      </c>
      <c r="E854" s="7" t="s">
        <v>187</v>
      </c>
      <c r="F854" s="7"/>
      <c r="G854" s="1257" t="s">
        <v>187</v>
      </c>
      <c r="H854" s="6">
        <v>0</v>
      </c>
      <c r="I854" s="6">
        <v>0</v>
      </c>
      <c r="J854" s="1257" t="s">
        <v>187</v>
      </c>
      <c r="K854" s="251">
        <f>SUMIF('alb Note 6.1 -  Intangibles CY'!$A:$A,$J854,'alb Note 6.1 -  Intangibles CY'!$C:$C)</f>
        <v>0</v>
      </c>
      <c r="L854" s="251">
        <f>SUMIF('alb Note 6.1 -  Intangibles CY'!$A:$A,$J854,'alb Note 6.1 -  Intangibles CY'!$N:$N)</f>
        <v>0</v>
      </c>
      <c r="M854" s="10"/>
      <c r="N854" s="273">
        <f t="shared" si="489"/>
        <v>0</v>
      </c>
      <c r="O854" s="12"/>
      <c r="P854" s="12"/>
      <c r="Q854" s="12"/>
      <c r="R854" s="12"/>
      <c r="S854" s="6">
        <f t="shared" si="483"/>
        <v>0</v>
      </c>
      <c r="T854" s="273">
        <f t="shared" si="490"/>
        <v>0</v>
      </c>
      <c r="U854" s="6">
        <f t="shared" si="491"/>
        <v>0</v>
      </c>
      <c r="V854" s="6"/>
      <c r="W854" s="6">
        <f t="shared" si="486"/>
        <v>0</v>
      </c>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X854" s="6"/>
      <c r="AY854" s="6">
        <f>ROUND(AX854/1000/Update!$B$31*Update!$B$27,0)</f>
        <v>0</v>
      </c>
      <c r="BA854" s="6"/>
      <c r="BB854" s="6">
        <f>ROUND(BA854/1000/Update!$B$31,0)</f>
        <v>0</v>
      </c>
      <c r="BC854" s="6"/>
      <c r="BD854" s="29">
        <f t="shared" si="455"/>
        <v>0</v>
      </c>
      <c r="BE854" s="317"/>
      <c r="BF854" s="317"/>
      <c r="BG854" s="317"/>
      <c r="BH854" s="317"/>
      <c r="BI854" s="317"/>
      <c r="BJ854" s="317"/>
      <c r="BK854" s="29">
        <f t="shared" si="474"/>
        <v>0</v>
      </c>
      <c r="BL854" s="317"/>
      <c r="BM854" s="317"/>
      <c r="BN854" s="317"/>
      <c r="BO854" s="317"/>
      <c r="BP854" s="317"/>
      <c r="BQ854" s="317"/>
      <c r="BR854" s="317"/>
      <c r="BS854" s="317"/>
      <c r="BT854" s="317"/>
      <c r="BU854" s="317"/>
      <c r="BV854" s="317"/>
      <c r="BW854" s="317"/>
      <c r="BX854" s="317"/>
      <c r="BY854" s="317"/>
      <c r="BZ854" s="317"/>
      <c r="CA854" s="317"/>
      <c r="CB854" s="317"/>
      <c r="CC854" s="317"/>
      <c r="CD854" s="317"/>
      <c r="CE854" s="317"/>
      <c r="CF854" s="317"/>
      <c r="CG854" s="317"/>
      <c r="CH854" s="317"/>
      <c r="CI854" s="317"/>
      <c r="CM854" s="1139">
        <v>0</v>
      </c>
      <c r="CN854" s="1139">
        <v>0</v>
      </c>
      <c r="CP854" s="923">
        <f t="shared" si="484"/>
        <v>0</v>
      </c>
      <c r="CZ854" s="330"/>
    </row>
    <row r="855" spans="1:104" ht="15" customHeight="1" x14ac:dyDescent="0.25">
      <c r="A855" s="684">
        <f>MAX($A$6:A854)+1</f>
        <v>855</v>
      </c>
      <c r="B855" s="3">
        <f t="shared" si="485"/>
        <v>6.1</v>
      </c>
      <c r="C855" s="11" t="str">
        <f>C852</f>
        <v>Consolidated intangible assets 2025-26</v>
      </c>
      <c r="D855" s="11" t="s">
        <v>201</v>
      </c>
      <c r="E855" s="7" t="s">
        <v>191</v>
      </c>
      <c r="F855" s="7"/>
      <c r="G855" s="1254" t="s">
        <v>457</v>
      </c>
      <c r="H855" s="6">
        <v>0</v>
      </c>
      <c r="I855" s="6">
        <v>0</v>
      </c>
      <c r="J855" s="1257" t="s">
        <v>191</v>
      </c>
      <c r="K855" s="251">
        <f>SUMIF('alb Note 6.1 -  Intangibles CY'!$A:$A,$J855,'alb Note 6.1 -  Intangibles CY'!$C:$C)</f>
        <v>0</v>
      </c>
      <c r="L855" s="251">
        <f>SUMIF('alb Note 6.1 -  Intangibles CY'!$A:$A,$J855,'alb Note 6.1 -  Intangibles CY'!$N:$N)</f>
        <v>0</v>
      </c>
      <c r="M855" s="10"/>
      <c r="N855" s="273">
        <f t="shared" si="489"/>
        <v>0</v>
      </c>
      <c r="O855" s="12"/>
      <c r="P855" s="12"/>
      <c r="Q855" s="12"/>
      <c r="R855" s="12"/>
      <c r="S855" s="6">
        <f t="shared" si="483"/>
        <v>0</v>
      </c>
      <c r="T855" s="273">
        <f t="shared" si="490"/>
        <v>0</v>
      </c>
      <c r="U855" s="6">
        <f t="shared" si="491"/>
        <v>0</v>
      </c>
      <c r="V855" s="6"/>
      <c r="W855" s="6">
        <f t="shared" si="486"/>
        <v>0</v>
      </c>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X855" s="6"/>
      <c r="AY855" s="6">
        <f>ROUND(AX855/1000/Update!$B$31*Update!$B$27,0)</f>
        <v>0</v>
      </c>
      <c r="BA855" s="6"/>
      <c r="BB855" s="6">
        <f>ROUND(BA855/1000/Update!$B$31,0)</f>
        <v>0</v>
      </c>
      <c r="BC855" s="6"/>
      <c r="BD855" s="29">
        <f t="shared" si="455"/>
        <v>0</v>
      </c>
      <c r="BE855" s="317"/>
      <c r="BF855" s="317"/>
      <c r="BG855" s="317"/>
      <c r="BH855" s="317"/>
      <c r="BI855" s="317"/>
      <c r="BJ855" s="317"/>
      <c r="BK855" s="29">
        <f t="shared" si="474"/>
        <v>0</v>
      </c>
      <c r="BL855" s="317"/>
      <c r="BM855" s="317"/>
      <c r="BN855" s="317"/>
      <c r="BO855" s="317"/>
      <c r="BP855" s="317"/>
      <c r="BQ855" s="317"/>
      <c r="BR855" s="317"/>
      <c r="BS855" s="317"/>
      <c r="BT855" s="317"/>
      <c r="BU855" s="317"/>
      <c r="BV855" s="317"/>
      <c r="BW855" s="317"/>
      <c r="BX855" s="317"/>
      <c r="BY855" s="317"/>
      <c r="BZ855" s="317"/>
      <c r="CA855" s="317"/>
      <c r="CB855" s="317"/>
      <c r="CC855" s="317"/>
      <c r="CD855" s="317"/>
      <c r="CE855" s="317"/>
      <c r="CF855" s="317"/>
      <c r="CG855" s="317"/>
      <c r="CH855" s="317"/>
      <c r="CI855" s="317"/>
      <c r="CM855" s="1139">
        <v>0</v>
      </c>
      <c r="CN855" s="1139">
        <v>0</v>
      </c>
      <c r="CP855" s="923">
        <f t="shared" si="484"/>
        <v>0</v>
      </c>
      <c r="CZ855" s="330"/>
    </row>
    <row r="856" spans="1:104" ht="15" customHeight="1" x14ac:dyDescent="0.25">
      <c r="A856" s="684">
        <f>MAX($A$6:A855)+1</f>
        <v>856</v>
      </c>
      <c r="B856" s="3">
        <f t="shared" si="485"/>
        <v>6.1</v>
      </c>
      <c r="C856" s="11" t="str">
        <f t="shared" si="475"/>
        <v>Consolidated intangible assets 2025-26</v>
      </c>
      <c r="D856" s="11" t="s">
        <v>201</v>
      </c>
      <c r="E856" s="7" t="s">
        <v>186</v>
      </c>
      <c r="F856" s="7"/>
      <c r="G856" s="1254" t="s">
        <v>186</v>
      </c>
      <c r="H856" s="6">
        <v>0</v>
      </c>
      <c r="I856" s="6">
        <v>0</v>
      </c>
      <c r="J856" s="1257" t="s">
        <v>186</v>
      </c>
      <c r="K856" s="251">
        <f>SUMIF('alb Note 6.1 -  Intangibles CY'!$A:$A,$J856,'alb Note 6.1 -  Intangibles CY'!$C:$C)</f>
        <v>0</v>
      </c>
      <c r="L856" s="251">
        <f>SUMIF('alb Note 6.1 -  Intangibles CY'!$A:$A,$J856,'alb Note 6.1 -  Intangibles CY'!$N:$N)</f>
        <v>0</v>
      </c>
      <c r="M856" s="10"/>
      <c r="N856" s="273">
        <f t="shared" si="489"/>
        <v>0</v>
      </c>
      <c r="O856" s="12"/>
      <c r="P856" s="12"/>
      <c r="Q856" s="12"/>
      <c r="R856" s="12"/>
      <c r="S856" s="6">
        <f t="shared" si="483"/>
        <v>0</v>
      </c>
      <c r="T856" s="273">
        <f t="shared" si="490"/>
        <v>0</v>
      </c>
      <c r="U856" s="6">
        <f t="shared" si="491"/>
        <v>0</v>
      </c>
      <c r="V856" s="6"/>
      <c r="W856" s="6">
        <f t="shared" si="486"/>
        <v>0</v>
      </c>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X856" s="6"/>
      <c r="AY856" s="6">
        <f>ROUND(AX856/1000/Update!$B$31*Update!$B$27,0)</f>
        <v>0</v>
      </c>
      <c r="BA856" s="6"/>
      <c r="BB856" s="6">
        <f>ROUND(BA856/1000/Update!$B$31,0)</f>
        <v>0</v>
      </c>
      <c r="BC856" s="6"/>
      <c r="BD856" s="29">
        <f t="shared" si="455"/>
        <v>0</v>
      </c>
      <c r="BE856" s="317"/>
      <c r="BF856" s="317"/>
      <c r="BG856" s="317"/>
      <c r="BH856" s="317"/>
      <c r="BI856" s="317"/>
      <c r="BJ856" s="317"/>
      <c r="BK856" s="29">
        <f t="shared" si="474"/>
        <v>0</v>
      </c>
      <c r="BL856" s="317"/>
      <c r="BM856" s="317"/>
      <c r="BN856" s="317"/>
      <c r="BO856" s="317"/>
      <c r="BP856" s="317"/>
      <c r="BQ856" s="317"/>
      <c r="BR856" s="317"/>
      <c r="BS856" s="317"/>
      <c r="BT856" s="317"/>
      <c r="BU856" s="317"/>
      <c r="BV856" s="317"/>
      <c r="BW856" s="317"/>
      <c r="BX856" s="317"/>
      <c r="BY856" s="317"/>
      <c r="BZ856" s="317"/>
      <c r="CA856" s="317"/>
      <c r="CB856" s="317"/>
      <c r="CC856" s="317"/>
      <c r="CD856" s="317"/>
      <c r="CE856" s="317"/>
      <c r="CF856" s="317"/>
      <c r="CG856" s="317"/>
      <c r="CH856" s="317"/>
      <c r="CI856" s="317"/>
      <c r="CM856" s="1139">
        <v>0</v>
      </c>
      <c r="CN856" s="1139">
        <v>0</v>
      </c>
      <c r="CP856" s="923">
        <f t="shared" si="484"/>
        <v>0</v>
      </c>
      <c r="CZ856" s="330"/>
    </row>
    <row r="857" spans="1:104" ht="15" customHeight="1" x14ac:dyDescent="0.25">
      <c r="A857" s="684">
        <f>MAX($A$6:A856)+1</f>
        <v>857</v>
      </c>
      <c r="B857" s="3">
        <f t="shared" si="485"/>
        <v>6.1</v>
      </c>
      <c r="C857" s="11" t="str">
        <f t="shared" si="475"/>
        <v>Consolidated intangible assets 2025-26</v>
      </c>
      <c r="D857" s="11" t="s">
        <v>201</v>
      </c>
      <c r="E857" s="7" t="s">
        <v>188</v>
      </c>
      <c r="F857" s="7"/>
      <c r="G857" s="1254" t="s">
        <v>188</v>
      </c>
      <c r="H857" s="6">
        <v>0</v>
      </c>
      <c r="I857" s="6">
        <v>0</v>
      </c>
      <c r="J857" s="1257" t="s">
        <v>188</v>
      </c>
      <c r="K857" s="251">
        <f>SUMIF('alb Note 6.1 -  Intangibles CY'!$A:$A,$J857,'alb Note 6.1 -  Intangibles CY'!$C:$C)</f>
        <v>0</v>
      </c>
      <c r="L857" s="251">
        <f>SUMIF('alb Note 6.1 -  Intangibles CY'!$A:$A,$J857,'alb Note 6.1 -  Intangibles CY'!$N:$N)</f>
        <v>0</v>
      </c>
      <c r="M857" s="10"/>
      <c r="N857" s="273">
        <f t="shared" si="489"/>
        <v>0</v>
      </c>
      <c r="O857" s="12"/>
      <c r="P857" s="12"/>
      <c r="Q857" s="12"/>
      <c r="R857" s="12"/>
      <c r="S857" s="6">
        <f t="shared" si="483"/>
        <v>0</v>
      </c>
      <c r="T857" s="273">
        <f t="shared" si="490"/>
        <v>0</v>
      </c>
      <c r="U857" s="6">
        <f t="shared" si="491"/>
        <v>0</v>
      </c>
      <c r="V857" s="6"/>
      <c r="W857" s="6">
        <f t="shared" si="486"/>
        <v>0</v>
      </c>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X857" s="6"/>
      <c r="AY857" s="6">
        <f>ROUND(AX857/1000/Update!$B$31*Update!$B$27,0)</f>
        <v>0</v>
      </c>
      <c r="BA857" s="6"/>
      <c r="BB857" s="6">
        <f>ROUND(BA857/1000/Update!$B$31,0)</f>
        <v>0</v>
      </c>
      <c r="BC857" s="6"/>
      <c r="BD857" s="29">
        <f t="shared" si="455"/>
        <v>0</v>
      </c>
      <c r="BE857" s="317"/>
      <c r="BF857" s="317"/>
      <c r="BG857" s="317"/>
      <c r="BH857" s="317"/>
      <c r="BI857" s="317"/>
      <c r="BJ857" s="317"/>
      <c r="BK857" s="29">
        <f t="shared" si="474"/>
        <v>0</v>
      </c>
      <c r="BL857" s="317"/>
      <c r="BM857" s="317"/>
      <c r="BN857" s="317"/>
      <c r="BO857" s="317"/>
      <c r="BP857" s="317"/>
      <c r="BQ857" s="317"/>
      <c r="BR857" s="317"/>
      <c r="BS857" s="317"/>
      <c r="BT857" s="317"/>
      <c r="BU857" s="317"/>
      <c r="BV857" s="317"/>
      <c r="BW857" s="317"/>
      <c r="BX857" s="317"/>
      <c r="BY857" s="317"/>
      <c r="BZ857" s="317"/>
      <c r="CA857" s="317"/>
      <c r="CB857" s="317"/>
      <c r="CC857" s="317"/>
      <c r="CD857" s="317"/>
      <c r="CE857" s="317"/>
      <c r="CF857" s="317"/>
      <c r="CG857" s="317"/>
      <c r="CH857" s="317"/>
      <c r="CI857" s="317"/>
      <c r="CM857" s="1139">
        <v>0</v>
      </c>
      <c r="CN857" s="1139">
        <v>0</v>
      </c>
      <c r="CP857" s="923">
        <f t="shared" si="484"/>
        <v>0</v>
      </c>
      <c r="CZ857" s="330"/>
    </row>
    <row r="858" spans="1:104" ht="30" customHeight="1" x14ac:dyDescent="0.25">
      <c r="A858" s="684">
        <f>MAX($A$6:A857)+1</f>
        <v>858</v>
      </c>
      <c r="B858" s="3">
        <f t="shared" si="485"/>
        <v>6.1</v>
      </c>
      <c r="C858" s="11" t="str">
        <f t="shared" si="475"/>
        <v>Consolidated intangible assets 2025-26</v>
      </c>
      <c r="D858" s="11" t="s">
        <v>201</v>
      </c>
      <c r="E858" s="7" t="s">
        <v>192</v>
      </c>
      <c r="F858" s="7"/>
      <c r="G858" s="1254" t="s">
        <v>438</v>
      </c>
      <c r="H858" s="6">
        <v>0</v>
      </c>
      <c r="I858" s="6">
        <v>0</v>
      </c>
      <c r="J858" s="1257" t="s">
        <v>768</v>
      </c>
      <c r="K858" s="251">
        <f>SUMIF('alb Note 6.1 -  Intangibles CY'!$A:$A,$J858,'alb Note 6.1 -  Intangibles CY'!$C:$C)</f>
        <v>0</v>
      </c>
      <c r="L858" s="251">
        <f>SUMIF('alb Note 6.1 -  Intangibles CY'!$A:$A,$J858,'alb Note 6.1 -  Intangibles CY'!$N:$N)</f>
        <v>0</v>
      </c>
      <c r="M858" s="10"/>
      <c r="N858" s="273">
        <f t="shared" si="489"/>
        <v>0</v>
      </c>
      <c r="O858" s="12"/>
      <c r="P858" s="12"/>
      <c r="Q858" s="12"/>
      <c r="R858" s="12"/>
      <c r="S858" s="6">
        <f t="shared" si="483"/>
        <v>0</v>
      </c>
      <c r="T858" s="273">
        <f t="shared" si="490"/>
        <v>0</v>
      </c>
      <c r="U858" s="6">
        <f t="shared" si="491"/>
        <v>0</v>
      </c>
      <c r="V858" s="6"/>
      <c r="W858" s="6">
        <f t="shared" si="486"/>
        <v>0</v>
      </c>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X858" s="6"/>
      <c r="AY858" s="6">
        <f>ROUND(AX858/1000/Update!$B$31*Update!$B$27,0)</f>
        <v>0</v>
      </c>
      <c r="BA858" s="6"/>
      <c r="BB858" s="6">
        <f>ROUND(BA858/1000/Update!$B$31,0)</f>
        <v>0</v>
      </c>
      <c r="BC858" s="6"/>
      <c r="BD858" s="29">
        <f t="shared" si="455"/>
        <v>0</v>
      </c>
      <c r="BE858" s="317"/>
      <c r="BF858" s="317"/>
      <c r="BG858" s="317"/>
      <c r="BH858" s="317"/>
      <c r="BI858" s="317"/>
      <c r="BJ858" s="317"/>
      <c r="BK858" s="29">
        <f t="shared" si="474"/>
        <v>0</v>
      </c>
      <c r="BL858" s="317"/>
      <c r="BM858" s="317"/>
      <c r="BN858" s="317"/>
      <c r="BO858" s="317"/>
      <c r="BP858" s="317"/>
      <c r="BQ858" s="317"/>
      <c r="BR858" s="317"/>
      <c r="BS858" s="317"/>
      <c r="BT858" s="317"/>
      <c r="BU858" s="317"/>
      <c r="BV858" s="317"/>
      <c r="BW858" s="317"/>
      <c r="BX858" s="317"/>
      <c r="BY858" s="317"/>
      <c r="BZ858" s="317"/>
      <c r="CA858" s="317"/>
      <c r="CB858" s="317"/>
      <c r="CC858" s="317"/>
      <c r="CD858" s="317"/>
      <c r="CE858" s="317"/>
      <c r="CF858" s="317"/>
      <c r="CG858" s="317"/>
      <c r="CH858" s="317"/>
      <c r="CI858" s="317"/>
      <c r="CM858" s="1139">
        <v>0</v>
      </c>
      <c r="CN858" s="1139">
        <v>0</v>
      </c>
      <c r="CP858" s="923">
        <f t="shared" si="484"/>
        <v>0</v>
      </c>
      <c r="CZ858" s="330"/>
    </row>
    <row r="859" spans="1:104" ht="51" customHeight="1" x14ac:dyDescent="0.25">
      <c r="A859" s="684">
        <f>MAX($A$6:A858)+1</f>
        <v>859</v>
      </c>
      <c r="B859" s="3">
        <f t="shared" si="485"/>
        <v>6.1</v>
      </c>
      <c r="C859" s="11" t="str">
        <f t="shared" si="475"/>
        <v>Consolidated intangible assets 2025-26</v>
      </c>
      <c r="D859" s="11" t="s">
        <v>201</v>
      </c>
      <c r="E859" s="7" t="s">
        <v>193</v>
      </c>
      <c r="F859" s="7"/>
      <c r="G859" s="1254" t="s">
        <v>193</v>
      </c>
      <c r="H859" s="6">
        <v>0</v>
      </c>
      <c r="I859" s="6">
        <v>0</v>
      </c>
      <c r="J859" s="1257" t="s">
        <v>767</v>
      </c>
      <c r="K859" s="251">
        <f>SUMIF('alb Note 6.1 -  Intangibles CY'!$A:$A,$J859,'alb Note 6.1 -  Intangibles CY'!$C:$C)</f>
        <v>0</v>
      </c>
      <c r="L859" s="251">
        <f>SUMIF('alb Note 6.1 -  Intangibles CY'!$A:$A,$J859,'alb Note 6.1 -  Intangibles CY'!$N:$N)</f>
        <v>0</v>
      </c>
      <c r="M859" s="10"/>
      <c r="N859" s="273">
        <f t="shared" si="489"/>
        <v>0</v>
      </c>
      <c r="O859" s="12"/>
      <c r="P859" s="12"/>
      <c r="Q859" s="12"/>
      <c r="R859" s="12"/>
      <c r="S859" s="6">
        <f t="shared" si="483"/>
        <v>0</v>
      </c>
      <c r="T859" s="273">
        <f t="shared" si="490"/>
        <v>0</v>
      </c>
      <c r="U859" s="6">
        <f t="shared" si="491"/>
        <v>0</v>
      </c>
      <c r="V859" s="6"/>
      <c r="W859" s="6">
        <f t="shared" si="486"/>
        <v>0</v>
      </c>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X859" s="6"/>
      <c r="AY859" s="6">
        <f>ROUND(AX859/1000/Update!$B$31*Update!$B$27,0)</f>
        <v>0</v>
      </c>
      <c r="BA859" s="6"/>
      <c r="BB859" s="6">
        <f>ROUND(BA859/1000/Update!$B$31,0)</f>
        <v>0</v>
      </c>
      <c r="BC859" s="6"/>
      <c r="BD859" s="29">
        <f t="shared" ref="BD859:BD922" si="492">ROUND(SUM(BE859:BK859),0)</f>
        <v>0</v>
      </c>
      <c r="BE859" s="317"/>
      <c r="BF859" s="317"/>
      <c r="BG859" s="317"/>
      <c r="BH859" s="317"/>
      <c r="BI859" s="317"/>
      <c r="BJ859" s="317"/>
      <c r="BK859" s="29">
        <f t="shared" si="474"/>
        <v>0</v>
      </c>
      <c r="BL859" s="317"/>
      <c r="BM859" s="317"/>
      <c r="BN859" s="317"/>
      <c r="BO859" s="317"/>
      <c r="BP859" s="317"/>
      <c r="BQ859" s="317"/>
      <c r="BR859" s="317"/>
      <c r="BS859" s="317"/>
      <c r="BT859" s="317"/>
      <c r="BU859" s="317"/>
      <c r="BV859" s="317"/>
      <c r="BW859" s="317"/>
      <c r="BX859" s="317"/>
      <c r="BY859" s="317"/>
      <c r="BZ859" s="317"/>
      <c r="CA859" s="317"/>
      <c r="CB859" s="317"/>
      <c r="CC859" s="317"/>
      <c r="CD859" s="317"/>
      <c r="CE859" s="317"/>
      <c r="CF859" s="317"/>
      <c r="CG859" s="317"/>
      <c r="CH859" s="317"/>
      <c r="CI859" s="317"/>
      <c r="CM859" s="1139">
        <v>0</v>
      </c>
      <c r="CN859" s="1139">
        <v>0</v>
      </c>
      <c r="CP859" s="923">
        <f t="shared" si="484"/>
        <v>0</v>
      </c>
      <c r="CZ859" s="330"/>
    </row>
    <row r="860" spans="1:104" ht="15" customHeight="1" x14ac:dyDescent="0.25">
      <c r="A860" s="684">
        <f>MAX($A$6:A859)+1</f>
        <v>860</v>
      </c>
      <c r="B860" s="3">
        <f t="shared" si="485"/>
        <v>6.1</v>
      </c>
      <c r="C860" s="11" t="str">
        <f t="shared" si="475"/>
        <v>Consolidated intangible assets 2025-26</v>
      </c>
      <c r="D860" s="11" t="s">
        <v>201</v>
      </c>
      <c r="E860" s="7" t="s">
        <v>189</v>
      </c>
      <c r="F860" s="7"/>
      <c r="G860" s="1254" t="s">
        <v>189</v>
      </c>
      <c r="H860" s="6">
        <v>0</v>
      </c>
      <c r="I860" s="6">
        <v>0</v>
      </c>
      <c r="J860" s="1257" t="s">
        <v>557</v>
      </c>
      <c r="K860" s="251">
        <f>SUMIF('alb Note 6.1 -  Intangibles CY'!$A:$A,$J860,'alb Note 6.1 -  Intangibles CY'!$C:$C)</f>
        <v>0</v>
      </c>
      <c r="L860" s="251">
        <f>SUMIF('alb Note 6.1 -  Intangibles CY'!$A:$A,$J860,'alb Note 6.1 -  Intangibles CY'!$N:$N)</f>
        <v>0</v>
      </c>
      <c r="M860" s="10"/>
      <c r="N860" s="273">
        <f t="shared" si="489"/>
        <v>0</v>
      </c>
      <c r="O860" s="12"/>
      <c r="P860" s="12"/>
      <c r="Q860" s="12"/>
      <c r="R860" s="12"/>
      <c r="S860" s="6">
        <f t="shared" si="483"/>
        <v>0</v>
      </c>
      <c r="T860" s="273">
        <f t="shared" si="490"/>
        <v>0</v>
      </c>
      <c r="U860" s="6">
        <f t="shared" si="491"/>
        <v>0</v>
      </c>
      <c r="V860" s="6"/>
      <c r="W860" s="6">
        <f t="shared" si="486"/>
        <v>0</v>
      </c>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X860" s="6"/>
      <c r="AY860" s="6">
        <f>ROUND(AX860/1000/Update!$B$31*Update!$B$27,0)</f>
        <v>0</v>
      </c>
      <c r="BA860" s="6"/>
      <c r="BB860" s="6">
        <f>ROUND(BA860/1000/Update!$B$31,0)</f>
        <v>0</v>
      </c>
      <c r="BC860" s="6"/>
      <c r="BD860" s="29">
        <f t="shared" si="492"/>
        <v>0</v>
      </c>
      <c r="BE860" s="317"/>
      <c r="BF860" s="317"/>
      <c r="BG860" s="317"/>
      <c r="BH860" s="317"/>
      <c r="BI860" s="317"/>
      <c r="BJ860" s="317"/>
      <c r="BK860" s="29">
        <f t="shared" si="474"/>
        <v>0</v>
      </c>
      <c r="BL860" s="317"/>
      <c r="BM860" s="317"/>
      <c r="BN860" s="317"/>
      <c r="BO860" s="317"/>
      <c r="BP860" s="317"/>
      <c r="BQ860" s="317"/>
      <c r="BR860" s="317"/>
      <c r="BS860" s="317"/>
      <c r="BT860" s="317"/>
      <c r="BU860" s="317"/>
      <c r="BV860" s="317"/>
      <c r="BW860" s="317"/>
      <c r="BX860" s="317"/>
      <c r="BY860" s="317"/>
      <c r="BZ860" s="317"/>
      <c r="CA860" s="317"/>
      <c r="CB860" s="317"/>
      <c r="CC860" s="317"/>
      <c r="CD860" s="317"/>
      <c r="CE860" s="317"/>
      <c r="CF860" s="317"/>
      <c r="CG860" s="317"/>
      <c r="CH860" s="317"/>
      <c r="CI860" s="317"/>
      <c r="CM860" s="1139">
        <v>0</v>
      </c>
      <c r="CN860" s="1139">
        <v>0</v>
      </c>
      <c r="CP860" s="923">
        <f t="shared" si="484"/>
        <v>0</v>
      </c>
      <c r="CZ860" s="330"/>
    </row>
    <row r="861" spans="1:104" ht="15" customHeight="1" x14ac:dyDescent="0.25">
      <c r="A861" s="701">
        <f>MAX($A$6:A860)+1</f>
        <v>861</v>
      </c>
      <c r="B861" s="1291">
        <f t="shared" si="485"/>
        <v>6.1</v>
      </c>
      <c r="C861" s="18" t="str">
        <f t="shared" si="475"/>
        <v>Consolidated intangible assets 2025-26</v>
      </c>
      <c r="D861" s="18" t="s">
        <v>201</v>
      </c>
      <c r="E861" s="19" t="str">
        <f>"At"&amp;Update!$B$22</f>
        <v>At 31 March 2026</v>
      </c>
      <c r="F861" s="20"/>
      <c r="G861" s="28"/>
      <c r="H861" s="14">
        <f>SUM(H851:H860)</f>
        <v>0</v>
      </c>
      <c r="I861" s="14">
        <f>SUM(I851:I860)</f>
        <v>0</v>
      </c>
      <c r="J861" s="1258" t="s">
        <v>286</v>
      </c>
      <c r="K861" s="256">
        <f>SUM(K851:K860)</f>
        <v>0</v>
      </c>
      <c r="L861" s="256">
        <f>SUM(L851:L860)</f>
        <v>0</v>
      </c>
      <c r="M861" s="21"/>
      <c r="N861" s="14">
        <f>ROUND(SUM(O861:S861)+T861+SUM(Z861:AV861),0)</f>
        <v>0</v>
      </c>
      <c r="O861" s="14">
        <f t="shared" ref="O861:V861" si="493">SUM(O851:O860)</f>
        <v>0</v>
      </c>
      <c r="P861" s="14">
        <f t="shared" si="493"/>
        <v>0</v>
      </c>
      <c r="Q861" s="14">
        <f t="shared" si="493"/>
        <v>0</v>
      </c>
      <c r="R861" s="14">
        <f t="shared" si="493"/>
        <v>0</v>
      </c>
      <c r="S861" s="14">
        <f t="shared" si="483"/>
        <v>0</v>
      </c>
      <c r="T861" s="14">
        <f t="shared" si="493"/>
        <v>0</v>
      </c>
      <c r="U861" s="14">
        <f>SUM(U851:U860)</f>
        <v>0</v>
      </c>
      <c r="V861" s="14">
        <f t="shared" si="493"/>
        <v>0</v>
      </c>
      <c r="W861" s="14">
        <f>SUM(W851:W860)</f>
        <v>0</v>
      </c>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2"/>
      <c r="AX861" s="14">
        <f>SUM(AX851:AX860)</f>
        <v>0</v>
      </c>
      <c r="AY861" s="14">
        <f>ROUND(AX861/1000/Update!$B$31*Update!$B$27,0)</f>
        <v>0</v>
      </c>
      <c r="AZ861" s="2"/>
      <c r="BA861" s="14">
        <f>SUM(BA851:BA860)</f>
        <v>0</v>
      </c>
      <c r="BB861" s="14">
        <f>ROUND(BA861/1000/Update!$B$31,0)</f>
        <v>0</v>
      </c>
      <c r="BC861" s="14"/>
      <c r="BD861" s="14">
        <f t="shared" si="492"/>
        <v>0</v>
      </c>
      <c r="BE861" s="318">
        <f t="shared" ref="BE861:BJ861" si="494">SUM(BE851:BE860)</f>
        <v>0</v>
      </c>
      <c r="BF861" s="318">
        <f t="shared" si="494"/>
        <v>0</v>
      </c>
      <c r="BG861" s="318">
        <f t="shared" si="494"/>
        <v>0</v>
      </c>
      <c r="BH861" s="318">
        <f t="shared" si="494"/>
        <v>0</v>
      </c>
      <c r="BI861" s="318">
        <f t="shared" si="494"/>
        <v>0</v>
      </c>
      <c r="BJ861" s="318">
        <f t="shared" si="494"/>
        <v>0</v>
      </c>
      <c r="BK861" s="14">
        <f t="shared" si="474"/>
        <v>0</v>
      </c>
      <c r="BL861" s="318"/>
      <c r="BM861" s="318"/>
      <c r="BN861" s="318"/>
      <c r="BO861" s="318"/>
      <c r="BP861" s="318"/>
      <c r="BQ861" s="318"/>
      <c r="BR861" s="318"/>
      <c r="BS861" s="318"/>
      <c r="BT861" s="318"/>
      <c r="BU861" s="318"/>
      <c r="BV861" s="318"/>
      <c r="BW861" s="318"/>
      <c r="BX861" s="318"/>
      <c r="BY861" s="318"/>
      <c r="BZ861" s="318"/>
      <c r="CA861" s="318"/>
      <c r="CB861" s="318"/>
      <c r="CC861" s="318"/>
      <c r="CD861" s="318"/>
      <c r="CE861" s="318"/>
      <c r="CF861" s="318"/>
      <c r="CG861" s="318"/>
      <c r="CH861" s="318"/>
      <c r="CI861" s="318"/>
      <c r="CJ861" s="2"/>
      <c r="CK861" s="2"/>
      <c r="CM861" s="1140">
        <v>0</v>
      </c>
      <c r="CN861" s="1140">
        <v>0</v>
      </c>
      <c r="CP861" s="923">
        <f t="shared" si="484"/>
        <v>0</v>
      </c>
      <c r="CZ861" s="330"/>
    </row>
    <row r="862" spans="1:104" ht="15" customHeight="1" x14ac:dyDescent="0.25">
      <c r="A862" s="684">
        <f>MAX($A$6:A861)+1</f>
        <v>862</v>
      </c>
      <c r="B862" s="3">
        <f t="shared" si="485"/>
        <v>6.1</v>
      </c>
      <c r="C862" s="11" t="str">
        <f t="shared" si="475"/>
        <v>Consolidated intangible assets 2025-26</v>
      </c>
      <c r="D862" s="11" t="s">
        <v>201</v>
      </c>
      <c r="E862" s="13" t="s">
        <v>161</v>
      </c>
      <c r="F862" s="13"/>
      <c r="G862" s="26"/>
      <c r="H862" s="6"/>
      <c r="I862" s="6"/>
      <c r="J862" s="1257" t="s">
        <v>286</v>
      </c>
      <c r="K862" s="251">
        <f>SUMIF('alb Note 6.1 -  Intangibles CY'!$A:$A,$J862,'alb Note 6.1 -  Intangibles CY'!$C:$C)</f>
        <v>0</v>
      </c>
      <c r="L862" s="251">
        <f>SUMIF('alb Note 6.1 -  Intangibles CY'!$A:$A,$J862,'alb Note 6.1 -  Intangibles CY'!$N:$N)</f>
        <v>0</v>
      </c>
      <c r="M862" s="10"/>
      <c r="N862" s="273">
        <f>ROUND(SUM(O862:S862)+SUM(W862:AV862),0)</f>
        <v>0</v>
      </c>
      <c r="O862" s="12"/>
      <c r="P862" s="12"/>
      <c r="Q862" s="12"/>
      <c r="R862" s="12"/>
      <c r="S862" s="6">
        <f t="shared" si="483"/>
        <v>0</v>
      </c>
      <c r="T862" s="273">
        <f>ROUND(SUM(U862:Y862),0)</f>
        <v>0</v>
      </c>
      <c r="U862" s="6">
        <f>SUM(BL862:BN862)</f>
        <v>0</v>
      </c>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X862" s="6"/>
      <c r="AY862" s="6">
        <f>ROUND(AX862/1000/Update!$B$31*Update!$B$27,0)</f>
        <v>0</v>
      </c>
      <c r="BA862" s="6"/>
      <c r="BB862" s="6">
        <f>ROUND(BA862/1000/Update!$B$31,0)</f>
        <v>0</v>
      </c>
      <c r="BC862" s="6"/>
      <c r="BD862" s="29">
        <f t="shared" si="492"/>
        <v>0</v>
      </c>
      <c r="BE862" s="317"/>
      <c r="BF862" s="317"/>
      <c r="BG862" s="317"/>
      <c r="BH862" s="317"/>
      <c r="BI862" s="317"/>
      <c r="BJ862" s="317"/>
      <c r="BK862" s="29">
        <f t="shared" si="474"/>
        <v>0</v>
      </c>
      <c r="BL862" s="317"/>
      <c r="BM862" s="317"/>
      <c r="BN862" s="317"/>
      <c r="BO862" s="317"/>
      <c r="BP862" s="317"/>
      <c r="BQ862" s="317"/>
      <c r="BR862" s="317"/>
      <c r="BS862" s="317"/>
      <c r="BT862" s="317"/>
      <c r="BU862" s="317"/>
      <c r="BV862" s="317"/>
      <c r="BW862" s="317"/>
      <c r="BX862" s="317"/>
      <c r="BY862" s="317"/>
      <c r="BZ862" s="317"/>
      <c r="CA862" s="317"/>
      <c r="CB862" s="317"/>
      <c r="CC862" s="317"/>
      <c r="CD862" s="317"/>
      <c r="CE862" s="317"/>
      <c r="CF862" s="317"/>
      <c r="CG862" s="317"/>
      <c r="CH862" s="317"/>
      <c r="CI862" s="317"/>
      <c r="CM862" s="1139">
        <v>0</v>
      </c>
      <c r="CN862" s="1139">
        <v>0</v>
      </c>
      <c r="CP862" s="923">
        <f t="shared" si="484"/>
        <v>0</v>
      </c>
      <c r="CZ862" s="330"/>
    </row>
    <row r="863" spans="1:104" ht="15" customHeight="1" x14ac:dyDescent="0.25">
      <c r="A863" s="684">
        <f>MAX($A$6:A862)+1</f>
        <v>863</v>
      </c>
      <c r="B863" s="3">
        <f t="shared" si="485"/>
        <v>6.1</v>
      </c>
      <c r="C863" s="11" t="str">
        <f t="shared" si="475"/>
        <v>Consolidated intangible assets 2025-26</v>
      </c>
      <c r="D863" s="11" t="s">
        <v>201</v>
      </c>
      <c r="E863" s="7" t="str">
        <f>"At"&amp;Update!$B$20&amp;" "</f>
        <v xml:space="preserve">At 1 April 2025 </v>
      </c>
      <c r="F863" s="15"/>
      <c r="G863" s="1267" t="str">
        <f>"At"&amp;Update!$B$20&amp;" "</f>
        <v xml:space="preserve">At 1 April 2025 </v>
      </c>
      <c r="H863" s="6">
        <v>0</v>
      </c>
      <c r="I863" s="6">
        <v>0</v>
      </c>
      <c r="J863" s="1257" t="str">
        <f>$E863</f>
        <v xml:space="preserve">At 1 April 2025 </v>
      </c>
      <c r="K863" s="251">
        <f>SUMIF('alb Note 6.1 -  Intangibles CY'!$A:$A,$J863,'alb Note 6.1 -  Intangibles CY'!$C:$C)</f>
        <v>0</v>
      </c>
      <c r="L863" s="251">
        <f>SUMIF('alb Note 6.1 -  Intangibles CY'!$A:$A,$J863,'alb Note 6.1 -  Intangibles CY'!$N:$N)</f>
        <v>0</v>
      </c>
      <c r="M863" s="10"/>
      <c r="N863" s="273">
        <f>ROUND(SUM(O863:S863)+SUM(W863:AV863),0)</f>
        <v>0</v>
      </c>
      <c r="O863" s="12"/>
      <c r="P863" s="12"/>
      <c r="Q863" s="12"/>
      <c r="R863" s="12"/>
      <c r="S863" s="6">
        <f t="shared" si="483"/>
        <v>0</v>
      </c>
      <c r="T863" s="273">
        <f>ROUND(SUM(U863:Y863),0)</f>
        <v>0</v>
      </c>
      <c r="U863" s="6">
        <f>SUM(BL863:BN863)</f>
        <v>0</v>
      </c>
      <c r="V863" s="6"/>
      <c r="W863" s="6">
        <f t="shared" ref="W863:W874" si="495">+H863</f>
        <v>0</v>
      </c>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X863" s="6"/>
      <c r="AY863" s="6">
        <f>ROUND(AX863/1000/Update!$B$31*Update!$B$27,0)</f>
        <v>0</v>
      </c>
      <c r="BA863" s="6"/>
      <c r="BB863" s="6">
        <f>ROUND(BA863/1000/Update!$B$31,0)</f>
        <v>0</v>
      </c>
      <c r="BC863" s="6"/>
      <c r="BD863" s="273">
        <f t="shared" si="492"/>
        <v>0</v>
      </c>
      <c r="BE863" s="317"/>
      <c r="BF863" s="317"/>
      <c r="BG863" s="317"/>
      <c r="BH863" s="317"/>
      <c r="BI863" s="317"/>
      <c r="BJ863" s="317"/>
      <c r="BK863" s="273">
        <f t="shared" si="474"/>
        <v>0</v>
      </c>
      <c r="BL863" s="317"/>
      <c r="BM863" s="317"/>
      <c r="BN863" s="317"/>
      <c r="BO863" s="317"/>
      <c r="BP863" s="317"/>
      <c r="BQ863" s="317"/>
      <c r="BR863" s="317"/>
      <c r="BS863" s="317"/>
      <c r="BT863" s="317"/>
      <c r="BU863" s="317"/>
      <c r="BV863" s="317"/>
      <c r="BW863" s="317"/>
      <c r="BX863" s="317"/>
      <c r="BY863" s="317"/>
      <c r="BZ863" s="317"/>
      <c r="CA863" s="317"/>
      <c r="CB863" s="317"/>
      <c r="CC863" s="317"/>
      <c r="CD863" s="317"/>
      <c r="CE863" s="317"/>
      <c r="CF863" s="317"/>
      <c r="CG863" s="317"/>
      <c r="CH863" s="317"/>
      <c r="CI863" s="317"/>
      <c r="CM863" s="1139">
        <v>0</v>
      </c>
      <c r="CN863" s="1139">
        <v>0</v>
      </c>
      <c r="CP863" s="923">
        <f t="shared" si="484"/>
        <v>0</v>
      </c>
      <c r="CZ863" s="330"/>
    </row>
    <row r="864" spans="1:104" ht="15" customHeight="1" x14ac:dyDescent="0.25">
      <c r="A864" s="684">
        <f>MAX($A$6:A863)+1</f>
        <v>864</v>
      </c>
      <c r="B864" s="3">
        <f t="shared" si="485"/>
        <v>6.1</v>
      </c>
      <c r="C864" s="11" t="str">
        <f t="shared" si="475"/>
        <v>Consolidated intangible assets 2025-26</v>
      </c>
      <c r="D864" s="11" t="str">
        <f>D863</f>
        <v>Information Technology</v>
      </c>
      <c r="E864" s="7" t="s">
        <v>1417</v>
      </c>
      <c r="F864" s="7"/>
      <c r="G864" s="1254" t="s">
        <v>435</v>
      </c>
      <c r="H864" s="6">
        <v>0</v>
      </c>
      <c r="I864" s="6">
        <v>0</v>
      </c>
      <c r="J864" s="1257" t="s">
        <v>435</v>
      </c>
      <c r="K864" s="251">
        <f>SUMIF('alb Note 6.1 -  Intangibles CY'!$A:$A,$J864,'alb Note 6.1 -  Intangibles CY'!$C:$C)</f>
        <v>0</v>
      </c>
      <c r="L864" s="251">
        <f>SUMIF('alb Note 6.1 -  Intangibles CY'!$A:$A,$J864,'alb Note 6.1 -  Intangibles CY'!$N:$N)</f>
        <v>0</v>
      </c>
      <c r="M864" s="10"/>
      <c r="N864" s="273">
        <f>ROUND(SUM(O864:S864)+SUM(W864:AV864),0)</f>
        <v>0</v>
      </c>
      <c r="O864" s="12"/>
      <c r="P864" s="12"/>
      <c r="Q864" s="12"/>
      <c r="R864" s="12"/>
      <c r="S864" s="6">
        <f t="shared" si="483"/>
        <v>0</v>
      </c>
      <c r="T864" s="273">
        <f>ROUND(SUM(U864:Y864),0)</f>
        <v>0</v>
      </c>
      <c r="U864" s="6">
        <f>SUM(BL864:BN864)</f>
        <v>0</v>
      </c>
      <c r="V864" s="6"/>
      <c r="W864" s="6">
        <f t="shared" si="495"/>
        <v>0</v>
      </c>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X864" s="6"/>
      <c r="AY864" s="6">
        <f>ROUND(AX864/1000/Update!$B$31*Update!$B$27,0)</f>
        <v>0</v>
      </c>
      <c r="BA864" s="6"/>
      <c r="BB864" s="6">
        <f>ROUND(BA864/1000/Update!$B$31,0)</f>
        <v>0</v>
      </c>
      <c r="BC864" s="6"/>
      <c r="BD864" s="273">
        <f t="shared" si="492"/>
        <v>0</v>
      </c>
      <c r="BE864" s="317"/>
      <c r="BF864" s="317"/>
      <c r="BG864" s="317"/>
      <c r="BH864" s="317"/>
      <c r="BI864" s="317"/>
      <c r="BJ864" s="317"/>
      <c r="BK864" s="273">
        <f t="shared" si="474"/>
        <v>0</v>
      </c>
      <c r="BL864" s="317"/>
      <c r="BM864" s="317"/>
      <c r="BN864" s="317"/>
      <c r="BO864" s="317"/>
      <c r="BP864" s="317"/>
      <c r="BQ864" s="317"/>
      <c r="BR864" s="317"/>
      <c r="BS864" s="317"/>
      <c r="BT864" s="317"/>
      <c r="BU864" s="317"/>
      <c r="BV864" s="317"/>
      <c r="BW864" s="317"/>
      <c r="BX864" s="317"/>
      <c r="BY864" s="317"/>
      <c r="BZ864" s="317"/>
      <c r="CA864" s="317"/>
      <c r="CB864" s="317"/>
      <c r="CC864" s="317"/>
      <c r="CD864" s="317"/>
      <c r="CE864" s="317"/>
      <c r="CF864" s="317"/>
      <c r="CG864" s="317"/>
      <c r="CH864" s="317"/>
      <c r="CI864" s="317"/>
      <c r="CM864" s="1139">
        <v>0</v>
      </c>
      <c r="CN864" s="1139">
        <v>0</v>
      </c>
      <c r="CP864" s="923">
        <f t="shared" si="484"/>
        <v>0</v>
      </c>
      <c r="CZ864" s="330"/>
    </row>
    <row r="865" spans="1:104" ht="15" customHeight="1" x14ac:dyDescent="0.25">
      <c r="A865" s="701">
        <f>MAX($A$6:A864)+1</f>
        <v>865</v>
      </c>
      <c r="B865" s="1291">
        <f t="shared" si="485"/>
        <v>6.1</v>
      </c>
      <c r="C865" s="18" t="str">
        <f t="shared" si="475"/>
        <v>Consolidated intangible assets 2025-26</v>
      </c>
      <c r="D865" s="18" t="str">
        <f>D864</f>
        <v>Information Technology</v>
      </c>
      <c r="E865" s="19" t="s">
        <v>869</v>
      </c>
      <c r="F865" s="20"/>
      <c r="G865" s="1278" t="s">
        <v>442</v>
      </c>
      <c r="H865" s="14">
        <f>SUM(H862:H864)</f>
        <v>0</v>
      </c>
      <c r="I865" s="14">
        <f>SUM(I862:I864)</f>
        <v>0</v>
      </c>
      <c r="J865" s="1258" t="s">
        <v>442</v>
      </c>
      <c r="K865" s="256">
        <f>SUM(K862:K864)</f>
        <v>0</v>
      </c>
      <c r="L865" s="256">
        <f>SUM(L862:L864)</f>
        <v>0</v>
      </c>
      <c r="M865" s="21"/>
      <c r="N865" s="14">
        <f>ROUND(SUM(O865:S865)+T865+SUM(Z865:AV865),0)</f>
        <v>0</v>
      </c>
      <c r="O865" s="14">
        <f t="shared" ref="O865:W865" si="496">SUM(O862:O864)</f>
        <v>0</v>
      </c>
      <c r="P865" s="14">
        <f t="shared" si="496"/>
        <v>0</v>
      </c>
      <c r="Q865" s="14">
        <f t="shared" si="496"/>
        <v>0</v>
      </c>
      <c r="R865" s="14">
        <f t="shared" si="496"/>
        <v>0</v>
      </c>
      <c r="S865" s="14">
        <f t="shared" si="483"/>
        <v>0</v>
      </c>
      <c r="T865" s="14">
        <f t="shared" si="496"/>
        <v>0</v>
      </c>
      <c r="U865" s="14">
        <f t="shared" si="496"/>
        <v>0</v>
      </c>
      <c r="V865" s="14">
        <f t="shared" si="496"/>
        <v>0</v>
      </c>
      <c r="W865" s="14">
        <f t="shared" si="496"/>
        <v>0</v>
      </c>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2"/>
      <c r="AX865" s="14">
        <f>SUM(AX862:AX864)</f>
        <v>0</v>
      </c>
      <c r="AY865" s="14">
        <f>ROUND(AX865/1000/Update!$B$31*Update!$B$27,0)</f>
        <v>0</v>
      </c>
      <c r="AZ865" s="2"/>
      <c r="BA865" s="14">
        <f>SUM(BA862:BA864)</f>
        <v>0</v>
      </c>
      <c r="BB865" s="14">
        <f>ROUND(BA865/1000/Update!$B$31,0)</f>
        <v>0</v>
      </c>
      <c r="BC865" s="14"/>
      <c r="BD865" s="14">
        <f t="shared" si="492"/>
        <v>0</v>
      </c>
      <c r="BE865" s="318">
        <f t="shared" ref="BE865:BJ865" si="497">SUM(BE862:BE864)</f>
        <v>0</v>
      </c>
      <c r="BF865" s="318">
        <f t="shared" si="497"/>
        <v>0</v>
      </c>
      <c r="BG865" s="318">
        <f t="shared" si="497"/>
        <v>0</v>
      </c>
      <c r="BH865" s="318">
        <f t="shared" si="497"/>
        <v>0</v>
      </c>
      <c r="BI865" s="318">
        <f t="shared" si="497"/>
        <v>0</v>
      </c>
      <c r="BJ865" s="318">
        <f t="shared" si="497"/>
        <v>0</v>
      </c>
      <c r="BK865" s="14">
        <f t="shared" si="474"/>
        <v>0</v>
      </c>
      <c r="BL865" s="318"/>
      <c r="BM865" s="318"/>
      <c r="BN865" s="318"/>
      <c r="BO865" s="318"/>
      <c r="BP865" s="318"/>
      <c r="BQ865" s="318"/>
      <c r="BR865" s="318"/>
      <c r="BS865" s="318"/>
      <c r="BT865" s="318"/>
      <c r="BU865" s="318"/>
      <c r="BV865" s="318"/>
      <c r="BW865" s="318"/>
      <c r="BX865" s="318"/>
      <c r="BY865" s="318"/>
      <c r="BZ865" s="318"/>
      <c r="CA865" s="318"/>
      <c r="CB865" s="318"/>
      <c r="CC865" s="318"/>
      <c r="CD865" s="318"/>
      <c r="CE865" s="318"/>
      <c r="CF865" s="318"/>
      <c r="CG865" s="318"/>
      <c r="CH865" s="318"/>
      <c r="CI865" s="318"/>
      <c r="CJ865" s="2"/>
      <c r="CK865" s="2"/>
      <c r="CM865" s="1140">
        <v>0</v>
      </c>
      <c r="CN865" s="1140">
        <v>0</v>
      </c>
      <c r="CP865" s="923">
        <f t="shared" si="484"/>
        <v>0</v>
      </c>
      <c r="CZ865" s="330"/>
    </row>
    <row r="866" spans="1:104" ht="15" customHeight="1" x14ac:dyDescent="0.25">
      <c r="A866" s="684">
        <f>MAX($A$6:A865)+1</f>
        <v>866</v>
      </c>
      <c r="B866" s="3">
        <f t="shared" si="485"/>
        <v>6.1</v>
      </c>
      <c r="C866" s="11" t="str">
        <f>C863</f>
        <v>Consolidated intangible assets 2025-26</v>
      </c>
      <c r="D866" s="11" t="s">
        <v>201</v>
      </c>
      <c r="E866" s="7" t="s">
        <v>1409</v>
      </c>
      <c r="F866" s="7"/>
      <c r="G866" s="1254" t="s">
        <v>190</v>
      </c>
      <c r="H866" s="6">
        <v>0</v>
      </c>
      <c r="I866" s="6">
        <v>0</v>
      </c>
      <c r="J866" s="1257" t="s">
        <v>190</v>
      </c>
      <c r="K866" s="251">
        <f>SUMIF('alb Note 6.1 -  Intangibles CY'!$A:$A,$J866,'alb Note 6.1 -  Intangibles CY'!$C:$C)</f>
        <v>0</v>
      </c>
      <c r="L866" s="251">
        <f>SUMIF('alb Note 6.1 -  Intangibles CY'!$A:$A,$J866,'alb Note 6.1 -  Intangibles CY'!$N:$N)</f>
        <v>0</v>
      </c>
      <c r="M866" s="10"/>
      <c r="N866" s="273">
        <f t="shared" ref="N866:N874" si="498">ROUND(SUM(O866:S866)+SUM(W866:AV866),0)</f>
        <v>0</v>
      </c>
      <c r="O866" s="12"/>
      <c r="P866" s="12"/>
      <c r="Q866" s="12"/>
      <c r="R866" s="12"/>
      <c r="S866" s="6">
        <f t="shared" si="483"/>
        <v>0</v>
      </c>
      <c r="T866" s="273">
        <f t="shared" ref="T866:T874" si="499">ROUND(SUM(U866:Y866),0)</f>
        <v>0</v>
      </c>
      <c r="U866" s="6">
        <f t="shared" ref="U866:U874" si="500">SUM(BL866:BN866)</f>
        <v>0</v>
      </c>
      <c r="V866" s="6"/>
      <c r="W866" s="6">
        <f t="shared" si="495"/>
        <v>0</v>
      </c>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X866" s="6"/>
      <c r="AY866" s="6">
        <f>ROUND(AX866/1000/Update!$B$31*Update!$B$27,0)</f>
        <v>0</v>
      </c>
      <c r="BA866" s="6"/>
      <c r="BB866" s="6">
        <f>ROUND(BA866/1000/Update!$B$31,0)</f>
        <v>0</v>
      </c>
      <c r="BC866" s="6"/>
      <c r="BD866" s="29">
        <f t="shared" si="492"/>
        <v>0</v>
      </c>
      <c r="BE866" s="317"/>
      <c r="BF866" s="317"/>
      <c r="BG866" s="317"/>
      <c r="BH866" s="317"/>
      <c r="BI866" s="317"/>
      <c r="BJ866" s="317"/>
      <c r="BK866" s="29">
        <f t="shared" si="474"/>
        <v>0</v>
      </c>
      <c r="BL866" s="317"/>
      <c r="BM866" s="317"/>
      <c r="BN866" s="317"/>
      <c r="BO866" s="317"/>
      <c r="BP866" s="317"/>
      <c r="BQ866" s="317"/>
      <c r="BR866" s="317"/>
      <c r="BS866" s="317"/>
      <c r="BT866" s="317"/>
      <c r="BU866" s="317"/>
      <c r="BV866" s="317"/>
      <c r="BW866" s="317"/>
      <c r="BX866" s="317"/>
      <c r="BY866" s="317"/>
      <c r="BZ866" s="317"/>
      <c r="CA866" s="317"/>
      <c r="CB866" s="317"/>
      <c r="CC866" s="317"/>
      <c r="CD866" s="317"/>
      <c r="CE866" s="317"/>
      <c r="CF866" s="317"/>
      <c r="CG866" s="317"/>
      <c r="CH866" s="317"/>
      <c r="CI866" s="317"/>
      <c r="CM866" s="1139">
        <v>0</v>
      </c>
      <c r="CN866" s="1139">
        <v>0</v>
      </c>
      <c r="CP866" s="923">
        <f t="shared" si="484"/>
        <v>0</v>
      </c>
      <c r="CZ866" s="330"/>
    </row>
    <row r="867" spans="1:104" ht="15" customHeight="1" x14ac:dyDescent="0.25">
      <c r="A867" s="684">
        <f>MAX($A$6:A866)+1</f>
        <v>867</v>
      </c>
      <c r="B867" s="3">
        <f t="shared" si="485"/>
        <v>6.1</v>
      </c>
      <c r="C867" s="11" t="str">
        <f>C866</f>
        <v>Consolidated intangible assets 2025-26</v>
      </c>
      <c r="D867" s="11" t="s">
        <v>201</v>
      </c>
      <c r="E867" s="7" t="s">
        <v>457</v>
      </c>
      <c r="F867" s="7"/>
      <c r="G867" s="1254" t="s">
        <v>457</v>
      </c>
      <c r="H867" s="6">
        <v>0</v>
      </c>
      <c r="I867" s="6">
        <v>0</v>
      </c>
      <c r="J867" s="1257" t="s">
        <v>457</v>
      </c>
      <c r="K867" s="251">
        <f>SUMIF('alb Note 6.1 -  Intangibles CY'!$A:$A,$J867,'alb Note 6.1 -  Intangibles CY'!$C:$C)</f>
        <v>0</v>
      </c>
      <c r="L867" s="251">
        <f>SUMIF('alb Note 6.1 -  Intangibles CY'!$A:$A,$J867,'alb Note 6.1 -  Intangibles CY'!$N:$N)</f>
        <v>0</v>
      </c>
      <c r="M867" s="10"/>
      <c r="N867" s="273">
        <f t="shared" si="498"/>
        <v>0</v>
      </c>
      <c r="O867" s="12"/>
      <c r="P867" s="12"/>
      <c r="Q867" s="12"/>
      <c r="R867" s="12"/>
      <c r="S867" s="6">
        <f t="shared" si="483"/>
        <v>0</v>
      </c>
      <c r="T867" s="273">
        <f t="shared" si="499"/>
        <v>0</v>
      </c>
      <c r="U867" s="6">
        <f t="shared" si="500"/>
        <v>0</v>
      </c>
      <c r="V867" s="6"/>
      <c r="W867" s="6">
        <f t="shared" si="495"/>
        <v>0</v>
      </c>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X867" s="6"/>
      <c r="AY867" s="6">
        <f>ROUND(AX867/1000/Update!$B$31*Update!$B$27,0)</f>
        <v>0</v>
      </c>
      <c r="BA867" s="6"/>
      <c r="BB867" s="6">
        <f>ROUND(BA867/1000/Update!$B$31,0)</f>
        <v>0</v>
      </c>
      <c r="BC867" s="6"/>
      <c r="BD867" s="29">
        <f t="shared" si="492"/>
        <v>0</v>
      </c>
      <c r="BE867" s="317"/>
      <c r="BF867" s="317"/>
      <c r="BG867" s="317"/>
      <c r="BH867" s="317"/>
      <c r="BI867" s="317"/>
      <c r="BJ867" s="317"/>
      <c r="BK867" s="29">
        <f t="shared" si="474"/>
        <v>0</v>
      </c>
      <c r="BL867" s="317"/>
      <c r="BM867" s="317"/>
      <c r="BN867" s="317"/>
      <c r="BO867" s="317"/>
      <c r="BP867" s="317"/>
      <c r="BQ867" s="317"/>
      <c r="BR867" s="317"/>
      <c r="BS867" s="317"/>
      <c r="BT867" s="317"/>
      <c r="BU867" s="317"/>
      <c r="BV867" s="317"/>
      <c r="BW867" s="317"/>
      <c r="BX867" s="317"/>
      <c r="BY867" s="317"/>
      <c r="BZ867" s="317"/>
      <c r="CA867" s="317"/>
      <c r="CB867" s="317"/>
      <c r="CC867" s="317"/>
      <c r="CD867" s="317"/>
      <c r="CE867" s="317"/>
      <c r="CF867" s="317"/>
      <c r="CG867" s="317"/>
      <c r="CH867" s="317"/>
      <c r="CI867" s="317"/>
      <c r="CM867" s="1139">
        <v>0</v>
      </c>
      <c r="CN867" s="1139">
        <v>0</v>
      </c>
      <c r="CP867" s="923">
        <f t="shared" si="484"/>
        <v>0</v>
      </c>
      <c r="CZ867" s="330"/>
    </row>
    <row r="868" spans="1:104" ht="15" customHeight="1" x14ac:dyDescent="0.25">
      <c r="A868" s="684">
        <f>MAX($A$6:A867)+1</f>
        <v>868</v>
      </c>
      <c r="B868" s="3">
        <f t="shared" si="485"/>
        <v>6.1</v>
      </c>
      <c r="C868" s="11" t="str">
        <f t="shared" si="475"/>
        <v>Consolidated intangible assets 2025-26</v>
      </c>
      <c r="D868" s="11" t="s">
        <v>201</v>
      </c>
      <c r="E868" s="7" t="s">
        <v>863</v>
      </c>
      <c r="F868" s="7"/>
      <c r="G868" s="1254" t="s">
        <v>186</v>
      </c>
      <c r="H868" s="6">
        <v>0</v>
      </c>
      <c r="I868" s="6">
        <v>0</v>
      </c>
      <c r="J868" s="1257" t="s">
        <v>863</v>
      </c>
      <c r="K868" s="251">
        <f>SUMIF('alb Note 6.1 -  Intangibles CY'!$A:$A,$J868,'alb Note 6.1 -  Intangibles CY'!$C:$C)</f>
        <v>0</v>
      </c>
      <c r="L868" s="251">
        <f>SUMIF('alb Note 6.1 -  Intangibles CY'!$A:$A,$J868,'alb Note 6.1 -  Intangibles CY'!$N:$N)</f>
        <v>0</v>
      </c>
      <c r="M868" s="10"/>
      <c r="N868" s="273">
        <f t="shared" si="498"/>
        <v>0</v>
      </c>
      <c r="O868" s="12"/>
      <c r="P868" s="12"/>
      <c r="Q868" s="12"/>
      <c r="R868" s="12"/>
      <c r="S868" s="6">
        <f t="shared" si="483"/>
        <v>0</v>
      </c>
      <c r="T868" s="273">
        <f t="shared" si="499"/>
        <v>0</v>
      </c>
      <c r="U868" s="6">
        <f t="shared" si="500"/>
        <v>0</v>
      </c>
      <c r="V868" s="6"/>
      <c r="W868" s="6">
        <f t="shared" si="495"/>
        <v>0</v>
      </c>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X868" s="6"/>
      <c r="AY868" s="6">
        <f>ROUND(AX868/1000/Update!$B$31*Update!$B$27,0)</f>
        <v>0</v>
      </c>
      <c r="BA868" s="6"/>
      <c r="BB868" s="6">
        <f>ROUND(BA868/1000/Update!$B$31,0)</f>
        <v>0</v>
      </c>
      <c r="BC868" s="6"/>
      <c r="BD868" s="29">
        <f t="shared" si="492"/>
        <v>0</v>
      </c>
      <c r="BE868" s="317"/>
      <c r="BF868" s="317"/>
      <c r="BG868" s="317"/>
      <c r="BH868" s="317"/>
      <c r="BI868" s="317"/>
      <c r="BJ868" s="317"/>
      <c r="BK868" s="29">
        <f t="shared" si="474"/>
        <v>0</v>
      </c>
      <c r="BL868" s="317"/>
      <c r="BM868" s="317"/>
      <c r="BN868" s="317"/>
      <c r="BO868" s="317"/>
      <c r="BP868" s="317"/>
      <c r="BQ868" s="317"/>
      <c r="BR868" s="317"/>
      <c r="BS868" s="317"/>
      <c r="BT868" s="317"/>
      <c r="BU868" s="317"/>
      <c r="BV868" s="317"/>
      <c r="BW868" s="317"/>
      <c r="BX868" s="317"/>
      <c r="BY868" s="317"/>
      <c r="BZ868" s="317"/>
      <c r="CA868" s="317"/>
      <c r="CB868" s="317"/>
      <c r="CC868" s="317"/>
      <c r="CD868" s="317"/>
      <c r="CE868" s="317"/>
      <c r="CF868" s="317"/>
      <c r="CG868" s="317"/>
      <c r="CH868" s="317"/>
      <c r="CI868" s="317"/>
      <c r="CM868" s="1139">
        <v>0</v>
      </c>
      <c r="CN868" s="1139">
        <v>0</v>
      </c>
      <c r="CP868" s="923">
        <f t="shared" si="484"/>
        <v>0</v>
      </c>
      <c r="CZ868" s="330"/>
    </row>
    <row r="869" spans="1:104" ht="15" customHeight="1" x14ac:dyDescent="0.25">
      <c r="A869" s="684">
        <f>MAX($A$6:A868)+1</f>
        <v>869</v>
      </c>
      <c r="B869" s="3">
        <f t="shared" si="485"/>
        <v>6.1</v>
      </c>
      <c r="C869" s="11" t="str">
        <f>C868</f>
        <v>Consolidated intangible assets 2025-26</v>
      </c>
      <c r="D869" s="11" t="str">
        <f>D868</f>
        <v>Information Technology</v>
      </c>
      <c r="E869" s="7" t="s">
        <v>867</v>
      </c>
      <c r="F869" s="7"/>
      <c r="G869" s="1257" t="s">
        <v>187</v>
      </c>
      <c r="H869" s="6">
        <v>0</v>
      </c>
      <c r="I869" s="6">
        <v>0</v>
      </c>
      <c r="J869" s="1257" t="s">
        <v>867</v>
      </c>
      <c r="K869" s="251">
        <f>SUMIF('alb Note 6.1 -  Intangibles CY'!$A:$A,$J869,'alb Note 6.1 -  Intangibles CY'!$C:$C)</f>
        <v>0</v>
      </c>
      <c r="L869" s="251">
        <f>SUMIF('alb Note 6.1 -  Intangibles CY'!$A:$A,$J869,'alb Note 6.1 -  Intangibles CY'!$N:$N)</f>
        <v>0</v>
      </c>
      <c r="M869" s="10"/>
      <c r="N869" s="273">
        <f t="shared" si="498"/>
        <v>0</v>
      </c>
      <c r="O869" s="12"/>
      <c r="P869" s="12"/>
      <c r="Q869" s="12"/>
      <c r="R869" s="12"/>
      <c r="S869" s="6">
        <f t="shared" si="483"/>
        <v>0</v>
      </c>
      <c r="T869" s="273">
        <f t="shared" si="499"/>
        <v>0</v>
      </c>
      <c r="U869" s="6">
        <f t="shared" si="500"/>
        <v>0</v>
      </c>
      <c r="V869" s="6"/>
      <c r="W869" s="6">
        <f t="shared" si="495"/>
        <v>0</v>
      </c>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X869" s="6"/>
      <c r="AY869" s="6">
        <f>ROUND(AX869/1000/Update!$B$31*Update!$B$27,0)</f>
        <v>0</v>
      </c>
      <c r="BA869" s="6"/>
      <c r="BB869" s="6">
        <f>ROUND(BA869/1000/Update!$B$31,0)</f>
        <v>0</v>
      </c>
      <c r="BC869" s="6"/>
      <c r="BD869" s="29">
        <f t="shared" si="492"/>
        <v>0</v>
      </c>
      <c r="BE869" s="317"/>
      <c r="BF869" s="317"/>
      <c r="BG869" s="317"/>
      <c r="BH869" s="317"/>
      <c r="BI869" s="317"/>
      <c r="BJ869" s="317"/>
      <c r="BK869" s="29">
        <f t="shared" si="474"/>
        <v>0</v>
      </c>
      <c r="BL869" s="317"/>
      <c r="BM869" s="317"/>
      <c r="BN869" s="317"/>
      <c r="BO869" s="317"/>
      <c r="BP869" s="317"/>
      <c r="BQ869" s="317"/>
      <c r="BR869" s="317"/>
      <c r="BS869" s="317"/>
      <c r="BT869" s="317"/>
      <c r="BU869" s="317"/>
      <c r="BV869" s="317"/>
      <c r="BW869" s="317"/>
      <c r="BX869" s="317"/>
      <c r="BY869" s="317"/>
      <c r="BZ869" s="317"/>
      <c r="CA869" s="317"/>
      <c r="CB869" s="317"/>
      <c r="CC869" s="317"/>
      <c r="CD869" s="317"/>
      <c r="CE869" s="317"/>
      <c r="CF869" s="317"/>
      <c r="CG869" s="317"/>
      <c r="CH869" s="317"/>
      <c r="CI869" s="317"/>
      <c r="CM869" s="1139">
        <v>0</v>
      </c>
      <c r="CN869" s="1139">
        <v>0</v>
      </c>
      <c r="CP869" s="923">
        <f t="shared" si="484"/>
        <v>0</v>
      </c>
      <c r="CZ869" s="330"/>
    </row>
    <row r="870" spans="1:104" ht="15" customHeight="1" x14ac:dyDescent="0.25">
      <c r="A870" s="684">
        <f>MAX($A$6:A869)+1</f>
        <v>870</v>
      </c>
      <c r="B870" s="3">
        <f t="shared" si="485"/>
        <v>6.1</v>
      </c>
      <c r="C870" s="11" t="str">
        <f>C868</f>
        <v>Consolidated intangible assets 2025-26</v>
      </c>
      <c r="D870" s="11" t="s">
        <v>201</v>
      </c>
      <c r="E870" s="7" t="s">
        <v>875</v>
      </c>
      <c r="F870" s="7"/>
      <c r="G870" s="1254" t="s">
        <v>210</v>
      </c>
      <c r="H870" s="6">
        <v>0</v>
      </c>
      <c r="I870" s="6">
        <v>0</v>
      </c>
      <c r="J870" s="1257" t="s">
        <v>875</v>
      </c>
      <c r="K870" s="251">
        <f>SUMIF('alb Note 6.1 -  Intangibles CY'!$A:$A,$J870,'alb Note 6.1 -  Intangibles CY'!$C:$C)</f>
        <v>0</v>
      </c>
      <c r="L870" s="251">
        <f>SUMIF('alb Note 6.1 -  Intangibles CY'!$A:$A,$J870,'alb Note 6.1 -  Intangibles CY'!$N:$N)</f>
        <v>0</v>
      </c>
      <c r="M870" s="10"/>
      <c r="N870" s="273">
        <f t="shared" si="498"/>
        <v>0</v>
      </c>
      <c r="O870" s="12"/>
      <c r="P870" s="12"/>
      <c r="Q870" s="12"/>
      <c r="R870" s="12"/>
      <c r="S870" s="6">
        <f t="shared" si="483"/>
        <v>0</v>
      </c>
      <c r="T870" s="273">
        <f t="shared" si="499"/>
        <v>0</v>
      </c>
      <c r="U870" s="6">
        <f t="shared" si="500"/>
        <v>0</v>
      </c>
      <c r="V870" s="6"/>
      <c r="W870" s="6">
        <f t="shared" si="495"/>
        <v>0</v>
      </c>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X870" s="6"/>
      <c r="AY870" s="6">
        <f>ROUND(AX870/1000/Update!$B$31*Update!$B$27,0)</f>
        <v>0</v>
      </c>
      <c r="BA870" s="6"/>
      <c r="BB870" s="6">
        <f>ROUND(BA870/1000/Update!$B$31,0)</f>
        <v>0</v>
      </c>
      <c r="BC870" s="6"/>
      <c r="BD870" s="29">
        <f t="shared" si="492"/>
        <v>0</v>
      </c>
      <c r="BE870" s="317"/>
      <c r="BF870" s="317"/>
      <c r="BG870" s="317"/>
      <c r="BH870" s="317"/>
      <c r="BI870" s="317"/>
      <c r="BJ870" s="317"/>
      <c r="BK870" s="29">
        <f t="shared" si="474"/>
        <v>0</v>
      </c>
      <c r="BL870" s="317"/>
      <c r="BM870" s="317"/>
      <c r="BN870" s="317"/>
      <c r="BO870" s="317"/>
      <c r="BP870" s="317"/>
      <c r="BQ870" s="317"/>
      <c r="BR870" s="317"/>
      <c r="BS870" s="317"/>
      <c r="BT870" s="317"/>
      <c r="BU870" s="317"/>
      <c r="BV870" s="317"/>
      <c r="BW870" s="317"/>
      <c r="BX870" s="317"/>
      <c r="BY870" s="317"/>
      <c r="BZ870" s="317"/>
      <c r="CA870" s="317"/>
      <c r="CB870" s="317"/>
      <c r="CC870" s="317"/>
      <c r="CD870" s="317"/>
      <c r="CE870" s="317"/>
      <c r="CF870" s="317"/>
      <c r="CG870" s="317"/>
      <c r="CH870" s="317"/>
      <c r="CI870" s="317"/>
      <c r="CM870" s="1139">
        <v>0</v>
      </c>
      <c r="CN870" s="1139">
        <v>0</v>
      </c>
      <c r="CP870" s="923">
        <f t="shared" si="484"/>
        <v>0</v>
      </c>
      <c r="CZ870" s="330"/>
    </row>
    <row r="871" spans="1:104" ht="30" customHeight="1" x14ac:dyDescent="0.25">
      <c r="A871" s="684">
        <f>MAX($A$6:A870)+1</f>
        <v>871</v>
      </c>
      <c r="B871" s="3">
        <f t="shared" si="485"/>
        <v>6.1</v>
      </c>
      <c r="C871" s="11" t="str">
        <f t="shared" si="475"/>
        <v>Consolidated intangible assets 2025-26</v>
      </c>
      <c r="D871" s="11" t="s">
        <v>201</v>
      </c>
      <c r="E871" s="7" t="s">
        <v>1415</v>
      </c>
      <c r="F871" s="7"/>
      <c r="G871" s="1254" t="s">
        <v>438</v>
      </c>
      <c r="H871" s="6">
        <v>0</v>
      </c>
      <c r="I871" s="6">
        <v>0</v>
      </c>
      <c r="J871" s="1257" t="s">
        <v>864</v>
      </c>
      <c r="K871" s="251">
        <f>SUMIF('alb Note 6.1 -  Intangibles CY'!$A:$A,$J871,'alb Note 6.1 -  Intangibles CY'!$C:$C)</f>
        <v>0</v>
      </c>
      <c r="L871" s="251">
        <f>SUMIF('alb Note 6.1 -  Intangibles CY'!$A:$A,$J871,'alb Note 6.1 -  Intangibles CY'!$N:$N)</f>
        <v>0</v>
      </c>
      <c r="M871" s="10"/>
      <c r="N871" s="273">
        <f t="shared" si="498"/>
        <v>0</v>
      </c>
      <c r="O871" s="12"/>
      <c r="P871" s="12"/>
      <c r="Q871" s="12"/>
      <c r="R871" s="12"/>
      <c r="S871" s="6">
        <f t="shared" si="483"/>
        <v>0</v>
      </c>
      <c r="T871" s="273">
        <f t="shared" si="499"/>
        <v>0</v>
      </c>
      <c r="U871" s="6">
        <f t="shared" si="500"/>
        <v>0</v>
      </c>
      <c r="V871" s="6"/>
      <c r="W871" s="6">
        <f t="shared" si="495"/>
        <v>0</v>
      </c>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X871" s="6"/>
      <c r="AY871" s="6">
        <f>ROUND(AX871/1000/Update!$B$31*Update!$B$27,0)</f>
        <v>0</v>
      </c>
      <c r="BA871" s="6"/>
      <c r="BB871" s="6">
        <f>ROUND(BA871/1000/Update!$B$31,0)</f>
        <v>0</v>
      </c>
      <c r="BC871" s="6"/>
      <c r="BD871" s="29">
        <f t="shared" si="492"/>
        <v>0</v>
      </c>
      <c r="BE871" s="317"/>
      <c r="BF871" s="317"/>
      <c r="BG871" s="317"/>
      <c r="BH871" s="317"/>
      <c r="BI871" s="317"/>
      <c r="BJ871" s="317"/>
      <c r="BK871" s="29">
        <f t="shared" si="474"/>
        <v>0</v>
      </c>
      <c r="BL871" s="317"/>
      <c r="BM871" s="317"/>
      <c r="BN871" s="317"/>
      <c r="BO871" s="317"/>
      <c r="BP871" s="317"/>
      <c r="BQ871" s="317"/>
      <c r="BR871" s="317"/>
      <c r="BS871" s="317"/>
      <c r="BT871" s="317"/>
      <c r="BU871" s="317"/>
      <c r="BV871" s="317"/>
      <c r="BW871" s="317"/>
      <c r="BX871" s="317"/>
      <c r="BY871" s="317"/>
      <c r="BZ871" s="317"/>
      <c r="CA871" s="317"/>
      <c r="CB871" s="317"/>
      <c r="CC871" s="317"/>
      <c r="CD871" s="317"/>
      <c r="CE871" s="317"/>
      <c r="CF871" s="317"/>
      <c r="CG871" s="317"/>
      <c r="CH871" s="317"/>
      <c r="CI871" s="317"/>
      <c r="CM871" s="1139">
        <v>0</v>
      </c>
      <c r="CN871" s="1139">
        <v>0</v>
      </c>
      <c r="CP871" s="923">
        <f t="shared" si="484"/>
        <v>0</v>
      </c>
      <c r="CZ871" s="330"/>
    </row>
    <row r="872" spans="1:104" ht="51" customHeight="1" x14ac:dyDescent="0.25">
      <c r="A872" s="684">
        <f>MAX($A$6:A871)+1</f>
        <v>872</v>
      </c>
      <c r="B872" s="3">
        <f t="shared" si="485"/>
        <v>6.1</v>
      </c>
      <c r="C872" s="11" t="str">
        <f t="shared" si="475"/>
        <v>Consolidated intangible assets 2025-26</v>
      </c>
      <c r="D872" s="11" t="s">
        <v>201</v>
      </c>
      <c r="E872" s="7" t="s">
        <v>1410</v>
      </c>
      <c r="F872" s="7"/>
      <c r="G872" s="1254" t="s">
        <v>193</v>
      </c>
      <c r="H872" s="6">
        <v>0</v>
      </c>
      <c r="I872" s="6">
        <v>0</v>
      </c>
      <c r="J872" s="1257" t="s">
        <v>865</v>
      </c>
      <c r="K872" s="251">
        <f>SUMIF('alb Note 6.1 -  Intangibles CY'!$A:$A,$J872,'alb Note 6.1 -  Intangibles CY'!$C:$C)</f>
        <v>0</v>
      </c>
      <c r="L872" s="251">
        <f>SUMIF('alb Note 6.1 -  Intangibles CY'!$A:$A,$J872,'alb Note 6.1 -  Intangibles CY'!$N:$N)</f>
        <v>0</v>
      </c>
      <c r="M872" s="10"/>
      <c r="N872" s="273">
        <f t="shared" si="498"/>
        <v>0</v>
      </c>
      <c r="O872" s="12"/>
      <c r="P872" s="12"/>
      <c r="Q872" s="12"/>
      <c r="R872" s="12"/>
      <c r="S872" s="6">
        <f t="shared" si="483"/>
        <v>0</v>
      </c>
      <c r="T872" s="273">
        <f t="shared" si="499"/>
        <v>0</v>
      </c>
      <c r="U872" s="6">
        <f t="shared" si="500"/>
        <v>0</v>
      </c>
      <c r="V872" s="6"/>
      <c r="W872" s="6">
        <f t="shared" si="495"/>
        <v>0</v>
      </c>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X872" s="6"/>
      <c r="AY872" s="6">
        <f>ROUND(AX872/1000/Update!$B$31*Update!$B$27,0)</f>
        <v>0</v>
      </c>
      <c r="BA872" s="6"/>
      <c r="BB872" s="6">
        <f>ROUND(BA872/1000/Update!$B$31,0)</f>
        <v>0</v>
      </c>
      <c r="BC872" s="6"/>
      <c r="BD872" s="29">
        <f t="shared" si="492"/>
        <v>0</v>
      </c>
      <c r="BE872" s="317"/>
      <c r="BF872" s="317"/>
      <c r="BG872" s="317"/>
      <c r="BH872" s="317"/>
      <c r="BI872" s="317"/>
      <c r="BJ872" s="317"/>
      <c r="BK872" s="29">
        <f t="shared" si="474"/>
        <v>0</v>
      </c>
      <c r="BL872" s="317"/>
      <c r="BM872" s="317"/>
      <c r="BN872" s="317"/>
      <c r="BO872" s="317"/>
      <c r="BP872" s="317"/>
      <c r="BQ872" s="317"/>
      <c r="BR872" s="317"/>
      <c r="BS872" s="317"/>
      <c r="BT872" s="317"/>
      <c r="BU872" s="317"/>
      <c r="BV872" s="317"/>
      <c r="BW872" s="317"/>
      <c r="BX872" s="317"/>
      <c r="BY872" s="317"/>
      <c r="BZ872" s="317"/>
      <c r="CA872" s="317"/>
      <c r="CB872" s="317"/>
      <c r="CC872" s="317"/>
      <c r="CD872" s="317"/>
      <c r="CE872" s="317"/>
      <c r="CF872" s="317"/>
      <c r="CG872" s="317"/>
      <c r="CH872" s="317"/>
      <c r="CI872" s="317"/>
      <c r="CM872" s="1139">
        <v>0</v>
      </c>
      <c r="CN872" s="1139">
        <v>0</v>
      </c>
      <c r="CP872" s="923">
        <f t="shared" si="484"/>
        <v>0</v>
      </c>
      <c r="CZ872" s="330"/>
    </row>
    <row r="873" spans="1:104" ht="15" customHeight="1" x14ac:dyDescent="0.25">
      <c r="A873" s="684">
        <f>MAX($A$6:A872)+1</f>
        <v>873</v>
      </c>
      <c r="B873" s="3">
        <f t="shared" si="485"/>
        <v>6.1</v>
      </c>
      <c r="C873" s="11" t="str">
        <f t="shared" si="475"/>
        <v>Consolidated intangible assets 2025-26</v>
      </c>
      <c r="D873" s="11" t="str">
        <f>D872</f>
        <v>Information Technology</v>
      </c>
      <c r="E873" s="7" t="s">
        <v>868</v>
      </c>
      <c r="F873" s="7"/>
      <c r="G873" s="1254" t="s">
        <v>188</v>
      </c>
      <c r="H873" s="6">
        <v>0</v>
      </c>
      <c r="I873" s="6">
        <v>0</v>
      </c>
      <c r="J873" s="1257" t="s">
        <v>868</v>
      </c>
      <c r="K873" s="251">
        <f>SUMIF('alb Note 6.1 -  Intangibles CY'!$A:$A,$J873,'alb Note 6.1 -  Intangibles CY'!$C:$C)</f>
        <v>0</v>
      </c>
      <c r="L873" s="251">
        <f>SUMIF('alb Note 6.1 -  Intangibles CY'!$A:$A,$J873,'alb Note 6.1 -  Intangibles CY'!$N:$N)</f>
        <v>0</v>
      </c>
      <c r="M873" s="10"/>
      <c r="N873" s="273">
        <f t="shared" si="498"/>
        <v>0</v>
      </c>
      <c r="O873" s="12"/>
      <c r="P873" s="12"/>
      <c r="Q873" s="12"/>
      <c r="R873" s="12"/>
      <c r="S873" s="6">
        <f t="shared" si="483"/>
        <v>0</v>
      </c>
      <c r="T873" s="273">
        <f t="shared" si="499"/>
        <v>0</v>
      </c>
      <c r="U873" s="6">
        <f t="shared" si="500"/>
        <v>0</v>
      </c>
      <c r="V873" s="6"/>
      <c r="W873" s="6">
        <f t="shared" si="495"/>
        <v>0</v>
      </c>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X873" s="6"/>
      <c r="AY873" s="6">
        <f>ROUND(AX873/1000/Update!$B$31*Update!$B$27,0)</f>
        <v>0</v>
      </c>
      <c r="BA873" s="6"/>
      <c r="BB873" s="6">
        <f>ROUND(BA873/1000/Update!$B$31,0)</f>
        <v>0</v>
      </c>
      <c r="BC873" s="6"/>
      <c r="BD873" s="29">
        <f t="shared" si="492"/>
        <v>0</v>
      </c>
      <c r="BE873" s="317"/>
      <c r="BF873" s="317"/>
      <c r="BG873" s="317"/>
      <c r="BH873" s="317"/>
      <c r="BI873" s="317"/>
      <c r="BJ873" s="317"/>
      <c r="BK873" s="29">
        <f t="shared" si="474"/>
        <v>0</v>
      </c>
      <c r="BL873" s="317"/>
      <c r="BM873" s="317"/>
      <c r="BN873" s="317"/>
      <c r="BO873" s="317"/>
      <c r="BP873" s="317"/>
      <c r="BQ873" s="317"/>
      <c r="BR873" s="317"/>
      <c r="BS873" s="317"/>
      <c r="BT873" s="317"/>
      <c r="BU873" s="317"/>
      <c r="BV873" s="317"/>
      <c r="BW873" s="317"/>
      <c r="BX873" s="317"/>
      <c r="BY873" s="317"/>
      <c r="BZ873" s="317"/>
      <c r="CA873" s="317"/>
      <c r="CB873" s="317"/>
      <c r="CC873" s="317"/>
      <c r="CD873" s="317"/>
      <c r="CE873" s="317"/>
      <c r="CF873" s="317"/>
      <c r="CG873" s="317"/>
      <c r="CH873" s="317"/>
      <c r="CI873" s="317"/>
      <c r="CM873" s="1139">
        <v>0</v>
      </c>
      <c r="CN873" s="1139">
        <v>0</v>
      </c>
      <c r="CP873" s="923">
        <f t="shared" si="484"/>
        <v>0</v>
      </c>
      <c r="CZ873" s="330"/>
    </row>
    <row r="874" spans="1:104" ht="15" customHeight="1" x14ac:dyDescent="0.25">
      <c r="A874" s="684">
        <f>MAX($A$6:A873)+1</f>
        <v>874</v>
      </c>
      <c r="B874" s="3">
        <f t="shared" si="485"/>
        <v>6.1</v>
      </c>
      <c r="C874" s="11" t="str">
        <f>C872</f>
        <v>Consolidated intangible assets 2025-26</v>
      </c>
      <c r="D874" s="11" t="s">
        <v>201</v>
      </c>
      <c r="E874" s="7" t="s">
        <v>1416</v>
      </c>
      <c r="F874" s="7"/>
      <c r="G874" s="1254" t="s">
        <v>189</v>
      </c>
      <c r="H874" s="6">
        <v>0</v>
      </c>
      <c r="I874" s="6">
        <v>0</v>
      </c>
      <c r="J874" s="1257" t="s">
        <v>870</v>
      </c>
      <c r="K874" s="251">
        <f>SUMIF('alb Note 6.1 -  Intangibles CY'!$A:$A,$J874,'alb Note 6.1 -  Intangibles CY'!$C:$C)</f>
        <v>0</v>
      </c>
      <c r="L874" s="251">
        <f>SUMIF('alb Note 6.1 -  Intangibles CY'!$A:$A,$J874,'alb Note 6.1 -  Intangibles CY'!$N:$N)</f>
        <v>0</v>
      </c>
      <c r="M874" s="10"/>
      <c r="N874" s="273">
        <f t="shared" si="498"/>
        <v>0</v>
      </c>
      <c r="O874" s="12"/>
      <c r="P874" s="12"/>
      <c r="Q874" s="12"/>
      <c r="R874" s="12"/>
      <c r="S874" s="6">
        <f t="shared" si="483"/>
        <v>0</v>
      </c>
      <c r="T874" s="273">
        <f t="shared" si="499"/>
        <v>0</v>
      </c>
      <c r="U874" s="6">
        <f t="shared" si="500"/>
        <v>0</v>
      </c>
      <c r="V874" s="6"/>
      <c r="W874" s="6">
        <f t="shared" si="495"/>
        <v>0</v>
      </c>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X874" s="6"/>
      <c r="AY874" s="6">
        <f>ROUND(AX874/1000/Update!$B$31*Update!$B$27,0)</f>
        <v>0</v>
      </c>
      <c r="BA874" s="6"/>
      <c r="BB874" s="6">
        <f>ROUND(BA874/1000/Update!$B$31,0)</f>
        <v>0</v>
      </c>
      <c r="BC874" s="6"/>
      <c r="BD874" s="29">
        <f t="shared" si="492"/>
        <v>0</v>
      </c>
      <c r="BE874" s="317"/>
      <c r="BF874" s="317"/>
      <c r="BG874" s="317"/>
      <c r="BH874" s="317"/>
      <c r="BI874" s="317"/>
      <c r="BJ874" s="317"/>
      <c r="BK874" s="29">
        <f t="shared" si="474"/>
        <v>0</v>
      </c>
      <c r="BL874" s="317"/>
      <c r="BM874" s="317"/>
      <c r="BN874" s="317"/>
      <c r="BO874" s="317"/>
      <c r="BP874" s="317"/>
      <c r="BQ874" s="317"/>
      <c r="BR874" s="317"/>
      <c r="BS874" s="317"/>
      <c r="BT874" s="317"/>
      <c r="BU874" s="317"/>
      <c r="BV874" s="317"/>
      <c r="BW874" s="317"/>
      <c r="BX874" s="317"/>
      <c r="BY874" s="317"/>
      <c r="BZ874" s="317"/>
      <c r="CA874" s="317"/>
      <c r="CB874" s="317"/>
      <c r="CC874" s="317"/>
      <c r="CD874" s="317"/>
      <c r="CE874" s="317"/>
      <c r="CF874" s="317"/>
      <c r="CG874" s="317"/>
      <c r="CH874" s="317"/>
      <c r="CI874" s="317"/>
      <c r="CM874" s="1139">
        <v>0</v>
      </c>
      <c r="CN874" s="1139">
        <v>0</v>
      </c>
      <c r="CP874" s="923">
        <f t="shared" si="484"/>
        <v>0</v>
      </c>
      <c r="CZ874" s="330"/>
    </row>
    <row r="875" spans="1:104" ht="15" customHeight="1" x14ac:dyDescent="0.25">
      <c r="A875" s="701">
        <f>MAX($A$6:A874)+1</f>
        <v>875</v>
      </c>
      <c r="B875" s="1291">
        <f t="shared" si="485"/>
        <v>6.1</v>
      </c>
      <c r="C875" s="18" t="str">
        <f t="shared" si="475"/>
        <v>Consolidated intangible assets 2025-26</v>
      </c>
      <c r="D875" s="18" t="s">
        <v>201</v>
      </c>
      <c r="E875" s="19" t="str">
        <f>Update!$B$22</f>
        <v xml:space="preserve"> 31 March 2026</v>
      </c>
      <c r="F875" s="20"/>
      <c r="G875" s="28"/>
      <c r="H875" s="14">
        <f>SUM(H865:H874)</f>
        <v>0</v>
      </c>
      <c r="I875" s="14">
        <f>SUM(I865:I874)</f>
        <v>0</v>
      </c>
      <c r="J875" s="1258" t="s">
        <v>2492</v>
      </c>
      <c r="K875" s="256">
        <f>SUM(K865:K874)</f>
        <v>0</v>
      </c>
      <c r="L875" s="256">
        <f>SUM(L865:L874)</f>
        <v>0</v>
      </c>
      <c r="M875" s="21"/>
      <c r="N875" s="14">
        <f>ROUND(SUM(O875:S875)+T875+SUM(Z875:AV875),0)</f>
        <v>0</v>
      </c>
      <c r="O875" s="14">
        <f t="shared" ref="O875:V875" si="501">SUM(O865:O874)</f>
        <v>0</v>
      </c>
      <c r="P875" s="14">
        <f t="shared" si="501"/>
        <v>0</v>
      </c>
      <c r="Q875" s="14">
        <f t="shared" si="501"/>
        <v>0</v>
      </c>
      <c r="R875" s="14">
        <f t="shared" si="501"/>
        <v>0</v>
      </c>
      <c r="S875" s="14">
        <f t="shared" si="483"/>
        <v>0</v>
      </c>
      <c r="T875" s="14">
        <f t="shared" si="501"/>
        <v>0</v>
      </c>
      <c r="U875" s="14">
        <f t="shared" si="501"/>
        <v>0</v>
      </c>
      <c r="V875" s="14">
        <f t="shared" si="501"/>
        <v>0</v>
      </c>
      <c r="W875" s="14">
        <f>SUM(W865:W874)</f>
        <v>0</v>
      </c>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2"/>
      <c r="AX875" s="14">
        <f>SUM(AX865:AX874)</f>
        <v>0</v>
      </c>
      <c r="AY875" s="14">
        <f>ROUND(AX875/1000/Update!$B$31*Update!$B$27,0)</f>
        <v>0</v>
      </c>
      <c r="AZ875" s="2"/>
      <c r="BA875" s="14">
        <f>SUM(BA865:BA874)</f>
        <v>0</v>
      </c>
      <c r="BB875" s="14">
        <f>ROUND(BA875/1000/Update!$B$31,0)</f>
        <v>0</v>
      </c>
      <c r="BC875" s="14"/>
      <c r="BD875" s="14">
        <f t="shared" si="492"/>
        <v>0</v>
      </c>
      <c r="BE875" s="318">
        <f t="shared" ref="BE875:BJ875" si="502">SUM(BE865:BE874)</f>
        <v>0</v>
      </c>
      <c r="BF875" s="318">
        <f t="shared" si="502"/>
        <v>0</v>
      </c>
      <c r="BG875" s="318">
        <f t="shared" si="502"/>
        <v>0</v>
      </c>
      <c r="BH875" s="318">
        <f t="shared" si="502"/>
        <v>0</v>
      </c>
      <c r="BI875" s="318">
        <f t="shared" si="502"/>
        <v>0</v>
      </c>
      <c r="BJ875" s="318">
        <f t="shared" si="502"/>
        <v>0</v>
      </c>
      <c r="BK875" s="14">
        <f t="shared" si="474"/>
        <v>0</v>
      </c>
      <c r="BL875" s="318"/>
      <c r="BM875" s="318"/>
      <c r="BN875" s="318"/>
      <c r="BO875" s="318"/>
      <c r="BP875" s="318"/>
      <c r="BQ875" s="318"/>
      <c r="BR875" s="318"/>
      <c r="BS875" s="318"/>
      <c r="BT875" s="318"/>
      <c r="BU875" s="318"/>
      <c r="BV875" s="318"/>
      <c r="BW875" s="318"/>
      <c r="BX875" s="318"/>
      <c r="BY875" s="318"/>
      <c r="BZ875" s="318"/>
      <c r="CA875" s="318"/>
      <c r="CB875" s="318"/>
      <c r="CC875" s="318"/>
      <c r="CD875" s="318"/>
      <c r="CE875" s="318"/>
      <c r="CF875" s="318"/>
      <c r="CG875" s="318"/>
      <c r="CH875" s="318"/>
      <c r="CI875" s="318"/>
      <c r="CJ875" s="2"/>
      <c r="CK875" s="2"/>
      <c r="CM875" s="1140">
        <v>0</v>
      </c>
      <c r="CN875" s="1140">
        <v>0</v>
      </c>
      <c r="CP875" s="923">
        <f t="shared" si="484"/>
        <v>0</v>
      </c>
      <c r="CZ875" s="330"/>
    </row>
    <row r="876" spans="1:104" ht="15" customHeight="1" x14ac:dyDescent="0.25">
      <c r="A876" s="701">
        <f>MAX($A$6:A875)+1</f>
        <v>876</v>
      </c>
      <c r="B876" s="1291">
        <f t="shared" si="485"/>
        <v>6.1</v>
      </c>
      <c r="C876" s="18" t="str">
        <f t="shared" si="475"/>
        <v>Consolidated intangible assets 2025-26</v>
      </c>
      <c r="D876" s="18" t="s">
        <v>201</v>
      </c>
      <c r="E876" s="19" t="str">
        <f>"Carrying amount "&amp;Update!$B$22</f>
        <v>Carrying amount  31 March 2026</v>
      </c>
      <c r="F876" s="20"/>
      <c r="G876" s="28"/>
      <c r="H876" s="14">
        <f>H861-H875</f>
        <v>0</v>
      </c>
      <c r="I876" s="14">
        <f>I861-I875</f>
        <v>0</v>
      </c>
      <c r="J876" s="1258" t="s">
        <v>2493</v>
      </c>
      <c r="K876" s="256">
        <f>K861-K875</f>
        <v>0</v>
      </c>
      <c r="L876" s="256">
        <f>L861-L875</f>
        <v>0</v>
      </c>
      <c r="M876" s="21"/>
      <c r="N876" s="14">
        <f>ROUND(SUM(O876:S876)+T876+SUM(Z876:AV876),0)</f>
        <v>0</v>
      </c>
      <c r="O876" s="14">
        <f t="shared" ref="O876:V876" si="503">O861-O875</f>
        <v>0</v>
      </c>
      <c r="P876" s="14">
        <f t="shared" si="503"/>
        <v>0</v>
      </c>
      <c r="Q876" s="14">
        <f t="shared" si="503"/>
        <v>0</v>
      </c>
      <c r="R876" s="14">
        <f t="shared" si="503"/>
        <v>0</v>
      </c>
      <c r="S876" s="14">
        <f t="shared" si="483"/>
        <v>0</v>
      </c>
      <c r="T876" s="14">
        <f t="shared" si="503"/>
        <v>0</v>
      </c>
      <c r="U876" s="14">
        <f t="shared" si="503"/>
        <v>0</v>
      </c>
      <c r="V876" s="14">
        <f t="shared" si="503"/>
        <v>0</v>
      </c>
      <c r="W876" s="14">
        <f>W861-W875</f>
        <v>0</v>
      </c>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2"/>
      <c r="AX876" s="14">
        <f>AX861-AX875</f>
        <v>0</v>
      </c>
      <c r="AY876" s="14">
        <f>ROUND(AX876/1000/Update!$B$31*Update!$B$27,0)</f>
        <v>0</v>
      </c>
      <c r="AZ876" s="2"/>
      <c r="BA876" s="14">
        <f>BA861-BA875</f>
        <v>0</v>
      </c>
      <c r="BB876" s="14">
        <f>ROUND(BA876/1000/Update!$B$31,0)</f>
        <v>0</v>
      </c>
      <c r="BC876" s="14"/>
      <c r="BD876" s="14">
        <f t="shared" si="492"/>
        <v>0</v>
      </c>
      <c r="BE876" s="318">
        <f t="shared" ref="BE876:BJ876" si="504">BE861-BE875</f>
        <v>0</v>
      </c>
      <c r="BF876" s="318">
        <f t="shared" si="504"/>
        <v>0</v>
      </c>
      <c r="BG876" s="318">
        <f t="shared" si="504"/>
        <v>0</v>
      </c>
      <c r="BH876" s="318">
        <f t="shared" si="504"/>
        <v>0</v>
      </c>
      <c r="BI876" s="318">
        <f t="shared" si="504"/>
        <v>0</v>
      </c>
      <c r="BJ876" s="318">
        <f t="shared" si="504"/>
        <v>0</v>
      </c>
      <c r="BK876" s="14">
        <f t="shared" si="474"/>
        <v>0</v>
      </c>
      <c r="BL876" s="318"/>
      <c r="BM876" s="318"/>
      <c r="BN876" s="318"/>
      <c r="BO876" s="318"/>
      <c r="BP876" s="318"/>
      <c r="BQ876" s="318"/>
      <c r="BR876" s="318"/>
      <c r="BS876" s="318"/>
      <c r="BT876" s="318"/>
      <c r="BU876" s="318"/>
      <c r="BV876" s="318"/>
      <c r="BW876" s="318"/>
      <c r="BX876" s="318"/>
      <c r="BY876" s="318"/>
      <c r="BZ876" s="318"/>
      <c r="CA876" s="318"/>
      <c r="CB876" s="318"/>
      <c r="CC876" s="318"/>
      <c r="CD876" s="318"/>
      <c r="CE876" s="318"/>
      <c r="CF876" s="318"/>
      <c r="CG876" s="318"/>
      <c r="CH876" s="318"/>
      <c r="CI876" s="318"/>
      <c r="CJ876" s="2"/>
      <c r="CK876" s="2"/>
      <c r="CM876" s="1140">
        <v>0</v>
      </c>
      <c r="CN876" s="1140">
        <v>0</v>
      </c>
      <c r="CP876" s="923">
        <f t="shared" si="484"/>
        <v>0</v>
      </c>
      <c r="CZ876" s="330"/>
    </row>
    <row r="877" spans="1:104" ht="15" customHeight="1" x14ac:dyDescent="0.25">
      <c r="A877" s="701">
        <f>MAX($A$6:A876)+1</f>
        <v>877</v>
      </c>
      <c r="B877" s="1291">
        <f t="shared" si="485"/>
        <v>6.1</v>
      </c>
      <c r="C877" s="18" t="str">
        <f t="shared" si="475"/>
        <v>Consolidated intangible assets 2025-26</v>
      </c>
      <c r="D877" s="18" t="s">
        <v>201</v>
      </c>
      <c r="E877" s="19" t="str">
        <f>"Carrying amount "&amp;Update!$B$24</f>
        <v>Carrying amount  31 March 2025</v>
      </c>
      <c r="F877" s="20"/>
      <c r="G877" s="28"/>
      <c r="H877" s="14">
        <f>H849-H863</f>
        <v>0</v>
      </c>
      <c r="I877" s="14">
        <f>I849-I863</f>
        <v>0</v>
      </c>
      <c r="J877" s="1258" t="s">
        <v>2494</v>
      </c>
      <c r="K877" s="256">
        <f>K849-K863</f>
        <v>0</v>
      </c>
      <c r="L877" s="256">
        <f>L849-L863</f>
        <v>0</v>
      </c>
      <c r="M877" s="21"/>
      <c r="N877" s="14">
        <f>ROUND(SUM(O877:S877)+T877+SUM(Z877:AV877),0)</f>
        <v>0</v>
      </c>
      <c r="O877" s="14">
        <f t="shared" ref="O877:V877" si="505">O849-O863</f>
        <v>0</v>
      </c>
      <c r="P877" s="14">
        <f t="shared" si="505"/>
        <v>0</v>
      </c>
      <c r="Q877" s="14">
        <f t="shared" si="505"/>
        <v>0</v>
      </c>
      <c r="R877" s="14">
        <f t="shared" si="505"/>
        <v>0</v>
      </c>
      <c r="S877" s="14">
        <f t="shared" si="483"/>
        <v>0</v>
      </c>
      <c r="T877" s="14">
        <f t="shared" si="505"/>
        <v>0</v>
      </c>
      <c r="U877" s="14">
        <f t="shared" si="505"/>
        <v>0</v>
      </c>
      <c r="V877" s="14">
        <f t="shared" si="505"/>
        <v>0</v>
      </c>
      <c r="W877" s="14">
        <f>W849-W863</f>
        <v>0</v>
      </c>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2"/>
      <c r="AX877" s="14">
        <f>AX849-AX863</f>
        <v>0</v>
      </c>
      <c r="AY877" s="14">
        <f>ROUND(AX877/1000/Update!$B$31*Update!$B$27,0)</f>
        <v>0</v>
      </c>
      <c r="AZ877" s="2"/>
      <c r="BA877" s="14">
        <f>BA849-BA863</f>
        <v>0</v>
      </c>
      <c r="BB877" s="14">
        <f>ROUND(BA877/1000/Update!$B$31,0)</f>
        <v>0</v>
      </c>
      <c r="BC877" s="14"/>
      <c r="BD877" s="14">
        <f t="shared" si="492"/>
        <v>0</v>
      </c>
      <c r="BE877" s="318">
        <f t="shared" ref="BE877:BJ877" si="506">BE849-BE863</f>
        <v>0</v>
      </c>
      <c r="BF877" s="318">
        <f t="shared" si="506"/>
        <v>0</v>
      </c>
      <c r="BG877" s="318">
        <f t="shared" si="506"/>
        <v>0</v>
      </c>
      <c r="BH877" s="318">
        <f t="shared" si="506"/>
        <v>0</v>
      </c>
      <c r="BI877" s="318">
        <f t="shared" si="506"/>
        <v>0</v>
      </c>
      <c r="BJ877" s="318">
        <f t="shared" si="506"/>
        <v>0</v>
      </c>
      <c r="BK877" s="14">
        <f t="shared" si="474"/>
        <v>0</v>
      </c>
      <c r="BL877" s="318"/>
      <c r="BM877" s="318"/>
      <c r="BN877" s="318"/>
      <c r="BO877" s="318"/>
      <c r="BP877" s="318"/>
      <c r="BQ877" s="318"/>
      <c r="BR877" s="318"/>
      <c r="BS877" s="318"/>
      <c r="BT877" s="318"/>
      <c r="BU877" s="318"/>
      <c r="BV877" s="318"/>
      <c r="BW877" s="318"/>
      <c r="BX877" s="318"/>
      <c r="BY877" s="318"/>
      <c r="BZ877" s="318"/>
      <c r="CA877" s="318"/>
      <c r="CB877" s="318"/>
      <c r="CC877" s="318"/>
      <c r="CD877" s="318"/>
      <c r="CE877" s="318"/>
      <c r="CF877" s="318"/>
      <c r="CG877" s="318"/>
      <c r="CH877" s="318"/>
      <c r="CI877" s="318"/>
      <c r="CJ877" s="2"/>
      <c r="CK877" s="2"/>
      <c r="CM877" s="1140">
        <v>0</v>
      </c>
      <c r="CN877" s="1140">
        <v>0</v>
      </c>
      <c r="CP877" s="923">
        <f t="shared" si="484"/>
        <v>0</v>
      </c>
      <c r="CZ877" s="330"/>
    </row>
    <row r="878" spans="1:104" ht="15" customHeight="1" x14ac:dyDescent="0.25">
      <c r="A878" s="684">
        <f>MAX($A$6:A877)+1</f>
        <v>878</v>
      </c>
      <c r="B878" s="3">
        <f t="shared" si="485"/>
        <v>6.1</v>
      </c>
      <c r="C878" s="11" t="str">
        <f t="shared" si="475"/>
        <v>Consolidated intangible assets 2025-26</v>
      </c>
      <c r="D878" s="11" t="s">
        <v>201</v>
      </c>
      <c r="E878" s="13" t="s">
        <v>194</v>
      </c>
      <c r="F878" s="13"/>
      <c r="G878" s="26"/>
      <c r="H878" s="6"/>
      <c r="I878" s="6"/>
      <c r="J878" s="1257" t="s">
        <v>286</v>
      </c>
      <c r="K878" s="251">
        <f>SUMIF('alb Note 6.1 -  Intangibles CY'!$A:$A,$J878,'alb Note 6.1 -  Intangibles CY'!$C:$C)</f>
        <v>0</v>
      </c>
      <c r="L878" s="251">
        <f>SUMIF('alb Note 6.1 -  Intangibles CY'!$A:$A,$J878,'alb Note 6.1 -  Intangibles CY'!$N:$N)</f>
        <v>0</v>
      </c>
      <c r="M878" s="10"/>
      <c r="N878" s="273">
        <f>ROUND(SUM(O878:S878)+SUM(W878:AV878),0)</f>
        <v>0</v>
      </c>
      <c r="O878" s="12"/>
      <c r="P878" s="12"/>
      <c r="Q878" s="12"/>
      <c r="R878" s="12"/>
      <c r="S878" s="6">
        <f t="shared" si="483"/>
        <v>0</v>
      </c>
      <c r="T878" s="273">
        <f>ROUND(SUM(U878:Y878),0)</f>
        <v>0</v>
      </c>
      <c r="U878" s="6">
        <f>SUM(BL878:BN878)</f>
        <v>0</v>
      </c>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X878" s="6"/>
      <c r="AY878" s="6">
        <f>ROUND(AX878/1000/Update!$B$31*Update!$B$27,0)</f>
        <v>0</v>
      </c>
      <c r="BA878" s="6"/>
      <c r="BB878" s="6">
        <f>ROUND(BA878/1000/Update!$B$31,0)</f>
        <v>0</v>
      </c>
      <c r="BC878" s="6"/>
      <c r="BD878" s="29">
        <f t="shared" si="492"/>
        <v>0</v>
      </c>
      <c r="BE878" s="317"/>
      <c r="BF878" s="317"/>
      <c r="BG878" s="317"/>
      <c r="BH878" s="317"/>
      <c r="BI878" s="317"/>
      <c r="BJ878" s="317"/>
      <c r="BK878" s="29">
        <f t="shared" ref="BK878:BK941" si="507">ROUND(SUM(BO878:CI878),0)</f>
        <v>0</v>
      </c>
      <c r="BL878" s="317"/>
      <c r="BM878" s="317"/>
      <c r="BN878" s="317"/>
      <c r="BO878" s="317"/>
      <c r="BP878" s="317"/>
      <c r="BQ878" s="317"/>
      <c r="BR878" s="317"/>
      <c r="BS878" s="317"/>
      <c r="BT878" s="317"/>
      <c r="BU878" s="317"/>
      <c r="BV878" s="317"/>
      <c r="BW878" s="317"/>
      <c r="BX878" s="317"/>
      <c r="BY878" s="317"/>
      <c r="BZ878" s="317"/>
      <c r="CA878" s="317"/>
      <c r="CB878" s="317"/>
      <c r="CC878" s="317"/>
      <c r="CD878" s="317"/>
      <c r="CE878" s="317"/>
      <c r="CF878" s="317"/>
      <c r="CG878" s="317"/>
      <c r="CH878" s="317"/>
      <c r="CI878" s="317"/>
      <c r="CM878" s="1139">
        <v>0</v>
      </c>
      <c r="CN878" s="1139">
        <v>0</v>
      </c>
      <c r="CP878" s="923">
        <f t="shared" si="484"/>
        <v>0</v>
      </c>
      <c r="CZ878" s="330"/>
    </row>
    <row r="879" spans="1:104" ht="15" customHeight="1" x14ac:dyDescent="0.25">
      <c r="A879" s="684">
        <f>MAX($A$6:A878)+1</f>
        <v>879</v>
      </c>
      <c r="B879" s="3">
        <f t="shared" si="485"/>
        <v>6.1</v>
      </c>
      <c r="C879" s="11" t="str">
        <f t="shared" si="475"/>
        <v>Consolidated intangible assets 2025-26</v>
      </c>
      <c r="D879" s="11" t="s">
        <v>201</v>
      </c>
      <c r="E879" s="7" t="s">
        <v>197</v>
      </c>
      <c r="F879" s="7"/>
      <c r="G879" s="1254" t="s">
        <v>443</v>
      </c>
      <c r="H879" s="6" t="e">
        <v>#VALUE!</v>
      </c>
      <c r="I879" s="6" t="e">
        <v>#VALUE!</v>
      </c>
      <c r="J879" s="1257" t="s">
        <v>197</v>
      </c>
      <c r="K879" s="251">
        <f>SUMIF('alb Note 6.1 -  Intangibles CY'!$A:$A,$J879,'alb Note 6.1 -  Intangibles CY'!$C:$C)</f>
        <v>0</v>
      </c>
      <c r="L879" s="251">
        <f>SUMIF('alb Note 6.1 -  Intangibles CY'!$A:$A,$J879,'alb Note 6.1 -  Intangibles CY'!$N:$N)</f>
        <v>0</v>
      </c>
      <c r="M879" s="10"/>
      <c r="N879" s="273" t="e">
        <f>ROUND(SUM(O879:S879)+SUM(W879:AV879),0)</f>
        <v>#VALUE!</v>
      </c>
      <c r="O879" s="12"/>
      <c r="P879" s="12"/>
      <c r="Q879" s="12"/>
      <c r="R879" s="12"/>
      <c r="S879" s="6">
        <f t="shared" si="483"/>
        <v>0</v>
      </c>
      <c r="T879" s="273" t="e">
        <f>ROUND(SUM(U879:Y879),0)</f>
        <v>#VALUE!</v>
      </c>
      <c r="U879" s="251">
        <f>SUM(BL879:BN879)</f>
        <v>0</v>
      </c>
      <c r="V879" s="251"/>
      <c r="W879" s="251" t="e">
        <f>+H879</f>
        <v>#VALUE!</v>
      </c>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c r="AT879" s="251"/>
      <c r="AU879" s="251"/>
      <c r="AV879" s="251"/>
      <c r="AX879" s="6"/>
      <c r="AY879" s="6">
        <f>ROUND(AX879/1000/Update!$B$31*Update!$B$27,0)</f>
        <v>0</v>
      </c>
      <c r="BA879" s="6"/>
      <c r="BB879" s="6">
        <f>ROUND(BA879/1000/Update!$B$31,0)</f>
        <v>0</v>
      </c>
      <c r="BC879" s="6"/>
      <c r="BD879" s="29">
        <f t="shared" si="492"/>
        <v>0</v>
      </c>
      <c r="BE879" s="317"/>
      <c r="BF879" s="317"/>
      <c r="BG879" s="317"/>
      <c r="BH879" s="317"/>
      <c r="BI879" s="317"/>
      <c r="BJ879" s="317"/>
      <c r="BK879" s="29">
        <f t="shared" si="507"/>
        <v>0</v>
      </c>
      <c r="BL879" s="317"/>
      <c r="BM879" s="317"/>
      <c r="BN879" s="317"/>
      <c r="BO879" s="317"/>
      <c r="BP879" s="317"/>
      <c r="BQ879" s="317"/>
      <c r="BR879" s="317"/>
      <c r="BS879" s="317"/>
      <c r="BT879" s="317"/>
      <c r="BU879" s="317"/>
      <c r="BV879" s="317"/>
      <c r="BW879" s="317"/>
      <c r="BX879" s="317"/>
      <c r="BY879" s="317"/>
      <c r="BZ879" s="317"/>
      <c r="CA879" s="317"/>
      <c r="CB879" s="317"/>
      <c r="CC879" s="317"/>
      <c r="CD879" s="317"/>
      <c r="CE879" s="317"/>
      <c r="CF879" s="317"/>
      <c r="CG879" s="317"/>
      <c r="CH879" s="317"/>
      <c r="CI879" s="317"/>
      <c r="CM879" s="1139">
        <v>0</v>
      </c>
      <c r="CN879" s="1139">
        <v>0</v>
      </c>
      <c r="CP879" s="923">
        <f t="shared" si="484"/>
        <v>0</v>
      </c>
      <c r="CZ879" s="330"/>
    </row>
    <row r="880" spans="1:104" ht="15" customHeight="1" x14ac:dyDescent="0.25">
      <c r="A880" s="684">
        <f>MAX($A$6:A879)+1</f>
        <v>880</v>
      </c>
      <c r="B880" s="3">
        <f t="shared" si="485"/>
        <v>6.1</v>
      </c>
      <c r="C880" s="11" t="str">
        <f t="shared" si="475"/>
        <v>Consolidated intangible assets 2025-26</v>
      </c>
      <c r="D880" s="11" t="s">
        <v>201</v>
      </c>
      <c r="E880" s="7" t="s">
        <v>198</v>
      </c>
      <c r="F880" s="7"/>
      <c r="G880" s="1254" t="s">
        <v>444</v>
      </c>
      <c r="H880" s="6" t="e">
        <v>#VALUE!</v>
      </c>
      <c r="I880" s="6" t="e">
        <v>#VALUE!</v>
      </c>
      <c r="J880" s="1257" t="s">
        <v>198</v>
      </c>
      <c r="K880" s="251">
        <f>SUMIF('alb Note 6.1 -  Intangibles CY'!$A:$A,$J880,'alb Note 6.1 -  Intangibles CY'!$C:$C)</f>
        <v>0</v>
      </c>
      <c r="L880" s="251">
        <f>SUMIF('alb Note 6.1 -  Intangibles CY'!$A:$A,$J880,'alb Note 6.1 -  Intangibles CY'!$N:$N)</f>
        <v>0</v>
      </c>
      <c r="M880" s="10"/>
      <c r="N880" s="273" t="e">
        <f>ROUND(SUM(O880:S880)+SUM(W880:AV880),0)</f>
        <v>#VALUE!</v>
      </c>
      <c r="O880" s="12"/>
      <c r="P880" s="12"/>
      <c r="Q880" s="12"/>
      <c r="R880" s="12"/>
      <c r="S880" s="6">
        <f t="shared" si="483"/>
        <v>0</v>
      </c>
      <c r="T880" s="273" t="e">
        <f>ROUND(SUM(U880:Y880),0)</f>
        <v>#VALUE!</v>
      </c>
      <c r="U880" s="6">
        <f>SUM(BL880:BN880)</f>
        <v>0</v>
      </c>
      <c r="V880" s="6"/>
      <c r="W880" s="6" t="e">
        <f>+H880</f>
        <v>#VALUE!</v>
      </c>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X880" s="6"/>
      <c r="AY880" s="6">
        <f>ROUND(AX880/1000/Update!$B$31*Update!$B$27,0)</f>
        <v>0</v>
      </c>
      <c r="BA880" s="6"/>
      <c r="BB880" s="6">
        <f>ROUND(BA880/1000/Update!$B$31,0)</f>
        <v>0</v>
      </c>
      <c r="BC880" s="6"/>
      <c r="BD880" s="29">
        <f t="shared" si="492"/>
        <v>0</v>
      </c>
      <c r="BE880" s="317"/>
      <c r="BF880" s="317"/>
      <c r="BG880" s="317"/>
      <c r="BH880" s="317"/>
      <c r="BI880" s="317"/>
      <c r="BJ880" s="317"/>
      <c r="BK880" s="29">
        <f t="shared" si="507"/>
        <v>0</v>
      </c>
      <c r="BL880" s="317"/>
      <c r="BM880" s="317"/>
      <c r="BN880" s="317"/>
      <c r="BO880" s="317"/>
      <c r="BP880" s="317"/>
      <c r="BQ880" s="317"/>
      <c r="BR880" s="317"/>
      <c r="BS880" s="317"/>
      <c r="BT880" s="317"/>
      <c r="BU880" s="317"/>
      <c r="BV880" s="317"/>
      <c r="BW880" s="317"/>
      <c r="BX880" s="317"/>
      <c r="BY880" s="317"/>
      <c r="BZ880" s="317"/>
      <c r="CA880" s="317"/>
      <c r="CB880" s="317"/>
      <c r="CC880" s="317"/>
      <c r="CD880" s="317"/>
      <c r="CE880" s="317"/>
      <c r="CF880" s="317"/>
      <c r="CG880" s="317"/>
      <c r="CH880" s="317"/>
      <c r="CI880" s="317"/>
      <c r="CM880" s="1139">
        <v>0</v>
      </c>
      <c r="CN880" s="1139">
        <v>0</v>
      </c>
      <c r="CP880" s="923">
        <f t="shared" si="484"/>
        <v>0</v>
      </c>
      <c r="CZ880" s="330"/>
    </row>
    <row r="881" spans="1:104" ht="38.25" customHeight="1" x14ac:dyDescent="0.25">
      <c r="A881" s="684">
        <f>MAX($A$6:A880)+1</f>
        <v>881</v>
      </c>
      <c r="B881" s="3">
        <f t="shared" si="485"/>
        <v>6.1</v>
      </c>
      <c r="C881" s="11" t="str">
        <f t="shared" si="475"/>
        <v>Consolidated intangible assets 2025-26</v>
      </c>
      <c r="D881" s="11" t="s">
        <v>201</v>
      </c>
      <c r="E881" s="148" t="s">
        <v>1696</v>
      </c>
      <c r="F881" s="148"/>
      <c r="G881" s="1254" t="s">
        <v>199</v>
      </c>
      <c r="H881" s="6" t="e">
        <v>#VALUE!</v>
      </c>
      <c r="I881" s="6" t="e">
        <v>#VALUE!</v>
      </c>
      <c r="J881" s="1257" t="s">
        <v>769</v>
      </c>
      <c r="K881" s="251">
        <f>SUMIF('alb Note 6.1 -  Intangibles CY'!$A:$A,$J881,'alb Note 6.1 -  Intangibles CY'!$C:$C)</f>
        <v>0</v>
      </c>
      <c r="L881" s="251">
        <f>SUMIF('alb Note 6.1 -  Intangibles CY'!$A:$A,$J881,'alb Note 6.1 -  Intangibles CY'!$N:$N)</f>
        <v>0</v>
      </c>
      <c r="M881" s="10"/>
      <c r="N881" s="273" t="e">
        <f>ROUND(SUM(O881:S881)+SUM(W881:AV881),0)</f>
        <v>#VALUE!</v>
      </c>
      <c r="O881" s="12"/>
      <c r="P881" s="12"/>
      <c r="Q881" s="12"/>
      <c r="R881" s="12"/>
      <c r="S881" s="6">
        <f t="shared" si="483"/>
        <v>0</v>
      </c>
      <c r="T881" s="273" t="e">
        <f>ROUND(SUM(U881:Y881),0)</f>
        <v>#VALUE!</v>
      </c>
      <c r="U881" s="6">
        <f>SUM(BL881:BN881)</f>
        <v>0</v>
      </c>
      <c r="V881" s="6"/>
      <c r="W881" s="6" t="e">
        <f>+H881</f>
        <v>#VALUE!</v>
      </c>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X881" s="6"/>
      <c r="AY881" s="6">
        <f>ROUND(AX881/1000/Update!$B$31*Update!$B$27,0)</f>
        <v>0</v>
      </c>
      <c r="BA881" s="6"/>
      <c r="BB881" s="6">
        <f>ROUND(BA881/1000/Update!$B$31,0)</f>
        <v>0</v>
      </c>
      <c r="BC881" s="6"/>
      <c r="BD881" s="29">
        <f t="shared" si="492"/>
        <v>0</v>
      </c>
      <c r="BE881" s="317"/>
      <c r="BF881" s="317"/>
      <c r="BG881" s="317"/>
      <c r="BH881" s="317"/>
      <c r="BI881" s="317"/>
      <c r="BJ881" s="317"/>
      <c r="BK881" s="29">
        <f t="shared" si="507"/>
        <v>0</v>
      </c>
      <c r="BL881" s="317"/>
      <c r="BM881" s="317"/>
      <c r="BN881" s="317"/>
      <c r="BO881" s="317"/>
      <c r="BP881" s="317"/>
      <c r="BQ881" s="317"/>
      <c r="BR881" s="317"/>
      <c r="BS881" s="317"/>
      <c r="BT881" s="317"/>
      <c r="BU881" s="317"/>
      <c r="BV881" s="317"/>
      <c r="BW881" s="317"/>
      <c r="BX881" s="317"/>
      <c r="BY881" s="317"/>
      <c r="BZ881" s="317"/>
      <c r="CA881" s="317"/>
      <c r="CB881" s="317"/>
      <c r="CC881" s="317"/>
      <c r="CD881" s="317"/>
      <c r="CE881" s="317"/>
      <c r="CF881" s="317"/>
      <c r="CG881" s="317"/>
      <c r="CH881" s="317"/>
      <c r="CI881" s="317"/>
      <c r="CM881" s="1139">
        <v>0</v>
      </c>
      <c r="CN881" s="1139">
        <v>0</v>
      </c>
      <c r="CP881" s="923">
        <f t="shared" si="484"/>
        <v>0</v>
      </c>
      <c r="CZ881" s="330"/>
    </row>
    <row r="882" spans="1:104" ht="15" customHeight="1" x14ac:dyDescent="0.25">
      <c r="A882" s="684">
        <f>MAX($A$6:A881)+1</f>
        <v>882</v>
      </c>
      <c r="B882" s="3">
        <f t="shared" si="485"/>
        <v>6.1</v>
      </c>
      <c r="C882" s="11" t="str">
        <f t="shared" si="475"/>
        <v>Consolidated intangible assets 2025-26</v>
      </c>
      <c r="D882" s="11" t="s">
        <v>201</v>
      </c>
      <c r="E882" s="148" t="s">
        <v>1695</v>
      </c>
      <c r="F882" s="148"/>
      <c r="G882" s="1254" t="s">
        <v>1695</v>
      </c>
      <c r="H882" s="6" t="e">
        <v>#VALUE!</v>
      </c>
      <c r="I882" s="6" t="e">
        <v>#VALUE!</v>
      </c>
      <c r="J882" s="1254" t="s">
        <v>1695</v>
      </c>
      <c r="K882" s="251">
        <f>SUMIF('alb Note 6.1 -  Intangibles CY'!$A:$A,$J882,'alb Note 6.1 -  Intangibles CY'!$C:$C)</f>
        <v>0</v>
      </c>
      <c r="L882" s="251">
        <f>SUMIF('alb Note 6.1 -  Intangibles CY'!$A:$A,$J882,'alb Note 6.1 -  Intangibles CY'!$N:$N)</f>
        <v>0</v>
      </c>
      <c r="M882" s="10"/>
      <c r="N882" s="273" t="e">
        <f>ROUND(SUM(O882:S882)+SUM(W882:AV882),0)</f>
        <v>#VALUE!</v>
      </c>
      <c r="O882" s="12"/>
      <c r="P882" s="12"/>
      <c r="Q882" s="12"/>
      <c r="R882" s="12"/>
      <c r="S882" s="6">
        <f>-IF(ISNUMBER(BD882),BD882,0)</f>
        <v>0</v>
      </c>
      <c r="T882" s="273" t="e">
        <f>ROUND(SUM(U882:Y882),0)</f>
        <v>#VALUE!</v>
      </c>
      <c r="U882" s="6">
        <f>SUM(BL882:BN882)</f>
        <v>0</v>
      </c>
      <c r="V882" s="6"/>
      <c r="W882" s="6" t="e">
        <f>+H882</f>
        <v>#VALUE!</v>
      </c>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X882" s="6"/>
      <c r="AY882" s="6"/>
      <c r="BA882" s="6"/>
      <c r="BB882" s="6"/>
      <c r="BC882" s="6"/>
      <c r="BD882" s="29">
        <f t="shared" si="492"/>
        <v>0</v>
      </c>
      <c r="BE882" s="317"/>
      <c r="BF882" s="317"/>
      <c r="BG882" s="317"/>
      <c r="BH882" s="317"/>
      <c r="BI882" s="317"/>
      <c r="BJ882" s="317"/>
      <c r="BK882" s="29">
        <f t="shared" si="507"/>
        <v>0</v>
      </c>
      <c r="BL882" s="317"/>
      <c r="BM882" s="317"/>
      <c r="BN882" s="317"/>
      <c r="BO882" s="317"/>
      <c r="BP882" s="317"/>
      <c r="BQ882" s="317"/>
      <c r="BR882" s="317"/>
      <c r="BS882" s="317"/>
      <c r="BT882" s="317"/>
      <c r="BU882" s="317"/>
      <c r="BV882" s="317"/>
      <c r="BW882" s="317"/>
      <c r="BX882" s="317"/>
      <c r="BY882" s="317"/>
      <c r="BZ882" s="317"/>
      <c r="CA882" s="317"/>
      <c r="CB882" s="317"/>
      <c r="CC882" s="317"/>
      <c r="CD882" s="317"/>
      <c r="CE882" s="317"/>
      <c r="CF882" s="317"/>
      <c r="CG882" s="317"/>
      <c r="CH882" s="317"/>
      <c r="CI882" s="317"/>
      <c r="CM882" s="1139">
        <v>0</v>
      </c>
      <c r="CN882" s="1139">
        <v>0</v>
      </c>
      <c r="CP882" s="923">
        <f t="shared" si="484"/>
        <v>0</v>
      </c>
      <c r="CZ882" s="330"/>
    </row>
    <row r="883" spans="1:104" ht="15" customHeight="1" x14ac:dyDescent="0.25">
      <c r="A883" s="701">
        <f>MAX($A$6:A882)+1</f>
        <v>883</v>
      </c>
      <c r="B883" s="1291">
        <f t="shared" si="485"/>
        <v>6.1</v>
      </c>
      <c r="C883" s="18" t="str">
        <f t="shared" si="475"/>
        <v>Consolidated intangible assets 2025-26</v>
      </c>
      <c r="D883" s="18" t="s">
        <v>201</v>
      </c>
      <c r="E883" s="19" t="str">
        <f>"Carrying amount "&amp;Update!$B$22</f>
        <v>Carrying amount  31 March 2026</v>
      </c>
      <c r="F883" s="20"/>
      <c r="G883" s="28"/>
      <c r="H883" s="14" t="e">
        <f>SUM(H878:H882)</f>
        <v>#VALUE!</v>
      </c>
      <c r="I883" s="14" t="e">
        <f>SUM(I878:I882)</f>
        <v>#VALUE!</v>
      </c>
      <c r="J883" s="1258" t="s">
        <v>286</v>
      </c>
      <c r="K883" s="14">
        <f>SUM(K878:K882)</f>
        <v>0</v>
      </c>
      <c r="L883" s="14">
        <f>SUM(L878:L882)</f>
        <v>0</v>
      </c>
      <c r="M883" s="21"/>
      <c r="N883" s="14" t="e">
        <f>ROUND(SUM(O883:S883)+T883+SUM(Z883:AV883),0)</f>
        <v>#VALUE!</v>
      </c>
      <c r="O883" s="14">
        <f t="shared" ref="O883:W883" si="508">SUM(O878:O882)</f>
        <v>0</v>
      </c>
      <c r="P883" s="14">
        <f t="shared" si="508"/>
        <v>0</v>
      </c>
      <c r="Q883" s="14">
        <f t="shared" si="508"/>
        <v>0</v>
      </c>
      <c r="R883" s="14">
        <f t="shared" si="508"/>
        <v>0</v>
      </c>
      <c r="S883" s="14">
        <f t="shared" si="508"/>
        <v>0</v>
      </c>
      <c r="T883" s="14" t="e">
        <f t="shared" si="508"/>
        <v>#VALUE!</v>
      </c>
      <c r="U883" s="14">
        <f t="shared" si="508"/>
        <v>0</v>
      </c>
      <c r="V883" s="14">
        <f t="shared" si="508"/>
        <v>0</v>
      </c>
      <c r="W883" s="14" t="e">
        <f t="shared" si="508"/>
        <v>#VALUE!</v>
      </c>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2">
        <f t="shared" ref="AW883:BJ883" si="509">SUM(AW878:AW882)</f>
        <v>0</v>
      </c>
      <c r="AX883" s="14">
        <f t="shared" si="509"/>
        <v>0</v>
      </c>
      <c r="AY883" s="14">
        <f t="shared" si="509"/>
        <v>0</v>
      </c>
      <c r="AZ883" s="2">
        <f t="shared" si="509"/>
        <v>0</v>
      </c>
      <c r="BA883" s="14">
        <f t="shared" si="509"/>
        <v>0</v>
      </c>
      <c r="BB883" s="14">
        <f t="shared" si="509"/>
        <v>0</v>
      </c>
      <c r="BC883" s="14">
        <f t="shared" si="509"/>
        <v>0</v>
      </c>
      <c r="BD883" s="14">
        <f t="shared" si="509"/>
        <v>0</v>
      </c>
      <c r="BE883" s="318">
        <f t="shared" si="509"/>
        <v>0</v>
      </c>
      <c r="BF883" s="318">
        <f t="shared" si="509"/>
        <v>0</v>
      </c>
      <c r="BG883" s="318">
        <f t="shared" si="509"/>
        <v>0</v>
      </c>
      <c r="BH883" s="318">
        <f t="shared" si="509"/>
        <v>0</v>
      </c>
      <c r="BI883" s="318">
        <f t="shared" si="509"/>
        <v>0</v>
      </c>
      <c r="BJ883" s="318">
        <f t="shared" si="509"/>
        <v>0</v>
      </c>
      <c r="BK883" s="14">
        <f t="shared" si="507"/>
        <v>0</v>
      </c>
      <c r="BL883" s="318"/>
      <c r="BM883" s="318"/>
      <c r="BN883" s="318"/>
      <c r="BO883" s="318"/>
      <c r="BP883" s="318"/>
      <c r="BQ883" s="318"/>
      <c r="BR883" s="318"/>
      <c r="BS883" s="318"/>
      <c r="BT883" s="318"/>
      <c r="BU883" s="318"/>
      <c r="BV883" s="318"/>
      <c r="BW883" s="318"/>
      <c r="BX883" s="318"/>
      <c r="BY883" s="318"/>
      <c r="BZ883" s="318"/>
      <c r="CA883" s="318"/>
      <c r="CB883" s="318"/>
      <c r="CC883" s="318"/>
      <c r="CD883" s="318"/>
      <c r="CE883" s="318"/>
      <c r="CF883" s="318"/>
      <c r="CG883" s="318"/>
      <c r="CH883" s="318"/>
      <c r="CI883" s="318"/>
      <c r="CJ883" s="2"/>
      <c r="CK883" s="2"/>
      <c r="CM883" s="1140">
        <v>0</v>
      </c>
      <c r="CN883" s="1140">
        <v>0</v>
      </c>
      <c r="CP883" s="923">
        <f t="shared" si="484"/>
        <v>0</v>
      </c>
      <c r="CZ883" s="330"/>
    </row>
    <row r="884" spans="1:104" ht="18.75" customHeight="1" x14ac:dyDescent="0.25">
      <c r="A884" s="684">
        <f>MAX($A$6:A883)+1</f>
        <v>884</v>
      </c>
      <c r="B884" s="3">
        <f t="shared" si="485"/>
        <v>6.1</v>
      </c>
      <c r="C884" s="11" t="str">
        <f>C883</f>
        <v>Consolidated intangible assets 2025-26</v>
      </c>
      <c r="D884" s="11" t="s">
        <v>211</v>
      </c>
      <c r="E884" s="277" t="s">
        <v>183</v>
      </c>
      <c r="F884" s="277"/>
      <c r="G884" s="26"/>
      <c r="H884" s="6"/>
      <c r="I884" s="6"/>
      <c r="J884" s="1257" t="s">
        <v>286</v>
      </c>
      <c r="K884" s="251">
        <f>SUMIF('alb Note 6.1 -  Intangibles CY'!$A:$A,$J884,'alb Note 6.1 -  Intangibles CY'!$B:$B)</f>
        <v>0</v>
      </c>
      <c r="L884" s="251">
        <f>SUMIF('alb Note 6.1 -  Intangibles CY'!$A:$A,$J884,'alb Note 6.1 -  Intangibles CY'!$M:$M)</f>
        <v>0</v>
      </c>
      <c r="M884" s="10"/>
      <c r="N884" s="273">
        <f>ROUND(SUM(O884:S884)+SUM(W884:AV884),0)</f>
        <v>0</v>
      </c>
      <c r="O884" s="12"/>
      <c r="P884" s="12"/>
      <c r="Q884" s="12"/>
      <c r="R884" s="12"/>
      <c r="S884" s="6">
        <f t="shared" si="483"/>
        <v>0</v>
      </c>
      <c r="T884" s="273">
        <f>ROUND(SUM(U884:Y884),0)</f>
        <v>0</v>
      </c>
      <c r="U884" s="6">
        <f>SUM(BL884:BN884)</f>
        <v>0</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X884" s="6"/>
      <c r="AY884" s="6">
        <f>ROUND(AX884/1000/Update!$B$31*Update!$B$27,0)</f>
        <v>0</v>
      </c>
      <c r="BA884" s="6"/>
      <c r="BB884" s="6">
        <f>ROUND(BA884/1000/Update!$B$31,0)</f>
        <v>0</v>
      </c>
      <c r="BC884" s="6"/>
      <c r="BD884" s="29">
        <f t="shared" si="492"/>
        <v>0</v>
      </c>
      <c r="BE884" s="322"/>
      <c r="BF884" s="322"/>
      <c r="BG884" s="322"/>
      <c r="BH884" s="322"/>
      <c r="BI884" s="322"/>
      <c r="BJ884" s="322"/>
      <c r="BK884" s="29">
        <f t="shared" si="507"/>
        <v>0</v>
      </c>
      <c r="BL884" s="322"/>
      <c r="BM884" s="322"/>
      <c r="BN884" s="322"/>
      <c r="BO884" s="322"/>
      <c r="BP884" s="322"/>
      <c r="BQ884" s="322"/>
      <c r="BR884" s="322"/>
      <c r="BS884" s="322"/>
      <c r="BT884" s="322"/>
      <c r="BU884" s="322"/>
      <c r="BV884" s="322"/>
      <c r="BW884" s="322"/>
      <c r="BX884" s="322"/>
      <c r="BY884" s="322"/>
      <c r="BZ884" s="322"/>
      <c r="CA884" s="322"/>
      <c r="CB884" s="322"/>
      <c r="CC884" s="322"/>
      <c r="CD884" s="322"/>
      <c r="CE884" s="322"/>
      <c r="CF884" s="322"/>
      <c r="CG884" s="322"/>
      <c r="CH884" s="322"/>
      <c r="CI884" s="322"/>
      <c r="CM884" s="1139">
        <v>0</v>
      </c>
      <c r="CN884" s="1139">
        <v>0</v>
      </c>
      <c r="CP884" s="923">
        <f t="shared" si="484"/>
        <v>0</v>
      </c>
      <c r="CZ884" s="330"/>
    </row>
    <row r="885" spans="1:104" ht="15" customHeight="1" x14ac:dyDescent="0.25">
      <c r="A885" s="684">
        <f>MAX($A$6:A884)+1</f>
        <v>885</v>
      </c>
      <c r="B885" s="3">
        <f t="shared" si="485"/>
        <v>6.1</v>
      </c>
      <c r="C885" s="11" t="str">
        <f t="shared" si="475"/>
        <v>Consolidated intangible assets 2025-26</v>
      </c>
      <c r="D885" s="11" t="s">
        <v>211</v>
      </c>
      <c r="E885" s="7" t="str">
        <f>"At"&amp;Update!$B$20</f>
        <v>At 1 April 2025</v>
      </c>
      <c r="F885" s="15"/>
      <c r="G885" s="1267" t="str">
        <f>"At"&amp;Update!$B$20</f>
        <v>At 1 April 2025</v>
      </c>
      <c r="H885" s="6">
        <v>148</v>
      </c>
      <c r="I885" s="6">
        <v>0</v>
      </c>
      <c r="J885" s="1257" t="str">
        <f>$E885</f>
        <v>At 1 April 2025</v>
      </c>
      <c r="K885" s="251">
        <f>SUMIF('alb Note 6.1 -  Intangibles CY'!$A:$A,$J885,'alb Note 6.1 -  Intangibles CY'!$B:$B)</f>
        <v>0</v>
      </c>
      <c r="L885" s="251">
        <f>SUMIF('alb Note 6.1 -  Intangibles CY'!$A:$A,$J885,'alb Note 6.1 -  Intangibles CY'!$M:$M)</f>
        <v>0</v>
      </c>
      <c r="M885" s="10"/>
      <c r="N885" s="273">
        <f>ROUND(SUM(O885:S885)+SUM(W885:AV885),0)</f>
        <v>148</v>
      </c>
      <c r="O885" s="12"/>
      <c r="P885" s="12"/>
      <c r="Q885" s="12"/>
      <c r="R885" s="12"/>
      <c r="S885" s="6">
        <f t="shared" si="483"/>
        <v>0</v>
      </c>
      <c r="T885" s="273">
        <f>ROUND(SUM(U885:Y885),0)</f>
        <v>148</v>
      </c>
      <c r="U885" s="6">
        <f>SUM(BL885:BN885)</f>
        <v>0</v>
      </c>
      <c r="V885" s="6"/>
      <c r="W885" s="6">
        <f t="shared" ref="W885:W896" si="510">+H885</f>
        <v>148</v>
      </c>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X885" s="6"/>
      <c r="AY885" s="6">
        <f>ROUND(AX885/1000/Update!$B$31*Update!$B$27,0)</f>
        <v>0</v>
      </c>
      <c r="BA885" s="6"/>
      <c r="BB885" s="6">
        <f>ROUND(BA885/1000/Update!$B$31,0)</f>
        <v>0</v>
      </c>
      <c r="BC885" s="6"/>
      <c r="BD885" s="29">
        <f t="shared" si="492"/>
        <v>0</v>
      </c>
      <c r="BE885" s="322"/>
      <c r="BF885" s="322"/>
      <c r="BG885" s="322"/>
      <c r="BH885" s="322"/>
      <c r="BI885" s="322"/>
      <c r="BJ885" s="322"/>
      <c r="BK885" s="29">
        <f t="shared" si="507"/>
        <v>0</v>
      </c>
      <c r="BL885" s="322"/>
      <c r="BM885" s="322"/>
      <c r="BN885" s="322"/>
      <c r="BO885" s="322"/>
      <c r="BP885" s="322"/>
      <c r="BQ885" s="322"/>
      <c r="BR885" s="322"/>
      <c r="BS885" s="322"/>
      <c r="BT885" s="322"/>
      <c r="BU885" s="322"/>
      <c r="BV885" s="322"/>
      <c r="BW885" s="322"/>
      <c r="BX885" s="322"/>
      <c r="BY885" s="322"/>
      <c r="BZ885" s="322"/>
      <c r="CA885" s="322"/>
      <c r="CB885" s="322"/>
      <c r="CC885" s="322"/>
      <c r="CD885" s="322"/>
      <c r="CE885" s="322"/>
      <c r="CF885" s="322"/>
      <c r="CG885" s="322"/>
      <c r="CH885" s="322"/>
      <c r="CI885" s="322"/>
      <c r="CM885" s="1139">
        <v>0</v>
      </c>
      <c r="CN885" s="1139">
        <v>0</v>
      </c>
      <c r="CP885" s="923">
        <f t="shared" si="484"/>
        <v>0</v>
      </c>
      <c r="CZ885" s="330"/>
    </row>
    <row r="886" spans="1:104" ht="15" customHeight="1" x14ac:dyDescent="0.25">
      <c r="A886" s="684">
        <f>MAX($A$6:A885)+1</f>
        <v>886</v>
      </c>
      <c r="B886" s="3">
        <f t="shared" si="485"/>
        <v>6.1</v>
      </c>
      <c r="C886" s="11" t="str">
        <f t="shared" si="475"/>
        <v>Consolidated intangible assets 2025-26</v>
      </c>
      <c r="D886" s="11" t="str">
        <f>D885</f>
        <v>Software Licences</v>
      </c>
      <c r="E886" s="7" t="s">
        <v>435</v>
      </c>
      <c r="F886" s="7"/>
      <c r="G886" s="1254" t="s">
        <v>435</v>
      </c>
      <c r="H886" s="6">
        <v>0</v>
      </c>
      <c r="I886" s="6">
        <v>0</v>
      </c>
      <c r="J886" s="1257" t="s">
        <v>184</v>
      </c>
      <c r="K886" s="251">
        <f>SUMIF('alb Note 6.1 -  Intangibles CY'!$A:$A,$J886,'alb Note 6.1 -  Intangibles CY'!$B:$B)</f>
        <v>0</v>
      </c>
      <c r="L886" s="251">
        <f>SUMIF('alb Note 6.1 -  Intangibles CY'!$A:$A,$J886,'alb Note 6.1 -  Intangibles CY'!$M:$M)</f>
        <v>0</v>
      </c>
      <c r="M886" s="10"/>
      <c r="N886" s="273">
        <f>ROUND(SUM(O886:S886)+SUM(W886:AV886),0)</f>
        <v>0</v>
      </c>
      <c r="O886" s="12"/>
      <c r="P886" s="12"/>
      <c r="Q886" s="12"/>
      <c r="R886" s="12"/>
      <c r="S886" s="6">
        <f t="shared" si="483"/>
        <v>0</v>
      </c>
      <c r="T886" s="273">
        <f>ROUND(SUM(U886:Y886),0)</f>
        <v>0</v>
      </c>
      <c r="U886" s="6">
        <f>SUM(BL886:BN886)</f>
        <v>0</v>
      </c>
      <c r="V886" s="6"/>
      <c r="W886" s="6">
        <f t="shared" si="510"/>
        <v>0</v>
      </c>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X886" s="6"/>
      <c r="AY886" s="6">
        <f>ROUND(AX886/1000/Update!$B$31*Update!$B$27,0)</f>
        <v>0</v>
      </c>
      <c r="BA886" s="6"/>
      <c r="BB886" s="6">
        <f>ROUND(BA886/1000/Update!$B$31,0)</f>
        <v>0</v>
      </c>
      <c r="BC886" s="6"/>
      <c r="BD886" s="29">
        <f t="shared" si="492"/>
        <v>0</v>
      </c>
      <c r="BE886" s="322"/>
      <c r="BF886" s="322"/>
      <c r="BG886" s="322"/>
      <c r="BH886" s="322"/>
      <c r="BI886" s="322"/>
      <c r="BJ886" s="322"/>
      <c r="BK886" s="29">
        <f t="shared" si="507"/>
        <v>0</v>
      </c>
      <c r="BL886" s="322"/>
      <c r="BM886" s="322"/>
      <c r="BN886" s="322"/>
      <c r="BO886" s="322"/>
      <c r="BP886" s="322"/>
      <c r="BQ886" s="322"/>
      <c r="BR886" s="322"/>
      <c r="BS886" s="322"/>
      <c r="BT886" s="322"/>
      <c r="BU886" s="322"/>
      <c r="BV886" s="322"/>
      <c r="BW886" s="322"/>
      <c r="BX886" s="322"/>
      <c r="BY886" s="322"/>
      <c r="BZ886" s="322"/>
      <c r="CA886" s="322"/>
      <c r="CB886" s="322"/>
      <c r="CC886" s="322"/>
      <c r="CD886" s="322"/>
      <c r="CE886" s="322"/>
      <c r="CF886" s="322"/>
      <c r="CG886" s="322"/>
      <c r="CH886" s="322"/>
      <c r="CI886" s="322"/>
      <c r="CM886" s="1139">
        <v>0</v>
      </c>
      <c r="CN886" s="1139">
        <v>0</v>
      </c>
      <c r="CP886" s="923">
        <f t="shared" si="484"/>
        <v>0</v>
      </c>
      <c r="CZ886" s="330"/>
    </row>
    <row r="887" spans="1:104" ht="15" customHeight="1" x14ac:dyDescent="0.25">
      <c r="A887" s="701">
        <f>MAX($A$6:A886)+1</f>
        <v>887</v>
      </c>
      <c r="B887" s="1291">
        <f t="shared" si="485"/>
        <v>6.1</v>
      </c>
      <c r="C887" s="18" t="str">
        <f t="shared" si="475"/>
        <v>Consolidated intangible assets 2025-26</v>
      </c>
      <c r="D887" s="18" t="str">
        <f>D886</f>
        <v>Software Licences</v>
      </c>
      <c r="E887" s="19" t="s">
        <v>869</v>
      </c>
      <c r="F887" s="20"/>
      <c r="G887" s="1278" t="s">
        <v>442</v>
      </c>
      <c r="H887" s="14">
        <f>SUM(H884:H886)</f>
        <v>148</v>
      </c>
      <c r="I887" s="14">
        <f>SUM(I884:I886)</f>
        <v>0</v>
      </c>
      <c r="J887" s="1258" t="s">
        <v>869</v>
      </c>
      <c r="K887" s="14">
        <f>SUM(K884:K886)</f>
        <v>0</v>
      </c>
      <c r="L887" s="14">
        <f>SUM(L884:L886)</f>
        <v>0</v>
      </c>
      <c r="M887" s="21"/>
      <c r="N887" s="14">
        <f>ROUND(SUM(O887:S887)+T887+SUM(Z887:AV887),0)</f>
        <v>148</v>
      </c>
      <c r="O887" s="14">
        <f t="shared" ref="O887:W887" si="511">SUM(O884:O886)</f>
        <v>0</v>
      </c>
      <c r="P887" s="14">
        <f t="shared" si="511"/>
        <v>0</v>
      </c>
      <c r="Q887" s="14">
        <f t="shared" si="511"/>
        <v>0</v>
      </c>
      <c r="R887" s="14">
        <f t="shared" si="511"/>
        <v>0</v>
      </c>
      <c r="S887" s="14">
        <f t="shared" si="483"/>
        <v>0</v>
      </c>
      <c r="T887" s="14">
        <f t="shared" si="511"/>
        <v>148</v>
      </c>
      <c r="U887" s="14">
        <f t="shared" si="511"/>
        <v>0</v>
      </c>
      <c r="V887" s="14">
        <f t="shared" si="511"/>
        <v>0</v>
      </c>
      <c r="W887" s="14">
        <f t="shared" si="511"/>
        <v>148</v>
      </c>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2"/>
      <c r="AX887" s="14">
        <f>SUM(AX884:AX886)</f>
        <v>0</v>
      </c>
      <c r="AY887" s="14">
        <f>ROUND(AX887/1000/Update!$B$31*Update!$B$27,0)</f>
        <v>0</v>
      </c>
      <c r="AZ887" s="2"/>
      <c r="BA887" s="14">
        <f>SUM(BA884:BA886)</f>
        <v>0</v>
      </c>
      <c r="BB887" s="14">
        <f>ROUND(BA887/1000/Update!$B$31,0)</f>
        <v>0</v>
      </c>
      <c r="BC887" s="14"/>
      <c r="BD887" s="14">
        <f t="shared" si="492"/>
        <v>0</v>
      </c>
      <c r="BE887" s="318">
        <f t="shared" ref="BE887:BJ887" si="512">SUM(BE884:BE886)</f>
        <v>0</v>
      </c>
      <c r="BF887" s="318">
        <f t="shared" si="512"/>
        <v>0</v>
      </c>
      <c r="BG887" s="318">
        <f t="shared" si="512"/>
        <v>0</v>
      </c>
      <c r="BH887" s="318">
        <f t="shared" si="512"/>
        <v>0</v>
      </c>
      <c r="BI887" s="318">
        <f t="shared" si="512"/>
        <v>0</v>
      </c>
      <c r="BJ887" s="318">
        <f t="shared" si="512"/>
        <v>0</v>
      </c>
      <c r="BK887" s="14">
        <f t="shared" si="507"/>
        <v>0</v>
      </c>
      <c r="BL887" s="318"/>
      <c r="BM887" s="318"/>
      <c r="BN887" s="318"/>
      <c r="BO887" s="318"/>
      <c r="BP887" s="318"/>
      <c r="BQ887" s="318"/>
      <c r="BR887" s="318"/>
      <c r="BS887" s="318"/>
      <c r="BT887" s="318"/>
      <c r="BU887" s="318"/>
      <c r="BV887" s="318"/>
      <c r="BW887" s="318"/>
      <c r="BX887" s="318"/>
      <c r="BY887" s="318"/>
      <c r="BZ887" s="318"/>
      <c r="CA887" s="318"/>
      <c r="CB887" s="318"/>
      <c r="CC887" s="318"/>
      <c r="CD887" s="318"/>
      <c r="CE887" s="318"/>
      <c r="CF887" s="318"/>
      <c r="CG887" s="318"/>
      <c r="CH887" s="318"/>
      <c r="CI887" s="318"/>
      <c r="CJ887" s="2"/>
      <c r="CK887" s="2"/>
      <c r="CM887" s="1140">
        <v>0</v>
      </c>
      <c r="CN887" s="1140">
        <v>0</v>
      </c>
      <c r="CP887" s="923">
        <f t="shared" si="484"/>
        <v>0</v>
      </c>
      <c r="CZ887" s="330"/>
    </row>
    <row r="888" spans="1:104" ht="15" customHeight="1" x14ac:dyDescent="0.25">
      <c r="A888" s="684">
        <f>MAX($A$6:A887)+1</f>
        <v>888</v>
      </c>
      <c r="B888" s="3">
        <f t="shared" si="485"/>
        <v>6.1</v>
      </c>
      <c r="C888" s="11" t="str">
        <f t="shared" si="475"/>
        <v>Consolidated intangible assets 2025-26</v>
      </c>
      <c r="D888" s="11" t="s">
        <v>211</v>
      </c>
      <c r="E888" s="7" t="s">
        <v>185</v>
      </c>
      <c r="F888" s="7"/>
      <c r="G888" s="1254" t="s">
        <v>185</v>
      </c>
      <c r="H888" s="6">
        <v>0</v>
      </c>
      <c r="I888" s="6">
        <v>0</v>
      </c>
      <c r="J888" s="1257" t="s">
        <v>185</v>
      </c>
      <c r="K888" s="251">
        <f>SUMIF('alb Note 6.1 -  Intangibles CY'!$A:$A,$J888,'alb Note 6.1 -  Intangibles CY'!$B:$B)</f>
        <v>0</v>
      </c>
      <c r="L888" s="251">
        <f>SUMIF('alb Note 6.1 -  Intangibles CY'!$A:$A,$J888,'alb Note 6.1 -  Intangibles CY'!$M:$M)</f>
        <v>0</v>
      </c>
      <c r="M888" s="10"/>
      <c r="N888" s="273">
        <f t="shared" ref="N888:N896" si="513">ROUND(SUM(O888:S888)+SUM(W888:AV888),0)</f>
        <v>0</v>
      </c>
      <c r="O888" s="12"/>
      <c r="P888" s="12"/>
      <c r="Q888" s="12"/>
      <c r="R888" s="12"/>
      <c r="S888" s="6">
        <f t="shared" si="483"/>
        <v>0</v>
      </c>
      <c r="T888" s="273">
        <f t="shared" ref="T888:T896" si="514">ROUND(SUM(U888:Y888),0)</f>
        <v>0</v>
      </c>
      <c r="U888" s="6">
        <f t="shared" ref="U888:U896" si="515">SUM(BL888:BN888)</f>
        <v>0</v>
      </c>
      <c r="V888" s="6"/>
      <c r="W888" s="6">
        <f t="shared" si="510"/>
        <v>0</v>
      </c>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X888" s="6"/>
      <c r="AY888" s="6">
        <f>ROUND(AX888/1000/Update!$B$31*Update!$B$27,0)</f>
        <v>0</v>
      </c>
      <c r="BA888" s="6"/>
      <c r="BB888" s="6">
        <f>ROUND(BA888/1000/Update!$B$31,0)</f>
        <v>0</v>
      </c>
      <c r="BC888" s="6"/>
      <c r="BD888" s="29">
        <f t="shared" si="492"/>
        <v>0</v>
      </c>
      <c r="BE888" s="322"/>
      <c r="BF888" s="322"/>
      <c r="BG888" s="322"/>
      <c r="BH888" s="322"/>
      <c r="BI888" s="322"/>
      <c r="BJ888" s="322"/>
      <c r="BK888" s="29">
        <f t="shared" si="507"/>
        <v>0</v>
      </c>
      <c r="BL888" s="322"/>
      <c r="BM888" s="322"/>
      <c r="BN888" s="322"/>
      <c r="BO888" s="322"/>
      <c r="BP888" s="322"/>
      <c r="BQ888" s="322"/>
      <c r="BR888" s="322"/>
      <c r="BS888" s="322"/>
      <c r="BT888" s="322"/>
      <c r="BU888" s="322"/>
      <c r="BV888" s="322"/>
      <c r="BW888" s="322"/>
      <c r="BX888" s="322"/>
      <c r="BY888" s="322"/>
      <c r="BZ888" s="322"/>
      <c r="CA888" s="322"/>
      <c r="CB888" s="322"/>
      <c r="CC888" s="322"/>
      <c r="CD888" s="322"/>
      <c r="CE888" s="322"/>
      <c r="CF888" s="322"/>
      <c r="CG888" s="322"/>
      <c r="CH888" s="322"/>
      <c r="CI888" s="322"/>
      <c r="CM888" s="1139">
        <v>0</v>
      </c>
      <c r="CN888" s="1139">
        <v>0</v>
      </c>
      <c r="CP888" s="923">
        <f t="shared" si="484"/>
        <v>0</v>
      </c>
      <c r="CZ888" s="330"/>
    </row>
    <row r="889" spans="1:104" ht="30" customHeight="1" x14ac:dyDescent="0.25">
      <c r="A889" s="684">
        <f>MAX($A$6:A888)+1</f>
        <v>889</v>
      </c>
      <c r="B889" s="3">
        <f t="shared" si="485"/>
        <v>6.1</v>
      </c>
      <c r="C889" s="11" t="str">
        <f t="shared" si="475"/>
        <v>Consolidated intangible assets 2025-26</v>
      </c>
      <c r="D889" s="11" t="s">
        <v>211</v>
      </c>
      <c r="E889" s="7" t="s">
        <v>437</v>
      </c>
      <c r="F889" s="7"/>
      <c r="G889" s="1254" t="s">
        <v>437</v>
      </c>
      <c r="H889" s="6">
        <v>0</v>
      </c>
      <c r="I889" s="6">
        <v>0</v>
      </c>
      <c r="J889" s="1257" t="s">
        <v>437</v>
      </c>
      <c r="K889" s="251">
        <f>SUMIF('alb Note 6.1 -  Intangibles CY'!$A:$A,$J889,'alb Note 6.1 -  Intangibles CY'!$B:$B)</f>
        <v>0</v>
      </c>
      <c r="L889" s="251">
        <f>SUMIF('alb Note 6.1 -  Intangibles CY'!$A:$A,$J889,'alb Note 6.1 -  Intangibles CY'!$M:$M)</f>
        <v>0</v>
      </c>
      <c r="M889" s="10"/>
      <c r="N889" s="273">
        <f t="shared" si="513"/>
        <v>0</v>
      </c>
      <c r="O889" s="12"/>
      <c r="P889" s="12"/>
      <c r="Q889" s="12"/>
      <c r="R889" s="12"/>
      <c r="S889" s="6">
        <f t="shared" si="483"/>
        <v>0</v>
      </c>
      <c r="T889" s="273">
        <f t="shared" si="514"/>
        <v>0</v>
      </c>
      <c r="U889" s="6">
        <f t="shared" si="515"/>
        <v>0</v>
      </c>
      <c r="V889" s="6"/>
      <c r="W889" s="6">
        <f t="shared" si="510"/>
        <v>0</v>
      </c>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X889" s="6"/>
      <c r="AY889" s="6">
        <f>ROUND(AX889/1000/Update!$B$31*Update!$B$27,0)</f>
        <v>0</v>
      </c>
      <c r="BA889" s="6"/>
      <c r="BB889" s="6">
        <f>ROUND(BA889/1000/Update!$B$31,0)</f>
        <v>0</v>
      </c>
      <c r="BC889" s="6"/>
      <c r="BD889" s="29">
        <f t="shared" si="492"/>
        <v>0</v>
      </c>
      <c r="BE889" s="322"/>
      <c r="BF889" s="322"/>
      <c r="BG889" s="322"/>
      <c r="BH889" s="322"/>
      <c r="BI889" s="322"/>
      <c r="BJ889" s="322"/>
      <c r="BK889" s="29">
        <f t="shared" si="507"/>
        <v>0</v>
      </c>
      <c r="BL889" s="322"/>
      <c r="BM889" s="322"/>
      <c r="BN889" s="322"/>
      <c r="BO889" s="322"/>
      <c r="BP889" s="322"/>
      <c r="BQ889" s="322"/>
      <c r="BR889" s="322"/>
      <c r="BS889" s="322"/>
      <c r="BT889" s="322"/>
      <c r="BU889" s="322"/>
      <c r="BV889" s="322"/>
      <c r="BW889" s="322"/>
      <c r="BX889" s="322"/>
      <c r="BY889" s="322"/>
      <c r="BZ889" s="322"/>
      <c r="CA889" s="322"/>
      <c r="CB889" s="322"/>
      <c r="CC889" s="322"/>
      <c r="CD889" s="322"/>
      <c r="CE889" s="322"/>
      <c r="CF889" s="322"/>
      <c r="CG889" s="322"/>
      <c r="CH889" s="322"/>
      <c r="CI889" s="322"/>
      <c r="CM889" s="1139">
        <v>0</v>
      </c>
      <c r="CN889" s="1139">
        <v>0</v>
      </c>
      <c r="CP889" s="923">
        <f t="shared" si="484"/>
        <v>0</v>
      </c>
      <c r="CZ889" s="330"/>
    </row>
    <row r="890" spans="1:104" ht="15" customHeight="1" x14ac:dyDescent="0.25">
      <c r="A890" s="684">
        <f>MAX($A$6:A889)+1</f>
        <v>890</v>
      </c>
      <c r="B890" s="3">
        <f t="shared" si="485"/>
        <v>6.1</v>
      </c>
      <c r="C890" s="11" t="str">
        <f>C887</f>
        <v>Consolidated intangible assets 2025-26</v>
      </c>
      <c r="D890" s="11" t="s">
        <v>211</v>
      </c>
      <c r="E890" s="7" t="s">
        <v>187</v>
      </c>
      <c r="F890" s="7"/>
      <c r="G890" s="1257" t="s">
        <v>187</v>
      </c>
      <c r="H890" s="6">
        <v>0</v>
      </c>
      <c r="I890" s="6">
        <v>0</v>
      </c>
      <c r="J890" s="1257" t="s">
        <v>187</v>
      </c>
      <c r="K890" s="251">
        <f>SUMIF('alb Note 6.1 -  Intangibles CY'!$A:$A,$J890,'alb Note 6.1 -  Intangibles CY'!$B:$B)</f>
        <v>0</v>
      </c>
      <c r="L890" s="251">
        <f>SUMIF('alb Note 6.1 -  Intangibles CY'!$A:$A,$J890,'alb Note 6.1 -  Intangibles CY'!$M:$M)</f>
        <v>0</v>
      </c>
      <c r="M890" s="10"/>
      <c r="N890" s="273">
        <f t="shared" si="513"/>
        <v>0</v>
      </c>
      <c r="O890" s="12"/>
      <c r="P890" s="12"/>
      <c r="Q890" s="12"/>
      <c r="R890" s="12"/>
      <c r="S890" s="6">
        <f t="shared" si="483"/>
        <v>0</v>
      </c>
      <c r="T890" s="273">
        <f t="shared" si="514"/>
        <v>0</v>
      </c>
      <c r="U890" s="6">
        <f t="shared" si="515"/>
        <v>0</v>
      </c>
      <c r="V890" s="6"/>
      <c r="W890" s="6">
        <f t="shared" si="510"/>
        <v>0</v>
      </c>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X890" s="6"/>
      <c r="AY890" s="6">
        <f>ROUND(AX890/1000/Update!$B$31*Update!$B$27,0)</f>
        <v>0</v>
      </c>
      <c r="BA890" s="6"/>
      <c r="BB890" s="6">
        <f>ROUND(BA890/1000/Update!$B$31,0)</f>
        <v>0</v>
      </c>
      <c r="BC890" s="6"/>
      <c r="BD890" s="29">
        <f t="shared" si="492"/>
        <v>0</v>
      </c>
      <c r="BE890" s="322"/>
      <c r="BF890" s="322"/>
      <c r="BG890" s="322"/>
      <c r="BH890" s="322"/>
      <c r="BI890" s="322"/>
      <c r="BJ890" s="322"/>
      <c r="BK890" s="29">
        <f t="shared" si="507"/>
        <v>0</v>
      </c>
      <c r="BL890" s="322"/>
      <c r="BM890" s="322"/>
      <c r="BN890" s="322"/>
      <c r="BO890" s="322"/>
      <c r="BP890" s="322"/>
      <c r="BQ890" s="322"/>
      <c r="BR890" s="322"/>
      <c r="BS890" s="322"/>
      <c r="BT890" s="322"/>
      <c r="BU890" s="322"/>
      <c r="BV890" s="322"/>
      <c r="BW890" s="322"/>
      <c r="BX890" s="322"/>
      <c r="BY890" s="322"/>
      <c r="BZ890" s="322"/>
      <c r="CA890" s="322"/>
      <c r="CB890" s="322"/>
      <c r="CC890" s="322"/>
      <c r="CD890" s="322"/>
      <c r="CE890" s="322"/>
      <c r="CF890" s="322"/>
      <c r="CG890" s="322"/>
      <c r="CH890" s="322"/>
      <c r="CI890" s="322"/>
      <c r="CM890" s="1139">
        <v>0</v>
      </c>
      <c r="CN890" s="1139">
        <v>0</v>
      </c>
      <c r="CP890" s="923">
        <f t="shared" si="484"/>
        <v>0</v>
      </c>
      <c r="CZ890" s="330"/>
    </row>
    <row r="891" spans="1:104" ht="15" customHeight="1" x14ac:dyDescent="0.25">
      <c r="A891" s="684">
        <f>MAX($A$6:A890)+1</f>
        <v>891</v>
      </c>
      <c r="B891" s="3">
        <f t="shared" si="485"/>
        <v>6.1</v>
      </c>
      <c r="C891" s="11" t="str">
        <f>C889</f>
        <v>Consolidated intangible assets 2025-26</v>
      </c>
      <c r="D891" s="11" t="s">
        <v>211</v>
      </c>
      <c r="E891" s="7" t="s">
        <v>191</v>
      </c>
      <c r="F891" s="7"/>
      <c r="G891" s="1254" t="s">
        <v>457</v>
      </c>
      <c r="H891" s="6">
        <v>0</v>
      </c>
      <c r="I891" s="6">
        <v>0</v>
      </c>
      <c r="J891" s="1257" t="s">
        <v>191</v>
      </c>
      <c r="K891" s="251">
        <f>SUMIF('alb Note 6.1 -  Intangibles CY'!$A:$A,$J891,'alb Note 6.1 -  Intangibles CY'!$B:$B)</f>
        <v>0</v>
      </c>
      <c r="L891" s="251">
        <f>SUMIF('alb Note 6.1 -  Intangibles CY'!$A:$A,$J891,'alb Note 6.1 -  Intangibles CY'!$M:$M)</f>
        <v>0</v>
      </c>
      <c r="M891" s="10"/>
      <c r="N891" s="273">
        <f t="shared" si="513"/>
        <v>0</v>
      </c>
      <c r="O891" s="12"/>
      <c r="P891" s="12"/>
      <c r="Q891" s="12"/>
      <c r="R891" s="12"/>
      <c r="S891" s="6">
        <f t="shared" si="483"/>
        <v>0</v>
      </c>
      <c r="T891" s="273">
        <f t="shared" si="514"/>
        <v>0</v>
      </c>
      <c r="U891" s="6">
        <f t="shared" si="515"/>
        <v>0</v>
      </c>
      <c r="V891" s="6"/>
      <c r="W891" s="6">
        <f t="shared" si="510"/>
        <v>0</v>
      </c>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X891" s="6"/>
      <c r="AY891" s="6">
        <f>ROUND(AX891/1000/Update!$B$31*Update!$B$27,0)</f>
        <v>0</v>
      </c>
      <c r="BA891" s="6"/>
      <c r="BB891" s="6">
        <f>ROUND(BA891/1000/Update!$B$31,0)</f>
        <v>0</v>
      </c>
      <c r="BC891" s="6"/>
      <c r="BD891" s="29">
        <f t="shared" si="492"/>
        <v>0</v>
      </c>
      <c r="BE891" s="322"/>
      <c r="BF891" s="322"/>
      <c r="BG891" s="322"/>
      <c r="BH891" s="322"/>
      <c r="BI891" s="322"/>
      <c r="BJ891" s="322"/>
      <c r="BK891" s="29">
        <f t="shared" si="507"/>
        <v>0</v>
      </c>
      <c r="BL891" s="322"/>
      <c r="BM891" s="322"/>
      <c r="BN891" s="322"/>
      <c r="BO891" s="322"/>
      <c r="BP891" s="322"/>
      <c r="BQ891" s="322"/>
      <c r="BR891" s="322"/>
      <c r="BS891" s="322"/>
      <c r="BT891" s="322"/>
      <c r="BU891" s="322"/>
      <c r="BV891" s="322"/>
      <c r="BW891" s="322"/>
      <c r="BX891" s="322"/>
      <c r="BY891" s="322"/>
      <c r="BZ891" s="322"/>
      <c r="CA891" s="322"/>
      <c r="CB891" s="322"/>
      <c r="CC891" s="322"/>
      <c r="CD891" s="322"/>
      <c r="CE891" s="322"/>
      <c r="CF891" s="322"/>
      <c r="CG891" s="322"/>
      <c r="CH891" s="322"/>
      <c r="CI891" s="322"/>
      <c r="CM891" s="1139">
        <v>0</v>
      </c>
      <c r="CN891" s="1139">
        <v>0</v>
      </c>
      <c r="CP891" s="923">
        <f t="shared" si="484"/>
        <v>0</v>
      </c>
      <c r="CZ891" s="330"/>
    </row>
    <row r="892" spans="1:104" ht="15" customHeight="1" x14ac:dyDescent="0.25">
      <c r="A892" s="684">
        <f>MAX($A$6:A891)+1</f>
        <v>892</v>
      </c>
      <c r="B892" s="3">
        <f t="shared" si="485"/>
        <v>6.1</v>
      </c>
      <c r="C892" s="11" t="str">
        <f t="shared" si="475"/>
        <v>Consolidated intangible assets 2025-26</v>
      </c>
      <c r="D892" s="11" t="s">
        <v>211</v>
      </c>
      <c r="E892" s="7" t="s">
        <v>186</v>
      </c>
      <c r="F892" s="7"/>
      <c r="G892" s="1254" t="s">
        <v>186</v>
      </c>
      <c r="H892" s="6">
        <v>0</v>
      </c>
      <c r="I892" s="6">
        <v>0</v>
      </c>
      <c r="J892" s="1257" t="s">
        <v>186</v>
      </c>
      <c r="K892" s="251">
        <f>SUMIF('alb Note 6.1 -  Intangibles CY'!$A:$A,$J892,'alb Note 6.1 -  Intangibles CY'!$B:$B)</f>
        <v>0</v>
      </c>
      <c r="L892" s="251">
        <f>SUMIF('alb Note 6.1 -  Intangibles CY'!$A:$A,$J892,'alb Note 6.1 -  Intangibles CY'!$M:$M)</f>
        <v>0</v>
      </c>
      <c r="M892" s="10"/>
      <c r="N892" s="273">
        <f t="shared" si="513"/>
        <v>0</v>
      </c>
      <c r="O892" s="12"/>
      <c r="P892" s="12"/>
      <c r="Q892" s="12"/>
      <c r="R892" s="12"/>
      <c r="S892" s="6">
        <f t="shared" si="483"/>
        <v>0</v>
      </c>
      <c r="T892" s="273">
        <f t="shared" si="514"/>
        <v>0</v>
      </c>
      <c r="U892" s="6">
        <f t="shared" si="515"/>
        <v>0</v>
      </c>
      <c r="V892" s="6"/>
      <c r="W892" s="6">
        <f t="shared" si="510"/>
        <v>0</v>
      </c>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X892" s="6"/>
      <c r="AY892" s="6">
        <f>ROUND(AX892/1000/Update!$B$31*Update!$B$27,0)</f>
        <v>0</v>
      </c>
      <c r="BA892" s="6"/>
      <c r="BB892" s="6">
        <f>ROUND(BA892/1000/Update!$B$31,0)</f>
        <v>0</v>
      </c>
      <c r="BC892" s="6"/>
      <c r="BD892" s="29">
        <f t="shared" si="492"/>
        <v>0</v>
      </c>
      <c r="BE892" s="322"/>
      <c r="BF892" s="322"/>
      <c r="BG892" s="322"/>
      <c r="BH892" s="322"/>
      <c r="BI892" s="322"/>
      <c r="BJ892" s="322"/>
      <c r="BK892" s="29">
        <f t="shared" si="507"/>
        <v>0</v>
      </c>
      <c r="BL892" s="322"/>
      <c r="BM892" s="322"/>
      <c r="BN892" s="322"/>
      <c r="BO892" s="322"/>
      <c r="BP892" s="322"/>
      <c r="BQ892" s="322"/>
      <c r="BR892" s="322"/>
      <c r="BS892" s="322"/>
      <c r="BT892" s="322"/>
      <c r="BU892" s="322"/>
      <c r="BV892" s="322"/>
      <c r="BW892" s="322"/>
      <c r="BX892" s="322"/>
      <c r="BY892" s="322"/>
      <c r="BZ892" s="322"/>
      <c r="CA892" s="322"/>
      <c r="CB892" s="322"/>
      <c r="CC892" s="322"/>
      <c r="CD892" s="322"/>
      <c r="CE892" s="322"/>
      <c r="CF892" s="322"/>
      <c r="CG892" s="322"/>
      <c r="CH892" s="322"/>
      <c r="CI892" s="322"/>
      <c r="CM892" s="1139">
        <v>0</v>
      </c>
      <c r="CN892" s="1139">
        <v>0</v>
      </c>
      <c r="CP892" s="923">
        <f t="shared" si="484"/>
        <v>0</v>
      </c>
      <c r="CZ892" s="330"/>
    </row>
    <row r="893" spans="1:104" ht="15" customHeight="1" x14ac:dyDescent="0.25">
      <c r="A893" s="684">
        <f>MAX($A$6:A892)+1</f>
        <v>893</v>
      </c>
      <c r="B893" s="3">
        <f t="shared" si="485"/>
        <v>6.1</v>
      </c>
      <c r="C893" s="11" t="str">
        <f t="shared" si="475"/>
        <v>Consolidated intangible assets 2025-26</v>
      </c>
      <c r="D893" s="11" t="s">
        <v>211</v>
      </c>
      <c r="E893" s="7" t="s">
        <v>188</v>
      </c>
      <c r="F893" s="7"/>
      <c r="G893" s="1254" t="s">
        <v>188</v>
      </c>
      <c r="H893" s="6">
        <v>0</v>
      </c>
      <c r="I893" s="6">
        <v>0</v>
      </c>
      <c r="J893" s="1257" t="s">
        <v>188</v>
      </c>
      <c r="K893" s="251">
        <f>SUMIF('alb Note 6.1 -  Intangibles CY'!$A:$A,$J893,'alb Note 6.1 -  Intangibles CY'!$B:$B)</f>
        <v>0</v>
      </c>
      <c r="L893" s="251">
        <f>SUMIF('alb Note 6.1 -  Intangibles CY'!$A:$A,$J893,'alb Note 6.1 -  Intangibles CY'!$M:$M)</f>
        <v>0</v>
      </c>
      <c r="M893" s="10"/>
      <c r="N893" s="273">
        <f t="shared" si="513"/>
        <v>0</v>
      </c>
      <c r="O893" s="12"/>
      <c r="P893" s="12"/>
      <c r="Q893" s="12"/>
      <c r="R893" s="12"/>
      <c r="S893" s="6">
        <f t="shared" si="483"/>
        <v>0</v>
      </c>
      <c r="T893" s="273">
        <f t="shared" si="514"/>
        <v>0</v>
      </c>
      <c r="U893" s="6">
        <f t="shared" si="515"/>
        <v>0</v>
      </c>
      <c r="V893" s="6"/>
      <c r="W893" s="6">
        <f t="shared" si="510"/>
        <v>0</v>
      </c>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X893" s="6"/>
      <c r="AY893" s="6">
        <f>ROUND(AX893/1000/Update!$B$31*Update!$B$27,0)</f>
        <v>0</v>
      </c>
      <c r="BA893" s="6"/>
      <c r="BB893" s="6">
        <f>ROUND(BA893/1000/Update!$B$31,0)</f>
        <v>0</v>
      </c>
      <c r="BC893" s="6"/>
      <c r="BD893" s="29">
        <f t="shared" si="492"/>
        <v>0</v>
      </c>
      <c r="BE893" s="322"/>
      <c r="BF893" s="322"/>
      <c r="BG893" s="322"/>
      <c r="BH893" s="322"/>
      <c r="BI893" s="322"/>
      <c r="BJ893" s="322"/>
      <c r="BK893" s="29">
        <f t="shared" si="507"/>
        <v>0</v>
      </c>
      <c r="BL893" s="322"/>
      <c r="BM893" s="322"/>
      <c r="BN893" s="322"/>
      <c r="BO893" s="322"/>
      <c r="BP893" s="322"/>
      <c r="BQ893" s="322"/>
      <c r="BR893" s="322"/>
      <c r="BS893" s="322"/>
      <c r="BT893" s="322"/>
      <c r="BU893" s="322"/>
      <c r="BV893" s="322"/>
      <c r="BW893" s="322"/>
      <c r="BX893" s="322"/>
      <c r="BY893" s="322"/>
      <c r="BZ893" s="322"/>
      <c r="CA893" s="322"/>
      <c r="CB893" s="322"/>
      <c r="CC893" s="322"/>
      <c r="CD893" s="322"/>
      <c r="CE893" s="322"/>
      <c r="CF893" s="322"/>
      <c r="CG893" s="322"/>
      <c r="CH893" s="322"/>
      <c r="CI893" s="322"/>
      <c r="CM893" s="1139">
        <v>0</v>
      </c>
      <c r="CN893" s="1139">
        <v>0</v>
      </c>
      <c r="CP893" s="923">
        <f t="shared" si="484"/>
        <v>0</v>
      </c>
      <c r="CZ893" s="330"/>
    </row>
    <row r="894" spans="1:104" ht="30" customHeight="1" x14ac:dyDescent="0.25">
      <c r="A894" s="684">
        <f>MAX($A$6:A893)+1</f>
        <v>894</v>
      </c>
      <c r="B894" s="3">
        <f t="shared" ref="B894:B957" si="516">B893</f>
        <v>6.1</v>
      </c>
      <c r="C894" s="11" t="str">
        <f t="shared" si="475"/>
        <v>Consolidated intangible assets 2025-26</v>
      </c>
      <c r="D894" s="11" t="s">
        <v>211</v>
      </c>
      <c r="E894" s="7" t="s">
        <v>192</v>
      </c>
      <c r="F894" s="7"/>
      <c r="G894" s="1254" t="s">
        <v>438</v>
      </c>
      <c r="H894" s="6">
        <v>0</v>
      </c>
      <c r="I894" s="6">
        <v>0</v>
      </c>
      <c r="J894" s="1257" t="s">
        <v>768</v>
      </c>
      <c r="K894" s="251">
        <f>SUMIF('alb Note 6.1 -  Intangibles CY'!$A:$A,$J894,'alb Note 6.1 -  Intangibles CY'!$B:$B)</f>
        <v>0</v>
      </c>
      <c r="L894" s="251">
        <f>SUMIF('alb Note 6.1 -  Intangibles CY'!$A:$A,$J894,'alb Note 6.1 -  Intangibles CY'!$M:$M)</f>
        <v>0</v>
      </c>
      <c r="M894" s="10"/>
      <c r="N894" s="273">
        <f t="shared" si="513"/>
        <v>0</v>
      </c>
      <c r="O894" s="12"/>
      <c r="P894" s="12"/>
      <c r="Q894" s="12"/>
      <c r="R894" s="12"/>
      <c r="S894" s="6">
        <f t="shared" si="483"/>
        <v>0</v>
      </c>
      <c r="T894" s="273">
        <f t="shared" si="514"/>
        <v>0</v>
      </c>
      <c r="U894" s="6">
        <f t="shared" si="515"/>
        <v>0</v>
      </c>
      <c r="V894" s="6"/>
      <c r="W894" s="6">
        <f t="shared" si="510"/>
        <v>0</v>
      </c>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X894" s="6"/>
      <c r="AY894" s="6">
        <f>ROUND(AX894/1000/Update!$B$31*Update!$B$27,0)</f>
        <v>0</v>
      </c>
      <c r="BA894" s="6"/>
      <c r="BB894" s="6">
        <f>ROUND(BA894/1000/Update!$B$31,0)</f>
        <v>0</v>
      </c>
      <c r="BC894" s="6"/>
      <c r="BD894" s="29">
        <f t="shared" si="492"/>
        <v>0</v>
      </c>
      <c r="BE894" s="322"/>
      <c r="BF894" s="322"/>
      <c r="BG894" s="322"/>
      <c r="BH894" s="322"/>
      <c r="BI894" s="322"/>
      <c r="BJ894" s="322"/>
      <c r="BK894" s="29">
        <f t="shared" si="507"/>
        <v>0</v>
      </c>
      <c r="BL894" s="322"/>
      <c r="BM894" s="322"/>
      <c r="BN894" s="322"/>
      <c r="BO894" s="322"/>
      <c r="BP894" s="322"/>
      <c r="BQ894" s="322"/>
      <c r="BR894" s="322"/>
      <c r="BS894" s="322"/>
      <c r="BT894" s="322"/>
      <c r="BU894" s="322"/>
      <c r="BV894" s="322"/>
      <c r="BW894" s="322"/>
      <c r="BX894" s="322"/>
      <c r="BY894" s="322"/>
      <c r="BZ894" s="322"/>
      <c r="CA894" s="322"/>
      <c r="CB894" s="322"/>
      <c r="CC894" s="322"/>
      <c r="CD894" s="322"/>
      <c r="CE894" s="322"/>
      <c r="CF894" s="322"/>
      <c r="CG894" s="322"/>
      <c r="CH894" s="322"/>
      <c r="CI894" s="322"/>
      <c r="CM894" s="1139">
        <v>0</v>
      </c>
      <c r="CN894" s="1139">
        <v>0</v>
      </c>
      <c r="CP894" s="923">
        <f t="shared" si="484"/>
        <v>0</v>
      </c>
      <c r="CZ894" s="330"/>
    </row>
    <row r="895" spans="1:104" ht="51" customHeight="1" x14ac:dyDescent="0.25">
      <c r="A895" s="684">
        <f>MAX($A$6:A894)+1</f>
        <v>895</v>
      </c>
      <c r="B895" s="3">
        <f t="shared" si="516"/>
        <v>6.1</v>
      </c>
      <c r="C895" s="11" t="str">
        <f t="shared" si="475"/>
        <v>Consolidated intangible assets 2025-26</v>
      </c>
      <c r="D895" s="11" t="s">
        <v>211</v>
      </c>
      <c r="E895" s="7" t="s">
        <v>193</v>
      </c>
      <c r="F895" s="7"/>
      <c r="G895" s="1254" t="s">
        <v>193</v>
      </c>
      <c r="H895" s="6">
        <v>0</v>
      </c>
      <c r="I895" s="6">
        <v>0</v>
      </c>
      <c r="J895" s="1257" t="s">
        <v>767</v>
      </c>
      <c r="K895" s="251">
        <f>SUMIF('alb Note 6.1 -  Intangibles CY'!$A:$A,$J895,'alb Note 6.1 -  Intangibles CY'!$B:$B)</f>
        <v>0</v>
      </c>
      <c r="L895" s="251">
        <f>SUMIF('alb Note 6.1 -  Intangibles CY'!$A:$A,$J895,'alb Note 6.1 -  Intangibles CY'!$M:$M)</f>
        <v>0</v>
      </c>
      <c r="M895" s="10"/>
      <c r="N895" s="273">
        <f t="shared" si="513"/>
        <v>0</v>
      </c>
      <c r="O895" s="12"/>
      <c r="P895" s="12"/>
      <c r="Q895" s="12"/>
      <c r="R895" s="12"/>
      <c r="S895" s="6">
        <f t="shared" si="483"/>
        <v>0</v>
      </c>
      <c r="T895" s="273">
        <f t="shared" si="514"/>
        <v>0</v>
      </c>
      <c r="U895" s="6">
        <f t="shared" si="515"/>
        <v>0</v>
      </c>
      <c r="V895" s="6"/>
      <c r="W895" s="6">
        <f t="shared" si="510"/>
        <v>0</v>
      </c>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X895" s="6"/>
      <c r="AY895" s="6">
        <f>ROUND(AX895/1000/Update!$B$31*Update!$B$27,0)</f>
        <v>0</v>
      </c>
      <c r="BA895" s="6"/>
      <c r="BB895" s="6">
        <f>ROUND(BA895/1000/Update!$B$31,0)</f>
        <v>0</v>
      </c>
      <c r="BC895" s="6"/>
      <c r="BD895" s="29">
        <f t="shared" si="492"/>
        <v>0</v>
      </c>
      <c r="BE895" s="322"/>
      <c r="BF895" s="322"/>
      <c r="BG895" s="322"/>
      <c r="BH895" s="322"/>
      <c r="BI895" s="322"/>
      <c r="BJ895" s="322"/>
      <c r="BK895" s="29">
        <f t="shared" si="507"/>
        <v>0</v>
      </c>
      <c r="BL895" s="322"/>
      <c r="BM895" s="322"/>
      <c r="BN895" s="322"/>
      <c r="BO895" s="322"/>
      <c r="BP895" s="322"/>
      <c r="BQ895" s="322"/>
      <c r="BR895" s="322"/>
      <c r="BS895" s="322"/>
      <c r="BT895" s="322"/>
      <c r="BU895" s="322"/>
      <c r="BV895" s="322"/>
      <c r="BW895" s="322"/>
      <c r="BX895" s="322"/>
      <c r="BY895" s="322"/>
      <c r="BZ895" s="322"/>
      <c r="CA895" s="322"/>
      <c r="CB895" s="322"/>
      <c r="CC895" s="322"/>
      <c r="CD895" s="322"/>
      <c r="CE895" s="322"/>
      <c r="CF895" s="322"/>
      <c r="CG895" s="322"/>
      <c r="CH895" s="322"/>
      <c r="CI895" s="322"/>
      <c r="CM895" s="1139">
        <v>0</v>
      </c>
      <c r="CN895" s="1139">
        <v>0</v>
      </c>
      <c r="CP895" s="923">
        <f t="shared" si="484"/>
        <v>0</v>
      </c>
      <c r="CZ895" s="330"/>
    </row>
    <row r="896" spans="1:104" ht="15" customHeight="1" x14ac:dyDescent="0.25">
      <c r="A896" s="684">
        <f>MAX($A$6:A895)+1</f>
        <v>896</v>
      </c>
      <c r="B896" s="3">
        <f t="shared" si="516"/>
        <v>6.1</v>
      </c>
      <c r="C896" s="11" t="str">
        <f t="shared" si="475"/>
        <v>Consolidated intangible assets 2025-26</v>
      </c>
      <c r="D896" s="11" t="s">
        <v>211</v>
      </c>
      <c r="E896" s="7" t="s">
        <v>189</v>
      </c>
      <c r="F896" s="7"/>
      <c r="G896" s="1254" t="s">
        <v>189</v>
      </c>
      <c r="H896" s="6">
        <v>0</v>
      </c>
      <c r="I896" s="6">
        <v>0</v>
      </c>
      <c r="J896" s="1257" t="s">
        <v>557</v>
      </c>
      <c r="K896" s="251">
        <f>SUMIF('alb Note 6.1 -  Intangibles CY'!$A:$A,$J896,'alb Note 6.1 -  Intangibles CY'!$B:$B)</f>
        <v>0</v>
      </c>
      <c r="L896" s="251">
        <f>SUMIF('alb Note 6.1 -  Intangibles CY'!$A:$A,$J896,'alb Note 6.1 -  Intangibles CY'!$M:$M)</f>
        <v>0</v>
      </c>
      <c r="M896" s="10"/>
      <c r="N896" s="273">
        <f t="shared" si="513"/>
        <v>0</v>
      </c>
      <c r="O896" s="12"/>
      <c r="P896" s="12"/>
      <c r="Q896" s="12"/>
      <c r="R896" s="12"/>
      <c r="S896" s="6">
        <f t="shared" si="483"/>
        <v>0</v>
      </c>
      <c r="T896" s="273">
        <f t="shared" si="514"/>
        <v>0</v>
      </c>
      <c r="U896" s="6">
        <f t="shared" si="515"/>
        <v>0</v>
      </c>
      <c r="V896" s="6"/>
      <c r="W896" s="6">
        <f t="shared" si="510"/>
        <v>0</v>
      </c>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X896" s="6"/>
      <c r="AY896" s="6">
        <f>ROUND(AX896/1000/Update!$B$31*Update!$B$27,0)</f>
        <v>0</v>
      </c>
      <c r="BA896" s="6"/>
      <c r="BB896" s="6">
        <f>ROUND(BA896/1000/Update!$B$31,0)</f>
        <v>0</v>
      </c>
      <c r="BC896" s="6"/>
      <c r="BD896" s="29">
        <f t="shared" si="492"/>
        <v>0</v>
      </c>
      <c r="BE896" s="322"/>
      <c r="BF896" s="322"/>
      <c r="BG896" s="322"/>
      <c r="BH896" s="322"/>
      <c r="BI896" s="322"/>
      <c r="BJ896" s="322"/>
      <c r="BK896" s="29">
        <f t="shared" si="507"/>
        <v>0</v>
      </c>
      <c r="BL896" s="322"/>
      <c r="BM896" s="322"/>
      <c r="BN896" s="322"/>
      <c r="BO896" s="322"/>
      <c r="BP896" s="322"/>
      <c r="BQ896" s="322"/>
      <c r="BR896" s="322"/>
      <c r="BS896" s="322"/>
      <c r="BT896" s="322"/>
      <c r="BU896" s="322"/>
      <c r="BV896" s="322"/>
      <c r="BW896" s="322"/>
      <c r="BX896" s="322"/>
      <c r="BY896" s="322"/>
      <c r="BZ896" s="322"/>
      <c r="CA896" s="322"/>
      <c r="CB896" s="322"/>
      <c r="CC896" s="322"/>
      <c r="CD896" s="322"/>
      <c r="CE896" s="322"/>
      <c r="CF896" s="322"/>
      <c r="CG896" s="322"/>
      <c r="CH896" s="322"/>
      <c r="CI896" s="322"/>
      <c r="CM896" s="1139">
        <v>0</v>
      </c>
      <c r="CN896" s="1139">
        <v>0</v>
      </c>
      <c r="CP896" s="923">
        <f t="shared" si="484"/>
        <v>0</v>
      </c>
      <c r="CZ896" s="330"/>
    </row>
    <row r="897" spans="1:104" ht="15" customHeight="1" x14ac:dyDescent="0.25">
      <c r="A897" s="701">
        <f>MAX($A$6:A896)+1</f>
        <v>897</v>
      </c>
      <c r="B897" s="1291">
        <f t="shared" si="516"/>
        <v>6.1</v>
      </c>
      <c r="C897" s="18" t="str">
        <f t="shared" si="475"/>
        <v>Consolidated intangible assets 2025-26</v>
      </c>
      <c r="D897" s="18" t="s">
        <v>211</v>
      </c>
      <c r="E897" s="19" t="str">
        <f>"At"&amp;Update!$B$22</f>
        <v>At 31 March 2026</v>
      </c>
      <c r="F897" s="20"/>
      <c r="G897" s="28"/>
      <c r="H897" s="14">
        <f>SUM(H887:H896)</f>
        <v>148</v>
      </c>
      <c r="I897" s="14">
        <f>SUM(I887:I896)</f>
        <v>0</v>
      </c>
      <c r="J897" s="1258" t="s">
        <v>286</v>
      </c>
      <c r="K897" s="256">
        <f>SUM(K887:K896)</f>
        <v>0</v>
      </c>
      <c r="L897" s="256">
        <f>SUM(L887:L896)</f>
        <v>0</v>
      </c>
      <c r="M897" s="21"/>
      <c r="N897" s="14">
        <f>ROUND(SUM(O897:S897)+T897+SUM(Z897:AV897),0)</f>
        <v>148</v>
      </c>
      <c r="O897" s="14">
        <f t="shared" ref="O897:W897" si="517">SUM(O887:O896)</f>
        <v>0</v>
      </c>
      <c r="P897" s="14">
        <f t="shared" si="517"/>
        <v>0</v>
      </c>
      <c r="Q897" s="14">
        <f t="shared" si="517"/>
        <v>0</v>
      </c>
      <c r="R897" s="14">
        <f t="shared" si="517"/>
        <v>0</v>
      </c>
      <c r="S897" s="14">
        <f t="shared" si="483"/>
        <v>0</v>
      </c>
      <c r="T897" s="14">
        <f t="shared" si="517"/>
        <v>148</v>
      </c>
      <c r="U897" s="14">
        <f t="shared" si="517"/>
        <v>0</v>
      </c>
      <c r="V897" s="14">
        <f t="shared" si="517"/>
        <v>0</v>
      </c>
      <c r="W897" s="14">
        <f t="shared" si="517"/>
        <v>148</v>
      </c>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2"/>
      <c r="AX897" s="14">
        <f>SUM(AX887:AX896)</f>
        <v>0</v>
      </c>
      <c r="AY897" s="14">
        <f>ROUND(AX897/1000/Update!$B$31*Update!$B$27,0)</f>
        <v>0</v>
      </c>
      <c r="AZ897" s="2"/>
      <c r="BA897" s="14">
        <f>SUM(BA887:BA896)</f>
        <v>0</v>
      </c>
      <c r="BB897" s="14">
        <f>ROUND(BA897/1000/Update!$B$31,0)</f>
        <v>0</v>
      </c>
      <c r="BC897" s="14"/>
      <c r="BD897" s="14">
        <f t="shared" si="492"/>
        <v>0</v>
      </c>
      <c r="BE897" s="14">
        <f t="shared" ref="BE897:BJ897" si="518">SUM(BE887:BE896)</f>
        <v>0</v>
      </c>
      <c r="BF897" s="14">
        <f t="shared" si="518"/>
        <v>0</v>
      </c>
      <c r="BG897" s="14">
        <f t="shared" si="518"/>
        <v>0</v>
      </c>
      <c r="BH897" s="14">
        <f t="shared" si="518"/>
        <v>0</v>
      </c>
      <c r="BI897" s="14">
        <f t="shared" si="518"/>
        <v>0</v>
      </c>
      <c r="BJ897" s="14">
        <f t="shared" si="518"/>
        <v>0</v>
      </c>
      <c r="BK897" s="14">
        <f t="shared" si="507"/>
        <v>0</v>
      </c>
      <c r="BL897" s="14"/>
      <c r="BM897" s="14"/>
      <c r="BN897" s="14"/>
      <c r="BO897" s="14"/>
      <c r="BP897" s="14"/>
      <c r="BQ897" s="14"/>
      <c r="BR897" s="14"/>
      <c r="BS897" s="14"/>
      <c r="BT897" s="324"/>
      <c r="BU897" s="14"/>
      <c r="BV897" s="14"/>
      <c r="BW897" s="14"/>
      <c r="BX897" s="14"/>
      <c r="BY897" s="14"/>
      <c r="BZ897" s="14"/>
      <c r="CA897" s="14"/>
      <c r="CB897" s="14"/>
      <c r="CC897" s="14"/>
      <c r="CD897" s="14"/>
      <c r="CE897" s="14"/>
      <c r="CF897" s="14"/>
      <c r="CG897" s="14"/>
      <c r="CH897" s="14"/>
      <c r="CI897" s="14"/>
      <c r="CJ897" s="2"/>
      <c r="CK897" s="2"/>
      <c r="CM897" s="1140">
        <v>0</v>
      </c>
      <c r="CN897" s="1140">
        <v>0</v>
      </c>
      <c r="CP897" s="923">
        <f t="shared" si="484"/>
        <v>0</v>
      </c>
      <c r="CZ897" s="330"/>
    </row>
    <row r="898" spans="1:104" ht="15" customHeight="1" x14ac:dyDescent="0.25">
      <c r="A898" s="684">
        <f>MAX($A$6:A897)+1</f>
        <v>898</v>
      </c>
      <c r="B898" s="3">
        <f t="shared" si="516"/>
        <v>6.1</v>
      </c>
      <c r="C898" s="11" t="str">
        <f t="shared" si="475"/>
        <v>Consolidated intangible assets 2025-26</v>
      </c>
      <c r="D898" s="11" t="s">
        <v>211</v>
      </c>
      <c r="E898" s="13" t="s">
        <v>161</v>
      </c>
      <c r="F898" s="13"/>
      <c r="G898" s="26"/>
      <c r="H898" s="6"/>
      <c r="I898" s="6"/>
      <c r="J898" s="1257" t="s">
        <v>286</v>
      </c>
      <c r="K898" s="251">
        <f>SUMIF('alb Note 6.1 -  Intangibles CY'!$A:$A,$J898,'alb Note 6.1 -  Intangibles CY'!$B:$B)</f>
        <v>0</v>
      </c>
      <c r="L898" s="251">
        <f>SUMIF('alb Note 6.1 -  Intangibles CY'!$A:$A,$J898,'alb Note 6.1 -  Intangibles CY'!$M:$M)</f>
        <v>0</v>
      </c>
      <c r="M898" s="10"/>
      <c r="N898" s="273">
        <f>ROUND(SUM(O898:S898)+SUM(W898:AV898),0)</f>
        <v>0</v>
      </c>
      <c r="O898" s="12"/>
      <c r="P898" s="12"/>
      <c r="Q898" s="12"/>
      <c r="R898" s="12"/>
      <c r="S898" s="6">
        <f t="shared" si="483"/>
        <v>0</v>
      </c>
      <c r="T898" s="273">
        <f>ROUND(SUM(U898:Y898),0)</f>
        <v>0</v>
      </c>
      <c r="U898" s="6">
        <f>SUM(BL898:BN898)</f>
        <v>0</v>
      </c>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X898" s="6"/>
      <c r="AY898" s="6">
        <f>ROUND(AX898/1000/Update!$B$31*Update!$B$27,0)</f>
        <v>0</v>
      </c>
      <c r="BA898" s="6"/>
      <c r="BB898" s="6">
        <f>ROUND(BA898/1000/Update!$B$31,0)</f>
        <v>0</v>
      </c>
      <c r="BC898" s="6"/>
      <c r="BD898" s="29">
        <f t="shared" si="492"/>
        <v>0</v>
      </c>
      <c r="BE898" s="322"/>
      <c r="BF898" s="322"/>
      <c r="BG898" s="322"/>
      <c r="BH898" s="322"/>
      <c r="BI898" s="322"/>
      <c r="BJ898" s="322"/>
      <c r="BK898" s="29">
        <f t="shared" si="507"/>
        <v>0</v>
      </c>
      <c r="BL898" s="322"/>
      <c r="BM898" s="322"/>
      <c r="BN898" s="322"/>
      <c r="BO898" s="322"/>
      <c r="BP898" s="322"/>
      <c r="BQ898" s="322"/>
      <c r="BR898" s="322"/>
      <c r="BS898" s="322"/>
      <c r="BT898" s="322"/>
      <c r="BU898" s="322"/>
      <c r="BV898" s="322"/>
      <c r="BW898" s="322"/>
      <c r="BX898" s="322"/>
      <c r="BY898" s="322"/>
      <c r="BZ898" s="322"/>
      <c r="CA898" s="322"/>
      <c r="CB898" s="322"/>
      <c r="CC898" s="322"/>
      <c r="CD898" s="322"/>
      <c r="CE898" s="322"/>
      <c r="CF898" s="322"/>
      <c r="CG898" s="322"/>
      <c r="CH898" s="322"/>
      <c r="CI898" s="322"/>
      <c r="CM898" s="1139">
        <v>0</v>
      </c>
      <c r="CN898" s="1139">
        <v>0</v>
      </c>
      <c r="CP898" s="923">
        <f t="shared" si="484"/>
        <v>0</v>
      </c>
      <c r="CZ898" s="330"/>
    </row>
    <row r="899" spans="1:104" ht="15" customHeight="1" x14ac:dyDescent="0.25">
      <c r="A899" s="684">
        <f>MAX($A$6:A898)+1</f>
        <v>899</v>
      </c>
      <c r="B899" s="3">
        <f t="shared" si="516"/>
        <v>6.1</v>
      </c>
      <c r="C899" s="11" t="str">
        <f t="shared" si="475"/>
        <v>Consolidated intangible assets 2025-26</v>
      </c>
      <c r="D899" s="11" t="s">
        <v>211</v>
      </c>
      <c r="E899" s="7" t="str">
        <f>"At"&amp;Update!$B$20&amp;" "</f>
        <v xml:space="preserve">At 1 April 2025 </v>
      </c>
      <c r="F899" s="15"/>
      <c r="G899" s="1267" t="str">
        <f>"At"&amp;Update!$B$20</f>
        <v>At 1 April 2025</v>
      </c>
      <c r="H899" s="6">
        <v>47</v>
      </c>
      <c r="I899" s="6">
        <v>0</v>
      </c>
      <c r="J899" s="1257" t="str">
        <f>$E899</f>
        <v xml:space="preserve">At 1 April 2025 </v>
      </c>
      <c r="K899" s="251">
        <f>SUMIF('alb Note 6.1 -  Intangibles CY'!$A:$A,$J899,'alb Note 6.1 -  Intangibles CY'!$B:$B)</f>
        <v>0</v>
      </c>
      <c r="L899" s="251">
        <f>SUMIF('alb Note 6.1 -  Intangibles CY'!$A:$A,$J899,'alb Note 6.1 -  Intangibles CY'!$M:$M)</f>
        <v>0</v>
      </c>
      <c r="M899" s="10"/>
      <c r="N899" s="273">
        <f>ROUND(SUM(O899:S899)+SUM(W899:AV899),0)</f>
        <v>47</v>
      </c>
      <c r="O899" s="12"/>
      <c r="P899" s="12"/>
      <c r="Q899" s="12"/>
      <c r="R899" s="12"/>
      <c r="S899" s="6">
        <f t="shared" si="483"/>
        <v>0</v>
      </c>
      <c r="T899" s="273">
        <f>ROUND(SUM(U899:Y899),0)</f>
        <v>47</v>
      </c>
      <c r="U899" s="6">
        <f>SUM(BL899:BN899)</f>
        <v>0</v>
      </c>
      <c r="V899" s="6"/>
      <c r="W899" s="6">
        <f t="shared" ref="W899:W910" si="519">+H899</f>
        <v>47</v>
      </c>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X899" s="6"/>
      <c r="AY899" s="6">
        <f>ROUND(AX899/1000/Update!$B$31*Update!$B$27,0)</f>
        <v>0</v>
      </c>
      <c r="BA899" s="6"/>
      <c r="BB899" s="6">
        <f>ROUND(BA899/1000/Update!$B$31,0)</f>
        <v>0</v>
      </c>
      <c r="BC899" s="6"/>
      <c r="BD899" s="29">
        <f t="shared" si="492"/>
        <v>0</v>
      </c>
      <c r="BE899" s="322"/>
      <c r="BF899" s="322"/>
      <c r="BG899" s="322"/>
      <c r="BH899" s="322"/>
      <c r="BI899" s="322"/>
      <c r="BJ899" s="322"/>
      <c r="BK899" s="29">
        <f t="shared" si="507"/>
        <v>0</v>
      </c>
      <c r="BL899" s="322"/>
      <c r="BM899" s="322"/>
      <c r="BN899" s="322"/>
      <c r="BO899" s="322"/>
      <c r="BP899" s="322"/>
      <c r="BQ899" s="322"/>
      <c r="BR899" s="322"/>
      <c r="BS899" s="322"/>
      <c r="BT899" s="322"/>
      <c r="BU899" s="322"/>
      <c r="BV899" s="322"/>
      <c r="BW899" s="322"/>
      <c r="BX899" s="322"/>
      <c r="BY899" s="322"/>
      <c r="BZ899" s="322"/>
      <c r="CA899" s="322"/>
      <c r="CB899" s="322"/>
      <c r="CC899" s="322"/>
      <c r="CD899" s="322"/>
      <c r="CE899" s="322"/>
      <c r="CF899" s="322"/>
      <c r="CG899" s="322"/>
      <c r="CH899" s="322"/>
      <c r="CI899" s="322"/>
      <c r="CM899" s="1139">
        <v>0</v>
      </c>
      <c r="CN899" s="1139">
        <v>0</v>
      </c>
      <c r="CP899" s="923">
        <f t="shared" si="484"/>
        <v>0</v>
      </c>
      <c r="CZ899" s="330"/>
    </row>
    <row r="900" spans="1:104" ht="15" customHeight="1" x14ac:dyDescent="0.25">
      <c r="A900" s="684">
        <f>MAX($A$6:A899)+1</f>
        <v>900</v>
      </c>
      <c r="B900" s="3">
        <f t="shared" si="516"/>
        <v>6.1</v>
      </c>
      <c r="C900" s="11" t="str">
        <f t="shared" si="475"/>
        <v>Consolidated intangible assets 2025-26</v>
      </c>
      <c r="D900" s="11" t="str">
        <f>D899</f>
        <v>Software Licences</v>
      </c>
      <c r="E900" s="7" t="s">
        <v>1417</v>
      </c>
      <c r="F900" s="7"/>
      <c r="G900" s="1254" t="s">
        <v>435</v>
      </c>
      <c r="H900" s="6">
        <v>0</v>
      </c>
      <c r="I900" s="6">
        <v>0</v>
      </c>
      <c r="J900" s="1257" t="s">
        <v>435</v>
      </c>
      <c r="K900" s="251">
        <f>SUMIF('alb Note 6.1 -  Intangibles CY'!$A:$A,$J900,'alb Note 6.1 -  Intangibles CY'!$B:$B)</f>
        <v>0</v>
      </c>
      <c r="L900" s="251">
        <f>SUMIF('alb Note 6.1 -  Intangibles CY'!$A:$A,$J900,'alb Note 6.1 -  Intangibles CY'!$M:$M)</f>
        <v>0</v>
      </c>
      <c r="M900" s="10"/>
      <c r="N900" s="273">
        <f>ROUND(SUM(O900:S900)+SUM(W900:AV900),0)</f>
        <v>0</v>
      </c>
      <c r="O900" s="12"/>
      <c r="P900" s="12"/>
      <c r="Q900" s="12"/>
      <c r="R900" s="12"/>
      <c r="S900" s="6">
        <f t="shared" si="483"/>
        <v>0</v>
      </c>
      <c r="T900" s="273">
        <f>ROUND(SUM(U900:Y900),0)</f>
        <v>0</v>
      </c>
      <c r="U900" s="6">
        <f>SUM(BL900:BN900)</f>
        <v>0</v>
      </c>
      <c r="V900" s="6"/>
      <c r="W900" s="6">
        <f t="shared" si="519"/>
        <v>0</v>
      </c>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X900" s="6"/>
      <c r="AY900" s="6">
        <f>ROUND(AX900/1000/Update!$B$31*Update!$B$27,0)</f>
        <v>0</v>
      </c>
      <c r="BA900" s="6"/>
      <c r="BB900" s="6">
        <f>ROUND(BA900/1000/Update!$B$31,0)</f>
        <v>0</v>
      </c>
      <c r="BC900" s="6"/>
      <c r="BD900" s="29">
        <f t="shared" si="492"/>
        <v>0</v>
      </c>
      <c r="BE900" s="322"/>
      <c r="BF900" s="322"/>
      <c r="BG900" s="322"/>
      <c r="BH900" s="322"/>
      <c r="BI900" s="322"/>
      <c r="BJ900" s="322"/>
      <c r="BK900" s="29">
        <f t="shared" si="507"/>
        <v>0</v>
      </c>
      <c r="BL900" s="322"/>
      <c r="BM900" s="322"/>
      <c r="BN900" s="322"/>
      <c r="BO900" s="322"/>
      <c r="BP900" s="322"/>
      <c r="BQ900" s="322"/>
      <c r="BR900" s="322"/>
      <c r="BS900" s="322"/>
      <c r="BT900" s="322"/>
      <c r="BU900" s="322"/>
      <c r="BV900" s="322"/>
      <c r="BW900" s="322"/>
      <c r="BX900" s="322"/>
      <c r="BY900" s="322"/>
      <c r="BZ900" s="322"/>
      <c r="CA900" s="322"/>
      <c r="CB900" s="322"/>
      <c r="CC900" s="322"/>
      <c r="CD900" s="322"/>
      <c r="CE900" s="322"/>
      <c r="CF900" s="322"/>
      <c r="CG900" s="322"/>
      <c r="CH900" s="322"/>
      <c r="CI900" s="322"/>
      <c r="CM900" s="1139">
        <v>0</v>
      </c>
      <c r="CN900" s="1139">
        <v>0</v>
      </c>
      <c r="CP900" s="923">
        <f t="shared" si="484"/>
        <v>0</v>
      </c>
      <c r="CZ900" s="330"/>
    </row>
    <row r="901" spans="1:104" ht="15" customHeight="1" x14ac:dyDescent="0.25">
      <c r="A901" s="701">
        <f>MAX($A$6:A900)+1</f>
        <v>901</v>
      </c>
      <c r="B901" s="1291">
        <f t="shared" si="516"/>
        <v>6.1</v>
      </c>
      <c r="C901" s="18" t="str">
        <f t="shared" si="475"/>
        <v>Consolidated intangible assets 2025-26</v>
      </c>
      <c r="D901" s="18" t="str">
        <f>D900</f>
        <v>Software Licences</v>
      </c>
      <c r="E901" s="19" t="s">
        <v>869</v>
      </c>
      <c r="F901" s="20"/>
      <c r="G901" s="1278" t="s">
        <v>442</v>
      </c>
      <c r="H901" s="14">
        <f>SUM(H898:H900)</f>
        <v>47</v>
      </c>
      <c r="I901" s="14">
        <f>SUM(I898:I900)</f>
        <v>0</v>
      </c>
      <c r="J901" s="1258" t="s">
        <v>442</v>
      </c>
      <c r="K901" s="256">
        <f>SUM(K898:K900)</f>
        <v>0</v>
      </c>
      <c r="L901" s="256">
        <f>SUM(L898:L900)</f>
        <v>0</v>
      </c>
      <c r="M901" s="21"/>
      <c r="N901" s="14">
        <f>ROUND(SUM(O901:S901)+T901+SUM(Z901:AV901),0)</f>
        <v>47</v>
      </c>
      <c r="O901" s="14">
        <f t="shared" ref="O901:W901" si="520">SUM(O898:O900)</f>
        <v>0</v>
      </c>
      <c r="P901" s="14">
        <f t="shared" si="520"/>
        <v>0</v>
      </c>
      <c r="Q901" s="14">
        <f>SUM(Q898:Q900)</f>
        <v>0</v>
      </c>
      <c r="R901" s="14">
        <f t="shared" si="520"/>
        <v>0</v>
      </c>
      <c r="S901" s="14">
        <f t="shared" ref="S901:S966" si="521">-IF(ISNUMBER(BD901),BD901,0)</f>
        <v>0</v>
      </c>
      <c r="T901" s="14">
        <f t="shared" si="520"/>
        <v>47</v>
      </c>
      <c r="U901" s="14">
        <f t="shared" si="520"/>
        <v>0</v>
      </c>
      <c r="V901" s="14">
        <f t="shared" si="520"/>
        <v>0</v>
      </c>
      <c r="W901" s="14">
        <f t="shared" si="520"/>
        <v>47</v>
      </c>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2"/>
      <c r="AX901" s="14">
        <f>SUM(AX898:AX900)</f>
        <v>0</v>
      </c>
      <c r="AY901" s="14">
        <f>ROUND(AX901/1000/Update!$B$31*Update!$B$27,0)</f>
        <v>0</v>
      </c>
      <c r="AZ901" s="2"/>
      <c r="BA901" s="14">
        <f>SUM(BA898:BA900)</f>
        <v>0</v>
      </c>
      <c r="BB901" s="14">
        <f>ROUND(BA901/1000/Update!$B$31,0)</f>
        <v>0</v>
      </c>
      <c r="BC901" s="14"/>
      <c r="BD901" s="14">
        <f t="shared" si="492"/>
        <v>0</v>
      </c>
      <c r="BE901" s="14">
        <f t="shared" ref="BE901:BJ901" si="522">SUM(BE898:BE900)</f>
        <v>0</v>
      </c>
      <c r="BF901" s="14">
        <f t="shared" si="522"/>
        <v>0</v>
      </c>
      <c r="BG901" s="14">
        <f t="shared" si="522"/>
        <v>0</v>
      </c>
      <c r="BH901" s="14">
        <f t="shared" si="522"/>
        <v>0</v>
      </c>
      <c r="BI901" s="14">
        <f t="shared" si="522"/>
        <v>0</v>
      </c>
      <c r="BJ901" s="14">
        <f t="shared" si="522"/>
        <v>0</v>
      </c>
      <c r="BK901" s="14">
        <f t="shared" si="507"/>
        <v>0</v>
      </c>
      <c r="BL901" s="14"/>
      <c r="BM901" s="14"/>
      <c r="BN901" s="14"/>
      <c r="BO901" s="14"/>
      <c r="BP901" s="14"/>
      <c r="BQ901" s="14"/>
      <c r="BR901" s="14"/>
      <c r="BS901" s="14"/>
      <c r="BT901" s="324"/>
      <c r="BU901" s="14"/>
      <c r="BV901" s="14"/>
      <c r="BW901" s="14"/>
      <c r="BX901" s="14"/>
      <c r="BY901" s="14"/>
      <c r="BZ901" s="14"/>
      <c r="CA901" s="14"/>
      <c r="CB901" s="14"/>
      <c r="CC901" s="14"/>
      <c r="CD901" s="14"/>
      <c r="CE901" s="14"/>
      <c r="CF901" s="14"/>
      <c r="CG901" s="14"/>
      <c r="CH901" s="14"/>
      <c r="CI901" s="14"/>
      <c r="CJ901" s="2"/>
      <c r="CK901" s="2"/>
      <c r="CM901" s="1140">
        <v>0</v>
      </c>
      <c r="CN901" s="1140">
        <v>0</v>
      </c>
      <c r="CP901" s="923">
        <f t="shared" si="484"/>
        <v>0</v>
      </c>
      <c r="CZ901" s="330"/>
    </row>
    <row r="902" spans="1:104" ht="15" customHeight="1" x14ac:dyDescent="0.25">
      <c r="A902" s="684">
        <f>MAX($A$6:A901)+1</f>
        <v>902</v>
      </c>
      <c r="B902" s="3">
        <f t="shared" si="516"/>
        <v>6.1</v>
      </c>
      <c r="C902" s="11" t="str">
        <f t="shared" si="475"/>
        <v>Consolidated intangible assets 2025-26</v>
      </c>
      <c r="D902" s="11" t="s">
        <v>211</v>
      </c>
      <c r="E902" s="7" t="s">
        <v>1409</v>
      </c>
      <c r="F902" s="7"/>
      <c r="G902" s="1254" t="s">
        <v>190</v>
      </c>
      <c r="H902" s="6">
        <v>0</v>
      </c>
      <c r="I902" s="6">
        <v>0</v>
      </c>
      <c r="J902" s="1257" t="s">
        <v>190</v>
      </c>
      <c r="K902" s="251">
        <f>SUMIF('alb Note 6.1 -  Intangibles CY'!$A:$A,$J902,'alb Note 6.1 -  Intangibles CY'!$B:$B)</f>
        <v>0</v>
      </c>
      <c r="L902" s="251">
        <f>SUMIF('alb Note 6.1 -  Intangibles CY'!$A:$A,$J902,'alb Note 6.1 -  Intangibles CY'!$M:$M)</f>
        <v>0</v>
      </c>
      <c r="M902" s="10"/>
      <c r="N902" s="273">
        <f t="shared" ref="N902:N910" si="523">ROUND(SUM(O902:S902)+SUM(W902:AV902),0)</f>
        <v>0</v>
      </c>
      <c r="O902" s="12"/>
      <c r="P902" s="12"/>
      <c r="Q902" s="12"/>
      <c r="R902" s="12"/>
      <c r="S902" s="6">
        <f t="shared" si="521"/>
        <v>0</v>
      </c>
      <c r="T902" s="273">
        <f t="shared" ref="T902:T910" si="524">ROUND(SUM(U902:Y902),0)</f>
        <v>0</v>
      </c>
      <c r="U902" s="6">
        <f t="shared" ref="U902:U910" si="525">SUM(BL902:BN902)</f>
        <v>0</v>
      </c>
      <c r="V902" s="6"/>
      <c r="W902" s="6">
        <f t="shared" si="519"/>
        <v>0</v>
      </c>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X902" s="6"/>
      <c r="AY902" s="6">
        <f>ROUND(AX902/1000/Update!$B$31*Update!$B$27,0)</f>
        <v>0</v>
      </c>
      <c r="BA902" s="6"/>
      <c r="BB902" s="6">
        <f>ROUND(BA902/1000/Update!$B$31,0)</f>
        <v>0</v>
      </c>
      <c r="BC902" s="6"/>
      <c r="BD902" s="29">
        <f t="shared" si="492"/>
        <v>0</v>
      </c>
      <c r="BE902" s="322"/>
      <c r="BF902" s="322"/>
      <c r="BG902" s="322"/>
      <c r="BH902" s="322"/>
      <c r="BI902" s="322"/>
      <c r="BJ902" s="322"/>
      <c r="BK902" s="29">
        <f t="shared" si="507"/>
        <v>0</v>
      </c>
      <c r="BL902" s="322"/>
      <c r="BM902" s="322"/>
      <c r="BN902" s="322"/>
      <c r="BO902" s="322"/>
      <c r="BP902" s="322"/>
      <c r="BQ902" s="322"/>
      <c r="BR902" s="322"/>
      <c r="BS902" s="322"/>
      <c r="BT902" s="322"/>
      <c r="BU902" s="322"/>
      <c r="BV902" s="322"/>
      <c r="BW902" s="322"/>
      <c r="BX902" s="322"/>
      <c r="BY902" s="322"/>
      <c r="BZ902" s="322"/>
      <c r="CA902" s="322"/>
      <c r="CB902" s="322"/>
      <c r="CC902" s="322"/>
      <c r="CD902" s="322"/>
      <c r="CE902" s="322"/>
      <c r="CF902" s="322"/>
      <c r="CG902" s="322"/>
      <c r="CH902" s="322"/>
      <c r="CI902" s="322"/>
      <c r="CM902" s="1139">
        <v>0</v>
      </c>
      <c r="CN902" s="1139">
        <v>0</v>
      </c>
      <c r="CP902" s="923">
        <f t="shared" si="484"/>
        <v>0</v>
      </c>
      <c r="CZ902" s="330"/>
    </row>
    <row r="903" spans="1:104" ht="15" customHeight="1" x14ac:dyDescent="0.25">
      <c r="A903" s="684">
        <f>MAX($A$6:A902)+1</f>
        <v>903</v>
      </c>
      <c r="B903" s="3">
        <f t="shared" si="516"/>
        <v>6.1</v>
      </c>
      <c r="C903" s="11" t="str">
        <f t="shared" si="475"/>
        <v>Consolidated intangible assets 2025-26</v>
      </c>
      <c r="D903" s="11" t="s">
        <v>211</v>
      </c>
      <c r="E903" s="7" t="s">
        <v>457</v>
      </c>
      <c r="F903" s="7"/>
      <c r="G903" s="1254" t="s">
        <v>457</v>
      </c>
      <c r="H903" s="6">
        <v>0</v>
      </c>
      <c r="I903" s="6">
        <v>0</v>
      </c>
      <c r="J903" s="1257" t="s">
        <v>457</v>
      </c>
      <c r="K903" s="251">
        <f>SUMIF('alb Note 6.1 -  Intangibles CY'!$A:$A,$J903,'alb Note 6.1 -  Intangibles CY'!$B:$B)</f>
        <v>0</v>
      </c>
      <c r="L903" s="251">
        <f>SUMIF('alb Note 6.1 -  Intangibles CY'!$A:$A,$J903,'alb Note 6.1 -  Intangibles CY'!$M:$M)</f>
        <v>0</v>
      </c>
      <c r="M903" s="10"/>
      <c r="N903" s="273">
        <f t="shared" si="523"/>
        <v>0</v>
      </c>
      <c r="O903" s="12"/>
      <c r="P903" s="12"/>
      <c r="Q903" s="12"/>
      <c r="R903" s="12"/>
      <c r="S903" s="6">
        <f t="shared" si="521"/>
        <v>0</v>
      </c>
      <c r="T903" s="273">
        <f t="shared" si="524"/>
        <v>0</v>
      </c>
      <c r="U903" s="6">
        <f t="shared" si="525"/>
        <v>0</v>
      </c>
      <c r="V903" s="6"/>
      <c r="W903" s="6">
        <f t="shared" si="519"/>
        <v>0</v>
      </c>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X903" s="6"/>
      <c r="AY903" s="6">
        <f>ROUND(AX903/1000/Update!$B$31*Update!$B$27,0)</f>
        <v>0</v>
      </c>
      <c r="BA903" s="6"/>
      <c r="BB903" s="6">
        <f>ROUND(BA903/1000/Update!$B$31,0)</f>
        <v>0</v>
      </c>
      <c r="BC903" s="6"/>
      <c r="BD903" s="29">
        <f t="shared" si="492"/>
        <v>0</v>
      </c>
      <c r="BE903" s="322"/>
      <c r="BF903" s="322"/>
      <c r="BG903" s="322"/>
      <c r="BH903" s="322"/>
      <c r="BI903" s="322"/>
      <c r="BJ903" s="322"/>
      <c r="BK903" s="29">
        <f t="shared" si="507"/>
        <v>0</v>
      </c>
      <c r="BL903" s="322"/>
      <c r="BM903" s="322"/>
      <c r="BN903" s="322"/>
      <c r="BO903" s="322"/>
      <c r="BP903" s="322"/>
      <c r="BQ903" s="322"/>
      <c r="BR903" s="322"/>
      <c r="BS903" s="322"/>
      <c r="BT903" s="322"/>
      <c r="BU903" s="322"/>
      <c r="BV903" s="322"/>
      <c r="BW903" s="322"/>
      <c r="BX903" s="322"/>
      <c r="BY903" s="322"/>
      <c r="BZ903" s="322"/>
      <c r="CA903" s="322"/>
      <c r="CB903" s="322"/>
      <c r="CC903" s="322"/>
      <c r="CD903" s="322"/>
      <c r="CE903" s="322"/>
      <c r="CF903" s="322"/>
      <c r="CG903" s="322"/>
      <c r="CH903" s="322"/>
      <c r="CI903" s="322"/>
      <c r="CM903" s="1139">
        <v>0</v>
      </c>
      <c r="CN903" s="1139">
        <v>0</v>
      </c>
      <c r="CP903" s="923">
        <f t="shared" si="484"/>
        <v>0</v>
      </c>
      <c r="CZ903" s="330"/>
    </row>
    <row r="904" spans="1:104" ht="15" customHeight="1" x14ac:dyDescent="0.25">
      <c r="A904" s="684">
        <f>MAX($A$6:A903)+1</f>
        <v>904</v>
      </c>
      <c r="B904" s="3">
        <f t="shared" si="516"/>
        <v>6.1</v>
      </c>
      <c r="C904" s="11" t="str">
        <f t="shared" si="475"/>
        <v>Consolidated intangible assets 2025-26</v>
      </c>
      <c r="D904" s="11" t="s">
        <v>211</v>
      </c>
      <c r="E904" s="7" t="s">
        <v>863</v>
      </c>
      <c r="F904" s="7"/>
      <c r="G904" s="1254" t="s">
        <v>186</v>
      </c>
      <c r="H904" s="6">
        <v>0</v>
      </c>
      <c r="I904" s="6">
        <v>0</v>
      </c>
      <c r="J904" s="1257" t="s">
        <v>863</v>
      </c>
      <c r="K904" s="251">
        <f>SUMIF('alb Note 6.1 -  Intangibles CY'!$A:$A,$J904,'alb Note 6.1 -  Intangibles CY'!$B:$B)</f>
        <v>0</v>
      </c>
      <c r="L904" s="251">
        <f>SUMIF('alb Note 6.1 -  Intangibles CY'!$A:$A,$J904,'alb Note 6.1 -  Intangibles CY'!$M:$M)</f>
        <v>0</v>
      </c>
      <c r="M904" s="10"/>
      <c r="N904" s="273">
        <f t="shared" si="523"/>
        <v>0</v>
      </c>
      <c r="O904" s="12"/>
      <c r="P904" s="12"/>
      <c r="Q904" s="12"/>
      <c r="R904" s="12"/>
      <c r="S904" s="6">
        <f t="shared" si="521"/>
        <v>0</v>
      </c>
      <c r="T904" s="273">
        <f t="shared" si="524"/>
        <v>0</v>
      </c>
      <c r="U904" s="6">
        <f t="shared" si="525"/>
        <v>0</v>
      </c>
      <c r="V904" s="6"/>
      <c r="W904" s="6">
        <f t="shared" si="519"/>
        <v>0</v>
      </c>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X904" s="6"/>
      <c r="AY904" s="6">
        <f>ROUND(AX904/1000/Update!$B$31*Update!$B$27,0)</f>
        <v>0</v>
      </c>
      <c r="BA904" s="6"/>
      <c r="BB904" s="6">
        <f>ROUND(BA904/1000/Update!$B$31,0)</f>
        <v>0</v>
      </c>
      <c r="BC904" s="6"/>
      <c r="BD904" s="29">
        <f t="shared" si="492"/>
        <v>0</v>
      </c>
      <c r="BE904" s="322"/>
      <c r="BF904" s="322"/>
      <c r="BG904" s="322"/>
      <c r="BH904" s="322"/>
      <c r="BI904" s="322"/>
      <c r="BJ904" s="322"/>
      <c r="BK904" s="29">
        <f t="shared" si="507"/>
        <v>0</v>
      </c>
      <c r="BL904" s="322"/>
      <c r="BM904" s="322"/>
      <c r="BN904" s="322"/>
      <c r="BO904" s="322"/>
      <c r="BP904" s="322"/>
      <c r="BQ904" s="322"/>
      <c r="BR904" s="322"/>
      <c r="BS904" s="322"/>
      <c r="BT904" s="322"/>
      <c r="BU904" s="322"/>
      <c r="BV904" s="322"/>
      <c r="BW904" s="322"/>
      <c r="BX904" s="322"/>
      <c r="BY904" s="322"/>
      <c r="BZ904" s="322"/>
      <c r="CA904" s="322"/>
      <c r="CB904" s="322"/>
      <c r="CC904" s="322"/>
      <c r="CD904" s="322"/>
      <c r="CE904" s="322"/>
      <c r="CF904" s="322"/>
      <c r="CG904" s="322"/>
      <c r="CH904" s="322"/>
      <c r="CI904" s="322"/>
      <c r="CM904" s="1139">
        <v>0</v>
      </c>
      <c r="CN904" s="1139">
        <v>0</v>
      </c>
      <c r="CP904" s="923">
        <f t="shared" ref="CP904:CP967" si="526">-V904+BL904+BM904+BN904+CM904</f>
        <v>0</v>
      </c>
      <c r="CZ904" s="330"/>
    </row>
    <row r="905" spans="1:104" ht="15" customHeight="1" x14ac:dyDescent="0.25">
      <c r="A905" s="684">
        <f>MAX($A$6:A904)+1</f>
        <v>905</v>
      </c>
      <c r="B905" s="3">
        <f t="shared" si="516"/>
        <v>6.1</v>
      </c>
      <c r="C905" s="11" t="str">
        <f>C904</f>
        <v>Consolidated intangible assets 2025-26</v>
      </c>
      <c r="D905" s="11" t="str">
        <f>D904</f>
        <v>Software Licences</v>
      </c>
      <c r="E905" s="7" t="s">
        <v>867</v>
      </c>
      <c r="F905" s="7"/>
      <c r="G905" s="1257" t="s">
        <v>187</v>
      </c>
      <c r="H905" s="6">
        <v>0</v>
      </c>
      <c r="I905" s="6">
        <v>0</v>
      </c>
      <c r="J905" s="1257" t="s">
        <v>867</v>
      </c>
      <c r="K905" s="251">
        <f>SUMIF('alb Note 6.1 -  Intangibles CY'!$A:$A,$J905,'alb Note 6.1 -  Intangibles CY'!$B:$B)</f>
        <v>0</v>
      </c>
      <c r="L905" s="251">
        <f>SUMIF('alb Note 6.1 -  Intangibles CY'!$A:$A,$J905,'alb Note 6.1 -  Intangibles CY'!$M:$M)</f>
        <v>0</v>
      </c>
      <c r="M905" s="10"/>
      <c r="N905" s="273">
        <f t="shared" si="523"/>
        <v>0</v>
      </c>
      <c r="O905" s="12"/>
      <c r="P905" s="12"/>
      <c r="Q905" s="12"/>
      <c r="R905" s="12"/>
      <c r="S905" s="6">
        <f t="shared" si="521"/>
        <v>0</v>
      </c>
      <c r="T905" s="273">
        <f t="shared" si="524"/>
        <v>0</v>
      </c>
      <c r="U905" s="6">
        <f t="shared" si="525"/>
        <v>0</v>
      </c>
      <c r="V905" s="6"/>
      <c r="W905" s="6">
        <f t="shared" si="519"/>
        <v>0</v>
      </c>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X905" s="6"/>
      <c r="AY905" s="6">
        <f>ROUND(AX905/1000/Update!$B$31*Update!$B$27,0)</f>
        <v>0</v>
      </c>
      <c r="BA905" s="6"/>
      <c r="BB905" s="6">
        <f>ROUND(BA905/1000/Update!$B$31,0)</f>
        <v>0</v>
      </c>
      <c r="BC905" s="6"/>
      <c r="BD905" s="29">
        <f t="shared" si="492"/>
        <v>0</v>
      </c>
      <c r="BE905" s="322"/>
      <c r="BF905" s="322"/>
      <c r="BG905" s="322"/>
      <c r="BH905" s="322"/>
      <c r="BI905" s="322"/>
      <c r="BJ905" s="322"/>
      <c r="BK905" s="29">
        <f t="shared" si="507"/>
        <v>0</v>
      </c>
      <c r="BL905" s="322"/>
      <c r="BM905" s="322"/>
      <c r="BN905" s="322"/>
      <c r="BO905" s="322"/>
      <c r="BP905" s="322"/>
      <c r="BQ905" s="322"/>
      <c r="BR905" s="322"/>
      <c r="BS905" s="322"/>
      <c r="BT905" s="322"/>
      <c r="BU905" s="322"/>
      <c r="BV905" s="322"/>
      <c r="BW905" s="322"/>
      <c r="BX905" s="322"/>
      <c r="BY905" s="322"/>
      <c r="BZ905" s="322"/>
      <c r="CA905" s="322"/>
      <c r="CB905" s="322"/>
      <c r="CC905" s="322"/>
      <c r="CD905" s="322"/>
      <c r="CE905" s="322"/>
      <c r="CF905" s="322"/>
      <c r="CG905" s="322"/>
      <c r="CH905" s="322"/>
      <c r="CI905" s="322"/>
      <c r="CM905" s="1139">
        <v>0</v>
      </c>
      <c r="CN905" s="1139">
        <v>0</v>
      </c>
      <c r="CP905" s="923">
        <f t="shared" si="526"/>
        <v>0</v>
      </c>
      <c r="CZ905" s="330"/>
    </row>
    <row r="906" spans="1:104" ht="15" customHeight="1" x14ac:dyDescent="0.25">
      <c r="A906" s="684">
        <f>MAX($A$6:A905)+1</f>
        <v>906</v>
      </c>
      <c r="B906" s="3">
        <f t="shared" si="516"/>
        <v>6.1</v>
      </c>
      <c r="C906" s="11" t="str">
        <f>C904</f>
        <v>Consolidated intangible assets 2025-26</v>
      </c>
      <c r="D906" s="11" t="s">
        <v>211</v>
      </c>
      <c r="E906" s="7" t="s">
        <v>875</v>
      </c>
      <c r="F906" s="7"/>
      <c r="G906" s="1254" t="s">
        <v>210</v>
      </c>
      <c r="H906" s="6">
        <v>0</v>
      </c>
      <c r="I906" s="6">
        <v>0</v>
      </c>
      <c r="J906" s="1257" t="s">
        <v>875</v>
      </c>
      <c r="K906" s="251">
        <f>SUMIF('alb Note 6.1 -  Intangibles CY'!$A:$A,$J906,'alb Note 6.1 -  Intangibles CY'!$B:$B)</f>
        <v>0</v>
      </c>
      <c r="L906" s="251">
        <f>SUMIF('alb Note 6.1 -  Intangibles CY'!$A:$A,$J906,'alb Note 6.1 -  Intangibles CY'!$M:$M)</f>
        <v>0</v>
      </c>
      <c r="M906" s="10"/>
      <c r="N906" s="273">
        <f t="shared" si="523"/>
        <v>0</v>
      </c>
      <c r="O906" s="12"/>
      <c r="P906" s="12"/>
      <c r="Q906" s="12"/>
      <c r="R906" s="12"/>
      <c r="S906" s="6">
        <f t="shared" si="521"/>
        <v>0</v>
      </c>
      <c r="T906" s="273">
        <f t="shared" si="524"/>
        <v>0</v>
      </c>
      <c r="U906" s="6">
        <f t="shared" si="525"/>
        <v>0</v>
      </c>
      <c r="V906" s="6"/>
      <c r="W906" s="6">
        <f t="shared" si="519"/>
        <v>0</v>
      </c>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X906" s="6"/>
      <c r="AY906" s="6">
        <f>ROUND(AX906/1000/Update!$B$31*Update!$B$27,0)</f>
        <v>0</v>
      </c>
      <c r="BA906" s="6"/>
      <c r="BB906" s="6">
        <f>ROUND(BA906/1000/Update!$B$31,0)</f>
        <v>0</v>
      </c>
      <c r="BC906" s="6"/>
      <c r="BD906" s="29">
        <f t="shared" si="492"/>
        <v>0</v>
      </c>
      <c r="BE906" s="322"/>
      <c r="BF906" s="322"/>
      <c r="BG906" s="322"/>
      <c r="BH906" s="322"/>
      <c r="BI906" s="322"/>
      <c r="BJ906" s="322"/>
      <c r="BK906" s="29">
        <f t="shared" si="507"/>
        <v>0</v>
      </c>
      <c r="BL906" s="322"/>
      <c r="BM906" s="322"/>
      <c r="BN906" s="322"/>
      <c r="BO906" s="322"/>
      <c r="BP906" s="322"/>
      <c r="BQ906" s="322"/>
      <c r="BR906" s="322"/>
      <c r="BS906" s="322"/>
      <c r="BT906" s="322"/>
      <c r="BU906" s="322"/>
      <c r="BV906" s="322"/>
      <c r="BW906" s="322"/>
      <c r="BX906" s="322"/>
      <c r="BY906" s="322"/>
      <c r="BZ906" s="322"/>
      <c r="CA906" s="322"/>
      <c r="CB906" s="322"/>
      <c r="CC906" s="322"/>
      <c r="CD906" s="322"/>
      <c r="CE906" s="322"/>
      <c r="CF906" s="322"/>
      <c r="CG906" s="322"/>
      <c r="CH906" s="322"/>
      <c r="CI906" s="322"/>
      <c r="CM906" s="1139">
        <v>0</v>
      </c>
      <c r="CN906" s="1139">
        <v>0</v>
      </c>
      <c r="CP906" s="923">
        <f t="shared" si="526"/>
        <v>0</v>
      </c>
      <c r="CZ906" s="330"/>
    </row>
    <row r="907" spans="1:104" ht="30" customHeight="1" x14ac:dyDescent="0.25">
      <c r="A907" s="684">
        <f>MAX($A$6:A906)+1</f>
        <v>907</v>
      </c>
      <c r="B907" s="3">
        <f t="shared" si="516"/>
        <v>6.1</v>
      </c>
      <c r="C907" s="11" t="str">
        <f t="shared" si="475"/>
        <v>Consolidated intangible assets 2025-26</v>
      </c>
      <c r="D907" s="11" t="s">
        <v>211</v>
      </c>
      <c r="E907" s="7" t="s">
        <v>1415</v>
      </c>
      <c r="F907" s="7"/>
      <c r="G907" s="1254" t="s">
        <v>438</v>
      </c>
      <c r="H907" s="6">
        <v>0</v>
      </c>
      <c r="I907" s="6">
        <v>0</v>
      </c>
      <c r="J907" s="1257" t="s">
        <v>864</v>
      </c>
      <c r="K907" s="251">
        <f>SUMIF('alb Note 6.1 -  Intangibles CY'!$A:$A,$J907,'alb Note 6.1 -  Intangibles CY'!$B:$B)</f>
        <v>0</v>
      </c>
      <c r="L907" s="251">
        <f>SUMIF('alb Note 6.1 -  Intangibles CY'!$A:$A,$J907,'alb Note 6.1 -  Intangibles CY'!$M:$M)</f>
        <v>0</v>
      </c>
      <c r="M907" s="10"/>
      <c r="N907" s="273">
        <f t="shared" si="523"/>
        <v>0</v>
      </c>
      <c r="O907" s="12"/>
      <c r="P907" s="12"/>
      <c r="Q907" s="12"/>
      <c r="R907" s="12"/>
      <c r="S907" s="6">
        <f t="shared" si="521"/>
        <v>0</v>
      </c>
      <c r="T907" s="273">
        <f t="shared" si="524"/>
        <v>0</v>
      </c>
      <c r="U907" s="6">
        <f t="shared" si="525"/>
        <v>0</v>
      </c>
      <c r="V907" s="6"/>
      <c r="W907" s="6">
        <f t="shared" si="519"/>
        <v>0</v>
      </c>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X907" s="6"/>
      <c r="AY907" s="6">
        <f>ROUND(AX907/1000/Update!$B$31*Update!$B$27,0)</f>
        <v>0</v>
      </c>
      <c r="BA907" s="6"/>
      <c r="BB907" s="6">
        <f>ROUND(BA907/1000/Update!$B$31,0)</f>
        <v>0</v>
      </c>
      <c r="BC907" s="6"/>
      <c r="BD907" s="29">
        <f t="shared" si="492"/>
        <v>0</v>
      </c>
      <c r="BE907" s="322"/>
      <c r="BF907" s="322"/>
      <c r="BG907" s="322"/>
      <c r="BH907" s="322"/>
      <c r="BI907" s="322"/>
      <c r="BJ907" s="322"/>
      <c r="BK907" s="29">
        <f t="shared" si="507"/>
        <v>0</v>
      </c>
      <c r="BL907" s="322"/>
      <c r="BM907" s="322"/>
      <c r="BN907" s="322"/>
      <c r="BO907" s="322"/>
      <c r="BP907" s="322"/>
      <c r="BQ907" s="322"/>
      <c r="BR907" s="322"/>
      <c r="BS907" s="322"/>
      <c r="BT907" s="322"/>
      <c r="BU907" s="322"/>
      <c r="BV907" s="322"/>
      <c r="BW907" s="322"/>
      <c r="BX907" s="322"/>
      <c r="BY907" s="322"/>
      <c r="BZ907" s="322"/>
      <c r="CA907" s="322"/>
      <c r="CB907" s="322"/>
      <c r="CC907" s="322"/>
      <c r="CD907" s="322"/>
      <c r="CE907" s="322"/>
      <c r="CF907" s="322"/>
      <c r="CG907" s="322"/>
      <c r="CH907" s="322"/>
      <c r="CI907" s="322"/>
      <c r="CM907" s="1139">
        <v>0</v>
      </c>
      <c r="CN907" s="1139">
        <v>0</v>
      </c>
      <c r="CP907" s="923">
        <f t="shared" si="526"/>
        <v>0</v>
      </c>
      <c r="CZ907" s="330"/>
    </row>
    <row r="908" spans="1:104" ht="51" customHeight="1" x14ac:dyDescent="0.25">
      <c r="A908" s="684">
        <f>MAX($A$6:A907)+1</f>
        <v>908</v>
      </c>
      <c r="B908" s="3">
        <f t="shared" si="516"/>
        <v>6.1</v>
      </c>
      <c r="C908" s="11" t="str">
        <f t="shared" si="475"/>
        <v>Consolidated intangible assets 2025-26</v>
      </c>
      <c r="D908" s="11" t="s">
        <v>211</v>
      </c>
      <c r="E908" s="7" t="s">
        <v>1410</v>
      </c>
      <c r="F908" s="7"/>
      <c r="G908" s="1254" t="s">
        <v>193</v>
      </c>
      <c r="H908" s="6">
        <v>0</v>
      </c>
      <c r="I908" s="6">
        <v>0</v>
      </c>
      <c r="J908" s="1257" t="s">
        <v>865</v>
      </c>
      <c r="K908" s="251">
        <f>SUMIF('alb Note 6.1 -  Intangibles CY'!$A:$A,$J908,'alb Note 6.1 -  Intangibles CY'!$B:$B)</f>
        <v>0</v>
      </c>
      <c r="L908" s="251">
        <f>SUMIF('alb Note 6.1 -  Intangibles CY'!$A:$A,$J908,'alb Note 6.1 -  Intangibles CY'!$M:$M)</f>
        <v>0</v>
      </c>
      <c r="M908" s="10"/>
      <c r="N908" s="273">
        <f t="shared" si="523"/>
        <v>0</v>
      </c>
      <c r="O908" s="12"/>
      <c r="P908" s="12"/>
      <c r="Q908" s="12"/>
      <c r="R908" s="12"/>
      <c r="S908" s="6">
        <f t="shared" si="521"/>
        <v>0</v>
      </c>
      <c r="T908" s="273">
        <f t="shared" si="524"/>
        <v>0</v>
      </c>
      <c r="U908" s="6">
        <f t="shared" si="525"/>
        <v>0</v>
      </c>
      <c r="V908" s="6"/>
      <c r="W908" s="6">
        <f t="shared" si="519"/>
        <v>0</v>
      </c>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X908" s="6"/>
      <c r="AY908" s="6">
        <f>ROUND(AX908/1000/Update!$B$31*Update!$B$27,0)</f>
        <v>0</v>
      </c>
      <c r="BA908" s="6"/>
      <c r="BB908" s="6">
        <f>ROUND(BA908/1000/Update!$B$31,0)</f>
        <v>0</v>
      </c>
      <c r="BC908" s="6"/>
      <c r="BD908" s="29">
        <f t="shared" si="492"/>
        <v>0</v>
      </c>
      <c r="BE908" s="322"/>
      <c r="BF908" s="322"/>
      <c r="BG908" s="322"/>
      <c r="BH908" s="322"/>
      <c r="BI908" s="322"/>
      <c r="BJ908" s="322"/>
      <c r="BK908" s="29">
        <f t="shared" si="507"/>
        <v>0</v>
      </c>
      <c r="BL908" s="322"/>
      <c r="BM908" s="322"/>
      <c r="BN908" s="322"/>
      <c r="BO908" s="322"/>
      <c r="BP908" s="322"/>
      <c r="BQ908" s="322"/>
      <c r="BR908" s="322"/>
      <c r="BS908" s="322"/>
      <c r="BT908" s="322"/>
      <c r="BU908" s="322"/>
      <c r="BV908" s="322"/>
      <c r="BW908" s="322"/>
      <c r="BX908" s="322"/>
      <c r="BY908" s="322"/>
      <c r="BZ908" s="322"/>
      <c r="CA908" s="322"/>
      <c r="CB908" s="322"/>
      <c r="CC908" s="322"/>
      <c r="CD908" s="322"/>
      <c r="CE908" s="322"/>
      <c r="CF908" s="322"/>
      <c r="CG908" s="322"/>
      <c r="CH908" s="322"/>
      <c r="CI908" s="322"/>
      <c r="CM908" s="1139">
        <v>0</v>
      </c>
      <c r="CN908" s="1139">
        <v>0</v>
      </c>
      <c r="CP908" s="923">
        <f t="shared" si="526"/>
        <v>0</v>
      </c>
      <c r="CZ908" s="330"/>
    </row>
    <row r="909" spans="1:104" ht="15" customHeight="1" x14ac:dyDescent="0.25">
      <c r="A909" s="684">
        <f>MAX($A$6:A908)+1</f>
        <v>909</v>
      </c>
      <c r="B909" s="3">
        <f t="shared" si="516"/>
        <v>6.1</v>
      </c>
      <c r="C909" s="11" t="str">
        <f t="shared" si="475"/>
        <v>Consolidated intangible assets 2025-26</v>
      </c>
      <c r="D909" s="11" t="str">
        <f>D908</f>
        <v>Software Licences</v>
      </c>
      <c r="E909" s="7" t="s">
        <v>868</v>
      </c>
      <c r="F909" s="7"/>
      <c r="G909" s="1254" t="s">
        <v>188</v>
      </c>
      <c r="H909" s="6">
        <v>0</v>
      </c>
      <c r="I909" s="6">
        <v>0</v>
      </c>
      <c r="J909" s="1257" t="s">
        <v>868</v>
      </c>
      <c r="K909" s="251">
        <f>SUMIF('alb Note 6.1 -  Intangibles CY'!$A:$A,$J909,'alb Note 6.1 -  Intangibles CY'!$B:$B)</f>
        <v>0</v>
      </c>
      <c r="L909" s="251">
        <f>SUMIF('alb Note 6.1 -  Intangibles CY'!$A:$A,$J909,'alb Note 6.1 -  Intangibles CY'!$M:$M)</f>
        <v>0</v>
      </c>
      <c r="M909" s="10"/>
      <c r="N909" s="273">
        <f t="shared" si="523"/>
        <v>0</v>
      </c>
      <c r="O909" s="12"/>
      <c r="P909" s="12"/>
      <c r="Q909" s="12"/>
      <c r="R909" s="12"/>
      <c r="S909" s="6">
        <f t="shared" si="521"/>
        <v>0</v>
      </c>
      <c r="T909" s="273">
        <f t="shared" si="524"/>
        <v>0</v>
      </c>
      <c r="U909" s="6">
        <f t="shared" si="525"/>
        <v>0</v>
      </c>
      <c r="V909" s="6"/>
      <c r="W909" s="6">
        <f t="shared" si="519"/>
        <v>0</v>
      </c>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X909" s="6"/>
      <c r="AY909" s="6">
        <f>ROUND(AX909/1000/Update!$B$31*Update!$B$27,0)</f>
        <v>0</v>
      </c>
      <c r="BA909" s="6"/>
      <c r="BB909" s="6">
        <f>ROUND(BA909/1000/Update!$B$31,0)</f>
        <v>0</v>
      </c>
      <c r="BC909" s="6"/>
      <c r="BD909" s="29">
        <f t="shared" si="492"/>
        <v>0</v>
      </c>
      <c r="BE909" s="322"/>
      <c r="BF909" s="322"/>
      <c r="BG909" s="322"/>
      <c r="BH909" s="322"/>
      <c r="BI909" s="322"/>
      <c r="BJ909" s="322"/>
      <c r="BK909" s="29">
        <f t="shared" si="507"/>
        <v>0</v>
      </c>
      <c r="BL909" s="322"/>
      <c r="BM909" s="322"/>
      <c r="BN909" s="322"/>
      <c r="BO909" s="322"/>
      <c r="BP909" s="322"/>
      <c r="BQ909" s="322"/>
      <c r="BR909" s="322"/>
      <c r="BS909" s="322"/>
      <c r="BT909" s="322"/>
      <c r="BU909" s="322"/>
      <c r="BV909" s="322"/>
      <c r="BW909" s="322"/>
      <c r="BX909" s="322"/>
      <c r="BY909" s="322"/>
      <c r="BZ909" s="322"/>
      <c r="CA909" s="322"/>
      <c r="CB909" s="322"/>
      <c r="CC909" s="322"/>
      <c r="CD909" s="322"/>
      <c r="CE909" s="322"/>
      <c r="CF909" s="322"/>
      <c r="CG909" s="322"/>
      <c r="CH909" s="322"/>
      <c r="CI909" s="322"/>
      <c r="CM909" s="1139">
        <v>0</v>
      </c>
      <c r="CN909" s="1139">
        <v>0</v>
      </c>
      <c r="CP909" s="923">
        <f t="shared" si="526"/>
        <v>0</v>
      </c>
      <c r="CZ909" s="330"/>
    </row>
    <row r="910" spans="1:104" ht="15" customHeight="1" x14ac:dyDescent="0.25">
      <c r="A910" s="684">
        <f>MAX($A$6:A909)+1</f>
        <v>910</v>
      </c>
      <c r="B910" s="3">
        <f t="shared" si="516"/>
        <v>6.1</v>
      </c>
      <c r="C910" s="11" t="str">
        <f>C908</f>
        <v>Consolidated intangible assets 2025-26</v>
      </c>
      <c r="D910" s="11" t="s">
        <v>211</v>
      </c>
      <c r="E910" s="7" t="s">
        <v>1416</v>
      </c>
      <c r="F910" s="7"/>
      <c r="G910" s="1254" t="s">
        <v>189</v>
      </c>
      <c r="H910" s="6">
        <v>0</v>
      </c>
      <c r="I910" s="6">
        <v>0</v>
      </c>
      <c r="J910" s="1257" t="s">
        <v>870</v>
      </c>
      <c r="K910" s="251">
        <f>SUMIF('alb Note 6.1 -  Intangibles CY'!$A:$A,$J910,'alb Note 6.1 -  Intangibles CY'!$B:$B)</f>
        <v>0</v>
      </c>
      <c r="L910" s="251">
        <f>SUMIF('alb Note 6.1 -  Intangibles CY'!$A:$A,$J910,'alb Note 6.1 -  Intangibles CY'!$M:$M)</f>
        <v>0</v>
      </c>
      <c r="M910" s="10"/>
      <c r="N910" s="273">
        <f t="shared" si="523"/>
        <v>0</v>
      </c>
      <c r="O910" s="12"/>
      <c r="P910" s="12"/>
      <c r="Q910" s="12"/>
      <c r="R910" s="12"/>
      <c r="S910" s="6">
        <f t="shared" si="521"/>
        <v>0</v>
      </c>
      <c r="T910" s="273">
        <f t="shared" si="524"/>
        <v>0</v>
      </c>
      <c r="U910" s="6">
        <f t="shared" si="525"/>
        <v>0</v>
      </c>
      <c r="V910" s="6"/>
      <c r="W910" s="6">
        <f t="shared" si="519"/>
        <v>0</v>
      </c>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X910" s="6"/>
      <c r="AY910" s="6">
        <f>ROUND(AX910/1000/Update!$B$31*Update!$B$27,0)</f>
        <v>0</v>
      </c>
      <c r="BA910" s="6"/>
      <c r="BB910" s="6">
        <f>ROUND(BA910/1000/Update!$B$31,0)</f>
        <v>0</v>
      </c>
      <c r="BC910" s="6"/>
      <c r="BD910" s="29">
        <f t="shared" si="492"/>
        <v>0</v>
      </c>
      <c r="BE910" s="322"/>
      <c r="BF910" s="322"/>
      <c r="BG910" s="322"/>
      <c r="BH910" s="322"/>
      <c r="BI910" s="322"/>
      <c r="BJ910" s="322"/>
      <c r="BK910" s="29">
        <f t="shared" si="507"/>
        <v>0</v>
      </c>
      <c r="BL910" s="322"/>
      <c r="BM910" s="322"/>
      <c r="BN910" s="322"/>
      <c r="BO910" s="322"/>
      <c r="BP910" s="322"/>
      <c r="BQ910" s="322"/>
      <c r="BR910" s="322"/>
      <c r="BS910" s="322"/>
      <c r="BT910" s="322"/>
      <c r="BU910" s="322"/>
      <c r="BV910" s="322"/>
      <c r="BW910" s="322"/>
      <c r="BX910" s="322"/>
      <c r="BY910" s="322"/>
      <c r="BZ910" s="322"/>
      <c r="CA910" s="322"/>
      <c r="CB910" s="322"/>
      <c r="CC910" s="322"/>
      <c r="CD910" s="322"/>
      <c r="CE910" s="322"/>
      <c r="CF910" s="322"/>
      <c r="CG910" s="322"/>
      <c r="CH910" s="322"/>
      <c r="CI910" s="322"/>
      <c r="CM910" s="1139">
        <v>0</v>
      </c>
      <c r="CN910" s="1139">
        <v>0</v>
      </c>
      <c r="CP910" s="923">
        <f t="shared" si="526"/>
        <v>0</v>
      </c>
      <c r="CZ910" s="330"/>
    </row>
    <row r="911" spans="1:104" ht="15" customHeight="1" x14ac:dyDescent="0.25">
      <c r="A911" s="701">
        <f>MAX($A$6:A910)+1</f>
        <v>911</v>
      </c>
      <c r="B911" s="1291">
        <f t="shared" si="516"/>
        <v>6.1</v>
      </c>
      <c r="C911" s="18" t="str">
        <f t="shared" si="475"/>
        <v>Consolidated intangible assets 2025-26</v>
      </c>
      <c r="D911" s="18" t="s">
        <v>211</v>
      </c>
      <c r="E911" s="19" t="str">
        <f>"At"&amp;Update!$B$22</f>
        <v>At 31 March 2026</v>
      </c>
      <c r="F911" s="20"/>
      <c r="G911" s="28"/>
      <c r="H911" s="14">
        <f>SUM(H901:H910)</f>
        <v>47</v>
      </c>
      <c r="I911" s="14">
        <f>SUM(I901:I910)</f>
        <v>0</v>
      </c>
      <c r="J911" s="1258" t="s">
        <v>2492</v>
      </c>
      <c r="K911" s="256">
        <f>SUM(K901:K910)</f>
        <v>0</v>
      </c>
      <c r="L911" s="256">
        <f>SUM(L901:L910)</f>
        <v>0</v>
      </c>
      <c r="M911" s="21"/>
      <c r="N911" s="14">
        <f>ROUND(SUM(O911:S911)+T911+SUM(Z911:AV911),0)</f>
        <v>47</v>
      </c>
      <c r="O911" s="14">
        <f t="shared" ref="O911:V911" si="527">SUM(O901:O910)</f>
        <v>0</v>
      </c>
      <c r="P911" s="14">
        <f t="shared" si="527"/>
        <v>0</v>
      </c>
      <c r="Q911" s="14">
        <f t="shared" si="527"/>
        <v>0</v>
      </c>
      <c r="R911" s="14">
        <f t="shared" si="527"/>
        <v>0</v>
      </c>
      <c r="S911" s="14">
        <f t="shared" si="521"/>
        <v>0</v>
      </c>
      <c r="T911" s="14">
        <f t="shared" si="527"/>
        <v>47</v>
      </c>
      <c r="U911" s="14">
        <f t="shared" si="527"/>
        <v>0</v>
      </c>
      <c r="V911" s="14">
        <f t="shared" si="527"/>
        <v>0</v>
      </c>
      <c r="W911" s="14">
        <f>SUM(W901:W910)</f>
        <v>47</v>
      </c>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2"/>
      <c r="AX911" s="14">
        <f>SUM(AX901:AX910)</f>
        <v>0</v>
      </c>
      <c r="AY911" s="14">
        <f>ROUND(AX911/1000/Update!$B$31*Update!$B$27,0)</f>
        <v>0</v>
      </c>
      <c r="AZ911" s="2"/>
      <c r="BA911" s="14">
        <f>SUM(BA901:BA910)</f>
        <v>0</v>
      </c>
      <c r="BB911" s="14">
        <f>ROUND(BA911/1000/Update!$B$31,0)</f>
        <v>0</v>
      </c>
      <c r="BC911" s="14"/>
      <c r="BD911" s="14">
        <f t="shared" si="492"/>
        <v>0</v>
      </c>
      <c r="BE911" s="14">
        <f t="shared" ref="BE911:BJ911" si="528">SUM(BE901:BE910)</f>
        <v>0</v>
      </c>
      <c r="BF911" s="14">
        <f t="shared" si="528"/>
        <v>0</v>
      </c>
      <c r="BG911" s="14">
        <f t="shared" si="528"/>
        <v>0</v>
      </c>
      <c r="BH911" s="14">
        <f t="shared" si="528"/>
        <v>0</v>
      </c>
      <c r="BI911" s="14">
        <f t="shared" si="528"/>
        <v>0</v>
      </c>
      <c r="BJ911" s="14">
        <f t="shared" si="528"/>
        <v>0</v>
      </c>
      <c r="BK911" s="14">
        <f t="shared" si="507"/>
        <v>0</v>
      </c>
      <c r="BL911" s="14"/>
      <c r="BM911" s="14"/>
      <c r="BN911" s="14"/>
      <c r="BO911" s="14"/>
      <c r="BP911" s="14"/>
      <c r="BQ911" s="14"/>
      <c r="BR911" s="14"/>
      <c r="BS911" s="14"/>
      <c r="BT911" s="324"/>
      <c r="BU911" s="14"/>
      <c r="BV911" s="14"/>
      <c r="BW911" s="14"/>
      <c r="BX911" s="14"/>
      <c r="BY911" s="14"/>
      <c r="BZ911" s="14"/>
      <c r="CA911" s="14"/>
      <c r="CB911" s="14"/>
      <c r="CC911" s="14"/>
      <c r="CD911" s="14"/>
      <c r="CE911" s="14"/>
      <c r="CF911" s="14"/>
      <c r="CG911" s="14"/>
      <c r="CH911" s="14"/>
      <c r="CI911" s="14"/>
      <c r="CJ911" s="2"/>
      <c r="CK911" s="2"/>
      <c r="CM911" s="1140">
        <v>0</v>
      </c>
      <c r="CN911" s="1140">
        <v>0</v>
      </c>
      <c r="CP911" s="923">
        <f t="shared" si="526"/>
        <v>0</v>
      </c>
      <c r="CZ911" s="330"/>
    </row>
    <row r="912" spans="1:104" ht="15" customHeight="1" x14ac:dyDescent="0.25">
      <c r="A912" s="701">
        <f>MAX($A$6:A911)+1</f>
        <v>912</v>
      </c>
      <c r="B912" s="1291">
        <f t="shared" si="516"/>
        <v>6.1</v>
      </c>
      <c r="C912" s="18" t="str">
        <f t="shared" si="475"/>
        <v>Consolidated intangible assets 2025-26</v>
      </c>
      <c r="D912" s="18" t="s">
        <v>211</v>
      </c>
      <c r="E912" s="19" t="str">
        <f>"Carrying amount "&amp;Update!$B$22</f>
        <v>Carrying amount  31 March 2026</v>
      </c>
      <c r="F912" s="20"/>
      <c r="G912" s="28"/>
      <c r="H912" s="14">
        <f>H897-H911</f>
        <v>101</v>
      </c>
      <c r="I912" s="14">
        <f>I897-I911</f>
        <v>0</v>
      </c>
      <c r="J912" s="1258" t="s">
        <v>2493</v>
      </c>
      <c r="K912" s="256">
        <f>K897-K911</f>
        <v>0</v>
      </c>
      <c r="L912" s="256">
        <f>L897-L911</f>
        <v>0</v>
      </c>
      <c r="M912" s="21"/>
      <c r="N912" s="14">
        <f>ROUND(SUM(O912:S912)+T912+SUM(Z912:AV912),0)</f>
        <v>101</v>
      </c>
      <c r="O912" s="14">
        <f t="shared" ref="O912:V912" si="529">O897-O911</f>
        <v>0</v>
      </c>
      <c r="P912" s="14">
        <f t="shared" si="529"/>
        <v>0</v>
      </c>
      <c r="Q912" s="14">
        <f t="shared" si="529"/>
        <v>0</v>
      </c>
      <c r="R912" s="14">
        <f t="shared" si="529"/>
        <v>0</v>
      </c>
      <c r="S912" s="14">
        <f t="shared" si="521"/>
        <v>0</v>
      </c>
      <c r="T912" s="14">
        <f t="shared" si="529"/>
        <v>101</v>
      </c>
      <c r="U912" s="14">
        <f t="shared" si="529"/>
        <v>0</v>
      </c>
      <c r="V912" s="14">
        <f t="shared" si="529"/>
        <v>0</v>
      </c>
      <c r="W912" s="14">
        <f>W897-W911</f>
        <v>101</v>
      </c>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2"/>
      <c r="AX912" s="14">
        <f>AX897-AX911</f>
        <v>0</v>
      </c>
      <c r="AY912" s="14">
        <f>ROUND(AX912/1000/Update!$B$31*Update!$B$27,0)</f>
        <v>0</v>
      </c>
      <c r="AZ912" s="2"/>
      <c r="BA912" s="14">
        <f>BA897-BA911</f>
        <v>0</v>
      </c>
      <c r="BB912" s="14">
        <f>ROUND(BA912/1000/Update!$B$31,0)</f>
        <v>0</v>
      </c>
      <c r="BC912" s="14"/>
      <c r="BD912" s="14">
        <f t="shared" si="492"/>
        <v>0</v>
      </c>
      <c r="BE912" s="14">
        <f t="shared" ref="BE912:BJ912" si="530">BE897-BE911</f>
        <v>0</v>
      </c>
      <c r="BF912" s="14">
        <f t="shared" si="530"/>
        <v>0</v>
      </c>
      <c r="BG912" s="14">
        <f t="shared" si="530"/>
        <v>0</v>
      </c>
      <c r="BH912" s="14">
        <f t="shared" si="530"/>
        <v>0</v>
      </c>
      <c r="BI912" s="14">
        <f t="shared" si="530"/>
        <v>0</v>
      </c>
      <c r="BJ912" s="14">
        <f t="shared" si="530"/>
        <v>0</v>
      </c>
      <c r="BK912" s="14">
        <f t="shared" si="507"/>
        <v>0</v>
      </c>
      <c r="BL912" s="14"/>
      <c r="BM912" s="14"/>
      <c r="BN912" s="14"/>
      <c r="BO912" s="14"/>
      <c r="BP912" s="14"/>
      <c r="BQ912" s="14"/>
      <c r="BR912" s="14"/>
      <c r="BS912" s="14"/>
      <c r="BT912" s="324"/>
      <c r="BU912" s="14"/>
      <c r="BV912" s="14"/>
      <c r="BW912" s="14"/>
      <c r="BX912" s="14"/>
      <c r="BY912" s="14"/>
      <c r="BZ912" s="14"/>
      <c r="CA912" s="14"/>
      <c r="CB912" s="14"/>
      <c r="CC912" s="14"/>
      <c r="CD912" s="14"/>
      <c r="CE912" s="14"/>
      <c r="CF912" s="14"/>
      <c r="CG912" s="14"/>
      <c r="CH912" s="14"/>
      <c r="CI912" s="14"/>
      <c r="CJ912" s="2"/>
      <c r="CK912" s="2"/>
      <c r="CM912" s="1140">
        <v>0</v>
      </c>
      <c r="CN912" s="1140">
        <v>0</v>
      </c>
      <c r="CP912" s="923">
        <f t="shared" si="526"/>
        <v>0</v>
      </c>
      <c r="CZ912" s="330"/>
    </row>
    <row r="913" spans="1:104" ht="15" customHeight="1" x14ac:dyDescent="0.25">
      <c r="A913" s="701">
        <f>MAX($A$6:A912)+1</f>
        <v>913</v>
      </c>
      <c r="B913" s="1291">
        <f t="shared" si="516"/>
        <v>6.1</v>
      </c>
      <c r="C913" s="18" t="str">
        <f t="shared" si="475"/>
        <v>Consolidated intangible assets 2025-26</v>
      </c>
      <c r="D913" s="18" t="s">
        <v>211</v>
      </c>
      <c r="E913" s="19" t="str">
        <f>"Carrying amount "&amp;Update!$B$24</f>
        <v>Carrying amount  31 March 2025</v>
      </c>
      <c r="F913" s="20"/>
      <c r="G913" s="28"/>
      <c r="H913" s="14">
        <f>H885-H899</f>
        <v>101</v>
      </c>
      <c r="I913" s="14">
        <f>I885-I899</f>
        <v>0</v>
      </c>
      <c r="J913" s="1258" t="s">
        <v>2494</v>
      </c>
      <c r="K913" s="256">
        <f>K885-K899</f>
        <v>0</v>
      </c>
      <c r="L913" s="256">
        <f>L885-L899</f>
        <v>0</v>
      </c>
      <c r="M913" s="21"/>
      <c r="N913" s="14">
        <f>ROUND(SUM(O913:S913)+T913+SUM(Z913:AV913),0)</f>
        <v>101</v>
      </c>
      <c r="O913" s="14">
        <f t="shared" ref="O913:V913" si="531">O885-O899</f>
        <v>0</v>
      </c>
      <c r="P913" s="14">
        <f t="shared" si="531"/>
        <v>0</v>
      </c>
      <c r="Q913" s="14">
        <f t="shared" si="531"/>
        <v>0</v>
      </c>
      <c r="R913" s="14">
        <f t="shared" si="531"/>
        <v>0</v>
      </c>
      <c r="S913" s="14">
        <f t="shared" si="521"/>
        <v>0</v>
      </c>
      <c r="T913" s="14">
        <f t="shared" si="531"/>
        <v>101</v>
      </c>
      <c r="U913" s="14">
        <f t="shared" si="531"/>
        <v>0</v>
      </c>
      <c r="V913" s="14">
        <f t="shared" si="531"/>
        <v>0</v>
      </c>
      <c r="W913" s="14">
        <f>W885-W899</f>
        <v>101</v>
      </c>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2"/>
      <c r="AX913" s="14">
        <f>AX885-AX899</f>
        <v>0</v>
      </c>
      <c r="AY913" s="14">
        <f>ROUND(AX913/1000/Update!$B$31*Update!$B$27,0)</f>
        <v>0</v>
      </c>
      <c r="AZ913" s="2"/>
      <c r="BA913" s="14">
        <f>BA885-BA899</f>
        <v>0</v>
      </c>
      <c r="BB913" s="14">
        <f>ROUND(BA913/1000/Update!$B$31,0)</f>
        <v>0</v>
      </c>
      <c r="BC913" s="14"/>
      <c r="BD913" s="14">
        <f t="shared" si="492"/>
        <v>0</v>
      </c>
      <c r="BE913" s="14">
        <f t="shared" ref="BE913:BJ913" si="532">BE885-BE899</f>
        <v>0</v>
      </c>
      <c r="BF913" s="14">
        <f t="shared" si="532"/>
        <v>0</v>
      </c>
      <c r="BG913" s="14">
        <f t="shared" si="532"/>
        <v>0</v>
      </c>
      <c r="BH913" s="14">
        <f t="shared" si="532"/>
        <v>0</v>
      </c>
      <c r="BI913" s="14">
        <f t="shared" si="532"/>
        <v>0</v>
      </c>
      <c r="BJ913" s="14">
        <f t="shared" si="532"/>
        <v>0</v>
      </c>
      <c r="BK913" s="14">
        <f t="shared" si="507"/>
        <v>0</v>
      </c>
      <c r="BL913" s="14"/>
      <c r="BM913" s="14"/>
      <c r="BN913" s="14"/>
      <c r="BO913" s="14"/>
      <c r="BP913" s="14"/>
      <c r="BQ913" s="14"/>
      <c r="BR913" s="14"/>
      <c r="BS913" s="14"/>
      <c r="BT913" s="324"/>
      <c r="BU913" s="14"/>
      <c r="BV913" s="14"/>
      <c r="BW913" s="14"/>
      <c r="BX913" s="14"/>
      <c r="BY913" s="14"/>
      <c r="BZ913" s="14"/>
      <c r="CA913" s="14"/>
      <c r="CB913" s="14"/>
      <c r="CC913" s="14"/>
      <c r="CD913" s="14"/>
      <c r="CE913" s="14"/>
      <c r="CF913" s="14"/>
      <c r="CG913" s="14"/>
      <c r="CH913" s="14"/>
      <c r="CI913" s="14"/>
      <c r="CJ913" s="2"/>
      <c r="CK913" s="2"/>
      <c r="CM913" s="1140">
        <v>0</v>
      </c>
      <c r="CN913" s="1140">
        <v>0</v>
      </c>
      <c r="CP913" s="923">
        <f t="shared" si="526"/>
        <v>0</v>
      </c>
      <c r="CZ913" s="330"/>
    </row>
    <row r="914" spans="1:104" ht="15" customHeight="1" x14ac:dyDescent="0.25">
      <c r="A914" s="684">
        <f>MAX($A$6:A913)+1</f>
        <v>914</v>
      </c>
      <c r="B914" s="3">
        <f t="shared" si="516"/>
        <v>6.1</v>
      </c>
      <c r="C914" s="11" t="str">
        <f t="shared" si="475"/>
        <v>Consolidated intangible assets 2025-26</v>
      </c>
      <c r="D914" s="11" t="s">
        <v>211</v>
      </c>
      <c r="E914" s="13" t="s">
        <v>194</v>
      </c>
      <c r="F914" s="13"/>
      <c r="G914" s="26"/>
      <c r="H914" s="6"/>
      <c r="I914" s="6"/>
      <c r="J914" s="1257" t="s">
        <v>286</v>
      </c>
      <c r="K914" s="251">
        <f>SUMIF('alb Note 6.1 -  Intangibles CY'!$A:$A,$J914,'alb Note 6.1 -  Intangibles CY'!$B:$B)</f>
        <v>0</v>
      </c>
      <c r="L914" s="251">
        <f>SUMIF('alb Note 6.1 -  Intangibles CY'!$A:$A,$J914,'alb Note 6.1 -  Intangibles CY'!$M:$M)</f>
        <v>0</v>
      </c>
      <c r="M914" s="10"/>
      <c r="N914" s="273">
        <f>ROUND(SUM(O914:S914)+SUM(W914:AV914),0)</f>
        <v>0</v>
      </c>
      <c r="O914" s="12"/>
      <c r="P914" s="12"/>
      <c r="Q914" s="12"/>
      <c r="R914" s="12"/>
      <c r="S914" s="6">
        <f t="shared" si="521"/>
        <v>0</v>
      </c>
      <c r="T914" s="273">
        <f>ROUND(SUM(U914:Y914),0)</f>
        <v>0</v>
      </c>
      <c r="U914" s="6">
        <f>SUM(BL914:BN914)</f>
        <v>0</v>
      </c>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X914" s="6"/>
      <c r="AY914" s="6">
        <f>ROUND(AX914/1000/Update!$B$31*Update!$B$27,0)</f>
        <v>0</v>
      </c>
      <c r="BA914" s="6"/>
      <c r="BB914" s="6">
        <f>ROUND(BA914/1000/Update!$B$31,0)</f>
        <v>0</v>
      </c>
      <c r="BC914" s="6"/>
      <c r="BD914" s="29">
        <f t="shared" si="492"/>
        <v>0</v>
      </c>
      <c r="BE914" s="322"/>
      <c r="BF914" s="322"/>
      <c r="BG914" s="322"/>
      <c r="BH914" s="322"/>
      <c r="BI914" s="322"/>
      <c r="BJ914" s="322"/>
      <c r="BK914" s="29">
        <f t="shared" si="507"/>
        <v>0</v>
      </c>
      <c r="BL914" s="322"/>
      <c r="BM914" s="322"/>
      <c r="BN914" s="322"/>
      <c r="BO914" s="322"/>
      <c r="BP914" s="322"/>
      <c r="BQ914" s="322"/>
      <c r="BR914" s="322"/>
      <c r="BS914" s="322"/>
      <c r="BT914" s="322"/>
      <c r="BU914" s="322"/>
      <c r="BV914" s="322"/>
      <c r="BW914" s="322"/>
      <c r="BX914" s="322"/>
      <c r="BY914" s="322"/>
      <c r="BZ914" s="322"/>
      <c r="CA914" s="322"/>
      <c r="CB914" s="322"/>
      <c r="CC914" s="322"/>
      <c r="CD914" s="322"/>
      <c r="CE914" s="322"/>
      <c r="CF914" s="322"/>
      <c r="CG914" s="322"/>
      <c r="CH914" s="322"/>
      <c r="CI914" s="322"/>
      <c r="CM914" s="1139">
        <v>0</v>
      </c>
      <c r="CN914" s="1139">
        <v>0</v>
      </c>
      <c r="CP914" s="923">
        <f t="shared" si="526"/>
        <v>0</v>
      </c>
      <c r="CZ914" s="330"/>
    </row>
    <row r="915" spans="1:104" ht="15" customHeight="1" x14ac:dyDescent="0.25">
      <c r="A915" s="684">
        <f>MAX($A$6:A914)+1</f>
        <v>915</v>
      </c>
      <c r="B915" s="3">
        <f t="shared" si="516"/>
        <v>6.1</v>
      </c>
      <c r="C915" s="11" t="str">
        <f t="shared" ref="C915:C986" si="533">C914</f>
        <v>Consolidated intangible assets 2025-26</v>
      </c>
      <c r="D915" s="11" t="s">
        <v>211</v>
      </c>
      <c r="E915" s="7" t="s">
        <v>197</v>
      </c>
      <c r="F915" s="7"/>
      <c r="G915" s="7" t="s">
        <v>197</v>
      </c>
      <c r="H915" s="6">
        <v>101</v>
      </c>
      <c r="I915" s="6" t="e">
        <v>#VALUE!</v>
      </c>
      <c r="J915" s="1257" t="s">
        <v>197</v>
      </c>
      <c r="K915" s="251">
        <f>SUMIF('alb Note 6.1 -  Intangibles CY'!$A:$A,$J915,'alb Note 6.1 -  Intangibles CY'!$B:$B)</f>
        <v>0</v>
      </c>
      <c r="L915" s="251">
        <f>SUMIF('alb Note 6.1 -  Intangibles CY'!$A:$A,$J915,'alb Note 6.1 -  Intangibles CY'!$M:$M)</f>
        <v>0</v>
      </c>
      <c r="M915" s="10"/>
      <c r="N915" s="273">
        <f>ROUND(SUM(O915:S915)+SUM(W915:AV915),0)</f>
        <v>101</v>
      </c>
      <c r="O915" s="12"/>
      <c r="P915" s="12"/>
      <c r="Q915" s="12"/>
      <c r="R915" s="12"/>
      <c r="S915" s="6">
        <f t="shared" si="521"/>
        <v>0</v>
      </c>
      <c r="T915" s="273">
        <f>ROUND(SUM(U915:Y915),0)</f>
        <v>101</v>
      </c>
      <c r="U915" s="6">
        <f>SUM(BL915:BN915)</f>
        <v>0</v>
      </c>
      <c r="V915" s="6"/>
      <c r="W915" s="6">
        <f>+H915</f>
        <v>101</v>
      </c>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X915" s="6"/>
      <c r="AY915" s="6">
        <f>ROUND(AX915/1000/Update!$B$31*Update!$B$27,0)</f>
        <v>0</v>
      </c>
      <c r="BA915" s="6"/>
      <c r="BB915" s="6">
        <f>ROUND(BA915/1000/Update!$B$31,0)</f>
        <v>0</v>
      </c>
      <c r="BC915" s="6"/>
      <c r="BD915" s="29">
        <f t="shared" si="492"/>
        <v>0</v>
      </c>
      <c r="BE915" s="322"/>
      <c r="BF915" s="322"/>
      <c r="BG915" s="322"/>
      <c r="BH915" s="322"/>
      <c r="BI915" s="322"/>
      <c r="BJ915" s="322"/>
      <c r="BK915" s="29">
        <f t="shared" si="507"/>
        <v>0</v>
      </c>
      <c r="BL915" s="322"/>
      <c r="BM915" s="322"/>
      <c r="BN915" s="322"/>
      <c r="BO915" s="322"/>
      <c r="BP915" s="322"/>
      <c r="BQ915" s="322"/>
      <c r="BR915" s="322"/>
      <c r="BS915" s="322"/>
      <c r="BT915" s="322"/>
      <c r="BU915" s="322"/>
      <c r="BV915" s="322"/>
      <c r="BW915" s="322"/>
      <c r="BX915" s="322"/>
      <c r="BY915" s="322"/>
      <c r="BZ915" s="322"/>
      <c r="CA915" s="322"/>
      <c r="CB915" s="322"/>
      <c r="CC915" s="322"/>
      <c r="CD915" s="322"/>
      <c r="CE915" s="322"/>
      <c r="CF915" s="322"/>
      <c r="CG915" s="322"/>
      <c r="CH915" s="322"/>
      <c r="CI915" s="322"/>
      <c r="CM915" s="1139">
        <v>0</v>
      </c>
      <c r="CN915" s="1139">
        <v>0</v>
      </c>
      <c r="CP915" s="923">
        <f t="shared" si="526"/>
        <v>0</v>
      </c>
      <c r="CZ915" s="330"/>
    </row>
    <row r="916" spans="1:104" ht="15" customHeight="1" x14ac:dyDescent="0.25">
      <c r="A916" s="684">
        <f>MAX($A$6:A915)+1</f>
        <v>916</v>
      </c>
      <c r="B916" s="3">
        <f t="shared" si="516"/>
        <v>6.1</v>
      </c>
      <c r="C916" s="11" t="str">
        <f t="shared" si="533"/>
        <v>Consolidated intangible assets 2025-26</v>
      </c>
      <c r="D916" s="11" t="s">
        <v>211</v>
      </c>
      <c r="E916" s="7" t="s">
        <v>198</v>
      </c>
      <c r="F916" s="7"/>
      <c r="G916" s="1254" t="s">
        <v>444</v>
      </c>
      <c r="H916" s="6" t="e">
        <v>#VALUE!</v>
      </c>
      <c r="I916" s="6" t="e">
        <v>#VALUE!</v>
      </c>
      <c r="J916" s="1257" t="s">
        <v>198</v>
      </c>
      <c r="K916" s="251">
        <f>SUMIF('alb Note 6.1 -  Intangibles CY'!$A:$A,$J916,'alb Note 6.1 -  Intangibles CY'!$B:$B)</f>
        <v>0</v>
      </c>
      <c r="L916" s="251">
        <f>SUMIF('alb Note 6.1 -  Intangibles CY'!$A:$A,$J916,'alb Note 6.1 -  Intangibles CY'!$M:$M)</f>
        <v>0</v>
      </c>
      <c r="M916" s="10"/>
      <c r="N916" s="273" t="e">
        <f>ROUND(SUM(O916:S916)+SUM(W916:AV916),0)</f>
        <v>#VALUE!</v>
      </c>
      <c r="O916" s="12"/>
      <c r="P916" s="12"/>
      <c r="Q916" s="12"/>
      <c r="R916" s="12"/>
      <c r="S916" s="6">
        <f t="shared" si="521"/>
        <v>0</v>
      </c>
      <c r="T916" s="273" t="e">
        <f>ROUND(SUM(U916:Y916),0)</f>
        <v>#VALUE!</v>
      </c>
      <c r="U916" s="6">
        <f>SUM(BL916:BN916)</f>
        <v>0</v>
      </c>
      <c r="V916" s="6"/>
      <c r="W916" s="6" t="e">
        <f>+H916</f>
        <v>#VALUE!</v>
      </c>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X916" s="6"/>
      <c r="AY916" s="6">
        <f>ROUND(AX916/1000/Update!$B$31*Update!$B$27,0)</f>
        <v>0</v>
      </c>
      <c r="BA916" s="6"/>
      <c r="BB916" s="6">
        <f>ROUND(BA916/1000/Update!$B$31,0)</f>
        <v>0</v>
      </c>
      <c r="BC916" s="6"/>
      <c r="BD916" s="29">
        <f t="shared" si="492"/>
        <v>0</v>
      </c>
      <c r="BE916" s="322"/>
      <c r="BF916" s="322"/>
      <c r="BG916" s="322"/>
      <c r="BH916" s="322"/>
      <c r="BI916" s="322"/>
      <c r="BJ916" s="322"/>
      <c r="BK916" s="29">
        <f t="shared" si="507"/>
        <v>0</v>
      </c>
      <c r="BL916" s="322"/>
      <c r="BM916" s="322"/>
      <c r="BN916" s="322"/>
      <c r="BO916" s="322"/>
      <c r="BP916" s="322"/>
      <c r="BQ916" s="322"/>
      <c r="BR916" s="322"/>
      <c r="BS916" s="322"/>
      <c r="BT916" s="322"/>
      <c r="BU916" s="322"/>
      <c r="BV916" s="322"/>
      <c r="BW916" s="322"/>
      <c r="BX916" s="322"/>
      <c r="BY916" s="322"/>
      <c r="BZ916" s="322"/>
      <c r="CA916" s="322"/>
      <c r="CB916" s="322"/>
      <c r="CC916" s="322"/>
      <c r="CD916" s="322"/>
      <c r="CE916" s="322"/>
      <c r="CF916" s="322"/>
      <c r="CG916" s="322"/>
      <c r="CH916" s="322"/>
      <c r="CI916" s="322"/>
      <c r="CM916" s="1139">
        <v>0</v>
      </c>
      <c r="CN916" s="1139">
        <v>0</v>
      </c>
      <c r="CP916" s="923">
        <f t="shared" si="526"/>
        <v>0</v>
      </c>
      <c r="CZ916" s="330"/>
    </row>
    <row r="917" spans="1:104" ht="38.25" customHeight="1" x14ac:dyDescent="0.25">
      <c r="A917" s="684">
        <f>MAX($A$6:A916)+1</f>
        <v>917</v>
      </c>
      <c r="B917" s="3">
        <f t="shared" si="516"/>
        <v>6.1</v>
      </c>
      <c r="C917" s="11" t="str">
        <f t="shared" si="533"/>
        <v>Consolidated intangible assets 2025-26</v>
      </c>
      <c r="D917" s="11" t="str">
        <f>D916</f>
        <v>Software Licences</v>
      </c>
      <c r="E917" s="148" t="s">
        <v>1696</v>
      </c>
      <c r="F917" s="148"/>
      <c r="G917" s="1254" t="s">
        <v>199</v>
      </c>
      <c r="H917" s="6" t="e">
        <v>#VALUE!</v>
      </c>
      <c r="I917" s="6" t="e">
        <v>#VALUE!</v>
      </c>
      <c r="J917" s="1257" t="s">
        <v>769</v>
      </c>
      <c r="K917" s="251">
        <f>SUMIF('alb Note 6.1 -  Intangibles CY'!$A:$A,$J917,'alb Note 6.1 -  Intangibles CY'!$B:$B)</f>
        <v>0</v>
      </c>
      <c r="L917" s="251">
        <f>SUMIF('alb Note 6.1 -  Intangibles CY'!$A:$A,$J917,'alb Note 6.1 -  Intangibles CY'!$M:$M)</f>
        <v>0</v>
      </c>
      <c r="M917" s="10"/>
      <c r="N917" s="273" t="e">
        <f>ROUND(SUM(O917:S917)+SUM(W917:AV917),0)</f>
        <v>#VALUE!</v>
      </c>
      <c r="O917" s="12"/>
      <c r="P917" s="12"/>
      <c r="Q917" s="12"/>
      <c r="R917" s="12"/>
      <c r="S917" s="6">
        <f t="shared" si="521"/>
        <v>0</v>
      </c>
      <c r="T917" s="273" t="e">
        <f>ROUND(SUM(U917:Y917),0)</f>
        <v>#VALUE!</v>
      </c>
      <c r="U917" s="6">
        <f>SUM(BL917:BN917)</f>
        <v>0</v>
      </c>
      <c r="V917" s="6"/>
      <c r="W917" s="6" t="e">
        <f>+H917</f>
        <v>#VALUE!</v>
      </c>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X917" s="6"/>
      <c r="AY917" s="6">
        <f>ROUND(AX917/1000/Update!$B$31*Update!$B$27,0)</f>
        <v>0</v>
      </c>
      <c r="BA917" s="6"/>
      <c r="BB917" s="6">
        <f>ROUND(BA917/1000/Update!$B$31,0)</f>
        <v>0</v>
      </c>
      <c r="BC917" s="6"/>
      <c r="BD917" s="29">
        <f t="shared" si="492"/>
        <v>0</v>
      </c>
      <c r="BE917" s="322"/>
      <c r="BF917" s="322"/>
      <c r="BG917" s="322"/>
      <c r="BH917" s="322"/>
      <c r="BI917" s="322"/>
      <c r="BJ917" s="322"/>
      <c r="BK917" s="29">
        <f t="shared" si="507"/>
        <v>0</v>
      </c>
      <c r="BL917" s="322"/>
      <c r="BM917" s="322"/>
      <c r="BN917" s="322"/>
      <c r="BO917" s="322"/>
      <c r="BP917" s="322"/>
      <c r="BQ917" s="322"/>
      <c r="BR917" s="322"/>
      <c r="BS917" s="322"/>
      <c r="BT917" s="322"/>
      <c r="BU917" s="322"/>
      <c r="BV917" s="322"/>
      <c r="BW917" s="322"/>
      <c r="BX917" s="322"/>
      <c r="BY917" s="322"/>
      <c r="BZ917" s="322"/>
      <c r="CA917" s="322"/>
      <c r="CB917" s="322"/>
      <c r="CC917" s="322"/>
      <c r="CD917" s="322"/>
      <c r="CE917" s="322"/>
      <c r="CF917" s="322"/>
      <c r="CG917" s="322"/>
      <c r="CH917" s="322"/>
      <c r="CI917" s="322"/>
      <c r="CM917" s="1139">
        <v>0</v>
      </c>
      <c r="CN917" s="1139">
        <v>0</v>
      </c>
      <c r="CP917" s="923">
        <f t="shared" si="526"/>
        <v>0</v>
      </c>
      <c r="CZ917" s="330"/>
    </row>
    <row r="918" spans="1:104" ht="15" customHeight="1" x14ac:dyDescent="0.25">
      <c r="A918" s="684">
        <f>MAX($A$6:A917)+1</f>
        <v>918</v>
      </c>
      <c r="B918" s="3">
        <f t="shared" si="516"/>
        <v>6.1</v>
      </c>
      <c r="C918" s="11" t="str">
        <f t="shared" si="533"/>
        <v>Consolidated intangible assets 2025-26</v>
      </c>
      <c r="D918" s="11" t="str">
        <f>D917</f>
        <v>Software Licences</v>
      </c>
      <c r="E918" s="148" t="s">
        <v>1695</v>
      </c>
      <c r="F918" s="148"/>
      <c r="G918" s="148" t="s">
        <v>1695</v>
      </c>
      <c r="H918" s="6">
        <v>0</v>
      </c>
      <c r="I918" s="6" t="e">
        <v>#VALUE!</v>
      </c>
      <c r="J918" s="1257" t="s">
        <v>1695</v>
      </c>
      <c r="K918" s="251">
        <f>SUMIF('alb Note 6.1 -  Intangibles CY'!$A:$A,$J918,'alb Note 6.1 -  Intangibles CY'!$B:$B)</f>
        <v>0</v>
      </c>
      <c r="L918" s="251">
        <f>SUMIF('alb Note 6.1 -  Intangibles CY'!$A:$A,$J918,'alb Note 6.1 -  Intangibles CY'!$M:$M)</f>
        <v>0</v>
      </c>
      <c r="M918" s="10"/>
      <c r="N918" s="273">
        <f>ROUND(SUM(O918:S918)+SUM(W918:AV918),0)</f>
        <v>0</v>
      </c>
      <c r="O918" s="12"/>
      <c r="P918" s="12"/>
      <c r="Q918" s="12"/>
      <c r="R918" s="12"/>
      <c r="S918" s="6">
        <f>-IF(ISNUMBER(BD918),BD918,0)</f>
        <v>0</v>
      </c>
      <c r="T918" s="273">
        <f>ROUND(SUM(U918:Y918),0)</f>
        <v>0</v>
      </c>
      <c r="U918" s="6">
        <f>SUM(BL918:BN918)</f>
        <v>0</v>
      </c>
      <c r="V918" s="6"/>
      <c r="W918" s="6">
        <f>+H918</f>
        <v>0</v>
      </c>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X918" s="6"/>
      <c r="AY918" s="6"/>
      <c r="BA918" s="6"/>
      <c r="BB918" s="6"/>
      <c r="BC918" s="6"/>
      <c r="BD918" s="29">
        <f t="shared" si="492"/>
        <v>0</v>
      </c>
      <c r="BE918" s="322"/>
      <c r="BF918" s="322"/>
      <c r="BG918" s="322"/>
      <c r="BH918" s="322"/>
      <c r="BI918" s="322"/>
      <c r="BJ918" s="322"/>
      <c r="BK918" s="29">
        <f t="shared" si="507"/>
        <v>0</v>
      </c>
      <c r="BL918" s="322"/>
      <c r="BM918" s="322"/>
      <c r="BN918" s="322"/>
      <c r="BO918" s="322"/>
      <c r="BP918" s="322"/>
      <c r="BQ918" s="322"/>
      <c r="BR918" s="322"/>
      <c r="BS918" s="322"/>
      <c r="BT918" s="322"/>
      <c r="BU918" s="322"/>
      <c r="BV918" s="322"/>
      <c r="BW918" s="322"/>
      <c r="BX918" s="322"/>
      <c r="BY918" s="322"/>
      <c r="BZ918" s="322"/>
      <c r="CA918" s="322"/>
      <c r="CB918" s="322"/>
      <c r="CC918" s="322"/>
      <c r="CD918" s="322"/>
      <c r="CE918" s="322"/>
      <c r="CF918" s="322"/>
      <c r="CG918" s="322"/>
      <c r="CH918" s="322"/>
      <c r="CI918" s="322"/>
      <c r="CM918" s="1139">
        <v>0</v>
      </c>
      <c r="CN918" s="1139">
        <v>0</v>
      </c>
      <c r="CP918" s="923">
        <f t="shared" si="526"/>
        <v>0</v>
      </c>
      <c r="CZ918" s="330"/>
    </row>
    <row r="919" spans="1:104" ht="15" customHeight="1" x14ac:dyDescent="0.25">
      <c r="A919" s="701">
        <f>MAX($A$6:A918)+1</f>
        <v>919</v>
      </c>
      <c r="B919" s="1291">
        <f t="shared" si="516"/>
        <v>6.1</v>
      </c>
      <c r="C919" s="18" t="str">
        <f t="shared" si="533"/>
        <v>Consolidated intangible assets 2025-26</v>
      </c>
      <c r="D919" s="18" t="str">
        <f>D918</f>
        <v>Software Licences</v>
      </c>
      <c r="E919" s="19" t="str">
        <f>"Carrying amount "&amp;Update!$B$22</f>
        <v>Carrying amount  31 March 2026</v>
      </c>
      <c r="F919" s="20"/>
      <c r="G919" s="28"/>
      <c r="H919" s="14" t="e">
        <f>SUM(H914:H918)</f>
        <v>#VALUE!</v>
      </c>
      <c r="I919" s="14" t="e">
        <f>SUM(I914:I918)</f>
        <v>#VALUE!</v>
      </c>
      <c r="J919" s="1258" t="s">
        <v>286</v>
      </c>
      <c r="K919" s="14">
        <f>SUM(K914:K918)</f>
        <v>0</v>
      </c>
      <c r="L919" s="14">
        <f>SUM(L914:L918)</f>
        <v>0</v>
      </c>
      <c r="M919" s="21"/>
      <c r="N919" s="14" t="e">
        <f>ROUND(SUM(O919:S919)+T919+SUM(Z919:AV919),0)</f>
        <v>#VALUE!</v>
      </c>
      <c r="O919" s="14">
        <f t="shared" ref="O919:W919" si="534">SUM(O914:O918)</f>
        <v>0</v>
      </c>
      <c r="P919" s="14">
        <f t="shared" si="534"/>
        <v>0</v>
      </c>
      <c r="Q919" s="14">
        <f t="shared" si="534"/>
        <v>0</v>
      </c>
      <c r="R919" s="14">
        <f t="shared" si="534"/>
        <v>0</v>
      </c>
      <c r="S919" s="14">
        <f t="shared" si="534"/>
        <v>0</v>
      </c>
      <c r="T919" s="14" t="e">
        <f t="shared" si="534"/>
        <v>#VALUE!</v>
      </c>
      <c r="U919" s="14">
        <f t="shared" si="534"/>
        <v>0</v>
      </c>
      <c r="V919" s="14">
        <f t="shared" si="534"/>
        <v>0</v>
      </c>
      <c r="W919" s="14" t="e">
        <f t="shared" si="534"/>
        <v>#VALUE!</v>
      </c>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2">
        <f t="shared" ref="AW919:BJ919" si="535">SUM(AW914:AW918)</f>
        <v>0</v>
      </c>
      <c r="AX919" s="14">
        <f t="shared" si="535"/>
        <v>0</v>
      </c>
      <c r="AY919" s="14">
        <f t="shared" si="535"/>
        <v>0</v>
      </c>
      <c r="AZ919" s="2">
        <f t="shared" si="535"/>
        <v>0</v>
      </c>
      <c r="BA919" s="14">
        <f t="shared" si="535"/>
        <v>0</v>
      </c>
      <c r="BB919" s="14">
        <f t="shared" si="535"/>
        <v>0</v>
      </c>
      <c r="BC919" s="14">
        <f t="shared" si="535"/>
        <v>0</v>
      </c>
      <c r="BD919" s="14">
        <f t="shared" si="535"/>
        <v>0</v>
      </c>
      <c r="BE919" s="14">
        <f t="shared" si="535"/>
        <v>0</v>
      </c>
      <c r="BF919" s="14">
        <f t="shared" si="535"/>
        <v>0</v>
      </c>
      <c r="BG919" s="14">
        <f t="shared" si="535"/>
        <v>0</v>
      </c>
      <c r="BH919" s="14">
        <f t="shared" si="535"/>
        <v>0</v>
      </c>
      <c r="BI919" s="14">
        <f t="shared" si="535"/>
        <v>0</v>
      </c>
      <c r="BJ919" s="14">
        <f t="shared" si="535"/>
        <v>0</v>
      </c>
      <c r="BK919" s="14">
        <f t="shared" si="507"/>
        <v>0</v>
      </c>
      <c r="BL919" s="14"/>
      <c r="BM919" s="14"/>
      <c r="BN919" s="14"/>
      <c r="BO919" s="14"/>
      <c r="BP919" s="14"/>
      <c r="BQ919" s="14"/>
      <c r="BR919" s="14"/>
      <c r="BS919" s="14"/>
      <c r="BT919" s="324"/>
      <c r="BU919" s="14"/>
      <c r="BV919" s="14"/>
      <c r="BW919" s="14"/>
      <c r="BX919" s="14"/>
      <c r="BY919" s="14"/>
      <c r="BZ919" s="14"/>
      <c r="CA919" s="14"/>
      <c r="CB919" s="14"/>
      <c r="CC919" s="14"/>
      <c r="CD919" s="14"/>
      <c r="CE919" s="14"/>
      <c r="CF919" s="14"/>
      <c r="CG919" s="14"/>
      <c r="CH919" s="14"/>
      <c r="CI919" s="14"/>
      <c r="CJ919" s="2"/>
      <c r="CK919" s="2"/>
      <c r="CM919" s="1140">
        <v>0</v>
      </c>
      <c r="CN919" s="1140">
        <v>0</v>
      </c>
      <c r="CP919" s="923">
        <f t="shared" si="526"/>
        <v>0</v>
      </c>
      <c r="CZ919" s="330"/>
    </row>
    <row r="920" spans="1:104" ht="18.75" customHeight="1" x14ac:dyDescent="0.25">
      <c r="A920" s="684">
        <f>MAX($A$6:A919)+1</f>
        <v>920</v>
      </c>
      <c r="B920" s="3">
        <f>B919</f>
        <v>6.1</v>
      </c>
      <c r="C920" s="11" t="str">
        <f>C919</f>
        <v>Consolidated intangible assets 2025-26</v>
      </c>
      <c r="D920" s="11" t="s">
        <v>451</v>
      </c>
      <c r="E920" s="277" t="s">
        <v>183</v>
      </c>
      <c r="F920" s="277"/>
      <c r="G920" s="26"/>
      <c r="H920" s="6"/>
      <c r="I920" s="6"/>
      <c r="J920" s="1257" t="s">
        <v>286</v>
      </c>
      <c r="K920" s="251">
        <f>SUMIF('alb Note 6.1 -  Intangibles CY'!$A:$A,$J920,'alb Note 6.1 -  Intangibles CY'!$D:$D)</f>
        <v>0</v>
      </c>
      <c r="L920" s="251">
        <f>SUMIF('alb Note 6.1 -  Intangibles CY'!$A:$A,$J920,'alb Note 6.1 -  Intangibles CY'!$O:$O)</f>
        <v>0</v>
      </c>
      <c r="M920" s="10"/>
      <c r="N920" s="273">
        <f>ROUND(SUM(O920:S920)+SUM(W920:AV920),0)</f>
        <v>0</v>
      </c>
      <c r="O920" s="12"/>
      <c r="P920" s="12"/>
      <c r="Q920" s="12"/>
      <c r="R920" s="12"/>
      <c r="S920" s="6">
        <f t="shared" si="521"/>
        <v>0</v>
      </c>
      <c r="T920" s="273">
        <f>ROUND(SUM(U920:Y920),0)</f>
        <v>0</v>
      </c>
      <c r="U920" s="6">
        <f>SUM(BL920:BN920)</f>
        <v>0</v>
      </c>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X920" s="6"/>
      <c r="AY920" s="6">
        <f>ROUND(AX920/1000/Update!$B$31*Update!$B$27,0)</f>
        <v>0</v>
      </c>
      <c r="BA920" s="6"/>
      <c r="BB920" s="6">
        <f>ROUND(BA920/1000/Update!$B$31,0)</f>
        <v>0</v>
      </c>
      <c r="BC920" s="6"/>
      <c r="BD920" s="29">
        <f t="shared" si="492"/>
        <v>0</v>
      </c>
      <c r="BE920" s="322"/>
      <c r="BF920" s="322"/>
      <c r="BG920" s="322"/>
      <c r="BH920" s="322"/>
      <c r="BI920" s="322"/>
      <c r="BJ920" s="322"/>
      <c r="BK920" s="29">
        <f t="shared" si="507"/>
        <v>0</v>
      </c>
      <c r="BL920" s="322"/>
      <c r="BM920" s="322"/>
      <c r="BN920" s="322"/>
      <c r="BO920" s="322"/>
      <c r="BP920" s="322"/>
      <c r="BQ920" s="322"/>
      <c r="BR920" s="322"/>
      <c r="BS920" s="322"/>
      <c r="BT920" s="322"/>
      <c r="BU920" s="322"/>
      <c r="BV920" s="322"/>
      <c r="BW920" s="322"/>
      <c r="BX920" s="322"/>
      <c r="BY920" s="322"/>
      <c r="BZ920" s="322"/>
      <c r="CA920" s="322"/>
      <c r="CB920" s="322"/>
      <c r="CC920" s="322"/>
      <c r="CD920" s="322"/>
      <c r="CE920" s="322"/>
      <c r="CF920" s="322"/>
      <c r="CG920" s="322"/>
      <c r="CH920" s="322"/>
      <c r="CI920" s="322"/>
      <c r="CM920" s="1139">
        <v>0</v>
      </c>
      <c r="CN920" s="1139">
        <v>0</v>
      </c>
      <c r="CP920" s="923">
        <f t="shared" si="526"/>
        <v>0</v>
      </c>
      <c r="CZ920" s="330"/>
    </row>
    <row r="921" spans="1:104" ht="15" customHeight="1" x14ac:dyDescent="0.25">
      <c r="A921" s="684">
        <f>MAX($A$6:A920)+1</f>
        <v>921</v>
      </c>
      <c r="B921" s="3">
        <f t="shared" si="516"/>
        <v>6.1</v>
      </c>
      <c r="C921" s="11" t="str">
        <f t="shared" si="533"/>
        <v>Consolidated intangible assets 2025-26</v>
      </c>
      <c r="D921" s="11" t="s">
        <v>451</v>
      </c>
      <c r="E921" s="7" t="str">
        <f>"At"&amp;Update!$B$20</f>
        <v>At 1 April 2025</v>
      </c>
      <c r="F921" s="15"/>
      <c r="G921" s="1267" t="str">
        <f>"At"&amp;Update!$B$20</f>
        <v>At 1 April 2025</v>
      </c>
      <c r="H921" s="6">
        <v>0</v>
      </c>
      <c r="I921" s="6">
        <v>0</v>
      </c>
      <c r="J921" s="1257" t="str">
        <f>$E921</f>
        <v>At 1 April 2025</v>
      </c>
      <c r="K921" s="251">
        <f>SUMIF('alb Note 6.1 -  Intangibles CY'!$A:$A,$J921,'alb Note 6.1 -  Intangibles CY'!$D:$D)</f>
        <v>0</v>
      </c>
      <c r="L921" s="251">
        <f>SUMIF('alb Note 6.1 -  Intangibles CY'!$A:$A,$J921,'alb Note 6.1 -  Intangibles CY'!$O:$O)</f>
        <v>0</v>
      </c>
      <c r="M921" s="10"/>
      <c r="N921" s="273">
        <f>ROUND(SUM(O921:S921)+SUM(W921:AV921),0)</f>
        <v>0</v>
      </c>
      <c r="O921" s="12"/>
      <c r="P921" s="12"/>
      <c r="Q921" s="12"/>
      <c r="R921" s="12"/>
      <c r="S921" s="6">
        <f t="shared" si="521"/>
        <v>0</v>
      </c>
      <c r="T921" s="273">
        <f>ROUND(SUM(U921:Y921),0)</f>
        <v>0</v>
      </c>
      <c r="U921" s="6">
        <f>SUM(BL921:BN921)</f>
        <v>0</v>
      </c>
      <c r="V921" s="6"/>
      <c r="W921" s="6">
        <f t="shared" ref="W921:W932" si="536">+H921</f>
        <v>0</v>
      </c>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X921" s="6"/>
      <c r="AY921" s="6">
        <f>ROUND(AX921/1000/Update!$B$31*Update!$B$27,0)</f>
        <v>0</v>
      </c>
      <c r="BA921" s="6"/>
      <c r="BB921" s="6">
        <f>ROUND(BA921/1000/Update!$B$31,0)</f>
        <v>0</v>
      </c>
      <c r="BC921" s="6"/>
      <c r="BD921" s="29">
        <f t="shared" si="492"/>
        <v>0</v>
      </c>
      <c r="BE921" s="322"/>
      <c r="BF921" s="322"/>
      <c r="BG921" s="322"/>
      <c r="BH921" s="322"/>
      <c r="BI921" s="322"/>
      <c r="BJ921" s="322"/>
      <c r="BK921" s="29">
        <f t="shared" si="507"/>
        <v>0</v>
      </c>
      <c r="BL921" s="322"/>
      <c r="BM921" s="322"/>
      <c r="BN921" s="322"/>
      <c r="BO921" s="322"/>
      <c r="BP921" s="322"/>
      <c r="BQ921" s="322"/>
      <c r="BR921" s="322"/>
      <c r="BS921" s="322"/>
      <c r="BT921" s="322"/>
      <c r="BU921" s="322"/>
      <c r="BV921" s="322"/>
      <c r="BW921" s="322"/>
      <c r="BX921" s="322"/>
      <c r="BY921" s="322"/>
      <c r="BZ921" s="322"/>
      <c r="CA921" s="322"/>
      <c r="CB921" s="322"/>
      <c r="CC921" s="322"/>
      <c r="CD921" s="322"/>
      <c r="CE921" s="322"/>
      <c r="CF921" s="322"/>
      <c r="CG921" s="322"/>
      <c r="CH921" s="322"/>
      <c r="CI921" s="322"/>
      <c r="CM921" s="1139">
        <v>0</v>
      </c>
      <c r="CN921" s="1139">
        <v>0</v>
      </c>
      <c r="CP921" s="923">
        <f t="shared" si="526"/>
        <v>0</v>
      </c>
      <c r="CZ921" s="330"/>
    </row>
    <row r="922" spans="1:104" ht="15" customHeight="1" x14ac:dyDescent="0.25">
      <c r="A922" s="684">
        <f>MAX($A$6:A921)+1</f>
        <v>922</v>
      </c>
      <c r="B922" s="3">
        <f t="shared" si="516"/>
        <v>6.1</v>
      </c>
      <c r="C922" s="11" t="str">
        <f t="shared" si="533"/>
        <v>Consolidated intangible assets 2025-26</v>
      </c>
      <c r="D922" s="11" t="str">
        <f>D921</f>
        <v>Websites</v>
      </c>
      <c r="E922" s="7" t="s">
        <v>435</v>
      </c>
      <c r="F922" s="7"/>
      <c r="G922" s="1254" t="s">
        <v>435</v>
      </c>
      <c r="H922" s="6">
        <v>0</v>
      </c>
      <c r="I922" s="6">
        <v>0</v>
      </c>
      <c r="J922" s="1257" t="s">
        <v>184</v>
      </c>
      <c r="K922" s="251">
        <f>SUMIF('alb Note 6.1 -  Intangibles CY'!$A:$A,$J922,'alb Note 6.1 -  Intangibles CY'!$D:$D)</f>
        <v>0</v>
      </c>
      <c r="L922" s="251">
        <f>SUMIF('alb Note 6.1 -  Intangibles CY'!$A:$A,$J922,'alb Note 6.1 -  Intangibles CY'!$O:$O)</f>
        <v>0</v>
      </c>
      <c r="M922" s="10"/>
      <c r="N922" s="273">
        <f>ROUND(SUM(O922:S922)+SUM(W922:AV922),0)</f>
        <v>0</v>
      </c>
      <c r="O922" s="12"/>
      <c r="P922" s="12"/>
      <c r="Q922" s="12"/>
      <c r="R922" s="12"/>
      <c r="S922" s="6">
        <f t="shared" si="521"/>
        <v>0</v>
      </c>
      <c r="T922" s="273">
        <f>ROUND(SUM(U922:Y922),0)</f>
        <v>0</v>
      </c>
      <c r="U922" s="6">
        <f>SUM(BL922:BN922)</f>
        <v>0</v>
      </c>
      <c r="V922" s="6"/>
      <c r="W922" s="6">
        <f t="shared" si="536"/>
        <v>0</v>
      </c>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X922" s="6"/>
      <c r="AY922" s="6">
        <f>ROUND(AX922/1000/Update!$B$31*Update!$B$27,0)</f>
        <v>0</v>
      </c>
      <c r="BA922" s="6"/>
      <c r="BB922" s="6">
        <f>ROUND(BA922/1000/Update!$B$31,0)</f>
        <v>0</v>
      </c>
      <c r="BC922" s="6"/>
      <c r="BD922" s="29">
        <f t="shared" si="492"/>
        <v>0</v>
      </c>
      <c r="BE922" s="322"/>
      <c r="BF922" s="322"/>
      <c r="BG922" s="322"/>
      <c r="BH922" s="322"/>
      <c r="BI922" s="322"/>
      <c r="BJ922" s="322"/>
      <c r="BK922" s="29">
        <f t="shared" si="507"/>
        <v>0</v>
      </c>
      <c r="BL922" s="322"/>
      <c r="BM922" s="322"/>
      <c r="BN922" s="322"/>
      <c r="BO922" s="322"/>
      <c r="BP922" s="322"/>
      <c r="BQ922" s="322"/>
      <c r="BR922" s="322"/>
      <c r="BS922" s="322"/>
      <c r="BT922" s="322"/>
      <c r="BU922" s="322"/>
      <c r="BV922" s="322"/>
      <c r="BW922" s="322"/>
      <c r="BX922" s="322"/>
      <c r="BY922" s="322"/>
      <c r="BZ922" s="322"/>
      <c r="CA922" s="322"/>
      <c r="CB922" s="322"/>
      <c r="CC922" s="322"/>
      <c r="CD922" s="322"/>
      <c r="CE922" s="322"/>
      <c r="CF922" s="322"/>
      <c r="CG922" s="322"/>
      <c r="CH922" s="322"/>
      <c r="CI922" s="322"/>
      <c r="CM922" s="1139">
        <v>0</v>
      </c>
      <c r="CN922" s="1139">
        <v>0</v>
      </c>
      <c r="CP922" s="923">
        <f t="shared" si="526"/>
        <v>0</v>
      </c>
      <c r="CZ922" s="330"/>
    </row>
    <row r="923" spans="1:104" ht="15" customHeight="1" x14ac:dyDescent="0.25">
      <c r="A923" s="701">
        <f>MAX($A$6:A922)+1</f>
        <v>923</v>
      </c>
      <c r="B923" s="1291">
        <f t="shared" si="516"/>
        <v>6.1</v>
      </c>
      <c r="C923" s="18" t="str">
        <f t="shared" si="533"/>
        <v>Consolidated intangible assets 2025-26</v>
      </c>
      <c r="D923" s="18" t="str">
        <f>D922</f>
        <v>Websites</v>
      </c>
      <c r="E923" s="19" t="s">
        <v>869</v>
      </c>
      <c r="F923" s="20"/>
      <c r="G923" s="1278" t="s">
        <v>442</v>
      </c>
      <c r="H923" s="14">
        <f>SUM(H920:H922)</f>
        <v>0</v>
      </c>
      <c r="I923" s="14">
        <f>SUM(I920:I922)</f>
        <v>0</v>
      </c>
      <c r="J923" s="1258" t="s">
        <v>869</v>
      </c>
      <c r="K923" s="14">
        <f>SUM(K920:K922)</f>
        <v>0</v>
      </c>
      <c r="L923" s="14">
        <f>SUM(L920:L922)</f>
        <v>0</v>
      </c>
      <c r="M923" s="21"/>
      <c r="N923" s="14">
        <f>ROUND(SUM(O923:S923)+T923+SUM(Z923:AV923),0)</f>
        <v>0</v>
      </c>
      <c r="O923" s="14">
        <f t="shared" ref="O923:W923" si="537">SUM(O920:O922)</f>
        <v>0</v>
      </c>
      <c r="P923" s="14">
        <f t="shared" si="537"/>
        <v>0</v>
      </c>
      <c r="Q923" s="14">
        <f t="shared" si="537"/>
        <v>0</v>
      </c>
      <c r="R923" s="14">
        <f t="shared" si="537"/>
        <v>0</v>
      </c>
      <c r="S923" s="14">
        <f t="shared" si="521"/>
        <v>0</v>
      </c>
      <c r="T923" s="14">
        <f t="shared" si="537"/>
        <v>0</v>
      </c>
      <c r="U923" s="14">
        <f t="shared" si="537"/>
        <v>0</v>
      </c>
      <c r="V923" s="14">
        <f t="shared" si="537"/>
        <v>0</v>
      </c>
      <c r="W923" s="14">
        <f t="shared" si="537"/>
        <v>0</v>
      </c>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2"/>
      <c r="AX923" s="14">
        <f>SUM(AX920:AX922)</f>
        <v>0</v>
      </c>
      <c r="AY923" s="14">
        <f>ROUND(AX923/1000/Update!$B$31*Update!$B$27,0)</f>
        <v>0</v>
      </c>
      <c r="AZ923" s="2"/>
      <c r="BA923" s="14">
        <f>SUM(BA920:BA922)</f>
        <v>0</v>
      </c>
      <c r="BB923" s="14">
        <f>ROUND(BA923/1000/Update!$B$31,0)</f>
        <v>0</v>
      </c>
      <c r="BC923" s="14"/>
      <c r="BD923" s="14">
        <f t="shared" ref="BD923:BD988" si="538">ROUND(SUM(BE923:BK923),0)</f>
        <v>0</v>
      </c>
      <c r="BE923" s="14">
        <f t="shared" ref="BE923:BJ923" si="539">SUM(BE920:BE922)</f>
        <v>0</v>
      </c>
      <c r="BF923" s="14">
        <f t="shared" si="539"/>
        <v>0</v>
      </c>
      <c r="BG923" s="14">
        <f t="shared" si="539"/>
        <v>0</v>
      </c>
      <c r="BH923" s="14">
        <f t="shared" si="539"/>
        <v>0</v>
      </c>
      <c r="BI923" s="14">
        <f t="shared" si="539"/>
        <v>0</v>
      </c>
      <c r="BJ923" s="14">
        <f t="shared" si="539"/>
        <v>0</v>
      </c>
      <c r="BK923" s="14">
        <f t="shared" si="507"/>
        <v>0</v>
      </c>
      <c r="BL923" s="14"/>
      <c r="BM923" s="14"/>
      <c r="BN923" s="14"/>
      <c r="BO923" s="14"/>
      <c r="BP923" s="14"/>
      <c r="BQ923" s="14"/>
      <c r="BR923" s="14"/>
      <c r="BS923" s="14"/>
      <c r="BT923" s="324"/>
      <c r="BU923" s="14"/>
      <c r="BV923" s="14"/>
      <c r="BW923" s="14"/>
      <c r="BX923" s="14"/>
      <c r="BY923" s="14"/>
      <c r="BZ923" s="14"/>
      <c r="CA923" s="14"/>
      <c r="CB923" s="14"/>
      <c r="CC923" s="14"/>
      <c r="CD923" s="14"/>
      <c r="CE923" s="14"/>
      <c r="CF923" s="14"/>
      <c r="CG923" s="14"/>
      <c r="CH923" s="14"/>
      <c r="CI923" s="14"/>
      <c r="CJ923" s="2"/>
      <c r="CK923" s="2"/>
      <c r="CM923" s="1140">
        <v>0</v>
      </c>
      <c r="CN923" s="1140">
        <v>0</v>
      </c>
      <c r="CP923" s="923">
        <f t="shared" si="526"/>
        <v>0</v>
      </c>
      <c r="CZ923" s="330"/>
    </row>
    <row r="924" spans="1:104" ht="15" customHeight="1" x14ac:dyDescent="0.25">
      <c r="A924" s="684">
        <f>MAX($A$6:A923)+1</f>
        <v>924</v>
      </c>
      <c r="B924" s="3">
        <f t="shared" si="516"/>
        <v>6.1</v>
      </c>
      <c r="C924" s="11" t="str">
        <f t="shared" si="533"/>
        <v>Consolidated intangible assets 2025-26</v>
      </c>
      <c r="D924" s="11" t="s">
        <v>451</v>
      </c>
      <c r="E924" s="7" t="s">
        <v>185</v>
      </c>
      <c r="F924" s="7"/>
      <c r="G924" s="1254" t="s">
        <v>185</v>
      </c>
      <c r="H924" s="6">
        <v>0</v>
      </c>
      <c r="I924" s="6">
        <v>0</v>
      </c>
      <c r="J924" s="1257" t="s">
        <v>185</v>
      </c>
      <c r="K924" s="251">
        <f>SUMIF('alb Note 6.1 -  Intangibles CY'!$A:$A,$J924,'alb Note 6.1 -  Intangibles CY'!$D:$D)</f>
        <v>0</v>
      </c>
      <c r="L924" s="251">
        <f>SUMIF('alb Note 6.1 -  Intangibles CY'!$A:$A,$J924,'alb Note 6.1 -  Intangibles CY'!$O:$O)</f>
        <v>0</v>
      </c>
      <c r="M924" s="10"/>
      <c r="N924" s="273">
        <f t="shared" ref="N924:N932" si="540">ROUND(SUM(O924:S924)+SUM(W924:AV924),0)</f>
        <v>0</v>
      </c>
      <c r="O924" s="12"/>
      <c r="P924" s="12"/>
      <c r="Q924" s="12"/>
      <c r="R924" s="12"/>
      <c r="S924" s="6">
        <f t="shared" si="521"/>
        <v>0</v>
      </c>
      <c r="T924" s="273">
        <f t="shared" ref="T924:T932" si="541">ROUND(SUM(U924:Y924),0)</f>
        <v>0</v>
      </c>
      <c r="U924" s="6">
        <f t="shared" ref="U924:U932" si="542">SUM(BL924:BN924)</f>
        <v>0</v>
      </c>
      <c r="V924" s="6"/>
      <c r="W924" s="6">
        <f t="shared" si="536"/>
        <v>0</v>
      </c>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X924" s="6"/>
      <c r="AY924" s="6">
        <f>ROUND(AX924/1000/Update!$B$31*Update!$B$27,0)</f>
        <v>0</v>
      </c>
      <c r="BA924" s="6"/>
      <c r="BB924" s="6">
        <f>ROUND(BA924/1000/Update!$B$31,0)</f>
        <v>0</v>
      </c>
      <c r="BC924" s="6"/>
      <c r="BD924" s="29">
        <f t="shared" si="538"/>
        <v>0</v>
      </c>
      <c r="BE924" s="322"/>
      <c r="BF924" s="322"/>
      <c r="BG924" s="322"/>
      <c r="BH924" s="322"/>
      <c r="BI924" s="322"/>
      <c r="BJ924" s="322"/>
      <c r="BK924" s="29">
        <f t="shared" si="507"/>
        <v>0</v>
      </c>
      <c r="BL924" s="322"/>
      <c r="BM924" s="322"/>
      <c r="BN924" s="322"/>
      <c r="BO924" s="322"/>
      <c r="BP924" s="322"/>
      <c r="BQ924" s="322"/>
      <c r="BR924" s="322"/>
      <c r="BS924" s="322"/>
      <c r="BT924" s="322"/>
      <c r="BU924" s="322"/>
      <c r="BV924" s="322"/>
      <c r="BW924" s="322"/>
      <c r="BX924" s="322"/>
      <c r="BY924" s="322"/>
      <c r="BZ924" s="322"/>
      <c r="CA924" s="322"/>
      <c r="CB924" s="322"/>
      <c r="CC924" s="322"/>
      <c r="CD924" s="322"/>
      <c r="CE924" s="322"/>
      <c r="CF924" s="322"/>
      <c r="CG924" s="322"/>
      <c r="CH924" s="322"/>
      <c r="CI924" s="322"/>
      <c r="CM924" s="1139">
        <v>0</v>
      </c>
      <c r="CN924" s="1139">
        <v>0</v>
      </c>
      <c r="CP924" s="923">
        <f t="shared" si="526"/>
        <v>0</v>
      </c>
      <c r="CZ924" s="330"/>
    </row>
    <row r="925" spans="1:104" ht="30" customHeight="1" x14ac:dyDescent="0.25">
      <c r="A925" s="684">
        <f>MAX($A$6:A924)+1</f>
        <v>925</v>
      </c>
      <c r="B925" s="3">
        <f t="shared" si="516"/>
        <v>6.1</v>
      </c>
      <c r="C925" s="11" t="str">
        <f t="shared" si="533"/>
        <v>Consolidated intangible assets 2025-26</v>
      </c>
      <c r="D925" s="11" t="str">
        <f>D924</f>
        <v>Websites</v>
      </c>
      <c r="E925" s="7" t="s">
        <v>437</v>
      </c>
      <c r="F925" s="7"/>
      <c r="G925" s="1254" t="s">
        <v>437</v>
      </c>
      <c r="H925" s="6">
        <v>0</v>
      </c>
      <c r="I925" s="6">
        <v>0</v>
      </c>
      <c r="J925" s="1257" t="s">
        <v>437</v>
      </c>
      <c r="K925" s="251">
        <f>SUMIF('alb Note 6.1 -  Intangibles CY'!$A:$A,$J925,'alb Note 6.1 -  Intangibles CY'!$D:$D)</f>
        <v>0</v>
      </c>
      <c r="L925" s="251">
        <f>SUMIF('alb Note 6.1 -  Intangibles CY'!$A:$A,$J925,'alb Note 6.1 -  Intangibles CY'!$O:$O)</f>
        <v>0</v>
      </c>
      <c r="M925" s="10"/>
      <c r="N925" s="273">
        <f t="shared" si="540"/>
        <v>0</v>
      </c>
      <c r="O925" s="12"/>
      <c r="P925" s="12"/>
      <c r="Q925" s="12"/>
      <c r="R925" s="12"/>
      <c r="S925" s="6">
        <f t="shared" si="521"/>
        <v>0</v>
      </c>
      <c r="T925" s="273">
        <f t="shared" si="541"/>
        <v>0</v>
      </c>
      <c r="U925" s="6">
        <f t="shared" si="542"/>
        <v>0</v>
      </c>
      <c r="V925" s="6"/>
      <c r="W925" s="6">
        <f t="shared" si="536"/>
        <v>0</v>
      </c>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X925" s="6"/>
      <c r="AY925" s="6">
        <f>ROUND(AX925/1000/Update!$B$31*Update!$B$27,0)</f>
        <v>0</v>
      </c>
      <c r="BA925" s="6"/>
      <c r="BB925" s="6">
        <f>ROUND(BA925/1000/Update!$B$31,0)</f>
        <v>0</v>
      </c>
      <c r="BC925" s="6"/>
      <c r="BD925" s="29">
        <f t="shared" si="538"/>
        <v>0</v>
      </c>
      <c r="BE925" s="322"/>
      <c r="BF925" s="322"/>
      <c r="BG925" s="322"/>
      <c r="BH925" s="322"/>
      <c r="BI925" s="322"/>
      <c r="BJ925" s="322"/>
      <c r="BK925" s="29">
        <f t="shared" si="507"/>
        <v>0</v>
      </c>
      <c r="BL925" s="322"/>
      <c r="BM925" s="322"/>
      <c r="BN925" s="322"/>
      <c r="BO925" s="322"/>
      <c r="BP925" s="322"/>
      <c r="BQ925" s="322"/>
      <c r="BR925" s="322"/>
      <c r="BS925" s="322"/>
      <c r="BT925" s="322"/>
      <c r="BU925" s="322"/>
      <c r="BV925" s="322"/>
      <c r="BW925" s="322"/>
      <c r="BX925" s="322"/>
      <c r="BY925" s="322"/>
      <c r="BZ925" s="322"/>
      <c r="CA925" s="322"/>
      <c r="CB925" s="322"/>
      <c r="CC925" s="322"/>
      <c r="CD925" s="322"/>
      <c r="CE925" s="322"/>
      <c r="CF925" s="322"/>
      <c r="CG925" s="322"/>
      <c r="CH925" s="322"/>
      <c r="CI925" s="322"/>
      <c r="CM925" s="1139">
        <v>0</v>
      </c>
      <c r="CN925" s="1139">
        <v>0</v>
      </c>
      <c r="CP925" s="923">
        <f t="shared" si="526"/>
        <v>0</v>
      </c>
      <c r="CZ925" s="330"/>
    </row>
    <row r="926" spans="1:104" ht="15" customHeight="1" x14ac:dyDescent="0.25">
      <c r="A926" s="684">
        <f>MAX($A$6:A925)+1</f>
        <v>926</v>
      </c>
      <c r="B926" s="3">
        <f t="shared" si="516"/>
        <v>6.1</v>
      </c>
      <c r="C926" s="11" t="str">
        <f>C923</f>
        <v>Consolidated intangible assets 2025-26</v>
      </c>
      <c r="D926" s="11" t="s">
        <v>451</v>
      </c>
      <c r="E926" s="7" t="s">
        <v>187</v>
      </c>
      <c r="F926" s="7"/>
      <c r="G926" s="1257" t="s">
        <v>187</v>
      </c>
      <c r="H926" s="6">
        <v>0</v>
      </c>
      <c r="I926" s="6">
        <v>0</v>
      </c>
      <c r="J926" s="1257" t="s">
        <v>187</v>
      </c>
      <c r="K926" s="251">
        <f>SUMIF('alb Note 6.1 -  Intangibles CY'!$A:$A,$J926,'alb Note 6.1 -  Intangibles CY'!$D:$D)</f>
        <v>0</v>
      </c>
      <c r="L926" s="251">
        <f>SUMIF('alb Note 6.1 -  Intangibles CY'!$A:$A,$J926,'alb Note 6.1 -  Intangibles CY'!$O:$O)</f>
        <v>0</v>
      </c>
      <c r="M926" s="10"/>
      <c r="N926" s="273">
        <f t="shared" si="540"/>
        <v>0</v>
      </c>
      <c r="O926" s="12"/>
      <c r="P926" s="12"/>
      <c r="Q926" s="12"/>
      <c r="R926" s="12"/>
      <c r="S926" s="6">
        <f t="shared" si="521"/>
        <v>0</v>
      </c>
      <c r="T926" s="273">
        <f t="shared" si="541"/>
        <v>0</v>
      </c>
      <c r="U926" s="6">
        <f t="shared" si="542"/>
        <v>0</v>
      </c>
      <c r="V926" s="6"/>
      <c r="W926" s="6">
        <f t="shared" si="536"/>
        <v>0</v>
      </c>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X926" s="6"/>
      <c r="AY926" s="6">
        <f>ROUND(AX926/1000/Update!$B$31*Update!$B$27,0)</f>
        <v>0</v>
      </c>
      <c r="BA926" s="6"/>
      <c r="BB926" s="6">
        <f>ROUND(BA926/1000/Update!$B$31,0)</f>
        <v>0</v>
      </c>
      <c r="BC926" s="6"/>
      <c r="BD926" s="29">
        <f t="shared" si="538"/>
        <v>0</v>
      </c>
      <c r="BE926" s="322"/>
      <c r="BF926" s="322"/>
      <c r="BG926" s="322"/>
      <c r="BH926" s="322"/>
      <c r="BI926" s="322"/>
      <c r="BJ926" s="322"/>
      <c r="BK926" s="29">
        <f t="shared" si="507"/>
        <v>0</v>
      </c>
      <c r="BL926" s="322"/>
      <c r="BM926" s="322"/>
      <c r="BN926" s="322"/>
      <c r="BO926" s="322"/>
      <c r="BP926" s="322"/>
      <c r="BQ926" s="322"/>
      <c r="BR926" s="322"/>
      <c r="BS926" s="322"/>
      <c r="BT926" s="322"/>
      <c r="BU926" s="322"/>
      <c r="BV926" s="322"/>
      <c r="BW926" s="322"/>
      <c r="BX926" s="322"/>
      <c r="BY926" s="322"/>
      <c r="BZ926" s="322"/>
      <c r="CA926" s="322"/>
      <c r="CB926" s="322"/>
      <c r="CC926" s="322"/>
      <c r="CD926" s="322"/>
      <c r="CE926" s="322"/>
      <c r="CF926" s="322"/>
      <c r="CG926" s="322"/>
      <c r="CH926" s="322"/>
      <c r="CI926" s="322"/>
      <c r="CM926" s="1139">
        <v>0</v>
      </c>
      <c r="CN926" s="1139">
        <v>0</v>
      </c>
      <c r="CP926" s="923">
        <f t="shared" si="526"/>
        <v>0</v>
      </c>
      <c r="CZ926" s="330"/>
    </row>
    <row r="927" spans="1:104" ht="15" customHeight="1" x14ac:dyDescent="0.25">
      <c r="A927" s="684">
        <f>MAX($A$6:A926)+1</f>
        <v>927</v>
      </c>
      <c r="B927" s="3">
        <f t="shared" si="516"/>
        <v>6.1</v>
      </c>
      <c r="C927" s="11" t="str">
        <f>C925</f>
        <v>Consolidated intangible assets 2025-26</v>
      </c>
      <c r="D927" s="11" t="s">
        <v>451</v>
      </c>
      <c r="E927" s="7" t="s">
        <v>191</v>
      </c>
      <c r="F927" s="7"/>
      <c r="G927" s="1254" t="s">
        <v>457</v>
      </c>
      <c r="H927" s="6">
        <v>0</v>
      </c>
      <c r="I927" s="6">
        <v>0</v>
      </c>
      <c r="J927" s="1257" t="s">
        <v>191</v>
      </c>
      <c r="K927" s="251">
        <f>SUMIF('alb Note 6.1 -  Intangibles CY'!$A:$A,$J927,'alb Note 6.1 -  Intangibles CY'!$D:$D)</f>
        <v>0</v>
      </c>
      <c r="L927" s="251">
        <f>SUMIF('alb Note 6.1 -  Intangibles CY'!$A:$A,$J927,'alb Note 6.1 -  Intangibles CY'!$O:$O)</f>
        <v>0</v>
      </c>
      <c r="M927" s="10"/>
      <c r="N927" s="273">
        <f t="shared" si="540"/>
        <v>0</v>
      </c>
      <c r="O927" s="12"/>
      <c r="P927" s="12"/>
      <c r="Q927" s="12"/>
      <c r="R927" s="12"/>
      <c r="S927" s="6">
        <f t="shared" si="521"/>
        <v>0</v>
      </c>
      <c r="T927" s="273">
        <f t="shared" si="541"/>
        <v>0</v>
      </c>
      <c r="U927" s="6">
        <f t="shared" si="542"/>
        <v>0</v>
      </c>
      <c r="V927" s="6"/>
      <c r="W927" s="6">
        <f t="shared" si="536"/>
        <v>0</v>
      </c>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X927" s="6"/>
      <c r="AY927" s="6">
        <f>ROUND(AX927/1000/Update!$B$31*Update!$B$27,0)</f>
        <v>0</v>
      </c>
      <c r="BA927" s="6"/>
      <c r="BB927" s="6">
        <f>ROUND(BA927/1000/Update!$B$31,0)</f>
        <v>0</v>
      </c>
      <c r="BC927" s="6"/>
      <c r="BD927" s="29">
        <f t="shared" si="538"/>
        <v>0</v>
      </c>
      <c r="BE927" s="322"/>
      <c r="BF927" s="322"/>
      <c r="BG927" s="322"/>
      <c r="BH927" s="322"/>
      <c r="BI927" s="322"/>
      <c r="BJ927" s="322"/>
      <c r="BK927" s="29">
        <f t="shared" si="507"/>
        <v>0</v>
      </c>
      <c r="BL927" s="322"/>
      <c r="BM927" s="322"/>
      <c r="BN927" s="322"/>
      <c r="BO927" s="322"/>
      <c r="BP927" s="322"/>
      <c r="BQ927" s="322"/>
      <c r="BR927" s="322"/>
      <c r="BS927" s="322"/>
      <c r="BT927" s="322"/>
      <c r="BU927" s="322"/>
      <c r="BV927" s="322"/>
      <c r="BW927" s="322"/>
      <c r="BX927" s="322"/>
      <c r="BY927" s="322"/>
      <c r="BZ927" s="322"/>
      <c r="CA927" s="322"/>
      <c r="CB927" s="322"/>
      <c r="CC927" s="322"/>
      <c r="CD927" s="322"/>
      <c r="CE927" s="322"/>
      <c r="CF927" s="322"/>
      <c r="CG927" s="322"/>
      <c r="CH927" s="322"/>
      <c r="CI927" s="322"/>
      <c r="CM927" s="1139">
        <v>0</v>
      </c>
      <c r="CN927" s="1139">
        <v>0</v>
      </c>
      <c r="CP927" s="923">
        <f t="shared" si="526"/>
        <v>0</v>
      </c>
      <c r="CZ927" s="330"/>
    </row>
    <row r="928" spans="1:104" ht="15" customHeight="1" x14ac:dyDescent="0.25">
      <c r="A928" s="684">
        <f>MAX($A$6:A927)+1</f>
        <v>928</v>
      </c>
      <c r="B928" s="3">
        <f t="shared" si="516"/>
        <v>6.1</v>
      </c>
      <c r="C928" s="11" t="str">
        <f t="shared" si="533"/>
        <v>Consolidated intangible assets 2025-26</v>
      </c>
      <c r="D928" s="11" t="s">
        <v>451</v>
      </c>
      <c r="E928" s="7" t="s">
        <v>186</v>
      </c>
      <c r="F928" s="7"/>
      <c r="G928" s="1254" t="s">
        <v>186</v>
      </c>
      <c r="H928" s="6">
        <v>0</v>
      </c>
      <c r="I928" s="6">
        <v>0</v>
      </c>
      <c r="J928" s="1257" t="s">
        <v>186</v>
      </c>
      <c r="K928" s="251">
        <f>SUMIF('alb Note 6.1 -  Intangibles CY'!$A:$A,$J928,'alb Note 6.1 -  Intangibles CY'!$D:$D)</f>
        <v>0</v>
      </c>
      <c r="L928" s="251">
        <f>SUMIF('alb Note 6.1 -  Intangibles CY'!$A:$A,$J928,'alb Note 6.1 -  Intangibles CY'!$O:$O)</f>
        <v>0</v>
      </c>
      <c r="M928" s="10"/>
      <c r="N928" s="273">
        <f t="shared" si="540"/>
        <v>0</v>
      </c>
      <c r="O928" s="12"/>
      <c r="P928" s="12"/>
      <c r="Q928" s="12"/>
      <c r="R928" s="12"/>
      <c r="S928" s="6">
        <f t="shared" si="521"/>
        <v>0</v>
      </c>
      <c r="T928" s="273">
        <f t="shared" si="541"/>
        <v>0</v>
      </c>
      <c r="U928" s="6">
        <f t="shared" si="542"/>
        <v>0</v>
      </c>
      <c r="V928" s="6"/>
      <c r="W928" s="6">
        <f t="shared" si="536"/>
        <v>0</v>
      </c>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X928" s="6"/>
      <c r="AY928" s="6">
        <f>ROUND(AX928/1000/Update!$B$31*Update!$B$27,0)</f>
        <v>0</v>
      </c>
      <c r="BA928" s="6"/>
      <c r="BB928" s="6">
        <f>ROUND(BA928/1000/Update!$B$31,0)</f>
        <v>0</v>
      </c>
      <c r="BC928" s="6"/>
      <c r="BD928" s="29">
        <f t="shared" si="538"/>
        <v>0</v>
      </c>
      <c r="BE928" s="322"/>
      <c r="BF928" s="322"/>
      <c r="BG928" s="322"/>
      <c r="BH928" s="322"/>
      <c r="BI928" s="322"/>
      <c r="BJ928" s="322"/>
      <c r="BK928" s="29">
        <f t="shared" si="507"/>
        <v>0</v>
      </c>
      <c r="BL928" s="322"/>
      <c r="BM928" s="322"/>
      <c r="BN928" s="322"/>
      <c r="BO928" s="322"/>
      <c r="BP928" s="322"/>
      <c r="BQ928" s="322"/>
      <c r="BR928" s="322"/>
      <c r="BS928" s="322"/>
      <c r="BT928" s="322"/>
      <c r="BU928" s="322"/>
      <c r="BV928" s="322"/>
      <c r="BW928" s="322"/>
      <c r="BX928" s="322"/>
      <c r="BY928" s="322"/>
      <c r="BZ928" s="322"/>
      <c r="CA928" s="322"/>
      <c r="CB928" s="322"/>
      <c r="CC928" s="322"/>
      <c r="CD928" s="322"/>
      <c r="CE928" s="322"/>
      <c r="CF928" s="322"/>
      <c r="CG928" s="322"/>
      <c r="CH928" s="322"/>
      <c r="CI928" s="322"/>
      <c r="CM928" s="1139">
        <v>0</v>
      </c>
      <c r="CN928" s="1139">
        <v>0</v>
      </c>
      <c r="CP928" s="923">
        <f t="shared" si="526"/>
        <v>0</v>
      </c>
      <c r="CZ928" s="330"/>
    </row>
    <row r="929" spans="1:104" ht="15" customHeight="1" x14ac:dyDescent="0.25">
      <c r="A929" s="684">
        <f>MAX($A$6:A928)+1</f>
        <v>929</v>
      </c>
      <c r="B929" s="3">
        <f t="shared" si="516"/>
        <v>6.1</v>
      </c>
      <c r="C929" s="11" t="str">
        <f t="shared" si="533"/>
        <v>Consolidated intangible assets 2025-26</v>
      </c>
      <c r="D929" s="11" t="s">
        <v>451</v>
      </c>
      <c r="E929" s="7" t="s">
        <v>188</v>
      </c>
      <c r="F929" s="7"/>
      <c r="G929" s="1254" t="s">
        <v>188</v>
      </c>
      <c r="H929" s="6">
        <v>0</v>
      </c>
      <c r="I929" s="6">
        <v>0</v>
      </c>
      <c r="J929" s="1257" t="s">
        <v>188</v>
      </c>
      <c r="K929" s="251">
        <f>SUMIF('alb Note 6.1 -  Intangibles CY'!$A:$A,$J929,'alb Note 6.1 -  Intangibles CY'!$D:$D)</f>
        <v>0</v>
      </c>
      <c r="L929" s="251">
        <f>SUMIF('alb Note 6.1 -  Intangibles CY'!$A:$A,$J929,'alb Note 6.1 -  Intangibles CY'!$O:$O)</f>
        <v>0</v>
      </c>
      <c r="M929" s="10"/>
      <c r="N929" s="273">
        <f t="shared" si="540"/>
        <v>0</v>
      </c>
      <c r="O929" s="12"/>
      <c r="P929" s="12"/>
      <c r="Q929" s="12"/>
      <c r="R929" s="12"/>
      <c r="S929" s="6">
        <f t="shared" si="521"/>
        <v>0</v>
      </c>
      <c r="T929" s="273">
        <f t="shared" si="541"/>
        <v>0</v>
      </c>
      <c r="U929" s="6">
        <f t="shared" si="542"/>
        <v>0</v>
      </c>
      <c r="V929" s="6"/>
      <c r="W929" s="6">
        <f t="shared" si="536"/>
        <v>0</v>
      </c>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X929" s="6"/>
      <c r="AY929" s="6">
        <f>ROUND(AX929/1000/Update!$B$31*Update!$B$27,0)</f>
        <v>0</v>
      </c>
      <c r="BA929" s="6"/>
      <c r="BB929" s="6">
        <f>ROUND(BA929/1000/Update!$B$31,0)</f>
        <v>0</v>
      </c>
      <c r="BC929" s="6"/>
      <c r="BD929" s="29">
        <f t="shared" si="538"/>
        <v>0</v>
      </c>
      <c r="BE929" s="322"/>
      <c r="BF929" s="322"/>
      <c r="BG929" s="322"/>
      <c r="BH929" s="322"/>
      <c r="BI929" s="322"/>
      <c r="BJ929" s="322"/>
      <c r="BK929" s="29">
        <f t="shared" si="507"/>
        <v>0</v>
      </c>
      <c r="BL929" s="322"/>
      <c r="BM929" s="322"/>
      <c r="BN929" s="322"/>
      <c r="BO929" s="322"/>
      <c r="BP929" s="322"/>
      <c r="BQ929" s="322"/>
      <c r="BR929" s="322"/>
      <c r="BS929" s="322"/>
      <c r="BT929" s="322"/>
      <c r="BU929" s="322"/>
      <c r="BV929" s="322"/>
      <c r="BW929" s="322"/>
      <c r="BX929" s="322"/>
      <c r="BY929" s="322"/>
      <c r="BZ929" s="322"/>
      <c r="CA929" s="322"/>
      <c r="CB929" s="322"/>
      <c r="CC929" s="322"/>
      <c r="CD929" s="322"/>
      <c r="CE929" s="322"/>
      <c r="CF929" s="322"/>
      <c r="CG929" s="322"/>
      <c r="CH929" s="322"/>
      <c r="CI929" s="322"/>
      <c r="CM929" s="1139">
        <v>0</v>
      </c>
      <c r="CN929" s="1139">
        <v>0</v>
      </c>
      <c r="CP929" s="923">
        <f t="shared" si="526"/>
        <v>0</v>
      </c>
      <c r="CZ929" s="330"/>
    </row>
    <row r="930" spans="1:104" ht="30" customHeight="1" x14ac:dyDescent="0.25">
      <c r="A930" s="684">
        <f>MAX($A$6:A929)+1</f>
        <v>930</v>
      </c>
      <c r="B930" s="3">
        <f t="shared" si="516"/>
        <v>6.1</v>
      </c>
      <c r="C930" s="11" t="str">
        <f t="shared" si="533"/>
        <v>Consolidated intangible assets 2025-26</v>
      </c>
      <c r="D930" s="11" t="s">
        <v>451</v>
      </c>
      <c r="E930" s="7" t="s">
        <v>192</v>
      </c>
      <c r="F930" s="7"/>
      <c r="G930" s="1254" t="s">
        <v>438</v>
      </c>
      <c r="H930" s="6">
        <v>0</v>
      </c>
      <c r="I930" s="6">
        <v>0</v>
      </c>
      <c r="J930" s="1257" t="s">
        <v>768</v>
      </c>
      <c r="K930" s="251">
        <f>SUMIF('alb Note 6.1 -  Intangibles CY'!$A:$A,$J930,'alb Note 6.1 -  Intangibles CY'!$D:$D)</f>
        <v>0</v>
      </c>
      <c r="L930" s="251">
        <f>SUMIF('alb Note 6.1 -  Intangibles CY'!$A:$A,$J930,'alb Note 6.1 -  Intangibles CY'!$O:$O)</f>
        <v>0</v>
      </c>
      <c r="M930" s="10"/>
      <c r="N930" s="273">
        <f t="shared" si="540"/>
        <v>0</v>
      </c>
      <c r="O930" s="12"/>
      <c r="P930" s="12"/>
      <c r="Q930" s="12"/>
      <c r="R930" s="12"/>
      <c r="S930" s="6">
        <f t="shared" si="521"/>
        <v>0</v>
      </c>
      <c r="T930" s="273">
        <f t="shared" si="541"/>
        <v>0</v>
      </c>
      <c r="U930" s="6">
        <f t="shared" si="542"/>
        <v>0</v>
      </c>
      <c r="V930" s="6"/>
      <c r="W930" s="6">
        <f t="shared" si="536"/>
        <v>0</v>
      </c>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X930" s="6"/>
      <c r="AY930" s="6">
        <f>ROUND(AX930/1000/Update!$B$31*Update!$B$27,0)</f>
        <v>0</v>
      </c>
      <c r="BA930" s="6"/>
      <c r="BB930" s="6">
        <f>ROUND(BA930/1000/Update!$B$31,0)</f>
        <v>0</v>
      </c>
      <c r="BC930" s="6"/>
      <c r="BD930" s="29">
        <f t="shared" si="538"/>
        <v>0</v>
      </c>
      <c r="BE930" s="322"/>
      <c r="BF930" s="322"/>
      <c r="BG930" s="322"/>
      <c r="BH930" s="322"/>
      <c r="BI930" s="322"/>
      <c r="BJ930" s="322"/>
      <c r="BK930" s="29">
        <f t="shared" si="507"/>
        <v>0</v>
      </c>
      <c r="BL930" s="322"/>
      <c r="BM930" s="322"/>
      <c r="BN930" s="322"/>
      <c r="BO930" s="322"/>
      <c r="BP930" s="322"/>
      <c r="BQ930" s="322"/>
      <c r="BR930" s="322"/>
      <c r="BS930" s="322"/>
      <c r="BT930" s="322"/>
      <c r="BU930" s="322"/>
      <c r="BV930" s="322"/>
      <c r="BW930" s="322"/>
      <c r="BX930" s="322"/>
      <c r="BY930" s="322"/>
      <c r="BZ930" s="322"/>
      <c r="CA930" s="322"/>
      <c r="CB930" s="322"/>
      <c r="CC930" s="322"/>
      <c r="CD930" s="322"/>
      <c r="CE930" s="322"/>
      <c r="CF930" s="322"/>
      <c r="CG930" s="322"/>
      <c r="CH930" s="322"/>
      <c r="CI930" s="322"/>
      <c r="CM930" s="1139">
        <v>0</v>
      </c>
      <c r="CN930" s="1139">
        <v>0</v>
      </c>
      <c r="CP930" s="923">
        <f t="shared" si="526"/>
        <v>0</v>
      </c>
      <c r="CZ930" s="330"/>
    </row>
    <row r="931" spans="1:104" ht="51" customHeight="1" x14ac:dyDescent="0.25">
      <c r="A931" s="684">
        <f>MAX($A$6:A930)+1</f>
        <v>931</v>
      </c>
      <c r="B931" s="3">
        <f t="shared" si="516"/>
        <v>6.1</v>
      </c>
      <c r="C931" s="11" t="str">
        <f t="shared" si="533"/>
        <v>Consolidated intangible assets 2025-26</v>
      </c>
      <c r="D931" s="11" t="s">
        <v>451</v>
      </c>
      <c r="E931" s="7" t="s">
        <v>193</v>
      </c>
      <c r="F931" s="7"/>
      <c r="G931" s="1254" t="s">
        <v>193</v>
      </c>
      <c r="H931" s="6">
        <v>0</v>
      </c>
      <c r="I931" s="6">
        <v>0</v>
      </c>
      <c r="J931" s="1257" t="s">
        <v>767</v>
      </c>
      <c r="K931" s="251">
        <f>SUMIF('alb Note 6.1 -  Intangibles CY'!$A:$A,$J931,'alb Note 6.1 -  Intangibles CY'!$D:$D)</f>
        <v>0</v>
      </c>
      <c r="L931" s="251">
        <f>SUMIF('alb Note 6.1 -  Intangibles CY'!$A:$A,$J931,'alb Note 6.1 -  Intangibles CY'!$O:$O)</f>
        <v>0</v>
      </c>
      <c r="M931" s="10"/>
      <c r="N931" s="273">
        <f t="shared" si="540"/>
        <v>0</v>
      </c>
      <c r="O931" s="12"/>
      <c r="P931" s="12"/>
      <c r="Q931" s="12"/>
      <c r="R931" s="12"/>
      <c r="S931" s="6">
        <f t="shared" si="521"/>
        <v>0</v>
      </c>
      <c r="T931" s="273">
        <f t="shared" si="541"/>
        <v>0</v>
      </c>
      <c r="U931" s="6">
        <f t="shared" si="542"/>
        <v>0</v>
      </c>
      <c r="V931" s="6"/>
      <c r="W931" s="6">
        <f t="shared" si="536"/>
        <v>0</v>
      </c>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X931" s="6"/>
      <c r="AY931" s="6">
        <f>ROUND(AX931/1000/Update!$B$31*Update!$B$27,0)</f>
        <v>0</v>
      </c>
      <c r="BA931" s="6"/>
      <c r="BB931" s="6">
        <f>ROUND(BA931/1000/Update!$B$31,0)</f>
        <v>0</v>
      </c>
      <c r="BC931" s="6"/>
      <c r="BD931" s="29">
        <f t="shared" si="538"/>
        <v>0</v>
      </c>
      <c r="BE931" s="322"/>
      <c r="BF931" s="322"/>
      <c r="BG931" s="322"/>
      <c r="BH931" s="322"/>
      <c r="BI931" s="322"/>
      <c r="BJ931" s="322"/>
      <c r="BK931" s="29">
        <f t="shared" si="507"/>
        <v>0</v>
      </c>
      <c r="BL931" s="322"/>
      <c r="BM931" s="322"/>
      <c r="BN931" s="322"/>
      <c r="BO931" s="322"/>
      <c r="BP931" s="322"/>
      <c r="BQ931" s="322"/>
      <c r="BR931" s="322"/>
      <c r="BS931" s="322"/>
      <c r="BT931" s="322"/>
      <c r="BU931" s="322"/>
      <c r="BV931" s="322"/>
      <c r="BW931" s="322"/>
      <c r="BX931" s="322"/>
      <c r="BY931" s="322"/>
      <c r="BZ931" s="322"/>
      <c r="CA931" s="322"/>
      <c r="CB931" s="322"/>
      <c r="CC931" s="322"/>
      <c r="CD931" s="322"/>
      <c r="CE931" s="322"/>
      <c r="CF931" s="322"/>
      <c r="CG931" s="322"/>
      <c r="CH931" s="322"/>
      <c r="CI931" s="322"/>
      <c r="CM931" s="1139">
        <v>0</v>
      </c>
      <c r="CN931" s="1139">
        <v>0</v>
      </c>
      <c r="CP931" s="923">
        <f t="shared" si="526"/>
        <v>0</v>
      </c>
      <c r="CZ931" s="330"/>
    </row>
    <row r="932" spans="1:104" ht="15" customHeight="1" x14ac:dyDescent="0.25">
      <c r="A932" s="684">
        <f>MAX($A$6:A931)+1</f>
        <v>932</v>
      </c>
      <c r="B932" s="3">
        <f t="shared" si="516"/>
        <v>6.1</v>
      </c>
      <c r="C932" s="11" t="str">
        <f t="shared" si="533"/>
        <v>Consolidated intangible assets 2025-26</v>
      </c>
      <c r="D932" s="11" t="s">
        <v>451</v>
      </c>
      <c r="E932" s="7" t="s">
        <v>189</v>
      </c>
      <c r="F932" s="7"/>
      <c r="G932" s="1254" t="s">
        <v>189</v>
      </c>
      <c r="H932" s="6">
        <v>0</v>
      </c>
      <c r="I932" s="6">
        <v>0</v>
      </c>
      <c r="J932" s="1257" t="s">
        <v>557</v>
      </c>
      <c r="K932" s="251">
        <f>SUMIF('alb Note 6.1 -  Intangibles CY'!$A:$A,$J932,'alb Note 6.1 -  Intangibles CY'!$D:$D)</f>
        <v>0</v>
      </c>
      <c r="L932" s="251">
        <f>SUMIF('alb Note 6.1 -  Intangibles CY'!$A:$A,$J932,'alb Note 6.1 -  Intangibles CY'!$O:$O)</f>
        <v>0</v>
      </c>
      <c r="M932" s="10"/>
      <c r="N932" s="273">
        <f t="shared" si="540"/>
        <v>0</v>
      </c>
      <c r="O932" s="12"/>
      <c r="P932" s="12"/>
      <c r="Q932" s="12"/>
      <c r="R932" s="12"/>
      <c r="S932" s="6">
        <f t="shared" si="521"/>
        <v>0</v>
      </c>
      <c r="T932" s="273">
        <f t="shared" si="541"/>
        <v>0</v>
      </c>
      <c r="U932" s="6">
        <f t="shared" si="542"/>
        <v>0</v>
      </c>
      <c r="V932" s="6"/>
      <c r="W932" s="6">
        <f t="shared" si="536"/>
        <v>0</v>
      </c>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X932" s="6"/>
      <c r="AY932" s="6">
        <f>ROUND(AX932/1000/Update!$B$31*Update!$B$27,0)</f>
        <v>0</v>
      </c>
      <c r="BA932" s="6"/>
      <c r="BB932" s="6">
        <f>ROUND(BA932/1000/Update!$B$31,0)</f>
        <v>0</v>
      </c>
      <c r="BC932" s="6"/>
      <c r="BD932" s="29">
        <f t="shared" si="538"/>
        <v>0</v>
      </c>
      <c r="BE932" s="322"/>
      <c r="BF932" s="322"/>
      <c r="BG932" s="322"/>
      <c r="BH932" s="322"/>
      <c r="BI932" s="322"/>
      <c r="BJ932" s="322"/>
      <c r="BK932" s="29">
        <f t="shared" si="507"/>
        <v>0</v>
      </c>
      <c r="BL932" s="322"/>
      <c r="BM932" s="322"/>
      <c r="BN932" s="322"/>
      <c r="BO932" s="322"/>
      <c r="BP932" s="322"/>
      <c r="BQ932" s="322"/>
      <c r="BR932" s="322"/>
      <c r="BS932" s="322"/>
      <c r="BT932" s="322"/>
      <c r="BU932" s="322"/>
      <c r="BV932" s="322"/>
      <c r="BW932" s="322"/>
      <c r="BX932" s="322"/>
      <c r="BY932" s="322"/>
      <c r="BZ932" s="322"/>
      <c r="CA932" s="322"/>
      <c r="CB932" s="322"/>
      <c r="CC932" s="322"/>
      <c r="CD932" s="322"/>
      <c r="CE932" s="322"/>
      <c r="CF932" s="322"/>
      <c r="CG932" s="322"/>
      <c r="CH932" s="322"/>
      <c r="CI932" s="322"/>
      <c r="CM932" s="1139">
        <v>0</v>
      </c>
      <c r="CN932" s="1139">
        <v>0</v>
      </c>
      <c r="CP932" s="923">
        <f t="shared" si="526"/>
        <v>0</v>
      </c>
      <c r="CZ932" s="330"/>
    </row>
    <row r="933" spans="1:104" ht="15" customHeight="1" x14ac:dyDescent="0.25">
      <c r="A933" s="701">
        <f>MAX($A$6:A932)+1</f>
        <v>933</v>
      </c>
      <c r="B933" s="1291">
        <f t="shared" si="516"/>
        <v>6.1</v>
      </c>
      <c r="C933" s="18" t="str">
        <f t="shared" si="533"/>
        <v>Consolidated intangible assets 2025-26</v>
      </c>
      <c r="D933" s="18" t="s">
        <v>451</v>
      </c>
      <c r="E933" s="19" t="str">
        <f>"At"&amp;Update!$B$22</f>
        <v>At 31 March 2026</v>
      </c>
      <c r="F933" s="20"/>
      <c r="G933" s="28"/>
      <c r="H933" s="14">
        <f>SUM(H923:H932)</f>
        <v>0</v>
      </c>
      <c r="I933" s="14">
        <f>SUM(I923:I932)</f>
        <v>0</v>
      </c>
      <c r="J933" s="1258" t="s">
        <v>286</v>
      </c>
      <c r="K933" s="256">
        <f>SUM(K923:K932)</f>
        <v>0</v>
      </c>
      <c r="L933" s="256">
        <f>SUM(L923:L932)</f>
        <v>0</v>
      </c>
      <c r="M933" s="21"/>
      <c r="N933" s="14">
        <f>ROUND(SUM(O933:S933)+T933+SUM(Z933:AV933),0)</f>
        <v>0</v>
      </c>
      <c r="O933" s="14">
        <f t="shared" ref="O933:W933" si="543">SUM(O923:O932)</f>
        <v>0</v>
      </c>
      <c r="P933" s="14">
        <f t="shared" si="543"/>
        <v>0</v>
      </c>
      <c r="Q933" s="14">
        <f t="shared" si="543"/>
        <v>0</v>
      </c>
      <c r="R933" s="14">
        <f t="shared" si="543"/>
        <v>0</v>
      </c>
      <c r="S933" s="14">
        <f t="shared" si="521"/>
        <v>0</v>
      </c>
      <c r="T933" s="14">
        <f t="shared" si="543"/>
        <v>0</v>
      </c>
      <c r="U933" s="14">
        <f t="shared" si="543"/>
        <v>0</v>
      </c>
      <c r="V933" s="14">
        <f t="shared" si="543"/>
        <v>0</v>
      </c>
      <c r="W933" s="14">
        <f t="shared" si="543"/>
        <v>0</v>
      </c>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2"/>
      <c r="AX933" s="14">
        <f>SUM(AX923:AX932)</f>
        <v>0</v>
      </c>
      <c r="AY933" s="14">
        <f>ROUND(AX933/1000/Update!$B$31*Update!$B$27,0)</f>
        <v>0</v>
      </c>
      <c r="AZ933" s="2"/>
      <c r="BA933" s="14">
        <f>SUM(BA923:BA932)</f>
        <v>0</v>
      </c>
      <c r="BB933" s="14">
        <f>ROUND(BA933/1000/Update!$B$31,0)</f>
        <v>0</v>
      </c>
      <c r="BC933" s="14"/>
      <c r="BD933" s="14">
        <f t="shared" si="538"/>
        <v>0</v>
      </c>
      <c r="BE933" s="14">
        <f t="shared" ref="BE933:BJ933" si="544">SUM(BE923:BE932)</f>
        <v>0</v>
      </c>
      <c r="BF933" s="14">
        <f t="shared" si="544"/>
        <v>0</v>
      </c>
      <c r="BG933" s="14">
        <f t="shared" si="544"/>
        <v>0</v>
      </c>
      <c r="BH933" s="14">
        <f t="shared" si="544"/>
        <v>0</v>
      </c>
      <c r="BI933" s="14">
        <f t="shared" si="544"/>
        <v>0</v>
      </c>
      <c r="BJ933" s="14">
        <f t="shared" si="544"/>
        <v>0</v>
      </c>
      <c r="BK933" s="14">
        <f t="shared" si="507"/>
        <v>0</v>
      </c>
      <c r="BL933" s="14"/>
      <c r="BM933" s="14"/>
      <c r="BN933" s="14"/>
      <c r="BO933" s="14"/>
      <c r="BP933" s="14"/>
      <c r="BQ933" s="14"/>
      <c r="BR933" s="14"/>
      <c r="BS933" s="14"/>
      <c r="BT933" s="324"/>
      <c r="BU933" s="14"/>
      <c r="BV933" s="14"/>
      <c r="BW933" s="14"/>
      <c r="BX933" s="14"/>
      <c r="BY933" s="14"/>
      <c r="BZ933" s="14"/>
      <c r="CA933" s="14"/>
      <c r="CB933" s="14"/>
      <c r="CC933" s="14"/>
      <c r="CD933" s="14"/>
      <c r="CE933" s="14"/>
      <c r="CF933" s="14"/>
      <c r="CG933" s="14"/>
      <c r="CH933" s="14"/>
      <c r="CI933" s="14"/>
      <c r="CJ933" s="2"/>
      <c r="CK933" s="2"/>
      <c r="CM933" s="1140">
        <v>0</v>
      </c>
      <c r="CN933" s="1140">
        <v>0</v>
      </c>
      <c r="CP933" s="923">
        <f t="shared" si="526"/>
        <v>0</v>
      </c>
      <c r="CZ933" s="330"/>
    </row>
    <row r="934" spans="1:104" ht="18.75" customHeight="1" x14ac:dyDescent="0.25">
      <c r="A934" s="684">
        <f>MAX($A$6:A933)+1</f>
        <v>934</v>
      </c>
      <c r="B934" s="3">
        <f t="shared" si="516"/>
        <v>6.1</v>
      </c>
      <c r="C934" s="11" t="str">
        <f t="shared" si="533"/>
        <v>Consolidated intangible assets 2025-26</v>
      </c>
      <c r="D934" s="11" t="s">
        <v>451</v>
      </c>
      <c r="E934" s="277" t="s">
        <v>161</v>
      </c>
      <c r="F934" s="277"/>
      <c r="G934" s="26"/>
      <c r="H934" s="6"/>
      <c r="I934" s="6"/>
      <c r="J934" s="1257" t="s">
        <v>286</v>
      </c>
      <c r="K934" s="251">
        <f>SUMIF('alb Note 6.1 -  Intangibles CY'!$A:$A,$J934,'alb Note 6.1 -  Intangibles CY'!$D:$D)</f>
        <v>0</v>
      </c>
      <c r="L934" s="251">
        <f>SUMIF('alb Note 6.1 -  Intangibles CY'!$A:$A,$J934,'alb Note 6.1 -  Intangibles CY'!$O:$O)</f>
        <v>0</v>
      </c>
      <c r="M934" s="10"/>
      <c r="N934" s="273">
        <f>ROUND(SUM(O934:S934)+SUM(W934:AV934),0)</f>
        <v>0</v>
      </c>
      <c r="O934" s="12"/>
      <c r="P934" s="12"/>
      <c r="Q934" s="12"/>
      <c r="R934" s="12"/>
      <c r="S934" s="6">
        <f t="shared" si="521"/>
        <v>0</v>
      </c>
      <c r="T934" s="273">
        <f>ROUND(SUM(U934:Y934),0)</f>
        <v>0</v>
      </c>
      <c r="U934" s="6">
        <f>SUM(BL934:BN934)</f>
        <v>0</v>
      </c>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X934" s="6"/>
      <c r="AY934" s="6">
        <f>ROUND(AX934/1000/Update!$B$31*Update!$B$27,0)</f>
        <v>0</v>
      </c>
      <c r="BA934" s="6"/>
      <c r="BB934" s="6">
        <f>ROUND(BA934/1000/Update!$B$31,0)</f>
        <v>0</v>
      </c>
      <c r="BC934" s="6"/>
      <c r="BD934" s="29">
        <f t="shared" si="538"/>
        <v>0</v>
      </c>
      <c r="BE934" s="322"/>
      <c r="BF934" s="322"/>
      <c r="BG934" s="322"/>
      <c r="BH934" s="322"/>
      <c r="BI934" s="322"/>
      <c r="BJ934" s="322"/>
      <c r="BK934" s="29">
        <f t="shared" si="507"/>
        <v>0</v>
      </c>
      <c r="BL934" s="322"/>
      <c r="BM934" s="322"/>
      <c r="BN934" s="322"/>
      <c r="BO934" s="322"/>
      <c r="BP934" s="322"/>
      <c r="BQ934" s="322"/>
      <c r="BR934" s="322"/>
      <c r="BS934" s="322"/>
      <c r="BT934" s="322"/>
      <c r="BU934" s="322"/>
      <c r="BV934" s="322"/>
      <c r="BW934" s="322"/>
      <c r="BX934" s="322"/>
      <c r="BY934" s="322"/>
      <c r="BZ934" s="322"/>
      <c r="CA934" s="322"/>
      <c r="CB934" s="322"/>
      <c r="CC934" s="322"/>
      <c r="CD934" s="322"/>
      <c r="CE934" s="322"/>
      <c r="CF934" s="322"/>
      <c r="CG934" s="322"/>
      <c r="CH934" s="322"/>
      <c r="CI934" s="322"/>
      <c r="CM934" s="1139">
        <v>0</v>
      </c>
      <c r="CN934" s="1139">
        <v>0</v>
      </c>
      <c r="CP934" s="923">
        <f t="shared" si="526"/>
        <v>0</v>
      </c>
      <c r="CZ934" s="330"/>
    </row>
    <row r="935" spans="1:104" ht="15" customHeight="1" x14ac:dyDescent="0.25">
      <c r="A935" s="684">
        <f>MAX($A$6:A934)+1</f>
        <v>935</v>
      </c>
      <c r="B935" s="3">
        <f t="shared" si="516"/>
        <v>6.1</v>
      </c>
      <c r="C935" s="11" t="str">
        <f t="shared" si="533"/>
        <v>Consolidated intangible assets 2025-26</v>
      </c>
      <c r="D935" s="11" t="s">
        <v>451</v>
      </c>
      <c r="E935" s="7" t="str">
        <f>"At"&amp;Update!$B$20&amp;" "</f>
        <v xml:space="preserve">At 1 April 2025 </v>
      </c>
      <c r="F935" s="15"/>
      <c r="G935" s="1267" t="str">
        <f>"At"&amp;Update!$B$20&amp;" "</f>
        <v xml:space="preserve">At 1 April 2025 </v>
      </c>
      <c r="H935" s="6">
        <v>0</v>
      </c>
      <c r="I935" s="6">
        <v>0</v>
      </c>
      <c r="J935" s="1257" t="str">
        <f>$E935</f>
        <v xml:space="preserve">At 1 April 2025 </v>
      </c>
      <c r="K935" s="251">
        <f>SUMIF('alb Note 6.1 -  Intangibles CY'!$A:$A,$J935,'alb Note 6.1 -  Intangibles CY'!$D:$D)</f>
        <v>0</v>
      </c>
      <c r="L935" s="251">
        <f>SUMIF('alb Note 6.1 -  Intangibles CY'!$A:$A,$J935,'alb Note 6.1 -  Intangibles CY'!$O:$O)</f>
        <v>0</v>
      </c>
      <c r="M935" s="10"/>
      <c r="N935" s="273">
        <f>ROUND(SUM(O935:S935)+SUM(W935:AV935),0)</f>
        <v>0</v>
      </c>
      <c r="O935" s="12"/>
      <c r="P935" s="12"/>
      <c r="Q935" s="12"/>
      <c r="R935" s="12"/>
      <c r="S935" s="6">
        <f t="shared" si="521"/>
        <v>0</v>
      </c>
      <c r="T935" s="273">
        <f>ROUND(SUM(U935:Y935),0)</f>
        <v>0</v>
      </c>
      <c r="U935" s="6">
        <f>SUM(BL935:BN935)</f>
        <v>0</v>
      </c>
      <c r="V935" s="6"/>
      <c r="W935" s="6">
        <f t="shared" ref="W935:W946" si="545">+H935</f>
        <v>0</v>
      </c>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X935" s="6"/>
      <c r="AY935" s="6">
        <f>ROUND(AX935/1000/Update!$B$31*Update!$B$27,0)</f>
        <v>0</v>
      </c>
      <c r="BA935" s="6"/>
      <c r="BB935" s="6">
        <f>ROUND(BA935/1000/Update!$B$31,0)</f>
        <v>0</v>
      </c>
      <c r="BC935" s="6"/>
      <c r="BD935" s="29">
        <f t="shared" si="538"/>
        <v>0</v>
      </c>
      <c r="BE935" s="322"/>
      <c r="BF935" s="322"/>
      <c r="BG935" s="322"/>
      <c r="BH935" s="322"/>
      <c r="BI935" s="322"/>
      <c r="BJ935" s="322"/>
      <c r="BK935" s="29">
        <f t="shared" si="507"/>
        <v>0</v>
      </c>
      <c r="BL935" s="322"/>
      <c r="BM935" s="322"/>
      <c r="BN935" s="322"/>
      <c r="BO935" s="322"/>
      <c r="BP935" s="322"/>
      <c r="BQ935" s="322"/>
      <c r="BR935" s="322"/>
      <c r="BS935" s="322"/>
      <c r="BT935" s="322"/>
      <c r="BU935" s="322"/>
      <c r="BV935" s="322"/>
      <c r="BW935" s="322"/>
      <c r="BX935" s="322"/>
      <c r="BY935" s="322"/>
      <c r="BZ935" s="322"/>
      <c r="CA935" s="322"/>
      <c r="CB935" s="322"/>
      <c r="CC935" s="322"/>
      <c r="CD935" s="322"/>
      <c r="CE935" s="322"/>
      <c r="CF935" s="322"/>
      <c r="CG935" s="322"/>
      <c r="CH935" s="322"/>
      <c r="CI935" s="322"/>
      <c r="CM935" s="1139">
        <v>0</v>
      </c>
      <c r="CN935" s="1139">
        <v>0</v>
      </c>
      <c r="CP935" s="923">
        <f t="shared" si="526"/>
        <v>0</v>
      </c>
      <c r="CZ935" s="330"/>
    </row>
    <row r="936" spans="1:104" ht="15" customHeight="1" x14ac:dyDescent="0.25">
      <c r="A936" s="684">
        <f>MAX($A$6:A935)+1</f>
        <v>936</v>
      </c>
      <c r="B936" s="3">
        <f t="shared" si="516"/>
        <v>6.1</v>
      </c>
      <c r="C936" s="11" t="str">
        <f t="shared" si="533"/>
        <v>Consolidated intangible assets 2025-26</v>
      </c>
      <c r="D936" s="11" t="str">
        <f>D935</f>
        <v>Websites</v>
      </c>
      <c r="E936" s="7" t="s">
        <v>1417</v>
      </c>
      <c r="F936" s="7"/>
      <c r="G936" s="1254" t="s">
        <v>435</v>
      </c>
      <c r="H936" s="6">
        <v>0</v>
      </c>
      <c r="I936" s="6">
        <v>0</v>
      </c>
      <c r="J936" s="1257" t="s">
        <v>435</v>
      </c>
      <c r="K936" s="251">
        <f>SUMIF('alb Note 6.1 -  Intangibles CY'!$A:$A,$J936,'alb Note 6.1 -  Intangibles CY'!$D:$D)</f>
        <v>0</v>
      </c>
      <c r="L936" s="251">
        <f>SUMIF('alb Note 6.1 -  Intangibles CY'!$A:$A,$J936,'alb Note 6.1 -  Intangibles CY'!$O:$O)</f>
        <v>0</v>
      </c>
      <c r="M936" s="10"/>
      <c r="N936" s="273">
        <f>ROUND(SUM(O936:S936)+SUM(W936:AV936),0)</f>
        <v>0</v>
      </c>
      <c r="O936" s="12"/>
      <c r="P936" s="12"/>
      <c r="Q936" s="12"/>
      <c r="R936" s="12"/>
      <c r="S936" s="6">
        <f t="shared" si="521"/>
        <v>0</v>
      </c>
      <c r="T936" s="273">
        <f>ROUND(SUM(U936:Y936),0)</f>
        <v>0</v>
      </c>
      <c r="U936" s="6">
        <f>SUM(BL936:BN936)</f>
        <v>0</v>
      </c>
      <c r="V936" s="6"/>
      <c r="W936" s="6">
        <f t="shared" si="545"/>
        <v>0</v>
      </c>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X936" s="6"/>
      <c r="AY936" s="6">
        <f>ROUND(AX936/1000/Update!$B$31*Update!$B$27,0)</f>
        <v>0</v>
      </c>
      <c r="BA936" s="6"/>
      <c r="BB936" s="6">
        <f>ROUND(BA936/1000/Update!$B$31,0)</f>
        <v>0</v>
      </c>
      <c r="BC936" s="6"/>
      <c r="BD936" s="29">
        <f t="shared" si="538"/>
        <v>0</v>
      </c>
      <c r="BE936" s="322"/>
      <c r="BF936" s="322"/>
      <c r="BG936" s="322"/>
      <c r="BH936" s="322"/>
      <c r="BI936" s="322"/>
      <c r="BJ936" s="322"/>
      <c r="BK936" s="29">
        <f t="shared" si="507"/>
        <v>0</v>
      </c>
      <c r="BL936" s="322"/>
      <c r="BM936" s="322"/>
      <c r="BN936" s="322"/>
      <c r="BO936" s="322"/>
      <c r="BP936" s="322"/>
      <c r="BQ936" s="322"/>
      <c r="BR936" s="322"/>
      <c r="BS936" s="322"/>
      <c r="BT936" s="322"/>
      <c r="BU936" s="322"/>
      <c r="BV936" s="322"/>
      <c r="BW936" s="322"/>
      <c r="BX936" s="322"/>
      <c r="BY936" s="322"/>
      <c r="BZ936" s="322"/>
      <c r="CA936" s="322"/>
      <c r="CB936" s="322"/>
      <c r="CC936" s="322"/>
      <c r="CD936" s="322"/>
      <c r="CE936" s="322"/>
      <c r="CF936" s="322"/>
      <c r="CG936" s="322"/>
      <c r="CH936" s="322"/>
      <c r="CI936" s="322"/>
      <c r="CM936" s="1139">
        <v>0</v>
      </c>
      <c r="CN936" s="1139">
        <v>0</v>
      </c>
      <c r="CP936" s="923">
        <f t="shared" si="526"/>
        <v>0</v>
      </c>
      <c r="CZ936" s="330"/>
    </row>
    <row r="937" spans="1:104" ht="15" customHeight="1" x14ac:dyDescent="0.25">
      <c r="A937" s="701">
        <f>MAX($A$6:A936)+1</f>
        <v>937</v>
      </c>
      <c r="B937" s="1291">
        <f t="shared" si="516"/>
        <v>6.1</v>
      </c>
      <c r="C937" s="18" t="str">
        <f t="shared" si="533"/>
        <v>Consolidated intangible assets 2025-26</v>
      </c>
      <c r="D937" s="18" t="str">
        <f>D936</f>
        <v>Websites</v>
      </c>
      <c r="E937" s="19" t="s">
        <v>869</v>
      </c>
      <c r="F937" s="20"/>
      <c r="G937" s="1278" t="s">
        <v>442</v>
      </c>
      <c r="H937" s="14">
        <f>SUM(H934:H936)</f>
        <v>0</v>
      </c>
      <c r="I937" s="14">
        <f>SUM(I934:I936)</f>
        <v>0</v>
      </c>
      <c r="J937" s="1258" t="s">
        <v>442</v>
      </c>
      <c r="K937" s="256">
        <f>SUM(K934:K936)</f>
        <v>0</v>
      </c>
      <c r="L937" s="256">
        <f>SUM(L934:L936)</f>
        <v>0</v>
      </c>
      <c r="M937" s="21"/>
      <c r="N937" s="14">
        <f>ROUND(SUM(O937:S937)+T937+SUM(Z937:AV937),0)</f>
        <v>0</v>
      </c>
      <c r="O937" s="14">
        <f t="shared" ref="O937:W937" si="546">SUM(O934:O936)</f>
        <v>0</v>
      </c>
      <c r="P937" s="14">
        <f t="shared" si="546"/>
        <v>0</v>
      </c>
      <c r="Q937" s="14">
        <f t="shared" si="546"/>
        <v>0</v>
      </c>
      <c r="R937" s="14">
        <f t="shared" si="546"/>
        <v>0</v>
      </c>
      <c r="S937" s="14">
        <f t="shared" si="521"/>
        <v>0</v>
      </c>
      <c r="T937" s="14">
        <f t="shared" si="546"/>
        <v>0</v>
      </c>
      <c r="U937" s="14">
        <f t="shared" si="546"/>
        <v>0</v>
      </c>
      <c r="V937" s="14">
        <f t="shared" si="546"/>
        <v>0</v>
      </c>
      <c r="W937" s="14">
        <f t="shared" si="546"/>
        <v>0</v>
      </c>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2"/>
      <c r="AX937" s="14">
        <f>SUM(AX934:AX936)</f>
        <v>0</v>
      </c>
      <c r="AY937" s="14">
        <f>ROUND(AX937/1000/Update!$B$31*Update!$B$27,0)</f>
        <v>0</v>
      </c>
      <c r="AZ937" s="2"/>
      <c r="BA937" s="14">
        <f>SUM(BA934:BA936)</f>
        <v>0</v>
      </c>
      <c r="BB937" s="14">
        <f>ROUND(BA937/1000/Update!$B$31,0)</f>
        <v>0</v>
      </c>
      <c r="BC937" s="14"/>
      <c r="BD937" s="14">
        <f t="shared" si="538"/>
        <v>0</v>
      </c>
      <c r="BE937" s="14">
        <f t="shared" ref="BE937:BJ937" si="547">SUM(BE934:BE936)</f>
        <v>0</v>
      </c>
      <c r="BF937" s="14">
        <f t="shared" si="547"/>
        <v>0</v>
      </c>
      <c r="BG937" s="14">
        <f t="shared" si="547"/>
        <v>0</v>
      </c>
      <c r="BH937" s="14">
        <f t="shared" si="547"/>
        <v>0</v>
      </c>
      <c r="BI937" s="14">
        <f t="shared" si="547"/>
        <v>0</v>
      </c>
      <c r="BJ937" s="14">
        <f t="shared" si="547"/>
        <v>0</v>
      </c>
      <c r="BK937" s="14">
        <f t="shared" si="507"/>
        <v>0</v>
      </c>
      <c r="BL937" s="14"/>
      <c r="BM937" s="14"/>
      <c r="BN937" s="14"/>
      <c r="BO937" s="14"/>
      <c r="BP937" s="14"/>
      <c r="BQ937" s="14"/>
      <c r="BR937" s="14"/>
      <c r="BS937" s="14"/>
      <c r="BT937" s="324"/>
      <c r="BU937" s="14"/>
      <c r="BV937" s="14"/>
      <c r="BW937" s="14"/>
      <c r="BX937" s="14"/>
      <c r="BY937" s="14"/>
      <c r="BZ937" s="14"/>
      <c r="CA937" s="14"/>
      <c r="CB937" s="14"/>
      <c r="CC937" s="14"/>
      <c r="CD937" s="14"/>
      <c r="CE937" s="14"/>
      <c r="CF937" s="14"/>
      <c r="CG937" s="14"/>
      <c r="CH937" s="14"/>
      <c r="CI937" s="14"/>
      <c r="CJ937" s="2"/>
      <c r="CK937" s="2"/>
      <c r="CM937" s="1140">
        <v>0</v>
      </c>
      <c r="CN937" s="1140">
        <v>0</v>
      </c>
      <c r="CP937" s="923">
        <f t="shared" si="526"/>
        <v>0</v>
      </c>
      <c r="CZ937" s="330"/>
    </row>
    <row r="938" spans="1:104" ht="15" customHeight="1" x14ac:dyDescent="0.25">
      <c r="A938" s="684">
        <f>MAX($A$6:A937)+1</f>
        <v>938</v>
      </c>
      <c r="B938" s="3">
        <f t="shared" si="516"/>
        <v>6.1</v>
      </c>
      <c r="C938" s="11" t="str">
        <f t="shared" si="533"/>
        <v>Consolidated intangible assets 2025-26</v>
      </c>
      <c r="D938" s="11" t="s">
        <v>451</v>
      </c>
      <c r="E938" s="7" t="s">
        <v>1409</v>
      </c>
      <c r="F938" s="7"/>
      <c r="G938" s="1254" t="s">
        <v>190</v>
      </c>
      <c r="H938" s="6">
        <v>0</v>
      </c>
      <c r="I938" s="6">
        <v>0</v>
      </c>
      <c r="J938" s="1257" t="s">
        <v>190</v>
      </c>
      <c r="K938" s="251">
        <f>SUMIF('alb Note 6.1 -  Intangibles CY'!$A:$A,$J938,'alb Note 6.1 -  Intangibles CY'!$D:$D)</f>
        <v>0</v>
      </c>
      <c r="L938" s="251">
        <f>SUMIF('alb Note 6.1 -  Intangibles CY'!$A:$A,$J938,'alb Note 6.1 -  Intangibles CY'!$O:$O)</f>
        <v>0</v>
      </c>
      <c r="M938" s="10"/>
      <c r="N938" s="273">
        <f t="shared" ref="N938:N946" si="548">ROUND(SUM(O938:S938)+SUM(W938:AV938),0)</f>
        <v>0</v>
      </c>
      <c r="O938" s="12"/>
      <c r="P938" s="12"/>
      <c r="Q938" s="12"/>
      <c r="R938" s="12"/>
      <c r="S938" s="6">
        <f t="shared" si="521"/>
        <v>0</v>
      </c>
      <c r="T938" s="273">
        <f t="shared" ref="T938:T946" si="549">ROUND(SUM(U938:Y938),0)</f>
        <v>0</v>
      </c>
      <c r="U938" s="6">
        <f t="shared" ref="U938:U946" si="550">SUM(BL938:BN938)</f>
        <v>0</v>
      </c>
      <c r="V938" s="6"/>
      <c r="W938" s="6">
        <f t="shared" si="545"/>
        <v>0</v>
      </c>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X938" s="6"/>
      <c r="AY938" s="6">
        <f>ROUND(AX938/1000/Update!$B$31*Update!$B$27,0)</f>
        <v>0</v>
      </c>
      <c r="BA938" s="6"/>
      <c r="BB938" s="6">
        <f>ROUND(BA938/1000/Update!$B$31,0)</f>
        <v>0</v>
      </c>
      <c r="BC938" s="6"/>
      <c r="BD938" s="29">
        <f t="shared" si="538"/>
        <v>0</v>
      </c>
      <c r="BE938" s="322"/>
      <c r="BF938" s="322"/>
      <c r="BG938" s="322"/>
      <c r="BH938" s="322"/>
      <c r="BI938" s="322"/>
      <c r="BJ938" s="322"/>
      <c r="BK938" s="29">
        <f t="shared" si="507"/>
        <v>0</v>
      </c>
      <c r="BL938" s="322"/>
      <c r="BM938" s="322"/>
      <c r="BN938" s="322"/>
      <c r="BO938" s="322"/>
      <c r="BP938" s="322"/>
      <c r="BQ938" s="322"/>
      <c r="BR938" s="322"/>
      <c r="BS938" s="322"/>
      <c r="BT938" s="322"/>
      <c r="BU938" s="322"/>
      <c r="BV938" s="322"/>
      <c r="BW938" s="322"/>
      <c r="BX938" s="322"/>
      <c r="BY938" s="322"/>
      <c r="BZ938" s="322"/>
      <c r="CA938" s="322"/>
      <c r="CB938" s="322"/>
      <c r="CC938" s="322"/>
      <c r="CD938" s="322"/>
      <c r="CE938" s="322"/>
      <c r="CF938" s="322"/>
      <c r="CG938" s="322"/>
      <c r="CH938" s="322"/>
      <c r="CI938" s="322"/>
      <c r="CM938" s="1139">
        <v>0</v>
      </c>
      <c r="CN938" s="1139">
        <v>0</v>
      </c>
      <c r="CP938" s="923">
        <f t="shared" si="526"/>
        <v>0</v>
      </c>
      <c r="CZ938" s="330"/>
    </row>
    <row r="939" spans="1:104" ht="15" customHeight="1" x14ac:dyDescent="0.25">
      <c r="A939" s="684">
        <f>MAX($A$6:A938)+1</f>
        <v>939</v>
      </c>
      <c r="B939" s="3">
        <f t="shared" si="516"/>
        <v>6.1</v>
      </c>
      <c r="C939" s="11" t="str">
        <f t="shared" si="533"/>
        <v>Consolidated intangible assets 2025-26</v>
      </c>
      <c r="D939" s="11" t="s">
        <v>451</v>
      </c>
      <c r="E939" s="7" t="s">
        <v>457</v>
      </c>
      <c r="F939" s="7"/>
      <c r="G939" s="1254" t="s">
        <v>457</v>
      </c>
      <c r="H939" s="6">
        <v>0</v>
      </c>
      <c r="I939" s="6">
        <v>0</v>
      </c>
      <c r="J939" s="1257" t="s">
        <v>457</v>
      </c>
      <c r="K939" s="251">
        <f>SUMIF('alb Note 6.1 -  Intangibles CY'!$A:$A,$J939,'alb Note 6.1 -  Intangibles CY'!$D:$D)</f>
        <v>0</v>
      </c>
      <c r="L939" s="251">
        <f>SUMIF('alb Note 6.1 -  Intangibles CY'!$A:$A,$J939,'alb Note 6.1 -  Intangibles CY'!$O:$O)</f>
        <v>0</v>
      </c>
      <c r="M939" s="10"/>
      <c r="N939" s="273">
        <f t="shared" si="548"/>
        <v>0</v>
      </c>
      <c r="O939" s="12"/>
      <c r="P939" s="12"/>
      <c r="Q939" s="12"/>
      <c r="R939" s="12"/>
      <c r="S939" s="6">
        <f t="shared" si="521"/>
        <v>0</v>
      </c>
      <c r="T939" s="273">
        <f t="shared" si="549"/>
        <v>0</v>
      </c>
      <c r="U939" s="6">
        <f t="shared" si="550"/>
        <v>0</v>
      </c>
      <c r="V939" s="6"/>
      <c r="W939" s="6">
        <f t="shared" si="545"/>
        <v>0</v>
      </c>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X939" s="6"/>
      <c r="AY939" s="6">
        <f>ROUND(AX939/1000/Update!$B$31*Update!$B$27,0)</f>
        <v>0</v>
      </c>
      <c r="BA939" s="6"/>
      <c r="BB939" s="6">
        <f>ROUND(BA939/1000/Update!$B$31,0)</f>
        <v>0</v>
      </c>
      <c r="BC939" s="6"/>
      <c r="BD939" s="29">
        <f t="shared" si="538"/>
        <v>0</v>
      </c>
      <c r="BE939" s="322"/>
      <c r="BF939" s="322"/>
      <c r="BG939" s="322"/>
      <c r="BH939" s="322"/>
      <c r="BI939" s="322"/>
      <c r="BJ939" s="322"/>
      <c r="BK939" s="29">
        <f t="shared" si="507"/>
        <v>0</v>
      </c>
      <c r="BL939" s="322"/>
      <c r="BM939" s="322"/>
      <c r="BN939" s="322"/>
      <c r="BO939" s="322"/>
      <c r="BP939" s="322"/>
      <c r="BQ939" s="322"/>
      <c r="BR939" s="322"/>
      <c r="BS939" s="322"/>
      <c r="BT939" s="322"/>
      <c r="BU939" s="322"/>
      <c r="BV939" s="322"/>
      <c r="BW939" s="322"/>
      <c r="BX939" s="322"/>
      <c r="BY939" s="322"/>
      <c r="BZ939" s="322"/>
      <c r="CA939" s="322"/>
      <c r="CB939" s="322"/>
      <c r="CC939" s="322"/>
      <c r="CD939" s="322"/>
      <c r="CE939" s="322"/>
      <c r="CF939" s="322"/>
      <c r="CG939" s="322"/>
      <c r="CH939" s="322"/>
      <c r="CI939" s="322"/>
      <c r="CM939" s="1139">
        <v>0</v>
      </c>
      <c r="CN939" s="1139">
        <v>0</v>
      </c>
      <c r="CP939" s="923">
        <f t="shared" si="526"/>
        <v>0</v>
      </c>
      <c r="CZ939" s="330"/>
    </row>
    <row r="940" spans="1:104" ht="15" customHeight="1" x14ac:dyDescent="0.25">
      <c r="A940" s="684">
        <f>MAX($A$6:A939)+1</f>
        <v>940</v>
      </c>
      <c r="B940" s="3">
        <f t="shared" si="516"/>
        <v>6.1</v>
      </c>
      <c r="C940" s="11" t="str">
        <f t="shared" si="533"/>
        <v>Consolidated intangible assets 2025-26</v>
      </c>
      <c r="D940" s="11" t="s">
        <v>451</v>
      </c>
      <c r="E940" s="7" t="s">
        <v>863</v>
      </c>
      <c r="F940" s="7"/>
      <c r="G940" s="1254" t="s">
        <v>186</v>
      </c>
      <c r="H940" s="6">
        <v>0</v>
      </c>
      <c r="I940" s="6">
        <v>0</v>
      </c>
      <c r="J940" s="1257" t="s">
        <v>863</v>
      </c>
      <c r="K940" s="251">
        <f>SUMIF('alb Note 6.1 -  Intangibles CY'!$A:$A,$J940,'alb Note 6.1 -  Intangibles CY'!$D:$D)</f>
        <v>0</v>
      </c>
      <c r="L940" s="251">
        <f>SUMIF('alb Note 6.1 -  Intangibles CY'!$A:$A,$J940,'alb Note 6.1 -  Intangibles CY'!$O:$O)</f>
        <v>0</v>
      </c>
      <c r="M940" s="10"/>
      <c r="N940" s="273">
        <f t="shared" si="548"/>
        <v>0</v>
      </c>
      <c r="O940" s="12"/>
      <c r="P940" s="12"/>
      <c r="Q940" s="12"/>
      <c r="R940" s="12"/>
      <c r="S940" s="6">
        <f t="shared" si="521"/>
        <v>0</v>
      </c>
      <c r="T940" s="273">
        <f t="shared" si="549"/>
        <v>0</v>
      </c>
      <c r="U940" s="6">
        <f t="shared" si="550"/>
        <v>0</v>
      </c>
      <c r="V940" s="6"/>
      <c r="W940" s="6">
        <f t="shared" si="545"/>
        <v>0</v>
      </c>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X940" s="6"/>
      <c r="AY940" s="6">
        <f>ROUND(AX940/1000/Update!$B$31*Update!$B$27,0)</f>
        <v>0</v>
      </c>
      <c r="BA940" s="6"/>
      <c r="BB940" s="6">
        <f>ROUND(BA940/1000/Update!$B$31,0)</f>
        <v>0</v>
      </c>
      <c r="BC940" s="6"/>
      <c r="BD940" s="29">
        <f t="shared" si="538"/>
        <v>0</v>
      </c>
      <c r="BE940" s="322"/>
      <c r="BF940" s="322"/>
      <c r="BG940" s="322"/>
      <c r="BH940" s="322"/>
      <c r="BI940" s="322"/>
      <c r="BJ940" s="322"/>
      <c r="BK940" s="29">
        <f t="shared" si="507"/>
        <v>0</v>
      </c>
      <c r="BL940" s="322"/>
      <c r="BM940" s="322"/>
      <c r="BN940" s="322"/>
      <c r="BO940" s="322"/>
      <c r="BP940" s="322"/>
      <c r="BQ940" s="322"/>
      <c r="BR940" s="322"/>
      <c r="BS940" s="322"/>
      <c r="BT940" s="322"/>
      <c r="BU940" s="322"/>
      <c r="BV940" s="322"/>
      <c r="BW940" s="322"/>
      <c r="BX940" s="322"/>
      <c r="BY940" s="322"/>
      <c r="BZ940" s="322"/>
      <c r="CA940" s="322"/>
      <c r="CB940" s="322"/>
      <c r="CC940" s="322"/>
      <c r="CD940" s="322"/>
      <c r="CE940" s="322"/>
      <c r="CF940" s="322"/>
      <c r="CG940" s="322"/>
      <c r="CH940" s="322"/>
      <c r="CI940" s="322"/>
      <c r="CM940" s="1139">
        <v>0</v>
      </c>
      <c r="CN940" s="1139">
        <v>0</v>
      </c>
      <c r="CP940" s="923">
        <f t="shared" si="526"/>
        <v>0</v>
      </c>
      <c r="CZ940" s="330"/>
    </row>
    <row r="941" spans="1:104" ht="15" customHeight="1" x14ac:dyDescent="0.25">
      <c r="A941" s="684">
        <f>MAX($A$6:A940)+1</f>
        <v>941</v>
      </c>
      <c r="B941" s="3">
        <f t="shared" si="516"/>
        <v>6.1</v>
      </c>
      <c r="C941" s="11" t="str">
        <f>C940</f>
        <v>Consolidated intangible assets 2025-26</v>
      </c>
      <c r="D941" s="11" t="str">
        <f>D940</f>
        <v>Websites</v>
      </c>
      <c r="E941" s="7" t="s">
        <v>867</v>
      </c>
      <c r="F941" s="7"/>
      <c r="G941" s="1257" t="s">
        <v>187</v>
      </c>
      <c r="H941" s="6">
        <v>0</v>
      </c>
      <c r="I941" s="6">
        <v>0</v>
      </c>
      <c r="J941" s="1257" t="s">
        <v>867</v>
      </c>
      <c r="K941" s="251">
        <f>SUMIF('alb Note 6.1 -  Intangibles CY'!$A:$A,$J941,'alb Note 6.1 -  Intangibles CY'!$D:$D)</f>
        <v>0</v>
      </c>
      <c r="L941" s="251">
        <f>SUMIF('alb Note 6.1 -  Intangibles CY'!$A:$A,$J941,'alb Note 6.1 -  Intangibles CY'!$O:$O)</f>
        <v>0</v>
      </c>
      <c r="M941" s="10"/>
      <c r="N941" s="273">
        <f t="shared" si="548"/>
        <v>0</v>
      </c>
      <c r="O941" s="12"/>
      <c r="P941" s="12"/>
      <c r="Q941" s="12"/>
      <c r="R941" s="12"/>
      <c r="S941" s="6">
        <f t="shared" si="521"/>
        <v>0</v>
      </c>
      <c r="T941" s="273">
        <f t="shared" si="549"/>
        <v>0</v>
      </c>
      <c r="U941" s="6">
        <f t="shared" si="550"/>
        <v>0</v>
      </c>
      <c r="V941" s="6"/>
      <c r="W941" s="6">
        <f t="shared" si="545"/>
        <v>0</v>
      </c>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X941" s="6"/>
      <c r="AY941" s="6">
        <f>ROUND(AX941/1000/Update!$B$31*Update!$B$27,0)</f>
        <v>0</v>
      </c>
      <c r="BA941" s="6"/>
      <c r="BB941" s="6">
        <f>ROUND(BA941/1000/Update!$B$31,0)</f>
        <v>0</v>
      </c>
      <c r="BC941" s="6"/>
      <c r="BD941" s="29">
        <f t="shared" si="538"/>
        <v>0</v>
      </c>
      <c r="BE941" s="322"/>
      <c r="BF941" s="322"/>
      <c r="BG941" s="322"/>
      <c r="BH941" s="322"/>
      <c r="BI941" s="322"/>
      <c r="BJ941" s="322"/>
      <c r="BK941" s="29">
        <f t="shared" si="507"/>
        <v>0</v>
      </c>
      <c r="BL941" s="322"/>
      <c r="BM941" s="322"/>
      <c r="BN941" s="322"/>
      <c r="BO941" s="322"/>
      <c r="BP941" s="322"/>
      <c r="BQ941" s="322"/>
      <c r="BR941" s="322"/>
      <c r="BS941" s="322"/>
      <c r="BT941" s="322"/>
      <c r="BU941" s="322"/>
      <c r="BV941" s="322"/>
      <c r="BW941" s="322"/>
      <c r="BX941" s="322"/>
      <c r="BY941" s="322"/>
      <c r="BZ941" s="322"/>
      <c r="CA941" s="322"/>
      <c r="CB941" s="322"/>
      <c r="CC941" s="322"/>
      <c r="CD941" s="322"/>
      <c r="CE941" s="322"/>
      <c r="CF941" s="322"/>
      <c r="CG941" s="322"/>
      <c r="CH941" s="322"/>
      <c r="CI941" s="322"/>
      <c r="CM941" s="1139">
        <v>0</v>
      </c>
      <c r="CN941" s="1139">
        <v>0</v>
      </c>
      <c r="CP941" s="923">
        <f t="shared" si="526"/>
        <v>0</v>
      </c>
      <c r="CZ941" s="330"/>
    </row>
    <row r="942" spans="1:104" ht="15" customHeight="1" x14ac:dyDescent="0.25">
      <c r="A942" s="684">
        <f>MAX($A$6:A941)+1</f>
        <v>942</v>
      </c>
      <c r="B942" s="3">
        <f t="shared" si="516"/>
        <v>6.1</v>
      </c>
      <c r="C942" s="11" t="str">
        <f>C940</f>
        <v>Consolidated intangible assets 2025-26</v>
      </c>
      <c r="D942" s="11" t="s">
        <v>451</v>
      </c>
      <c r="E942" s="7" t="s">
        <v>875</v>
      </c>
      <c r="F942" s="7"/>
      <c r="G942" s="1254" t="s">
        <v>210</v>
      </c>
      <c r="H942" s="6">
        <v>0</v>
      </c>
      <c r="I942" s="6">
        <v>0</v>
      </c>
      <c r="J942" s="1257" t="s">
        <v>875</v>
      </c>
      <c r="K942" s="251">
        <f>SUMIF('alb Note 6.1 -  Intangibles CY'!$A:$A,$J942,'alb Note 6.1 -  Intangibles CY'!$D:$D)</f>
        <v>0</v>
      </c>
      <c r="L942" s="251">
        <f>SUMIF('alb Note 6.1 -  Intangibles CY'!$A:$A,$J942,'alb Note 6.1 -  Intangibles CY'!$O:$O)</f>
        <v>0</v>
      </c>
      <c r="M942" s="10"/>
      <c r="N942" s="273">
        <f t="shared" si="548"/>
        <v>0</v>
      </c>
      <c r="O942" s="12"/>
      <c r="P942" s="12"/>
      <c r="Q942" s="12"/>
      <c r="R942" s="12"/>
      <c r="S942" s="6">
        <f t="shared" si="521"/>
        <v>0</v>
      </c>
      <c r="T942" s="273">
        <f t="shared" si="549"/>
        <v>0</v>
      </c>
      <c r="U942" s="6">
        <f t="shared" si="550"/>
        <v>0</v>
      </c>
      <c r="V942" s="6"/>
      <c r="W942" s="6">
        <f t="shared" si="545"/>
        <v>0</v>
      </c>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X942" s="6"/>
      <c r="AY942" s="6">
        <f>ROUND(AX942/1000/Update!$B$31*Update!$B$27,0)</f>
        <v>0</v>
      </c>
      <c r="BA942" s="6"/>
      <c r="BB942" s="6">
        <f>ROUND(BA942/1000/Update!$B$31,0)</f>
        <v>0</v>
      </c>
      <c r="BC942" s="6"/>
      <c r="BD942" s="29">
        <f t="shared" si="538"/>
        <v>0</v>
      </c>
      <c r="BE942" s="322"/>
      <c r="BF942" s="322"/>
      <c r="BG942" s="322"/>
      <c r="BH942" s="322"/>
      <c r="BI942" s="322"/>
      <c r="BJ942" s="322"/>
      <c r="BK942" s="29">
        <f t="shared" ref="BK942:BK1005" si="551">ROUND(SUM(BO942:CI942),0)</f>
        <v>0</v>
      </c>
      <c r="BL942" s="322"/>
      <c r="BM942" s="322"/>
      <c r="BN942" s="322"/>
      <c r="BO942" s="322"/>
      <c r="BP942" s="322"/>
      <c r="BQ942" s="322"/>
      <c r="BR942" s="322"/>
      <c r="BS942" s="322"/>
      <c r="BT942" s="322"/>
      <c r="BU942" s="322"/>
      <c r="BV942" s="322"/>
      <c r="BW942" s="322"/>
      <c r="BX942" s="322"/>
      <c r="BY942" s="322"/>
      <c r="BZ942" s="322"/>
      <c r="CA942" s="322"/>
      <c r="CB942" s="322"/>
      <c r="CC942" s="322"/>
      <c r="CD942" s="322"/>
      <c r="CE942" s="322"/>
      <c r="CF942" s="322"/>
      <c r="CG942" s="322"/>
      <c r="CH942" s="322"/>
      <c r="CI942" s="322"/>
      <c r="CM942" s="1139">
        <v>0</v>
      </c>
      <c r="CN942" s="1139">
        <v>0</v>
      </c>
      <c r="CP942" s="923">
        <f t="shared" si="526"/>
        <v>0</v>
      </c>
      <c r="CZ942" s="330"/>
    </row>
    <row r="943" spans="1:104" ht="30" customHeight="1" x14ac:dyDescent="0.25">
      <c r="A943" s="684">
        <f>MAX($A$6:A942)+1</f>
        <v>943</v>
      </c>
      <c r="B943" s="3">
        <f t="shared" si="516"/>
        <v>6.1</v>
      </c>
      <c r="C943" s="11" t="str">
        <f t="shared" si="533"/>
        <v>Consolidated intangible assets 2025-26</v>
      </c>
      <c r="D943" s="11" t="s">
        <v>451</v>
      </c>
      <c r="E943" s="7" t="s">
        <v>1415</v>
      </c>
      <c r="F943" s="7"/>
      <c r="G943" s="1254" t="s">
        <v>438</v>
      </c>
      <c r="H943" s="6">
        <v>0</v>
      </c>
      <c r="I943" s="6">
        <v>0</v>
      </c>
      <c r="J943" s="1257" t="s">
        <v>864</v>
      </c>
      <c r="K943" s="251">
        <f>SUMIF('alb Note 6.1 -  Intangibles CY'!$A:$A,$J943,'alb Note 6.1 -  Intangibles CY'!$D:$D)</f>
        <v>0</v>
      </c>
      <c r="L943" s="251">
        <f>SUMIF('alb Note 6.1 -  Intangibles CY'!$A:$A,$J943,'alb Note 6.1 -  Intangibles CY'!$O:$O)</f>
        <v>0</v>
      </c>
      <c r="M943" s="10"/>
      <c r="N943" s="273">
        <f t="shared" si="548"/>
        <v>0</v>
      </c>
      <c r="O943" s="12"/>
      <c r="P943" s="12"/>
      <c r="Q943" s="12"/>
      <c r="R943" s="12"/>
      <c r="S943" s="6">
        <f t="shared" si="521"/>
        <v>0</v>
      </c>
      <c r="T943" s="273">
        <f t="shared" si="549"/>
        <v>0</v>
      </c>
      <c r="U943" s="6">
        <f t="shared" si="550"/>
        <v>0</v>
      </c>
      <c r="V943" s="6"/>
      <c r="W943" s="6">
        <f t="shared" si="545"/>
        <v>0</v>
      </c>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X943" s="6"/>
      <c r="AY943" s="6">
        <f>ROUND(AX943/1000/Update!$B$31*Update!$B$27,0)</f>
        <v>0</v>
      </c>
      <c r="BA943" s="6"/>
      <c r="BB943" s="6">
        <f>ROUND(BA943/1000/Update!$B$31,0)</f>
        <v>0</v>
      </c>
      <c r="BC943" s="6"/>
      <c r="BD943" s="29">
        <f t="shared" si="538"/>
        <v>0</v>
      </c>
      <c r="BE943" s="322"/>
      <c r="BF943" s="322"/>
      <c r="BG943" s="322"/>
      <c r="BH943" s="322"/>
      <c r="BI943" s="322"/>
      <c r="BJ943" s="322"/>
      <c r="BK943" s="29">
        <f t="shared" si="551"/>
        <v>0</v>
      </c>
      <c r="BL943" s="322"/>
      <c r="BM943" s="322"/>
      <c r="BN943" s="322"/>
      <c r="BO943" s="322"/>
      <c r="BP943" s="322"/>
      <c r="BQ943" s="322"/>
      <c r="BR943" s="322"/>
      <c r="BS943" s="322"/>
      <c r="BT943" s="322"/>
      <c r="BU943" s="322"/>
      <c r="BV943" s="322"/>
      <c r="BW943" s="322"/>
      <c r="BX943" s="322"/>
      <c r="BY943" s="322"/>
      <c r="BZ943" s="322"/>
      <c r="CA943" s="322"/>
      <c r="CB943" s="322"/>
      <c r="CC943" s="322"/>
      <c r="CD943" s="322"/>
      <c r="CE943" s="322"/>
      <c r="CF943" s="322"/>
      <c r="CG943" s="322"/>
      <c r="CH943" s="322"/>
      <c r="CI943" s="322"/>
      <c r="CM943" s="1139">
        <v>0</v>
      </c>
      <c r="CN943" s="1139">
        <v>0</v>
      </c>
      <c r="CP943" s="923">
        <f t="shared" si="526"/>
        <v>0</v>
      </c>
      <c r="CZ943" s="330"/>
    </row>
    <row r="944" spans="1:104" ht="51" customHeight="1" x14ac:dyDescent="0.25">
      <c r="A944" s="684">
        <f>MAX($A$6:A943)+1</f>
        <v>944</v>
      </c>
      <c r="B944" s="3">
        <f t="shared" si="516"/>
        <v>6.1</v>
      </c>
      <c r="C944" s="11" t="str">
        <f t="shared" si="533"/>
        <v>Consolidated intangible assets 2025-26</v>
      </c>
      <c r="D944" s="11" t="s">
        <v>451</v>
      </c>
      <c r="E944" s="7" t="s">
        <v>1410</v>
      </c>
      <c r="F944" s="7"/>
      <c r="G944" s="1254" t="s">
        <v>193</v>
      </c>
      <c r="H944" s="6">
        <v>0</v>
      </c>
      <c r="I944" s="6">
        <v>0</v>
      </c>
      <c r="J944" s="1257" t="s">
        <v>865</v>
      </c>
      <c r="K944" s="251">
        <f>SUMIF('alb Note 6.1 -  Intangibles CY'!$A:$A,$J944,'alb Note 6.1 -  Intangibles CY'!$D:$D)</f>
        <v>0</v>
      </c>
      <c r="L944" s="251">
        <f>SUMIF('alb Note 6.1 -  Intangibles CY'!$A:$A,$J944,'alb Note 6.1 -  Intangibles CY'!$O:$O)</f>
        <v>0</v>
      </c>
      <c r="M944" s="10"/>
      <c r="N944" s="273">
        <f t="shared" si="548"/>
        <v>0</v>
      </c>
      <c r="O944" s="12"/>
      <c r="P944" s="12"/>
      <c r="Q944" s="12"/>
      <c r="R944" s="12"/>
      <c r="S944" s="6">
        <f t="shared" si="521"/>
        <v>0</v>
      </c>
      <c r="T944" s="273">
        <f t="shared" si="549"/>
        <v>0</v>
      </c>
      <c r="U944" s="6">
        <f t="shared" si="550"/>
        <v>0</v>
      </c>
      <c r="V944" s="6"/>
      <c r="W944" s="6">
        <f t="shared" si="545"/>
        <v>0</v>
      </c>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X944" s="6"/>
      <c r="AY944" s="6">
        <f>ROUND(AX944/1000/Update!$B$31*Update!$B$27,0)</f>
        <v>0</v>
      </c>
      <c r="BA944" s="6"/>
      <c r="BB944" s="6">
        <f>ROUND(BA944/1000/Update!$B$31,0)</f>
        <v>0</v>
      </c>
      <c r="BC944" s="6"/>
      <c r="BD944" s="29">
        <f t="shared" si="538"/>
        <v>0</v>
      </c>
      <c r="BE944" s="322"/>
      <c r="BF944" s="322"/>
      <c r="BG944" s="322"/>
      <c r="BH944" s="322"/>
      <c r="BI944" s="322"/>
      <c r="BJ944" s="322"/>
      <c r="BK944" s="29">
        <f t="shared" si="551"/>
        <v>0</v>
      </c>
      <c r="BL944" s="322"/>
      <c r="BM944" s="322"/>
      <c r="BN944" s="322"/>
      <c r="BO944" s="322"/>
      <c r="BP944" s="322"/>
      <c r="BQ944" s="322"/>
      <c r="BR944" s="322"/>
      <c r="BS944" s="322"/>
      <c r="BT944" s="322"/>
      <c r="BU944" s="322"/>
      <c r="BV944" s="322"/>
      <c r="BW944" s="322"/>
      <c r="BX944" s="322"/>
      <c r="BY944" s="322"/>
      <c r="BZ944" s="322"/>
      <c r="CA944" s="322"/>
      <c r="CB944" s="322"/>
      <c r="CC944" s="322"/>
      <c r="CD944" s="322"/>
      <c r="CE944" s="322"/>
      <c r="CF944" s="322"/>
      <c r="CG944" s="322"/>
      <c r="CH944" s="322"/>
      <c r="CI944" s="322"/>
      <c r="CM944" s="1139">
        <v>0</v>
      </c>
      <c r="CN944" s="1139">
        <v>0</v>
      </c>
      <c r="CP944" s="923">
        <f t="shared" si="526"/>
        <v>0</v>
      </c>
      <c r="CZ944" s="330"/>
    </row>
    <row r="945" spans="1:104" ht="15" customHeight="1" x14ac:dyDescent="0.25">
      <c r="A945" s="684">
        <f>MAX($A$6:A944)+1</f>
        <v>945</v>
      </c>
      <c r="B945" s="3">
        <f t="shared" si="516"/>
        <v>6.1</v>
      </c>
      <c r="C945" s="11" t="str">
        <f t="shared" si="533"/>
        <v>Consolidated intangible assets 2025-26</v>
      </c>
      <c r="D945" s="11" t="str">
        <f>D944</f>
        <v>Websites</v>
      </c>
      <c r="E945" s="7" t="s">
        <v>868</v>
      </c>
      <c r="F945" s="7"/>
      <c r="G945" s="1254" t="s">
        <v>188</v>
      </c>
      <c r="H945" s="6">
        <v>0</v>
      </c>
      <c r="I945" s="6">
        <v>0</v>
      </c>
      <c r="J945" s="1257" t="s">
        <v>868</v>
      </c>
      <c r="K945" s="251">
        <f>SUMIF('alb Note 6.1 -  Intangibles CY'!$A:$A,$J945,'alb Note 6.1 -  Intangibles CY'!$D:$D)</f>
        <v>0</v>
      </c>
      <c r="L945" s="251">
        <f>SUMIF('alb Note 6.1 -  Intangibles CY'!$A:$A,$J945,'alb Note 6.1 -  Intangibles CY'!$O:$O)</f>
        <v>0</v>
      </c>
      <c r="M945" s="10"/>
      <c r="N945" s="273">
        <f t="shared" si="548"/>
        <v>0</v>
      </c>
      <c r="O945" s="12"/>
      <c r="P945" s="12"/>
      <c r="Q945" s="12"/>
      <c r="R945" s="12"/>
      <c r="S945" s="6">
        <f t="shared" si="521"/>
        <v>0</v>
      </c>
      <c r="T945" s="273">
        <f t="shared" si="549"/>
        <v>0</v>
      </c>
      <c r="U945" s="6">
        <f t="shared" si="550"/>
        <v>0</v>
      </c>
      <c r="V945" s="6"/>
      <c r="W945" s="6">
        <f t="shared" si="545"/>
        <v>0</v>
      </c>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X945" s="6"/>
      <c r="AY945" s="6">
        <f>ROUND(AX945/1000/Update!$B$31*Update!$B$27,0)</f>
        <v>0</v>
      </c>
      <c r="BA945" s="6"/>
      <c r="BB945" s="6">
        <f>ROUND(BA945/1000/Update!$B$31,0)</f>
        <v>0</v>
      </c>
      <c r="BC945" s="6"/>
      <c r="BD945" s="29">
        <f t="shared" si="538"/>
        <v>0</v>
      </c>
      <c r="BE945" s="322"/>
      <c r="BF945" s="322"/>
      <c r="BG945" s="322"/>
      <c r="BH945" s="322"/>
      <c r="BI945" s="322"/>
      <c r="BJ945" s="322"/>
      <c r="BK945" s="29">
        <f t="shared" si="551"/>
        <v>0</v>
      </c>
      <c r="BL945" s="322"/>
      <c r="BM945" s="322"/>
      <c r="BN945" s="322"/>
      <c r="BO945" s="322"/>
      <c r="BP945" s="322"/>
      <c r="BQ945" s="322"/>
      <c r="BR945" s="322"/>
      <c r="BS945" s="322"/>
      <c r="BT945" s="322"/>
      <c r="BU945" s="322"/>
      <c r="BV945" s="322"/>
      <c r="BW945" s="322"/>
      <c r="BX945" s="322"/>
      <c r="BY945" s="322"/>
      <c r="BZ945" s="322"/>
      <c r="CA945" s="322"/>
      <c r="CB945" s="322"/>
      <c r="CC945" s="322"/>
      <c r="CD945" s="322"/>
      <c r="CE945" s="322"/>
      <c r="CF945" s="322"/>
      <c r="CG945" s="322"/>
      <c r="CH945" s="322"/>
      <c r="CI945" s="322"/>
      <c r="CM945" s="1139">
        <v>0</v>
      </c>
      <c r="CN945" s="1139">
        <v>0</v>
      </c>
      <c r="CP945" s="923">
        <f t="shared" si="526"/>
        <v>0</v>
      </c>
      <c r="CZ945" s="330"/>
    </row>
    <row r="946" spans="1:104" ht="15" customHeight="1" x14ac:dyDescent="0.25">
      <c r="A946" s="684">
        <f>MAX($A$6:A945)+1</f>
        <v>946</v>
      </c>
      <c r="B946" s="3">
        <f t="shared" si="516"/>
        <v>6.1</v>
      </c>
      <c r="C946" s="11" t="str">
        <f>C944</f>
        <v>Consolidated intangible assets 2025-26</v>
      </c>
      <c r="D946" s="11" t="s">
        <v>451</v>
      </c>
      <c r="E946" s="7" t="s">
        <v>1416</v>
      </c>
      <c r="F946" s="7"/>
      <c r="G946" s="1254" t="s">
        <v>189</v>
      </c>
      <c r="H946" s="6">
        <v>0</v>
      </c>
      <c r="I946" s="6">
        <v>0</v>
      </c>
      <c r="J946" s="1257" t="s">
        <v>870</v>
      </c>
      <c r="K946" s="251">
        <f>SUMIF('alb Note 6.1 -  Intangibles CY'!$A:$A,$J946,'alb Note 6.1 -  Intangibles CY'!$D:$D)</f>
        <v>0</v>
      </c>
      <c r="L946" s="251">
        <f>SUMIF('alb Note 6.1 -  Intangibles CY'!$A:$A,$J946,'alb Note 6.1 -  Intangibles CY'!$O:$O)</f>
        <v>0</v>
      </c>
      <c r="M946" s="10"/>
      <c r="N946" s="273">
        <f t="shared" si="548"/>
        <v>0</v>
      </c>
      <c r="O946" s="12"/>
      <c r="P946" s="12"/>
      <c r="Q946" s="12"/>
      <c r="R946" s="12"/>
      <c r="S946" s="6">
        <f t="shared" si="521"/>
        <v>0</v>
      </c>
      <c r="T946" s="273">
        <f t="shared" si="549"/>
        <v>0</v>
      </c>
      <c r="U946" s="6">
        <f t="shared" si="550"/>
        <v>0</v>
      </c>
      <c r="V946" s="6"/>
      <c r="W946" s="6">
        <f t="shared" si="545"/>
        <v>0</v>
      </c>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X946" s="6"/>
      <c r="AY946" s="6">
        <f>ROUND(AX946/1000/Update!$B$31*Update!$B$27,0)</f>
        <v>0</v>
      </c>
      <c r="BA946" s="6"/>
      <c r="BB946" s="6">
        <f>ROUND(BA946/1000/Update!$B$31,0)</f>
        <v>0</v>
      </c>
      <c r="BC946" s="6"/>
      <c r="BD946" s="29">
        <f t="shared" si="538"/>
        <v>0</v>
      </c>
      <c r="BE946" s="322"/>
      <c r="BF946" s="322"/>
      <c r="BG946" s="322"/>
      <c r="BH946" s="322"/>
      <c r="BI946" s="322"/>
      <c r="BJ946" s="322"/>
      <c r="BK946" s="29">
        <f t="shared" si="551"/>
        <v>0</v>
      </c>
      <c r="BL946" s="322"/>
      <c r="BM946" s="322"/>
      <c r="BN946" s="322"/>
      <c r="BO946" s="322"/>
      <c r="BP946" s="322"/>
      <c r="BQ946" s="322"/>
      <c r="BR946" s="322"/>
      <c r="BS946" s="322"/>
      <c r="BT946" s="322"/>
      <c r="BU946" s="322"/>
      <c r="BV946" s="322"/>
      <c r="BW946" s="322"/>
      <c r="BX946" s="322"/>
      <c r="BY946" s="322"/>
      <c r="BZ946" s="322"/>
      <c r="CA946" s="322"/>
      <c r="CB946" s="322"/>
      <c r="CC946" s="322"/>
      <c r="CD946" s="322"/>
      <c r="CE946" s="322"/>
      <c r="CF946" s="322"/>
      <c r="CG946" s="322"/>
      <c r="CH946" s="322"/>
      <c r="CI946" s="322"/>
      <c r="CM946" s="1139">
        <v>0</v>
      </c>
      <c r="CN946" s="1139">
        <v>0</v>
      </c>
      <c r="CP946" s="923">
        <f t="shared" si="526"/>
        <v>0</v>
      </c>
      <c r="CZ946" s="330"/>
    </row>
    <row r="947" spans="1:104" ht="15" customHeight="1" x14ac:dyDescent="0.25">
      <c r="A947" s="701">
        <f>MAX($A$6:A946)+1</f>
        <v>947</v>
      </c>
      <c r="B947" s="1291">
        <f t="shared" si="516"/>
        <v>6.1</v>
      </c>
      <c r="C947" s="18" t="str">
        <f t="shared" si="533"/>
        <v>Consolidated intangible assets 2025-26</v>
      </c>
      <c r="D947" s="18" t="s">
        <v>451</v>
      </c>
      <c r="E947" s="19" t="str">
        <f>"At"&amp;Update!$B$22</f>
        <v>At 31 March 2026</v>
      </c>
      <c r="F947" s="20"/>
      <c r="G947" s="28"/>
      <c r="H947" s="14">
        <f>SUM(H937:H946)</f>
        <v>0</v>
      </c>
      <c r="I947" s="14">
        <f>SUM(I937:I946)</f>
        <v>0</v>
      </c>
      <c r="J947" s="1258" t="s">
        <v>2492</v>
      </c>
      <c r="K947" s="256">
        <f>SUM(K937:K946)</f>
        <v>0</v>
      </c>
      <c r="L947" s="256">
        <f>SUM(L937:L946)</f>
        <v>0</v>
      </c>
      <c r="M947" s="21"/>
      <c r="N947" s="14">
        <f>ROUND(SUM(O947:S947)+T947+SUM(Z947:AV947),0)</f>
        <v>0</v>
      </c>
      <c r="O947" s="14">
        <f t="shared" ref="O947:V947" si="552">SUM(O937:O946)</f>
        <v>0</v>
      </c>
      <c r="P947" s="14">
        <f t="shared" si="552"/>
        <v>0</v>
      </c>
      <c r="Q947" s="14">
        <f t="shared" si="552"/>
        <v>0</v>
      </c>
      <c r="R947" s="14">
        <f t="shared" si="552"/>
        <v>0</v>
      </c>
      <c r="S947" s="14">
        <f t="shared" si="521"/>
        <v>0</v>
      </c>
      <c r="T947" s="14">
        <f t="shared" si="552"/>
        <v>0</v>
      </c>
      <c r="U947" s="14">
        <f t="shared" si="552"/>
        <v>0</v>
      </c>
      <c r="V947" s="14">
        <f t="shared" si="552"/>
        <v>0</v>
      </c>
      <c r="W947" s="14">
        <f>SUM(W937:W946)</f>
        <v>0</v>
      </c>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2"/>
      <c r="AX947" s="14">
        <f>SUM(AX937:AX946)</f>
        <v>0</v>
      </c>
      <c r="AY947" s="14">
        <f>ROUND(AX947/1000/Update!$B$31*Update!$B$27,0)</f>
        <v>0</v>
      </c>
      <c r="AZ947" s="2"/>
      <c r="BA947" s="14">
        <f>SUM(BA937:BA946)</f>
        <v>0</v>
      </c>
      <c r="BB947" s="14">
        <f>ROUND(BA947/1000/Update!$B$31,0)</f>
        <v>0</v>
      </c>
      <c r="BC947" s="14"/>
      <c r="BD947" s="14">
        <f t="shared" si="538"/>
        <v>0</v>
      </c>
      <c r="BE947" s="14">
        <f t="shared" ref="BE947:BJ947" si="553">SUM(BE937:BE946)</f>
        <v>0</v>
      </c>
      <c r="BF947" s="14">
        <f t="shared" si="553"/>
        <v>0</v>
      </c>
      <c r="BG947" s="14">
        <f t="shared" si="553"/>
        <v>0</v>
      </c>
      <c r="BH947" s="14">
        <f t="shared" si="553"/>
        <v>0</v>
      </c>
      <c r="BI947" s="14">
        <f t="shared" si="553"/>
        <v>0</v>
      </c>
      <c r="BJ947" s="14">
        <f t="shared" si="553"/>
        <v>0</v>
      </c>
      <c r="BK947" s="14">
        <f t="shared" si="551"/>
        <v>0</v>
      </c>
      <c r="BL947" s="14"/>
      <c r="BM947" s="14"/>
      <c r="BN947" s="14"/>
      <c r="BO947" s="14"/>
      <c r="BP947" s="14"/>
      <c r="BQ947" s="14"/>
      <c r="BR947" s="14"/>
      <c r="BS947" s="14"/>
      <c r="BT947" s="324"/>
      <c r="BU947" s="14"/>
      <c r="BV947" s="14"/>
      <c r="BW947" s="14"/>
      <c r="BX947" s="14"/>
      <c r="BY947" s="14"/>
      <c r="BZ947" s="14"/>
      <c r="CA947" s="14"/>
      <c r="CB947" s="14"/>
      <c r="CC947" s="14"/>
      <c r="CD947" s="14"/>
      <c r="CE947" s="14"/>
      <c r="CF947" s="14"/>
      <c r="CG947" s="14"/>
      <c r="CH947" s="14"/>
      <c r="CI947" s="14"/>
      <c r="CJ947" s="2"/>
      <c r="CK947" s="2"/>
      <c r="CM947" s="1140">
        <v>0</v>
      </c>
      <c r="CN947" s="1140">
        <v>0</v>
      </c>
      <c r="CP947" s="923">
        <f t="shared" si="526"/>
        <v>0</v>
      </c>
      <c r="CZ947" s="330"/>
    </row>
    <row r="948" spans="1:104" ht="15" customHeight="1" x14ac:dyDescent="0.25">
      <c r="A948" s="701">
        <f>MAX($A$6:A947)+1</f>
        <v>948</v>
      </c>
      <c r="B948" s="1291">
        <f t="shared" si="516"/>
        <v>6.1</v>
      </c>
      <c r="C948" s="18" t="str">
        <f t="shared" si="533"/>
        <v>Consolidated intangible assets 2025-26</v>
      </c>
      <c r="D948" s="18" t="s">
        <v>451</v>
      </c>
      <c r="E948" s="19" t="str">
        <f>"Carrying amount "&amp;Update!$B$22</f>
        <v>Carrying amount  31 March 2026</v>
      </c>
      <c r="F948" s="20"/>
      <c r="G948" s="28"/>
      <c r="H948" s="14">
        <f>H933-H947</f>
        <v>0</v>
      </c>
      <c r="I948" s="14">
        <f>I933-I947</f>
        <v>0</v>
      </c>
      <c r="J948" s="1258" t="s">
        <v>2493</v>
      </c>
      <c r="K948" s="256">
        <f>K933-K947</f>
        <v>0</v>
      </c>
      <c r="L948" s="256">
        <f>L933-L947</f>
        <v>0</v>
      </c>
      <c r="M948" s="21"/>
      <c r="N948" s="14">
        <f>ROUND(SUM(O948:S948)+T948+SUM(Z948:AV948),0)</f>
        <v>0</v>
      </c>
      <c r="O948" s="14">
        <f t="shared" ref="O948:V948" si="554">O933-O947</f>
        <v>0</v>
      </c>
      <c r="P948" s="14">
        <f t="shared" si="554"/>
        <v>0</v>
      </c>
      <c r="Q948" s="14">
        <f t="shared" si="554"/>
        <v>0</v>
      </c>
      <c r="R948" s="14">
        <f t="shared" si="554"/>
        <v>0</v>
      </c>
      <c r="S948" s="14">
        <f t="shared" si="521"/>
        <v>0</v>
      </c>
      <c r="T948" s="14">
        <f t="shared" si="554"/>
        <v>0</v>
      </c>
      <c r="U948" s="14">
        <f t="shared" si="554"/>
        <v>0</v>
      </c>
      <c r="V948" s="14">
        <f t="shared" si="554"/>
        <v>0</v>
      </c>
      <c r="W948" s="14">
        <f>W933-W947</f>
        <v>0</v>
      </c>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2"/>
      <c r="AX948" s="14">
        <f>AX933-AX947</f>
        <v>0</v>
      </c>
      <c r="AY948" s="14">
        <f>ROUND(AX948/1000/Update!$B$31*Update!$B$27,0)</f>
        <v>0</v>
      </c>
      <c r="AZ948" s="2"/>
      <c r="BA948" s="14">
        <f>BA933-BA947</f>
        <v>0</v>
      </c>
      <c r="BB948" s="14">
        <f>ROUND(BA948/1000/Update!$B$31,0)</f>
        <v>0</v>
      </c>
      <c r="BC948" s="14"/>
      <c r="BD948" s="14">
        <f t="shared" si="538"/>
        <v>0</v>
      </c>
      <c r="BE948" s="14">
        <f t="shared" ref="BE948:BJ948" si="555">BE933-BE947</f>
        <v>0</v>
      </c>
      <c r="BF948" s="14">
        <f t="shared" si="555"/>
        <v>0</v>
      </c>
      <c r="BG948" s="14">
        <f t="shared" si="555"/>
        <v>0</v>
      </c>
      <c r="BH948" s="14">
        <f t="shared" si="555"/>
        <v>0</v>
      </c>
      <c r="BI948" s="14">
        <f t="shared" si="555"/>
        <v>0</v>
      </c>
      <c r="BJ948" s="14">
        <f t="shared" si="555"/>
        <v>0</v>
      </c>
      <c r="BK948" s="14">
        <f t="shared" si="551"/>
        <v>0</v>
      </c>
      <c r="BL948" s="14"/>
      <c r="BM948" s="14"/>
      <c r="BN948" s="14"/>
      <c r="BO948" s="14"/>
      <c r="BP948" s="14"/>
      <c r="BQ948" s="14"/>
      <c r="BR948" s="14"/>
      <c r="BS948" s="14"/>
      <c r="BT948" s="324"/>
      <c r="BU948" s="14"/>
      <c r="BV948" s="14"/>
      <c r="BW948" s="14"/>
      <c r="BX948" s="14"/>
      <c r="BY948" s="14"/>
      <c r="BZ948" s="14"/>
      <c r="CA948" s="14"/>
      <c r="CB948" s="14"/>
      <c r="CC948" s="14"/>
      <c r="CD948" s="14"/>
      <c r="CE948" s="14"/>
      <c r="CF948" s="14"/>
      <c r="CG948" s="14"/>
      <c r="CH948" s="14"/>
      <c r="CI948" s="14"/>
      <c r="CJ948" s="2"/>
      <c r="CK948" s="2"/>
      <c r="CM948" s="1140">
        <v>0</v>
      </c>
      <c r="CN948" s="1140">
        <v>0</v>
      </c>
      <c r="CP948" s="923">
        <f t="shared" si="526"/>
        <v>0</v>
      </c>
      <c r="CZ948" s="330"/>
    </row>
    <row r="949" spans="1:104" ht="15" customHeight="1" x14ac:dyDescent="0.25">
      <c r="A949" s="701">
        <f>MAX($A$6:A948)+1</f>
        <v>949</v>
      </c>
      <c r="B949" s="1291">
        <f t="shared" si="516"/>
        <v>6.1</v>
      </c>
      <c r="C949" s="18" t="str">
        <f t="shared" si="533"/>
        <v>Consolidated intangible assets 2025-26</v>
      </c>
      <c r="D949" s="18" t="s">
        <v>451</v>
      </c>
      <c r="E949" s="19" t="str">
        <f>"Carrying amount "&amp;Update!$B$24</f>
        <v>Carrying amount  31 March 2025</v>
      </c>
      <c r="F949" s="20"/>
      <c r="G949" s="28"/>
      <c r="H949" s="14">
        <f>H921-H935</f>
        <v>0</v>
      </c>
      <c r="I949" s="14">
        <f>I921-I935</f>
        <v>0</v>
      </c>
      <c r="J949" s="1258" t="s">
        <v>2494</v>
      </c>
      <c r="K949" s="256">
        <f>K921-K935</f>
        <v>0</v>
      </c>
      <c r="L949" s="256">
        <f>L921-L935</f>
        <v>0</v>
      </c>
      <c r="M949" s="21"/>
      <c r="N949" s="14">
        <f>ROUND(SUM(O949:S949)+T949+SUM(Z949:AV949),0)</f>
        <v>0</v>
      </c>
      <c r="O949" s="14">
        <f t="shared" ref="O949:V949" si="556">O921-O935</f>
        <v>0</v>
      </c>
      <c r="P949" s="14">
        <f t="shared" si="556"/>
        <v>0</v>
      </c>
      <c r="Q949" s="14">
        <f t="shared" si="556"/>
        <v>0</v>
      </c>
      <c r="R949" s="14">
        <f t="shared" si="556"/>
        <v>0</v>
      </c>
      <c r="S949" s="14">
        <f t="shared" si="521"/>
        <v>0</v>
      </c>
      <c r="T949" s="14">
        <f t="shared" si="556"/>
        <v>0</v>
      </c>
      <c r="U949" s="14">
        <f t="shared" si="556"/>
        <v>0</v>
      </c>
      <c r="V949" s="14">
        <f t="shared" si="556"/>
        <v>0</v>
      </c>
      <c r="W949" s="14">
        <f>W921-W935</f>
        <v>0</v>
      </c>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2"/>
      <c r="AX949" s="14">
        <f>AX921-AX935</f>
        <v>0</v>
      </c>
      <c r="AY949" s="14">
        <f>ROUND(AX949/1000/Update!$B$31*Update!$B$27,0)</f>
        <v>0</v>
      </c>
      <c r="AZ949" s="2"/>
      <c r="BA949" s="14">
        <f>BA921-BA935</f>
        <v>0</v>
      </c>
      <c r="BB949" s="14">
        <f>ROUND(BA949/1000/Update!$B$31,0)</f>
        <v>0</v>
      </c>
      <c r="BC949" s="14"/>
      <c r="BD949" s="14">
        <f t="shared" si="538"/>
        <v>0</v>
      </c>
      <c r="BE949" s="14">
        <f t="shared" ref="BE949:BJ949" si="557">BE921-BE935</f>
        <v>0</v>
      </c>
      <c r="BF949" s="14">
        <f t="shared" si="557"/>
        <v>0</v>
      </c>
      <c r="BG949" s="14">
        <f t="shared" si="557"/>
        <v>0</v>
      </c>
      <c r="BH949" s="14">
        <f t="shared" si="557"/>
        <v>0</v>
      </c>
      <c r="BI949" s="14">
        <f t="shared" si="557"/>
        <v>0</v>
      </c>
      <c r="BJ949" s="14">
        <f t="shared" si="557"/>
        <v>0</v>
      </c>
      <c r="BK949" s="14">
        <f t="shared" si="551"/>
        <v>0</v>
      </c>
      <c r="BL949" s="14"/>
      <c r="BM949" s="14"/>
      <c r="BN949" s="14"/>
      <c r="BO949" s="14"/>
      <c r="BP949" s="14"/>
      <c r="BQ949" s="14"/>
      <c r="BR949" s="14"/>
      <c r="BS949" s="14"/>
      <c r="BT949" s="324"/>
      <c r="BU949" s="14"/>
      <c r="BV949" s="14"/>
      <c r="BW949" s="14"/>
      <c r="BX949" s="14"/>
      <c r="BY949" s="14"/>
      <c r="BZ949" s="14"/>
      <c r="CA949" s="14"/>
      <c r="CB949" s="14"/>
      <c r="CC949" s="14"/>
      <c r="CD949" s="14"/>
      <c r="CE949" s="14"/>
      <c r="CF949" s="14"/>
      <c r="CG949" s="14"/>
      <c r="CH949" s="14"/>
      <c r="CI949" s="14"/>
      <c r="CJ949" s="2"/>
      <c r="CK949" s="2"/>
      <c r="CM949" s="1140">
        <v>0</v>
      </c>
      <c r="CN949" s="1140">
        <v>0</v>
      </c>
      <c r="CP949" s="923">
        <f t="shared" si="526"/>
        <v>0</v>
      </c>
      <c r="CZ949" s="330"/>
    </row>
    <row r="950" spans="1:104" ht="15" customHeight="1" x14ac:dyDescent="0.25">
      <c r="A950" s="684">
        <f>MAX($A$6:A949)+1</f>
        <v>950</v>
      </c>
      <c r="B950" s="3">
        <f t="shared" si="516"/>
        <v>6.1</v>
      </c>
      <c r="C950" s="11" t="str">
        <f t="shared" si="533"/>
        <v>Consolidated intangible assets 2025-26</v>
      </c>
      <c r="D950" s="11" t="s">
        <v>451</v>
      </c>
      <c r="E950" s="13" t="s">
        <v>194</v>
      </c>
      <c r="F950" s="13"/>
      <c r="G950" s="26"/>
      <c r="H950" s="6"/>
      <c r="I950" s="6"/>
      <c r="J950" s="1257" t="s">
        <v>286</v>
      </c>
      <c r="K950" s="251">
        <f>SUMIF('alb Note 6.1 -  Intangibles CY'!$A:$A,$J950,'alb Note 6.1 -  Intangibles CY'!$D:$D)</f>
        <v>0</v>
      </c>
      <c r="L950" s="251">
        <f>SUMIF('alb Note 6.1 -  Intangibles CY'!$A:$A,$J950,'alb Note 6.1 -  Intangibles CY'!$O:$O)</f>
        <v>0</v>
      </c>
      <c r="M950" s="10"/>
      <c r="N950" s="273">
        <f>ROUND(SUM(O950:S950)+SUM(W950:AV950),0)</f>
        <v>0</v>
      </c>
      <c r="O950" s="12"/>
      <c r="P950" s="12"/>
      <c r="Q950" s="12"/>
      <c r="R950" s="12"/>
      <c r="S950" s="6">
        <f t="shared" si="521"/>
        <v>0</v>
      </c>
      <c r="T950" s="273">
        <f>ROUND(SUM(U950:Y950),0)</f>
        <v>0</v>
      </c>
      <c r="U950" s="6">
        <f>SUM(BL950:BN950)</f>
        <v>0</v>
      </c>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X950" s="6"/>
      <c r="AY950" s="6">
        <f>ROUND(AX950/1000/Update!$B$31*Update!$B$27,0)</f>
        <v>0</v>
      </c>
      <c r="BA950" s="6"/>
      <c r="BB950" s="6">
        <f>ROUND(BA950/1000/Update!$B$31,0)</f>
        <v>0</v>
      </c>
      <c r="BC950" s="6"/>
      <c r="BD950" s="29">
        <f t="shared" si="538"/>
        <v>0</v>
      </c>
      <c r="BE950" s="322"/>
      <c r="BF950" s="322"/>
      <c r="BG950" s="322"/>
      <c r="BH950" s="322"/>
      <c r="BI950" s="322"/>
      <c r="BJ950" s="322"/>
      <c r="BK950" s="29">
        <f t="shared" si="551"/>
        <v>0</v>
      </c>
      <c r="BL950" s="322"/>
      <c r="BM950" s="322"/>
      <c r="BN950" s="322"/>
      <c r="BO950" s="322"/>
      <c r="BP950" s="322"/>
      <c r="BQ950" s="322"/>
      <c r="BR950" s="322"/>
      <c r="BS950" s="322"/>
      <c r="BT950" s="322"/>
      <c r="BU950" s="322"/>
      <c r="BV950" s="322"/>
      <c r="BW950" s="322"/>
      <c r="BX950" s="322"/>
      <c r="BY950" s="322"/>
      <c r="BZ950" s="322"/>
      <c r="CA950" s="322"/>
      <c r="CB950" s="322"/>
      <c r="CC950" s="322"/>
      <c r="CD950" s="322"/>
      <c r="CE950" s="322"/>
      <c r="CF950" s="322"/>
      <c r="CG950" s="322"/>
      <c r="CH950" s="322"/>
      <c r="CI950" s="322"/>
      <c r="CM950" s="1139">
        <v>0</v>
      </c>
      <c r="CN950" s="1139">
        <v>0</v>
      </c>
      <c r="CP950" s="923">
        <f t="shared" si="526"/>
        <v>0</v>
      </c>
      <c r="CZ950" s="330"/>
    </row>
    <row r="951" spans="1:104" ht="15" customHeight="1" x14ac:dyDescent="0.25">
      <c r="A951" s="684">
        <f>MAX($A$6:A950)+1</f>
        <v>951</v>
      </c>
      <c r="B951" s="3">
        <f t="shared" si="516"/>
        <v>6.1</v>
      </c>
      <c r="C951" s="11" t="str">
        <f t="shared" si="533"/>
        <v>Consolidated intangible assets 2025-26</v>
      </c>
      <c r="D951" s="11" t="s">
        <v>451</v>
      </c>
      <c r="E951" s="7" t="s">
        <v>197</v>
      </c>
      <c r="F951" s="7"/>
      <c r="G951" s="1254" t="s">
        <v>443</v>
      </c>
      <c r="H951" s="6" t="e">
        <v>#VALUE!</v>
      </c>
      <c r="I951" s="6" t="e">
        <v>#VALUE!</v>
      </c>
      <c r="J951" s="1257" t="s">
        <v>197</v>
      </c>
      <c r="K951" s="251">
        <f>SUMIF('alb Note 6.1 -  Intangibles CY'!$A:$A,$J951,'alb Note 6.1 -  Intangibles CY'!$D:$D)</f>
        <v>0</v>
      </c>
      <c r="L951" s="251">
        <f>SUMIF('alb Note 6.1 -  Intangibles CY'!$A:$A,$J951,'alb Note 6.1 -  Intangibles CY'!$O:$O)</f>
        <v>0</v>
      </c>
      <c r="M951" s="10"/>
      <c r="N951" s="273" t="e">
        <f>ROUND(SUM(O951:S951)+SUM(W951:AV951),0)</f>
        <v>#VALUE!</v>
      </c>
      <c r="O951" s="12"/>
      <c r="P951" s="12"/>
      <c r="Q951" s="12"/>
      <c r="R951" s="12"/>
      <c r="S951" s="6">
        <f t="shared" si="521"/>
        <v>0</v>
      </c>
      <c r="T951" s="273" t="e">
        <f>ROUND(SUM(U951:Y951),0)</f>
        <v>#VALUE!</v>
      </c>
      <c r="U951" s="6">
        <f>SUM(BL951:BN951)</f>
        <v>0</v>
      </c>
      <c r="V951" s="6"/>
      <c r="W951" s="6" t="e">
        <f t="shared" ref="W951:W968" si="558">+H951</f>
        <v>#VALUE!</v>
      </c>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X951" s="6"/>
      <c r="AY951" s="6">
        <f>ROUND(AX951/1000/Update!$B$31*Update!$B$27,0)</f>
        <v>0</v>
      </c>
      <c r="BA951" s="6"/>
      <c r="BB951" s="6">
        <f>ROUND(BA951/1000/Update!$B$31,0)</f>
        <v>0</v>
      </c>
      <c r="BC951" s="6"/>
      <c r="BD951" s="29">
        <f t="shared" si="538"/>
        <v>0</v>
      </c>
      <c r="BE951" s="322"/>
      <c r="BF951" s="322"/>
      <c r="BG951" s="322"/>
      <c r="BH951" s="322"/>
      <c r="BI951" s="322"/>
      <c r="BJ951" s="322"/>
      <c r="BK951" s="29">
        <f t="shared" si="551"/>
        <v>0</v>
      </c>
      <c r="BL951" s="322"/>
      <c r="BM951" s="322"/>
      <c r="BN951" s="322"/>
      <c r="BO951" s="322"/>
      <c r="BP951" s="322"/>
      <c r="BQ951" s="322"/>
      <c r="BR951" s="322"/>
      <c r="BS951" s="322"/>
      <c r="BT951" s="322"/>
      <c r="BU951" s="322"/>
      <c r="BV951" s="322"/>
      <c r="BW951" s="322"/>
      <c r="BX951" s="322"/>
      <c r="BY951" s="322"/>
      <c r="BZ951" s="322"/>
      <c r="CA951" s="322"/>
      <c r="CB951" s="322"/>
      <c r="CC951" s="322"/>
      <c r="CD951" s="322"/>
      <c r="CE951" s="322"/>
      <c r="CF951" s="322"/>
      <c r="CG951" s="322"/>
      <c r="CH951" s="322"/>
      <c r="CI951" s="322"/>
      <c r="CM951" s="1139">
        <v>0</v>
      </c>
      <c r="CN951" s="1139">
        <v>0</v>
      </c>
      <c r="CP951" s="923">
        <f t="shared" si="526"/>
        <v>0</v>
      </c>
      <c r="CZ951" s="330"/>
    </row>
    <row r="952" spans="1:104" ht="15" customHeight="1" x14ac:dyDescent="0.25">
      <c r="A952" s="684">
        <f>MAX($A$6:A951)+1</f>
        <v>952</v>
      </c>
      <c r="B952" s="3">
        <f t="shared" si="516"/>
        <v>6.1</v>
      </c>
      <c r="C952" s="11" t="str">
        <f t="shared" si="533"/>
        <v>Consolidated intangible assets 2025-26</v>
      </c>
      <c r="D952" s="11" t="s">
        <v>451</v>
      </c>
      <c r="E952" s="7" t="s">
        <v>198</v>
      </c>
      <c r="F952" s="7"/>
      <c r="G952" s="1254" t="s">
        <v>444</v>
      </c>
      <c r="H952" s="6" t="e">
        <v>#VALUE!</v>
      </c>
      <c r="I952" s="6" t="e">
        <v>#VALUE!</v>
      </c>
      <c r="J952" s="1257" t="s">
        <v>198</v>
      </c>
      <c r="K952" s="251">
        <f>SUMIF('alb Note 6.1 -  Intangibles CY'!$A:$A,$J952,'alb Note 6.1 -  Intangibles CY'!$D:$D)</f>
        <v>0</v>
      </c>
      <c r="L952" s="251">
        <f>SUMIF('alb Note 6.1 -  Intangibles CY'!$A:$A,$J952,'alb Note 6.1 -  Intangibles CY'!$O:$O)</f>
        <v>0</v>
      </c>
      <c r="M952" s="10"/>
      <c r="N952" s="273" t="e">
        <f>ROUND(SUM(O952:S952)+SUM(W952:AV952),0)</f>
        <v>#VALUE!</v>
      </c>
      <c r="O952" s="12"/>
      <c r="P952" s="12"/>
      <c r="Q952" s="12"/>
      <c r="R952" s="12"/>
      <c r="S952" s="6">
        <f t="shared" si="521"/>
        <v>0</v>
      </c>
      <c r="T952" s="273" t="e">
        <f>ROUND(SUM(U952:Y952),0)</f>
        <v>#VALUE!</v>
      </c>
      <c r="U952" s="6">
        <f>SUM(BL952:BN952)</f>
        <v>0</v>
      </c>
      <c r="V952" s="6"/>
      <c r="W952" s="6" t="e">
        <f t="shared" si="558"/>
        <v>#VALUE!</v>
      </c>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X952" s="6"/>
      <c r="AY952" s="6">
        <f>ROUND(AX952/1000/Update!$B$31*Update!$B$27,0)</f>
        <v>0</v>
      </c>
      <c r="BA952" s="6"/>
      <c r="BB952" s="6">
        <f>ROUND(BA952/1000/Update!$B$31,0)</f>
        <v>0</v>
      </c>
      <c r="BC952" s="6"/>
      <c r="BD952" s="29">
        <f t="shared" si="538"/>
        <v>0</v>
      </c>
      <c r="BE952" s="322"/>
      <c r="BF952" s="322"/>
      <c r="BG952" s="322"/>
      <c r="BH952" s="322"/>
      <c r="BI952" s="322"/>
      <c r="BJ952" s="322"/>
      <c r="BK952" s="29">
        <f t="shared" si="551"/>
        <v>0</v>
      </c>
      <c r="BL952" s="322"/>
      <c r="BM952" s="322"/>
      <c r="BN952" s="322"/>
      <c r="BO952" s="322"/>
      <c r="BP952" s="322"/>
      <c r="BQ952" s="322"/>
      <c r="BR952" s="322"/>
      <c r="BS952" s="322"/>
      <c r="BT952" s="322"/>
      <c r="BU952" s="322"/>
      <c r="BV952" s="322"/>
      <c r="BW952" s="322"/>
      <c r="BX952" s="322"/>
      <c r="BY952" s="322"/>
      <c r="BZ952" s="322"/>
      <c r="CA952" s="322"/>
      <c r="CB952" s="322"/>
      <c r="CC952" s="322"/>
      <c r="CD952" s="322"/>
      <c r="CE952" s="322"/>
      <c r="CF952" s="322"/>
      <c r="CG952" s="322"/>
      <c r="CH952" s="322"/>
      <c r="CI952" s="322"/>
      <c r="CM952" s="1139">
        <v>0</v>
      </c>
      <c r="CN952" s="1139">
        <v>0</v>
      </c>
      <c r="CP952" s="923">
        <f t="shared" si="526"/>
        <v>0</v>
      </c>
      <c r="CZ952" s="330"/>
    </row>
    <row r="953" spans="1:104" ht="38.25" customHeight="1" x14ac:dyDescent="0.25">
      <c r="A953" s="684">
        <f>MAX($A$6:A952)+1</f>
        <v>953</v>
      </c>
      <c r="B953" s="3">
        <f t="shared" si="516"/>
        <v>6.1</v>
      </c>
      <c r="C953" s="11" t="str">
        <f t="shared" si="533"/>
        <v>Consolidated intangible assets 2025-26</v>
      </c>
      <c r="D953" s="11" t="s">
        <v>451</v>
      </c>
      <c r="E953" s="148" t="s">
        <v>1696</v>
      </c>
      <c r="F953" s="148"/>
      <c r="G953" s="1254" t="s">
        <v>199</v>
      </c>
      <c r="H953" s="6" t="e">
        <v>#VALUE!</v>
      </c>
      <c r="I953" s="6" t="e">
        <v>#VALUE!</v>
      </c>
      <c r="J953" s="1257" t="s">
        <v>769</v>
      </c>
      <c r="K953" s="251">
        <f>SUMIF('alb Note 6.1 -  Intangibles CY'!$A:$A,$J953,'alb Note 6.1 -  Intangibles CY'!$D:$D)</f>
        <v>0</v>
      </c>
      <c r="L953" s="251">
        <f>SUMIF('alb Note 6.1 -  Intangibles CY'!$A:$A,$J953,'alb Note 6.1 -  Intangibles CY'!$O:$O)</f>
        <v>0</v>
      </c>
      <c r="M953" s="10"/>
      <c r="N953" s="273" t="e">
        <f>ROUND(SUM(O953:S953)+SUM(W953:AV953),0)</f>
        <v>#VALUE!</v>
      </c>
      <c r="O953" s="12"/>
      <c r="P953" s="12"/>
      <c r="Q953" s="12"/>
      <c r="R953" s="12"/>
      <c r="S953" s="6">
        <f t="shared" si="521"/>
        <v>0</v>
      </c>
      <c r="T953" s="273" t="e">
        <f>ROUND(SUM(U953:Y953),0)</f>
        <v>#VALUE!</v>
      </c>
      <c r="U953" s="6">
        <f>SUM(BL953:BN953)</f>
        <v>0</v>
      </c>
      <c r="V953" s="6"/>
      <c r="W953" s="6" t="e">
        <f t="shared" si="558"/>
        <v>#VALUE!</v>
      </c>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X953" s="6"/>
      <c r="AY953" s="6">
        <f>ROUND(AX953/1000/Update!$B$31*Update!$B$27,0)</f>
        <v>0</v>
      </c>
      <c r="BA953" s="6"/>
      <c r="BB953" s="6">
        <f>ROUND(BA953/1000/Update!$B$31,0)</f>
        <v>0</v>
      </c>
      <c r="BC953" s="6"/>
      <c r="BD953" s="29">
        <f t="shared" si="538"/>
        <v>0</v>
      </c>
      <c r="BE953" s="322"/>
      <c r="BF953" s="322"/>
      <c r="BG953" s="322"/>
      <c r="BH953" s="322"/>
      <c r="BI953" s="322"/>
      <c r="BJ953" s="322"/>
      <c r="BK953" s="29">
        <f t="shared" si="551"/>
        <v>0</v>
      </c>
      <c r="BL953" s="322"/>
      <c r="BM953" s="322"/>
      <c r="BN953" s="322"/>
      <c r="BO953" s="322"/>
      <c r="BP953" s="322"/>
      <c r="BQ953" s="322"/>
      <c r="BR953" s="322"/>
      <c r="BS953" s="322"/>
      <c r="BT953" s="322"/>
      <c r="BU953" s="322"/>
      <c r="BV953" s="322"/>
      <c r="BW953" s="322"/>
      <c r="BX953" s="322"/>
      <c r="BY953" s="322"/>
      <c r="BZ953" s="322"/>
      <c r="CA953" s="322"/>
      <c r="CB953" s="322"/>
      <c r="CC953" s="322"/>
      <c r="CD953" s="322"/>
      <c r="CE953" s="322"/>
      <c r="CF953" s="322"/>
      <c r="CG953" s="322"/>
      <c r="CH953" s="322"/>
      <c r="CI953" s="322"/>
      <c r="CM953" s="1139">
        <v>0</v>
      </c>
      <c r="CN953" s="1139">
        <v>0</v>
      </c>
      <c r="CP953" s="923">
        <f t="shared" si="526"/>
        <v>0</v>
      </c>
      <c r="CZ953" s="330"/>
    </row>
    <row r="954" spans="1:104" ht="15" customHeight="1" x14ac:dyDescent="0.25">
      <c r="A954" s="684">
        <f>MAX($A$6:A953)+1</f>
        <v>954</v>
      </c>
      <c r="B954" s="3">
        <f t="shared" si="516"/>
        <v>6.1</v>
      </c>
      <c r="C954" s="11" t="str">
        <f t="shared" si="533"/>
        <v>Consolidated intangible assets 2025-26</v>
      </c>
      <c r="D954" s="11" t="s">
        <v>451</v>
      </c>
      <c r="E954" s="148" t="s">
        <v>1695</v>
      </c>
      <c r="F954" s="148"/>
      <c r="G954" s="1254" t="s">
        <v>1695</v>
      </c>
      <c r="H954" s="6" t="e">
        <v>#VALUE!</v>
      </c>
      <c r="I954" s="6" t="e">
        <v>#VALUE!</v>
      </c>
      <c r="J954" s="1257" t="s">
        <v>1695</v>
      </c>
      <c r="K954" s="251">
        <f>SUMIF('alb Note 6.1 -  Intangibles CY'!$A:$A,$J954,'alb Note 6.1 -  Intangibles CY'!$D:$D)</f>
        <v>0</v>
      </c>
      <c r="L954" s="251">
        <f>SUMIF('alb Note 6.1 -  Intangibles CY'!$A:$A,$J954,'alb Note 6.1 -  Intangibles CY'!$O:$O)</f>
        <v>0</v>
      </c>
      <c r="M954" s="10"/>
      <c r="N954" s="273" t="e">
        <f>ROUND(SUM(O954:S954)+SUM(W954:AV954),0)</f>
        <v>#VALUE!</v>
      </c>
      <c r="O954" s="12"/>
      <c r="P954" s="12"/>
      <c r="Q954" s="12"/>
      <c r="R954" s="12"/>
      <c r="S954" s="6">
        <f>-IF(ISNUMBER(BD954),BD954,0)</f>
        <v>0</v>
      </c>
      <c r="T954" s="273" t="e">
        <f>ROUND(SUM(U954:Y954),0)</f>
        <v>#VALUE!</v>
      </c>
      <c r="U954" s="6">
        <f>SUM(BL954:BN954)</f>
        <v>0</v>
      </c>
      <c r="V954" s="6"/>
      <c r="W954" s="6" t="e">
        <f t="shared" si="558"/>
        <v>#VALUE!</v>
      </c>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X954" s="6"/>
      <c r="AY954" s="6"/>
      <c r="BA954" s="6"/>
      <c r="BB954" s="6"/>
      <c r="BC954" s="6"/>
      <c r="BD954" s="29">
        <f t="shared" si="538"/>
        <v>0</v>
      </c>
      <c r="BE954" s="322"/>
      <c r="BF954" s="322"/>
      <c r="BG954" s="322"/>
      <c r="BH954" s="322"/>
      <c r="BI954" s="322"/>
      <c r="BJ954" s="322"/>
      <c r="BK954" s="29">
        <f t="shared" si="551"/>
        <v>0</v>
      </c>
      <c r="BL954" s="322"/>
      <c r="BM954" s="322"/>
      <c r="BN954" s="322"/>
      <c r="BO954" s="322"/>
      <c r="BP954" s="322"/>
      <c r="BQ954" s="322"/>
      <c r="BR954" s="322"/>
      <c r="BS954" s="322"/>
      <c r="BT954" s="322"/>
      <c r="BU954" s="322"/>
      <c r="BV954" s="322"/>
      <c r="BW954" s="322"/>
      <c r="BX954" s="322"/>
      <c r="BY954" s="322"/>
      <c r="BZ954" s="322"/>
      <c r="CA954" s="322"/>
      <c r="CB954" s="322"/>
      <c r="CC954" s="322"/>
      <c r="CD954" s="322"/>
      <c r="CE954" s="322"/>
      <c r="CF954" s="322"/>
      <c r="CG954" s="322"/>
      <c r="CH954" s="322"/>
      <c r="CI954" s="322"/>
      <c r="CM954" s="1139">
        <v>0</v>
      </c>
      <c r="CN954" s="1139">
        <v>0</v>
      </c>
      <c r="CP954" s="923">
        <f t="shared" si="526"/>
        <v>0</v>
      </c>
      <c r="CZ954" s="330"/>
    </row>
    <row r="955" spans="1:104" ht="15" customHeight="1" x14ac:dyDescent="0.25">
      <c r="A955" s="701">
        <f>MAX($A$6:A954)+1</f>
        <v>955</v>
      </c>
      <c r="B955" s="1291">
        <f t="shared" si="516"/>
        <v>6.1</v>
      </c>
      <c r="C955" s="18" t="str">
        <f t="shared" si="533"/>
        <v>Consolidated intangible assets 2025-26</v>
      </c>
      <c r="D955" s="18" t="s">
        <v>451</v>
      </c>
      <c r="E955" s="19" t="str">
        <f>"Carrying amount "&amp;Update!$B$22</f>
        <v>Carrying amount  31 March 2026</v>
      </c>
      <c r="F955" s="20"/>
      <c r="G955" s="28"/>
      <c r="H955" s="14" t="e">
        <f>SUM(H950:H954)</f>
        <v>#VALUE!</v>
      </c>
      <c r="I955" s="14" t="e">
        <f>SUM(I950:I954)</f>
        <v>#VALUE!</v>
      </c>
      <c r="J955" s="1258" t="s">
        <v>286</v>
      </c>
      <c r="K955" s="256">
        <f>SUM(K950:K954)</f>
        <v>0</v>
      </c>
      <c r="L955" s="256">
        <f>SUM(L950:L954)</f>
        <v>0</v>
      </c>
      <c r="M955" s="21"/>
      <c r="N955" s="14" t="e">
        <f>ROUND(SUM(O955:S955)+T955+SUM(Z955:AV955),0)</f>
        <v>#VALUE!</v>
      </c>
      <c r="O955" s="14">
        <f t="shared" ref="O955:W955" si="559">SUM(O950:O954)</f>
        <v>0</v>
      </c>
      <c r="P955" s="14">
        <f t="shared" si="559"/>
        <v>0</v>
      </c>
      <c r="Q955" s="14">
        <f t="shared" si="559"/>
        <v>0</v>
      </c>
      <c r="R955" s="14">
        <f t="shared" si="559"/>
        <v>0</v>
      </c>
      <c r="S955" s="14">
        <f t="shared" si="559"/>
        <v>0</v>
      </c>
      <c r="T955" s="14" t="e">
        <f t="shared" si="559"/>
        <v>#VALUE!</v>
      </c>
      <c r="U955" s="14">
        <f t="shared" si="559"/>
        <v>0</v>
      </c>
      <c r="V955" s="14">
        <f t="shared" si="559"/>
        <v>0</v>
      </c>
      <c r="W955" s="14" t="e">
        <f t="shared" si="559"/>
        <v>#VALUE!</v>
      </c>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2"/>
      <c r="AX955" s="14">
        <f>SUM(AX950:AX953)</f>
        <v>0</v>
      </c>
      <c r="AY955" s="14">
        <f>ROUND(AX955/1000/Update!$B$31*Update!$B$27,0)</f>
        <v>0</v>
      </c>
      <c r="AZ955" s="2"/>
      <c r="BA955" s="14">
        <f>SUM(BA950:BA953)</f>
        <v>0</v>
      </c>
      <c r="BB955" s="14">
        <f>ROUND(BA955/1000/Update!$B$31,0)</f>
        <v>0</v>
      </c>
      <c r="BC955" s="14"/>
      <c r="BD955" s="14">
        <f t="shared" si="538"/>
        <v>0</v>
      </c>
      <c r="BE955" s="14">
        <f t="shared" ref="BE955:BJ955" si="560">SUM(BE950:BE953)</f>
        <v>0</v>
      </c>
      <c r="BF955" s="14">
        <f t="shared" si="560"/>
        <v>0</v>
      </c>
      <c r="BG955" s="14">
        <f t="shared" si="560"/>
        <v>0</v>
      </c>
      <c r="BH955" s="14">
        <f t="shared" si="560"/>
        <v>0</v>
      </c>
      <c r="BI955" s="14">
        <f t="shared" si="560"/>
        <v>0</v>
      </c>
      <c r="BJ955" s="14">
        <f t="shared" si="560"/>
        <v>0</v>
      </c>
      <c r="BK955" s="14">
        <f t="shared" si="551"/>
        <v>0</v>
      </c>
      <c r="BL955" s="14"/>
      <c r="BM955" s="14"/>
      <c r="BN955" s="14"/>
      <c r="BO955" s="14"/>
      <c r="BP955" s="14"/>
      <c r="BQ955" s="14"/>
      <c r="BR955" s="14"/>
      <c r="BS955" s="14"/>
      <c r="BT955" s="324"/>
      <c r="BU955" s="14"/>
      <c r="BV955" s="14"/>
      <c r="BW955" s="14"/>
      <c r="BX955" s="14"/>
      <c r="BY955" s="14"/>
      <c r="BZ955" s="14"/>
      <c r="CA955" s="14"/>
      <c r="CB955" s="14"/>
      <c r="CC955" s="14"/>
      <c r="CD955" s="14"/>
      <c r="CE955" s="14"/>
      <c r="CF955" s="14"/>
      <c r="CG955" s="14"/>
      <c r="CH955" s="14"/>
      <c r="CI955" s="14"/>
      <c r="CJ955" s="2"/>
      <c r="CK955" s="2"/>
      <c r="CM955" s="1140">
        <v>0</v>
      </c>
      <c r="CN955" s="1140">
        <v>0</v>
      </c>
      <c r="CP955" s="923">
        <f t="shared" si="526"/>
        <v>0</v>
      </c>
      <c r="CZ955" s="330"/>
    </row>
    <row r="956" spans="1:104" ht="18.75" customHeight="1" x14ac:dyDescent="0.25">
      <c r="A956" s="684">
        <f>MAX($A$6:A955)+1</f>
        <v>956</v>
      </c>
      <c r="B956" s="3">
        <f>B955</f>
        <v>6.1</v>
      </c>
      <c r="C956" s="11" t="str">
        <f>C955</f>
        <v>Consolidated intangible assets 2025-26</v>
      </c>
      <c r="D956" s="11" t="s">
        <v>212</v>
      </c>
      <c r="E956" s="277" t="s">
        <v>183</v>
      </c>
      <c r="F956" s="277"/>
      <c r="G956" s="26"/>
      <c r="H956" s="6"/>
      <c r="I956" s="6"/>
      <c r="J956" s="1257" t="s">
        <v>286</v>
      </c>
      <c r="K956" s="251">
        <f>SUMIF('alb Note 6.1 -  Intangibles CY'!$A:$A,$J956,'alb Note 6.1 -  Intangibles CY'!$E:$E)</f>
        <v>0</v>
      </c>
      <c r="L956" s="251">
        <f>SUMIF('alb Note 6.1 -  Intangibles CY'!$A:$A,$J956,'alb Note 6.1 -  Intangibles CY'!$P:$P)</f>
        <v>0</v>
      </c>
      <c r="M956" s="10"/>
      <c r="N956" s="273">
        <f>ROUND(SUM(O956:S956)+SUM(W956:AV956),0)</f>
        <v>0</v>
      </c>
      <c r="O956" s="12"/>
      <c r="P956" s="12"/>
      <c r="Q956" s="12"/>
      <c r="R956" s="12"/>
      <c r="S956" s="6">
        <f t="shared" si="521"/>
        <v>0</v>
      </c>
      <c r="T956" s="273">
        <f>ROUND(SUM(U956:Y956),0)</f>
        <v>0</v>
      </c>
      <c r="U956" s="6">
        <f>SUM(BL956:BN956)</f>
        <v>0</v>
      </c>
      <c r="V956" s="6"/>
      <c r="W956" s="6">
        <f t="shared" si="558"/>
        <v>0</v>
      </c>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X956" s="6"/>
      <c r="AY956" s="6">
        <f>ROUND(AX956/1000/Update!$B$31*Update!$B$27,0)</f>
        <v>0</v>
      </c>
      <c r="BA956" s="6"/>
      <c r="BB956" s="6">
        <f>ROUND(BA956/1000/Update!$B$31,0)</f>
        <v>0</v>
      </c>
      <c r="BC956" s="6"/>
      <c r="BD956" s="29">
        <f t="shared" si="538"/>
        <v>0</v>
      </c>
      <c r="BE956" s="322"/>
      <c r="BF956" s="322"/>
      <c r="BG956" s="322"/>
      <c r="BH956" s="322"/>
      <c r="BI956" s="322"/>
      <c r="BJ956" s="322"/>
      <c r="BK956" s="29">
        <f t="shared" si="551"/>
        <v>0</v>
      </c>
      <c r="BL956" s="322"/>
      <c r="BM956" s="322"/>
      <c r="BN956" s="322"/>
      <c r="BO956" s="322"/>
      <c r="BP956" s="322"/>
      <c r="BQ956" s="322"/>
      <c r="BR956" s="322"/>
      <c r="BS956" s="322"/>
      <c r="BT956" s="322"/>
      <c r="BU956" s="322"/>
      <c r="BV956" s="322"/>
      <c r="BW956" s="322"/>
      <c r="BX956" s="322"/>
      <c r="BY956" s="322"/>
      <c r="BZ956" s="322"/>
      <c r="CA956" s="322"/>
      <c r="CB956" s="322"/>
      <c r="CC956" s="322"/>
      <c r="CD956" s="322"/>
      <c r="CE956" s="322"/>
      <c r="CF956" s="322"/>
      <c r="CG956" s="322"/>
      <c r="CH956" s="322"/>
      <c r="CI956" s="322"/>
      <c r="CM956" s="1139">
        <v>0</v>
      </c>
      <c r="CN956" s="1139">
        <v>0</v>
      </c>
      <c r="CP956" s="923">
        <f t="shared" si="526"/>
        <v>0</v>
      </c>
      <c r="CZ956" s="330"/>
    </row>
    <row r="957" spans="1:104" ht="15" customHeight="1" x14ac:dyDescent="0.25">
      <c r="A957" s="684">
        <f>MAX($A$6:A956)+1</f>
        <v>957</v>
      </c>
      <c r="B957" s="3">
        <f t="shared" si="516"/>
        <v>6.1</v>
      </c>
      <c r="C957" s="11" t="str">
        <f t="shared" si="533"/>
        <v>Consolidated intangible assets 2025-26</v>
      </c>
      <c r="D957" s="11" t="s">
        <v>212</v>
      </c>
      <c r="E957" s="7" t="str">
        <f>"At"&amp;Update!$B$20</f>
        <v>At 1 April 2025</v>
      </c>
      <c r="F957" s="15"/>
      <c r="G957" s="1267" t="str">
        <f>"At"&amp;Update!$B$20</f>
        <v>At 1 April 2025</v>
      </c>
      <c r="H957" s="6">
        <v>63</v>
      </c>
      <c r="I957" s="6">
        <v>0</v>
      </c>
      <c r="J957" s="1257" t="str">
        <f>$E957</f>
        <v>At 1 April 2025</v>
      </c>
      <c r="K957" s="251">
        <f>SUMIF('alb Note 6.1 -  Intangibles CY'!$A:$A,$J957,'alb Note 6.1 -  Intangibles CY'!$E:$E)</f>
        <v>0</v>
      </c>
      <c r="L957" s="251">
        <f>SUMIF('alb Note 6.1 -  Intangibles CY'!$A:$A,$J957,'alb Note 6.1 -  Intangibles CY'!$P:$P)</f>
        <v>0</v>
      </c>
      <c r="M957" s="10"/>
      <c r="N957" s="273">
        <f>ROUND(SUM(O957:S957)+SUM(W957:AV957),0)</f>
        <v>63</v>
      </c>
      <c r="O957" s="12"/>
      <c r="P957" s="12"/>
      <c r="Q957" s="12"/>
      <c r="R957" s="12"/>
      <c r="S957" s="6">
        <f t="shared" si="521"/>
        <v>0</v>
      </c>
      <c r="T957" s="273">
        <f>ROUND(SUM(U957:Y957),0)</f>
        <v>63</v>
      </c>
      <c r="U957" s="6">
        <f>SUM(BL957:BN957)</f>
        <v>0</v>
      </c>
      <c r="V957" s="6"/>
      <c r="W957" s="6">
        <f t="shared" si="558"/>
        <v>63</v>
      </c>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X957" s="6"/>
      <c r="AY957" s="6">
        <f>ROUND(AX957/1000/Update!$B$31*Update!$B$27,0)</f>
        <v>0</v>
      </c>
      <c r="BA957" s="6"/>
      <c r="BB957" s="6">
        <f>ROUND(BA957/1000/Update!$B$31,0)</f>
        <v>0</v>
      </c>
      <c r="BC957" s="6"/>
      <c r="BD957" s="29">
        <f t="shared" si="538"/>
        <v>0</v>
      </c>
      <c r="BE957" s="322"/>
      <c r="BF957" s="322"/>
      <c r="BG957" s="322"/>
      <c r="BH957" s="322"/>
      <c r="BI957" s="322"/>
      <c r="BJ957" s="322"/>
      <c r="BK957" s="29">
        <f t="shared" si="551"/>
        <v>0</v>
      </c>
      <c r="BL957" s="322"/>
      <c r="BM957" s="322"/>
      <c r="BN957" s="322"/>
      <c r="BO957" s="322"/>
      <c r="BP957" s="322"/>
      <c r="BQ957" s="322"/>
      <c r="BR957" s="322"/>
      <c r="BS957" s="322"/>
      <c r="BT957" s="322"/>
      <c r="BU957" s="322"/>
      <c r="BV957" s="322"/>
      <c r="BW957" s="322"/>
      <c r="BX957" s="322"/>
      <c r="BY957" s="322"/>
      <c r="BZ957" s="322"/>
      <c r="CA957" s="322"/>
      <c r="CB957" s="322"/>
      <c r="CC957" s="322"/>
      <c r="CD957" s="322"/>
      <c r="CE957" s="322"/>
      <c r="CF957" s="322"/>
      <c r="CG957" s="322"/>
      <c r="CH957" s="322"/>
      <c r="CI957" s="322"/>
      <c r="CM957" s="1139">
        <v>0</v>
      </c>
      <c r="CN957" s="1139">
        <v>0</v>
      </c>
      <c r="CP957" s="923">
        <f t="shared" si="526"/>
        <v>0</v>
      </c>
      <c r="CZ957" s="330"/>
    </row>
    <row r="958" spans="1:104" ht="15" customHeight="1" x14ac:dyDescent="0.25">
      <c r="A958" s="684">
        <f>MAX($A$6:A957)+1</f>
        <v>958</v>
      </c>
      <c r="B958" s="3">
        <f t="shared" ref="B958:B1020" si="561">B957</f>
        <v>6.1</v>
      </c>
      <c r="C958" s="11" t="str">
        <f t="shared" si="533"/>
        <v>Consolidated intangible assets 2025-26</v>
      </c>
      <c r="D958" s="11" t="str">
        <f>D957</f>
        <v>Development Expenditure</v>
      </c>
      <c r="E958" s="7" t="s">
        <v>435</v>
      </c>
      <c r="F958" s="7"/>
      <c r="G958" s="1254" t="s">
        <v>435</v>
      </c>
      <c r="H958" s="6">
        <v>0</v>
      </c>
      <c r="I958" s="6">
        <v>0</v>
      </c>
      <c r="J958" s="1257" t="s">
        <v>184</v>
      </c>
      <c r="K958" s="251">
        <f>SUMIF('alb Note 6.1 -  Intangibles CY'!$A:$A,$J958,'alb Note 6.1 -  Intangibles CY'!$E:$E)</f>
        <v>0</v>
      </c>
      <c r="L958" s="251">
        <f>SUMIF('alb Note 6.1 -  Intangibles CY'!$A:$A,$J958,'alb Note 6.1 -  Intangibles CY'!$P:$P)</f>
        <v>0</v>
      </c>
      <c r="M958" s="10"/>
      <c r="N958" s="273">
        <f>ROUND(SUM(O958:S958)+SUM(W958:AV958),0)</f>
        <v>0</v>
      </c>
      <c r="O958" s="12"/>
      <c r="P958" s="12"/>
      <c r="Q958" s="12"/>
      <c r="R958" s="12"/>
      <c r="S958" s="6">
        <f t="shared" si="521"/>
        <v>0</v>
      </c>
      <c r="T958" s="273">
        <f>ROUND(SUM(U958:Y958),0)</f>
        <v>0</v>
      </c>
      <c r="U958" s="6">
        <f>SUM(BL958:BN958)</f>
        <v>0</v>
      </c>
      <c r="V958" s="6"/>
      <c r="W958" s="6">
        <f t="shared" si="558"/>
        <v>0</v>
      </c>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X958" s="6"/>
      <c r="AY958" s="6">
        <f>ROUND(AX958/1000/Update!$B$31*Update!$B$27,0)</f>
        <v>0</v>
      </c>
      <c r="BA958" s="6"/>
      <c r="BB958" s="6">
        <f>ROUND(BA958/1000/Update!$B$31,0)</f>
        <v>0</v>
      </c>
      <c r="BC958" s="6"/>
      <c r="BD958" s="29">
        <f t="shared" si="538"/>
        <v>0</v>
      </c>
      <c r="BE958" s="322"/>
      <c r="BF958" s="322"/>
      <c r="BG958" s="322"/>
      <c r="BH958" s="322"/>
      <c r="BI958" s="322"/>
      <c r="BJ958" s="322"/>
      <c r="BK958" s="29">
        <f t="shared" si="551"/>
        <v>0</v>
      </c>
      <c r="BL958" s="322"/>
      <c r="BM958" s="322"/>
      <c r="BN958" s="322"/>
      <c r="BO958" s="322"/>
      <c r="BP958" s="322"/>
      <c r="BQ958" s="322"/>
      <c r="BR958" s="322"/>
      <c r="BS958" s="322"/>
      <c r="BT958" s="322"/>
      <c r="BU958" s="322"/>
      <c r="BV958" s="322"/>
      <c r="BW958" s="322"/>
      <c r="BX958" s="322"/>
      <c r="BY958" s="322"/>
      <c r="BZ958" s="322"/>
      <c r="CA958" s="322"/>
      <c r="CB958" s="322"/>
      <c r="CC958" s="322"/>
      <c r="CD958" s="322"/>
      <c r="CE958" s="322"/>
      <c r="CF958" s="322"/>
      <c r="CG958" s="322"/>
      <c r="CH958" s="322"/>
      <c r="CI958" s="322"/>
      <c r="CM958" s="1139">
        <v>0</v>
      </c>
      <c r="CN958" s="1139">
        <v>0</v>
      </c>
      <c r="CP958" s="923">
        <f t="shared" si="526"/>
        <v>0</v>
      </c>
      <c r="CZ958" s="330"/>
    </row>
    <row r="959" spans="1:104" ht="15" customHeight="1" x14ac:dyDescent="0.25">
      <c r="A959" s="701">
        <f>MAX($A$6:A958)+1</f>
        <v>959</v>
      </c>
      <c r="B959" s="1291">
        <f t="shared" si="561"/>
        <v>6.1</v>
      </c>
      <c r="C959" s="18" t="str">
        <f t="shared" si="533"/>
        <v>Consolidated intangible assets 2025-26</v>
      </c>
      <c r="D959" s="18" t="str">
        <f>D958</f>
        <v>Development Expenditure</v>
      </c>
      <c r="E959" s="19" t="s">
        <v>869</v>
      </c>
      <c r="F959" s="20"/>
      <c r="G959" s="1278" t="s">
        <v>442</v>
      </c>
      <c r="H959" s="14">
        <f>SUM(H956:H958)</f>
        <v>63</v>
      </c>
      <c r="I959" s="14">
        <f>SUM(I956:I958)</f>
        <v>0</v>
      </c>
      <c r="J959" s="1258" t="s">
        <v>869</v>
      </c>
      <c r="K959" s="256">
        <f>SUM(K956:K958)</f>
        <v>0</v>
      </c>
      <c r="L959" s="256">
        <f>SUM(L956:L958)</f>
        <v>0</v>
      </c>
      <c r="M959" s="21"/>
      <c r="N959" s="14">
        <f>ROUND(SUM(O959:S959)+T959+SUM(Z959:AV959),0)</f>
        <v>63</v>
      </c>
      <c r="O959" s="14">
        <f t="shared" ref="O959:W959" si="562">SUM(O956:O958)</f>
        <v>0</v>
      </c>
      <c r="P959" s="14">
        <f t="shared" si="562"/>
        <v>0</v>
      </c>
      <c r="Q959" s="14">
        <f t="shared" si="562"/>
        <v>0</v>
      </c>
      <c r="R959" s="14">
        <f t="shared" si="562"/>
        <v>0</v>
      </c>
      <c r="S959" s="14">
        <f t="shared" si="521"/>
        <v>0</v>
      </c>
      <c r="T959" s="14">
        <f t="shared" si="562"/>
        <v>63</v>
      </c>
      <c r="U959" s="14">
        <f t="shared" si="562"/>
        <v>0</v>
      </c>
      <c r="V959" s="14">
        <f t="shared" si="562"/>
        <v>0</v>
      </c>
      <c r="W959" s="14">
        <f t="shared" si="562"/>
        <v>63</v>
      </c>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2"/>
      <c r="AX959" s="14">
        <f>SUM(AX956:AX958)</f>
        <v>0</v>
      </c>
      <c r="AY959" s="14">
        <f>ROUND(AX959/1000/Update!$B$31*Update!$B$27,0)</f>
        <v>0</v>
      </c>
      <c r="AZ959" s="2"/>
      <c r="BA959" s="14">
        <f>SUM(BA956:BA958)</f>
        <v>0</v>
      </c>
      <c r="BB959" s="14">
        <f>ROUND(BA959/1000/Update!$B$31,0)</f>
        <v>0</v>
      </c>
      <c r="BC959" s="14"/>
      <c r="BD959" s="14">
        <f t="shared" si="538"/>
        <v>0</v>
      </c>
      <c r="BE959" s="14">
        <f t="shared" ref="BE959:BJ959" si="563">SUM(BE956:BE958)</f>
        <v>0</v>
      </c>
      <c r="BF959" s="14">
        <f t="shared" si="563"/>
        <v>0</v>
      </c>
      <c r="BG959" s="14">
        <f t="shared" si="563"/>
        <v>0</v>
      </c>
      <c r="BH959" s="14">
        <f t="shared" si="563"/>
        <v>0</v>
      </c>
      <c r="BI959" s="14">
        <f t="shared" si="563"/>
        <v>0</v>
      </c>
      <c r="BJ959" s="14">
        <f t="shared" si="563"/>
        <v>0</v>
      </c>
      <c r="BK959" s="14">
        <f t="shared" si="551"/>
        <v>0</v>
      </c>
      <c r="BL959" s="14"/>
      <c r="BM959" s="14"/>
      <c r="BN959" s="14"/>
      <c r="BO959" s="14"/>
      <c r="BP959" s="14"/>
      <c r="BQ959" s="14"/>
      <c r="BR959" s="14"/>
      <c r="BS959" s="14"/>
      <c r="BT959" s="324"/>
      <c r="BU959" s="14"/>
      <c r="BV959" s="14"/>
      <c r="BW959" s="14"/>
      <c r="BX959" s="14"/>
      <c r="BY959" s="14"/>
      <c r="BZ959" s="14"/>
      <c r="CA959" s="14"/>
      <c r="CB959" s="14"/>
      <c r="CC959" s="14"/>
      <c r="CD959" s="14"/>
      <c r="CE959" s="14"/>
      <c r="CF959" s="14"/>
      <c r="CG959" s="14"/>
      <c r="CH959" s="14"/>
      <c r="CI959" s="14"/>
      <c r="CJ959" s="2"/>
      <c r="CK959" s="2"/>
      <c r="CM959" s="1140">
        <v>0</v>
      </c>
      <c r="CN959" s="1140">
        <v>0</v>
      </c>
      <c r="CP959" s="923">
        <f t="shared" si="526"/>
        <v>0</v>
      </c>
      <c r="CZ959" s="330"/>
    </row>
    <row r="960" spans="1:104" ht="15" customHeight="1" x14ac:dyDescent="0.25">
      <c r="A960" s="684">
        <f>MAX($A$6:A959)+1</f>
        <v>960</v>
      </c>
      <c r="B960" s="3">
        <f t="shared" si="561"/>
        <v>6.1</v>
      </c>
      <c r="C960" s="11" t="str">
        <f t="shared" si="533"/>
        <v>Consolidated intangible assets 2025-26</v>
      </c>
      <c r="D960" s="11" t="s">
        <v>212</v>
      </c>
      <c r="E960" s="7" t="s">
        <v>185</v>
      </c>
      <c r="F960" s="7"/>
      <c r="G960" s="1254" t="s">
        <v>185</v>
      </c>
      <c r="H960" s="6">
        <v>0</v>
      </c>
      <c r="I960" s="6">
        <v>0</v>
      </c>
      <c r="J960" s="1257" t="s">
        <v>185</v>
      </c>
      <c r="K960" s="251">
        <f>SUMIF('alb Note 6.1 -  Intangibles CY'!$A:$A,$J960,'alb Note 6.1 -  Intangibles CY'!$E:$E)</f>
        <v>0</v>
      </c>
      <c r="L960" s="251">
        <f>SUMIF('alb Note 6.1 -  Intangibles CY'!$A:$A,$J960,'alb Note 6.1 -  Intangibles CY'!$P:$P)</f>
        <v>0</v>
      </c>
      <c r="M960" s="10"/>
      <c r="N960" s="273">
        <f t="shared" ref="N960:N968" si="564">ROUND(SUM(O960:S960)+SUM(W960:AV960),0)</f>
        <v>0</v>
      </c>
      <c r="O960" s="12"/>
      <c r="P960" s="12"/>
      <c r="Q960" s="12"/>
      <c r="R960" s="12"/>
      <c r="S960" s="6">
        <f t="shared" si="521"/>
        <v>0</v>
      </c>
      <c r="T960" s="273">
        <f t="shared" ref="T960:T968" si="565">ROUND(SUM(U960:Y960),0)</f>
        <v>0</v>
      </c>
      <c r="U960" s="6">
        <f t="shared" ref="U960:U968" si="566">SUM(BL960:BN960)</f>
        <v>0</v>
      </c>
      <c r="V960" s="6"/>
      <c r="W960" s="6">
        <f t="shared" si="558"/>
        <v>0</v>
      </c>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X960" s="6"/>
      <c r="AY960" s="6">
        <f>ROUND(AX960/1000/Update!$B$31*Update!$B$27,0)</f>
        <v>0</v>
      </c>
      <c r="BA960" s="6"/>
      <c r="BB960" s="6">
        <f>ROUND(BA960/1000/Update!$B$31,0)</f>
        <v>0</v>
      </c>
      <c r="BC960" s="6"/>
      <c r="BD960" s="29">
        <f t="shared" si="538"/>
        <v>0</v>
      </c>
      <c r="BE960" s="322"/>
      <c r="BF960" s="322"/>
      <c r="BG960" s="322"/>
      <c r="BH960" s="322"/>
      <c r="BI960" s="322"/>
      <c r="BJ960" s="322"/>
      <c r="BK960" s="29">
        <f t="shared" si="551"/>
        <v>0</v>
      </c>
      <c r="BL960" s="322"/>
      <c r="BM960" s="322"/>
      <c r="BN960" s="322"/>
      <c r="BO960" s="322"/>
      <c r="BP960" s="322"/>
      <c r="BQ960" s="322"/>
      <c r="BR960" s="322"/>
      <c r="BS960" s="322"/>
      <c r="BT960" s="322"/>
      <c r="BU960" s="322"/>
      <c r="BV960" s="322"/>
      <c r="BW960" s="322"/>
      <c r="BX960" s="322"/>
      <c r="BY960" s="322"/>
      <c r="BZ960" s="322"/>
      <c r="CA960" s="322"/>
      <c r="CB960" s="322"/>
      <c r="CC960" s="322"/>
      <c r="CD960" s="322"/>
      <c r="CE960" s="322"/>
      <c r="CF960" s="322"/>
      <c r="CG960" s="322"/>
      <c r="CH960" s="322"/>
      <c r="CI960" s="322"/>
      <c r="CM960" s="1139">
        <v>0</v>
      </c>
      <c r="CN960" s="1139">
        <v>0</v>
      </c>
      <c r="CP960" s="923">
        <f t="shared" si="526"/>
        <v>0</v>
      </c>
      <c r="CZ960" s="330"/>
    </row>
    <row r="961" spans="1:104" ht="30" customHeight="1" x14ac:dyDescent="0.25">
      <c r="A961" s="684">
        <f>MAX($A$6:A960)+1</f>
        <v>961</v>
      </c>
      <c r="B961" s="3">
        <f t="shared" si="561"/>
        <v>6.1</v>
      </c>
      <c r="C961" s="11" t="str">
        <f t="shared" si="533"/>
        <v>Consolidated intangible assets 2025-26</v>
      </c>
      <c r="D961" s="11" t="str">
        <f>D960</f>
        <v>Development Expenditure</v>
      </c>
      <c r="E961" s="7" t="s">
        <v>437</v>
      </c>
      <c r="F961" s="7"/>
      <c r="G961" s="1254" t="s">
        <v>437</v>
      </c>
      <c r="H961" s="6">
        <v>0</v>
      </c>
      <c r="I961" s="6">
        <v>0</v>
      </c>
      <c r="J961" s="1257" t="s">
        <v>437</v>
      </c>
      <c r="K961" s="251">
        <f>SUMIF('alb Note 6.1 -  Intangibles CY'!$A:$A,$J961,'alb Note 6.1 -  Intangibles CY'!$E:$E)</f>
        <v>0</v>
      </c>
      <c r="L961" s="251">
        <f>SUMIF('alb Note 6.1 -  Intangibles CY'!$A:$A,$J961,'alb Note 6.1 -  Intangibles CY'!$P:$P)</f>
        <v>0</v>
      </c>
      <c r="M961" s="10"/>
      <c r="N961" s="273">
        <f t="shared" si="564"/>
        <v>0</v>
      </c>
      <c r="O961" s="12"/>
      <c r="P961" s="12"/>
      <c r="Q961" s="12"/>
      <c r="R961" s="12"/>
      <c r="S961" s="6">
        <f t="shared" si="521"/>
        <v>0</v>
      </c>
      <c r="T961" s="273">
        <f t="shared" si="565"/>
        <v>0</v>
      </c>
      <c r="U961" s="6">
        <f t="shared" si="566"/>
        <v>0</v>
      </c>
      <c r="V961" s="6"/>
      <c r="W961" s="6">
        <f t="shared" si="558"/>
        <v>0</v>
      </c>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X961" s="6"/>
      <c r="AY961" s="6">
        <f>ROUND(AX961/1000/Update!$B$31*Update!$B$27,0)</f>
        <v>0</v>
      </c>
      <c r="BA961" s="6"/>
      <c r="BB961" s="6">
        <f>ROUND(BA961/1000/Update!$B$31,0)</f>
        <v>0</v>
      </c>
      <c r="BC961" s="6"/>
      <c r="BD961" s="29">
        <f t="shared" si="538"/>
        <v>0</v>
      </c>
      <c r="BE961" s="322"/>
      <c r="BF961" s="322"/>
      <c r="BG961" s="322"/>
      <c r="BH961" s="322"/>
      <c r="BI961" s="322"/>
      <c r="BJ961" s="322"/>
      <c r="BK961" s="29">
        <f t="shared" si="551"/>
        <v>0</v>
      </c>
      <c r="BL961" s="322"/>
      <c r="BM961" s="322"/>
      <c r="BN961" s="322"/>
      <c r="BO961" s="322"/>
      <c r="BP961" s="322"/>
      <c r="BQ961" s="322"/>
      <c r="BR961" s="322"/>
      <c r="BS961" s="322"/>
      <c r="BT961" s="322"/>
      <c r="BU961" s="322"/>
      <c r="BV961" s="322"/>
      <c r="BW961" s="322"/>
      <c r="BX961" s="322"/>
      <c r="BY961" s="322"/>
      <c r="BZ961" s="322"/>
      <c r="CA961" s="322"/>
      <c r="CB961" s="322"/>
      <c r="CC961" s="322"/>
      <c r="CD961" s="322"/>
      <c r="CE961" s="322"/>
      <c r="CF961" s="322"/>
      <c r="CG961" s="322"/>
      <c r="CH961" s="322"/>
      <c r="CI961" s="322"/>
      <c r="CM961" s="1139">
        <v>0</v>
      </c>
      <c r="CN961" s="1139">
        <v>0</v>
      </c>
      <c r="CP961" s="923">
        <f t="shared" si="526"/>
        <v>0</v>
      </c>
      <c r="CZ961" s="330"/>
    </row>
    <row r="962" spans="1:104" ht="15" customHeight="1" x14ac:dyDescent="0.25">
      <c r="A962" s="684">
        <f>MAX($A$6:A961)+1</f>
        <v>962</v>
      </c>
      <c r="B962" s="3">
        <f t="shared" si="561"/>
        <v>6.1</v>
      </c>
      <c r="C962" s="11" t="str">
        <f>C959</f>
        <v>Consolidated intangible assets 2025-26</v>
      </c>
      <c r="D962" s="11" t="s">
        <v>212</v>
      </c>
      <c r="E962" s="7" t="s">
        <v>187</v>
      </c>
      <c r="F962" s="7"/>
      <c r="G962" s="1257" t="s">
        <v>187</v>
      </c>
      <c r="H962" s="6">
        <v>0</v>
      </c>
      <c r="I962" s="6">
        <v>0</v>
      </c>
      <c r="J962" s="1257" t="s">
        <v>187</v>
      </c>
      <c r="K962" s="251">
        <f>SUMIF('alb Note 6.1 -  Intangibles CY'!$A:$A,$J962,'alb Note 6.1 -  Intangibles CY'!$E:$E)</f>
        <v>0</v>
      </c>
      <c r="L962" s="251">
        <f>SUMIF('alb Note 6.1 -  Intangibles CY'!$A:$A,$J962,'alb Note 6.1 -  Intangibles CY'!$P:$P)</f>
        <v>0</v>
      </c>
      <c r="M962" s="10"/>
      <c r="N962" s="273">
        <f t="shared" si="564"/>
        <v>0</v>
      </c>
      <c r="O962" s="12"/>
      <c r="P962" s="12"/>
      <c r="Q962" s="12"/>
      <c r="R962" s="12"/>
      <c r="S962" s="6">
        <f t="shared" si="521"/>
        <v>0</v>
      </c>
      <c r="T962" s="273">
        <f t="shared" si="565"/>
        <v>0</v>
      </c>
      <c r="U962" s="6">
        <f t="shared" si="566"/>
        <v>0</v>
      </c>
      <c r="V962" s="6"/>
      <c r="W962" s="6">
        <f t="shared" si="558"/>
        <v>0</v>
      </c>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X962" s="6"/>
      <c r="AY962" s="6">
        <f>ROUND(AX962/1000/Update!$B$31*Update!$B$27,0)</f>
        <v>0</v>
      </c>
      <c r="BA962" s="6"/>
      <c r="BB962" s="6">
        <f>ROUND(BA962/1000/Update!$B$31,0)</f>
        <v>0</v>
      </c>
      <c r="BC962" s="6"/>
      <c r="BD962" s="29">
        <f t="shared" si="538"/>
        <v>0</v>
      </c>
      <c r="BE962" s="322"/>
      <c r="BF962" s="322"/>
      <c r="BG962" s="322"/>
      <c r="BH962" s="322"/>
      <c r="BI962" s="322"/>
      <c r="BJ962" s="322"/>
      <c r="BK962" s="29">
        <f t="shared" si="551"/>
        <v>0</v>
      </c>
      <c r="BL962" s="322"/>
      <c r="BM962" s="322"/>
      <c r="BN962" s="322"/>
      <c r="BO962" s="322"/>
      <c r="BP962" s="322"/>
      <c r="BQ962" s="322"/>
      <c r="BR962" s="322"/>
      <c r="BS962" s="322"/>
      <c r="BT962" s="322"/>
      <c r="BU962" s="322"/>
      <c r="BV962" s="322"/>
      <c r="BW962" s="322"/>
      <c r="BX962" s="322"/>
      <c r="BY962" s="322"/>
      <c r="BZ962" s="322"/>
      <c r="CA962" s="322"/>
      <c r="CB962" s="322"/>
      <c r="CC962" s="322"/>
      <c r="CD962" s="322"/>
      <c r="CE962" s="322"/>
      <c r="CF962" s="322"/>
      <c r="CG962" s="322"/>
      <c r="CH962" s="322"/>
      <c r="CI962" s="322"/>
      <c r="CM962" s="1139">
        <v>0</v>
      </c>
      <c r="CN962" s="1139">
        <v>0</v>
      </c>
      <c r="CP962" s="923">
        <f t="shared" si="526"/>
        <v>0</v>
      </c>
      <c r="CZ962" s="330"/>
    </row>
    <row r="963" spans="1:104" ht="15" customHeight="1" x14ac:dyDescent="0.25">
      <c r="A963" s="684">
        <f>MAX($A$6:A962)+1</f>
        <v>963</v>
      </c>
      <c r="B963" s="3">
        <f t="shared" si="561"/>
        <v>6.1</v>
      </c>
      <c r="C963" s="11" t="str">
        <f>C961</f>
        <v>Consolidated intangible assets 2025-26</v>
      </c>
      <c r="D963" s="11" t="s">
        <v>212</v>
      </c>
      <c r="E963" s="7" t="s">
        <v>191</v>
      </c>
      <c r="F963" s="7"/>
      <c r="G963" s="1254" t="s">
        <v>457</v>
      </c>
      <c r="H963" s="6">
        <v>0</v>
      </c>
      <c r="I963" s="6">
        <v>0</v>
      </c>
      <c r="J963" s="1257" t="s">
        <v>191</v>
      </c>
      <c r="K963" s="251">
        <f>SUMIF('alb Note 6.1 -  Intangibles CY'!$A:$A,$J963,'alb Note 6.1 -  Intangibles CY'!$E:$E)</f>
        <v>0</v>
      </c>
      <c r="L963" s="251">
        <f>SUMIF('alb Note 6.1 -  Intangibles CY'!$A:$A,$J963,'alb Note 6.1 -  Intangibles CY'!$P:$P)</f>
        <v>0</v>
      </c>
      <c r="M963" s="10"/>
      <c r="N963" s="273">
        <f t="shared" si="564"/>
        <v>0</v>
      </c>
      <c r="O963" s="12"/>
      <c r="P963" s="12"/>
      <c r="Q963" s="12"/>
      <c r="R963" s="12"/>
      <c r="S963" s="6">
        <f t="shared" si="521"/>
        <v>0</v>
      </c>
      <c r="T963" s="273">
        <f t="shared" si="565"/>
        <v>0</v>
      </c>
      <c r="U963" s="6">
        <f t="shared" si="566"/>
        <v>0</v>
      </c>
      <c r="V963" s="6"/>
      <c r="W963" s="6">
        <f t="shared" si="558"/>
        <v>0</v>
      </c>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X963" s="6"/>
      <c r="AY963" s="6">
        <f>ROUND(AX963/1000/Update!$B$31*Update!$B$27,0)</f>
        <v>0</v>
      </c>
      <c r="BA963" s="6"/>
      <c r="BB963" s="6">
        <f>ROUND(BA963/1000/Update!$B$31,0)</f>
        <v>0</v>
      </c>
      <c r="BC963" s="6"/>
      <c r="BD963" s="29">
        <f t="shared" si="538"/>
        <v>0</v>
      </c>
      <c r="BE963" s="322"/>
      <c r="BF963" s="322"/>
      <c r="BG963" s="322"/>
      <c r="BH963" s="322"/>
      <c r="BI963" s="322"/>
      <c r="BJ963" s="322"/>
      <c r="BK963" s="29">
        <f t="shared" si="551"/>
        <v>0</v>
      </c>
      <c r="BL963" s="322"/>
      <c r="BM963" s="322"/>
      <c r="BN963" s="322"/>
      <c r="BO963" s="322"/>
      <c r="BP963" s="322"/>
      <c r="BQ963" s="322"/>
      <c r="BR963" s="322"/>
      <c r="BS963" s="322"/>
      <c r="BT963" s="322"/>
      <c r="BU963" s="322"/>
      <c r="BV963" s="322"/>
      <c r="BW963" s="322"/>
      <c r="BX963" s="322"/>
      <c r="BY963" s="322"/>
      <c r="BZ963" s="322"/>
      <c r="CA963" s="322"/>
      <c r="CB963" s="322"/>
      <c r="CC963" s="322"/>
      <c r="CD963" s="322"/>
      <c r="CE963" s="322"/>
      <c r="CF963" s="322"/>
      <c r="CG963" s="322"/>
      <c r="CH963" s="322"/>
      <c r="CI963" s="322"/>
      <c r="CM963" s="1139">
        <v>0</v>
      </c>
      <c r="CN963" s="1139">
        <v>0</v>
      </c>
      <c r="CP963" s="923">
        <f t="shared" si="526"/>
        <v>0</v>
      </c>
      <c r="CZ963" s="330"/>
    </row>
    <row r="964" spans="1:104" ht="15" customHeight="1" x14ac:dyDescent="0.25">
      <c r="A964" s="684">
        <f>MAX($A$6:A963)+1</f>
        <v>964</v>
      </c>
      <c r="B964" s="3">
        <f t="shared" si="561"/>
        <v>6.1</v>
      </c>
      <c r="C964" s="11" t="str">
        <f t="shared" si="533"/>
        <v>Consolidated intangible assets 2025-26</v>
      </c>
      <c r="D964" s="11" t="s">
        <v>212</v>
      </c>
      <c r="E964" s="7" t="s">
        <v>186</v>
      </c>
      <c r="F964" s="7"/>
      <c r="G964" s="1254" t="s">
        <v>186</v>
      </c>
      <c r="H964" s="6">
        <v>0</v>
      </c>
      <c r="I964" s="6">
        <v>0</v>
      </c>
      <c r="J964" s="1257" t="s">
        <v>186</v>
      </c>
      <c r="K964" s="251">
        <f>SUMIF('alb Note 6.1 -  Intangibles CY'!$A:$A,$J964,'alb Note 6.1 -  Intangibles CY'!$E:$E)</f>
        <v>0</v>
      </c>
      <c r="L964" s="251">
        <f>SUMIF('alb Note 6.1 -  Intangibles CY'!$A:$A,$J964,'alb Note 6.1 -  Intangibles CY'!$P:$P)</f>
        <v>0</v>
      </c>
      <c r="M964" s="10"/>
      <c r="N964" s="273">
        <f t="shared" si="564"/>
        <v>0</v>
      </c>
      <c r="O964" s="12"/>
      <c r="P964" s="12"/>
      <c r="Q964" s="12"/>
      <c r="R964" s="12"/>
      <c r="S964" s="6">
        <f t="shared" si="521"/>
        <v>0</v>
      </c>
      <c r="T964" s="273">
        <f t="shared" si="565"/>
        <v>0</v>
      </c>
      <c r="U964" s="6">
        <f t="shared" si="566"/>
        <v>0</v>
      </c>
      <c r="V964" s="6"/>
      <c r="W964" s="6">
        <f t="shared" si="558"/>
        <v>0</v>
      </c>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X964" s="6"/>
      <c r="AY964" s="6">
        <f>ROUND(AX964/1000/Update!$B$31*Update!$B$27,0)</f>
        <v>0</v>
      </c>
      <c r="BA964" s="6"/>
      <c r="BB964" s="6">
        <f>ROUND(BA964/1000/Update!$B$31,0)</f>
        <v>0</v>
      </c>
      <c r="BC964" s="6"/>
      <c r="BD964" s="29">
        <f t="shared" si="538"/>
        <v>0</v>
      </c>
      <c r="BE964" s="322"/>
      <c r="BF964" s="322"/>
      <c r="BG964" s="322"/>
      <c r="BH964" s="322"/>
      <c r="BI964" s="322"/>
      <c r="BJ964" s="322"/>
      <c r="BK964" s="29">
        <f t="shared" si="551"/>
        <v>0</v>
      </c>
      <c r="BL964" s="322"/>
      <c r="BM964" s="322"/>
      <c r="BN964" s="322"/>
      <c r="BO964" s="322"/>
      <c r="BP964" s="322"/>
      <c r="BQ964" s="322"/>
      <c r="BR964" s="322"/>
      <c r="BS964" s="322"/>
      <c r="BT964" s="322"/>
      <c r="BU964" s="322"/>
      <c r="BV964" s="322"/>
      <c r="BW964" s="322"/>
      <c r="BX964" s="322"/>
      <c r="BY964" s="322"/>
      <c r="BZ964" s="322"/>
      <c r="CA964" s="322"/>
      <c r="CB964" s="322"/>
      <c r="CC964" s="322"/>
      <c r="CD964" s="322"/>
      <c r="CE964" s="322"/>
      <c r="CF964" s="322"/>
      <c r="CG964" s="322"/>
      <c r="CH964" s="322"/>
      <c r="CI964" s="322"/>
      <c r="CM964" s="1139">
        <v>0</v>
      </c>
      <c r="CN964" s="1139">
        <v>0</v>
      </c>
      <c r="CP964" s="923">
        <f t="shared" si="526"/>
        <v>0</v>
      </c>
      <c r="CZ964" s="330"/>
    </row>
    <row r="965" spans="1:104" ht="15" customHeight="1" x14ac:dyDescent="0.25">
      <c r="A965" s="684">
        <f>MAX($A$6:A964)+1</f>
        <v>965</v>
      </c>
      <c r="B965" s="3">
        <f t="shared" si="561"/>
        <v>6.1</v>
      </c>
      <c r="C965" s="11" t="str">
        <f t="shared" si="533"/>
        <v>Consolidated intangible assets 2025-26</v>
      </c>
      <c r="D965" s="11" t="s">
        <v>212</v>
      </c>
      <c r="E965" s="7" t="s">
        <v>188</v>
      </c>
      <c r="F965" s="7"/>
      <c r="G965" s="1254" t="s">
        <v>188</v>
      </c>
      <c r="H965" s="6">
        <v>0</v>
      </c>
      <c r="I965" s="6">
        <v>0</v>
      </c>
      <c r="J965" s="1257" t="s">
        <v>188</v>
      </c>
      <c r="K965" s="251">
        <f>SUMIF('alb Note 6.1 -  Intangibles CY'!$A:$A,$J965,'alb Note 6.1 -  Intangibles CY'!$E:$E)</f>
        <v>0</v>
      </c>
      <c r="L965" s="251">
        <f>SUMIF('alb Note 6.1 -  Intangibles CY'!$A:$A,$J965,'alb Note 6.1 -  Intangibles CY'!$P:$P)</f>
        <v>0</v>
      </c>
      <c r="M965" s="10"/>
      <c r="N965" s="273">
        <f t="shared" si="564"/>
        <v>0</v>
      </c>
      <c r="O965" s="12"/>
      <c r="P965" s="12"/>
      <c r="Q965" s="12"/>
      <c r="R965" s="12"/>
      <c r="S965" s="6">
        <f t="shared" si="521"/>
        <v>0</v>
      </c>
      <c r="T965" s="273">
        <f t="shared" si="565"/>
        <v>0</v>
      </c>
      <c r="U965" s="6">
        <f t="shared" si="566"/>
        <v>0</v>
      </c>
      <c r="V965" s="6"/>
      <c r="W965" s="6">
        <f t="shared" si="558"/>
        <v>0</v>
      </c>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X965" s="6"/>
      <c r="AY965" s="6">
        <f>ROUND(AX965/1000/Update!$B$31*Update!$B$27,0)</f>
        <v>0</v>
      </c>
      <c r="BA965" s="6"/>
      <c r="BB965" s="6">
        <f>ROUND(BA965/1000/Update!$B$31,0)</f>
        <v>0</v>
      </c>
      <c r="BC965" s="6"/>
      <c r="BD965" s="29">
        <f t="shared" si="538"/>
        <v>0</v>
      </c>
      <c r="BE965" s="322"/>
      <c r="BF965" s="322"/>
      <c r="BG965" s="322"/>
      <c r="BH965" s="322"/>
      <c r="BI965" s="322"/>
      <c r="BJ965" s="322"/>
      <c r="BK965" s="29">
        <f t="shared" si="551"/>
        <v>0</v>
      </c>
      <c r="BL965" s="322"/>
      <c r="BM965" s="322"/>
      <c r="BN965" s="322"/>
      <c r="BO965" s="322"/>
      <c r="BP965" s="322"/>
      <c r="BQ965" s="322"/>
      <c r="BR965" s="322"/>
      <c r="BS965" s="322"/>
      <c r="BT965" s="322"/>
      <c r="BU965" s="322"/>
      <c r="BV965" s="322"/>
      <c r="BW965" s="322"/>
      <c r="BX965" s="322"/>
      <c r="BY965" s="322"/>
      <c r="BZ965" s="322"/>
      <c r="CA965" s="322"/>
      <c r="CB965" s="322"/>
      <c r="CC965" s="322"/>
      <c r="CD965" s="322"/>
      <c r="CE965" s="322"/>
      <c r="CF965" s="322"/>
      <c r="CG965" s="322"/>
      <c r="CH965" s="322"/>
      <c r="CI965" s="322"/>
      <c r="CM965" s="1139">
        <v>0</v>
      </c>
      <c r="CN965" s="1139">
        <v>0</v>
      </c>
      <c r="CP965" s="923">
        <f t="shared" si="526"/>
        <v>0</v>
      </c>
      <c r="CZ965" s="330"/>
    </row>
    <row r="966" spans="1:104" ht="30" customHeight="1" x14ac:dyDescent="0.25">
      <c r="A966" s="684">
        <f>MAX($A$6:A965)+1</f>
        <v>966</v>
      </c>
      <c r="B966" s="3">
        <f t="shared" si="561"/>
        <v>6.1</v>
      </c>
      <c r="C966" s="11" t="str">
        <f t="shared" si="533"/>
        <v>Consolidated intangible assets 2025-26</v>
      </c>
      <c r="D966" s="11" t="s">
        <v>212</v>
      </c>
      <c r="E966" s="7" t="s">
        <v>192</v>
      </c>
      <c r="F966" s="7"/>
      <c r="G966" s="1254" t="s">
        <v>438</v>
      </c>
      <c r="H966" s="6">
        <v>0</v>
      </c>
      <c r="I966" s="6">
        <v>0</v>
      </c>
      <c r="J966" s="1257" t="s">
        <v>768</v>
      </c>
      <c r="K966" s="251">
        <f>SUMIF('alb Note 6.1 -  Intangibles CY'!$A:$A,$J966,'alb Note 6.1 -  Intangibles CY'!$E:$E)</f>
        <v>0</v>
      </c>
      <c r="L966" s="251">
        <f>SUMIF('alb Note 6.1 -  Intangibles CY'!$A:$A,$J966,'alb Note 6.1 -  Intangibles CY'!$P:$P)</f>
        <v>0</v>
      </c>
      <c r="M966" s="10"/>
      <c r="N966" s="273">
        <f t="shared" si="564"/>
        <v>0</v>
      </c>
      <c r="O966" s="12"/>
      <c r="P966" s="12"/>
      <c r="Q966" s="12"/>
      <c r="R966" s="12"/>
      <c r="S966" s="6">
        <f t="shared" si="521"/>
        <v>0</v>
      </c>
      <c r="T966" s="273">
        <f t="shared" si="565"/>
        <v>0</v>
      </c>
      <c r="U966" s="6">
        <f t="shared" si="566"/>
        <v>0</v>
      </c>
      <c r="V966" s="6"/>
      <c r="W966" s="6">
        <f t="shared" si="558"/>
        <v>0</v>
      </c>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X966" s="6"/>
      <c r="AY966" s="6">
        <f>ROUND(AX966/1000/Update!$B$31*Update!$B$27,0)</f>
        <v>0</v>
      </c>
      <c r="BA966" s="6"/>
      <c r="BB966" s="6">
        <f>ROUND(BA966/1000/Update!$B$31,0)</f>
        <v>0</v>
      </c>
      <c r="BC966" s="6"/>
      <c r="BD966" s="29">
        <f t="shared" si="538"/>
        <v>0</v>
      </c>
      <c r="BE966" s="322"/>
      <c r="BF966" s="322"/>
      <c r="BG966" s="322"/>
      <c r="BH966" s="322"/>
      <c r="BI966" s="322"/>
      <c r="BJ966" s="322"/>
      <c r="BK966" s="29">
        <f t="shared" si="551"/>
        <v>0</v>
      </c>
      <c r="BL966" s="322"/>
      <c r="BM966" s="322"/>
      <c r="BN966" s="322"/>
      <c r="BO966" s="322"/>
      <c r="BP966" s="322"/>
      <c r="BQ966" s="322"/>
      <c r="BR966" s="322"/>
      <c r="BS966" s="322"/>
      <c r="BT966" s="322"/>
      <c r="BU966" s="322"/>
      <c r="BV966" s="322"/>
      <c r="BW966" s="322"/>
      <c r="BX966" s="322"/>
      <c r="BY966" s="322"/>
      <c r="BZ966" s="322"/>
      <c r="CA966" s="322"/>
      <c r="CB966" s="322"/>
      <c r="CC966" s="322"/>
      <c r="CD966" s="322"/>
      <c r="CE966" s="322"/>
      <c r="CF966" s="322"/>
      <c r="CG966" s="322"/>
      <c r="CH966" s="322"/>
      <c r="CI966" s="322"/>
      <c r="CM966" s="1139">
        <v>0</v>
      </c>
      <c r="CN966" s="1139">
        <v>0</v>
      </c>
      <c r="CP966" s="923">
        <f t="shared" si="526"/>
        <v>0</v>
      </c>
      <c r="CZ966" s="330"/>
    </row>
    <row r="967" spans="1:104" ht="51" customHeight="1" x14ac:dyDescent="0.25">
      <c r="A967" s="684">
        <f>MAX($A$6:A966)+1</f>
        <v>967</v>
      </c>
      <c r="B967" s="3">
        <f t="shared" si="561"/>
        <v>6.1</v>
      </c>
      <c r="C967" s="11" t="str">
        <f t="shared" si="533"/>
        <v>Consolidated intangible assets 2025-26</v>
      </c>
      <c r="D967" s="11" t="s">
        <v>212</v>
      </c>
      <c r="E967" s="7" t="s">
        <v>193</v>
      </c>
      <c r="F967" s="7"/>
      <c r="G967" s="1254" t="s">
        <v>193</v>
      </c>
      <c r="H967" s="6">
        <v>0</v>
      </c>
      <c r="I967" s="6">
        <v>0</v>
      </c>
      <c r="J967" s="1257" t="s">
        <v>767</v>
      </c>
      <c r="K967" s="251">
        <f>SUMIF('alb Note 6.1 -  Intangibles CY'!$A:$A,$J967,'alb Note 6.1 -  Intangibles CY'!$E:$E)</f>
        <v>0</v>
      </c>
      <c r="L967" s="251">
        <f>SUMIF('alb Note 6.1 -  Intangibles CY'!$A:$A,$J967,'alb Note 6.1 -  Intangibles CY'!$P:$P)</f>
        <v>0</v>
      </c>
      <c r="M967" s="10"/>
      <c r="N967" s="273">
        <f t="shared" si="564"/>
        <v>0</v>
      </c>
      <c r="O967" s="12"/>
      <c r="P967" s="12"/>
      <c r="Q967" s="12"/>
      <c r="R967" s="12"/>
      <c r="S967" s="6">
        <f t="shared" ref="S967:S1032" si="567">-IF(ISNUMBER(BD967),BD967,0)</f>
        <v>0</v>
      </c>
      <c r="T967" s="273">
        <f t="shared" si="565"/>
        <v>0</v>
      </c>
      <c r="U967" s="6">
        <f t="shared" si="566"/>
        <v>0</v>
      </c>
      <c r="V967" s="6"/>
      <c r="W967" s="6">
        <f t="shared" si="558"/>
        <v>0</v>
      </c>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X967" s="6"/>
      <c r="AY967" s="6">
        <f>ROUND(AX967/1000/Update!$B$31*Update!$B$27,0)</f>
        <v>0</v>
      </c>
      <c r="BA967" s="6"/>
      <c r="BB967" s="6">
        <f>ROUND(BA967/1000/Update!$B$31,0)</f>
        <v>0</v>
      </c>
      <c r="BC967" s="6"/>
      <c r="BD967" s="29">
        <f t="shared" si="538"/>
        <v>0</v>
      </c>
      <c r="BE967" s="322"/>
      <c r="BF967" s="322"/>
      <c r="BG967" s="322"/>
      <c r="BH967" s="322"/>
      <c r="BI967" s="322"/>
      <c r="BJ967" s="322"/>
      <c r="BK967" s="29">
        <f t="shared" si="551"/>
        <v>0</v>
      </c>
      <c r="BL967" s="322"/>
      <c r="BM967" s="322"/>
      <c r="BN967" s="322"/>
      <c r="BO967" s="322"/>
      <c r="BP967" s="322"/>
      <c r="BQ967" s="322"/>
      <c r="BR967" s="322"/>
      <c r="BS967" s="322"/>
      <c r="BT967" s="322"/>
      <c r="BU967" s="322"/>
      <c r="BV967" s="322"/>
      <c r="BW967" s="322"/>
      <c r="BX967" s="322"/>
      <c r="BY967" s="322"/>
      <c r="BZ967" s="322"/>
      <c r="CA967" s="322"/>
      <c r="CB967" s="322"/>
      <c r="CC967" s="322"/>
      <c r="CD967" s="322"/>
      <c r="CE967" s="322"/>
      <c r="CF967" s="322"/>
      <c r="CG967" s="322"/>
      <c r="CH967" s="322"/>
      <c r="CI967" s="322"/>
      <c r="CM967" s="1139">
        <v>0</v>
      </c>
      <c r="CN967" s="1139">
        <v>0</v>
      </c>
      <c r="CP967" s="923">
        <f t="shared" si="526"/>
        <v>0</v>
      </c>
      <c r="CZ967" s="330"/>
    </row>
    <row r="968" spans="1:104" ht="15" customHeight="1" x14ac:dyDescent="0.25">
      <c r="A968" s="684">
        <f>MAX($A$6:A967)+1</f>
        <v>968</v>
      </c>
      <c r="B968" s="3">
        <f t="shared" si="561"/>
        <v>6.1</v>
      </c>
      <c r="C968" s="11" t="str">
        <f t="shared" si="533"/>
        <v>Consolidated intangible assets 2025-26</v>
      </c>
      <c r="D968" s="11" t="s">
        <v>212</v>
      </c>
      <c r="E968" s="7" t="s">
        <v>189</v>
      </c>
      <c r="F968" s="7"/>
      <c r="G968" s="1254" t="s">
        <v>189</v>
      </c>
      <c r="H968" s="6">
        <v>0</v>
      </c>
      <c r="I968" s="6">
        <v>0</v>
      </c>
      <c r="J968" s="1257" t="s">
        <v>557</v>
      </c>
      <c r="K968" s="251">
        <f>SUMIF('alb Note 6.1 -  Intangibles CY'!$A:$A,$J968,'alb Note 6.1 -  Intangibles CY'!$E:$E)</f>
        <v>0</v>
      </c>
      <c r="L968" s="251">
        <f>SUMIF('alb Note 6.1 -  Intangibles CY'!$A:$A,$J968,'alb Note 6.1 -  Intangibles CY'!$P:$P)</f>
        <v>0</v>
      </c>
      <c r="M968" s="10"/>
      <c r="N968" s="273">
        <f t="shared" si="564"/>
        <v>0</v>
      </c>
      <c r="O968" s="12"/>
      <c r="P968" s="12"/>
      <c r="Q968" s="12"/>
      <c r="R968" s="12"/>
      <c r="S968" s="6">
        <f t="shared" si="567"/>
        <v>0</v>
      </c>
      <c r="T968" s="273">
        <f t="shared" si="565"/>
        <v>0</v>
      </c>
      <c r="U968" s="6">
        <f t="shared" si="566"/>
        <v>0</v>
      </c>
      <c r="V968" s="6"/>
      <c r="W968" s="6">
        <f t="shared" si="558"/>
        <v>0</v>
      </c>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X968" s="6"/>
      <c r="AY968" s="6">
        <f>ROUND(AX968/1000/Update!$B$31*Update!$B$27,0)</f>
        <v>0</v>
      </c>
      <c r="BA968" s="6"/>
      <c r="BB968" s="6">
        <f>ROUND(BA968/1000/Update!$B$31,0)</f>
        <v>0</v>
      </c>
      <c r="BC968" s="6"/>
      <c r="BD968" s="29">
        <f t="shared" si="538"/>
        <v>0</v>
      </c>
      <c r="BE968" s="322"/>
      <c r="BF968" s="322"/>
      <c r="BG968" s="322"/>
      <c r="BH968" s="322"/>
      <c r="BI968" s="322"/>
      <c r="BJ968" s="322"/>
      <c r="BK968" s="29">
        <f t="shared" si="551"/>
        <v>0</v>
      </c>
      <c r="BL968" s="322"/>
      <c r="BM968" s="322"/>
      <c r="BN968" s="322"/>
      <c r="BO968" s="322"/>
      <c r="BP968" s="322"/>
      <c r="BQ968" s="322"/>
      <c r="BR968" s="322"/>
      <c r="BS968" s="322"/>
      <c r="BT968" s="322"/>
      <c r="BU968" s="322"/>
      <c r="BV968" s="322"/>
      <c r="BW968" s="322"/>
      <c r="BX968" s="322"/>
      <c r="BY968" s="322"/>
      <c r="BZ968" s="322"/>
      <c r="CA968" s="322"/>
      <c r="CB968" s="322"/>
      <c r="CC968" s="322"/>
      <c r="CD968" s="322"/>
      <c r="CE968" s="322"/>
      <c r="CF968" s="322"/>
      <c r="CG968" s="322"/>
      <c r="CH968" s="322"/>
      <c r="CI968" s="322"/>
      <c r="CM968" s="1139">
        <v>0</v>
      </c>
      <c r="CN968" s="1139">
        <v>0</v>
      </c>
      <c r="CP968" s="923">
        <f t="shared" ref="CP968:CP1031" si="568">-V968+BL968+BM968+BN968+CM968</f>
        <v>0</v>
      </c>
      <c r="CZ968" s="330"/>
    </row>
    <row r="969" spans="1:104" ht="15" customHeight="1" x14ac:dyDescent="0.25">
      <c r="A969" s="701">
        <f>MAX($A$6:A968)+1</f>
        <v>969</v>
      </c>
      <c r="B969" s="1291">
        <f t="shared" si="561"/>
        <v>6.1</v>
      </c>
      <c r="C969" s="18" t="str">
        <f t="shared" si="533"/>
        <v>Consolidated intangible assets 2025-26</v>
      </c>
      <c r="D969" s="18" t="s">
        <v>212</v>
      </c>
      <c r="E969" s="19" t="str">
        <f>"At"&amp;Update!$B$22</f>
        <v>At 31 March 2026</v>
      </c>
      <c r="F969" s="20"/>
      <c r="G969" s="28"/>
      <c r="H969" s="14">
        <f>SUM(H959:H968)</f>
        <v>63</v>
      </c>
      <c r="I969" s="14">
        <f>SUM(I959:I968)</f>
        <v>0</v>
      </c>
      <c r="J969" s="1258" t="s">
        <v>286</v>
      </c>
      <c r="K969" s="256">
        <f>SUM(K959:K968)</f>
        <v>0</v>
      </c>
      <c r="L969" s="256">
        <f>SUM(L959:L968)</f>
        <v>0</v>
      </c>
      <c r="M969" s="21"/>
      <c r="N969" s="14">
        <f>ROUND(SUM(O969:S969)+T969+SUM(Z969:AV969),0)</f>
        <v>63</v>
      </c>
      <c r="O969" s="14">
        <f t="shared" ref="O969:W969" si="569">SUM(O959:O968)</f>
        <v>0</v>
      </c>
      <c r="P969" s="14">
        <f t="shared" si="569"/>
        <v>0</v>
      </c>
      <c r="Q969" s="14">
        <f t="shared" si="569"/>
        <v>0</v>
      </c>
      <c r="R969" s="14">
        <f t="shared" si="569"/>
        <v>0</v>
      </c>
      <c r="S969" s="14">
        <f t="shared" si="567"/>
        <v>0</v>
      </c>
      <c r="T969" s="14">
        <f t="shared" si="569"/>
        <v>63</v>
      </c>
      <c r="U969" s="14">
        <f t="shared" si="569"/>
        <v>0</v>
      </c>
      <c r="V969" s="14">
        <f t="shared" si="569"/>
        <v>0</v>
      </c>
      <c r="W969" s="14">
        <f t="shared" si="569"/>
        <v>63</v>
      </c>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2"/>
      <c r="AX969" s="14">
        <f>SUM(AX959:AX968)</f>
        <v>0</v>
      </c>
      <c r="AY969" s="14">
        <f>ROUND(AX969/1000/Update!$B$31*Update!$B$27,0)</f>
        <v>0</v>
      </c>
      <c r="AZ969" s="2"/>
      <c r="BA969" s="14">
        <f>SUM(BA959:BA968)</f>
        <v>0</v>
      </c>
      <c r="BB969" s="14">
        <f>ROUND(BA969/1000/Update!$B$31,0)</f>
        <v>0</v>
      </c>
      <c r="BC969" s="14"/>
      <c r="BD969" s="14">
        <f t="shared" si="538"/>
        <v>0</v>
      </c>
      <c r="BE969" s="14">
        <f t="shared" ref="BE969:BJ969" si="570">SUM(BE959:BE968)</f>
        <v>0</v>
      </c>
      <c r="BF969" s="14">
        <f t="shared" si="570"/>
        <v>0</v>
      </c>
      <c r="BG969" s="14">
        <f t="shared" si="570"/>
        <v>0</v>
      </c>
      <c r="BH969" s="14">
        <f t="shared" si="570"/>
        <v>0</v>
      </c>
      <c r="BI969" s="14">
        <f t="shared" si="570"/>
        <v>0</v>
      </c>
      <c r="BJ969" s="14">
        <f t="shared" si="570"/>
        <v>0</v>
      </c>
      <c r="BK969" s="14">
        <f t="shared" si="551"/>
        <v>0</v>
      </c>
      <c r="BL969" s="14"/>
      <c r="BM969" s="14"/>
      <c r="BN969" s="14"/>
      <c r="BO969" s="14"/>
      <c r="BP969" s="14"/>
      <c r="BQ969" s="14"/>
      <c r="BR969" s="14"/>
      <c r="BS969" s="14"/>
      <c r="BT969" s="324"/>
      <c r="BU969" s="14"/>
      <c r="BV969" s="14"/>
      <c r="BW969" s="14"/>
      <c r="BX969" s="14"/>
      <c r="BY969" s="14"/>
      <c r="BZ969" s="14"/>
      <c r="CA969" s="14"/>
      <c r="CB969" s="14"/>
      <c r="CC969" s="14"/>
      <c r="CD969" s="14"/>
      <c r="CE969" s="14"/>
      <c r="CF969" s="14"/>
      <c r="CG969" s="14"/>
      <c r="CH969" s="14"/>
      <c r="CI969" s="14"/>
      <c r="CJ969" s="2"/>
      <c r="CK969" s="2"/>
      <c r="CM969" s="1140">
        <v>0</v>
      </c>
      <c r="CN969" s="1140">
        <v>0</v>
      </c>
      <c r="CP969" s="923">
        <f t="shared" si="568"/>
        <v>0</v>
      </c>
      <c r="CZ969" s="330"/>
    </row>
    <row r="970" spans="1:104" ht="18.75" customHeight="1" x14ac:dyDescent="0.25">
      <c r="A970" s="684">
        <f>MAX($A$6:A969)+1</f>
        <v>970</v>
      </c>
      <c r="B970" s="3">
        <f t="shared" si="561"/>
        <v>6.1</v>
      </c>
      <c r="C970" s="11" t="str">
        <f t="shared" si="533"/>
        <v>Consolidated intangible assets 2025-26</v>
      </c>
      <c r="D970" s="11" t="s">
        <v>212</v>
      </c>
      <c r="E970" s="277" t="s">
        <v>161</v>
      </c>
      <c r="F970" s="277"/>
      <c r="G970" s="26"/>
      <c r="H970" s="6"/>
      <c r="I970" s="6"/>
      <c r="J970" s="1257" t="s">
        <v>286</v>
      </c>
      <c r="K970" s="251">
        <f>SUMIF('alb Note 6.1 -  Intangibles CY'!$A:$A,$J970,'alb Note 6.1 -  Intangibles CY'!$E:$E)</f>
        <v>0</v>
      </c>
      <c r="L970" s="251">
        <f>SUMIF('alb Note 6.1 -  Intangibles CY'!$A:$A,$J970,'alb Note 6.1 -  Intangibles CY'!$P:$P)</f>
        <v>0</v>
      </c>
      <c r="M970" s="10"/>
      <c r="N970" s="273">
        <f>ROUND(SUM(O970:S970)+SUM(W970:AV970),0)</f>
        <v>0</v>
      </c>
      <c r="O970" s="12"/>
      <c r="P970" s="12"/>
      <c r="Q970" s="12"/>
      <c r="R970" s="12"/>
      <c r="S970" s="6">
        <f t="shared" si="567"/>
        <v>0</v>
      </c>
      <c r="T970" s="273">
        <f>ROUND(SUM(U970:Y970),0)</f>
        <v>0</v>
      </c>
      <c r="U970" s="6">
        <f>SUM(BL970:BN970)</f>
        <v>0</v>
      </c>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X970" s="6"/>
      <c r="AY970" s="6">
        <f>ROUND(AX970/1000/Update!$B$31*Update!$B$27,0)</f>
        <v>0</v>
      </c>
      <c r="BA970" s="6"/>
      <c r="BB970" s="6">
        <f>ROUND(BA970/1000/Update!$B$31,0)</f>
        <v>0</v>
      </c>
      <c r="BC970" s="6"/>
      <c r="BD970" s="29">
        <f t="shared" si="538"/>
        <v>0</v>
      </c>
      <c r="BE970" s="322"/>
      <c r="BF970" s="322"/>
      <c r="BG970" s="322"/>
      <c r="BH970" s="322"/>
      <c r="BI970" s="322"/>
      <c r="BJ970" s="322"/>
      <c r="BK970" s="29">
        <f t="shared" si="551"/>
        <v>0</v>
      </c>
      <c r="BL970" s="322"/>
      <c r="BM970" s="322"/>
      <c r="BN970" s="322"/>
      <c r="BO970" s="322"/>
      <c r="BP970" s="322"/>
      <c r="BQ970" s="322"/>
      <c r="BR970" s="322"/>
      <c r="BS970" s="322"/>
      <c r="BT970" s="322"/>
      <c r="BU970" s="322"/>
      <c r="BV970" s="322"/>
      <c r="BW970" s="322"/>
      <c r="BX970" s="322"/>
      <c r="BY970" s="322"/>
      <c r="BZ970" s="322"/>
      <c r="CA970" s="322"/>
      <c r="CB970" s="322"/>
      <c r="CC970" s="322"/>
      <c r="CD970" s="322"/>
      <c r="CE970" s="322"/>
      <c r="CF970" s="322"/>
      <c r="CG970" s="322"/>
      <c r="CH970" s="322"/>
      <c r="CI970" s="322"/>
      <c r="CM970" s="1139">
        <v>0</v>
      </c>
      <c r="CN970" s="1139">
        <v>0</v>
      </c>
      <c r="CP970" s="923">
        <f t="shared" si="568"/>
        <v>0</v>
      </c>
      <c r="CZ970" s="330"/>
    </row>
    <row r="971" spans="1:104" ht="15" customHeight="1" x14ac:dyDescent="0.25">
      <c r="A971" s="684">
        <f>MAX($A$6:A970)+1</f>
        <v>971</v>
      </c>
      <c r="B971" s="3">
        <f t="shared" si="561"/>
        <v>6.1</v>
      </c>
      <c r="C971" s="11" t="str">
        <f t="shared" si="533"/>
        <v>Consolidated intangible assets 2025-26</v>
      </c>
      <c r="D971" s="11" t="s">
        <v>212</v>
      </c>
      <c r="E971" s="7" t="str">
        <f>"At"&amp;Update!$B$20&amp;" "</f>
        <v xml:space="preserve">At 1 April 2025 </v>
      </c>
      <c r="F971" s="15"/>
      <c r="G971" s="1267" t="str">
        <f>"At"&amp;Update!$B$20</f>
        <v>At 1 April 2025</v>
      </c>
      <c r="H971" s="6">
        <v>63</v>
      </c>
      <c r="I971" s="6">
        <v>0</v>
      </c>
      <c r="J971" s="1257" t="str">
        <f>$E971</f>
        <v xml:space="preserve">At 1 April 2025 </v>
      </c>
      <c r="K971" s="251">
        <f>SUMIF('alb Note 6.1 -  Intangibles CY'!$A:$A,$J971,'alb Note 6.1 -  Intangibles CY'!$E:$E)</f>
        <v>0</v>
      </c>
      <c r="L971" s="251">
        <f>SUMIF('alb Note 6.1 -  Intangibles CY'!$A:$A,$J971,'alb Note 6.1 -  Intangibles CY'!$P:$P)</f>
        <v>0</v>
      </c>
      <c r="M971" s="10"/>
      <c r="N971" s="273">
        <f>ROUND(SUM(O971:S971)+SUM(W971:AV971),0)</f>
        <v>63</v>
      </c>
      <c r="O971" s="12"/>
      <c r="P971" s="12"/>
      <c r="Q971" s="12"/>
      <c r="R971" s="12"/>
      <c r="S971" s="6">
        <f t="shared" si="567"/>
        <v>0</v>
      </c>
      <c r="T971" s="273">
        <f>ROUND(SUM(U971:Y971),0)</f>
        <v>63</v>
      </c>
      <c r="U971" s="6">
        <f>SUM(BL971:BN971)</f>
        <v>0</v>
      </c>
      <c r="V971" s="6"/>
      <c r="W971" s="6">
        <f t="shared" ref="W971:W982" si="571">+H971</f>
        <v>63</v>
      </c>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X971" s="6"/>
      <c r="AY971" s="6">
        <f>ROUND(AX971/1000/Update!$B$31*Update!$B$27,0)</f>
        <v>0</v>
      </c>
      <c r="BA971" s="6"/>
      <c r="BB971" s="6">
        <f>ROUND(BA971/1000/Update!$B$31,0)</f>
        <v>0</v>
      </c>
      <c r="BC971" s="6"/>
      <c r="BD971" s="29">
        <f t="shared" si="538"/>
        <v>0</v>
      </c>
      <c r="BE971" s="322"/>
      <c r="BF971" s="322"/>
      <c r="BG971" s="322"/>
      <c r="BH971" s="322"/>
      <c r="BI971" s="322"/>
      <c r="BJ971" s="322"/>
      <c r="BK971" s="29">
        <f t="shared" si="551"/>
        <v>0</v>
      </c>
      <c r="BL971" s="322"/>
      <c r="BM971" s="322"/>
      <c r="BN971" s="322"/>
      <c r="BO971" s="322"/>
      <c r="BP971" s="322"/>
      <c r="BQ971" s="322"/>
      <c r="BR971" s="322"/>
      <c r="BS971" s="322"/>
      <c r="BT971" s="322"/>
      <c r="BU971" s="322"/>
      <c r="BV971" s="322"/>
      <c r="BW971" s="322"/>
      <c r="BX971" s="322"/>
      <c r="BY971" s="322"/>
      <c r="BZ971" s="322"/>
      <c r="CA971" s="322"/>
      <c r="CB971" s="322"/>
      <c r="CC971" s="322"/>
      <c r="CD971" s="322"/>
      <c r="CE971" s="322"/>
      <c r="CF971" s="322"/>
      <c r="CG971" s="322"/>
      <c r="CH971" s="322"/>
      <c r="CI971" s="322"/>
      <c r="CM971" s="1139">
        <v>0</v>
      </c>
      <c r="CN971" s="1139">
        <v>0</v>
      </c>
      <c r="CP971" s="923">
        <f t="shared" si="568"/>
        <v>0</v>
      </c>
      <c r="CZ971" s="330"/>
    </row>
    <row r="972" spans="1:104" ht="15" customHeight="1" x14ac:dyDescent="0.25">
      <c r="A972" s="684">
        <f>MAX($A$6:A971)+1</f>
        <v>972</v>
      </c>
      <c r="B972" s="3">
        <f t="shared" si="561"/>
        <v>6.1</v>
      </c>
      <c r="C972" s="11" t="str">
        <f t="shared" si="533"/>
        <v>Consolidated intangible assets 2025-26</v>
      </c>
      <c r="D972" s="11" t="str">
        <f>D971</f>
        <v>Development Expenditure</v>
      </c>
      <c r="E972" s="7" t="s">
        <v>1417</v>
      </c>
      <c r="F972" s="7"/>
      <c r="G972" s="1254" t="s">
        <v>435</v>
      </c>
      <c r="H972" s="6">
        <v>0</v>
      </c>
      <c r="I972" s="6">
        <v>0</v>
      </c>
      <c r="J972" s="1257" t="s">
        <v>435</v>
      </c>
      <c r="K972" s="251">
        <f>SUMIF('alb Note 6.1 -  Intangibles CY'!$A:$A,$J972,'alb Note 6.1 -  Intangibles CY'!$E:$E)</f>
        <v>0</v>
      </c>
      <c r="L972" s="251">
        <f>SUMIF('alb Note 6.1 -  Intangibles CY'!$A:$A,$J972,'alb Note 6.1 -  Intangibles CY'!$P:$P)</f>
        <v>0</v>
      </c>
      <c r="M972" s="10"/>
      <c r="N972" s="273">
        <f>ROUND(SUM(O972:S972)+SUM(W972:AV972),0)</f>
        <v>0</v>
      </c>
      <c r="O972" s="12"/>
      <c r="P972" s="12"/>
      <c r="Q972" s="12"/>
      <c r="R972" s="12"/>
      <c r="S972" s="6">
        <f t="shared" si="567"/>
        <v>0</v>
      </c>
      <c r="T972" s="273">
        <f>ROUND(SUM(U972:Y972),0)</f>
        <v>0</v>
      </c>
      <c r="U972" s="6">
        <f>SUM(BL972:BN972)</f>
        <v>0</v>
      </c>
      <c r="V972" s="6"/>
      <c r="W972" s="6">
        <f t="shared" si="571"/>
        <v>0</v>
      </c>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X972" s="6"/>
      <c r="AY972" s="6">
        <f>ROUND(AX972/1000/Update!$B$31*Update!$B$27,0)</f>
        <v>0</v>
      </c>
      <c r="BA972" s="6"/>
      <c r="BB972" s="6">
        <f>ROUND(BA972/1000/Update!$B$31,0)</f>
        <v>0</v>
      </c>
      <c r="BC972" s="6"/>
      <c r="BD972" s="29">
        <f t="shared" si="538"/>
        <v>0</v>
      </c>
      <c r="BE972" s="322"/>
      <c r="BF972" s="322"/>
      <c r="BG972" s="322"/>
      <c r="BH972" s="322"/>
      <c r="BI972" s="322"/>
      <c r="BJ972" s="322"/>
      <c r="BK972" s="29">
        <f t="shared" si="551"/>
        <v>0</v>
      </c>
      <c r="BL972" s="322"/>
      <c r="BM972" s="322"/>
      <c r="BN972" s="322"/>
      <c r="BO972" s="322"/>
      <c r="BP972" s="322"/>
      <c r="BQ972" s="322"/>
      <c r="BR972" s="322"/>
      <c r="BS972" s="322"/>
      <c r="BT972" s="322"/>
      <c r="BU972" s="322"/>
      <c r="BV972" s="322"/>
      <c r="BW972" s="322"/>
      <c r="BX972" s="322"/>
      <c r="BY972" s="322"/>
      <c r="BZ972" s="322"/>
      <c r="CA972" s="322"/>
      <c r="CB972" s="322"/>
      <c r="CC972" s="322"/>
      <c r="CD972" s="322"/>
      <c r="CE972" s="322"/>
      <c r="CF972" s="322"/>
      <c r="CG972" s="322"/>
      <c r="CH972" s="322"/>
      <c r="CI972" s="322"/>
      <c r="CM972" s="1139">
        <v>0</v>
      </c>
      <c r="CN972" s="1139">
        <v>0</v>
      </c>
      <c r="CP972" s="923">
        <f t="shared" si="568"/>
        <v>0</v>
      </c>
      <c r="CZ972" s="330"/>
    </row>
    <row r="973" spans="1:104" ht="15" customHeight="1" x14ac:dyDescent="0.25">
      <c r="A973" s="701">
        <f>MAX($A$6:A972)+1</f>
        <v>973</v>
      </c>
      <c r="B973" s="1291">
        <f t="shared" si="561"/>
        <v>6.1</v>
      </c>
      <c r="C973" s="18" t="str">
        <f t="shared" si="533"/>
        <v>Consolidated intangible assets 2025-26</v>
      </c>
      <c r="D973" s="18" t="str">
        <f>D972</f>
        <v>Development Expenditure</v>
      </c>
      <c r="E973" s="19" t="s">
        <v>869</v>
      </c>
      <c r="F973" s="20"/>
      <c r="G973" s="1278" t="s">
        <v>442</v>
      </c>
      <c r="H973" s="14">
        <f>SUM(H970:H972)</f>
        <v>63</v>
      </c>
      <c r="I973" s="14">
        <f>SUM(I970:I972)</f>
        <v>0</v>
      </c>
      <c r="J973" s="1258" t="s">
        <v>442</v>
      </c>
      <c r="K973" s="256">
        <f>SUM(K970:K972)</f>
        <v>0</v>
      </c>
      <c r="L973" s="256">
        <f>SUM(L970:L972)</f>
        <v>0</v>
      </c>
      <c r="M973" s="21"/>
      <c r="N973" s="14">
        <f>ROUND(SUM(O973:S973)+T973+SUM(Z973:AV973),0)</f>
        <v>63</v>
      </c>
      <c r="O973" s="14">
        <f t="shared" ref="O973:W973" si="572">SUM(O970:O972)</f>
        <v>0</v>
      </c>
      <c r="P973" s="14">
        <f t="shared" si="572"/>
        <v>0</v>
      </c>
      <c r="Q973" s="14">
        <f t="shared" si="572"/>
        <v>0</v>
      </c>
      <c r="R973" s="14">
        <f t="shared" si="572"/>
        <v>0</v>
      </c>
      <c r="S973" s="14">
        <f t="shared" si="567"/>
        <v>0</v>
      </c>
      <c r="T973" s="14">
        <f t="shared" si="572"/>
        <v>63</v>
      </c>
      <c r="U973" s="14">
        <f t="shared" si="572"/>
        <v>0</v>
      </c>
      <c r="V973" s="14">
        <f t="shared" si="572"/>
        <v>0</v>
      </c>
      <c r="W973" s="14">
        <f t="shared" si="572"/>
        <v>63</v>
      </c>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2"/>
      <c r="AX973" s="14">
        <f>SUM(AX970:AX972)</f>
        <v>0</v>
      </c>
      <c r="AY973" s="14">
        <f>ROUND(AX973/1000/Update!$B$31*Update!$B$27,0)</f>
        <v>0</v>
      </c>
      <c r="AZ973" s="2"/>
      <c r="BA973" s="14">
        <f>SUM(BA970:BA972)</f>
        <v>0</v>
      </c>
      <c r="BB973" s="14">
        <f>ROUND(BA973/1000/Update!$B$31,0)</f>
        <v>0</v>
      </c>
      <c r="BC973" s="14"/>
      <c r="BD973" s="14">
        <f t="shared" si="538"/>
        <v>0</v>
      </c>
      <c r="BE973" s="14">
        <f t="shared" ref="BE973:BJ973" si="573">SUM(BE970:BE972)</f>
        <v>0</v>
      </c>
      <c r="BF973" s="14">
        <f t="shared" si="573"/>
        <v>0</v>
      </c>
      <c r="BG973" s="14">
        <f t="shared" si="573"/>
        <v>0</v>
      </c>
      <c r="BH973" s="14">
        <f t="shared" si="573"/>
        <v>0</v>
      </c>
      <c r="BI973" s="14">
        <f t="shared" si="573"/>
        <v>0</v>
      </c>
      <c r="BJ973" s="14">
        <f t="shared" si="573"/>
        <v>0</v>
      </c>
      <c r="BK973" s="14">
        <f t="shared" si="551"/>
        <v>0</v>
      </c>
      <c r="BL973" s="14"/>
      <c r="BM973" s="14"/>
      <c r="BN973" s="14"/>
      <c r="BO973" s="14"/>
      <c r="BP973" s="14"/>
      <c r="BQ973" s="14"/>
      <c r="BR973" s="14"/>
      <c r="BS973" s="14"/>
      <c r="BT973" s="324"/>
      <c r="BU973" s="14"/>
      <c r="BV973" s="14"/>
      <c r="BW973" s="14"/>
      <c r="BX973" s="14"/>
      <c r="BY973" s="14"/>
      <c r="BZ973" s="14"/>
      <c r="CA973" s="14"/>
      <c r="CB973" s="14"/>
      <c r="CC973" s="14"/>
      <c r="CD973" s="14"/>
      <c r="CE973" s="14"/>
      <c r="CF973" s="14"/>
      <c r="CG973" s="14"/>
      <c r="CH973" s="14"/>
      <c r="CI973" s="14"/>
      <c r="CJ973" s="2"/>
      <c r="CK973" s="2"/>
      <c r="CM973" s="1140">
        <v>0</v>
      </c>
      <c r="CN973" s="1140">
        <v>0</v>
      </c>
      <c r="CP973" s="923">
        <f t="shared" si="568"/>
        <v>0</v>
      </c>
      <c r="CZ973" s="330"/>
    </row>
    <row r="974" spans="1:104" ht="15" customHeight="1" x14ac:dyDescent="0.25">
      <c r="A974" s="684">
        <f>MAX($A$6:A973)+1</f>
        <v>974</v>
      </c>
      <c r="B974" s="3">
        <f t="shared" si="561"/>
        <v>6.1</v>
      </c>
      <c r="C974" s="11" t="str">
        <f t="shared" si="533"/>
        <v>Consolidated intangible assets 2025-26</v>
      </c>
      <c r="D974" s="11" t="s">
        <v>212</v>
      </c>
      <c r="E974" s="7" t="s">
        <v>1409</v>
      </c>
      <c r="F974" s="7"/>
      <c r="G974" s="1254" t="s">
        <v>190</v>
      </c>
      <c r="H974" s="6">
        <v>0</v>
      </c>
      <c r="I974" s="6">
        <v>0</v>
      </c>
      <c r="J974" s="1257" t="s">
        <v>190</v>
      </c>
      <c r="K974" s="251">
        <f>SUMIF('alb Note 6.1 -  Intangibles CY'!$A:$A,$J974,'alb Note 6.1 -  Intangibles CY'!$E:$E)</f>
        <v>0</v>
      </c>
      <c r="L974" s="251">
        <f>SUMIF('alb Note 6.1 -  Intangibles CY'!$A:$A,$J974,'alb Note 6.1 -  Intangibles CY'!$P:$P)</f>
        <v>0</v>
      </c>
      <c r="M974" s="10"/>
      <c r="N974" s="273">
        <f t="shared" ref="N974:N982" si="574">ROUND(SUM(O974:S974)+SUM(W974:AV974),0)</f>
        <v>0</v>
      </c>
      <c r="O974" s="12"/>
      <c r="P974" s="12"/>
      <c r="Q974" s="12"/>
      <c r="R974" s="12"/>
      <c r="S974" s="6">
        <f t="shared" si="567"/>
        <v>0</v>
      </c>
      <c r="T974" s="273">
        <f t="shared" ref="T974:T982" si="575">ROUND(SUM(U974:Y974),0)</f>
        <v>0</v>
      </c>
      <c r="U974" s="6">
        <f t="shared" ref="U974:U982" si="576">SUM(BL974:BN974)</f>
        <v>0</v>
      </c>
      <c r="V974" s="6"/>
      <c r="W974" s="6">
        <f t="shared" si="571"/>
        <v>0</v>
      </c>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X974" s="6"/>
      <c r="AY974" s="6">
        <f>ROUND(AX974/1000/Update!$B$31*Update!$B$27,0)</f>
        <v>0</v>
      </c>
      <c r="BA974" s="6"/>
      <c r="BB974" s="6">
        <f>ROUND(BA974/1000/Update!$B$31,0)</f>
        <v>0</v>
      </c>
      <c r="BC974" s="6"/>
      <c r="BD974" s="29">
        <f t="shared" si="538"/>
        <v>0</v>
      </c>
      <c r="BE974" s="322"/>
      <c r="BF974" s="322"/>
      <c r="BG974" s="322"/>
      <c r="BH974" s="322"/>
      <c r="BI974" s="322"/>
      <c r="BJ974" s="322"/>
      <c r="BK974" s="29">
        <f t="shared" si="551"/>
        <v>0</v>
      </c>
      <c r="BL974" s="322"/>
      <c r="BM974" s="322"/>
      <c r="BN974" s="322"/>
      <c r="BO974" s="322"/>
      <c r="BP974" s="322"/>
      <c r="BQ974" s="322"/>
      <c r="BR974" s="322"/>
      <c r="BS974" s="322"/>
      <c r="BT974" s="322"/>
      <c r="BU974" s="322"/>
      <c r="BV974" s="322"/>
      <c r="BW974" s="322"/>
      <c r="BX974" s="322"/>
      <c r="BY974" s="322"/>
      <c r="BZ974" s="322"/>
      <c r="CA974" s="322"/>
      <c r="CB974" s="322"/>
      <c r="CC974" s="322"/>
      <c r="CD974" s="322"/>
      <c r="CE974" s="322"/>
      <c r="CF974" s="322"/>
      <c r="CG974" s="322"/>
      <c r="CH974" s="322"/>
      <c r="CI974" s="322"/>
      <c r="CM974" s="1139">
        <v>0</v>
      </c>
      <c r="CN974" s="1139">
        <v>0</v>
      </c>
      <c r="CP974" s="923">
        <f t="shared" si="568"/>
        <v>0</v>
      </c>
      <c r="CZ974" s="330"/>
    </row>
    <row r="975" spans="1:104" ht="15" customHeight="1" x14ac:dyDescent="0.25">
      <c r="A975" s="684">
        <f>MAX($A$6:A974)+1</f>
        <v>975</v>
      </c>
      <c r="B975" s="3">
        <f t="shared" si="561"/>
        <v>6.1</v>
      </c>
      <c r="C975" s="11" t="str">
        <f t="shared" si="533"/>
        <v>Consolidated intangible assets 2025-26</v>
      </c>
      <c r="D975" s="11" t="s">
        <v>212</v>
      </c>
      <c r="E975" s="7" t="s">
        <v>457</v>
      </c>
      <c r="F975" s="7"/>
      <c r="G975" s="1254" t="s">
        <v>457</v>
      </c>
      <c r="H975" s="6">
        <v>0</v>
      </c>
      <c r="I975" s="6">
        <v>0</v>
      </c>
      <c r="J975" s="1257" t="s">
        <v>457</v>
      </c>
      <c r="K975" s="251">
        <f>SUMIF('alb Note 6.1 -  Intangibles CY'!$A:$A,$J975,'alb Note 6.1 -  Intangibles CY'!$E:$E)</f>
        <v>0</v>
      </c>
      <c r="L975" s="251">
        <f>SUMIF('alb Note 6.1 -  Intangibles CY'!$A:$A,$J975,'alb Note 6.1 -  Intangibles CY'!$P:$P)</f>
        <v>0</v>
      </c>
      <c r="M975" s="10"/>
      <c r="N975" s="273">
        <f t="shared" si="574"/>
        <v>0</v>
      </c>
      <c r="O975" s="12"/>
      <c r="P975" s="12"/>
      <c r="Q975" s="12"/>
      <c r="R975" s="12"/>
      <c r="S975" s="6">
        <f t="shared" si="567"/>
        <v>0</v>
      </c>
      <c r="T975" s="273">
        <f t="shared" si="575"/>
        <v>0</v>
      </c>
      <c r="U975" s="6">
        <f t="shared" si="576"/>
        <v>0</v>
      </c>
      <c r="V975" s="6"/>
      <c r="W975" s="6">
        <f t="shared" si="571"/>
        <v>0</v>
      </c>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X975" s="6"/>
      <c r="AY975" s="6">
        <f>ROUND(AX975/1000/Update!$B$31*Update!$B$27,0)</f>
        <v>0</v>
      </c>
      <c r="BA975" s="6"/>
      <c r="BB975" s="6">
        <f>ROUND(BA975/1000/Update!$B$31,0)</f>
        <v>0</v>
      </c>
      <c r="BC975" s="6"/>
      <c r="BD975" s="29">
        <f t="shared" si="538"/>
        <v>0</v>
      </c>
      <c r="BE975" s="322"/>
      <c r="BF975" s="322"/>
      <c r="BG975" s="322"/>
      <c r="BH975" s="322"/>
      <c r="BI975" s="322"/>
      <c r="BJ975" s="322"/>
      <c r="BK975" s="29">
        <f t="shared" si="551"/>
        <v>0</v>
      </c>
      <c r="BL975" s="322"/>
      <c r="BM975" s="322"/>
      <c r="BN975" s="322"/>
      <c r="BO975" s="322"/>
      <c r="BP975" s="322"/>
      <c r="BQ975" s="322"/>
      <c r="BR975" s="322"/>
      <c r="BS975" s="322"/>
      <c r="BT975" s="322"/>
      <c r="BU975" s="322"/>
      <c r="BV975" s="322"/>
      <c r="BW975" s="322"/>
      <c r="BX975" s="322"/>
      <c r="BY975" s="322"/>
      <c r="BZ975" s="322"/>
      <c r="CA975" s="322"/>
      <c r="CB975" s="322"/>
      <c r="CC975" s="322"/>
      <c r="CD975" s="322"/>
      <c r="CE975" s="322"/>
      <c r="CF975" s="322"/>
      <c r="CG975" s="322"/>
      <c r="CH975" s="322"/>
      <c r="CI975" s="322"/>
      <c r="CM975" s="1139">
        <v>0</v>
      </c>
      <c r="CN975" s="1139">
        <v>0</v>
      </c>
      <c r="CP975" s="923">
        <f t="shared" si="568"/>
        <v>0</v>
      </c>
      <c r="CZ975" s="330"/>
    </row>
    <row r="976" spans="1:104" ht="15" customHeight="1" x14ac:dyDescent="0.25">
      <c r="A976" s="684">
        <f>MAX($A$6:A975)+1</f>
        <v>976</v>
      </c>
      <c r="B976" s="3">
        <f t="shared" si="561"/>
        <v>6.1</v>
      </c>
      <c r="C976" s="11" t="str">
        <f t="shared" si="533"/>
        <v>Consolidated intangible assets 2025-26</v>
      </c>
      <c r="D976" s="11" t="s">
        <v>212</v>
      </c>
      <c r="E976" s="7" t="s">
        <v>863</v>
      </c>
      <c r="F976" s="7"/>
      <c r="G976" s="1254" t="s">
        <v>186</v>
      </c>
      <c r="H976" s="6">
        <v>0</v>
      </c>
      <c r="I976" s="6">
        <v>0</v>
      </c>
      <c r="J976" s="1257" t="s">
        <v>863</v>
      </c>
      <c r="K976" s="251">
        <f>SUMIF('alb Note 6.1 -  Intangibles CY'!$A:$A,$J976,'alb Note 6.1 -  Intangibles CY'!$E:$E)</f>
        <v>0</v>
      </c>
      <c r="L976" s="251">
        <f>SUMIF('alb Note 6.1 -  Intangibles CY'!$A:$A,$J976,'alb Note 6.1 -  Intangibles CY'!$P:$P)</f>
        <v>0</v>
      </c>
      <c r="M976" s="10"/>
      <c r="N976" s="273">
        <f t="shared" si="574"/>
        <v>0</v>
      </c>
      <c r="O976" s="12"/>
      <c r="P976" s="12"/>
      <c r="Q976" s="12"/>
      <c r="R976" s="12"/>
      <c r="S976" s="6">
        <f t="shared" si="567"/>
        <v>0</v>
      </c>
      <c r="T976" s="273">
        <f t="shared" si="575"/>
        <v>0</v>
      </c>
      <c r="U976" s="6">
        <f t="shared" si="576"/>
        <v>0</v>
      </c>
      <c r="V976" s="6"/>
      <c r="W976" s="6">
        <f t="shared" si="571"/>
        <v>0</v>
      </c>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X976" s="6"/>
      <c r="AY976" s="6">
        <f>ROUND(AX976/1000/Update!$B$31*Update!$B$27,0)</f>
        <v>0</v>
      </c>
      <c r="BA976" s="6"/>
      <c r="BB976" s="6">
        <f>ROUND(BA976/1000/Update!$B$31,0)</f>
        <v>0</v>
      </c>
      <c r="BC976" s="6"/>
      <c r="BD976" s="29">
        <f t="shared" si="538"/>
        <v>0</v>
      </c>
      <c r="BE976" s="322"/>
      <c r="BF976" s="322"/>
      <c r="BG976" s="322"/>
      <c r="BH976" s="322"/>
      <c r="BI976" s="322"/>
      <c r="BJ976" s="322"/>
      <c r="BK976" s="29">
        <f t="shared" si="551"/>
        <v>0</v>
      </c>
      <c r="BL976" s="322"/>
      <c r="BM976" s="322"/>
      <c r="BN976" s="322"/>
      <c r="BO976" s="322"/>
      <c r="BP976" s="322"/>
      <c r="BQ976" s="322"/>
      <c r="BR976" s="322"/>
      <c r="BS976" s="322"/>
      <c r="BT976" s="322"/>
      <c r="BU976" s="322"/>
      <c r="BV976" s="322"/>
      <c r="BW976" s="322"/>
      <c r="BX976" s="322"/>
      <c r="BY976" s="322"/>
      <c r="BZ976" s="322"/>
      <c r="CA976" s="322"/>
      <c r="CB976" s="322"/>
      <c r="CC976" s="322"/>
      <c r="CD976" s="322"/>
      <c r="CE976" s="322"/>
      <c r="CF976" s="322"/>
      <c r="CG976" s="322"/>
      <c r="CH976" s="322"/>
      <c r="CI976" s="322"/>
      <c r="CM976" s="1139">
        <v>0</v>
      </c>
      <c r="CN976" s="1139">
        <v>0</v>
      </c>
      <c r="CP976" s="923">
        <f t="shared" si="568"/>
        <v>0</v>
      </c>
      <c r="CZ976" s="330"/>
    </row>
    <row r="977" spans="1:104" ht="15" customHeight="1" x14ac:dyDescent="0.25">
      <c r="A977" s="684">
        <f>MAX($A$6:A976)+1</f>
        <v>977</v>
      </c>
      <c r="B977" s="3">
        <f t="shared" si="561"/>
        <v>6.1</v>
      </c>
      <c r="C977" s="11" t="str">
        <f>C976</f>
        <v>Consolidated intangible assets 2025-26</v>
      </c>
      <c r="D977" s="11" t="str">
        <f>D976</f>
        <v>Development Expenditure</v>
      </c>
      <c r="E977" s="7" t="s">
        <v>867</v>
      </c>
      <c r="F977" s="7"/>
      <c r="G977" s="1257" t="s">
        <v>187</v>
      </c>
      <c r="H977" s="6">
        <v>0</v>
      </c>
      <c r="I977" s="6">
        <v>0</v>
      </c>
      <c r="J977" s="1257" t="s">
        <v>867</v>
      </c>
      <c r="K977" s="251">
        <f>SUMIF('alb Note 6.1 -  Intangibles CY'!$A:$A,$J977,'alb Note 6.1 -  Intangibles CY'!$E:$E)</f>
        <v>0</v>
      </c>
      <c r="L977" s="251">
        <f>SUMIF('alb Note 6.1 -  Intangibles CY'!$A:$A,$J977,'alb Note 6.1 -  Intangibles CY'!$P:$P)</f>
        <v>0</v>
      </c>
      <c r="M977" s="10"/>
      <c r="N977" s="273">
        <f t="shared" si="574"/>
        <v>0</v>
      </c>
      <c r="O977" s="12"/>
      <c r="P977" s="12"/>
      <c r="Q977" s="12"/>
      <c r="R977" s="12"/>
      <c r="S977" s="6">
        <f t="shared" si="567"/>
        <v>0</v>
      </c>
      <c r="T977" s="273">
        <f t="shared" si="575"/>
        <v>0</v>
      </c>
      <c r="U977" s="6">
        <f t="shared" si="576"/>
        <v>0</v>
      </c>
      <c r="V977" s="6"/>
      <c r="W977" s="6">
        <f t="shared" si="571"/>
        <v>0</v>
      </c>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X977" s="6"/>
      <c r="AY977" s="6">
        <f>ROUND(AX977/1000/Update!$B$31*Update!$B$27,0)</f>
        <v>0</v>
      </c>
      <c r="BA977" s="6"/>
      <c r="BB977" s="6">
        <f>ROUND(BA977/1000/Update!$B$31,0)</f>
        <v>0</v>
      </c>
      <c r="BC977" s="6"/>
      <c r="BD977" s="29">
        <f t="shared" si="538"/>
        <v>0</v>
      </c>
      <c r="BE977" s="322"/>
      <c r="BF977" s="322"/>
      <c r="BG977" s="322"/>
      <c r="BH977" s="322"/>
      <c r="BI977" s="322"/>
      <c r="BJ977" s="322"/>
      <c r="BK977" s="29">
        <f t="shared" si="551"/>
        <v>0</v>
      </c>
      <c r="BL977" s="322"/>
      <c r="BM977" s="322"/>
      <c r="BN977" s="322"/>
      <c r="BO977" s="322"/>
      <c r="BP977" s="322"/>
      <c r="BQ977" s="322"/>
      <c r="BR977" s="322"/>
      <c r="BS977" s="322"/>
      <c r="BT977" s="322"/>
      <c r="BU977" s="322"/>
      <c r="BV977" s="322"/>
      <c r="BW977" s="322"/>
      <c r="BX977" s="322"/>
      <c r="BY977" s="322"/>
      <c r="BZ977" s="322"/>
      <c r="CA977" s="322"/>
      <c r="CB977" s="322"/>
      <c r="CC977" s="322"/>
      <c r="CD977" s="322"/>
      <c r="CE977" s="322"/>
      <c r="CF977" s="322"/>
      <c r="CG977" s="322"/>
      <c r="CH977" s="322"/>
      <c r="CI977" s="322"/>
      <c r="CM977" s="1139">
        <v>0</v>
      </c>
      <c r="CN977" s="1139">
        <v>0</v>
      </c>
      <c r="CP977" s="923">
        <f t="shared" si="568"/>
        <v>0</v>
      </c>
      <c r="CZ977" s="330"/>
    </row>
    <row r="978" spans="1:104" ht="15" customHeight="1" x14ac:dyDescent="0.25">
      <c r="A978" s="684">
        <f>MAX($A$6:A977)+1</f>
        <v>978</v>
      </c>
      <c r="B978" s="3">
        <f t="shared" si="561"/>
        <v>6.1</v>
      </c>
      <c r="C978" s="11" t="str">
        <f>C976</f>
        <v>Consolidated intangible assets 2025-26</v>
      </c>
      <c r="D978" s="11" t="s">
        <v>212</v>
      </c>
      <c r="E978" s="7" t="s">
        <v>875</v>
      </c>
      <c r="F978" s="7"/>
      <c r="G978" s="1254" t="s">
        <v>210</v>
      </c>
      <c r="H978" s="6">
        <v>0</v>
      </c>
      <c r="I978" s="6">
        <v>0</v>
      </c>
      <c r="J978" s="1257" t="s">
        <v>875</v>
      </c>
      <c r="K978" s="251">
        <f>SUMIF('alb Note 6.1 -  Intangibles CY'!$A:$A,$J978,'alb Note 6.1 -  Intangibles CY'!$E:$E)</f>
        <v>0</v>
      </c>
      <c r="L978" s="251">
        <f>SUMIF('alb Note 6.1 -  Intangibles CY'!$A:$A,$J978,'alb Note 6.1 -  Intangibles CY'!$P:$P)</f>
        <v>0</v>
      </c>
      <c r="M978" s="10"/>
      <c r="N978" s="273">
        <f t="shared" si="574"/>
        <v>0</v>
      </c>
      <c r="O978" s="12"/>
      <c r="P978" s="12"/>
      <c r="Q978" s="12"/>
      <c r="R978" s="12"/>
      <c r="S978" s="6">
        <f t="shared" si="567"/>
        <v>0</v>
      </c>
      <c r="T978" s="273">
        <f t="shared" si="575"/>
        <v>0</v>
      </c>
      <c r="U978" s="6">
        <f t="shared" si="576"/>
        <v>0</v>
      </c>
      <c r="V978" s="6"/>
      <c r="W978" s="6">
        <f t="shared" si="571"/>
        <v>0</v>
      </c>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X978" s="6"/>
      <c r="AY978" s="6">
        <f>ROUND(AX978/1000/Update!$B$31*Update!$B$27,0)</f>
        <v>0</v>
      </c>
      <c r="BA978" s="6"/>
      <c r="BB978" s="6">
        <f>ROUND(BA978/1000/Update!$B$31,0)</f>
        <v>0</v>
      </c>
      <c r="BC978" s="6"/>
      <c r="BD978" s="29">
        <f t="shared" si="538"/>
        <v>0</v>
      </c>
      <c r="BE978" s="322"/>
      <c r="BF978" s="322"/>
      <c r="BG978" s="322"/>
      <c r="BH978" s="322"/>
      <c r="BI978" s="322"/>
      <c r="BJ978" s="322"/>
      <c r="BK978" s="29">
        <f t="shared" si="551"/>
        <v>0</v>
      </c>
      <c r="BL978" s="322"/>
      <c r="BM978" s="322"/>
      <c r="BN978" s="322"/>
      <c r="BO978" s="322"/>
      <c r="BP978" s="322"/>
      <c r="BQ978" s="322"/>
      <c r="BR978" s="322"/>
      <c r="BS978" s="322"/>
      <c r="BT978" s="322"/>
      <c r="BU978" s="322"/>
      <c r="BV978" s="322"/>
      <c r="BW978" s="322"/>
      <c r="BX978" s="322"/>
      <c r="BY978" s="322"/>
      <c r="BZ978" s="322"/>
      <c r="CA978" s="322"/>
      <c r="CB978" s="322"/>
      <c r="CC978" s="322"/>
      <c r="CD978" s="322"/>
      <c r="CE978" s="322"/>
      <c r="CF978" s="322"/>
      <c r="CG978" s="322"/>
      <c r="CH978" s="322"/>
      <c r="CI978" s="322"/>
      <c r="CM978" s="1139">
        <v>0</v>
      </c>
      <c r="CN978" s="1139">
        <v>0</v>
      </c>
      <c r="CP978" s="923">
        <f t="shared" si="568"/>
        <v>0</v>
      </c>
      <c r="CZ978" s="330"/>
    </row>
    <row r="979" spans="1:104" ht="30" customHeight="1" x14ac:dyDescent="0.25">
      <c r="A979" s="684">
        <f>MAX($A$6:A978)+1</f>
        <v>979</v>
      </c>
      <c r="B979" s="3">
        <f t="shared" si="561"/>
        <v>6.1</v>
      </c>
      <c r="C979" s="11" t="str">
        <f t="shared" si="533"/>
        <v>Consolidated intangible assets 2025-26</v>
      </c>
      <c r="D979" s="11" t="s">
        <v>212</v>
      </c>
      <c r="E979" s="7" t="s">
        <v>1415</v>
      </c>
      <c r="F979" s="7"/>
      <c r="G979" s="1254" t="s">
        <v>438</v>
      </c>
      <c r="H979" s="6">
        <v>0</v>
      </c>
      <c r="I979" s="6">
        <v>0</v>
      </c>
      <c r="J979" s="1257" t="s">
        <v>864</v>
      </c>
      <c r="K979" s="251">
        <f>SUMIF('alb Note 6.1 -  Intangibles CY'!$A:$A,$J979,'alb Note 6.1 -  Intangibles CY'!$E:$E)</f>
        <v>0</v>
      </c>
      <c r="L979" s="251">
        <f>SUMIF('alb Note 6.1 -  Intangibles CY'!$A:$A,$J979,'alb Note 6.1 -  Intangibles CY'!$P:$P)</f>
        <v>0</v>
      </c>
      <c r="M979" s="10"/>
      <c r="N979" s="273">
        <f t="shared" si="574"/>
        <v>0</v>
      </c>
      <c r="O979" s="12"/>
      <c r="P979" s="12"/>
      <c r="Q979" s="12"/>
      <c r="R979" s="12"/>
      <c r="S979" s="6">
        <f t="shared" si="567"/>
        <v>0</v>
      </c>
      <c r="T979" s="273">
        <f t="shared" si="575"/>
        <v>0</v>
      </c>
      <c r="U979" s="6">
        <f t="shared" si="576"/>
        <v>0</v>
      </c>
      <c r="V979" s="6"/>
      <c r="W979" s="6">
        <f t="shared" si="571"/>
        <v>0</v>
      </c>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X979" s="6"/>
      <c r="AY979" s="6">
        <f>ROUND(AX979/1000/Update!$B$31*Update!$B$27,0)</f>
        <v>0</v>
      </c>
      <c r="BA979" s="6"/>
      <c r="BB979" s="6">
        <f>ROUND(BA979/1000/Update!$B$31,0)</f>
        <v>0</v>
      </c>
      <c r="BC979" s="6"/>
      <c r="BD979" s="29">
        <f t="shared" si="538"/>
        <v>0</v>
      </c>
      <c r="BE979" s="322"/>
      <c r="BF979" s="322"/>
      <c r="BG979" s="322"/>
      <c r="BH979" s="322"/>
      <c r="BI979" s="322"/>
      <c r="BJ979" s="322"/>
      <c r="BK979" s="29">
        <f t="shared" si="551"/>
        <v>0</v>
      </c>
      <c r="BL979" s="322"/>
      <c r="BM979" s="322"/>
      <c r="BN979" s="322"/>
      <c r="BO979" s="322"/>
      <c r="BP979" s="322"/>
      <c r="BQ979" s="322"/>
      <c r="BR979" s="322"/>
      <c r="BS979" s="322"/>
      <c r="BT979" s="322"/>
      <c r="BU979" s="322"/>
      <c r="BV979" s="322"/>
      <c r="BW979" s="322"/>
      <c r="BX979" s="322"/>
      <c r="BY979" s="322"/>
      <c r="BZ979" s="322"/>
      <c r="CA979" s="322"/>
      <c r="CB979" s="322"/>
      <c r="CC979" s="322"/>
      <c r="CD979" s="322"/>
      <c r="CE979" s="322"/>
      <c r="CF979" s="322"/>
      <c r="CG979" s="322"/>
      <c r="CH979" s="322"/>
      <c r="CI979" s="322"/>
      <c r="CM979" s="1139">
        <v>0</v>
      </c>
      <c r="CN979" s="1139">
        <v>0</v>
      </c>
      <c r="CP979" s="923">
        <f t="shared" si="568"/>
        <v>0</v>
      </c>
      <c r="CZ979" s="330"/>
    </row>
    <row r="980" spans="1:104" ht="51" customHeight="1" x14ac:dyDescent="0.25">
      <c r="A980" s="684">
        <f>MAX($A$6:A979)+1</f>
        <v>980</v>
      </c>
      <c r="B980" s="3">
        <f t="shared" si="561"/>
        <v>6.1</v>
      </c>
      <c r="C980" s="11" t="str">
        <f t="shared" si="533"/>
        <v>Consolidated intangible assets 2025-26</v>
      </c>
      <c r="D980" s="11" t="s">
        <v>212</v>
      </c>
      <c r="E980" s="7" t="s">
        <v>1410</v>
      </c>
      <c r="F980" s="7"/>
      <c r="G980" s="1254" t="s">
        <v>193</v>
      </c>
      <c r="H980" s="6">
        <v>0</v>
      </c>
      <c r="I980" s="6">
        <v>0</v>
      </c>
      <c r="J980" s="1257" t="s">
        <v>865</v>
      </c>
      <c r="K980" s="251">
        <f>SUMIF('alb Note 6.1 -  Intangibles CY'!$A:$A,$J980,'alb Note 6.1 -  Intangibles CY'!$E:$E)</f>
        <v>0</v>
      </c>
      <c r="L980" s="251">
        <f>SUMIF('alb Note 6.1 -  Intangibles CY'!$A:$A,$J980,'alb Note 6.1 -  Intangibles CY'!$P:$P)</f>
        <v>0</v>
      </c>
      <c r="M980" s="10"/>
      <c r="N980" s="273">
        <f t="shared" si="574"/>
        <v>0</v>
      </c>
      <c r="O980" s="12"/>
      <c r="P980" s="12"/>
      <c r="Q980" s="12"/>
      <c r="R980" s="12"/>
      <c r="S980" s="6">
        <f t="shared" si="567"/>
        <v>0</v>
      </c>
      <c r="T980" s="273">
        <f t="shared" si="575"/>
        <v>0</v>
      </c>
      <c r="U980" s="6">
        <f t="shared" si="576"/>
        <v>0</v>
      </c>
      <c r="V980" s="6"/>
      <c r="W980" s="6">
        <f t="shared" si="571"/>
        <v>0</v>
      </c>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X980" s="6"/>
      <c r="AY980" s="6">
        <f>ROUND(AX980/1000/Update!$B$31*Update!$B$27,0)</f>
        <v>0</v>
      </c>
      <c r="BA980" s="6"/>
      <c r="BB980" s="6">
        <f>ROUND(BA980/1000/Update!$B$31,0)</f>
        <v>0</v>
      </c>
      <c r="BC980" s="6"/>
      <c r="BD980" s="29">
        <f t="shared" si="538"/>
        <v>0</v>
      </c>
      <c r="BE980" s="322"/>
      <c r="BF980" s="322"/>
      <c r="BG980" s="322"/>
      <c r="BH980" s="322"/>
      <c r="BI980" s="322"/>
      <c r="BJ980" s="322"/>
      <c r="BK980" s="29">
        <f t="shared" si="551"/>
        <v>0</v>
      </c>
      <c r="BL980" s="322"/>
      <c r="BM980" s="322"/>
      <c r="BN980" s="322"/>
      <c r="BO980" s="322"/>
      <c r="BP980" s="322"/>
      <c r="BQ980" s="322"/>
      <c r="BR980" s="322"/>
      <c r="BS980" s="322"/>
      <c r="BT980" s="322"/>
      <c r="BU980" s="322"/>
      <c r="BV980" s="322"/>
      <c r="BW980" s="322"/>
      <c r="BX980" s="322"/>
      <c r="BY980" s="322"/>
      <c r="BZ980" s="322"/>
      <c r="CA980" s="322"/>
      <c r="CB980" s="322"/>
      <c r="CC980" s="322"/>
      <c r="CD980" s="322"/>
      <c r="CE980" s="322"/>
      <c r="CF980" s="322"/>
      <c r="CG980" s="322"/>
      <c r="CH980" s="322"/>
      <c r="CI980" s="322"/>
      <c r="CM980" s="1139">
        <v>0</v>
      </c>
      <c r="CN980" s="1139">
        <v>0</v>
      </c>
      <c r="CP980" s="923">
        <f t="shared" si="568"/>
        <v>0</v>
      </c>
      <c r="CZ980" s="330"/>
    </row>
    <row r="981" spans="1:104" ht="15" customHeight="1" x14ac:dyDescent="0.25">
      <c r="A981" s="684">
        <f>MAX($A$6:A980)+1</f>
        <v>981</v>
      </c>
      <c r="B981" s="3">
        <f t="shared" si="561"/>
        <v>6.1</v>
      </c>
      <c r="C981" s="11" t="str">
        <f t="shared" si="533"/>
        <v>Consolidated intangible assets 2025-26</v>
      </c>
      <c r="D981" s="11" t="str">
        <f>D980</f>
        <v>Development Expenditure</v>
      </c>
      <c r="E981" s="7" t="s">
        <v>868</v>
      </c>
      <c r="F981" s="7"/>
      <c r="G981" s="1254" t="s">
        <v>188</v>
      </c>
      <c r="H981" s="6">
        <v>0</v>
      </c>
      <c r="I981" s="6">
        <v>0</v>
      </c>
      <c r="J981" s="1257" t="s">
        <v>868</v>
      </c>
      <c r="K981" s="251">
        <f>SUMIF('alb Note 6.1 -  Intangibles CY'!$A:$A,$J981,'alb Note 6.1 -  Intangibles CY'!$E:$E)</f>
        <v>0</v>
      </c>
      <c r="L981" s="251">
        <f>SUMIF('alb Note 6.1 -  Intangibles CY'!$A:$A,$J981,'alb Note 6.1 -  Intangibles CY'!$P:$P)</f>
        <v>0</v>
      </c>
      <c r="M981" s="10"/>
      <c r="N981" s="273">
        <f t="shared" si="574"/>
        <v>0</v>
      </c>
      <c r="O981" s="12"/>
      <c r="P981" s="12"/>
      <c r="Q981" s="12"/>
      <c r="R981" s="12"/>
      <c r="S981" s="6">
        <f t="shared" si="567"/>
        <v>0</v>
      </c>
      <c r="T981" s="273">
        <f t="shared" si="575"/>
        <v>0</v>
      </c>
      <c r="U981" s="6">
        <f t="shared" si="576"/>
        <v>0</v>
      </c>
      <c r="V981" s="6"/>
      <c r="W981" s="6">
        <f t="shared" si="571"/>
        <v>0</v>
      </c>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X981" s="6"/>
      <c r="AY981" s="6">
        <f>ROUND(AX981/1000/Update!$B$31*Update!$B$27,0)</f>
        <v>0</v>
      </c>
      <c r="BA981" s="6"/>
      <c r="BB981" s="6">
        <f>ROUND(BA981/1000/Update!$B$31,0)</f>
        <v>0</v>
      </c>
      <c r="BC981" s="6"/>
      <c r="BD981" s="29">
        <f t="shared" si="538"/>
        <v>0</v>
      </c>
      <c r="BE981" s="322"/>
      <c r="BF981" s="322"/>
      <c r="BG981" s="322"/>
      <c r="BH981" s="322"/>
      <c r="BI981" s="322"/>
      <c r="BJ981" s="322"/>
      <c r="BK981" s="29">
        <f t="shared" si="551"/>
        <v>0</v>
      </c>
      <c r="BL981" s="322"/>
      <c r="BM981" s="322"/>
      <c r="BN981" s="322"/>
      <c r="BO981" s="322"/>
      <c r="BP981" s="322"/>
      <c r="BQ981" s="322"/>
      <c r="BR981" s="322"/>
      <c r="BS981" s="322"/>
      <c r="BT981" s="322"/>
      <c r="BU981" s="322"/>
      <c r="BV981" s="322"/>
      <c r="BW981" s="322"/>
      <c r="BX981" s="322"/>
      <c r="BY981" s="322"/>
      <c r="BZ981" s="322"/>
      <c r="CA981" s="322"/>
      <c r="CB981" s="322"/>
      <c r="CC981" s="322"/>
      <c r="CD981" s="322"/>
      <c r="CE981" s="322"/>
      <c r="CF981" s="322"/>
      <c r="CG981" s="322"/>
      <c r="CH981" s="322"/>
      <c r="CI981" s="322"/>
      <c r="CM981" s="1139">
        <v>0</v>
      </c>
      <c r="CN981" s="1139">
        <v>0</v>
      </c>
      <c r="CP981" s="923">
        <f t="shared" si="568"/>
        <v>0</v>
      </c>
      <c r="CZ981" s="330"/>
    </row>
    <row r="982" spans="1:104" ht="15" customHeight="1" x14ac:dyDescent="0.25">
      <c r="A982" s="684">
        <f>MAX($A$6:A981)+1</f>
        <v>982</v>
      </c>
      <c r="B982" s="3">
        <f t="shared" si="561"/>
        <v>6.1</v>
      </c>
      <c r="C982" s="11" t="str">
        <f>C980</f>
        <v>Consolidated intangible assets 2025-26</v>
      </c>
      <c r="D982" s="11" t="s">
        <v>212</v>
      </c>
      <c r="E982" s="7" t="s">
        <v>1416</v>
      </c>
      <c r="F982" s="7"/>
      <c r="G982" s="1254" t="s">
        <v>189</v>
      </c>
      <c r="H982" s="6">
        <v>0</v>
      </c>
      <c r="I982" s="6">
        <v>0</v>
      </c>
      <c r="J982" s="1257" t="s">
        <v>870</v>
      </c>
      <c r="K982" s="251">
        <f>SUMIF('alb Note 6.1 -  Intangibles CY'!$A:$A,$J982,'alb Note 6.1 -  Intangibles CY'!$E:$E)</f>
        <v>0</v>
      </c>
      <c r="L982" s="251">
        <f>SUMIF('alb Note 6.1 -  Intangibles CY'!$A:$A,$J982,'alb Note 6.1 -  Intangibles CY'!$P:$P)</f>
        <v>0</v>
      </c>
      <c r="M982" s="10"/>
      <c r="N982" s="273">
        <f t="shared" si="574"/>
        <v>0</v>
      </c>
      <c r="O982" s="12"/>
      <c r="P982" s="12"/>
      <c r="Q982" s="12"/>
      <c r="R982" s="12"/>
      <c r="S982" s="6">
        <f t="shared" si="567"/>
        <v>0</v>
      </c>
      <c r="T982" s="273">
        <f t="shared" si="575"/>
        <v>0</v>
      </c>
      <c r="U982" s="6">
        <f t="shared" si="576"/>
        <v>0</v>
      </c>
      <c r="V982" s="6"/>
      <c r="W982" s="6">
        <f t="shared" si="571"/>
        <v>0</v>
      </c>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X982" s="6"/>
      <c r="AY982" s="6">
        <f>ROUND(AX982/1000/Update!$B$31*Update!$B$27,0)</f>
        <v>0</v>
      </c>
      <c r="BA982" s="6"/>
      <c r="BB982" s="6">
        <f>ROUND(BA982/1000/Update!$B$31,0)</f>
        <v>0</v>
      </c>
      <c r="BC982" s="6"/>
      <c r="BD982" s="29">
        <f t="shared" si="538"/>
        <v>0</v>
      </c>
      <c r="BE982" s="322"/>
      <c r="BF982" s="322"/>
      <c r="BG982" s="322"/>
      <c r="BH982" s="322"/>
      <c r="BI982" s="322"/>
      <c r="BJ982" s="322"/>
      <c r="BK982" s="29">
        <f t="shared" si="551"/>
        <v>0</v>
      </c>
      <c r="BL982" s="322"/>
      <c r="BM982" s="322"/>
      <c r="BN982" s="322"/>
      <c r="BO982" s="322"/>
      <c r="BP982" s="322"/>
      <c r="BQ982" s="322"/>
      <c r="BR982" s="322"/>
      <c r="BS982" s="322"/>
      <c r="BT982" s="322"/>
      <c r="BU982" s="322"/>
      <c r="BV982" s="322"/>
      <c r="BW982" s="322"/>
      <c r="BX982" s="322"/>
      <c r="BY982" s="322"/>
      <c r="BZ982" s="322"/>
      <c r="CA982" s="322"/>
      <c r="CB982" s="322"/>
      <c r="CC982" s="322"/>
      <c r="CD982" s="322"/>
      <c r="CE982" s="322"/>
      <c r="CF982" s="322"/>
      <c r="CG982" s="322"/>
      <c r="CH982" s="322"/>
      <c r="CI982" s="322"/>
      <c r="CM982" s="1139">
        <v>0</v>
      </c>
      <c r="CN982" s="1139">
        <v>0</v>
      </c>
      <c r="CP982" s="923">
        <f t="shared" si="568"/>
        <v>0</v>
      </c>
      <c r="CZ982" s="330"/>
    </row>
    <row r="983" spans="1:104" ht="15" customHeight="1" x14ac:dyDescent="0.25">
      <c r="A983" s="701">
        <f>MAX($A$6:A982)+1</f>
        <v>983</v>
      </c>
      <c r="B983" s="1291">
        <f t="shared" si="561"/>
        <v>6.1</v>
      </c>
      <c r="C983" s="18" t="str">
        <f t="shared" ref="C983:C1060" si="577">C982</f>
        <v>Consolidated intangible assets 2025-26</v>
      </c>
      <c r="D983" s="18" t="s">
        <v>212</v>
      </c>
      <c r="E983" s="19" t="str">
        <f>"At"&amp;Update!$B$22</f>
        <v>At 31 March 2026</v>
      </c>
      <c r="F983" s="20"/>
      <c r="G983" s="28"/>
      <c r="H983" s="14">
        <f>SUM(H973:H982)</f>
        <v>63</v>
      </c>
      <c r="I983" s="14">
        <f>SUM(I973:I982)</f>
        <v>0</v>
      </c>
      <c r="J983" s="1258" t="s">
        <v>2492</v>
      </c>
      <c r="K983" s="256">
        <f>SUM(K973:K982)</f>
        <v>0</v>
      </c>
      <c r="L983" s="256">
        <f>SUM(L973:L982)</f>
        <v>0</v>
      </c>
      <c r="M983" s="21"/>
      <c r="N983" s="14">
        <f>ROUND(SUM(O983:S983)+T983+SUM(Z983:AV983),0)</f>
        <v>63</v>
      </c>
      <c r="O983" s="14">
        <f t="shared" ref="O983:V983" si="578">SUM(O973:O982)</f>
        <v>0</v>
      </c>
      <c r="P983" s="14">
        <f t="shared" si="578"/>
        <v>0</v>
      </c>
      <c r="Q983" s="14">
        <f t="shared" si="578"/>
        <v>0</v>
      </c>
      <c r="R983" s="14">
        <f t="shared" si="578"/>
        <v>0</v>
      </c>
      <c r="S983" s="14">
        <f t="shared" si="567"/>
        <v>0</v>
      </c>
      <c r="T983" s="14">
        <f t="shared" si="578"/>
        <v>63</v>
      </c>
      <c r="U983" s="14">
        <f t="shared" si="578"/>
        <v>0</v>
      </c>
      <c r="V983" s="14">
        <f t="shared" si="578"/>
        <v>0</v>
      </c>
      <c r="W983" s="14">
        <f>SUM(W973:W982)</f>
        <v>63</v>
      </c>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2"/>
      <c r="AX983" s="14">
        <f>SUM(AX973:AX982)</f>
        <v>0</v>
      </c>
      <c r="AY983" s="14">
        <f>ROUND(AX983/1000/Update!$B$31*Update!$B$27,0)</f>
        <v>0</v>
      </c>
      <c r="AZ983" s="2"/>
      <c r="BA983" s="14">
        <f>SUM(BA973:BA982)</f>
        <v>0</v>
      </c>
      <c r="BB983" s="14">
        <f>ROUND(BA983/1000/Update!$B$31,0)</f>
        <v>0</v>
      </c>
      <c r="BC983" s="14"/>
      <c r="BD983" s="14">
        <f t="shared" si="538"/>
        <v>0</v>
      </c>
      <c r="BE983" s="14">
        <f t="shared" ref="BE983:BJ983" si="579">SUM(BE973:BE982)</f>
        <v>0</v>
      </c>
      <c r="BF983" s="14">
        <f t="shared" si="579"/>
        <v>0</v>
      </c>
      <c r="BG983" s="14">
        <f t="shared" si="579"/>
        <v>0</v>
      </c>
      <c r="BH983" s="14">
        <f t="shared" si="579"/>
        <v>0</v>
      </c>
      <c r="BI983" s="14">
        <f t="shared" si="579"/>
        <v>0</v>
      </c>
      <c r="BJ983" s="14">
        <f t="shared" si="579"/>
        <v>0</v>
      </c>
      <c r="BK983" s="14">
        <f t="shared" si="551"/>
        <v>0</v>
      </c>
      <c r="BL983" s="14"/>
      <c r="BM983" s="14"/>
      <c r="BN983" s="14"/>
      <c r="BO983" s="14"/>
      <c r="BP983" s="14"/>
      <c r="BQ983" s="14"/>
      <c r="BR983" s="14"/>
      <c r="BS983" s="14"/>
      <c r="BT983" s="324"/>
      <c r="BU983" s="14"/>
      <c r="BV983" s="14"/>
      <c r="BW983" s="14"/>
      <c r="BX983" s="14"/>
      <c r="BY983" s="14"/>
      <c r="BZ983" s="14"/>
      <c r="CA983" s="14"/>
      <c r="CB983" s="14"/>
      <c r="CC983" s="14"/>
      <c r="CD983" s="14"/>
      <c r="CE983" s="14"/>
      <c r="CF983" s="14"/>
      <c r="CG983" s="14"/>
      <c r="CH983" s="14"/>
      <c r="CI983" s="14"/>
      <c r="CJ983" s="2"/>
      <c r="CK983" s="2"/>
      <c r="CM983" s="1140">
        <v>0</v>
      </c>
      <c r="CN983" s="1140">
        <v>0</v>
      </c>
      <c r="CP983" s="923">
        <f t="shared" si="568"/>
        <v>0</v>
      </c>
      <c r="CZ983" s="330"/>
    </row>
    <row r="984" spans="1:104" ht="15" customHeight="1" x14ac:dyDescent="0.25">
      <c r="A984" s="701">
        <f>MAX($A$6:A983)+1</f>
        <v>984</v>
      </c>
      <c r="B984" s="1291">
        <f t="shared" si="561"/>
        <v>6.1</v>
      </c>
      <c r="C984" s="18" t="str">
        <f t="shared" si="577"/>
        <v>Consolidated intangible assets 2025-26</v>
      </c>
      <c r="D984" s="18" t="s">
        <v>212</v>
      </c>
      <c r="E984" s="19" t="str">
        <f>"Carrying amount "&amp;Update!$B$22</f>
        <v>Carrying amount  31 March 2026</v>
      </c>
      <c r="F984" s="20"/>
      <c r="G984" s="28"/>
      <c r="H984" s="14">
        <f>H969-H983</f>
        <v>0</v>
      </c>
      <c r="I984" s="14">
        <f>I969-I983</f>
        <v>0</v>
      </c>
      <c r="J984" s="1258" t="s">
        <v>2493</v>
      </c>
      <c r="K984" s="256">
        <f>K969-K983</f>
        <v>0</v>
      </c>
      <c r="L984" s="256">
        <f>L969-L983</f>
        <v>0</v>
      </c>
      <c r="M984" s="21"/>
      <c r="N984" s="14">
        <f>ROUND(SUM(O984:S984)+T984+SUM(Z984:AV984),0)</f>
        <v>0</v>
      </c>
      <c r="O984" s="14">
        <f t="shared" ref="O984:V984" si="580">O969-O983</f>
        <v>0</v>
      </c>
      <c r="P984" s="14">
        <f t="shared" si="580"/>
        <v>0</v>
      </c>
      <c r="Q984" s="14">
        <f t="shared" si="580"/>
        <v>0</v>
      </c>
      <c r="R984" s="14">
        <f t="shared" si="580"/>
        <v>0</v>
      </c>
      <c r="S984" s="14">
        <f t="shared" si="567"/>
        <v>0</v>
      </c>
      <c r="T984" s="14">
        <f t="shared" si="580"/>
        <v>0</v>
      </c>
      <c r="U984" s="14">
        <f t="shared" si="580"/>
        <v>0</v>
      </c>
      <c r="V984" s="14">
        <f t="shared" si="580"/>
        <v>0</v>
      </c>
      <c r="W984" s="14">
        <f>W969-W983</f>
        <v>0</v>
      </c>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X984" s="14">
        <f>AX969-AX983</f>
        <v>0</v>
      </c>
      <c r="AY984" s="14">
        <f>ROUND(AX984/1000/Update!$B$31*Update!$B$27,0)</f>
        <v>0</v>
      </c>
      <c r="BA984" s="14">
        <f>BA969-BA983</f>
        <v>0</v>
      </c>
      <c r="BB984" s="14">
        <f>ROUND(BA984/1000/Update!$B$31,0)</f>
        <v>0</v>
      </c>
      <c r="BC984" s="14"/>
      <c r="BD984" s="14">
        <f t="shared" si="538"/>
        <v>0</v>
      </c>
      <c r="BE984" s="14">
        <f t="shared" ref="BE984:BJ984" si="581">BE969-BE983</f>
        <v>0</v>
      </c>
      <c r="BF984" s="14">
        <f t="shared" si="581"/>
        <v>0</v>
      </c>
      <c r="BG984" s="14">
        <f t="shared" si="581"/>
        <v>0</v>
      </c>
      <c r="BH984" s="14">
        <f t="shared" si="581"/>
        <v>0</v>
      </c>
      <c r="BI984" s="14">
        <f t="shared" si="581"/>
        <v>0</v>
      </c>
      <c r="BJ984" s="14">
        <f t="shared" si="581"/>
        <v>0</v>
      </c>
      <c r="BK984" s="14">
        <f t="shared" si="551"/>
        <v>0</v>
      </c>
      <c r="BL984" s="14"/>
      <c r="BM984" s="14"/>
      <c r="BN984" s="14"/>
      <c r="BO984" s="14"/>
      <c r="BP984" s="14"/>
      <c r="BQ984" s="14"/>
      <c r="BR984" s="14"/>
      <c r="BS984" s="14"/>
      <c r="BT984" s="324"/>
      <c r="BU984" s="14"/>
      <c r="BV984" s="14"/>
      <c r="BW984" s="14"/>
      <c r="BX984" s="14"/>
      <c r="BY984" s="14"/>
      <c r="BZ984" s="14"/>
      <c r="CA984" s="14"/>
      <c r="CB984" s="14"/>
      <c r="CC984" s="14"/>
      <c r="CD984" s="14"/>
      <c r="CE984" s="14"/>
      <c r="CF984" s="14"/>
      <c r="CG984" s="14"/>
      <c r="CH984" s="14"/>
      <c r="CI984" s="14"/>
      <c r="CM984" s="1140">
        <v>0</v>
      </c>
      <c r="CN984" s="1140">
        <v>0</v>
      </c>
      <c r="CP984" s="923">
        <f t="shared" si="568"/>
        <v>0</v>
      </c>
      <c r="CZ984" s="330"/>
    </row>
    <row r="985" spans="1:104" ht="15" customHeight="1" x14ac:dyDescent="0.25">
      <c r="A985" s="701">
        <f>MAX($A$6:A984)+1</f>
        <v>985</v>
      </c>
      <c r="B985" s="1291">
        <f t="shared" si="561"/>
        <v>6.1</v>
      </c>
      <c r="C985" s="18" t="str">
        <f t="shared" si="577"/>
        <v>Consolidated intangible assets 2025-26</v>
      </c>
      <c r="D985" s="18" t="s">
        <v>212</v>
      </c>
      <c r="E985" s="19" t="str">
        <f>"Carrying amount "&amp;Update!$B$24</f>
        <v>Carrying amount  31 March 2025</v>
      </c>
      <c r="F985" s="20"/>
      <c r="G985" s="28"/>
      <c r="H985" s="14">
        <f>H957-H971</f>
        <v>0</v>
      </c>
      <c r="I985" s="14">
        <f>I957-I971</f>
        <v>0</v>
      </c>
      <c r="J985" s="1258" t="s">
        <v>2494</v>
      </c>
      <c r="K985" s="256">
        <f>K957-K971</f>
        <v>0</v>
      </c>
      <c r="L985" s="256">
        <f>L957-L971</f>
        <v>0</v>
      </c>
      <c r="M985" s="21"/>
      <c r="N985" s="14">
        <f>ROUND(SUM(O985:S985)+T985+SUM(Z985:AV985),0)</f>
        <v>0</v>
      </c>
      <c r="O985" s="14">
        <f t="shared" ref="O985:V985" si="582">O957-O971</f>
        <v>0</v>
      </c>
      <c r="P985" s="14">
        <f t="shared" si="582"/>
        <v>0</v>
      </c>
      <c r="Q985" s="14">
        <f t="shared" si="582"/>
        <v>0</v>
      </c>
      <c r="R985" s="14">
        <f t="shared" si="582"/>
        <v>0</v>
      </c>
      <c r="S985" s="14">
        <f t="shared" si="567"/>
        <v>0</v>
      </c>
      <c r="T985" s="14">
        <f t="shared" si="582"/>
        <v>0</v>
      </c>
      <c r="U985" s="14">
        <f t="shared" si="582"/>
        <v>0</v>
      </c>
      <c r="V985" s="14">
        <f t="shared" si="582"/>
        <v>0</v>
      </c>
      <c r="W985" s="14">
        <f>W957-W971</f>
        <v>0</v>
      </c>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X985" s="14">
        <f>AX957-AX971</f>
        <v>0</v>
      </c>
      <c r="AY985" s="14">
        <f>ROUND(AX985/1000/Update!$B$31*Update!$B$27,0)</f>
        <v>0</v>
      </c>
      <c r="BA985" s="14">
        <f>BA957-BA971</f>
        <v>0</v>
      </c>
      <c r="BB985" s="14">
        <f>ROUND(BA985/1000/Update!$B$31,0)</f>
        <v>0</v>
      </c>
      <c r="BC985" s="14"/>
      <c r="BD985" s="14">
        <f t="shared" si="538"/>
        <v>0</v>
      </c>
      <c r="BE985" s="14">
        <f t="shared" ref="BE985:BJ985" si="583">BE957-BE971</f>
        <v>0</v>
      </c>
      <c r="BF985" s="14">
        <f t="shared" si="583"/>
        <v>0</v>
      </c>
      <c r="BG985" s="14">
        <f t="shared" si="583"/>
        <v>0</v>
      </c>
      <c r="BH985" s="14">
        <f t="shared" si="583"/>
        <v>0</v>
      </c>
      <c r="BI985" s="14">
        <f t="shared" si="583"/>
        <v>0</v>
      </c>
      <c r="BJ985" s="14">
        <f t="shared" si="583"/>
        <v>0</v>
      </c>
      <c r="BK985" s="14">
        <f t="shared" si="551"/>
        <v>0</v>
      </c>
      <c r="BL985" s="14"/>
      <c r="BM985" s="14"/>
      <c r="BN985" s="14"/>
      <c r="BO985" s="14"/>
      <c r="BP985" s="14"/>
      <c r="BQ985" s="14"/>
      <c r="BR985" s="14"/>
      <c r="BS985" s="14"/>
      <c r="BT985" s="324"/>
      <c r="BU985" s="14"/>
      <c r="BV985" s="14"/>
      <c r="BW985" s="14"/>
      <c r="BX985" s="14"/>
      <c r="BY985" s="14"/>
      <c r="BZ985" s="14"/>
      <c r="CA985" s="14"/>
      <c r="CB985" s="14"/>
      <c r="CC985" s="14"/>
      <c r="CD985" s="14"/>
      <c r="CE985" s="14"/>
      <c r="CF985" s="14"/>
      <c r="CG985" s="14"/>
      <c r="CH985" s="14"/>
      <c r="CI985" s="14"/>
      <c r="CM985" s="1140">
        <v>0</v>
      </c>
      <c r="CN985" s="1140">
        <v>0</v>
      </c>
      <c r="CP985" s="923">
        <f t="shared" si="568"/>
        <v>0</v>
      </c>
      <c r="CZ985" s="330"/>
    </row>
    <row r="986" spans="1:104" ht="15" customHeight="1" x14ac:dyDescent="0.25">
      <c r="A986" s="684">
        <f>MAX($A$6:A985)+1</f>
        <v>986</v>
      </c>
      <c r="B986" s="3">
        <f t="shared" si="561"/>
        <v>6.1</v>
      </c>
      <c r="C986" s="11" t="str">
        <f t="shared" si="533"/>
        <v>Consolidated intangible assets 2025-26</v>
      </c>
      <c r="D986" s="11" t="s">
        <v>212</v>
      </c>
      <c r="E986" s="13" t="s">
        <v>194</v>
      </c>
      <c r="F986" s="13"/>
      <c r="G986" s="26"/>
      <c r="H986" s="6"/>
      <c r="I986" s="6"/>
      <c r="J986" s="1257" t="s">
        <v>286</v>
      </c>
      <c r="K986" s="251">
        <f>SUMIF('alb Note 6.1 -  Intangibles CY'!$A:$A,$J986,'alb Note 6.1 -  Intangibles CY'!$E:$E)</f>
        <v>0</v>
      </c>
      <c r="L986" s="251">
        <f>SUMIF('alb Note 6.1 -  Intangibles CY'!$A:$A,$J986,'alb Note 6.1 -  Intangibles CY'!$P:$P)</f>
        <v>0</v>
      </c>
      <c r="M986" s="10"/>
      <c r="N986" s="273">
        <f>ROUND(SUM(O986:S986)+SUM(W986:AV986),0)</f>
        <v>0</v>
      </c>
      <c r="O986" s="12"/>
      <c r="P986" s="12"/>
      <c r="Q986" s="12"/>
      <c r="R986" s="12"/>
      <c r="S986" s="6">
        <f t="shared" si="567"/>
        <v>0</v>
      </c>
      <c r="T986" s="273">
        <f>ROUND(SUM(U986:Y986),0)</f>
        <v>0</v>
      </c>
      <c r="U986" s="6">
        <f>SUM(BL986:BN986)</f>
        <v>0</v>
      </c>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X986" s="6"/>
      <c r="AY986" s="6">
        <f>ROUND(AX986/1000/Update!$B$31*Update!$B$27,0)</f>
        <v>0</v>
      </c>
      <c r="BA986" s="6"/>
      <c r="BB986" s="6">
        <f>ROUND(BA986/1000/Update!$B$31,0)</f>
        <v>0</v>
      </c>
      <c r="BC986" s="6"/>
      <c r="BD986" s="29">
        <f t="shared" si="538"/>
        <v>0</v>
      </c>
      <c r="BE986" s="322"/>
      <c r="BF986" s="322"/>
      <c r="BG986" s="322"/>
      <c r="BH986" s="322"/>
      <c r="BI986" s="322"/>
      <c r="BJ986" s="322"/>
      <c r="BK986" s="29">
        <f t="shared" si="551"/>
        <v>0</v>
      </c>
      <c r="BL986" s="322"/>
      <c r="BM986" s="322"/>
      <c r="BN986" s="322"/>
      <c r="BO986" s="322"/>
      <c r="BP986" s="322"/>
      <c r="BQ986" s="322"/>
      <c r="BR986" s="322"/>
      <c r="BS986" s="322"/>
      <c r="BT986" s="322"/>
      <c r="BU986" s="322"/>
      <c r="BV986" s="322"/>
      <c r="BW986" s="322"/>
      <c r="BX986" s="322"/>
      <c r="BY986" s="322"/>
      <c r="BZ986" s="322"/>
      <c r="CA986" s="322"/>
      <c r="CB986" s="322"/>
      <c r="CC986" s="322"/>
      <c r="CD986" s="322"/>
      <c r="CE986" s="322"/>
      <c r="CF986" s="322"/>
      <c r="CG986" s="322"/>
      <c r="CH986" s="322"/>
      <c r="CI986" s="322"/>
      <c r="CM986" s="1139">
        <v>0</v>
      </c>
      <c r="CN986" s="1139">
        <v>0</v>
      </c>
      <c r="CP986" s="923">
        <f t="shared" si="568"/>
        <v>0</v>
      </c>
      <c r="CZ986" s="330"/>
    </row>
    <row r="987" spans="1:104" ht="15" customHeight="1" x14ac:dyDescent="0.25">
      <c r="A987" s="684">
        <f>MAX($A$6:A986)+1</f>
        <v>987</v>
      </c>
      <c r="B987" s="3">
        <f t="shared" si="561"/>
        <v>6.1</v>
      </c>
      <c r="C987" s="11" t="str">
        <f t="shared" si="577"/>
        <v>Consolidated intangible assets 2025-26</v>
      </c>
      <c r="D987" s="11" t="s">
        <v>212</v>
      </c>
      <c r="E987" s="7" t="s">
        <v>197</v>
      </c>
      <c r="F987" s="7"/>
      <c r="G987" s="931" t="s">
        <v>197</v>
      </c>
      <c r="H987" s="6">
        <v>0</v>
      </c>
      <c r="I987" s="6" t="e">
        <v>#VALUE!</v>
      </c>
      <c r="J987" s="1257" t="s">
        <v>197</v>
      </c>
      <c r="K987" s="251">
        <f>SUMIF('alb Note 6.1 -  Intangibles CY'!$A:$A,$J987,'alb Note 6.1 -  Intangibles CY'!$E:$E)</f>
        <v>0</v>
      </c>
      <c r="L987" s="251">
        <f>SUMIF('alb Note 6.1 -  Intangibles CY'!$A:$A,$J987,'alb Note 6.1 -  Intangibles CY'!$P:$P)</f>
        <v>0</v>
      </c>
      <c r="M987" s="10"/>
      <c r="N987" s="273">
        <f>ROUND(SUM(O987:S987)+SUM(W987:AV987),0)</f>
        <v>0</v>
      </c>
      <c r="O987" s="12"/>
      <c r="P987" s="12"/>
      <c r="Q987" s="12"/>
      <c r="R987" s="12"/>
      <c r="S987" s="6">
        <f t="shared" si="567"/>
        <v>0</v>
      </c>
      <c r="T987" s="273">
        <f>ROUND(SUM(U987:Y987),0)</f>
        <v>0</v>
      </c>
      <c r="U987" s="6">
        <f>SUM(BL987:BN987)</f>
        <v>0</v>
      </c>
      <c r="V987" s="6"/>
      <c r="W987" s="6">
        <f>+H987</f>
        <v>0</v>
      </c>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X987" s="6"/>
      <c r="AY987" s="6">
        <f>ROUND(AX987/1000/Update!$B$31*Update!$B$27,0)</f>
        <v>0</v>
      </c>
      <c r="BA987" s="6"/>
      <c r="BB987" s="6">
        <f>ROUND(BA987/1000/Update!$B$31,0)</f>
        <v>0</v>
      </c>
      <c r="BC987" s="6"/>
      <c r="BD987" s="29">
        <f t="shared" si="538"/>
        <v>0</v>
      </c>
      <c r="BE987" s="322"/>
      <c r="BF987" s="322"/>
      <c r="BG987" s="322"/>
      <c r="BH987" s="322"/>
      <c r="BI987" s="322"/>
      <c r="BJ987" s="322"/>
      <c r="BK987" s="29">
        <f t="shared" si="551"/>
        <v>0</v>
      </c>
      <c r="BL987" s="322"/>
      <c r="BM987" s="322"/>
      <c r="BN987" s="322"/>
      <c r="BO987" s="322"/>
      <c r="BP987" s="322"/>
      <c r="BQ987" s="322"/>
      <c r="BR987" s="322"/>
      <c r="BS987" s="322"/>
      <c r="BT987" s="322"/>
      <c r="BU987" s="322"/>
      <c r="BV987" s="322"/>
      <c r="BW987" s="322"/>
      <c r="BX987" s="322"/>
      <c r="BY987" s="322"/>
      <c r="BZ987" s="322"/>
      <c r="CA987" s="322"/>
      <c r="CB987" s="322"/>
      <c r="CC987" s="322"/>
      <c r="CD987" s="322"/>
      <c r="CE987" s="322"/>
      <c r="CF987" s="322"/>
      <c r="CG987" s="322"/>
      <c r="CH987" s="322"/>
      <c r="CI987" s="322"/>
      <c r="CM987" s="1139">
        <v>0</v>
      </c>
      <c r="CN987" s="1139">
        <v>0</v>
      </c>
      <c r="CP987" s="923">
        <f t="shared" si="568"/>
        <v>0</v>
      </c>
      <c r="CZ987" s="330"/>
    </row>
    <row r="988" spans="1:104" ht="15" customHeight="1" x14ac:dyDescent="0.25">
      <c r="A988" s="684">
        <f>MAX($A$6:A987)+1</f>
        <v>988</v>
      </c>
      <c r="B988" s="3">
        <f t="shared" si="561"/>
        <v>6.1</v>
      </c>
      <c r="C988" s="11" t="str">
        <f t="shared" si="577"/>
        <v>Consolidated intangible assets 2025-26</v>
      </c>
      <c r="D988" s="11" t="s">
        <v>212</v>
      </c>
      <c r="E988" s="7" t="s">
        <v>198</v>
      </c>
      <c r="F988" s="7"/>
      <c r="G988" s="931" t="s">
        <v>198</v>
      </c>
      <c r="H988" s="6">
        <v>0</v>
      </c>
      <c r="I988" s="6" t="e">
        <v>#VALUE!</v>
      </c>
      <c r="J988" s="1257" t="s">
        <v>198</v>
      </c>
      <c r="K988" s="251">
        <f>SUMIF('alb Note 6.1 -  Intangibles CY'!$A:$A,$J988,'alb Note 6.1 -  Intangibles CY'!$E:$E)</f>
        <v>0</v>
      </c>
      <c r="L988" s="251">
        <f>SUMIF('alb Note 6.1 -  Intangibles CY'!$A:$A,$J988,'alb Note 6.1 -  Intangibles CY'!$P:$P)</f>
        <v>0</v>
      </c>
      <c r="M988" s="10"/>
      <c r="N988" s="273">
        <f>ROUND(SUM(O988:S988)+SUM(W988:AV988),0)</f>
        <v>0</v>
      </c>
      <c r="O988" s="12"/>
      <c r="P988" s="12"/>
      <c r="Q988" s="12"/>
      <c r="R988" s="12"/>
      <c r="S988" s="6">
        <f t="shared" si="567"/>
        <v>0</v>
      </c>
      <c r="T988" s="273">
        <f>ROUND(SUM(U988:Y988),0)</f>
        <v>0</v>
      </c>
      <c r="U988" s="6">
        <f>SUM(BL988:BN988)</f>
        <v>0</v>
      </c>
      <c r="V988" s="6"/>
      <c r="W988" s="6">
        <f>+H988</f>
        <v>0</v>
      </c>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X988" s="6"/>
      <c r="AY988" s="6">
        <f>ROUND(AX988/1000/Update!$B$31*Update!$B$27,0)</f>
        <v>0</v>
      </c>
      <c r="BA988" s="6"/>
      <c r="BB988" s="6">
        <f>ROUND(BA988/1000/Update!$B$31,0)</f>
        <v>0</v>
      </c>
      <c r="BC988" s="6"/>
      <c r="BD988" s="29">
        <f t="shared" si="538"/>
        <v>0</v>
      </c>
      <c r="BE988" s="322"/>
      <c r="BF988" s="322"/>
      <c r="BG988" s="322"/>
      <c r="BH988" s="322"/>
      <c r="BI988" s="322"/>
      <c r="BJ988" s="322"/>
      <c r="BK988" s="29">
        <f t="shared" si="551"/>
        <v>0</v>
      </c>
      <c r="BL988" s="322"/>
      <c r="BM988" s="322"/>
      <c r="BN988" s="322"/>
      <c r="BO988" s="322"/>
      <c r="BP988" s="322"/>
      <c r="BQ988" s="322"/>
      <c r="BR988" s="322"/>
      <c r="BS988" s="322"/>
      <c r="BT988" s="322"/>
      <c r="BU988" s="322"/>
      <c r="BV988" s="322"/>
      <c r="BW988" s="322"/>
      <c r="BX988" s="322"/>
      <c r="BY988" s="322"/>
      <c r="BZ988" s="322"/>
      <c r="CA988" s="322"/>
      <c r="CB988" s="322"/>
      <c r="CC988" s="322"/>
      <c r="CD988" s="322"/>
      <c r="CE988" s="322"/>
      <c r="CF988" s="322"/>
      <c r="CG988" s="322"/>
      <c r="CH988" s="322"/>
      <c r="CI988" s="322"/>
      <c r="CM988" s="1139">
        <v>0</v>
      </c>
      <c r="CN988" s="1139">
        <v>0</v>
      </c>
      <c r="CP988" s="923">
        <f t="shared" si="568"/>
        <v>0</v>
      </c>
      <c r="CZ988" s="330"/>
    </row>
    <row r="989" spans="1:104" ht="39" customHeight="1" x14ac:dyDescent="0.25">
      <c r="A989" s="684">
        <f>MAX($A$6:A988)+1</f>
        <v>989</v>
      </c>
      <c r="B989" s="3">
        <f t="shared" si="561"/>
        <v>6.1</v>
      </c>
      <c r="C989" s="11" t="str">
        <f t="shared" si="577"/>
        <v>Consolidated intangible assets 2025-26</v>
      </c>
      <c r="D989" s="11" t="s">
        <v>212</v>
      </c>
      <c r="E989" s="148" t="s">
        <v>199</v>
      </c>
      <c r="F989" s="148"/>
      <c r="G989" s="1503" t="s">
        <v>1696</v>
      </c>
      <c r="H989" s="6">
        <v>0</v>
      </c>
      <c r="I989" s="6" t="e">
        <v>#VALUE!</v>
      </c>
      <c r="J989" s="1257" t="s">
        <v>769</v>
      </c>
      <c r="K989" s="251">
        <f>SUMIF('alb Note 6.1 -  Intangibles CY'!$A:$A,$J989,'alb Note 6.1 -  Intangibles CY'!$E:$E)</f>
        <v>0</v>
      </c>
      <c r="L989" s="251">
        <f>SUMIF('alb Note 6.1 -  Intangibles CY'!$A:$A,$J989,'alb Note 6.1 -  Intangibles CY'!$P:$P)</f>
        <v>0</v>
      </c>
      <c r="M989" s="10"/>
      <c r="N989" s="273">
        <f>ROUND(SUM(O989:S989)+SUM(W989:AV989),0)</f>
        <v>0</v>
      </c>
      <c r="O989" s="12"/>
      <c r="P989" s="12"/>
      <c r="Q989" s="12"/>
      <c r="R989" s="12"/>
      <c r="S989" s="6">
        <f t="shared" si="567"/>
        <v>0</v>
      </c>
      <c r="T989" s="273">
        <f>ROUND(SUM(U989:Y989),0)</f>
        <v>0</v>
      </c>
      <c r="U989" s="6">
        <f>SUM(BL989:BN989)</f>
        <v>0</v>
      </c>
      <c r="V989" s="6"/>
      <c r="W989" s="6">
        <f>+H989</f>
        <v>0</v>
      </c>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X989" s="6"/>
      <c r="AY989" s="6">
        <f>ROUND(AX989/1000/Update!$B$31*Update!$B$27,0)</f>
        <v>0</v>
      </c>
      <c r="BA989" s="6"/>
      <c r="BB989" s="6">
        <f>ROUND(BA989/1000/Update!$B$31,0)</f>
        <v>0</v>
      </c>
      <c r="BC989" s="6"/>
      <c r="BD989" s="29">
        <f t="shared" ref="BD989:BD1054" si="584">ROUND(SUM(BE989:BK989),0)</f>
        <v>0</v>
      </c>
      <c r="BE989" s="322"/>
      <c r="BF989" s="322"/>
      <c r="BG989" s="322"/>
      <c r="BH989" s="322"/>
      <c r="BI989" s="322"/>
      <c r="BJ989" s="322"/>
      <c r="BK989" s="29">
        <f t="shared" si="551"/>
        <v>0</v>
      </c>
      <c r="BL989" s="322"/>
      <c r="BM989" s="322"/>
      <c r="BN989" s="322"/>
      <c r="BO989" s="322"/>
      <c r="BP989" s="322"/>
      <c r="BQ989" s="322"/>
      <c r="BR989" s="322"/>
      <c r="BS989" s="322"/>
      <c r="BT989" s="322"/>
      <c r="BU989" s="322"/>
      <c r="BV989" s="322"/>
      <c r="BW989" s="322"/>
      <c r="BX989" s="322"/>
      <c r="BY989" s="322"/>
      <c r="BZ989" s="322"/>
      <c r="CA989" s="322"/>
      <c r="CB989" s="322"/>
      <c r="CC989" s="322"/>
      <c r="CD989" s="322"/>
      <c r="CE989" s="322"/>
      <c r="CF989" s="322"/>
      <c r="CG989" s="322"/>
      <c r="CH989" s="322"/>
      <c r="CI989" s="322"/>
      <c r="CM989" s="1139">
        <v>0</v>
      </c>
      <c r="CN989" s="1139">
        <v>0</v>
      </c>
      <c r="CP989" s="923">
        <f t="shared" si="568"/>
        <v>0</v>
      </c>
      <c r="CZ989" s="330"/>
    </row>
    <row r="990" spans="1:104" ht="15" customHeight="1" x14ac:dyDescent="0.25">
      <c r="A990" s="684">
        <f>MAX($A$6:A989)+1</f>
        <v>990</v>
      </c>
      <c r="B990" s="3">
        <f t="shared" si="561"/>
        <v>6.1</v>
      </c>
      <c r="C990" s="11" t="str">
        <f t="shared" si="577"/>
        <v>Consolidated intangible assets 2025-26</v>
      </c>
      <c r="D990" s="11" t="s">
        <v>212</v>
      </c>
      <c r="E990" s="148" t="s">
        <v>1695</v>
      </c>
      <c r="F990" s="148"/>
      <c r="G990" s="1503" t="s">
        <v>1695</v>
      </c>
      <c r="H990" s="6">
        <v>0</v>
      </c>
      <c r="I990" s="6" t="e">
        <v>#VALUE!</v>
      </c>
      <c r="J990" s="1257" t="s">
        <v>1695</v>
      </c>
      <c r="K990" s="251">
        <f>SUMIF('alb Note 6.1 -  Intangibles CY'!$A:$A,$J990,'alb Note 6.1 -  Intangibles CY'!$E:$E)</f>
        <v>0</v>
      </c>
      <c r="L990" s="251">
        <f>SUMIF('alb Note 6.1 -  Intangibles CY'!$A:$A,$J990,'alb Note 6.1 -  Intangibles CY'!$P:$P)</f>
        <v>0</v>
      </c>
      <c r="M990" s="10"/>
      <c r="N990" s="273">
        <f>ROUND(SUM(O990:S990)+SUM(W990:AV990),0)</f>
        <v>0</v>
      </c>
      <c r="O990" s="12"/>
      <c r="P990" s="12"/>
      <c r="Q990" s="12"/>
      <c r="R990" s="12"/>
      <c r="S990" s="6"/>
      <c r="T990" s="273">
        <f>ROUND(SUM(U990:Y990),0)</f>
        <v>0</v>
      </c>
      <c r="U990" s="6">
        <f>SUM(BL990:BN990)</f>
        <v>0</v>
      </c>
      <c r="V990" s="6"/>
      <c r="W990" s="6">
        <f>+H990</f>
        <v>0</v>
      </c>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X990" s="6"/>
      <c r="AY990" s="6"/>
      <c r="BA990" s="6"/>
      <c r="BB990" s="6"/>
      <c r="BC990" s="6"/>
      <c r="BD990" s="29">
        <f t="shared" si="584"/>
        <v>0</v>
      </c>
      <c r="BE990" s="322"/>
      <c r="BF990" s="322"/>
      <c r="BG990" s="322"/>
      <c r="BH990" s="322"/>
      <c r="BI990" s="322"/>
      <c r="BJ990" s="322"/>
      <c r="BK990" s="29">
        <f t="shared" si="551"/>
        <v>0</v>
      </c>
      <c r="BL990" s="322"/>
      <c r="BM990" s="322"/>
      <c r="BN990" s="322"/>
      <c r="BO990" s="322"/>
      <c r="BP990" s="322"/>
      <c r="BQ990" s="322"/>
      <c r="BR990" s="322"/>
      <c r="BS990" s="322"/>
      <c r="BT990" s="322"/>
      <c r="BU990" s="322"/>
      <c r="BV990" s="322"/>
      <c r="BW990" s="322"/>
      <c r="BX990" s="322"/>
      <c r="BY990" s="322"/>
      <c r="BZ990" s="322"/>
      <c r="CA990" s="322"/>
      <c r="CB990" s="322"/>
      <c r="CC990" s="322"/>
      <c r="CD990" s="322"/>
      <c r="CE990" s="322"/>
      <c r="CF990" s="322"/>
      <c r="CG990" s="322"/>
      <c r="CH990" s="322"/>
      <c r="CI990" s="322"/>
      <c r="CM990" s="1139">
        <v>0</v>
      </c>
      <c r="CN990" s="1139">
        <v>0</v>
      </c>
      <c r="CP990" s="923">
        <f t="shared" si="568"/>
        <v>0</v>
      </c>
      <c r="CZ990" s="330"/>
    </row>
    <row r="991" spans="1:104" ht="15" customHeight="1" x14ac:dyDescent="0.25">
      <c r="A991" s="701">
        <f>MAX($A$6:A990)+1</f>
        <v>991</v>
      </c>
      <c r="B991" s="1291">
        <f t="shared" si="561"/>
        <v>6.1</v>
      </c>
      <c r="C991" s="18" t="str">
        <f t="shared" si="577"/>
        <v>Consolidated intangible assets 2025-26</v>
      </c>
      <c r="D991" s="18" t="s">
        <v>212</v>
      </c>
      <c r="E991" s="19" t="str">
        <f>"Carrying amount "&amp;Update!$B$22</f>
        <v>Carrying amount  31 March 2026</v>
      </c>
      <c r="F991" s="20"/>
      <c r="G991" s="28"/>
      <c r="H991" s="14">
        <f>SUM(H986:H990)</f>
        <v>0</v>
      </c>
      <c r="I991" s="14" t="e">
        <f>SUM(I986:I990)</f>
        <v>#VALUE!</v>
      </c>
      <c r="J991" s="1258" t="s">
        <v>286</v>
      </c>
      <c r="K991" s="256">
        <f>SUM(K986:K990)</f>
        <v>0</v>
      </c>
      <c r="L991" s="256">
        <f>SUM(L986:L990)</f>
        <v>0</v>
      </c>
      <c r="M991" s="21"/>
      <c r="N991" s="14">
        <f>ROUND(SUM(O991:S991)+T991+SUM(Z991:AV991),0)</f>
        <v>0</v>
      </c>
      <c r="O991" s="14">
        <f t="shared" ref="O991:W991" si="585">SUM(O986:O990)</f>
        <v>0</v>
      </c>
      <c r="P991" s="14">
        <f t="shared" si="585"/>
        <v>0</v>
      </c>
      <c r="Q991" s="14">
        <f t="shared" si="585"/>
        <v>0</v>
      </c>
      <c r="R991" s="14">
        <f t="shared" si="585"/>
        <v>0</v>
      </c>
      <c r="S991" s="14">
        <f t="shared" si="585"/>
        <v>0</v>
      </c>
      <c r="T991" s="14">
        <f t="shared" si="585"/>
        <v>0</v>
      </c>
      <c r="U991" s="14">
        <f t="shared" si="585"/>
        <v>0</v>
      </c>
      <c r="V991" s="14">
        <f t="shared" si="585"/>
        <v>0</v>
      </c>
      <c r="W991" s="14">
        <f t="shared" si="585"/>
        <v>0</v>
      </c>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f t="shared" ref="AW991:BJ991" si="586">SUM(AW986:AW990)</f>
        <v>0</v>
      </c>
      <c r="AX991" s="14">
        <f t="shared" si="586"/>
        <v>0</v>
      </c>
      <c r="AY991" s="14">
        <f t="shared" si="586"/>
        <v>0</v>
      </c>
      <c r="AZ991">
        <f t="shared" si="586"/>
        <v>0</v>
      </c>
      <c r="BA991" s="14">
        <f t="shared" si="586"/>
        <v>0</v>
      </c>
      <c r="BB991" s="14">
        <f t="shared" si="586"/>
        <v>0</v>
      </c>
      <c r="BC991" s="14">
        <f t="shared" si="586"/>
        <v>0</v>
      </c>
      <c r="BD991" s="14">
        <f t="shared" si="586"/>
        <v>0</v>
      </c>
      <c r="BE991" s="14">
        <f t="shared" si="586"/>
        <v>0</v>
      </c>
      <c r="BF991" s="14">
        <f t="shared" si="586"/>
        <v>0</v>
      </c>
      <c r="BG991" s="14">
        <f t="shared" si="586"/>
        <v>0</v>
      </c>
      <c r="BH991" s="14">
        <f t="shared" si="586"/>
        <v>0</v>
      </c>
      <c r="BI991" s="14">
        <f t="shared" si="586"/>
        <v>0</v>
      </c>
      <c r="BJ991" s="14">
        <f t="shared" si="586"/>
        <v>0</v>
      </c>
      <c r="BK991" s="14">
        <f t="shared" si="551"/>
        <v>0</v>
      </c>
      <c r="BL991" s="14"/>
      <c r="BM991" s="14"/>
      <c r="BN991" s="14"/>
      <c r="BO991" s="14"/>
      <c r="BP991" s="14"/>
      <c r="BQ991" s="14"/>
      <c r="BR991" s="14"/>
      <c r="BS991" s="14"/>
      <c r="BT991" s="324"/>
      <c r="BU991" s="14"/>
      <c r="BV991" s="14"/>
      <c r="BW991" s="14"/>
      <c r="BX991" s="14"/>
      <c r="BY991" s="14"/>
      <c r="BZ991" s="14"/>
      <c r="CA991" s="14"/>
      <c r="CB991" s="14"/>
      <c r="CC991" s="14"/>
      <c r="CD991" s="14"/>
      <c r="CE991" s="14"/>
      <c r="CF991" s="14"/>
      <c r="CG991" s="14"/>
      <c r="CH991" s="14"/>
      <c r="CI991" s="14"/>
      <c r="CM991" s="1140">
        <v>0</v>
      </c>
      <c r="CN991" s="1140">
        <v>0</v>
      </c>
      <c r="CP991" s="923">
        <f t="shared" si="568"/>
        <v>0</v>
      </c>
      <c r="CZ991" s="330"/>
    </row>
    <row r="992" spans="1:104" ht="18.75" customHeight="1" x14ac:dyDescent="0.25">
      <c r="A992" s="684">
        <f>MAX($A$6:A991)+1</f>
        <v>992</v>
      </c>
      <c r="B992" s="3">
        <f>B991</f>
        <v>6.1</v>
      </c>
      <c r="C992" s="11" t="str">
        <f>C991</f>
        <v>Consolidated intangible assets 2025-26</v>
      </c>
      <c r="D992" s="11" t="s">
        <v>452</v>
      </c>
      <c r="E992" s="277" t="s">
        <v>183</v>
      </c>
      <c r="F992" s="277"/>
      <c r="G992" s="26"/>
      <c r="H992" s="6"/>
      <c r="I992" s="6"/>
      <c r="J992" s="1257" t="s">
        <v>286</v>
      </c>
      <c r="K992" s="251">
        <f>SUMIF('alb Note 6.1 -  Intangibles CY'!$A:$A,$J992,'alb Note 6.1 -  Intangibles CY'!$F:$F)</f>
        <v>0</v>
      </c>
      <c r="L992" s="251">
        <f>SUMIF('alb Note 6.1 -  Intangibles CY'!$A:$A,$J992,'alb Note 6.1 -  Intangibles CY'!$Q:$Q)</f>
        <v>0</v>
      </c>
      <c r="M992" s="10"/>
      <c r="N992" s="273">
        <f>ROUND(SUM(O992:S992)+SUM(W992:AV992),0)</f>
        <v>0</v>
      </c>
      <c r="O992" s="12"/>
      <c r="P992" s="12"/>
      <c r="Q992" s="12"/>
      <c r="R992" s="12"/>
      <c r="S992" s="6">
        <f t="shared" si="567"/>
        <v>0</v>
      </c>
      <c r="T992" s="273">
        <f>ROUND(SUM(U992:Y992),0)</f>
        <v>0</v>
      </c>
      <c r="U992" s="6">
        <f>SUM(BL992:BN992)</f>
        <v>0</v>
      </c>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X992" s="6"/>
      <c r="AY992" s="6">
        <f>ROUND(AX992/1000/Update!$B$31*Update!$B$27,0)</f>
        <v>0</v>
      </c>
      <c r="BA992" s="6"/>
      <c r="BB992" s="6">
        <f>ROUND(BA992/1000/Update!$B$31,0)</f>
        <v>0</v>
      </c>
      <c r="BC992" s="6"/>
      <c r="BD992" s="29">
        <f t="shared" si="584"/>
        <v>0</v>
      </c>
      <c r="BE992" s="322"/>
      <c r="BF992" s="322"/>
      <c r="BG992" s="322"/>
      <c r="BH992" s="322"/>
      <c r="BI992" s="322"/>
      <c r="BJ992" s="322"/>
      <c r="BK992" s="29">
        <f t="shared" si="551"/>
        <v>0</v>
      </c>
      <c r="BL992" s="322"/>
      <c r="BM992" s="322"/>
      <c r="BN992" s="322"/>
      <c r="BO992" s="322"/>
      <c r="BP992" s="322"/>
      <c r="BQ992" s="322"/>
      <c r="BR992" s="322"/>
      <c r="BS992" s="322"/>
      <c r="BT992" s="322"/>
      <c r="BU992" s="322"/>
      <c r="BV992" s="322"/>
      <c r="BW992" s="322"/>
      <c r="BX992" s="322"/>
      <c r="BY992" s="322"/>
      <c r="BZ992" s="322"/>
      <c r="CA992" s="322"/>
      <c r="CB992" s="322"/>
      <c r="CC992" s="322"/>
      <c r="CD992" s="322"/>
      <c r="CE992" s="322"/>
      <c r="CF992" s="322"/>
      <c r="CG992" s="322"/>
      <c r="CH992" s="322"/>
      <c r="CI992" s="322"/>
      <c r="CM992" s="1139">
        <v>0</v>
      </c>
      <c r="CN992" s="1139">
        <v>0</v>
      </c>
      <c r="CP992" s="923">
        <f t="shared" si="568"/>
        <v>0</v>
      </c>
      <c r="CZ992" s="330"/>
    </row>
    <row r="993" spans="1:104" ht="25.5" customHeight="1" x14ac:dyDescent="0.25">
      <c r="A993" s="684">
        <f>MAX($A$6:A992)+1</f>
        <v>993</v>
      </c>
      <c r="B993" s="3">
        <f t="shared" si="561"/>
        <v>6.1</v>
      </c>
      <c r="C993" s="11" t="str">
        <f t="shared" si="577"/>
        <v>Consolidated intangible assets 2025-26</v>
      </c>
      <c r="D993" s="11" t="s">
        <v>452</v>
      </c>
      <c r="E993" s="7" t="str">
        <f>"At"&amp;Update!$B$20</f>
        <v>At 1 April 2025</v>
      </c>
      <c r="F993" s="15"/>
      <c r="G993" s="1267" t="str">
        <f>"At"&amp;Update!$B$20</f>
        <v>At 1 April 2025</v>
      </c>
      <c r="H993" s="6">
        <v>0</v>
      </c>
      <c r="I993" s="6">
        <v>0</v>
      </c>
      <c r="J993" s="1257" t="str">
        <f>$E993</f>
        <v>At 1 April 2025</v>
      </c>
      <c r="K993" s="251">
        <f>SUMIF('alb Note 6.1 -  Intangibles CY'!$A:$A,$J993,'alb Note 6.1 -  Intangibles CY'!$F:$F)</f>
        <v>0</v>
      </c>
      <c r="L993" s="251">
        <f>SUMIF('alb Note 6.1 -  Intangibles CY'!$A:$A,$J993,'alb Note 6.1 -  Intangibles CY'!$Q:$Q)</f>
        <v>0</v>
      </c>
      <c r="M993" s="10"/>
      <c r="N993" s="273">
        <f>ROUND(SUM(O993:S993)+SUM(W993:AV993),0)</f>
        <v>0</v>
      </c>
      <c r="O993" s="12"/>
      <c r="P993" s="12"/>
      <c r="Q993" s="12"/>
      <c r="R993" s="12"/>
      <c r="S993" s="6">
        <f t="shared" si="567"/>
        <v>0</v>
      </c>
      <c r="T993" s="273">
        <f>ROUND(SUM(U993:Y993),0)</f>
        <v>0</v>
      </c>
      <c r="U993" s="6">
        <f>SUM(BL993:BN993)</f>
        <v>0</v>
      </c>
      <c r="V993" s="6"/>
      <c r="W993" s="6">
        <f t="shared" ref="W993:W1004" si="587">+H993</f>
        <v>0</v>
      </c>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X993" s="6"/>
      <c r="AY993" s="6">
        <f>ROUND(AX993/1000/Update!$B$31*Update!$B$27,0)</f>
        <v>0</v>
      </c>
      <c r="BA993" s="6"/>
      <c r="BB993" s="6">
        <f>ROUND(BA993/1000/Update!$B$31,0)</f>
        <v>0</v>
      </c>
      <c r="BC993" s="6"/>
      <c r="BD993" s="29">
        <f t="shared" si="584"/>
        <v>0</v>
      </c>
      <c r="BE993" s="322"/>
      <c r="BF993" s="322"/>
      <c r="BG993" s="322"/>
      <c r="BH993" s="322"/>
      <c r="BI993" s="322"/>
      <c r="BJ993" s="322"/>
      <c r="BK993" s="29">
        <f t="shared" si="551"/>
        <v>0</v>
      </c>
      <c r="BL993" s="322"/>
      <c r="BM993" s="322"/>
      <c r="BN993" s="322"/>
      <c r="BO993" s="322"/>
      <c r="BP993" s="322"/>
      <c r="BQ993" s="322"/>
      <c r="BR993" s="322"/>
      <c r="BS993" s="322"/>
      <c r="BT993" s="322"/>
      <c r="BU993" s="322"/>
      <c r="BV993" s="322"/>
      <c r="BW993" s="322"/>
      <c r="BX993" s="322"/>
      <c r="BY993" s="322"/>
      <c r="BZ993" s="322"/>
      <c r="CA993" s="322"/>
      <c r="CB993" s="322"/>
      <c r="CC993" s="322"/>
      <c r="CD993" s="322"/>
      <c r="CE993" s="322"/>
      <c r="CF993" s="322"/>
      <c r="CG993" s="322"/>
      <c r="CH993" s="322"/>
      <c r="CI993" s="322"/>
      <c r="CM993" s="1139">
        <v>0</v>
      </c>
      <c r="CN993" s="1139">
        <v>0</v>
      </c>
      <c r="CP993" s="923">
        <f t="shared" si="568"/>
        <v>0</v>
      </c>
      <c r="CZ993" s="330"/>
    </row>
    <row r="994" spans="1:104" ht="15" customHeight="1" x14ac:dyDescent="0.25">
      <c r="A994" s="684">
        <f>MAX($A$6:A993)+1</f>
        <v>994</v>
      </c>
      <c r="B994" s="3">
        <f t="shared" si="561"/>
        <v>6.1</v>
      </c>
      <c r="C994" s="11" t="str">
        <f t="shared" si="577"/>
        <v>Consolidated intangible assets 2025-26</v>
      </c>
      <c r="D994" s="11" t="str">
        <f>D993</f>
        <v>Licences, trademarks &amp; artistic originals</v>
      </c>
      <c r="E994" s="7" t="s">
        <v>1417</v>
      </c>
      <c r="F994" s="7"/>
      <c r="G994" s="1254" t="s">
        <v>435</v>
      </c>
      <c r="H994" s="6">
        <v>0</v>
      </c>
      <c r="I994" s="6">
        <v>0</v>
      </c>
      <c r="J994" s="1257" t="s">
        <v>184</v>
      </c>
      <c r="K994" s="251">
        <f>SUMIF('alb Note 6.1 -  Intangibles CY'!$A:$A,$J994,'alb Note 6.1 -  Intangibles CY'!$F:$F)</f>
        <v>0</v>
      </c>
      <c r="L994" s="251">
        <f>SUMIF('alb Note 6.1 -  Intangibles CY'!$A:$A,$J994,'alb Note 6.1 -  Intangibles CY'!$Q:$Q)</f>
        <v>0</v>
      </c>
      <c r="M994" s="10"/>
      <c r="N994" s="273">
        <f>ROUND(SUM(O994:S994)+SUM(W994:AV994),0)</f>
        <v>0</v>
      </c>
      <c r="O994" s="12"/>
      <c r="P994" s="12"/>
      <c r="Q994" s="12"/>
      <c r="R994" s="12"/>
      <c r="S994" s="6">
        <f t="shared" si="567"/>
        <v>0</v>
      </c>
      <c r="T994" s="273">
        <f>ROUND(SUM(U994:Y994),0)</f>
        <v>0</v>
      </c>
      <c r="U994" s="6">
        <f>SUM(BL994:BN994)</f>
        <v>0</v>
      </c>
      <c r="V994" s="6"/>
      <c r="W994" s="6">
        <f t="shared" si="587"/>
        <v>0</v>
      </c>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X994" s="6"/>
      <c r="AY994" s="6">
        <f>ROUND(AX994/1000/Update!$B$31*Update!$B$27,0)</f>
        <v>0</v>
      </c>
      <c r="BA994" s="6"/>
      <c r="BB994" s="6">
        <f>ROUND(BA994/1000/Update!$B$31,0)</f>
        <v>0</v>
      </c>
      <c r="BC994" s="6"/>
      <c r="BD994" s="29">
        <f t="shared" si="584"/>
        <v>0</v>
      </c>
      <c r="BE994" s="322"/>
      <c r="BF994" s="322"/>
      <c r="BG994" s="322"/>
      <c r="BH994" s="322"/>
      <c r="BI994" s="322"/>
      <c r="BJ994" s="322"/>
      <c r="BK994" s="29">
        <f t="shared" si="551"/>
        <v>0</v>
      </c>
      <c r="BL994" s="322"/>
      <c r="BM994" s="322"/>
      <c r="BN994" s="322"/>
      <c r="BO994" s="322"/>
      <c r="BP994" s="322"/>
      <c r="BQ994" s="322"/>
      <c r="BR994" s="322"/>
      <c r="BS994" s="322"/>
      <c r="BT994" s="322"/>
      <c r="BU994" s="322"/>
      <c r="BV994" s="322"/>
      <c r="BW994" s="322"/>
      <c r="BX994" s="322"/>
      <c r="BY994" s="322"/>
      <c r="BZ994" s="322"/>
      <c r="CA994" s="322"/>
      <c r="CB994" s="322"/>
      <c r="CC994" s="322"/>
      <c r="CD994" s="322"/>
      <c r="CE994" s="322"/>
      <c r="CF994" s="322"/>
      <c r="CG994" s="322"/>
      <c r="CH994" s="322"/>
      <c r="CI994" s="322"/>
      <c r="CM994" s="1139">
        <v>0</v>
      </c>
      <c r="CN994" s="1139">
        <v>0</v>
      </c>
      <c r="CP994" s="923">
        <f t="shared" si="568"/>
        <v>0</v>
      </c>
      <c r="CZ994" s="330"/>
    </row>
    <row r="995" spans="1:104" ht="15" customHeight="1" x14ac:dyDescent="0.25">
      <c r="A995" s="701">
        <f>MAX($A$6:A994)+1</f>
        <v>995</v>
      </c>
      <c r="B995" s="1291">
        <f t="shared" si="561"/>
        <v>6.1</v>
      </c>
      <c r="C995" s="18" t="str">
        <f t="shared" si="577"/>
        <v>Consolidated intangible assets 2025-26</v>
      </c>
      <c r="D995" s="18" t="str">
        <f>D994</f>
        <v>Licences, trademarks &amp; artistic originals</v>
      </c>
      <c r="E995" s="19" t="s">
        <v>869</v>
      </c>
      <c r="F995" s="20"/>
      <c r="G995" s="1278" t="s">
        <v>442</v>
      </c>
      <c r="H995" s="14">
        <f>SUM(H992:H994)</f>
        <v>0</v>
      </c>
      <c r="I995" s="14">
        <f>SUM(I992:I994)</f>
        <v>0</v>
      </c>
      <c r="J995" s="1258" t="s">
        <v>869</v>
      </c>
      <c r="K995" s="256">
        <f>SUM(K992:K994)</f>
        <v>0</v>
      </c>
      <c r="L995" s="256">
        <f>SUM(L992:L994)</f>
        <v>0</v>
      </c>
      <c r="M995" s="21"/>
      <c r="N995" s="14">
        <f>ROUND(SUM(O995:S995)+T995+SUM(Z995:AV995),0)</f>
        <v>0</v>
      </c>
      <c r="O995" s="14">
        <f t="shared" ref="O995:W995" si="588">SUM(O992:O994)</f>
        <v>0</v>
      </c>
      <c r="P995" s="14">
        <f t="shared" si="588"/>
        <v>0</v>
      </c>
      <c r="Q995" s="14">
        <f t="shared" si="588"/>
        <v>0</v>
      </c>
      <c r="R995" s="14">
        <f t="shared" si="588"/>
        <v>0</v>
      </c>
      <c r="S995" s="14">
        <f t="shared" si="567"/>
        <v>0</v>
      </c>
      <c r="T995" s="14">
        <f t="shared" si="588"/>
        <v>0</v>
      </c>
      <c r="U995" s="14">
        <f t="shared" si="588"/>
        <v>0</v>
      </c>
      <c r="V995" s="14">
        <f t="shared" si="588"/>
        <v>0</v>
      </c>
      <c r="W995" s="14">
        <f t="shared" si="588"/>
        <v>0</v>
      </c>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X995" s="14">
        <f>SUM(AX992:AX994)</f>
        <v>0</v>
      </c>
      <c r="AY995" s="14">
        <f>ROUND(AX995/1000/Update!$B$31*Update!$B$27,0)</f>
        <v>0</v>
      </c>
      <c r="BA995" s="14">
        <f>SUM(BA992:BA994)</f>
        <v>0</v>
      </c>
      <c r="BB995" s="14">
        <f>ROUND(BA995/1000/Update!$B$31,0)</f>
        <v>0</v>
      </c>
      <c r="BC995" s="14"/>
      <c r="BD995" s="14">
        <f t="shared" si="584"/>
        <v>0</v>
      </c>
      <c r="BE995" s="14">
        <f t="shared" ref="BE995:BJ995" si="589">SUM(BE992:BE994)</f>
        <v>0</v>
      </c>
      <c r="BF995" s="14">
        <f t="shared" si="589"/>
        <v>0</v>
      </c>
      <c r="BG995" s="14">
        <f t="shared" si="589"/>
        <v>0</v>
      </c>
      <c r="BH995" s="14">
        <f t="shared" si="589"/>
        <v>0</v>
      </c>
      <c r="BI995" s="14">
        <f t="shared" si="589"/>
        <v>0</v>
      </c>
      <c r="BJ995" s="14">
        <f t="shared" si="589"/>
        <v>0</v>
      </c>
      <c r="BK995" s="14">
        <f t="shared" si="551"/>
        <v>0</v>
      </c>
      <c r="BL995" s="14"/>
      <c r="BM995" s="14"/>
      <c r="BN995" s="14"/>
      <c r="BO995" s="14"/>
      <c r="BP995" s="14"/>
      <c r="BQ995" s="14"/>
      <c r="BR995" s="14"/>
      <c r="BS995" s="14"/>
      <c r="BT995" s="324"/>
      <c r="BU995" s="14"/>
      <c r="BV995" s="14"/>
      <c r="BW995" s="14"/>
      <c r="BX995" s="14"/>
      <c r="BY995" s="14"/>
      <c r="BZ995" s="14"/>
      <c r="CA995" s="14"/>
      <c r="CB995" s="14"/>
      <c r="CC995" s="14"/>
      <c r="CD995" s="14"/>
      <c r="CE995" s="14"/>
      <c r="CF995" s="14"/>
      <c r="CG995" s="14"/>
      <c r="CH995" s="14"/>
      <c r="CI995" s="14"/>
      <c r="CM995" s="1140">
        <v>0</v>
      </c>
      <c r="CN995" s="1140">
        <v>0</v>
      </c>
      <c r="CP995" s="923">
        <f t="shared" si="568"/>
        <v>0</v>
      </c>
      <c r="CZ995" s="330"/>
    </row>
    <row r="996" spans="1:104" ht="15" customHeight="1" x14ac:dyDescent="0.25">
      <c r="A996" s="684">
        <f>MAX($A$6:A995)+1</f>
        <v>996</v>
      </c>
      <c r="B996" s="3">
        <f t="shared" si="561"/>
        <v>6.1</v>
      </c>
      <c r="C996" s="11" t="str">
        <f t="shared" si="577"/>
        <v>Consolidated intangible assets 2025-26</v>
      </c>
      <c r="D996" s="11" t="s">
        <v>452</v>
      </c>
      <c r="E996" s="7" t="s">
        <v>1020</v>
      </c>
      <c r="F996" s="7"/>
      <c r="G996" s="1254" t="s">
        <v>185</v>
      </c>
      <c r="H996" s="6">
        <v>0</v>
      </c>
      <c r="I996" s="6">
        <v>0</v>
      </c>
      <c r="J996" s="1257" t="s">
        <v>185</v>
      </c>
      <c r="K996" s="251">
        <f>SUMIF('alb Note 6.1 -  Intangibles CY'!$A:$A,$J996,'alb Note 6.1 -  Intangibles CY'!$F:$F)</f>
        <v>0</v>
      </c>
      <c r="L996" s="251">
        <f>SUMIF('alb Note 6.1 -  Intangibles CY'!$A:$A,$J996,'alb Note 6.1 -  Intangibles CY'!$Q:$Q)</f>
        <v>0</v>
      </c>
      <c r="M996" s="10"/>
      <c r="N996" s="273">
        <f t="shared" ref="N996:N1004" si="590">ROUND(SUM(O996:S996)+SUM(W996:AV996),0)</f>
        <v>0</v>
      </c>
      <c r="O996" s="12"/>
      <c r="P996" s="12"/>
      <c r="Q996" s="12"/>
      <c r="R996" s="12"/>
      <c r="S996" s="6">
        <f t="shared" si="567"/>
        <v>0</v>
      </c>
      <c r="T996" s="273">
        <f t="shared" ref="T996:T1004" si="591">ROUND(SUM(U996:Y996),0)</f>
        <v>0</v>
      </c>
      <c r="U996" s="6">
        <f t="shared" ref="U996:U1004" si="592">SUM(BL996:BN996)</f>
        <v>0</v>
      </c>
      <c r="V996" s="6"/>
      <c r="W996" s="6">
        <f t="shared" si="587"/>
        <v>0</v>
      </c>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X996" s="6"/>
      <c r="AY996" s="6">
        <f>ROUND(AX996/1000/Update!$B$31*Update!$B$27,0)</f>
        <v>0</v>
      </c>
      <c r="BA996" s="6"/>
      <c r="BB996" s="6">
        <f>ROUND(BA996/1000/Update!$B$31,0)</f>
        <v>0</v>
      </c>
      <c r="BC996" s="6"/>
      <c r="BD996" s="29">
        <f t="shared" si="584"/>
        <v>0</v>
      </c>
      <c r="BE996" s="322"/>
      <c r="BF996" s="322"/>
      <c r="BG996" s="322"/>
      <c r="BH996" s="322"/>
      <c r="BI996" s="322"/>
      <c r="BJ996" s="322"/>
      <c r="BK996" s="29">
        <f t="shared" si="551"/>
        <v>0</v>
      </c>
      <c r="BL996" s="322"/>
      <c r="BM996" s="322"/>
      <c r="BN996" s="322"/>
      <c r="BO996" s="322"/>
      <c r="BP996" s="322"/>
      <c r="BQ996" s="322"/>
      <c r="BR996" s="322"/>
      <c r="BS996" s="322"/>
      <c r="BT996" s="322"/>
      <c r="BU996" s="322"/>
      <c r="BV996" s="322"/>
      <c r="BW996" s="322"/>
      <c r="BX996" s="322"/>
      <c r="BY996" s="322"/>
      <c r="BZ996" s="322"/>
      <c r="CA996" s="322"/>
      <c r="CB996" s="322"/>
      <c r="CC996" s="322"/>
      <c r="CD996" s="322"/>
      <c r="CE996" s="322"/>
      <c r="CF996" s="322"/>
      <c r="CG996" s="322"/>
      <c r="CH996" s="322"/>
      <c r="CI996" s="322"/>
      <c r="CM996" s="1139">
        <v>0</v>
      </c>
      <c r="CN996" s="1139">
        <v>0</v>
      </c>
      <c r="CP996" s="923">
        <f t="shared" si="568"/>
        <v>0</v>
      </c>
      <c r="CZ996" s="330"/>
    </row>
    <row r="997" spans="1:104" ht="30" customHeight="1" x14ac:dyDescent="0.25">
      <c r="A997" s="684">
        <f>MAX($A$6:A996)+1</f>
        <v>997</v>
      </c>
      <c r="B997" s="3">
        <f t="shared" si="561"/>
        <v>6.1</v>
      </c>
      <c r="C997" s="11" t="str">
        <f t="shared" si="577"/>
        <v>Consolidated intangible assets 2025-26</v>
      </c>
      <c r="D997" s="11" t="str">
        <f>D996</f>
        <v>Licences, trademarks &amp; artistic originals</v>
      </c>
      <c r="E997" s="7" t="s">
        <v>1418</v>
      </c>
      <c r="F997" s="7"/>
      <c r="G997" s="1254" t="s">
        <v>437</v>
      </c>
      <c r="H997" s="6">
        <v>0</v>
      </c>
      <c r="I997" s="6">
        <v>0</v>
      </c>
      <c r="J997" s="1257" t="s">
        <v>437</v>
      </c>
      <c r="K997" s="251">
        <f>SUMIF('alb Note 6.1 -  Intangibles CY'!$A:$A,$J997,'alb Note 6.1 -  Intangibles CY'!$F:$F)</f>
        <v>0</v>
      </c>
      <c r="L997" s="251">
        <f>SUMIF('alb Note 6.1 -  Intangibles CY'!$A:$A,$J997,'alb Note 6.1 -  Intangibles CY'!$Q:$Q)</f>
        <v>0</v>
      </c>
      <c r="M997" s="10"/>
      <c r="N997" s="273">
        <f t="shared" si="590"/>
        <v>0</v>
      </c>
      <c r="O997" s="12"/>
      <c r="P997" s="12"/>
      <c r="Q997" s="12"/>
      <c r="R997" s="12"/>
      <c r="S997" s="6">
        <f t="shared" si="567"/>
        <v>0</v>
      </c>
      <c r="T997" s="273">
        <f t="shared" si="591"/>
        <v>0</v>
      </c>
      <c r="U997" s="6">
        <f t="shared" si="592"/>
        <v>0</v>
      </c>
      <c r="V997" s="6"/>
      <c r="W997" s="6">
        <f t="shared" si="587"/>
        <v>0</v>
      </c>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X997" s="6"/>
      <c r="AY997" s="6">
        <f>ROUND(AX997/1000/Update!$B$31*Update!$B$27,0)</f>
        <v>0</v>
      </c>
      <c r="BA997" s="6"/>
      <c r="BB997" s="6">
        <f>ROUND(BA997/1000/Update!$B$31,0)</f>
        <v>0</v>
      </c>
      <c r="BC997" s="6"/>
      <c r="BD997" s="29">
        <f t="shared" si="584"/>
        <v>0</v>
      </c>
      <c r="BE997" s="322"/>
      <c r="BF997" s="322"/>
      <c r="BG997" s="322"/>
      <c r="BH997" s="322"/>
      <c r="BI997" s="322"/>
      <c r="BJ997" s="322"/>
      <c r="BK997" s="29">
        <f t="shared" si="551"/>
        <v>0</v>
      </c>
      <c r="BL997" s="322"/>
      <c r="BM997" s="322"/>
      <c r="BN997" s="322"/>
      <c r="BO997" s="322"/>
      <c r="BP997" s="322"/>
      <c r="BQ997" s="322"/>
      <c r="BR997" s="322"/>
      <c r="BS997" s="322"/>
      <c r="BT997" s="322"/>
      <c r="BU997" s="322"/>
      <c r="BV997" s="322"/>
      <c r="BW997" s="322"/>
      <c r="BX997" s="322"/>
      <c r="BY997" s="322"/>
      <c r="BZ997" s="322"/>
      <c r="CA997" s="322"/>
      <c r="CB997" s="322"/>
      <c r="CC997" s="322"/>
      <c r="CD997" s="322"/>
      <c r="CE997" s="322"/>
      <c r="CF997" s="322"/>
      <c r="CG997" s="322"/>
      <c r="CH997" s="322"/>
      <c r="CI997" s="322"/>
      <c r="CM997" s="1139">
        <v>0</v>
      </c>
      <c r="CN997" s="1139">
        <v>0</v>
      </c>
      <c r="CP997" s="923">
        <f t="shared" si="568"/>
        <v>0</v>
      </c>
      <c r="CZ997" s="330"/>
    </row>
    <row r="998" spans="1:104" ht="15" customHeight="1" x14ac:dyDescent="0.25">
      <c r="A998" s="684">
        <f>MAX($A$6:A997)+1</f>
        <v>998</v>
      </c>
      <c r="B998" s="3">
        <f t="shared" si="561"/>
        <v>6.1</v>
      </c>
      <c r="C998" s="11" t="str">
        <f t="shared" si="577"/>
        <v>Consolidated intangible assets 2025-26</v>
      </c>
      <c r="D998" s="11" t="s">
        <v>452</v>
      </c>
      <c r="E998" s="7" t="s">
        <v>457</v>
      </c>
      <c r="F998" s="7"/>
      <c r="G998" s="1254" t="s">
        <v>457</v>
      </c>
      <c r="H998" s="6">
        <v>0</v>
      </c>
      <c r="I998" s="6">
        <v>0</v>
      </c>
      <c r="J998" s="1257" t="s">
        <v>187</v>
      </c>
      <c r="K998" s="251">
        <f>SUMIF('alb Note 6.1 -  Intangibles CY'!$A:$A,$J998,'alb Note 6.1 -  Intangibles CY'!$F:$F)</f>
        <v>0</v>
      </c>
      <c r="L998" s="251">
        <f>SUMIF('alb Note 6.1 -  Intangibles CY'!$A:$A,$J998,'alb Note 6.1 -  Intangibles CY'!$Q:$Q)</f>
        <v>0</v>
      </c>
      <c r="M998" s="10"/>
      <c r="N998" s="273">
        <f t="shared" si="590"/>
        <v>0</v>
      </c>
      <c r="O998" s="12"/>
      <c r="P998" s="12"/>
      <c r="Q998" s="12"/>
      <c r="R998" s="12"/>
      <c r="S998" s="6">
        <f t="shared" si="567"/>
        <v>0</v>
      </c>
      <c r="T998" s="273">
        <f t="shared" si="591"/>
        <v>0</v>
      </c>
      <c r="U998" s="6">
        <f t="shared" si="592"/>
        <v>0</v>
      </c>
      <c r="V998" s="6"/>
      <c r="W998" s="6">
        <f t="shared" si="587"/>
        <v>0</v>
      </c>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X998" s="6"/>
      <c r="AY998" s="6">
        <f>ROUND(AX998/1000/Update!$B$31*Update!$B$27,0)</f>
        <v>0</v>
      </c>
      <c r="BA998" s="6"/>
      <c r="BB998" s="6">
        <f>ROUND(BA998/1000/Update!$B$31,0)</f>
        <v>0</v>
      </c>
      <c r="BC998" s="6"/>
      <c r="BD998" s="29">
        <f t="shared" si="584"/>
        <v>0</v>
      </c>
      <c r="BE998" s="322"/>
      <c r="BF998" s="322"/>
      <c r="BG998" s="322"/>
      <c r="BH998" s="322"/>
      <c r="BI998" s="322"/>
      <c r="BJ998" s="322"/>
      <c r="BK998" s="29">
        <f t="shared" si="551"/>
        <v>0</v>
      </c>
      <c r="BL998" s="322"/>
      <c r="BM998" s="322"/>
      <c r="BN998" s="322"/>
      <c r="BO998" s="322"/>
      <c r="BP998" s="322"/>
      <c r="BQ998" s="322"/>
      <c r="BR998" s="322"/>
      <c r="BS998" s="322"/>
      <c r="BT998" s="322"/>
      <c r="BU998" s="322"/>
      <c r="BV998" s="322"/>
      <c r="BW998" s="322"/>
      <c r="BX998" s="322"/>
      <c r="BY998" s="322"/>
      <c r="BZ998" s="322"/>
      <c r="CA998" s="322"/>
      <c r="CB998" s="322"/>
      <c r="CC998" s="322"/>
      <c r="CD998" s="322"/>
      <c r="CE998" s="322"/>
      <c r="CF998" s="322"/>
      <c r="CG998" s="322"/>
      <c r="CH998" s="322"/>
      <c r="CI998" s="322"/>
      <c r="CM998" s="1139">
        <v>0</v>
      </c>
      <c r="CN998" s="1139">
        <v>0</v>
      </c>
      <c r="CP998" s="923">
        <f t="shared" si="568"/>
        <v>0</v>
      </c>
      <c r="CZ998" s="330"/>
    </row>
    <row r="999" spans="1:104" ht="15" customHeight="1" x14ac:dyDescent="0.25">
      <c r="A999" s="684">
        <f>MAX($A$6:A998)+1</f>
        <v>999</v>
      </c>
      <c r="B999" s="3">
        <f t="shared" si="561"/>
        <v>6.1</v>
      </c>
      <c r="C999" s="11" t="str">
        <f>C996</f>
        <v>Consolidated intangible assets 2025-26</v>
      </c>
      <c r="D999" s="11" t="s">
        <v>452</v>
      </c>
      <c r="E999" s="7" t="s">
        <v>867</v>
      </c>
      <c r="F999" s="7"/>
      <c r="G999" s="1257" t="s">
        <v>187</v>
      </c>
      <c r="H999" s="6">
        <v>0</v>
      </c>
      <c r="I999" s="6">
        <v>0</v>
      </c>
      <c r="J999" s="1257" t="s">
        <v>191</v>
      </c>
      <c r="K999" s="251">
        <f>SUMIF('alb Note 6.1 -  Intangibles CY'!$A:$A,$J999,'alb Note 6.1 -  Intangibles CY'!$F:$F)</f>
        <v>0</v>
      </c>
      <c r="L999" s="251">
        <f>SUMIF('alb Note 6.1 -  Intangibles CY'!$A:$A,$J999,'alb Note 6.1 -  Intangibles CY'!$Q:$Q)</f>
        <v>0</v>
      </c>
      <c r="M999" s="10"/>
      <c r="N999" s="273">
        <f t="shared" si="590"/>
        <v>0</v>
      </c>
      <c r="O999" s="12"/>
      <c r="P999" s="12"/>
      <c r="Q999" s="12"/>
      <c r="R999" s="12"/>
      <c r="S999" s="6">
        <f t="shared" si="567"/>
        <v>0</v>
      </c>
      <c r="T999" s="273">
        <f t="shared" si="591"/>
        <v>0</v>
      </c>
      <c r="U999" s="6">
        <f t="shared" si="592"/>
        <v>0</v>
      </c>
      <c r="V999" s="6"/>
      <c r="W999" s="6">
        <f t="shared" si="587"/>
        <v>0</v>
      </c>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X999" s="6"/>
      <c r="AY999" s="6">
        <f>ROUND(AX999/1000/Update!$B$31*Update!$B$27,0)</f>
        <v>0</v>
      </c>
      <c r="BA999" s="6"/>
      <c r="BB999" s="6">
        <f>ROUND(BA999/1000/Update!$B$31,0)</f>
        <v>0</v>
      </c>
      <c r="BC999" s="6"/>
      <c r="BD999" s="29">
        <f t="shared" si="584"/>
        <v>0</v>
      </c>
      <c r="BE999" s="322"/>
      <c r="BF999" s="322"/>
      <c r="BG999" s="322"/>
      <c r="BH999" s="322"/>
      <c r="BI999" s="322"/>
      <c r="BJ999" s="322"/>
      <c r="BK999" s="29">
        <f t="shared" si="551"/>
        <v>0</v>
      </c>
      <c r="BL999" s="322"/>
      <c r="BM999" s="322"/>
      <c r="BN999" s="322"/>
      <c r="BO999" s="322"/>
      <c r="BP999" s="322"/>
      <c r="BQ999" s="322"/>
      <c r="BR999" s="322"/>
      <c r="BS999" s="322"/>
      <c r="BT999" s="322"/>
      <c r="BU999" s="322"/>
      <c r="BV999" s="322"/>
      <c r="BW999" s="322"/>
      <c r="BX999" s="322"/>
      <c r="BY999" s="322"/>
      <c r="BZ999" s="322"/>
      <c r="CA999" s="322"/>
      <c r="CB999" s="322"/>
      <c r="CC999" s="322"/>
      <c r="CD999" s="322"/>
      <c r="CE999" s="322"/>
      <c r="CF999" s="322"/>
      <c r="CG999" s="322"/>
      <c r="CH999" s="322"/>
      <c r="CI999" s="322"/>
      <c r="CM999" s="1139">
        <v>0</v>
      </c>
      <c r="CN999" s="1139">
        <v>0</v>
      </c>
      <c r="CP999" s="923">
        <f t="shared" si="568"/>
        <v>0</v>
      </c>
      <c r="CZ999" s="330"/>
    </row>
    <row r="1000" spans="1:104" ht="15" customHeight="1" x14ac:dyDescent="0.25">
      <c r="A1000" s="684">
        <f>MAX($A$6:A999)+1</f>
        <v>1000</v>
      </c>
      <c r="B1000" s="3">
        <f t="shared" si="561"/>
        <v>6.1</v>
      </c>
      <c r="C1000" s="11" t="str">
        <f>C998</f>
        <v>Consolidated intangible assets 2025-26</v>
      </c>
      <c r="D1000" s="11" t="s">
        <v>452</v>
      </c>
      <c r="E1000" s="7" t="s">
        <v>863</v>
      </c>
      <c r="F1000" s="7"/>
      <c r="G1000" s="1254" t="s">
        <v>186</v>
      </c>
      <c r="H1000" s="6">
        <v>0</v>
      </c>
      <c r="I1000" s="6">
        <v>0</v>
      </c>
      <c r="J1000" s="1257" t="s">
        <v>186</v>
      </c>
      <c r="K1000" s="251">
        <f>SUMIF('alb Note 6.1 -  Intangibles CY'!$A:$A,$J1000,'alb Note 6.1 -  Intangibles CY'!$F:$F)</f>
        <v>0</v>
      </c>
      <c r="L1000" s="251">
        <f>SUMIF('alb Note 6.1 -  Intangibles CY'!$A:$A,$J1000,'alb Note 6.1 -  Intangibles CY'!$Q:$Q)</f>
        <v>0</v>
      </c>
      <c r="M1000" s="10"/>
      <c r="N1000" s="273">
        <f t="shared" si="590"/>
        <v>0</v>
      </c>
      <c r="O1000" s="12"/>
      <c r="P1000" s="12"/>
      <c r="Q1000" s="12"/>
      <c r="R1000" s="12"/>
      <c r="S1000" s="6">
        <f t="shared" si="567"/>
        <v>0</v>
      </c>
      <c r="T1000" s="273">
        <f t="shared" si="591"/>
        <v>0</v>
      </c>
      <c r="U1000" s="6">
        <f t="shared" si="592"/>
        <v>0</v>
      </c>
      <c r="V1000" s="6"/>
      <c r="W1000" s="6">
        <f t="shared" si="587"/>
        <v>0</v>
      </c>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X1000" s="6"/>
      <c r="AY1000" s="6">
        <f>ROUND(AX1000/1000/Update!$B$31*Update!$B$27,0)</f>
        <v>0</v>
      </c>
      <c r="BA1000" s="6"/>
      <c r="BB1000" s="6">
        <f>ROUND(BA1000/1000/Update!$B$31,0)</f>
        <v>0</v>
      </c>
      <c r="BC1000" s="6"/>
      <c r="BD1000" s="29">
        <f t="shared" si="584"/>
        <v>0</v>
      </c>
      <c r="BE1000" s="322"/>
      <c r="BF1000" s="322"/>
      <c r="BG1000" s="322"/>
      <c r="BH1000" s="322"/>
      <c r="BI1000" s="322"/>
      <c r="BJ1000" s="322"/>
      <c r="BK1000" s="29">
        <f t="shared" si="551"/>
        <v>0</v>
      </c>
      <c r="BL1000" s="322"/>
      <c r="BM1000" s="322"/>
      <c r="BN1000" s="322"/>
      <c r="BO1000" s="322"/>
      <c r="BP1000" s="322"/>
      <c r="BQ1000" s="322"/>
      <c r="BR1000" s="322"/>
      <c r="BS1000" s="322"/>
      <c r="BT1000" s="322"/>
      <c r="BU1000" s="322"/>
      <c r="BV1000" s="322"/>
      <c r="BW1000" s="322"/>
      <c r="BX1000" s="322"/>
      <c r="BY1000" s="322"/>
      <c r="BZ1000" s="322"/>
      <c r="CA1000" s="322"/>
      <c r="CB1000" s="322"/>
      <c r="CC1000" s="322"/>
      <c r="CD1000" s="322"/>
      <c r="CE1000" s="322"/>
      <c r="CF1000" s="322"/>
      <c r="CG1000" s="322"/>
      <c r="CH1000" s="322"/>
      <c r="CI1000" s="322"/>
      <c r="CM1000" s="1139">
        <v>0</v>
      </c>
      <c r="CN1000" s="1139">
        <v>0</v>
      </c>
      <c r="CP1000" s="923">
        <f t="shared" si="568"/>
        <v>0</v>
      </c>
      <c r="CZ1000" s="330"/>
    </row>
    <row r="1001" spans="1:104" ht="15" customHeight="1" x14ac:dyDescent="0.25">
      <c r="A1001" s="684">
        <f>MAX($A$6:A1000)+1</f>
        <v>1001</v>
      </c>
      <c r="B1001" s="3">
        <f t="shared" si="561"/>
        <v>6.1</v>
      </c>
      <c r="C1001" s="11" t="str">
        <f t="shared" si="577"/>
        <v>Consolidated intangible assets 2025-26</v>
      </c>
      <c r="D1001" s="11" t="s">
        <v>452</v>
      </c>
      <c r="E1001" s="7" t="s">
        <v>868</v>
      </c>
      <c r="F1001" s="7"/>
      <c r="G1001" s="1254" t="s">
        <v>188</v>
      </c>
      <c r="H1001" s="6">
        <v>0</v>
      </c>
      <c r="I1001" s="6">
        <v>0</v>
      </c>
      <c r="J1001" s="1257" t="s">
        <v>188</v>
      </c>
      <c r="K1001" s="251">
        <f>SUMIF('alb Note 6.1 -  Intangibles CY'!$A:$A,$J1001,'alb Note 6.1 -  Intangibles CY'!$F:$F)</f>
        <v>0</v>
      </c>
      <c r="L1001" s="251">
        <f>SUMIF('alb Note 6.1 -  Intangibles CY'!$A:$A,$J1001,'alb Note 6.1 -  Intangibles CY'!$Q:$Q)</f>
        <v>0</v>
      </c>
      <c r="M1001" s="10"/>
      <c r="N1001" s="273">
        <f t="shared" si="590"/>
        <v>0</v>
      </c>
      <c r="O1001" s="12"/>
      <c r="P1001" s="12"/>
      <c r="Q1001" s="12"/>
      <c r="R1001" s="12"/>
      <c r="S1001" s="6">
        <f t="shared" si="567"/>
        <v>0</v>
      </c>
      <c r="T1001" s="273">
        <f t="shared" si="591"/>
        <v>0</v>
      </c>
      <c r="U1001" s="6">
        <f t="shared" si="592"/>
        <v>0</v>
      </c>
      <c r="V1001" s="6"/>
      <c r="W1001" s="6">
        <f t="shared" si="587"/>
        <v>0</v>
      </c>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X1001" s="6"/>
      <c r="AY1001" s="6">
        <f>ROUND(AX1001/1000/Update!$B$31*Update!$B$27,0)</f>
        <v>0</v>
      </c>
      <c r="BA1001" s="6"/>
      <c r="BB1001" s="6">
        <f>ROUND(BA1001/1000/Update!$B$31,0)</f>
        <v>0</v>
      </c>
      <c r="BC1001" s="6"/>
      <c r="BD1001" s="29">
        <f t="shared" si="584"/>
        <v>0</v>
      </c>
      <c r="BE1001" s="322"/>
      <c r="BF1001" s="322"/>
      <c r="BG1001" s="322"/>
      <c r="BH1001" s="322"/>
      <c r="BI1001" s="322"/>
      <c r="BJ1001" s="322"/>
      <c r="BK1001" s="29">
        <f t="shared" si="551"/>
        <v>0</v>
      </c>
      <c r="BL1001" s="322"/>
      <c r="BM1001" s="322"/>
      <c r="BN1001" s="322"/>
      <c r="BO1001" s="322"/>
      <c r="BP1001" s="322"/>
      <c r="BQ1001" s="322"/>
      <c r="BR1001" s="322"/>
      <c r="BS1001" s="322"/>
      <c r="BT1001" s="322"/>
      <c r="BU1001" s="322"/>
      <c r="BV1001" s="322"/>
      <c r="BW1001" s="322"/>
      <c r="BX1001" s="322"/>
      <c r="BY1001" s="322"/>
      <c r="BZ1001" s="322"/>
      <c r="CA1001" s="322"/>
      <c r="CB1001" s="322"/>
      <c r="CC1001" s="322"/>
      <c r="CD1001" s="322"/>
      <c r="CE1001" s="322"/>
      <c r="CF1001" s="322"/>
      <c r="CG1001" s="322"/>
      <c r="CH1001" s="322"/>
      <c r="CI1001" s="322"/>
      <c r="CM1001" s="1139">
        <v>0</v>
      </c>
      <c r="CN1001" s="1139">
        <v>0</v>
      </c>
      <c r="CP1001" s="923">
        <f t="shared" si="568"/>
        <v>0</v>
      </c>
      <c r="CZ1001" s="330"/>
    </row>
    <row r="1002" spans="1:104" ht="30" customHeight="1" x14ac:dyDescent="0.25">
      <c r="A1002" s="684">
        <f>MAX($A$6:A1001)+1</f>
        <v>1002</v>
      </c>
      <c r="B1002" s="3">
        <f t="shared" si="561"/>
        <v>6.1</v>
      </c>
      <c r="C1002" s="11" t="str">
        <f t="shared" si="577"/>
        <v>Consolidated intangible assets 2025-26</v>
      </c>
      <c r="D1002" s="11" t="s">
        <v>452</v>
      </c>
      <c r="E1002" s="7" t="s">
        <v>1415</v>
      </c>
      <c r="F1002" s="7"/>
      <c r="G1002" s="1254" t="s">
        <v>438</v>
      </c>
      <c r="H1002" s="6">
        <v>0</v>
      </c>
      <c r="I1002" s="6">
        <v>0</v>
      </c>
      <c r="J1002" s="1257" t="s">
        <v>768</v>
      </c>
      <c r="K1002" s="251">
        <f>SUMIF('alb Note 6.1 -  Intangibles CY'!$A:$A,$J1002,'alb Note 6.1 -  Intangibles CY'!$F:$F)</f>
        <v>0</v>
      </c>
      <c r="L1002" s="251">
        <f>SUMIF('alb Note 6.1 -  Intangibles CY'!$A:$A,$J1002,'alb Note 6.1 -  Intangibles CY'!$Q:$Q)</f>
        <v>0</v>
      </c>
      <c r="M1002" s="10"/>
      <c r="N1002" s="273">
        <f t="shared" si="590"/>
        <v>0</v>
      </c>
      <c r="O1002" s="12"/>
      <c r="P1002" s="12"/>
      <c r="Q1002" s="12"/>
      <c r="R1002" s="12"/>
      <c r="S1002" s="6">
        <f t="shared" si="567"/>
        <v>0</v>
      </c>
      <c r="T1002" s="273">
        <f t="shared" si="591"/>
        <v>0</v>
      </c>
      <c r="U1002" s="6">
        <f t="shared" si="592"/>
        <v>0</v>
      </c>
      <c r="V1002" s="6"/>
      <c r="W1002" s="6">
        <f t="shared" si="587"/>
        <v>0</v>
      </c>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X1002" s="6"/>
      <c r="AY1002" s="6">
        <f>ROUND(AX1002/1000/Update!$B$31*Update!$B$27,0)</f>
        <v>0</v>
      </c>
      <c r="BA1002" s="6"/>
      <c r="BB1002" s="6">
        <f>ROUND(BA1002/1000/Update!$B$31,0)</f>
        <v>0</v>
      </c>
      <c r="BC1002" s="6"/>
      <c r="BD1002" s="29">
        <f t="shared" si="584"/>
        <v>0</v>
      </c>
      <c r="BE1002" s="322"/>
      <c r="BF1002" s="322"/>
      <c r="BG1002" s="322"/>
      <c r="BH1002" s="322"/>
      <c r="BI1002" s="322"/>
      <c r="BJ1002" s="322"/>
      <c r="BK1002" s="29">
        <f t="shared" si="551"/>
        <v>0</v>
      </c>
      <c r="BL1002" s="322"/>
      <c r="BM1002" s="322"/>
      <c r="BN1002" s="322"/>
      <c r="BO1002" s="322"/>
      <c r="BP1002" s="322"/>
      <c r="BQ1002" s="322"/>
      <c r="BR1002" s="322"/>
      <c r="BS1002" s="322"/>
      <c r="BT1002" s="322"/>
      <c r="BU1002" s="322"/>
      <c r="BV1002" s="322"/>
      <c r="BW1002" s="322"/>
      <c r="BX1002" s="322"/>
      <c r="BY1002" s="322"/>
      <c r="BZ1002" s="322"/>
      <c r="CA1002" s="322"/>
      <c r="CB1002" s="322"/>
      <c r="CC1002" s="322"/>
      <c r="CD1002" s="322"/>
      <c r="CE1002" s="322"/>
      <c r="CF1002" s="322"/>
      <c r="CG1002" s="322"/>
      <c r="CH1002" s="322"/>
      <c r="CI1002" s="322"/>
      <c r="CM1002" s="1139">
        <v>0</v>
      </c>
      <c r="CN1002" s="1139">
        <v>0</v>
      </c>
      <c r="CP1002" s="923">
        <f t="shared" si="568"/>
        <v>0</v>
      </c>
      <c r="CZ1002" s="330"/>
    </row>
    <row r="1003" spans="1:104" ht="51" customHeight="1" x14ac:dyDescent="0.25">
      <c r="A1003" s="684">
        <f>MAX($A$6:A1002)+1</f>
        <v>1003</v>
      </c>
      <c r="B1003" s="3">
        <f t="shared" si="561"/>
        <v>6.1</v>
      </c>
      <c r="C1003" s="11" t="str">
        <f t="shared" si="577"/>
        <v>Consolidated intangible assets 2025-26</v>
      </c>
      <c r="D1003" s="11" t="s">
        <v>452</v>
      </c>
      <c r="E1003" s="7" t="s">
        <v>1410</v>
      </c>
      <c r="F1003" s="7"/>
      <c r="G1003" s="1254" t="s">
        <v>193</v>
      </c>
      <c r="H1003" s="6">
        <v>0</v>
      </c>
      <c r="I1003" s="6">
        <v>0</v>
      </c>
      <c r="J1003" s="1257" t="s">
        <v>767</v>
      </c>
      <c r="K1003" s="251">
        <f>SUMIF('alb Note 6.1 -  Intangibles CY'!$A:$A,$J1003,'alb Note 6.1 -  Intangibles CY'!$F:$F)</f>
        <v>0</v>
      </c>
      <c r="L1003" s="251">
        <f>SUMIF('alb Note 6.1 -  Intangibles CY'!$A:$A,$J1003,'alb Note 6.1 -  Intangibles CY'!$Q:$Q)</f>
        <v>0</v>
      </c>
      <c r="M1003" s="10"/>
      <c r="N1003" s="273">
        <f t="shared" si="590"/>
        <v>0</v>
      </c>
      <c r="O1003" s="12"/>
      <c r="P1003" s="12"/>
      <c r="Q1003" s="12"/>
      <c r="R1003" s="12"/>
      <c r="S1003" s="6">
        <f t="shared" si="567"/>
        <v>0</v>
      </c>
      <c r="T1003" s="273">
        <f t="shared" si="591"/>
        <v>0</v>
      </c>
      <c r="U1003" s="6">
        <f t="shared" si="592"/>
        <v>0</v>
      </c>
      <c r="V1003" s="6"/>
      <c r="W1003" s="6">
        <f t="shared" si="587"/>
        <v>0</v>
      </c>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X1003" s="6"/>
      <c r="AY1003" s="6">
        <f>ROUND(AX1003/1000/Update!$B$31*Update!$B$27,0)</f>
        <v>0</v>
      </c>
      <c r="BA1003" s="6"/>
      <c r="BB1003" s="6">
        <f>ROUND(BA1003/1000/Update!$B$31,0)</f>
        <v>0</v>
      </c>
      <c r="BC1003" s="6"/>
      <c r="BD1003" s="29">
        <f t="shared" si="584"/>
        <v>0</v>
      </c>
      <c r="BE1003" s="322"/>
      <c r="BF1003" s="322"/>
      <c r="BG1003" s="322"/>
      <c r="BH1003" s="322"/>
      <c r="BI1003" s="322"/>
      <c r="BJ1003" s="322"/>
      <c r="BK1003" s="29">
        <f t="shared" si="551"/>
        <v>0</v>
      </c>
      <c r="BL1003" s="322"/>
      <c r="BM1003" s="322"/>
      <c r="BN1003" s="322"/>
      <c r="BO1003" s="322"/>
      <c r="BP1003" s="322"/>
      <c r="BQ1003" s="322"/>
      <c r="BR1003" s="322"/>
      <c r="BS1003" s="322"/>
      <c r="BT1003" s="322"/>
      <c r="BU1003" s="322"/>
      <c r="BV1003" s="322"/>
      <c r="BW1003" s="322"/>
      <c r="BX1003" s="322"/>
      <c r="BY1003" s="322"/>
      <c r="BZ1003" s="322"/>
      <c r="CA1003" s="322"/>
      <c r="CB1003" s="322"/>
      <c r="CC1003" s="322"/>
      <c r="CD1003" s="322"/>
      <c r="CE1003" s="322"/>
      <c r="CF1003" s="322"/>
      <c r="CG1003" s="322"/>
      <c r="CH1003" s="322"/>
      <c r="CI1003" s="322"/>
      <c r="CM1003" s="1139">
        <v>0</v>
      </c>
      <c r="CN1003" s="1139">
        <v>0</v>
      </c>
      <c r="CP1003" s="923">
        <f t="shared" si="568"/>
        <v>0</v>
      </c>
      <c r="CZ1003" s="330"/>
    </row>
    <row r="1004" spans="1:104" ht="15" customHeight="1" x14ac:dyDescent="0.25">
      <c r="A1004" s="684">
        <f>MAX($A$6:A1003)+1</f>
        <v>1004</v>
      </c>
      <c r="B1004" s="3">
        <f>B1003</f>
        <v>6.1</v>
      </c>
      <c r="C1004" s="11" t="str">
        <f>C1003</f>
        <v>Consolidated intangible assets 2025-26</v>
      </c>
      <c r="D1004" s="11" t="s">
        <v>452</v>
      </c>
      <c r="E1004" s="7" t="s">
        <v>1416</v>
      </c>
      <c r="F1004" s="7"/>
      <c r="G1004" s="1254" t="s">
        <v>189</v>
      </c>
      <c r="H1004" s="6">
        <v>0</v>
      </c>
      <c r="I1004" s="6">
        <v>0</v>
      </c>
      <c r="J1004" s="1257" t="s">
        <v>557</v>
      </c>
      <c r="K1004" s="251">
        <f>SUMIF('alb Note 6.1 -  Intangibles CY'!$A:$A,$J1004,'alb Note 6.1 -  Intangibles CY'!$F:$F)</f>
        <v>0</v>
      </c>
      <c r="L1004" s="251">
        <f>SUMIF('alb Note 6.1 -  Intangibles CY'!$A:$A,$J1004,'alb Note 6.1 -  Intangibles CY'!$Q:$Q)</f>
        <v>0</v>
      </c>
      <c r="M1004" s="10"/>
      <c r="N1004" s="273">
        <f t="shared" si="590"/>
        <v>0</v>
      </c>
      <c r="O1004" s="12"/>
      <c r="P1004" s="12"/>
      <c r="Q1004" s="12"/>
      <c r="R1004" s="12"/>
      <c r="S1004" s="6">
        <f t="shared" si="567"/>
        <v>0</v>
      </c>
      <c r="T1004" s="273">
        <f t="shared" si="591"/>
        <v>0</v>
      </c>
      <c r="U1004" s="6">
        <f t="shared" si="592"/>
        <v>0</v>
      </c>
      <c r="V1004" s="6"/>
      <c r="W1004" s="6">
        <f t="shared" si="587"/>
        <v>0</v>
      </c>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X1004" s="6"/>
      <c r="AY1004" s="6">
        <f>ROUND(AX1004/1000/Update!$B$31*Update!$B$27,0)</f>
        <v>0</v>
      </c>
      <c r="BA1004" s="6"/>
      <c r="BB1004" s="6">
        <f>ROUND(BA1004/1000/Update!$B$31,0)</f>
        <v>0</v>
      </c>
      <c r="BC1004" s="6"/>
      <c r="BD1004" s="29">
        <f t="shared" si="584"/>
        <v>0</v>
      </c>
      <c r="BE1004" s="322"/>
      <c r="BF1004" s="322"/>
      <c r="BG1004" s="322"/>
      <c r="BH1004" s="322"/>
      <c r="BI1004" s="322"/>
      <c r="BJ1004" s="322"/>
      <c r="BK1004" s="29">
        <f t="shared" si="551"/>
        <v>0</v>
      </c>
      <c r="BL1004" s="322"/>
      <c r="BM1004" s="322"/>
      <c r="BN1004" s="322"/>
      <c r="BO1004" s="322"/>
      <c r="BP1004" s="322"/>
      <c r="BQ1004" s="322"/>
      <c r="BR1004" s="322"/>
      <c r="BS1004" s="322"/>
      <c r="BT1004" s="322"/>
      <c r="BU1004" s="322"/>
      <c r="BV1004" s="322"/>
      <c r="BW1004" s="322"/>
      <c r="BX1004" s="322"/>
      <c r="BY1004" s="322"/>
      <c r="BZ1004" s="322"/>
      <c r="CA1004" s="322"/>
      <c r="CB1004" s="322"/>
      <c r="CC1004" s="322"/>
      <c r="CD1004" s="322"/>
      <c r="CE1004" s="322"/>
      <c r="CF1004" s="322"/>
      <c r="CG1004" s="322"/>
      <c r="CH1004" s="322"/>
      <c r="CI1004" s="322"/>
      <c r="CM1004" s="1139">
        <v>0</v>
      </c>
      <c r="CN1004" s="1139">
        <v>0</v>
      </c>
      <c r="CP1004" s="923">
        <f t="shared" si="568"/>
        <v>0</v>
      </c>
      <c r="CZ1004" s="330"/>
    </row>
    <row r="1005" spans="1:104" ht="15" customHeight="1" x14ac:dyDescent="0.25">
      <c r="A1005" s="701">
        <f>MAX($A$6:A1004)+1</f>
        <v>1005</v>
      </c>
      <c r="B1005" s="1291">
        <f t="shared" si="561"/>
        <v>6.1</v>
      </c>
      <c r="C1005" s="18" t="str">
        <f>C1004</f>
        <v>Consolidated intangible assets 2025-26</v>
      </c>
      <c r="D1005" s="18" t="s">
        <v>452</v>
      </c>
      <c r="E1005" s="19" t="str">
        <f>"At"&amp;Update!$B$22</f>
        <v>At 31 March 2026</v>
      </c>
      <c r="F1005" s="20"/>
      <c r="G1005" s="28"/>
      <c r="H1005" s="14">
        <f>SUM(H995:H1004)</f>
        <v>0</v>
      </c>
      <c r="I1005" s="14">
        <f>SUM(I995:I1004)</f>
        <v>0</v>
      </c>
      <c r="J1005" s="1258" t="s">
        <v>286</v>
      </c>
      <c r="K1005" s="256">
        <f>SUM(K995:K1004)</f>
        <v>0</v>
      </c>
      <c r="L1005" s="256">
        <f>SUM(L995:L1004)</f>
        <v>0</v>
      </c>
      <c r="M1005" s="21"/>
      <c r="N1005" s="14">
        <f>ROUND(SUM(O1005:S1005)+T1005+SUM(Z1005:AV1005),0)</f>
        <v>0</v>
      </c>
      <c r="O1005" s="14">
        <f t="shared" ref="O1005:T1005" si="593">SUM(O995:O1004)</f>
        <v>0</v>
      </c>
      <c r="P1005" s="14">
        <f t="shared" si="593"/>
        <v>0</v>
      </c>
      <c r="Q1005" s="14">
        <f t="shared" si="593"/>
        <v>0</v>
      </c>
      <c r="R1005" s="14">
        <f t="shared" si="593"/>
        <v>0</v>
      </c>
      <c r="S1005" s="14">
        <f t="shared" si="567"/>
        <v>0</v>
      </c>
      <c r="T1005" s="14">
        <f t="shared" si="593"/>
        <v>0</v>
      </c>
      <c r="U1005" s="14">
        <f>SUM(U995:U1004)</f>
        <v>0</v>
      </c>
      <c r="V1005" s="14">
        <f>SUM(V995:V1004)</f>
        <v>0</v>
      </c>
      <c r="W1005" s="14">
        <f>SUM(W995:W1004)</f>
        <v>0</v>
      </c>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2"/>
      <c r="AX1005" s="14">
        <f>SUM(AX995:AX1004)</f>
        <v>0</v>
      </c>
      <c r="AY1005" s="14">
        <f>ROUND(AX1005/1000/Update!$B$31*Update!$B$27,0)</f>
        <v>0</v>
      </c>
      <c r="AZ1005" s="2"/>
      <c r="BA1005" s="14">
        <f>SUM(BA995:BA1004)</f>
        <v>0</v>
      </c>
      <c r="BB1005" s="14">
        <f>ROUND(BA1005/1000/Update!$B$31,0)</f>
        <v>0</v>
      </c>
      <c r="BC1005" s="14"/>
      <c r="BD1005" s="14">
        <f t="shared" si="584"/>
        <v>0</v>
      </c>
      <c r="BE1005" s="14">
        <f t="shared" ref="BE1005:BJ1005" si="594">SUM(BE995:BE1004)</f>
        <v>0</v>
      </c>
      <c r="BF1005" s="14">
        <f t="shared" si="594"/>
        <v>0</v>
      </c>
      <c r="BG1005" s="14">
        <f t="shared" si="594"/>
        <v>0</v>
      </c>
      <c r="BH1005" s="14">
        <f t="shared" si="594"/>
        <v>0</v>
      </c>
      <c r="BI1005" s="14">
        <f t="shared" si="594"/>
        <v>0</v>
      </c>
      <c r="BJ1005" s="14">
        <f t="shared" si="594"/>
        <v>0</v>
      </c>
      <c r="BK1005" s="14">
        <f t="shared" si="551"/>
        <v>0</v>
      </c>
      <c r="BL1005" s="14"/>
      <c r="BM1005" s="14"/>
      <c r="BN1005" s="14"/>
      <c r="BO1005" s="14"/>
      <c r="BP1005" s="14"/>
      <c r="BQ1005" s="14"/>
      <c r="BR1005" s="14"/>
      <c r="BS1005" s="14"/>
      <c r="BT1005" s="324"/>
      <c r="BU1005" s="14"/>
      <c r="BV1005" s="14"/>
      <c r="BW1005" s="14"/>
      <c r="BX1005" s="14"/>
      <c r="BY1005" s="14"/>
      <c r="BZ1005" s="14"/>
      <c r="CA1005" s="14"/>
      <c r="CB1005" s="14"/>
      <c r="CC1005" s="14"/>
      <c r="CD1005" s="14"/>
      <c r="CE1005" s="14"/>
      <c r="CF1005" s="14"/>
      <c r="CG1005" s="14"/>
      <c r="CH1005" s="14"/>
      <c r="CI1005" s="14"/>
      <c r="CJ1005" s="2"/>
      <c r="CK1005" s="2"/>
      <c r="CM1005" s="1140">
        <v>0</v>
      </c>
      <c r="CN1005" s="1140">
        <v>0</v>
      </c>
      <c r="CP1005" s="923">
        <f t="shared" si="568"/>
        <v>0</v>
      </c>
      <c r="CZ1005" s="330"/>
    </row>
    <row r="1006" spans="1:104" ht="18.75" customHeight="1" x14ac:dyDescent="0.25">
      <c r="A1006" s="684">
        <f>MAX($A$6:A1005)+1</f>
        <v>1006</v>
      </c>
      <c r="B1006" s="3">
        <f t="shared" si="561"/>
        <v>6.1</v>
      </c>
      <c r="C1006" s="11" t="str">
        <f t="shared" si="577"/>
        <v>Consolidated intangible assets 2025-26</v>
      </c>
      <c r="D1006" s="11" t="s">
        <v>452</v>
      </c>
      <c r="E1006" s="277" t="s">
        <v>161</v>
      </c>
      <c r="F1006" s="277"/>
      <c r="G1006" s="26"/>
      <c r="H1006" s="6"/>
      <c r="I1006" s="6"/>
      <c r="J1006" s="1257" t="s">
        <v>286</v>
      </c>
      <c r="K1006" s="251">
        <f>SUMIF('alb Note 6.1 -  Intangibles CY'!$A:$A,$J1006,'alb Note 6.1 -  Intangibles CY'!$F:$F)</f>
        <v>0</v>
      </c>
      <c r="L1006" s="251">
        <f>SUMIF('alb Note 6.1 -  Intangibles CY'!$A:$A,$J1006,'alb Note 6.1 -  Intangibles CY'!$Q:$Q)</f>
        <v>0</v>
      </c>
      <c r="M1006" s="10"/>
      <c r="N1006" s="273">
        <f>ROUND(SUM(O1006:S1006)+SUM(W1006:AV1006),0)</f>
        <v>0</v>
      </c>
      <c r="O1006" s="12"/>
      <c r="P1006" s="12"/>
      <c r="Q1006" s="12"/>
      <c r="R1006" s="12"/>
      <c r="S1006" s="6">
        <f t="shared" si="567"/>
        <v>0</v>
      </c>
      <c r="T1006" s="273">
        <f>ROUND(SUM(U1006:Y1006),0)</f>
        <v>0</v>
      </c>
      <c r="U1006" s="6">
        <f>SUM(BL1006:BN1006)</f>
        <v>0</v>
      </c>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X1006" s="6"/>
      <c r="AY1006" s="6">
        <f>ROUND(AX1006/1000/Update!$B$31*Update!$B$27,0)</f>
        <v>0</v>
      </c>
      <c r="BA1006" s="6"/>
      <c r="BB1006" s="6">
        <f>ROUND(BA1006/1000/Update!$B$31,0)</f>
        <v>0</v>
      </c>
      <c r="BC1006" s="6"/>
      <c r="BD1006" s="29">
        <f t="shared" si="584"/>
        <v>0</v>
      </c>
      <c r="BE1006" s="322"/>
      <c r="BF1006" s="322"/>
      <c r="BG1006" s="322"/>
      <c r="BH1006" s="322"/>
      <c r="BI1006" s="322"/>
      <c r="BJ1006" s="322"/>
      <c r="BK1006" s="29">
        <f t="shared" ref="BK1006:BK1069" si="595">ROUND(SUM(BO1006:CI1006),0)</f>
        <v>0</v>
      </c>
      <c r="BL1006" s="322"/>
      <c r="BM1006" s="322"/>
      <c r="BN1006" s="322"/>
      <c r="BO1006" s="322"/>
      <c r="BP1006" s="322"/>
      <c r="BQ1006" s="322"/>
      <c r="BR1006" s="322"/>
      <c r="BS1006" s="322"/>
      <c r="BT1006" s="322"/>
      <c r="BU1006" s="322"/>
      <c r="BV1006" s="322"/>
      <c r="BW1006" s="322"/>
      <c r="BX1006" s="322"/>
      <c r="BY1006" s="322"/>
      <c r="BZ1006" s="322"/>
      <c r="CA1006" s="322"/>
      <c r="CB1006" s="322"/>
      <c r="CC1006" s="322"/>
      <c r="CD1006" s="322"/>
      <c r="CE1006" s="322"/>
      <c r="CF1006" s="322"/>
      <c r="CG1006" s="322"/>
      <c r="CH1006" s="322"/>
      <c r="CI1006" s="322"/>
      <c r="CM1006" s="1139">
        <v>0</v>
      </c>
      <c r="CN1006" s="1139">
        <v>0</v>
      </c>
      <c r="CP1006" s="923">
        <f t="shared" si="568"/>
        <v>0</v>
      </c>
      <c r="CZ1006" s="330"/>
    </row>
    <row r="1007" spans="1:104" ht="25.5" customHeight="1" x14ac:dyDescent="0.25">
      <c r="A1007" s="684">
        <f>MAX($A$6:A1006)+1</f>
        <v>1007</v>
      </c>
      <c r="B1007" s="3">
        <f t="shared" si="561"/>
        <v>6.1</v>
      </c>
      <c r="C1007" s="11" t="str">
        <f t="shared" si="577"/>
        <v>Consolidated intangible assets 2025-26</v>
      </c>
      <c r="D1007" s="11" t="s">
        <v>452</v>
      </c>
      <c r="E1007" s="7" t="str">
        <f>"At"&amp;Update!$B$20&amp;" "</f>
        <v xml:space="preserve">At 1 April 2025 </v>
      </c>
      <c r="F1007" s="15"/>
      <c r="G1007" s="1267" t="str">
        <f>"At"&amp;Update!$B$20</f>
        <v>At 1 April 2025</v>
      </c>
      <c r="H1007" s="6">
        <v>0</v>
      </c>
      <c r="I1007" s="6">
        <v>0</v>
      </c>
      <c r="J1007" s="1257" t="str">
        <f>$E1007</f>
        <v xml:space="preserve">At 1 April 2025 </v>
      </c>
      <c r="K1007" s="251">
        <f>SUMIF('alb Note 6.1 -  Intangibles CY'!$A:$A,$J1007,'alb Note 6.1 -  Intangibles CY'!$F:$F)</f>
        <v>0</v>
      </c>
      <c r="L1007" s="251">
        <f>SUMIF('alb Note 6.1 -  Intangibles CY'!$A:$A,$J1007,'alb Note 6.1 -  Intangibles CY'!$Q:$Q)</f>
        <v>0</v>
      </c>
      <c r="M1007" s="10"/>
      <c r="N1007" s="273">
        <f>ROUND(SUM(O1007:S1007)+SUM(W1007:AV1007),0)</f>
        <v>0</v>
      </c>
      <c r="O1007" s="12"/>
      <c r="P1007" s="12"/>
      <c r="Q1007" s="12"/>
      <c r="R1007" s="12"/>
      <c r="S1007" s="6">
        <f t="shared" si="567"/>
        <v>0</v>
      </c>
      <c r="T1007" s="273">
        <f>ROUND(SUM(U1007:Y1007),0)</f>
        <v>0</v>
      </c>
      <c r="U1007" s="6">
        <f>SUM(BL1007:BN1007)</f>
        <v>0</v>
      </c>
      <c r="V1007" s="6"/>
      <c r="W1007" s="6">
        <f t="shared" ref="W1007:W1018" si="596">+H1007</f>
        <v>0</v>
      </c>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X1007" s="6"/>
      <c r="AY1007" s="6">
        <f>ROUND(AX1007/1000/Update!$B$31*Update!$B$27,0)</f>
        <v>0</v>
      </c>
      <c r="BA1007" s="6"/>
      <c r="BB1007" s="6">
        <f>ROUND(BA1007/1000/Update!$B$31,0)</f>
        <v>0</v>
      </c>
      <c r="BC1007" s="6"/>
      <c r="BD1007" s="29">
        <f t="shared" si="584"/>
        <v>0</v>
      </c>
      <c r="BE1007" s="322"/>
      <c r="BF1007" s="322"/>
      <c r="BG1007" s="322"/>
      <c r="BH1007" s="322"/>
      <c r="BI1007" s="322"/>
      <c r="BJ1007" s="322"/>
      <c r="BK1007" s="29">
        <f t="shared" si="595"/>
        <v>0</v>
      </c>
      <c r="BL1007" s="322"/>
      <c r="BM1007" s="322"/>
      <c r="BN1007" s="322"/>
      <c r="BO1007" s="322"/>
      <c r="BP1007" s="322"/>
      <c r="BQ1007" s="322"/>
      <c r="BR1007" s="322"/>
      <c r="BS1007" s="322"/>
      <c r="BT1007" s="322"/>
      <c r="BU1007" s="322"/>
      <c r="BV1007" s="322"/>
      <c r="BW1007" s="322"/>
      <c r="BX1007" s="322"/>
      <c r="BY1007" s="322"/>
      <c r="BZ1007" s="322"/>
      <c r="CA1007" s="322"/>
      <c r="CB1007" s="322"/>
      <c r="CC1007" s="322"/>
      <c r="CD1007" s="322"/>
      <c r="CE1007" s="322"/>
      <c r="CF1007" s="322"/>
      <c r="CG1007" s="322"/>
      <c r="CH1007" s="322"/>
      <c r="CI1007" s="322"/>
      <c r="CM1007" s="1139">
        <v>0</v>
      </c>
      <c r="CN1007" s="1139">
        <v>0</v>
      </c>
      <c r="CP1007" s="923">
        <f t="shared" si="568"/>
        <v>0</v>
      </c>
      <c r="CZ1007" s="330"/>
    </row>
    <row r="1008" spans="1:104" ht="15" customHeight="1" x14ac:dyDescent="0.25">
      <c r="A1008" s="684">
        <f>MAX($A$6:A1007)+1</f>
        <v>1008</v>
      </c>
      <c r="B1008" s="3">
        <f t="shared" si="561"/>
        <v>6.1</v>
      </c>
      <c r="C1008" s="11" t="str">
        <f t="shared" si="577"/>
        <v>Consolidated intangible assets 2025-26</v>
      </c>
      <c r="D1008" s="11" t="str">
        <f>D1007</f>
        <v>Licences, trademarks &amp; artistic originals</v>
      </c>
      <c r="E1008" s="7" t="s">
        <v>1417</v>
      </c>
      <c r="F1008" s="7"/>
      <c r="G1008" s="1254" t="s">
        <v>435</v>
      </c>
      <c r="H1008" s="6">
        <v>0</v>
      </c>
      <c r="I1008" s="6">
        <v>0</v>
      </c>
      <c r="J1008" s="1257" t="s">
        <v>435</v>
      </c>
      <c r="K1008" s="251">
        <f>SUMIF('alb Note 6.1 -  Intangibles CY'!$A:$A,$J1008,'alb Note 6.1 -  Intangibles CY'!$F:$F)</f>
        <v>0</v>
      </c>
      <c r="L1008" s="251">
        <f>SUMIF('alb Note 6.1 -  Intangibles CY'!$A:$A,$J1008,'alb Note 6.1 -  Intangibles CY'!$Q:$Q)</f>
        <v>0</v>
      </c>
      <c r="M1008" s="10"/>
      <c r="N1008" s="273">
        <f>ROUND(SUM(O1008:S1008)+SUM(W1008:AV1008),0)</f>
        <v>0</v>
      </c>
      <c r="O1008" s="12"/>
      <c r="P1008" s="12"/>
      <c r="Q1008" s="12"/>
      <c r="R1008" s="12"/>
      <c r="S1008" s="6">
        <f t="shared" si="567"/>
        <v>0</v>
      </c>
      <c r="T1008" s="273">
        <f>ROUND(SUM(U1008:Y1008),0)</f>
        <v>0</v>
      </c>
      <c r="U1008" s="6">
        <f>SUM(BL1008:BN1008)</f>
        <v>0</v>
      </c>
      <c r="V1008" s="6"/>
      <c r="W1008" s="6">
        <f t="shared" si="596"/>
        <v>0</v>
      </c>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X1008" s="6"/>
      <c r="AY1008" s="6">
        <f>ROUND(AX1008/1000/Update!$B$31*Update!$B$27,0)</f>
        <v>0</v>
      </c>
      <c r="BA1008" s="6"/>
      <c r="BB1008" s="6">
        <f>ROUND(BA1008/1000/Update!$B$31,0)</f>
        <v>0</v>
      </c>
      <c r="BC1008" s="6"/>
      <c r="BD1008" s="29">
        <f t="shared" si="584"/>
        <v>0</v>
      </c>
      <c r="BE1008" s="322"/>
      <c r="BF1008" s="322"/>
      <c r="BG1008" s="322"/>
      <c r="BH1008" s="322"/>
      <c r="BI1008" s="322"/>
      <c r="BJ1008" s="322"/>
      <c r="BK1008" s="29">
        <f t="shared" si="595"/>
        <v>0</v>
      </c>
      <c r="BL1008" s="322"/>
      <c r="BM1008" s="322"/>
      <c r="BN1008" s="322"/>
      <c r="BO1008" s="322"/>
      <c r="BP1008" s="322"/>
      <c r="BQ1008" s="322"/>
      <c r="BR1008" s="322"/>
      <c r="BS1008" s="322"/>
      <c r="BT1008" s="322"/>
      <c r="BU1008" s="322"/>
      <c r="BV1008" s="322"/>
      <c r="BW1008" s="322"/>
      <c r="BX1008" s="322"/>
      <c r="BY1008" s="322"/>
      <c r="BZ1008" s="322"/>
      <c r="CA1008" s="322"/>
      <c r="CB1008" s="322"/>
      <c r="CC1008" s="322"/>
      <c r="CD1008" s="322"/>
      <c r="CE1008" s="322"/>
      <c r="CF1008" s="322"/>
      <c r="CG1008" s="322"/>
      <c r="CH1008" s="322"/>
      <c r="CI1008" s="322"/>
      <c r="CM1008" s="1139">
        <v>0</v>
      </c>
      <c r="CN1008" s="1139">
        <v>0</v>
      </c>
      <c r="CP1008" s="923">
        <f t="shared" si="568"/>
        <v>0</v>
      </c>
      <c r="CZ1008" s="330"/>
    </row>
    <row r="1009" spans="1:104" ht="15" customHeight="1" x14ac:dyDescent="0.25">
      <c r="A1009" s="701">
        <f>MAX($A$6:A1008)+1</f>
        <v>1009</v>
      </c>
      <c r="B1009" s="1291">
        <f t="shared" si="561"/>
        <v>6.1</v>
      </c>
      <c r="C1009" s="18" t="str">
        <f t="shared" si="577"/>
        <v>Consolidated intangible assets 2025-26</v>
      </c>
      <c r="D1009" s="18" t="str">
        <f>D1008</f>
        <v>Licences, trademarks &amp; artistic originals</v>
      </c>
      <c r="E1009" s="19" t="s">
        <v>869</v>
      </c>
      <c r="F1009" s="20"/>
      <c r="G1009" s="1278" t="s">
        <v>456</v>
      </c>
      <c r="H1009" s="14">
        <f>SUM(H1006:H1008)</f>
        <v>0</v>
      </c>
      <c r="I1009" s="14">
        <f>SUM(I1006:I1008)</f>
        <v>0</v>
      </c>
      <c r="J1009" s="1258" t="s">
        <v>442</v>
      </c>
      <c r="K1009" s="256">
        <f>SUM(K1006:K1008)</f>
        <v>0</v>
      </c>
      <c r="L1009" s="256">
        <f>SUM(L1006:L1008)</f>
        <v>0</v>
      </c>
      <c r="M1009" s="21"/>
      <c r="N1009" s="14">
        <f>ROUND(SUM(O1009:S1009)+T1009+SUM(Z1009:AV1009),0)</f>
        <v>0</v>
      </c>
      <c r="O1009" s="14">
        <f t="shared" ref="O1009:W1009" si="597">SUM(O1006:O1008)</f>
        <v>0</v>
      </c>
      <c r="P1009" s="14">
        <f t="shared" si="597"/>
        <v>0</v>
      </c>
      <c r="Q1009" s="14">
        <f t="shared" si="597"/>
        <v>0</v>
      </c>
      <c r="R1009" s="14">
        <f t="shared" si="597"/>
        <v>0</v>
      </c>
      <c r="S1009" s="14">
        <f t="shared" si="567"/>
        <v>0</v>
      </c>
      <c r="T1009" s="14">
        <f t="shared" si="597"/>
        <v>0</v>
      </c>
      <c r="U1009" s="14">
        <f t="shared" si="597"/>
        <v>0</v>
      </c>
      <c r="V1009" s="14">
        <f t="shared" si="597"/>
        <v>0</v>
      </c>
      <c r="W1009" s="14">
        <f t="shared" si="597"/>
        <v>0</v>
      </c>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2"/>
      <c r="AX1009" s="14">
        <f>SUM(AX1006:AX1008)</f>
        <v>0</v>
      </c>
      <c r="AY1009" s="14">
        <f>ROUND(AX1009/1000/Update!$B$31*Update!$B$27,0)</f>
        <v>0</v>
      </c>
      <c r="AZ1009" s="2"/>
      <c r="BA1009" s="14">
        <f>SUM(BA1006:BA1008)</f>
        <v>0</v>
      </c>
      <c r="BB1009" s="14">
        <f>ROUND(BA1009/1000/Update!$B$31,0)</f>
        <v>0</v>
      </c>
      <c r="BC1009" s="14"/>
      <c r="BD1009" s="14">
        <f t="shared" si="584"/>
        <v>0</v>
      </c>
      <c r="BE1009" s="14">
        <f t="shared" ref="BE1009:BJ1009" si="598">SUM(BE1006:BE1008)</f>
        <v>0</v>
      </c>
      <c r="BF1009" s="14">
        <f t="shared" si="598"/>
        <v>0</v>
      </c>
      <c r="BG1009" s="14">
        <f t="shared" si="598"/>
        <v>0</v>
      </c>
      <c r="BH1009" s="14">
        <f t="shared" si="598"/>
        <v>0</v>
      </c>
      <c r="BI1009" s="14">
        <f t="shared" si="598"/>
        <v>0</v>
      </c>
      <c r="BJ1009" s="14">
        <f t="shared" si="598"/>
        <v>0</v>
      </c>
      <c r="BK1009" s="14">
        <f t="shared" si="595"/>
        <v>0</v>
      </c>
      <c r="BL1009" s="14"/>
      <c r="BM1009" s="14"/>
      <c r="BN1009" s="14"/>
      <c r="BO1009" s="14"/>
      <c r="BP1009" s="14"/>
      <c r="BQ1009" s="14"/>
      <c r="BR1009" s="14"/>
      <c r="BS1009" s="14"/>
      <c r="BT1009" s="324"/>
      <c r="BU1009" s="14"/>
      <c r="BV1009" s="14"/>
      <c r="BW1009" s="14"/>
      <c r="BX1009" s="14"/>
      <c r="BY1009" s="14"/>
      <c r="BZ1009" s="14"/>
      <c r="CA1009" s="14"/>
      <c r="CB1009" s="14"/>
      <c r="CC1009" s="14"/>
      <c r="CD1009" s="14"/>
      <c r="CE1009" s="14"/>
      <c r="CF1009" s="14"/>
      <c r="CG1009" s="14"/>
      <c r="CH1009" s="14"/>
      <c r="CI1009" s="14"/>
      <c r="CJ1009" s="2"/>
      <c r="CK1009" s="2"/>
      <c r="CM1009" s="1140">
        <v>0</v>
      </c>
      <c r="CN1009" s="1140">
        <v>0</v>
      </c>
      <c r="CP1009" s="923">
        <f t="shared" si="568"/>
        <v>0</v>
      </c>
      <c r="CZ1009" s="330"/>
    </row>
    <row r="1010" spans="1:104" ht="15" customHeight="1" x14ac:dyDescent="0.25">
      <c r="A1010" s="684">
        <f>MAX($A$6:A1009)+1</f>
        <v>1010</v>
      </c>
      <c r="B1010" s="3">
        <f t="shared" si="561"/>
        <v>6.1</v>
      </c>
      <c r="C1010" s="11" t="str">
        <f t="shared" si="577"/>
        <v>Consolidated intangible assets 2025-26</v>
      </c>
      <c r="D1010" s="11" t="s">
        <v>452</v>
      </c>
      <c r="E1010" s="7" t="s">
        <v>1409</v>
      </c>
      <c r="F1010" s="7"/>
      <c r="G1010" s="1254" t="s">
        <v>190</v>
      </c>
      <c r="H1010" s="6">
        <v>0</v>
      </c>
      <c r="I1010" s="6">
        <v>0</v>
      </c>
      <c r="J1010" s="1257" t="s">
        <v>190</v>
      </c>
      <c r="K1010" s="251">
        <f>SUMIF('alb Note 6.1 -  Intangibles CY'!$A:$A,$J1010,'alb Note 6.1 -  Intangibles CY'!$F:$F)</f>
        <v>0</v>
      </c>
      <c r="L1010" s="251">
        <f>SUMIF('alb Note 6.1 -  Intangibles CY'!$A:$A,$J1010,'alb Note 6.1 -  Intangibles CY'!$Q:$Q)</f>
        <v>0</v>
      </c>
      <c r="M1010" s="10"/>
      <c r="N1010" s="273">
        <f t="shared" ref="N1010:N1018" si="599">ROUND(SUM(O1010:S1010)+SUM(W1010:AV1010),0)</f>
        <v>0</v>
      </c>
      <c r="O1010" s="12"/>
      <c r="P1010" s="12"/>
      <c r="Q1010" s="12"/>
      <c r="R1010" s="12"/>
      <c r="S1010" s="6">
        <f t="shared" si="567"/>
        <v>0</v>
      </c>
      <c r="T1010" s="273">
        <f t="shared" ref="T1010:T1018" si="600">ROUND(SUM(U1010:Y1010),0)</f>
        <v>0</v>
      </c>
      <c r="U1010" s="6">
        <f t="shared" ref="U1010:U1018" si="601">SUM(BL1010:BN1010)</f>
        <v>0</v>
      </c>
      <c r="V1010" s="6"/>
      <c r="W1010" s="6">
        <f t="shared" si="596"/>
        <v>0</v>
      </c>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X1010" s="6"/>
      <c r="AY1010" s="6">
        <f>ROUND(AX1010/1000/Update!$B$31*Update!$B$27,0)</f>
        <v>0</v>
      </c>
      <c r="BA1010" s="6"/>
      <c r="BB1010" s="6">
        <f>ROUND(BA1010/1000/Update!$B$31,0)</f>
        <v>0</v>
      </c>
      <c r="BC1010" s="6"/>
      <c r="BD1010" s="29">
        <f t="shared" si="584"/>
        <v>0</v>
      </c>
      <c r="BE1010" s="322"/>
      <c r="BF1010" s="322"/>
      <c r="BG1010" s="322"/>
      <c r="BH1010" s="322"/>
      <c r="BI1010" s="322"/>
      <c r="BJ1010" s="322"/>
      <c r="BK1010" s="29">
        <f t="shared" si="595"/>
        <v>0</v>
      </c>
      <c r="BL1010" s="322"/>
      <c r="BM1010" s="322"/>
      <c r="BN1010" s="322"/>
      <c r="BO1010" s="322"/>
      <c r="BP1010" s="322"/>
      <c r="BQ1010" s="322"/>
      <c r="BR1010" s="322"/>
      <c r="BS1010" s="322"/>
      <c r="BT1010" s="322"/>
      <c r="BU1010" s="322"/>
      <c r="BV1010" s="322"/>
      <c r="BW1010" s="322"/>
      <c r="BX1010" s="322"/>
      <c r="BY1010" s="322"/>
      <c r="BZ1010" s="322"/>
      <c r="CA1010" s="322"/>
      <c r="CB1010" s="322"/>
      <c r="CC1010" s="322"/>
      <c r="CD1010" s="322"/>
      <c r="CE1010" s="322"/>
      <c r="CF1010" s="322"/>
      <c r="CG1010" s="322"/>
      <c r="CH1010" s="322"/>
      <c r="CI1010" s="322"/>
      <c r="CM1010" s="1139">
        <v>0</v>
      </c>
      <c r="CN1010" s="1139">
        <v>0</v>
      </c>
      <c r="CP1010" s="923">
        <f t="shared" si="568"/>
        <v>0</v>
      </c>
      <c r="CZ1010" s="330"/>
    </row>
    <row r="1011" spans="1:104" ht="15" customHeight="1" x14ac:dyDescent="0.25">
      <c r="A1011" s="684">
        <f>MAX($A$6:A1010)+1</f>
        <v>1011</v>
      </c>
      <c r="B1011" s="3">
        <f t="shared" si="561"/>
        <v>6.1</v>
      </c>
      <c r="C1011" s="11" t="str">
        <f t="shared" si="577"/>
        <v>Consolidated intangible assets 2025-26</v>
      </c>
      <c r="D1011" s="11" t="s">
        <v>452</v>
      </c>
      <c r="E1011" s="7" t="s">
        <v>457</v>
      </c>
      <c r="F1011" s="7"/>
      <c r="G1011" s="1254" t="s">
        <v>457</v>
      </c>
      <c r="H1011" s="6">
        <v>0</v>
      </c>
      <c r="I1011" s="6">
        <v>0</v>
      </c>
      <c r="J1011" s="1257" t="s">
        <v>457</v>
      </c>
      <c r="K1011" s="251">
        <f>SUMIF('alb Note 6.1 -  Intangibles CY'!$A:$A,$J1011,'alb Note 6.1 -  Intangibles CY'!$F:$F)</f>
        <v>0</v>
      </c>
      <c r="L1011" s="251">
        <f>SUMIF('alb Note 6.1 -  Intangibles CY'!$A:$A,$J1011,'alb Note 6.1 -  Intangibles CY'!$Q:$Q)</f>
        <v>0</v>
      </c>
      <c r="M1011" s="10"/>
      <c r="N1011" s="273">
        <f t="shared" si="599"/>
        <v>0</v>
      </c>
      <c r="O1011" s="12"/>
      <c r="P1011" s="12"/>
      <c r="Q1011" s="12"/>
      <c r="R1011" s="12"/>
      <c r="S1011" s="6">
        <f t="shared" si="567"/>
        <v>0</v>
      </c>
      <c r="T1011" s="273">
        <f t="shared" si="600"/>
        <v>0</v>
      </c>
      <c r="U1011" s="6">
        <f t="shared" si="601"/>
        <v>0</v>
      </c>
      <c r="V1011" s="6"/>
      <c r="W1011" s="6">
        <f t="shared" si="596"/>
        <v>0</v>
      </c>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X1011" s="6"/>
      <c r="AY1011" s="6">
        <f>ROUND(AX1011/1000/Update!$B$31*Update!$B$27,0)</f>
        <v>0</v>
      </c>
      <c r="BA1011" s="6"/>
      <c r="BB1011" s="6">
        <f>ROUND(BA1011/1000/Update!$B$31,0)</f>
        <v>0</v>
      </c>
      <c r="BC1011" s="6"/>
      <c r="BD1011" s="29">
        <f t="shared" si="584"/>
        <v>0</v>
      </c>
      <c r="BE1011" s="322"/>
      <c r="BF1011" s="322"/>
      <c r="BG1011" s="322"/>
      <c r="BH1011" s="322"/>
      <c r="BI1011" s="322"/>
      <c r="BJ1011" s="322"/>
      <c r="BK1011" s="29">
        <f t="shared" si="595"/>
        <v>0</v>
      </c>
      <c r="BL1011" s="322"/>
      <c r="BM1011" s="322"/>
      <c r="BN1011" s="322"/>
      <c r="BO1011" s="322"/>
      <c r="BP1011" s="322"/>
      <c r="BQ1011" s="322"/>
      <c r="BR1011" s="322"/>
      <c r="BS1011" s="322"/>
      <c r="BT1011" s="322"/>
      <c r="BU1011" s="322"/>
      <c r="BV1011" s="322"/>
      <c r="BW1011" s="322"/>
      <c r="BX1011" s="322"/>
      <c r="BY1011" s="322"/>
      <c r="BZ1011" s="322"/>
      <c r="CA1011" s="322"/>
      <c r="CB1011" s="322"/>
      <c r="CC1011" s="322"/>
      <c r="CD1011" s="322"/>
      <c r="CE1011" s="322"/>
      <c r="CF1011" s="322"/>
      <c r="CG1011" s="322"/>
      <c r="CH1011" s="322"/>
      <c r="CI1011" s="322"/>
      <c r="CM1011" s="1139">
        <v>0</v>
      </c>
      <c r="CN1011" s="1139">
        <v>0</v>
      </c>
      <c r="CP1011" s="923">
        <f t="shared" si="568"/>
        <v>0</v>
      </c>
      <c r="CZ1011" s="330"/>
    </row>
    <row r="1012" spans="1:104" ht="15" customHeight="1" x14ac:dyDescent="0.25">
      <c r="A1012" s="684">
        <f>MAX($A$6:A1011)+1</f>
        <v>1012</v>
      </c>
      <c r="B1012" s="3">
        <f t="shared" si="561"/>
        <v>6.1</v>
      </c>
      <c r="C1012" s="11" t="str">
        <f t="shared" si="577"/>
        <v>Consolidated intangible assets 2025-26</v>
      </c>
      <c r="D1012" s="11" t="s">
        <v>452</v>
      </c>
      <c r="E1012" s="7" t="s">
        <v>863</v>
      </c>
      <c r="F1012" s="7"/>
      <c r="G1012" s="1254" t="s">
        <v>186</v>
      </c>
      <c r="H1012" s="6">
        <v>0</v>
      </c>
      <c r="I1012" s="6">
        <v>0</v>
      </c>
      <c r="J1012" s="1257" t="s">
        <v>863</v>
      </c>
      <c r="K1012" s="251">
        <f>SUMIF('alb Note 6.1 -  Intangibles CY'!$A:$A,$J1012,'alb Note 6.1 -  Intangibles CY'!$F:$F)</f>
        <v>0</v>
      </c>
      <c r="L1012" s="251">
        <f>SUMIF('alb Note 6.1 -  Intangibles CY'!$A:$A,$J1012,'alb Note 6.1 -  Intangibles CY'!$Q:$Q)</f>
        <v>0</v>
      </c>
      <c r="M1012" s="10"/>
      <c r="N1012" s="273">
        <f t="shared" si="599"/>
        <v>0</v>
      </c>
      <c r="O1012" s="12"/>
      <c r="P1012" s="12"/>
      <c r="Q1012" s="12"/>
      <c r="R1012" s="12"/>
      <c r="S1012" s="6">
        <f t="shared" si="567"/>
        <v>0</v>
      </c>
      <c r="T1012" s="273">
        <f t="shared" si="600"/>
        <v>0</v>
      </c>
      <c r="U1012" s="6">
        <f t="shared" si="601"/>
        <v>0</v>
      </c>
      <c r="V1012" s="6"/>
      <c r="W1012" s="6">
        <f t="shared" si="596"/>
        <v>0</v>
      </c>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X1012" s="6"/>
      <c r="AY1012" s="6">
        <f>ROUND(AX1012/1000/Update!$B$31*Update!$B$27,0)</f>
        <v>0</v>
      </c>
      <c r="BA1012" s="6"/>
      <c r="BB1012" s="6">
        <f>ROUND(BA1012/1000/Update!$B$31,0)</f>
        <v>0</v>
      </c>
      <c r="BC1012" s="6"/>
      <c r="BD1012" s="29">
        <f t="shared" si="584"/>
        <v>0</v>
      </c>
      <c r="BE1012" s="322"/>
      <c r="BF1012" s="322"/>
      <c r="BG1012" s="322"/>
      <c r="BH1012" s="322"/>
      <c r="BI1012" s="322"/>
      <c r="BJ1012" s="322"/>
      <c r="BK1012" s="29">
        <f t="shared" si="595"/>
        <v>0</v>
      </c>
      <c r="BL1012" s="322"/>
      <c r="BM1012" s="322"/>
      <c r="BN1012" s="322"/>
      <c r="BO1012" s="322"/>
      <c r="BP1012" s="322"/>
      <c r="BQ1012" s="322"/>
      <c r="BR1012" s="322"/>
      <c r="BS1012" s="322"/>
      <c r="BT1012" s="322"/>
      <c r="BU1012" s="322"/>
      <c r="BV1012" s="322"/>
      <c r="BW1012" s="322"/>
      <c r="BX1012" s="322"/>
      <c r="BY1012" s="322"/>
      <c r="BZ1012" s="322"/>
      <c r="CA1012" s="322"/>
      <c r="CB1012" s="322"/>
      <c r="CC1012" s="322"/>
      <c r="CD1012" s="322"/>
      <c r="CE1012" s="322"/>
      <c r="CF1012" s="322"/>
      <c r="CG1012" s="322"/>
      <c r="CH1012" s="322"/>
      <c r="CI1012" s="322"/>
      <c r="CM1012" s="1139">
        <v>0</v>
      </c>
      <c r="CN1012" s="1139">
        <v>0</v>
      </c>
      <c r="CP1012" s="923">
        <f t="shared" si="568"/>
        <v>0</v>
      </c>
      <c r="CZ1012" s="330"/>
    </row>
    <row r="1013" spans="1:104" ht="15" customHeight="1" x14ac:dyDescent="0.25">
      <c r="A1013" s="684">
        <f>MAX($A$6:A1012)+1</f>
        <v>1013</v>
      </c>
      <c r="B1013" s="3">
        <f t="shared" si="561"/>
        <v>6.1</v>
      </c>
      <c r="C1013" s="11" t="str">
        <f>C1012</f>
        <v>Consolidated intangible assets 2025-26</v>
      </c>
      <c r="D1013" s="11" t="str">
        <f>D1012</f>
        <v>Licences, trademarks &amp; artistic originals</v>
      </c>
      <c r="E1013" s="7" t="s">
        <v>867</v>
      </c>
      <c r="F1013" s="7"/>
      <c r="G1013" s="1257" t="s">
        <v>187</v>
      </c>
      <c r="H1013" s="6">
        <v>0</v>
      </c>
      <c r="I1013" s="6">
        <v>0</v>
      </c>
      <c r="J1013" s="1257" t="s">
        <v>867</v>
      </c>
      <c r="K1013" s="251">
        <f>SUMIF('alb Note 6.1 -  Intangibles CY'!$A:$A,$J1013,'alb Note 6.1 -  Intangibles CY'!$F:$F)</f>
        <v>0</v>
      </c>
      <c r="L1013" s="251">
        <f>SUMIF('alb Note 6.1 -  Intangibles CY'!$A:$A,$J1013,'alb Note 6.1 -  Intangibles CY'!$Q:$Q)</f>
        <v>0</v>
      </c>
      <c r="M1013" s="10"/>
      <c r="N1013" s="273">
        <f t="shared" si="599"/>
        <v>0</v>
      </c>
      <c r="O1013" s="12"/>
      <c r="P1013" s="12"/>
      <c r="Q1013" s="12"/>
      <c r="R1013" s="12"/>
      <c r="S1013" s="6">
        <f t="shared" si="567"/>
        <v>0</v>
      </c>
      <c r="T1013" s="273">
        <f t="shared" si="600"/>
        <v>0</v>
      </c>
      <c r="U1013" s="6">
        <f t="shared" si="601"/>
        <v>0</v>
      </c>
      <c r="V1013" s="6"/>
      <c r="W1013" s="6">
        <f t="shared" si="596"/>
        <v>0</v>
      </c>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X1013" s="6"/>
      <c r="AY1013" s="6">
        <f>ROUND(AX1013/1000/Update!$B$31*Update!$B$27,0)</f>
        <v>0</v>
      </c>
      <c r="BA1013" s="6"/>
      <c r="BB1013" s="6">
        <f>ROUND(BA1013/1000/Update!$B$31,0)</f>
        <v>0</v>
      </c>
      <c r="BC1013" s="6"/>
      <c r="BD1013" s="29">
        <f t="shared" si="584"/>
        <v>0</v>
      </c>
      <c r="BE1013" s="322"/>
      <c r="BF1013" s="322"/>
      <c r="BG1013" s="322"/>
      <c r="BH1013" s="322"/>
      <c r="BI1013" s="322"/>
      <c r="BJ1013" s="322"/>
      <c r="BK1013" s="29">
        <f t="shared" si="595"/>
        <v>0</v>
      </c>
      <c r="BL1013" s="322"/>
      <c r="BM1013" s="322"/>
      <c r="BN1013" s="322"/>
      <c r="BO1013" s="322"/>
      <c r="BP1013" s="322"/>
      <c r="BQ1013" s="322"/>
      <c r="BR1013" s="322"/>
      <c r="BS1013" s="322"/>
      <c r="BT1013" s="322"/>
      <c r="BU1013" s="322"/>
      <c r="BV1013" s="322"/>
      <c r="BW1013" s="322"/>
      <c r="BX1013" s="322"/>
      <c r="BY1013" s="322"/>
      <c r="BZ1013" s="322"/>
      <c r="CA1013" s="322"/>
      <c r="CB1013" s="322"/>
      <c r="CC1013" s="322"/>
      <c r="CD1013" s="322"/>
      <c r="CE1013" s="322"/>
      <c r="CF1013" s="322"/>
      <c r="CG1013" s="322"/>
      <c r="CH1013" s="322"/>
      <c r="CI1013" s="322"/>
      <c r="CM1013" s="1139">
        <v>0</v>
      </c>
      <c r="CN1013" s="1139">
        <v>0</v>
      </c>
      <c r="CP1013" s="923">
        <f t="shared" si="568"/>
        <v>0</v>
      </c>
      <c r="CZ1013" s="330"/>
    </row>
    <row r="1014" spans="1:104" ht="15" customHeight="1" x14ac:dyDescent="0.25">
      <c r="A1014" s="684">
        <f>MAX($A$6:A1013)+1</f>
        <v>1014</v>
      </c>
      <c r="B1014" s="3">
        <f t="shared" si="561"/>
        <v>6.1</v>
      </c>
      <c r="C1014" s="11" t="str">
        <f>C1012</f>
        <v>Consolidated intangible assets 2025-26</v>
      </c>
      <c r="D1014" s="11" t="s">
        <v>452</v>
      </c>
      <c r="E1014" s="7" t="s">
        <v>875</v>
      </c>
      <c r="F1014" s="7"/>
      <c r="G1014" s="1254" t="s">
        <v>210</v>
      </c>
      <c r="H1014" s="6">
        <v>0</v>
      </c>
      <c r="I1014" s="6">
        <v>0</v>
      </c>
      <c r="J1014" s="1257" t="s">
        <v>875</v>
      </c>
      <c r="K1014" s="251">
        <f>SUMIF('alb Note 6.1 -  Intangibles CY'!$A:$A,$J1014,'alb Note 6.1 -  Intangibles CY'!$F:$F)</f>
        <v>0</v>
      </c>
      <c r="L1014" s="251">
        <f>SUMIF('alb Note 6.1 -  Intangibles CY'!$A:$A,$J1014,'alb Note 6.1 -  Intangibles CY'!$Q:$Q)</f>
        <v>0</v>
      </c>
      <c r="M1014" s="10"/>
      <c r="N1014" s="273">
        <f t="shared" si="599"/>
        <v>0</v>
      </c>
      <c r="O1014" s="12"/>
      <c r="P1014" s="12"/>
      <c r="Q1014" s="12"/>
      <c r="R1014" s="12"/>
      <c r="S1014" s="6">
        <f t="shared" si="567"/>
        <v>0</v>
      </c>
      <c r="T1014" s="273">
        <f t="shared" si="600"/>
        <v>0</v>
      </c>
      <c r="U1014" s="6">
        <f t="shared" si="601"/>
        <v>0</v>
      </c>
      <c r="V1014" s="6"/>
      <c r="W1014" s="6">
        <f t="shared" si="596"/>
        <v>0</v>
      </c>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X1014" s="6"/>
      <c r="AY1014" s="6">
        <f>ROUND(AX1014/1000/Update!$B$31*Update!$B$27,0)</f>
        <v>0</v>
      </c>
      <c r="BA1014" s="6"/>
      <c r="BB1014" s="6">
        <f>ROUND(BA1014/1000/Update!$B$31,0)</f>
        <v>0</v>
      </c>
      <c r="BC1014" s="6"/>
      <c r="BD1014" s="29">
        <f t="shared" si="584"/>
        <v>0</v>
      </c>
      <c r="BE1014" s="322"/>
      <c r="BF1014" s="322"/>
      <c r="BG1014" s="322"/>
      <c r="BH1014" s="322"/>
      <c r="BI1014" s="322"/>
      <c r="BJ1014" s="322"/>
      <c r="BK1014" s="29">
        <f t="shared" si="595"/>
        <v>0</v>
      </c>
      <c r="BL1014" s="322"/>
      <c r="BM1014" s="322"/>
      <c r="BN1014" s="322"/>
      <c r="BO1014" s="322"/>
      <c r="BP1014" s="322"/>
      <c r="BQ1014" s="322"/>
      <c r="BR1014" s="322"/>
      <c r="BS1014" s="322"/>
      <c r="BT1014" s="322"/>
      <c r="BU1014" s="322"/>
      <c r="BV1014" s="322"/>
      <c r="BW1014" s="322"/>
      <c r="BX1014" s="322"/>
      <c r="BY1014" s="322"/>
      <c r="BZ1014" s="322"/>
      <c r="CA1014" s="322"/>
      <c r="CB1014" s="322"/>
      <c r="CC1014" s="322"/>
      <c r="CD1014" s="322"/>
      <c r="CE1014" s="322"/>
      <c r="CF1014" s="322"/>
      <c r="CG1014" s="322"/>
      <c r="CH1014" s="322"/>
      <c r="CI1014" s="322"/>
      <c r="CM1014" s="1139">
        <v>0</v>
      </c>
      <c r="CN1014" s="1139">
        <v>0</v>
      </c>
      <c r="CP1014" s="923">
        <f t="shared" si="568"/>
        <v>0</v>
      </c>
      <c r="CZ1014" s="330"/>
    </row>
    <row r="1015" spans="1:104" ht="30" customHeight="1" x14ac:dyDescent="0.25">
      <c r="A1015" s="684">
        <f>MAX($A$6:A1014)+1</f>
        <v>1015</v>
      </c>
      <c r="B1015" s="3">
        <f t="shared" si="561"/>
        <v>6.1</v>
      </c>
      <c r="C1015" s="11" t="str">
        <f t="shared" si="577"/>
        <v>Consolidated intangible assets 2025-26</v>
      </c>
      <c r="D1015" s="11" t="s">
        <v>452</v>
      </c>
      <c r="E1015" s="7" t="s">
        <v>1415</v>
      </c>
      <c r="F1015" s="7"/>
      <c r="G1015" s="1254" t="s">
        <v>438</v>
      </c>
      <c r="H1015" s="6">
        <v>0</v>
      </c>
      <c r="I1015" s="6">
        <v>0</v>
      </c>
      <c r="J1015" s="1257" t="s">
        <v>864</v>
      </c>
      <c r="K1015" s="251">
        <f>SUMIF('alb Note 6.1 -  Intangibles CY'!$A:$A,$J1015,'alb Note 6.1 -  Intangibles CY'!$F:$F)</f>
        <v>0</v>
      </c>
      <c r="L1015" s="251">
        <f>SUMIF('alb Note 6.1 -  Intangibles CY'!$A:$A,$J1015,'alb Note 6.1 -  Intangibles CY'!$Q:$Q)</f>
        <v>0</v>
      </c>
      <c r="M1015" s="10"/>
      <c r="N1015" s="273">
        <f t="shared" si="599"/>
        <v>0</v>
      </c>
      <c r="O1015" s="12"/>
      <c r="P1015" s="12"/>
      <c r="Q1015" s="12"/>
      <c r="R1015" s="12"/>
      <c r="S1015" s="6">
        <f t="shared" si="567"/>
        <v>0</v>
      </c>
      <c r="T1015" s="273">
        <f t="shared" si="600"/>
        <v>0</v>
      </c>
      <c r="U1015" s="6">
        <f t="shared" si="601"/>
        <v>0</v>
      </c>
      <c r="V1015" s="6"/>
      <c r="W1015" s="6">
        <f t="shared" si="596"/>
        <v>0</v>
      </c>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X1015" s="6"/>
      <c r="AY1015" s="6">
        <f>ROUND(AX1015/1000/Update!$B$31*Update!$B$27,0)</f>
        <v>0</v>
      </c>
      <c r="BA1015" s="6"/>
      <c r="BB1015" s="6">
        <f>ROUND(BA1015/1000/Update!$B$31,0)</f>
        <v>0</v>
      </c>
      <c r="BC1015" s="6"/>
      <c r="BD1015" s="29">
        <f t="shared" si="584"/>
        <v>0</v>
      </c>
      <c r="BE1015" s="322"/>
      <c r="BF1015" s="322"/>
      <c r="BG1015" s="322"/>
      <c r="BH1015" s="322"/>
      <c r="BI1015" s="322"/>
      <c r="BJ1015" s="322"/>
      <c r="BK1015" s="29">
        <f t="shared" si="595"/>
        <v>0</v>
      </c>
      <c r="BL1015" s="322"/>
      <c r="BM1015" s="322"/>
      <c r="BN1015" s="322"/>
      <c r="BO1015" s="322"/>
      <c r="BP1015" s="322"/>
      <c r="BQ1015" s="322"/>
      <c r="BR1015" s="322"/>
      <c r="BS1015" s="322"/>
      <c r="BT1015" s="322"/>
      <c r="BU1015" s="322"/>
      <c r="BV1015" s="322"/>
      <c r="BW1015" s="322"/>
      <c r="BX1015" s="322"/>
      <c r="BY1015" s="322"/>
      <c r="BZ1015" s="322"/>
      <c r="CA1015" s="322"/>
      <c r="CB1015" s="322"/>
      <c r="CC1015" s="322"/>
      <c r="CD1015" s="322"/>
      <c r="CE1015" s="322"/>
      <c r="CF1015" s="322"/>
      <c r="CG1015" s="322"/>
      <c r="CH1015" s="322"/>
      <c r="CI1015" s="322"/>
      <c r="CM1015" s="1139">
        <v>0</v>
      </c>
      <c r="CN1015" s="1139">
        <v>0</v>
      </c>
      <c r="CP1015" s="923">
        <f t="shared" si="568"/>
        <v>0</v>
      </c>
      <c r="CZ1015" s="330"/>
    </row>
    <row r="1016" spans="1:104" ht="51" customHeight="1" x14ac:dyDescent="0.25">
      <c r="A1016" s="684">
        <f>MAX($A$6:A1015)+1</f>
        <v>1016</v>
      </c>
      <c r="B1016" s="3">
        <f t="shared" si="561"/>
        <v>6.1</v>
      </c>
      <c r="C1016" s="11" t="str">
        <f t="shared" si="577"/>
        <v>Consolidated intangible assets 2025-26</v>
      </c>
      <c r="D1016" s="11" t="s">
        <v>452</v>
      </c>
      <c r="E1016" s="7" t="s">
        <v>1410</v>
      </c>
      <c r="F1016" s="7"/>
      <c r="G1016" s="1254" t="s">
        <v>193</v>
      </c>
      <c r="H1016" s="6">
        <v>0</v>
      </c>
      <c r="I1016" s="6">
        <v>0</v>
      </c>
      <c r="J1016" s="1257" t="s">
        <v>865</v>
      </c>
      <c r="K1016" s="251">
        <f>SUMIF('alb Note 6.1 -  Intangibles CY'!$A:$A,$J1016,'alb Note 6.1 -  Intangibles CY'!$F:$F)</f>
        <v>0</v>
      </c>
      <c r="L1016" s="251">
        <f>SUMIF('alb Note 6.1 -  Intangibles CY'!$A:$A,$J1016,'alb Note 6.1 -  Intangibles CY'!$Q:$Q)</f>
        <v>0</v>
      </c>
      <c r="M1016" s="10"/>
      <c r="N1016" s="273">
        <f t="shared" si="599"/>
        <v>0</v>
      </c>
      <c r="O1016" s="12"/>
      <c r="P1016" s="12"/>
      <c r="Q1016" s="12"/>
      <c r="R1016" s="12"/>
      <c r="S1016" s="6">
        <f t="shared" si="567"/>
        <v>0</v>
      </c>
      <c r="T1016" s="273">
        <f t="shared" si="600"/>
        <v>0</v>
      </c>
      <c r="U1016" s="6">
        <f t="shared" si="601"/>
        <v>0</v>
      </c>
      <c r="V1016" s="6"/>
      <c r="W1016" s="6">
        <f t="shared" si="596"/>
        <v>0</v>
      </c>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X1016" s="6"/>
      <c r="AY1016" s="6">
        <f>ROUND(AX1016/1000/Update!$B$31*Update!$B$27,0)</f>
        <v>0</v>
      </c>
      <c r="BA1016" s="6"/>
      <c r="BB1016" s="6">
        <f>ROUND(BA1016/1000/Update!$B$31,0)</f>
        <v>0</v>
      </c>
      <c r="BC1016" s="6"/>
      <c r="BD1016" s="29">
        <f t="shared" si="584"/>
        <v>0</v>
      </c>
      <c r="BE1016" s="322"/>
      <c r="BF1016" s="322"/>
      <c r="BG1016" s="322"/>
      <c r="BH1016" s="322"/>
      <c r="BI1016" s="322"/>
      <c r="BJ1016" s="322"/>
      <c r="BK1016" s="29">
        <f t="shared" si="595"/>
        <v>0</v>
      </c>
      <c r="BL1016" s="322"/>
      <c r="BM1016" s="322"/>
      <c r="BN1016" s="322"/>
      <c r="BO1016" s="322"/>
      <c r="BP1016" s="322"/>
      <c r="BQ1016" s="322"/>
      <c r="BR1016" s="322"/>
      <c r="BS1016" s="322"/>
      <c r="BT1016" s="322"/>
      <c r="BU1016" s="322"/>
      <c r="BV1016" s="322"/>
      <c r="BW1016" s="322"/>
      <c r="BX1016" s="322"/>
      <c r="BY1016" s="322"/>
      <c r="BZ1016" s="322"/>
      <c r="CA1016" s="322"/>
      <c r="CB1016" s="322"/>
      <c r="CC1016" s="322"/>
      <c r="CD1016" s="322"/>
      <c r="CE1016" s="322"/>
      <c r="CF1016" s="322"/>
      <c r="CG1016" s="322"/>
      <c r="CH1016" s="322"/>
      <c r="CI1016" s="322"/>
      <c r="CM1016" s="1139">
        <v>0</v>
      </c>
      <c r="CN1016" s="1139">
        <v>0</v>
      </c>
      <c r="CP1016" s="923">
        <f t="shared" si="568"/>
        <v>0</v>
      </c>
      <c r="CZ1016" s="330"/>
    </row>
    <row r="1017" spans="1:104" ht="15" customHeight="1" x14ac:dyDescent="0.25">
      <c r="A1017" s="684">
        <f>MAX($A$6:A1016)+1</f>
        <v>1017</v>
      </c>
      <c r="B1017" s="3">
        <f t="shared" si="561"/>
        <v>6.1</v>
      </c>
      <c r="C1017" s="11" t="str">
        <f t="shared" si="577"/>
        <v>Consolidated intangible assets 2025-26</v>
      </c>
      <c r="D1017" s="11" t="str">
        <f>D1016</f>
        <v>Licences, trademarks &amp; artistic originals</v>
      </c>
      <c r="E1017" s="7" t="s">
        <v>868</v>
      </c>
      <c r="F1017" s="7"/>
      <c r="G1017" s="1254" t="s">
        <v>188</v>
      </c>
      <c r="H1017" s="6">
        <v>0</v>
      </c>
      <c r="I1017" s="6">
        <v>0</v>
      </c>
      <c r="J1017" s="1257" t="s">
        <v>868</v>
      </c>
      <c r="K1017" s="251">
        <f>SUMIF('alb Note 6.1 -  Intangibles CY'!$A:$A,$J1017,'alb Note 6.1 -  Intangibles CY'!$F:$F)</f>
        <v>0</v>
      </c>
      <c r="L1017" s="251">
        <f>SUMIF('alb Note 6.1 -  Intangibles CY'!$A:$A,$J1017,'alb Note 6.1 -  Intangibles CY'!$Q:$Q)</f>
        <v>0</v>
      </c>
      <c r="M1017" s="10"/>
      <c r="N1017" s="273">
        <f t="shared" si="599"/>
        <v>0</v>
      </c>
      <c r="O1017" s="12"/>
      <c r="P1017" s="12"/>
      <c r="Q1017" s="12"/>
      <c r="R1017" s="12"/>
      <c r="S1017" s="6">
        <f t="shared" si="567"/>
        <v>0</v>
      </c>
      <c r="T1017" s="273">
        <f t="shared" si="600"/>
        <v>0</v>
      </c>
      <c r="U1017" s="6">
        <f t="shared" si="601"/>
        <v>0</v>
      </c>
      <c r="V1017" s="6"/>
      <c r="W1017" s="6">
        <f t="shared" si="596"/>
        <v>0</v>
      </c>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X1017" s="6"/>
      <c r="AY1017" s="6">
        <f>ROUND(AX1017/1000/Update!$B$31*Update!$B$27,0)</f>
        <v>0</v>
      </c>
      <c r="BA1017" s="6"/>
      <c r="BB1017" s="6">
        <f>ROUND(BA1017/1000/Update!$B$31,0)</f>
        <v>0</v>
      </c>
      <c r="BC1017" s="6"/>
      <c r="BD1017" s="29">
        <f t="shared" si="584"/>
        <v>0</v>
      </c>
      <c r="BE1017" s="322"/>
      <c r="BF1017" s="322"/>
      <c r="BG1017" s="322"/>
      <c r="BH1017" s="322"/>
      <c r="BI1017" s="322"/>
      <c r="BJ1017" s="322"/>
      <c r="BK1017" s="29">
        <f t="shared" si="595"/>
        <v>0</v>
      </c>
      <c r="BL1017" s="322"/>
      <c r="BM1017" s="322"/>
      <c r="BN1017" s="322"/>
      <c r="BO1017" s="322"/>
      <c r="BP1017" s="322"/>
      <c r="BQ1017" s="322"/>
      <c r="BR1017" s="322"/>
      <c r="BS1017" s="322"/>
      <c r="BT1017" s="322"/>
      <c r="BU1017" s="322"/>
      <c r="BV1017" s="322"/>
      <c r="BW1017" s="322"/>
      <c r="BX1017" s="322"/>
      <c r="BY1017" s="322"/>
      <c r="BZ1017" s="322"/>
      <c r="CA1017" s="322"/>
      <c r="CB1017" s="322"/>
      <c r="CC1017" s="322"/>
      <c r="CD1017" s="322"/>
      <c r="CE1017" s="322"/>
      <c r="CF1017" s="322"/>
      <c r="CG1017" s="322"/>
      <c r="CH1017" s="322"/>
      <c r="CI1017" s="322"/>
      <c r="CM1017" s="1139">
        <v>0</v>
      </c>
      <c r="CN1017" s="1139">
        <v>0</v>
      </c>
      <c r="CP1017" s="923">
        <f t="shared" si="568"/>
        <v>0</v>
      </c>
      <c r="CZ1017" s="330"/>
    </row>
    <row r="1018" spans="1:104" ht="15" customHeight="1" x14ac:dyDescent="0.25">
      <c r="A1018" s="684">
        <f>MAX($A$6:A1017)+1</f>
        <v>1018</v>
      </c>
      <c r="B1018" s="3">
        <f t="shared" si="561"/>
        <v>6.1</v>
      </c>
      <c r="C1018" s="11" t="str">
        <f>C1016</f>
        <v>Consolidated intangible assets 2025-26</v>
      </c>
      <c r="D1018" s="11" t="str">
        <f>D1017</f>
        <v>Licences, trademarks &amp; artistic originals</v>
      </c>
      <c r="E1018" s="7" t="s">
        <v>1416</v>
      </c>
      <c r="F1018" s="7"/>
      <c r="G1018" s="1254" t="s">
        <v>189</v>
      </c>
      <c r="H1018" s="6">
        <v>0</v>
      </c>
      <c r="I1018" s="6">
        <v>0</v>
      </c>
      <c r="J1018" s="1257" t="s">
        <v>870</v>
      </c>
      <c r="K1018" s="251">
        <f>SUMIF('alb Note 6.1 -  Intangibles CY'!$A:$A,$J1018,'alb Note 6.1 -  Intangibles CY'!$F:$F)</f>
        <v>0</v>
      </c>
      <c r="L1018" s="251">
        <f>SUMIF('alb Note 6.1 -  Intangibles CY'!$A:$A,$J1018,'alb Note 6.1 -  Intangibles CY'!$Q:$Q)</f>
        <v>0</v>
      </c>
      <c r="M1018" s="10"/>
      <c r="N1018" s="273">
        <f t="shared" si="599"/>
        <v>0</v>
      </c>
      <c r="O1018" s="12"/>
      <c r="P1018" s="12"/>
      <c r="Q1018" s="12"/>
      <c r="R1018" s="12"/>
      <c r="S1018" s="6">
        <f t="shared" si="567"/>
        <v>0</v>
      </c>
      <c r="T1018" s="273">
        <f t="shared" si="600"/>
        <v>0</v>
      </c>
      <c r="U1018" s="6">
        <f t="shared" si="601"/>
        <v>0</v>
      </c>
      <c r="V1018" s="6"/>
      <c r="W1018" s="6">
        <f t="shared" si="596"/>
        <v>0</v>
      </c>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X1018" s="6"/>
      <c r="AY1018" s="6">
        <f>ROUND(AX1018/1000/Update!$B$31*Update!$B$27,0)</f>
        <v>0</v>
      </c>
      <c r="BA1018" s="6"/>
      <c r="BB1018" s="6">
        <f>ROUND(BA1018/1000/Update!$B$31,0)</f>
        <v>0</v>
      </c>
      <c r="BC1018" s="6"/>
      <c r="BD1018" s="29">
        <f t="shared" si="584"/>
        <v>0</v>
      </c>
      <c r="BE1018" s="322"/>
      <c r="BF1018" s="322"/>
      <c r="BG1018" s="322"/>
      <c r="BH1018" s="322"/>
      <c r="BI1018" s="322"/>
      <c r="BJ1018" s="322"/>
      <c r="BK1018" s="29">
        <f t="shared" si="595"/>
        <v>0</v>
      </c>
      <c r="BL1018" s="322"/>
      <c r="BM1018" s="322"/>
      <c r="BN1018" s="322"/>
      <c r="BO1018" s="322"/>
      <c r="BP1018" s="322"/>
      <c r="BQ1018" s="322"/>
      <c r="BR1018" s="322"/>
      <c r="BS1018" s="322"/>
      <c r="BT1018" s="322"/>
      <c r="BU1018" s="322"/>
      <c r="BV1018" s="322"/>
      <c r="BW1018" s="322"/>
      <c r="BX1018" s="322"/>
      <c r="BY1018" s="322"/>
      <c r="BZ1018" s="322"/>
      <c r="CA1018" s="322"/>
      <c r="CB1018" s="322"/>
      <c r="CC1018" s="322"/>
      <c r="CD1018" s="322"/>
      <c r="CE1018" s="322"/>
      <c r="CF1018" s="322"/>
      <c r="CG1018" s="322"/>
      <c r="CH1018" s="322"/>
      <c r="CI1018" s="322"/>
      <c r="CM1018" s="1139">
        <v>0</v>
      </c>
      <c r="CN1018" s="1139">
        <v>0</v>
      </c>
      <c r="CP1018" s="923">
        <f t="shared" si="568"/>
        <v>0</v>
      </c>
      <c r="CZ1018" s="330"/>
    </row>
    <row r="1019" spans="1:104" ht="15" customHeight="1" x14ac:dyDescent="0.25">
      <c r="A1019" s="701">
        <f>MAX($A$6:A1018)+1</f>
        <v>1019</v>
      </c>
      <c r="B1019" s="1291">
        <f t="shared" si="561"/>
        <v>6.1</v>
      </c>
      <c r="C1019" s="18" t="str">
        <f>C1017</f>
        <v>Consolidated intangible assets 2025-26</v>
      </c>
      <c r="D1019" s="18" t="s">
        <v>452</v>
      </c>
      <c r="E1019" s="19" t="str">
        <f>"At"&amp;Update!$B$22</f>
        <v>At 31 March 2026</v>
      </c>
      <c r="F1019" s="20"/>
      <c r="G1019" s="28"/>
      <c r="H1019" s="14">
        <f>SUM(H1009:H1018)</f>
        <v>0</v>
      </c>
      <c r="I1019" s="14">
        <f>SUM(I1009:I1018)</f>
        <v>0</v>
      </c>
      <c r="J1019" s="1258" t="s">
        <v>2492</v>
      </c>
      <c r="K1019" s="256">
        <f>SUM(K1009:K1018)</f>
        <v>0</v>
      </c>
      <c r="L1019" s="256">
        <f>SUM(L1009:L1018)</f>
        <v>0</v>
      </c>
      <c r="M1019" s="21"/>
      <c r="N1019" s="14">
        <f>ROUND(SUM(O1019:S1019)+T1019+SUM(Z1019:AV1019),0)</f>
        <v>0</v>
      </c>
      <c r="O1019" s="14">
        <f t="shared" ref="O1019:V1019" si="602">SUM(O1009:O1018)</f>
        <v>0</v>
      </c>
      <c r="P1019" s="14">
        <f t="shared" si="602"/>
        <v>0</v>
      </c>
      <c r="Q1019" s="14">
        <f t="shared" si="602"/>
        <v>0</v>
      </c>
      <c r="R1019" s="14">
        <f t="shared" si="602"/>
        <v>0</v>
      </c>
      <c r="S1019" s="14">
        <f t="shared" si="567"/>
        <v>0</v>
      </c>
      <c r="T1019" s="14">
        <f t="shared" si="602"/>
        <v>0</v>
      </c>
      <c r="U1019" s="14">
        <f t="shared" si="602"/>
        <v>0</v>
      </c>
      <c r="V1019" s="14">
        <f t="shared" si="602"/>
        <v>0</v>
      </c>
      <c r="W1019" s="14">
        <f>SUM(W1009:W1018)</f>
        <v>0</v>
      </c>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2"/>
      <c r="AX1019" s="14">
        <f>SUM(AX1009:AX1018)</f>
        <v>0</v>
      </c>
      <c r="AY1019" s="14">
        <f>ROUND(AX1019/1000/Update!$B$31*Update!$B$27,0)</f>
        <v>0</v>
      </c>
      <c r="AZ1019" s="2"/>
      <c r="BA1019" s="14">
        <f>SUM(BA1009:BA1018)</f>
        <v>0</v>
      </c>
      <c r="BB1019" s="14">
        <f>ROUND(BA1019/1000/Update!$B$31,0)</f>
        <v>0</v>
      </c>
      <c r="BC1019" s="14"/>
      <c r="BD1019" s="14">
        <f t="shared" si="584"/>
        <v>0</v>
      </c>
      <c r="BE1019" s="14">
        <f t="shared" ref="BE1019:BJ1019" si="603">SUM(BE1009:BE1018)</f>
        <v>0</v>
      </c>
      <c r="BF1019" s="14">
        <f t="shared" si="603"/>
        <v>0</v>
      </c>
      <c r="BG1019" s="14">
        <f t="shared" si="603"/>
        <v>0</v>
      </c>
      <c r="BH1019" s="14">
        <f t="shared" si="603"/>
        <v>0</v>
      </c>
      <c r="BI1019" s="14">
        <f t="shared" si="603"/>
        <v>0</v>
      </c>
      <c r="BJ1019" s="14">
        <f t="shared" si="603"/>
        <v>0</v>
      </c>
      <c r="BK1019" s="14">
        <f t="shared" si="595"/>
        <v>0</v>
      </c>
      <c r="BL1019" s="14"/>
      <c r="BM1019" s="14"/>
      <c r="BN1019" s="14"/>
      <c r="BO1019" s="14"/>
      <c r="BP1019" s="14"/>
      <c r="BQ1019" s="14"/>
      <c r="BR1019" s="14"/>
      <c r="BS1019" s="14"/>
      <c r="BT1019" s="324"/>
      <c r="BU1019" s="14"/>
      <c r="BV1019" s="14"/>
      <c r="BW1019" s="14"/>
      <c r="BX1019" s="14"/>
      <c r="BY1019" s="14"/>
      <c r="BZ1019" s="14"/>
      <c r="CA1019" s="14"/>
      <c r="CB1019" s="14"/>
      <c r="CC1019" s="14"/>
      <c r="CD1019" s="14"/>
      <c r="CE1019" s="14"/>
      <c r="CF1019" s="14"/>
      <c r="CG1019" s="14"/>
      <c r="CH1019" s="14"/>
      <c r="CI1019" s="14"/>
      <c r="CJ1019" s="2"/>
      <c r="CK1019" s="2"/>
      <c r="CM1019" s="1140">
        <v>0</v>
      </c>
      <c r="CN1019" s="1140">
        <v>0</v>
      </c>
      <c r="CP1019" s="923">
        <f t="shared" si="568"/>
        <v>0</v>
      </c>
      <c r="CZ1019" s="330"/>
    </row>
    <row r="1020" spans="1:104" ht="15" customHeight="1" x14ac:dyDescent="0.25">
      <c r="A1020" s="701">
        <f>MAX($A$6:A1019)+1</f>
        <v>1020</v>
      </c>
      <c r="B1020" s="1291">
        <f t="shared" si="561"/>
        <v>6.1</v>
      </c>
      <c r="C1020" s="18" t="str">
        <f>C1018</f>
        <v>Consolidated intangible assets 2025-26</v>
      </c>
      <c r="D1020" s="18" t="s">
        <v>452</v>
      </c>
      <c r="E1020" s="19" t="str">
        <f>"Carrying amount "&amp;Update!$B$22</f>
        <v>Carrying amount  31 March 2026</v>
      </c>
      <c r="F1020" s="20"/>
      <c r="G1020" s="28"/>
      <c r="H1020" s="14">
        <f>H1005-H1019</f>
        <v>0</v>
      </c>
      <c r="I1020" s="14">
        <f>I1005-I1019</f>
        <v>0</v>
      </c>
      <c r="J1020" s="1258" t="s">
        <v>2493</v>
      </c>
      <c r="K1020" s="256">
        <f>K1005-K1019</f>
        <v>0</v>
      </c>
      <c r="L1020" s="256">
        <f>L1005-L1019</f>
        <v>0</v>
      </c>
      <c r="M1020" s="21"/>
      <c r="N1020" s="14">
        <f>ROUND(SUM(O1020:S1020)+T1020+SUM(Z1020:AV1020),0)</f>
        <v>0</v>
      </c>
      <c r="O1020" s="14">
        <f t="shared" ref="O1020:V1020" si="604">O1005-O1019</f>
        <v>0</v>
      </c>
      <c r="P1020" s="14">
        <f t="shared" si="604"/>
        <v>0</v>
      </c>
      <c r="Q1020" s="14">
        <f t="shared" si="604"/>
        <v>0</v>
      </c>
      <c r="R1020" s="14">
        <f t="shared" si="604"/>
        <v>0</v>
      </c>
      <c r="S1020" s="14">
        <f t="shared" si="567"/>
        <v>0</v>
      </c>
      <c r="T1020" s="14">
        <f t="shared" si="604"/>
        <v>0</v>
      </c>
      <c r="U1020" s="14">
        <f t="shared" si="604"/>
        <v>0</v>
      </c>
      <c r="V1020" s="14">
        <f t="shared" si="604"/>
        <v>0</v>
      </c>
      <c r="W1020" s="14">
        <f>W1005-W1019</f>
        <v>0</v>
      </c>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X1020" s="14">
        <f>AX1005-AX1019</f>
        <v>0</v>
      </c>
      <c r="AY1020" s="14">
        <f>ROUND(AX1020/1000/Update!$B$31*Update!$B$27,0)</f>
        <v>0</v>
      </c>
      <c r="BA1020" s="14">
        <f>BA1005-BA1019</f>
        <v>0</v>
      </c>
      <c r="BB1020" s="14">
        <f>ROUND(BA1020/1000/Update!$B$31,0)</f>
        <v>0</v>
      </c>
      <c r="BC1020" s="14"/>
      <c r="BD1020" s="14">
        <f t="shared" si="584"/>
        <v>0</v>
      </c>
      <c r="BE1020" s="14">
        <f t="shared" ref="BE1020:BJ1020" si="605">BE1005-BE1019</f>
        <v>0</v>
      </c>
      <c r="BF1020" s="14">
        <f t="shared" si="605"/>
        <v>0</v>
      </c>
      <c r="BG1020" s="14">
        <f t="shared" si="605"/>
        <v>0</v>
      </c>
      <c r="BH1020" s="14">
        <f t="shared" si="605"/>
        <v>0</v>
      </c>
      <c r="BI1020" s="14">
        <f t="shared" si="605"/>
        <v>0</v>
      </c>
      <c r="BJ1020" s="14">
        <f t="shared" si="605"/>
        <v>0</v>
      </c>
      <c r="BK1020" s="14">
        <f t="shared" si="595"/>
        <v>0</v>
      </c>
      <c r="BL1020" s="14"/>
      <c r="BM1020" s="14"/>
      <c r="BN1020" s="14"/>
      <c r="BO1020" s="14"/>
      <c r="BP1020" s="14"/>
      <c r="BQ1020" s="14"/>
      <c r="BR1020" s="14"/>
      <c r="BS1020" s="14"/>
      <c r="BT1020" s="324"/>
      <c r="BU1020" s="14"/>
      <c r="BV1020" s="14"/>
      <c r="BW1020" s="14"/>
      <c r="BX1020" s="14"/>
      <c r="BY1020" s="14"/>
      <c r="BZ1020" s="14"/>
      <c r="CA1020" s="14"/>
      <c r="CB1020" s="14"/>
      <c r="CC1020" s="14"/>
      <c r="CD1020" s="14"/>
      <c r="CE1020" s="14"/>
      <c r="CF1020" s="14"/>
      <c r="CG1020" s="14"/>
      <c r="CH1020" s="14"/>
      <c r="CI1020" s="14"/>
      <c r="CM1020" s="1140">
        <v>0</v>
      </c>
      <c r="CN1020" s="1140">
        <v>0</v>
      </c>
      <c r="CP1020" s="923">
        <f t="shared" si="568"/>
        <v>0</v>
      </c>
      <c r="CZ1020" s="330"/>
    </row>
    <row r="1021" spans="1:104" ht="15" customHeight="1" x14ac:dyDescent="0.25">
      <c r="A1021" s="701">
        <f>MAX($A$6:A1020)+1</f>
        <v>1021</v>
      </c>
      <c r="B1021" s="1291">
        <f t="shared" ref="B1021:B1084" si="606">B1020</f>
        <v>6.1</v>
      </c>
      <c r="C1021" s="18" t="str">
        <f>C1019</f>
        <v>Consolidated intangible assets 2025-26</v>
      </c>
      <c r="D1021" s="18" t="s">
        <v>452</v>
      </c>
      <c r="E1021" s="19" t="str">
        <f>"Carrying amount "&amp;Update!$B$24</f>
        <v>Carrying amount  31 March 2025</v>
      </c>
      <c r="F1021" s="20"/>
      <c r="G1021" s="28"/>
      <c r="H1021" s="14">
        <f>H994-H1007</f>
        <v>0</v>
      </c>
      <c r="I1021" s="14">
        <f>I994-I1007</f>
        <v>0</v>
      </c>
      <c r="J1021" s="1258" t="s">
        <v>2494</v>
      </c>
      <c r="K1021" s="256">
        <f>K993-K1007</f>
        <v>0</v>
      </c>
      <c r="L1021" s="256">
        <f>L994-L1007</f>
        <v>0</v>
      </c>
      <c r="M1021" s="21"/>
      <c r="N1021" s="14">
        <f>ROUND(SUM(O1021:S1021)+T1021+SUM(Z1021:AV1021),0)</f>
        <v>0</v>
      </c>
      <c r="O1021" s="14">
        <f t="shared" ref="O1021:T1021" si="607">O994-O1007</f>
        <v>0</v>
      </c>
      <c r="P1021" s="14">
        <f t="shared" si="607"/>
        <v>0</v>
      </c>
      <c r="Q1021" s="14">
        <f t="shared" si="607"/>
        <v>0</v>
      </c>
      <c r="R1021" s="14">
        <f t="shared" si="607"/>
        <v>0</v>
      </c>
      <c r="S1021" s="14">
        <f t="shared" si="567"/>
        <v>0</v>
      </c>
      <c r="T1021" s="14">
        <f t="shared" si="607"/>
        <v>0</v>
      </c>
      <c r="U1021" s="14">
        <f>U994-U1007</f>
        <v>0</v>
      </c>
      <c r="V1021" s="14">
        <f>V994-V1007</f>
        <v>0</v>
      </c>
      <c r="W1021" s="14">
        <f>W994-W1007</f>
        <v>0</v>
      </c>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X1021" s="14">
        <f>AX994-AX1007</f>
        <v>0</v>
      </c>
      <c r="AY1021" s="14">
        <f>ROUND(AX1021/1000/Update!$B$31*Update!$B$27,0)</f>
        <v>0</v>
      </c>
      <c r="BA1021" s="14">
        <f>BA994-BA1007</f>
        <v>0</v>
      </c>
      <c r="BB1021" s="14">
        <f>ROUND(BA1021/1000/Update!$B$31,0)</f>
        <v>0</v>
      </c>
      <c r="BC1021" s="14"/>
      <c r="BD1021" s="14">
        <f t="shared" si="584"/>
        <v>0</v>
      </c>
      <c r="BE1021" s="14">
        <f t="shared" ref="BE1021:BJ1021" si="608">BE994-BE1007</f>
        <v>0</v>
      </c>
      <c r="BF1021" s="14">
        <f t="shared" si="608"/>
        <v>0</v>
      </c>
      <c r="BG1021" s="14">
        <f t="shared" si="608"/>
        <v>0</v>
      </c>
      <c r="BH1021" s="14">
        <f t="shared" si="608"/>
        <v>0</v>
      </c>
      <c r="BI1021" s="14">
        <f t="shared" si="608"/>
        <v>0</v>
      </c>
      <c r="BJ1021" s="14">
        <f t="shared" si="608"/>
        <v>0</v>
      </c>
      <c r="BK1021" s="14">
        <f t="shared" si="595"/>
        <v>0</v>
      </c>
      <c r="BL1021" s="14"/>
      <c r="BM1021" s="14"/>
      <c r="BN1021" s="14"/>
      <c r="BO1021" s="14"/>
      <c r="BP1021" s="14"/>
      <c r="BQ1021" s="14"/>
      <c r="BR1021" s="14"/>
      <c r="BS1021" s="14"/>
      <c r="BT1021" s="324"/>
      <c r="BU1021" s="14"/>
      <c r="BV1021" s="14"/>
      <c r="BW1021" s="14"/>
      <c r="BX1021" s="14"/>
      <c r="BY1021" s="14"/>
      <c r="BZ1021" s="14"/>
      <c r="CA1021" s="14"/>
      <c r="CB1021" s="14"/>
      <c r="CC1021" s="14"/>
      <c r="CD1021" s="14"/>
      <c r="CE1021" s="14"/>
      <c r="CF1021" s="14"/>
      <c r="CG1021" s="14"/>
      <c r="CH1021" s="14"/>
      <c r="CI1021" s="14"/>
      <c r="CM1021" s="1140">
        <v>0</v>
      </c>
      <c r="CN1021" s="1140">
        <v>0</v>
      </c>
      <c r="CP1021" s="923">
        <f t="shared" si="568"/>
        <v>0</v>
      </c>
      <c r="CZ1021" s="330"/>
    </row>
    <row r="1022" spans="1:104" ht="15" customHeight="1" x14ac:dyDescent="0.25">
      <c r="A1022" s="684">
        <f>MAX($A$6:A1021)+1</f>
        <v>1022</v>
      </c>
      <c r="B1022" s="3">
        <f t="shared" si="606"/>
        <v>6.1</v>
      </c>
      <c r="C1022" s="11" t="str">
        <f t="shared" si="577"/>
        <v>Consolidated intangible assets 2025-26</v>
      </c>
      <c r="D1022" s="11" t="s">
        <v>452</v>
      </c>
      <c r="E1022" s="13" t="s">
        <v>194</v>
      </c>
      <c r="F1022" s="13"/>
      <c r="G1022" s="26"/>
      <c r="H1022" s="6"/>
      <c r="I1022" s="6"/>
      <c r="J1022" s="1257" t="s">
        <v>286</v>
      </c>
      <c r="K1022" s="251">
        <f>SUMIF('alb Note 6.1 -  Intangibles CY'!$A:$A,$J1022,'alb Note 6.1 -  Intangibles CY'!$F:$F)</f>
        <v>0</v>
      </c>
      <c r="L1022" s="251">
        <f>SUMIF('alb Note 6.1 -  Intangibles CY'!$A:$A,$J1022,'alb Note 6.1 -  Intangibles CY'!$Q:$Q)</f>
        <v>0</v>
      </c>
      <c r="M1022" s="10"/>
      <c r="N1022" s="273">
        <f>ROUND(SUM(O1022:S1022)+SUM(W1022:AV1022),0)</f>
        <v>0</v>
      </c>
      <c r="O1022" s="12"/>
      <c r="P1022" s="12"/>
      <c r="Q1022" s="12"/>
      <c r="R1022" s="12"/>
      <c r="S1022" s="6">
        <f t="shared" si="567"/>
        <v>0</v>
      </c>
      <c r="T1022" s="273">
        <f>ROUND(SUM(U1022:Y1022),0)</f>
        <v>0</v>
      </c>
      <c r="U1022" s="6">
        <f>SUM(BL1022:BN1022)</f>
        <v>0</v>
      </c>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X1022" s="6"/>
      <c r="AY1022" s="6">
        <f>ROUND(AX1022/1000/Update!$B$31*Update!$B$27,0)</f>
        <v>0</v>
      </c>
      <c r="BA1022" s="6"/>
      <c r="BB1022" s="6">
        <f>ROUND(BA1022/1000/Update!$B$31,0)</f>
        <v>0</v>
      </c>
      <c r="BC1022" s="6"/>
      <c r="BD1022" s="29">
        <f t="shared" si="584"/>
        <v>0</v>
      </c>
      <c r="BE1022" s="322"/>
      <c r="BF1022" s="322"/>
      <c r="BG1022" s="322"/>
      <c r="BH1022" s="322"/>
      <c r="BI1022" s="322"/>
      <c r="BJ1022" s="322"/>
      <c r="BK1022" s="29">
        <f t="shared" si="595"/>
        <v>0</v>
      </c>
      <c r="BL1022" s="322"/>
      <c r="BM1022" s="322"/>
      <c r="BN1022" s="322"/>
      <c r="BO1022" s="322"/>
      <c r="BP1022" s="322"/>
      <c r="BQ1022" s="322"/>
      <c r="BR1022" s="322"/>
      <c r="BS1022" s="322"/>
      <c r="BT1022" s="322"/>
      <c r="BU1022" s="322"/>
      <c r="BV1022" s="322"/>
      <c r="BW1022" s="322"/>
      <c r="BX1022" s="322"/>
      <c r="BY1022" s="322"/>
      <c r="BZ1022" s="322"/>
      <c r="CA1022" s="322"/>
      <c r="CB1022" s="322"/>
      <c r="CC1022" s="322"/>
      <c r="CD1022" s="322"/>
      <c r="CE1022" s="322"/>
      <c r="CF1022" s="322"/>
      <c r="CG1022" s="322"/>
      <c r="CH1022" s="322"/>
      <c r="CI1022" s="322"/>
      <c r="CM1022" s="1139">
        <v>0</v>
      </c>
      <c r="CN1022" s="1139">
        <v>0</v>
      </c>
      <c r="CP1022" s="923">
        <f t="shared" si="568"/>
        <v>0</v>
      </c>
      <c r="CZ1022" s="330"/>
    </row>
    <row r="1023" spans="1:104" ht="15" customHeight="1" x14ac:dyDescent="0.25">
      <c r="A1023" s="684">
        <f>MAX($A$6:A1022)+1</f>
        <v>1023</v>
      </c>
      <c r="B1023" s="3">
        <f t="shared" si="606"/>
        <v>6.1</v>
      </c>
      <c r="C1023" s="11" t="str">
        <f t="shared" si="577"/>
        <v>Consolidated intangible assets 2025-26</v>
      </c>
      <c r="D1023" s="11" t="s">
        <v>452</v>
      </c>
      <c r="E1023" s="7" t="s">
        <v>197</v>
      </c>
      <c r="F1023" s="7"/>
      <c r="G1023" s="1254" t="s">
        <v>443</v>
      </c>
      <c r="H1023" s="6" t="e">
        <v>#VALUE!</v>
      </c>
      <c r="I1023" s="6" t="e">
        <v>#VALUE!</v>
      </c>
      <c r="J1023" s="1257" t="s">
        <v>197</v>
      </c>
      <c r="K1023" s="251">
        <f>SUMIF('alb Note 6.1 -  Intangibles CY'!$A:$A,$J1023,'alb Note 6.1 -  Intangibles CY'!$F:$F)</f>
        <v>0</v>
      </c>
      <c r="L1023" s="251">
        <f>SUMIF('alb Note 6.1 -  Intangibles CY'!$A:$A,$J1023,'alb Note 6.1 -  Intangibles CY'!$Q:$Q)</f>
        <v>0</v>
      </c>
      <c r="M1023" s="10"/>
      <c r="N1023" s="273" t="e">
        <f>ROUND(SUM(O1023:S1023)+SUM(W1023:AV1023),0)</f>
        <v>#VALUE!</v>
      </c>
      <c r="O1023" s="12"/>
      <c r="P1023" s="12"/>
      <c r="Q1023" s="12"/>
      <c r="R1023" s="12"/>
      <c r="S1023" s="6">
        <f t="shared" si="567"/>
        <v>0</v>
      </c>
      <c r="T1023" s="273" t="e">
        <f>ROUND(SUM(U1023:Y1023),0)</f>
        <v>#VALUE!</v>
      </c>
      <c r="U1023" s="6">
        <f>SUM(BL1023:BN1023)</f>
        <v>0</v>
      </c>
      <c r="V1023" s="6"/>
      <c r="W1023" s="6" t="e">
        <f>+H1023</f>
        <v>#VALUE!</v>
      </c>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X1023" s="6"/>
      <c r="AY1023" s="6">
        <f>ROUND(AX1023/1000/Update!$B$31*Update!$B$27,0)</f>
        <v>0</v>
      </c>
      <c r="BA1023" s="6"/>
      <c r="BB1023" s="6">
        <f>ROUND(BA1023/1000/Update!$B$31,0)</f>
        <v>0</v>
      </c>
      <c r="BC1023" s="6"/>
      <c r="BD1023" s="29">
        <f t="shared" si="584"/>
        <v>0</v>
      </c>
      <c r="BE1023" s="322"/>
      <c r="BF1023" s="322"/>
      <c r="BG1023" s="322"/>
      <c r="BH1023" s="322"/>
      <c r="BI1023" s="322"/>
      <c r="BJ1023" s="322"/>
      <c r="BK1023" s="29">
        <f t="shared" si="595"/>
        <v>0</v>
      </c>
      <c r="BL1023" s="322"/>
      <c r="BM1023" s="322"/>
      <c r="BN1023" s="322"/>
      <c r="BO1023" s="322"/>
      <c r="BP1023" s="322"/>
      <c r="BQ1023" s="322"/>
      <c r="BR1023" s="322"/>
      <c r="BS1023" s="322"/>
      <c r="BT1023" s="322"/>
      <c r="BU1023" s="322"/>
      <c r="BV1023" s="322"/>
      <c r="BW1023" s="322"/>
      <c r="BX1023" s="322"/>
      <c r="BY1023" s="322"/>
      <c r="BZ1023" s="322"/>
      <c r="CA1023" s="322"/>
      <c r="CB1023" s="322"/>
      <c r="CC1023" s="322"/>
      <c r="CD1023" s="322"/>
      <c r="CE1023" s="322"/>
      <c r="CF1023" s="322"/>
      <c r="CG1023" s="322"/>
      <c r="CH1023" s="322"/>
      <c r="CI1023" s="322"/>
      <c r="CM1023" s="1139">
        <v>0</v>
      </c>
      <c r="CN1023" s="1139">
        <v>0</v>
      </c>
      <c r="CP1023" s="923">
        <f t="shared" si="568"/>
        <v>0</v>
      </c>
      <c r="CZ1023" s="330"/>
    </row>
    <row r="1024" spans="1:104" ht="15" customHeight="1" x14ac:dyDescent="0.25">
      <c r="A1024" s="684">
        <f>MAX($A$6:A1023)+1</f>
        <v>1024</v>
      </c>
      <c r="B1024" s="3">
        <f t="shared" si="606"/>
        <v>6.1</v>
      </c>
      <c r="C1024" s="11" t="str">
        <f t="shared" si="577"/>
        <v>Consolidated intangible assets 2025-26</v>
      </c>
      <c r="D1024" s="11" t="s">
        <v>452</v>
      </c>
      <c r="E1024" s="7" t="s">
        <v>198</v>
      </c>
      <c r="F1024" s="7"/>
      <c r="G1024" s="1254" t="s">
        <v>444</v>
      </c>
      <c r="H1024" s="6" t="e">
        <v>#VALUE!</v>
      </c>
      <c r="I1024" s="6" t="e">
        <v>#VALUE!</v>
      </c>
      <c r="J1024" s="1257" t="s">
        <v>198</v>
      </c>
      <c r="K1024" s="251">
        <f>SUMIF('alb Note 6.1 -  Intangibles CY'!$A:$A,$J1024,'alb Note 6.1 -  Intangibles CY'!$F:$F)</f>
        <v>0</v>
      </c>
      <c r="L1024" s="251">
        <f>SUMIF('alb Note 6.1 -  Intangibles CY'!$A:$A,$J1024,'alb Note 6.1 -  Intangibles CY'!$Q:$Q)</f>
        <v>0</v>
      </c>
      <c r="M1024" s="10"/>
      <c r="N1024" s="273" t="e">
        <f>ROUND(SUM(O1024:S1024)+SUM(W1024:AV1024),0)</f>
        <v>#VALUE!</v>
      </c>
      <c r="O1024" s="12"/>
      <c r="P1024" s="12"/>
      <c r="Q1024" s="12"/>
      <c r="R1024" s="12"/>
      <c r="S1024" s="6">
        <f t="shared" si="567"/>
        <v>0</v>
      </c>
      <c r="T1024" s="273" t="e">
        <f>ROUND(SUM(U1024:Y1024),0)</f>
        <v>#VALUE!</v>
      </c>
      <c r="U1024" s="6">
        <f>SUM(BL1024:BN1024)</f>
        <v>0</v>
      </c>
      <c r="V1024" s="6"/>
      <c r="W1024" s="6" t="e">
        <f>+H1024</f>
        <v>#VALUE!</v>
      </c>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X1024" s="6"/>
      <c r="AY1024" s="6">
        <f>ROUND(AX1024/1000/Update!$B$31*Update!$B$27,0)</f>
        <v>0</v>
      </c>
      <c r="BA1024" s="6"/>
      <c r="BB1024" s="6">
        <f>ROUND(BA1024/1000/Update!$B$31,0)</f>
        <v>0</v>
      </c>
      <c r="BC1024" s="6"/>
      <c r="BD1024" s="29">
        <f t="shared" si="584"/>
        <v>0</v>
      </c>
      <c r="BE1024" s="322"/>
      <c r="BF1024" s="322"/>
      <c r="BG1024" s="322"/>
      <c r="BH1024" s="322"/>
      <c r="BI1024" s="322"/>
      <c r="BJ1024" s="322"/>
      <c r="BK1024" s="29">
        <f t="shared" si="595"/>
        <v>0</v>
      </c>
      <c r="BL1024" s="322"/>
      <c r="BM1024" s="322"/>
      <c r="BN1024" s="322"/>
      <c r="BO1024" s="322"/>
      <c r="BP1024" s="322"/>
      <c r="BQ1024" s="322"/>
      <c r="BR1024" s="322"/>
      <c r="BS1024" s="322"/>
      <c r="BT1024" s="322"/>
      <c r="BU1024" s="322"/>
      <c r="BV1024" s="322"/>
      <c r="BW1024" s="322"/>
      <c r="BX1024" s="322"/>
      <c r="BY1024" s="322"/>
      <c r="BZ1024" s="322"/>
      <c r="CA1024" s="322"/>
      <c r="CB1024" s="322"/>
      <c r="CC1024" s="322"/>
      <c r="CD1024" s="322"/>
      <c r="CE1024" s="322"/>
      <c r="CF1024" s="322"/>
      <c r="CG1024" s="322"/>
      <c r="CH1024" s="322"/>
      <c r="CI1024" s="322"/>
      <c r="CM1024" s="1139">
        <v>0</v>
      </c>
      <c r="CN1024" s="1139">
        <v>0</v>
      </c>
      <c r="CP1024" s="923">
        <f t="shared" si="568"/>
        <v>0</v>
      </c>
      <c r="CZ1024" s="330"/>
    </row>
    <row r="1025" spans="1:104" ht="39" customHeight="1" x14ac:dyDescent="0.25">
      <c r="A1025" s="684">
        <f>MAX($A$6:A1024)+1</f>
        <v>1025</v>
      </c>
      <c r="B1025" s="3">
        <f t="shared" si="606"/>
        <v>6.1</v>
      </c>
      <c r="C1025" s="11" t="str">
        <f t="shared" si="577"/>
        <v>Consolidated intangible assets 2025-26</v>
      </c>
      <c r="D1025" s="11" t="s">
        <v>452</v>
      </c>
      <c r="E1025" s="148" t="s">
        <v>199</v>
      </c>
      <c r="F1025" s="148"/>
      <c r="G1025" s="1254" t="s">
        <v>199</v>
      </c>
      <c r="H1025" s="6" t="e">
        <v>#VALUE!</v>
      </c>
      <c r="I1025" s="6" t="e">
        <v>#VALUE!</v>
      </c>
      <c r="J1025" s="1257" t="s">
        <v>769</v>
      </c>
      <c r="K1025" s="251">
        <f>SUMIF('alb Note 6.1 -  Intangibles CY'!$A:$A,$J1025,'alb Note 6.1 -  Intangibles CY'!$F:$F)</f>
        <v>0</v>
      </c>
      <c r="L1025" s="251">
        <f>SUMIF('alb Note 6.1 -  Intangibles CY'!$A:$A,$J1025,'alb Note 6.1 -  Intangibles CY'!$Q:$Q)</f>
        <v>0</v>
      </c>
      <c r="M1025" s="10"/>
      <c r="N1025" s="273" t="e">
        <f>ROUND(SUM(O1025:S1025)+SUM(W1025:AV1025),0)</f>
        <v>#VALUE!</v>
      </c>
      <c r="O1025" s="12"/>
      <c r="P1025" s="12"/>
      <c r="Q1025" s="12"/>
      <c r="R1025" s="12"/>
      <c r="S1025" s="6">
        <f t="shared" si="567"/>
        <v>0</v>
      </c>
      <c r="T1025" s="273" t="e">
        <f>ROUND(SUM(U1025:Y1025),0)</f>
        <v>#VALUE!</v>
      </c>
      <c r="U1025" s="6">
        <f>SUM(BL1025:BN1025)</f>
        <v>0</v>
      </c>
      <c r="V1025" s="6"/>
      <c r="W1025" s="6" t="e">
        <f>+H1025</f>
        <v>#VALUE!</v>
      </c>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X1025" s="6"/>
      <c r="AY1025" s="6">
        <f>ROUND(AX1025/1000/Update!$B$31*Update!$B$27,0)</f>
        <v>0</v>
      </c>
      <c r="BA1025" s="6"/>
      <c r="BB1025" s="6">
        <f>ROUND(BA1025/1000/Update!$B$31,0)</f>
        <v>0</v>
      </c>
      <c r="BC1025" s="6"/>
      <c r="BD1025" s="29">
        <f t="shared" si="584"/>
        <v>0</v>
      </c>
      <c r="BE1025" s="322"/>
      <c r="BF1025" s="322"/>
      <c r="BG1025" s="322"/>
      <c r="BH1025" s="322"/>
      <c r="BI1025" s="322"/>
      <c r="BJ1025" s="322"/>
      <c r="BK1025" s="29">
        <f t="shared" si="595"/>
        <v>0</v>
      </c>
      <c r="BL1025" s="322"/>
      <c r="BM1025" s="322"/>
      <c r="BN1025" s="322"/>
      <c r="BO1025" s="322"/>
      <c r="BP1025" s="322"/>
      <c r="BQ1025" s="322"/>
      <c r="BR1025" s="322"/>
      <c r="BS1025" s="322"/>
      <c r="BT1025" s="322"/>
      <c r="BU1025" s="322"/>
      <c r="BV1025" s="322"/>
      <c r="BW1025" s="322"/>
      <c r="BX1025" s="322"/>
      <c r="BY1025" s="322"/>
      <c r="BZ1025" s="322"/>
      <c r="CA1025" s="322"/>
      <c r="CB1025" s="322"/>
      <c r="CC1025" s="322"/>
      <c r="CD1025" s="322"/>
      <c r="CE1025" s="322"/>
      <c r="CF1025" s="322"/>
      <c r="CG1025" s="322"/>
      <c r="CH1025" s="322"/>
      <c r="CI1025" s="322"/>
      <c r="CM1025" s="1139">
        <v>0</v>
      </c>
      <c r="CN1025" s="1139">
        <v>0</v>
      </c>
      <c r="CP1025" s="923">
        <f t="shared" si="568"/>
        <v>0</v>
      </c>
      <c r="CZ1025" s="330"/>
    </row>
    <row r="1026" spans="1:104" ht="15" customHeight="1" x14ac:dyDescent="0.25">
      <c r="A1026" s="684">
        <f>MAX($A$6:A1025)+1</f>
        <v>1026</v>
      </c>
      <c r="B1026" s="3">
        <f t="shared" si="606"/>
        <v>6.1</v>
      </c>
      <c r="C1026" s="11" t="str">
        <f t="shared" si="577"/>
        <v>Consolidated intangible assets 2025-26</v>
      </c>
      <c r="D1026" s="11" t="s">
        <v>452</v>
      </c>
      <c r="E1026" s="148" t="s">
        <v>1695</v>
      </c>
      <c r="F1026" s="148"/>
      <c r="G1026" s="1254" t="s">
        <v>1695</v>
      </c>
      <c r="H1026" s="6" t="e">
        <v>#VALUE!</v>
      </c>
      <c r="I1026" s="6" t="e">
        <v>#VALUE!</v>
      </c>
      <c r="J1026" s="1254" t="s">
        <v>1695</v>
      </c>
      <c r="K1026" s="251">
        <f>SUMIF('alb Note 6.1 -  Intangibles CY'!$A:$A,$J1026,'alb Note 6.1 -  Intangibles CY'!$F:$F)</f>
        <v>0</v>
      </c>
      <c r="L1026" s="251">
        <f>SUMIF('alb Note 6.1 -  Intangibles CY'!$A:$A,$J1026,'alb Note 6.1 -  Intangibles CY'!$Q:$Q)</f>
        <v>0</v>
      </c>
      <c r="M1026" s="10"/>
      <c r="N1026" s="273" t="e">
        <f>ROUND(SUM(O1026:S1026)+SUM(W1026:AV1026),0)</f>
        <v>#VALUE!</v>
      </c>
      <c r="O1026" s="12"/>
      <c r="P1026" s="12"/>
      <c r="Q1026" s="12"/>
      <c r="R1026" s="12"/>
      <c r="S1026" s="6">
        <f>-IF(ISNUMBER(BD1026),BD1026,0)</f>
        <v>0</v>
      </c>
      <c r="T1026" s="273" t="e">
        <f>ROUND(SUM(U1026:Y1026),0)</f>
        <v>#VALUE!</v>
      </c>
      <c r="U1026" s="6">
        <f>SUM(BL1026:BN1026)</f>
        <v>0</v>
      </c>
      <c r="V1026" s="6"/>
      <c r="W1026" s="6" t="e">
        <f>+H1026</f>
        <v>#VALUE!</v>
      </c>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X1026" s="6"/>
      <c r="AY1026" s="6"/>
      <c r="BA1026" s="6"/>
      <c r="BB1026" s="6"/>
      <c r="BC1026" s="6"/>
      <c r="BD1026" s="29">
        <f t="shared" si="584"/>
        <v>0</v>
      </c>
      <c r="BE1026" s="322"/>
      <c r="BF1026" s="322"/>
      <c r="BG1026" s="322"/>
      <c r="BH1026" s="322"/>
      <c r="BI1026" s="322"/>
      <c r="BJ1026" s="322"/>
      <c r="BK1026" s="29">
        <f t="shared" si="595"/>
        <v>0</v>
      </c>
      <c r="BL1026" s="322"/>
      <c r="BM1026" s="322"/>
      <c r="BN1026" s="322"/>
      <c r="BO1026" s="322"/>
      <c r="BP1026" s="322"/>
      <c r="BQ1026" s="322"/>
      <c r="BR1026" s="322"/>
      <c r="BS1026" s="322"/>
      <c r="BT1026" s="322"/>
      <c r="BU1026" s="322"/>
      <c r="BV1026" s="322"/>
      <c r="BW1026" s="322"/>
      <c r="BX1026" s="322"/>
      <c r="BY1026" s="322"/>
      <c r="BZ1026" s="322"/>
      <c r="CA1026" s="322"/>
      <c r="CB1026" s="322"/>
      <c r="CC1026" s="322"/>
      <c r="CD1026" s="322"/>
      <c r="CE1026" s="322"/>
      <c r="CF1026" s="322"/>
      <c r="CG1026" s="322"/>
      <c r="CH1026" s="322"/>
      <c r="CI1026" s="322"/>
      <c r="CM1026" s="1139">
        <v>0</v>
      </c>
      <c r="CN1026" s="1139">
        <v>0</v>
      </c>
      <c r="CP1026" s="923">
        <f t="shared" si="568"/>
        <v>0</v>
      </c>
      <c r="CZ1026" s="330"/>
    </row>
    <row r="1027" spans="1:104" ht="15" customHeight="1" x14ac:dyDescent="0.25">
      <c r="A1027" s="701">
        <f>MAX($A$6:A1026)+1</f>
        <v>1027</v>
      </c>
      <c r="B1027" s="1291">
        <f t="shared" si="606"/>
        <v>6.1</v>
      </c>
      <c r="C1027" s="18" t="str">
        <f t="shared" si="577"/>
        <v>Consolidated intangible assets 2025-26</v>
      </c>
      <c r="D1027" s="18" t="s">
        <v>452</v>
      </c>
      <c r="E1027" s="19" t="str">
        <f>"Carrying amount "&amp;Update!$B$22</f>
        <v>Carrying amount  31 March 2026</v>
      </c>
      <c r="F1027" s="20"/>
      <c r="G1027" s="28"/>
      <c r="H1027" s="14" t="e">
        <f>SUM(H1022:H1026)</f>
        <v>#VALUE!</v>
      </c>
      <c r="I1027" s="14" t="e">
        <f>SUM(I1022:I1026)</f>
        <v>#VALUE!</v>
      </c>
      <c r="J1027" s="1258" t="s">
        <v>286</v>
      </c>
      <c r="K1027" s="14">
        <f>SUM(K1022:K1026)</f>
        <v>0</v>
      </c>
      <c r="L1027" s="14">
        <f>SUM(L1022:L1026)</f>
        <v>0</v>
      </c>
      <c r="M1027" s="21"/>
      <c r="N1027" s="14" t="e">
        <f>ROUND(SUM(O1027:S1027)+T1027+SUM(Z1027:AV1027),0)</f>
        <v>#VALUE!</v>
      </c>
      <c r="O1027" s="14">
        <f t="shared" ref="O1027:W1027" si="609">SUM(O1022:O1026)</f>
        <v>0</v>
      </c>
      <c r="P1027" s="14">
        <f t="shared" si="609"/>
        <v>0</v>
      </c>
      <c r="Q1027" s="14">
        <f t="shared" si="609"/>
        <v>0</v>
      </c>
      <c r="R1027" s="14">
        <f t="shared" si="609"/>
        <v>0</v>
      </c>
      <c r="S1027" s="14">
        <f t="shared" si="609"/>
        <v>0</v>
      </c>
      <c r="T1027" s="14" t="e">
        <f t="shared" si="609"/>
        <v>#VALUE!</v>
      </c>
      <c r="U1027" s="14">
        <f t="shared" si="609"/>
        <v>0</v>
      </c>
      <c r="V1027" s="14">
        <f t="shared" si="609"/>
        <v>0</v>
      </c>
      <c r="W1027" s="14" t="e">
        <f t="shared" si="609"/>
        <v>#VALUE!</v>
      </c>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f t="shared" ref="AW1027:BJ1027" si="610">SUM(AW1022:AW1026)</f>
        <v>0</v>
      </c>
      <c r="AX1027" s="14">
        <f t="shared" si="610"/>
        <v>0</v>
      </c>
      <c r="AY1027" s="14">
        <f t="shared" si="610"/>
        <v>0</v>
      </c>
      <c r="AZ1027">
        <f t="shared" si="610"/>
        <v>0</v>
      </c>
      <c r="BA1027" s="14">
        <f t="shared" si="610"/>
        <v>0</v>
      </c>
      <c r="BB1027" s="14">
        <f t="shared" si="610"/>
        <v>0</v>
      </c>
      <c r="BC1027" s="14">
        <f t="shared" si="610"/>
        <v>0</v>
      </c>
      <c r="BD1027" s="14">
        <f t="shared" si="610"/>
        <v>0</v>
      </c>
      <c r="BE1027" s="14">
        <f t="shared" si="610"/>
        <v>0</v>
      </c>
      <c r="BF1027" s="14">
        <f t="shared" si="610"/>
        <v>0</v>
      </c>
      <c r="BG1027" s="14">
        <f t="shared" si="610"/>
        <v>0</v>
      </c>
      <c r="BH1027" s="14">
        <f t="shared" si="610"/>
        <v>0</v>
      </c>
      <c r="BI1027" s="14">
        <f t="shared" si="610"/>
        <v>0</v>
      </c>
      <c r="BJ1027" s="14">
        <f t="shared" si="610"/>
        <v>0</v>
      </c>
      <c r="BK1027" s="14">
        <f t="shared" si="595"/>
        <v>0</v>
      </c>
      <c r="BL1027" s="14"/>
      <c r="BM1027" s="14"/>
      <c r="BN1027" s="14"/>
      <c r="BO1027" s="14"/>
      <c r="BP1027" s="14"/>
      <c r="BQ1027" s="14"/>
      <c r="BR1027" s="14"/>
      <c r="BS1027" s="14"/>
      <c r="BT1027" s="324"/>
      <c r="BU1027" s="14"/>
      <c r="BV1027" s="14"/>
      <c r="BW1027" s="14"/>
      <c r="BX1027" s="14"/>
      <c r="BY1027" s="14"/>
      <c r="BZ1027" s="14"/>
      <c r="CA1027" s="14"/>
      <c r="CB1027" s="14"/>
      <c r="CC1027" s="14"/>
      <c r="CD1027" s="14"/>
      <c r="CE1027" s="14"/>
      <c r="CF1027" s="14"/>
      <c r="CG1027" s="14"/>
      <c r="CH1027" s="14"/>
      <c r="CI1027" s="14"/>
      <c r="CM1027" s="1140">
        <v>0</v>
      </c>
      <c r="CN1027" s="1140">
        <v>0</v>
      </c>
      <c r="CP1027" s="923">
        <f t="shared" si="568"/>
        <v>0</v>
      </c>
      <c r="CZ1027" s="330"/>
    </row>
    <row r="1028" spans="1:104" ht="18.75" customHeight="1" x14ac:dyDescent="0.25">
      <c r="A1028" s="684">
        <f>MAX($A$6:A1027)+1</f>
        <v>1028</v>
      </c>
      <c r="B1028" s="3">
        <f>B1027</f>
        <v>6.1</v>
      </c>
      <c r="C1028" s="11" t="str">
        <f>C1027</f>
        <v>Consolidated intangible assets 2025-26</v>
      </c>
      <c r="D1028" s="11" t="s">
        <v>453</v>
      </c>
      <c r="E1028" s="277" t="s">
        <v>183</v>
      </c>
      <c r="F1028" s="277"/>
      <c r="G1028" s="26"/>
      <c r="H1028" s="6"/>
      <c r="I1028" s="6"/>
      <c r="J1028" s="1257" t="s">
        <v>286</v>
      </c>
      <c r="K1028" s="251">
        <f>SUMIF('alb Note 6.1 -  Intangibles CY'!$A:$A,$J1028,'alb Note 6.1 -  Intangibles CY'!$G:$G)</f>
        <v>0</v>
      </c>
      <c r="L1028" s="251">
        <f>SUMIF('alb Note 6.1 -  Intangibles CY'!$A:$A,$J1028,'alb Note 6.1 -  Intangibles CY'!$R:$R)</f>
        <v>0</v>
      </c>
      <c r="M1028" s="10"/>
      <c r="N1028" s="273">
        <f>ROUND(SUM(O1028:S1028)+SUM(W1028:AV1028),0)</f>
        <v>0</v>
      </c>
      <c r="O1028" s="12"/>
      <c r="P1028" s="12"/>
      <c r="Q1028" s="12"/>
      <c r="R1028" s="12"/>
      <c r="S1028" s="6">
        <f t="shared" si="567"/>
        <v>0</v>
      </c>
      <c r="T1028" s="273">
        <f>ROUND(SUM(U1028:Y1028),0)</f>
        <v>0</v>
      </c>
      <c r="U1028" s="6">
        <f>SUM(BL1028:BN1028)</f>
        <v>0</v>
      </c>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X1028" s="6"/>
      <c r="AY1028" s="6">
        <f>ROUND(AX1028/1000/Update!$B$31*Update!$B$27,0)</f>
        <v>0</v>
      </c>
      <c r="BA1028" s="6"/>
      <c r="BB1028" s="6">
        <f>ROUND(BA1028/1000/Update!$B$31,0)</f>
        <v>0</v>
      </c>
      <c r="BC1028" s="6"/>
      <c r="BD1028" s="29">
        <f t="shared" si="584"/>
        <v>0</v>
      </c>
      <c r="BE1028" s="322"/>
      <c r="BF1028" s="322"/>
      <c r="BG1028" s="322"/>
      <c r="BH1028" s="322"/>
      <c r="BI1028" s="322"/>
      <c r="BJ1028" s="322"/>
      <c r="BK1028" s="29">
        <f t="shared" si="595"/>
        <v>0</v>
      </c>
      <c r="BL1028" s="322"/>
      <c r="BM1028" s="322"/>
      <c r="BN1028" s="322"/>
      <c r="BO1028" s="322"/>
      <c r="BP1028" s="322"/>
      <c r="BQ1028" s="322"/>
      <c r="BR1028" s="322"/>
      <c r="BS1028" s="322"/>
      <c r="BT1028" s="322"/>
      <c r="BU1028" s="322"/>
      <c r="BV1028" s="322"/>
      <c r="BW1028" s="322"/>
      <c r="BX1028" s="322"/>
      <c r="BY1028" s="322"/>
      <c r="BZ1028" s="322"/>
      <c r="CA1028" s="322"/>
      <c r="CB1028" s="322"/>
      <c r="CC1028" s="322"/>
      <c r="CD1028" s="322"/>
      <c r="CE1028" s="322"/>
      <c r="CF1028" s="322"/>
      <c r="CG1028" s="322"/>
      <c r="CH1028" s="322"/>
      <c r="CI1028" s="322"/>
      <c r="CM1028" s="1139">
        <v>0</v>
      </c>
      <c r="CN1028" s="1139">
        <v>0</v>
      </c>
      <c r="CP1028" s="923">
        <f t="shared" si="568"/>
        <v>0</v>
      </c>
      <c r="CZ1028" s="330"/>
    </row>
    <row r="1029" spans="1:104" ht="15" customHeight="1" x14ac:dyDescent="0.25">
      <c r="A1029" s="684">
        <f>MAX($A$6:A1028)+1</f>
        <v>1029</v>
      </c>
      <c r="B1029" s="3">
        <f t="shared" si="606"/>
        <v>6.1</v>
      </c>
      <c r="C1029" s="11" t="str">
        <f t="shared" si="577"/>
        <v>Consolidated intangible assets 2025-26</v>
      </c>
      <c r="D1029" s="11" t="s">
        <v>453</v>
      </c>
      <c r="E1029" s="7" t="str">
        <f>"At"&amp;Update!$B$20</f>
        <v>At 1 April 2025</v>
      </c>
      <c r="F1029" s="15"/>
      <c r="G1029" s="1267" t="str">
        <f>"At"&amp;Update!$B$20</f>
        <v>At 1 April 2025</v>
      </c>
      <c r="H1029" s="6">
        <v>0</v>
      </c>
      <c r="I1029" s="6">
        <v>0</v>
      </c>
      <c r="J1029" s="1257" t="str">
        <f>$E1029</f>
        <v>At 1 April 2025</v>
      </c>
      <c r="K1029" s="251">
        <f>SUMIF('alb Note 6.1 -  Intangibles CY'!$A:$A,$J1029,'alb Note 6.1 -  Intangibles CY'!$G:$G)</f>
        <v>0</v>
      </c>
      <c r="L1029" s="251">
        <f>SUMIF('alb Note 6.1 -  Intangibles CY'!$A:$A,$J1029,'alb Note 6.1 -  Intangibles CY'!$R:$R)</f>
        <v>0</v>
      </c>
      <c r="M1029" s="10"/>
      <c r="N1029" s="273">
        <f>ROUND(SUM(O1029:S1029)+SUM(W1029:AV1029),0)</f>
        <v>0</v>
      </c>
      <c r="O1029" s="12"/>
      <c r="P1029" s="12"/>
      <c r="Q1029" s="12"/>
      <c r="R1029" s="12"/>
      <c r="S1029" s="6">
        <f t="shared" si="567"/>
        <v>0</v>
      </c>
      <c r="T1029" s="273">
        <f>ROUND(SUM(U1029:Y1029),0)</f>
        <v>0</v>
      </c>
      <c r="U1029" s="6">
        <f>SUM(BL1029:BN1029)</f>
        <v>0</v>
      </c>
      <c r="V1029" s="6"/>
      <c r="W1029" s="6">
        <f t="shared" ref="W1029:W1040" si="611">+H1029</f>
        <v>0</v>
      </c>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X1029" s="6"/>
      <c r="AY1029" s="6">
        <f>ROUND(AX1029/1000/Update!$B$31*Update!$B$27,0)</f>
        <v>0</v>
      </c>
      <c r="BA1029" s="6"/>
      <c r="BB1029" s="6">
        <f>ROUND(BA1029/1000/Update!$B$31,0)</f>
        <v>0</v>
      </c>
      <c r="BC1029" s="6"/>
      <c r="BD1029" s="29">
        <f t="shared" si="584"/>
        <v>0</v>
      </c>
      <c r="BE1029" s="322"/>
      <c r="BF1029" s="322"/>
      <c r="BG1029" s="322"/>
      <c r="BH1029" s="322"/>
      <c r="BI1029" s="322"/>
      <c r="BJ1029" s="322"/>
      <c r="BK1029" s="29">
        <f t="shared" si="595"/>
        <v>0</v>
      </c>
      <c r="BL1029" s="322"/>
      <c r="BM1029" s="322"/>
      <c r="BN1029" s="322"/>
      <c r="BO1029" s="322"/>
      <c r="BP1029" s="322"/>
      <c r="BQ1029" s="322"/>
      <c r="BR1029" s="322"/>
      <c r="BS1029" s="322"/>
      <c r="BT1029" s="322"/>
      <c r="BU1029" s="322"/>
      <c r="BV1029" s="322"/>
      <c r="BW1029" s="322"/>
      <c r="BX1029" s="322"/>
      <c r="BY1029" s="322"/>
      <c r="BZ1029" s="322"/>
      <c r="CA1029" s="322"/>
      <c r="CB1029" s="322"/>
      <c r="CC1029" s="322"/>
      <c r="CD1029" s="322"/>
      <c r="CE1029" s="322"/>
      <c r="CF1029" s="322"/>
      <c r="CG1029" s="322"/>
      <c r="CH1029" s="322"/>
      <c r="CI1029" s="322"/>
      <c r="CM1029" s="1139">
        <v>0</v>
      </c>
      <c r="CN1029" s="1139">
        <v>0</v>
      </c>
      <c r="CP1029" s="923">
        <f t="shared" si="568"/>
        <v>0</v>
      </c>
      <c r="CZ1029" s="330"/>
    </row>
    <row r="1030" spans="1:104" ht="15" customHeight="1" x14ac:dyDescent="0.25">
      <c r="A1030" s="684">
        <f>MAX($A$6:A1029)+1</f>
        <v>1030</v>
      </c>
      <c r="B1030" s="3">
        <f t="shared" si="606"/>
        <v>6.1</v>
      </c>
      <c r="C1030" s="11" t="str">
        <f t="shared" si="577"/>
        <v>Consolidated intangible assets 2025-26</v>
      </c>
      <c r="D1030" s="11" t="str">
        <f>D1029</f>
        <v>Patents</v>
      </c>
      <c r="E1030" s="7" t="s">
        <v>435</v>
      </c>
      <c r="F1030" s="7"/>
      <c r="G1030" s="1254" t="s">
        <v>435</v>
      </c>
      <c r="H1030" s="6">
        <v>0</v>
      </c>
      <c r="I1030" s="6">
        <v>0</v>
      </c>
      <c r="J1030" s="1257" t="s">
        <v>184</v>
      </c>
      <c r="K1030" s="251">
        <f>SUMIF('alb Note 6.1 -  Intangibles CY'!$A:$A,$J1030,'alb Note 6.1 -  Intangibles CY'!$G:$G)</f>
        <v>0</v>
      </c>
      <c r="L1030" s="251">
        <f>SUMIF('alb Note 6.1 -  Intangibles CY'!$A:$A,$J1030,'alb Note 6.1 -  Intangibles CY'!$R:$R)</f>
        <v>0</v>
      </c>
      <c r="M1030" s="10"/>
      <c r="N1030" s="273">
        <f>ROUND(SUM(O1030:S1030)+SUM(W1030:AV1030),0)</f>
        <v>0</v>
      </c>
      <c r="O1030" s="12"/>
      <c r="P1030" s="12"/>
      <c r="Q1030" s="12"/>
      <c r="R1030" s="12"/>
      <c r="S1030" s="6">
        <f t="shared" si="567"/>
        <v>0</v>
      </c>
      <c r="T1030" s="273">
        <f>ROUND(SUM(U1030:Y1030),0)</f>
        <v>0</v>
      </c>
      <c r="U1030" s="6">
        <f>SUM(BL1030:BN1030)</f>
        <v>0</v>
      </c>
      <c r="V1030" s="6"/>
      <c r="W1030" s="6">
        <f t="shared" si="611"/>
        <v>0</v>
      </c>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X1030" s="6"/>
      <c r="AY1030" s="6">
        <f>ROUND(AX1030/1000/Update!$B$31*Update!$B$27,0)</f>
        <v>0</v>
      </c>
      <c r="BA1030" s="6"/>
      <c r="BB1030" s="6">
        <f>ROUND(BA1030/1000/Update!$B$31,0)</f>
        <v>0</v>
      </c>
      <c r="BC1030" s="6"/>
      <c r="BD1030" s="29">
        <f t="shared" si="584"/>
        <v>0</v>
      </c>
      <c r="BE1030" s="322"/>
      <c r="BF1030" s="322"/>
      <c r="BG1030" s="322"/>
      <c r="BH1030" s="322"/>
      <c r="BI1030" s="322"/>
      <c r="BJ1030" s="322"/>
      <c r="BK1030" s="29">
        <f t="shared" si="595"/>
        <v>0</v>
      </c>
      <c r="BL1030" s="322"/>
      <c r="BM1030" s="322"/>
      <c r="BN1030" s="322"/>
      <c r="BO1030" s="322"/>
      <c r="BP1030" s="322"/>
      <c r="BQ1030" s="322"/>
      <c r="BR1030" s="322"/>
      <c r="BS1030" s="322"/>
      <c r="BT1030" s="322"/>
      <c r="BU1030" s="322"/>
      <c r="BV1030" s="322"/>
      <c r="BW1030" s="322"/>
      <c r="BX1030" s="322"/>
      <c r="BY1030" s="322"/>
      <c r="BZ1030" s="322"/>
      <c r="CA1030" s="322"/>
      <c r="CB1030" s="322"/>
      <c r="CC1030" s="322"/>
      <c r="CD1030" s="322"/>
      <c r="CE1030" s="322"/>
      <c r="CF1030" s="322"/>
      <c r="CG1030" s="322"/>
      <c r="CH1030" s="322"/>
      <c r="CI1030" s="322"/>
      <c r="CM1030" s="1139">
        <v>0</v>
      </c>
      <c r="CN1030" s="1139">
        <v>0</v>
      </c>
      <c r="CP1030" s="923">
        <f t="shared" si="568"/>
        <v>0</v>
      </c>
      <c r="CZ1030" s="330"/>
    </row>
    <row r="1031" spans="1:104" ht="15" customHeight="1" x14ac:dyDescent="0.25">
      <c r="A1031" s="701">
        <f>MAX($A$6:A1030)+1</f>
        <v>1031</v>
      </c>
      <c r="B1031" s="1291">
        <f t="shared" si="606"/>
        <v>6.1</v>
      </c>
      <c r="C1031" s="18" t="str">
        <f t="shared" si="577"/>
        <v>Consolidated intangible assets 2025-26</v>
      </c>
      <c r="D1031" s="18" t="str">
        <f>D1030</f>
        <v>Patents</v>
      </c>
      <c r="E1031" s="19" t="s">
        <v>869</v>
      </c>
      <c r="F1031" s="20"/>
      <c r="G1031" s="1280" t="s">
        <v>456</v>
      </c>
      <c r="H1031" s="14">
        <f>SUM(H1028:H1030)</f>
        <v>0</v>
      </c>
      <c r="I1031" s="14">
        <f>SUM(I1028:I1030)</f>
        <v>0</v>
      </c>
      <c r="J1031" s="1258" t="s">
        <v>869</v>
      </c>
      <c r="K1031" s="14">
        <f>SUM(K1028:K1030)</f>
        <v>0</v>
      </c>
      <c r="L1031" s="14">
        <f>SUM(L1028:L1030)</f>
        <v>0</v>
      </c>
      <c r="M1031" s="21"/>
      <c r="N1031" s="14">
        <f>ROUND(SUM(O1031:S1031)+T1031+SUM(Z1031:AV1031),0)</f>
        <v>0</v>
      </c>
      <c r="O1031" s="14">
        <f t="shared" ref="O1031:W1031" si="612">SUM(O1028:O1030)</f>
        <v>0</v>
      </c>
      <c r="P1031" s="14">
        <f t="shared" si="612"/>
        <v>0</v>
      </c>
      <c r="Q1031" s="14">
        <f t="shared" si="612"/>
        <v>0</v>
      </c>
      <c r="R1031" s="14">
        <f t="shared" si="612"/>
        <v>0</v>
      </c>
      <c r="S1031" s="14">
        <f t="shared" si="567"/>
        <v>0</v>
      </c>
      <c r="T1031" s="14">
        <f t="shared" si="612"/>
        <v>0</v>
      </c>
      <c r="U1031" s="14">
        <f t="shared" si="612"/>
        <v>0</v>
      </c>
      <c r="V1031" s="14">
        <f t="shared" si="612"/>
        <v>0</v>
      </c>
      <c r="W1031" s="14">
        <f t="shared" si="612"/>
        <v>0</v>
      </c>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X1031" s="14">
        <f>SUM(AX1028:AX1030)</f>
        <v>0</v>
      </c>
      <c r="AY1031" s="14">
        <f>ROUND(AX1031/1000/Update!$B$31*Update!$B$27,0)</f>
        <v>0</v>
      </c>
      <c r="BA1031" s="14">
        <f>SUM(BA1028:BA1030)</f>
        <v>0</v>
      </c>
      <c r="BB1031" s="14">
        <f>ROUND(BA1031/1000/Update!$B$31,0)</f>
        <v>0</v>
      </c>
      <c r="BC1031" s="14"/>
      <c r="BD1031" s="14">
        <f t="shared" si="584"/>
        <v>0</v>
      </c>
      <c r="BE1031" s="14">
        <f t="shared" ref="BE1031:BJ1031" si="613">SUM(BE1028:BE1030)</f>
        <v>0</v>
      </c>
      <c r="BF1031" s="14">
        <f t="shared" si="613"/>
        <v>0</v>
      </c>
      <c r="BG1031" s="14">
        <f t="shared" si="613"/>
        <v>0</v>
      </c>
      <c r="BH1031" s="14">
        <f t="shared" si="613"/>
        <v>0</v>
      </c>
      <c r="BI1031" s="14">
        <f t="shared" si="613"/>
        <v>0</v>
      </c>
      <c r="BJ1031" s="14">
        <f t="shared" si="613"/>
        <v>0</v>
      </c>
      <c r="BK1031" s="14">
        <f t="shared" si="595"/>
        <v>0</v>
      </c>
      <c r="BL1031" s="14"/>
      <c r="BM1031" s="14"/>
      <c r="BN1031" s="14"/>
      <c r="BO1031" s="14"/>
      <c r="BP1031" s="14"/>
      <c r="BQ1031" s="14"/>
      <c r="BR1031" s="14"/>
      <c r="BS1031" s="14"/>
      <c r="BT1031" s="324"/>
      <c r="BU1031" s="14"/>
      <c r="BV1031" s="14"/>
      <c r="BW1031" s="14"/>
      <c r="BX1031" s="14"/>
      <c r="BY1031" s="14"/>
      <c r="BZ1031" s="14"/>
      <c r="CA1031" s="14"/>
      <c r="CB1031" s="14"/>
      <c r="CC1031" s="14"/>
      <c r="CD1031" s="14"/>
      <c r="CE1031" s="14"/>
      <c r="CF1031" s="14"/>
      <c r="CG1031" s="14"/>
      <c r="CH1031" s="14"/>
      <c r="CI1031" s="14"/>
      <c r="CM1031" s="1140">
        <v>0</v>
      </c>
      <c r="CN1031" s="1140">
        <v>0</v>
      </c>
      <c r="CP1031" s="923">
        <f t="shared" si="568"/>
        <v>0</v>
      </c>
      <c r="CZ1031" s="330"/>
    </row>
    <row r="1032" spans="1:104" ht="15" customHeight="1" x14ac:dyDescent="0.25">
      <c r="A1032" s="684">
        <f>MAX($A$6:A1031)+1</f>
        <v>1032</v>
      </c>
      <c r="B1032" s="3">
        <f t="shared" si="606"/>
        <v>6.1</v>
      </c>
      <c r="C1032" s="11" t="str">
        <f t="shared" si="577"/>
        <v>Consolidated intangible assets 2025-26</v>
      </c>
      <c r="D1032" s="11" t="s">
        <v>453</v>
      </c>
      <c r="E1032" s="7" t="s">
        <v>185</v>
      </c>
      <c r="F1032" s="7"/>
      <c r="G1032" s="1254" t="s">
        <v>185</v>
      </c>
      <c r="H1032" s="6">
        <v>0</v>
      </c>
      <c r="I1032" s="6">
        <v>0</v>
      </c>
      <c r="J1032" s="1257" t="s">
        <v>185</v>
      </c>
      <c r="K1032" s="251">
        <f>SUMIF('alb Note 6.1 -  Intangibles CY'!$A:$A,$J1032,'alb Note 6.1 -  Intangibles CY'!$G:$G)</f>
        <v>0</v>
      </c>
      <c r="L1032" s="251">
        <f>SUMIF('alb Note 6.1 -  Intangibles CY'!$A:$A,$J1032,'alb Note 6.1 -  Intangibles CY'!$R:$R)</f>
        <v>0</v>
      </c>
      <c r="M1032" s="10"/>
      <c r="N1032" s="273">
        <f t="shared" ref="N1032:N1040" si="614">ROUND(SUM(O1032:S1032)+SUM(W1032:AV1032),0)</f>
        <v>0</v>
      </c>
      <c r="O1032" s="12"/>
      <c r="P1032" s="12"/>
      <c r="Q1032" s="12"/>
      <c r="R1032" s="12"/>
      <c r="S1032" s="6">
        <f t="shared" si="567"/>
        <v>0</v>
      </c>
      <c r="T1032" s="273">
        <f t="shared" ref="T1032:T1040" si="615">ROUND(SUM(U1032:Y1032),0)</f>
        <v>0</v>
      </c>
      <c r="U1032" s="6">
        <f t="shared" ref="U1032:U1040" si="616">SUM(BL1032:BN1032)</f>
        <v>0</v>
      </c>
      <c r="V1032" s="6"/>
      <c r="W1032" s="6">
        <f t="shared" si="611"/>
        <v>0</v>
      </c>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X1032" s="6"/>
      <c r="AY1032" s="6">
        <f>ROUND(AX1032/1000/Update!$B$31*Update!$B$27,0)</f>
        <v>0</v>
      </c>
      <c r="BA1032" s="6"/>
      <c r="BB1032" s="6">
        <f>ROUND(BA1032/1000/Update!$B$31,0)</f>
        <v>0</v>
      </c>
      <c r="BC1032" s="6"/>
      <c r="BD1032" s="29">
        <f t="shared" si="584"/>
        <v>0</v>
      </c>
      <c r="BE1032" s="322"/>
      <c r="BF1032" s="322"/>
      <c r="BG1032" s="322"/>
      <c r="BH1032" s="322"/>
      <c r="BI1032" s="322"/>
      <c r="BJ1032" s="322"/>
      <c r="BK1032" s="29">
        <f t="shared" si="595"/>
        <v>0</v>
      </c>
      <c r="BL1032" s="322"/>
      <c r="BM1032" s="322"/>
      <c r="BN1032" s="322"/>
      <c r="BO1032" s="322"/>
      <c r="BP1032" s="322"/>
      <c r="BQ1032" s="322"/>
      <c r="BR1032" s="322"/>
      <c r="BS1032" s="322"/>
      <c r="BT1032" s="322"/>
      <c r="BU1032" s="322"/>
      <c r="BV1032" s="322"/>
      <c r="BW1032" s="322"/>
      <c r="BX1032" s="322"/>
      <c r="BY1032" s="322"/>
      <c r="BZ1032" s="322"/>
      <c r="CA1032" s="322"/>
      <c r="CB1032" s="322"/>
      <c r="CC1032" s="322"/>
      <c r="CD1032" s="322"/>
      <c r="CE1032" s="322"/>
      <c r="CF1032" s="322"/>
      <c r="CG1032" s="322"/>
      <c r="CH1032" s="322"/>
      <c r="CI1032" s="322"/>
      <c r="CM1032" s="1139">
        <v>0</v>
      </c>
      <c r="CN1032" s="1139">
        <v>0</v>
      </c>
      <c r="CP1032" s="923">
        <f t="shared" ref="CP1032:CP1095" si="617">-V1032+BL1032+BM1032+BN1032+CM1032</f>
        <v>0</v>
      </c>
      <c r="CZ1032" s="330"/>
    </row>
    <row r="1033" spans="1:104" ht="30" customHeight="1" x14ac:dyDescent="0.25">
      <c r="A1033" s="684">
        <f>MAX($A$6:A1032)+1</f>
        <v>1033</v>
      </c>
      <c r="B1033" s="3">
        <f t="shared" si="606"/>
        <v>6.1</v>
      </c>
      <c r="C1033" s="11" t="str">
        <f t="shared" si="577"/>
        <v>Consolidated intangible assets 2025-26</v>
      </c>
      <c r="D1033" s="11" t="str">
        <f>D1032</f>
        <v>Patents</v>
      </c>
      <c r="E1033" s="7" t="s">
        <v>437</v>
      </c>
      <c r="F1033" s="7"/>
      <c r="G1033" s="1254" t="s">
        <v>437</v>
      </c>
      <c r="H1033" s="6">
        <v>0</v>
      </c>
      <c r="I1033" s="6">
        <v>0</v>
      </c>
      <c r="J1033" s="1257" t="s">
        <v>437</v>
      </c>
      <c r="K1033" s="251">
        <f>SUMIF('alb Note 6.1 -  Intangibles CY'!$A:$A,$J1033,'alb Note 6.1 -  Intangibles CY'!$G:$G)</f>
        <v>0</v>
      </c>
      <c r="L1033" s="251">
        <f>SUMIF('alb Note 6.1 -  Intangibles CY'!$A:$A,$J1033,'alb Note 6.1 -  Intangibles CY'!$R:$R)</f>
        <v>0</v>
      </c>
      <c r="M1033" s="10"/>
      <c r="N1033" s="273">
        <f t="shared" si="614"/>
        <v>0</v>
      </c>
      <c r="O1033" s="12"/>
      <c r="P1033" s="12"/>
      <c r="Q1033" s="12"/>
      <c r="R1033" s="12"/>
      <c r="S1033" s="6">
        <f t="shared" ref="S1033:S1097" si="618">-IF(ISNUMBER(BD1033),BD1033,0)</f>
        <v>0</v>
      </c>
      <c r="T1033" s="273">
        <f t="shared" si="615"/>
        <v>0</v>
      </c>
      <c r="U1033" s="6">
        <f t="shared" si="616"/>
        <v>0</v>
      </c>
      <c r="V1033" s="6"/>
      <c r="W1033" s="6">
        <f t="shared" si="611"/>
        <v>0</v>
      </c>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X1033" s="6"/>
      <c r="AY1033" s="6">
        <f>ROUND(AX1033/1000/Update!$B$31*Update!$B$27,0)</f>
        <v>0</v>
      </c>
      <c r="BA1033" s="6"/>
      <c r="BB1033" s="6">
        <f>ROUND(BA1033/1000/Update!$B$31,0)</f>
        <v>0</v>
      </c>
      <c r="BC1033" s="6"/>
      <c r="BD1033" s="29">
        <f t="shared" si="584"/>
        <v>0</v>
      </c>
      <c r="BE1033" s="322"/>
      <c r="BF1033" s="322"/>
      <c r="BG1033" s="322"/>
      <c r="BH1033" s="322"/>
      <c r="BI1033" s="322"/>
      <c r="BJ1033" s="322"/>
      <c r="BK1033" s="29">
        <f t="shared" si="595"/>
        <v>0</v>
      </c>
      <c r="BL1033" s="322"/>
      <c r="BM1033" s="322"/>
      <c r="BN1033" s="322"/>
      <c r="BO1033" s="322"/>
      <c r="BP1033" s="322"/>
      <c r="BQ1033" s="322"/>
      <c r="BR1033" s="322"/>
      <c r="BS1033" s="322"/>
      <c r="BT1033" s="322"/>
      <c r="BU1033" s="322"/>
      <c r="BV1033" s="322"/>
      <c r="BW1033" s="322"/>
      <c r="BX1033" s="322"/>
      <c r="BY1033" s="322"/>
      <c r="BZ1033" s="322"/>
      <c r="CA1033" s="322"/>
      <c r="CB1033" s="322"/>
      <c r="CC1033" s="322"/>
      <c r="CD1033" s="322"/>
      <c r="CE1033" s="322"/>
      <c r="CF1033" s="322"/>
      <c r="CG1033" s="322"/>
      <c r="CH1033" s="322"/>
      <c r="CI1033" s="322"/>
      <c r="CM1033" s="1139">
        <v>0</v>
      </c>
      <c r="CN1033" s="1139">
        <v>0</v>
      </c>
      <c r="CP1033" s="923">
        <f t="shared" si="617"/>
        <v>0</v>
      </c>
      <c r="CZ1033" s="330"/>
    </row>
    <row r="1034" spans="1:104" ht="15" customHeight="1" x14ac:dyDescent="0.25">
      <c r="A1034" s="684">
        <f>MAX($A$6:A1033)+1</f>
        <v>1034</v>
      </c>
      <c r="B1034" s="3">
        <f t="shared" si="606"/>
        <v>6.1</v>
      </c>
      <c r="C1034" s="11" t="str">
        <f>C1031</f>
        <v>Consolidated intangible assets 2025-26</v>
      </c>
      <c r="D1034" s="11" t="str">
        <f>D1033</f>
        <v>Patents</v>
      </c>
      <c r="E1034" s="7" t="s">
        <v>187</v>
      </c>
      <c r="F1034" s="7"/>
      <c r="G1034" s="1257" t="s">
        <v>187</v>
      </c>
      <c r="H1034" s="6">
        <v>0</v>
      </c>
      <c r="I1034" s="6">
        <v>0</v>
      </c>
      <c r="J1034" s="1257" t="s">
        <v>187</v>
      </c>
      <c r="K1034" s="251">
        <f>SUMIF('alb Note 6.1 -  Intangibles CY'!$A:$A,$J1034,'alb Note 6.1 -  Intangibles CY'!$G:$G)</f>
        <v>0</v>
      </c>
      <c r="L1034" s="251">
        <f>SUMIF('alb Note 6.1 -  Intangibles CY'!$A:$A,$J1034,'alb Note 6.1 -  Intangibles CY'!$R:$R)</f>
        <v>0</v>
      </c>
      <c r="M1034" s="10"/>
      <c r="N1034" s="273">
        <f t="shared" si="614"/>
        <v>0</v>
      </c>
      <c r="O1034" s="12"/>
      <c r="P1034" s="12"/>
      <c r="Q1034" s="12"/>
      <c r="R1034" s="12"/>
      <c r="S1034" s="6">
        <f t="shared" si="618"/>
        <v>0</v>
      </c>
      <c r="T1034" s="273">
        <f t="shared" si="615"/>
        <v>0</v>
      </c>
      <c r="U1034" s="6">
        <f t="shared" si="616"/>
        <v>0</v>
      </c>
      <c r="V1034" s="6"/>
      <c r="W1034" s="6">
        <f t="shared" si="611"/>
        <v>0</v>
      </c>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X1034" s="6"/>
      <c r="AY1034" s="6">
        <f>ROUND(AX1034/1000/Update!$B$31*Update!$B$27,0)</f>
        <v>0</v>
      </c>
      <c r="BA1034" s="6"/>
      <c r="BB1034" s="6">
        <f>ROUND(BA1034/1000/Update!$B$31,0)</f>
        <v>0</v>
      </c>
      <c r="BC1034" s="6"/>
      <c r="BD1034" s="29">
        <f t="shared" si="584"/>
        <v>0</v>
      </c>
      <c r="BE1034" s="322"/>
      <c r="BF1034" s="322"/>
      <c r="BG1034" s="322"/>
      <c r="BH1034" s="322"/>
      <c r="BI1034" s="322"/>
      <c r="BJ1034" s="322"/>
      <c r="BK1034" s="29">
        <f t="shared" si="595"/>
        <v>0</v>
      </c>
      <c r="BL1034" s="322"/>
      <c r="BM1034" s="322"/>
      <c r="BN1034" s="322"/>
      <c r="BO1034" s="322"/>
      <c r="BP1034" s="322"/>
      <c r="BQ1034" s="322"/>
      <c r="BR1034" s="322"/>
      <c r="BS1034" s="322"/>
      <c r="BT1034" s="322"/>
      <c r="BU1034" s="322"/>
      <c r="BV1034" s="322"/>
      <c r="BW1034" s="322"/>
      <c r="BX1034" s="322"/>
      <c r="BY1034" s="322"/>
      <c r="BZ1034" s="322"/>
      <c r="CA1034" s="322"/>
      <c r="CB1034" s="322"/>
      <c r="CC1034" s="322"/>
      <c r="CD1034" s="322"/>
      <c r="CE1034" s="322"/>
      <c r="CF1034" s="322"/>
      <c r="CG1034" s="322"/>
      <c r="CH1034" s="322"/>
      <c r="CI1034" s="322"/>
      <c r="CM1034" s="1139">
        <v>0</v>
      </c>
      <c r="CN1034" s="1139">
        <v>0</v>
      </c>
      <c r="CP1034" s="923">
        <f t="shared" si="617"/>
        <v>0</v>
      </c>
      <c r="CZ1034" s="330"/>
    </row>
    <row r="1035" spans="1:104" ht="15" customHeight="1" x14ac:dyDescent="0.25">
      <c r="A1035" s="684">
        <f>MAX($A$6:A1034)+1</f>
        <v>1035</v>
      </c>
      <c r="B1035" s="3">
        <f t="shared" si="606"/>
        <v>6.1</v>
      </c>
      <c r="C1035" s="11" t="str">
        <f>C1033</f>
        <v>Consolidated intangible assets 2025-26</v>
      </c>
      <c r="D1035" s="11" t="s">
        <v>453</v>
      </c>
      <c r="E1035" s="7" t="s">
        <v>191</v>
      </c>
      <c r="F1035" s="7"/>
      <c r="G1035" s="1254" t="s">
        <v>457</v>
      </c>
      <c r="H1035" s="6">
        <v>0</v>
      </c>
      <c r="I1035" s="6">
        <v>0</v>
      </c>
      <c r="J1035" s="1257" t="s">
        <v>191</v>
      </c>
      <c r="K1035" s="251">
        <f>SUMIF('alb Note 6.1 -  Intangibles CY'!$A:$A,$J1035,'alb Note 6.1 -  Intangibles CY'!$G:$G)</f>
        <v>0</v>
      </c>
      <c r="L1035" s="251">
        <f>SUMIF('alb Note 6.1 -  Intangibles CY'!$A:$A,$J1035,'alb Note 6.1 -  Intangibles CY'!$R:$R)</f>
        <v>0</v>
      </c>
      <c r="M1035" s="10"/>
      <c r="N1035" s="273">
        <f t="shared" si="614"/>
        <v>0</v>
      </c>
      <c r="O1035" s="12"/>
      <c r="P1035" s="12"/>
      <c r="Q1035" s="12"/>
      <c r="R1035" s="12"/>
      <c r="S1035" s="6">
        <f t="shared" si="618"/>
        <v>0</v>
      </c>
      <c r="T1035" s="273">
        <f t="shared" si="615"/>
        <v>0</v>
      </c>
      <c r="U1035" s="6">
        <f t="shared" si="616"/>
        <v>0</v>
      </c>
      <c r="V1035" s="6"/>
      <c r="W1035" s="6">
        <f t="shared" si="611"/>
        <v>0</v>
      </c>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X1035" s="6"/>
      <c r="AY1035" s="6">
        <f>ROUND(AX1035/1000/Update!$B$31*Update!$B$27,0)</f>
        <v>0</v>
      </c>
      <c r="BA1035" s="6"/>
      <c r="BB1035" s="6">
        <f>ROUND(BA1035/1000/Update!$B$31,0)</f>
        <v>0</v>
      </c>
      <c r="BC1035" s="6"/>
      <c r="BD1035" s="29">
        <f t="shared" si="584"/>
        <v>0</v>
      </c>
      <c r="BE1035" s="322"/>
      <c r="BF1035" s="322"/>
      <c r="BG1035" s="322"/>
      <c r="BH1035" s="322"/>
      <c r="BI1035" s="322"/>
      <c r="BJ1035" s="322"/>
      <c r="BK1035" s="29">
        <f t="shared" si="595"/>
        <v>0</v>
      </c>
      <c r="BL1035" s="322"/>
      <c r="BM1035" s="322"/>
      <c r="BN1035" s="322"/>
      <c r="BO1035" s="322"/>
      <c r="BP1035" s="322"/>
      <c r="BQ1035" s="322"/>
      <c r="BR1035" s="322"/>
      <c r="BS1035" s="322"/>
      <c r="BT1035" s="322"/>
      <c r="BU1035" s="322"/>
      <c r="BV1035" s="322"/>
      <c r="BW1035" s="322"/>
      <c r="BX1035" s="322"/>
      <c r="BY1035" s="322"/>
      <c r="BZ1035" s="322"/>
      <c r="CA1035" s="322"/>
      <c r="CB1035" s="322"/>
      <c r="CC1035" s="322"/>
      <c r="CD1035" s="322"/>
      <c r="CE1035" s="322"/>
      <c r="CF1035" s="322"/>
      <c r="CG1035" s="322"/>
      <c r="CH1035" s="322"/>
      <c r="CI1035" s="322"/>
      <c r="CM1035" s="1139">
        <v>0</v>
      </c>
      <c r="CN1035" s="1139">
        <v>0</v>
      </c>
      <c r="CP1035" s="923">
        <f t="shared" si="617"/>
        <v>0</v>
      </c>
      <c r="CZ1035" s="330"/>
    </row>
    <row r="1036" spans="1:104" ht="15" customHeight="1" x14ac:dyDescent="0.25">
      <c r="A1036" s="684">
        <f>MAX($A$6:A1035)+1</f>
        <v>1036</v>
      </c>
      <c r="B1036" s="3">
        <f t="shared" si="606"/>
        <v>6.1</v>
      </c>
      <c r="C1036" s="11" t="str">
        <f t="shared" si="577"/>
        <v>Consolidated intangible assets 2025-26</v>
      </c>
      <c r="D1036" s="11" t="s">
        <v>453</v>
      </c>
      <c r="E1036" s="7" t="s">
        <v>186</v>
      </c>
      <c r="F1036" s="7"/>
      <c r="G1036" s="1254" t="s">
        <v>186</v>
      </c>
      <c r="H1036" s="6">
        <v>0</v>
      </c>
      <c r="I1036" s="6">
        <v>0</v>
      </c>
      <c r="J1036" s="1257" t="s">
        <v>186</v>
      </c>
      <c r="K1036" s="251">
        <f>SUMIF('alb Note 6.1 -  Intangibles CY'!$A:$A,$J1036,'alb Note 6.1 -  Intangibles CY'!$G:$G)</f>
        <v>0</v>
      </c>
      <c r="L1036" s="251">
        <f>SUMIF('alb Note 6.1 -  Intangibles CY'!$A:$A,$J1036,'alb Note 6.1 -  Intangibles CY'!$R:$R)</f>
        <v>0</v>
      </c>
      <c r="M1036" s="10"/>
      <c r="N1036" s="273">
        <f t="shared" si="614"/>
        <v>0</v>
      </c>
      <c r="O1036" s="12"/>
      <c r="P1036" s="12"/>
      <c r="Q1036" s="12"/>
      <c r="R1036" s="12"/>
      <c r="S1036" s="6">
        <f t="shared" si="618"/>
        <v>0</v>
      </c>
      <c r="T1036" s="273">
        <f t="shared" si="615"/>
        <v>0</v>
      </c>
      <c r="U1036" s="6">
        <f t="shared" si="616"/>
        <v>0</v>
      </c>
      <c r="V1036" s="6"/>
      <c r="W1036" s="6">
        <f t="shared" si="611"/>
        <v>0</v>
      </c>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X1036" s="6"/>
      <c r="AY1036" s="6">
        <f>ROUND(AX1036/1000/Update!$B$31*Update!$B$27,0)</f>
        <v>0</v>
      </c>
      <c r="BA1036" s="6"/>
      <c r="BB1036" s="6">
        <f>ROUND(BA1036/1000/Update!$B$31,0)</f>
        <v>0</v>
      </c>
      <c r="BC1036" s="6"/>
      <c r="BD1036" s="29">
        <f t="shared" si="584"/>
        <v>0</v>
      </c>
      <c r="BE1036" s="322"/>
      <c r="BF1036" s="322"/>
      <c r="BG1036" s="322"/>
      <c r="BH1036" s="322"/>
      <c r="BI1036" s="322"/>
      <c r="BJ1036" s="322"/>
      <c r="BK1036" s="29">
        <f t="shared" si="595"/>
        <v>0</v>
      </c>
      <c r="BL1036" s="322"/>
      <c r="BM1036" s="322"/>
      <c r="BN1036" s="322"/>
      <c r="BO1036" s="322"/>
      <c r="BP1036" s="322"/>
      <c r="BQ1036" s="322"/>
      <c r="BR1036" s="322"/>
      <c r="BS1036" s="322"/>
      <c r="BT1036" s="322"/>
      <c r="BU1036" s="322"/>
      <c r="BV1036" s="322"/>
      <c r="BW1036" s="322"/>
      <c r="BX1036" s="322"/>
      <c r="BY1036" s="322"/>
      <c r="BZ1036" s="322"/>
      <c r="CA1036" s="322"/>
      <c r="CB1036" s="322"/>
      <c r="CC1036" s="322"/>
      <c r="CD1036" s="322"/>
      <c r="CE1036" s="322"/>
      <c r="CF1036" s="322"/>
      <c r="CG1036" s="322"/>
      <c r="CH1036" s="322"/>
      <c r="CI1036" s="322"/>
      <c r="CM1036" s="1139">
        <v>0</v>
      </c>
      <c r="CN1036" s="1139">
        <v>0</v>
      </c>
      <c r="CP1036" s="923">
        <f t="shared" si="617"/>
        <v>0</v>
      </c>
      <c r="CZ1036" s="330"/>
    </row>
    <row r="1037" spans="1:104" ht="15" customHeight="1" x14ac:dyDescent="0.25">
      <c r="A1037" s="684">
        <f>MAX($A$6:A1036)+1</f>
        <v>1037</v>
      </c>
      <c r="B1037" s="3">
        <f t="shared" si="606"/>
        <v>6.1</v>
      </c>
      <c r="C1037" s="11" t="str">
        <f t="shared" si="577"/>
        <v>Consolidated intangible assets 2025-26</v>
      </c>
      <c r="D1037" s="11" t="s">
        <v>453</v>
      </c>
      <c r="E1037" s="7" t="s">
        <v>188</v>
      </c>
      <c r="F1037" s="7"/>
      <c r="G1037" s="1254" t="s">
        <v>188</v>
      </c>
      <c r="H1037" s="6">
        <v>0</v>
      </c>
      <c r="I1037" s="6">
        <v>0</v>
      </c>
      <c r="J1037" s="1257" t="s">
        <v>188</v>
      </c>
      <c r="K1037" s="251">
        <f>SUMIF('alb Note 6.1 -  Intangibles CY'!$A:$A,$J1037,'alb Note 6.1 -  Intangibles CY'!$G:$G)</f>
        <v>0</v>
      </c>
      <c r="L1037" s="251">
        <f>SUMIF('alb Note 6.1 -  Intangibles CY'!$A:$A,$J1037,'alb Note 6.1 -  Intangibles CY'!$R:$R)</f>
        <v>0</v>
      </c>
      <c r="M1037" s="10"/>
      <c r="N1037" s="273">
        <f t="shared" si="614"/>
        <v>0</v>
      </c>
      <c r="O1037" s="12"/>
      <c r="P1037" s="12"/>
      <c r="Q1037" s="12"/>
      <c r="R1037" s="12"/>
      <c r="S1037" s="6">
        <f t="shared" si="618"/>
        <v>0</v>
      </c>
      <c r="T1037" s="273">
        <f t="shared" si="615"/>
        <v>0</v>
      </c>
      <c r="U1037" s="6">
        <f t="shared" si="616"/>
        <v>0</v>
      </c>
      <c r="V1037" s="6"/>
      <c r="W1037" s="6">
        <f t="shared" si="611"/>
        <v>0</v>
      </c>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X1037" s="6"/>
      <c r="AY1037" s="6">
        <f>ROUND(AX1037/1000/Update!$B$31*Update!$B$27,0)</f>
        <v>0</v>
      </c>
      <c r="BA1037" s="6"/>
      <c r="BB1037" s="6">
        <f>ROUND(BA1037/1000/Update!$B$31,0)</f>
        <v>0</v>
      </c>
      <c r="BC1037" s="6"/>
      <c r="BD1037" s="29">
        <f t="shared" si="584"/>
        <v>0</v>
      </c>
      <c r="BE1037" s="322"/>
      <c r="BF1037" s="322"/>
      <c r="BG1037" s="322"/>
      <c r="BH1037" s="322"/>
      <c r="BI1037" s="322"/>
      <c r="BJ1037" s="322"/>
      <c r="BK1037" s="29">
        <f t="shared" si="595"/>
        <v>0</v>
      </c>
      <c r="BL1037" s="322"/>
      <c r="BM1037" s="322"/>
      <c r="BN1037" s="322"/>
      <c r="BO1037" s="322"/>
      <c r="BP1037" s="322"/>
      <c r="BQ1037" s="322"/>
      <c r="BR1037" s="322"/>
      <c r="BS1037" s="322"/>
      <c r="BT1037" s="322"/>
      <c r="BU1037" s="322"/>
      <c r="BV1037" s="322"/>
      <c r="BW1037" s="322"/>
      <c r="BX1037" s="322"/>
      <c r="BY1037" s="322"/>
      <c r="BZ1037" s="322"/>
      <c r="CA1037" s="322"/>
      <c r="CB1037" s="322"/>
      <c r="CC1037" s="322"/>
      <c r="CD1037" s="322"/>
      <c r="CE1037" s="322"/>
      <c r="CF1037" s="322"/>
      <c r="CG1037" s="322"/>
      <c r="CH1037" s="322"/>
      <c r="CI1037" s="322"/>
      <c r="CM1037" s="1139">
        <v>0</v>
      </c>
      <c r="CN1037" s="1139">
        <v>0</v>
      </c>
      <c r="CP1037" s="923">
        <f t="shared" si="617"/>
        <v>0</v>
      </c>
      <c r="CZ1037" s="330"/>
    </row>
    <row r="1038" spans="1:104" ht="30" customHeight="1" x14ac:dyDescent="0.25">
      <c r="A1038" s="684">
        <f>MAX($A$6:A1037)+1</f>
        <v>1038</v>
      </c>
      <c r="B1038" s="3">
        <f t="shared" si="606"/>
        <v>6.1</v>
      </c>
      <c r="C1038" s="11" t="str">
        <f t="shared" si="577"/>
        <v>Consolidated intangible assets 2025-26</v>
      </c>
      <c r="D1038" s="11" t="s">
        <v>453</v>
      </c>
      <c r="E1038" s="7" t="s">
        <v>192</v>
      </c>
      <c r="F1038" s="7"/>
      <c r="G1038" s="1254" t="s">
        <v>438</v>
      </c>
      <c r="H1038" s="6">
        <v>0</v>
      </c>
      <c r="I1038" s="6">
        <v>0</v>
      </c>
      <c r="J1038" s="1257" t="s">
        <v>768</v>
      </c>
      <c r="K1038" s="251">
        <f>SUMIF('alb Note 6.1 -  Intangibles CY'!$A:$A,$J1038,'alb Note 6.1 -  Intangibles CY'!$G:$G)</f>
        <v>0</v>
      </c>
      <c r="L1038" s="251">
        <f>SUMIF('alb Note 6.1 -  Intangibles CY'!$A:$A,$J1038,'alb Note 6.1 -  Intangibles CY'!$R:$R)</f>
        <v>0</v>
      </c>
      <c r="M1038" s="10"/>
      <c r="N1038" s="273">
        <f t="shared" si="614"/>
        <v>0</v>
      </c>
      <c r="O1038" s="12"/>
      <c r="P1038" s="12"/>
      <c r="Q1038" s="12"/>
      <c r="R1038" s="12"/>
      <c r="S1038" s="6">
        <f t="shared" si="618"/>
        <v>0</v>
      </c>
      <c r="T1038" s="273">
        <f t="shared" si="615"/>
        <v>0</v>
      </c>
      <c r="U1038" s="6">
        <f t="shared" si="616"/>
        <v>0</v>
      </c>
      <c r="V1038" s="6"/>
      <c r="W1038" s="6">
        <f t="shared" si="611"/>
        <v>0</v>
      </c>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X1038" s="6"/>
      <c r="AY1038" s="6">
        <f>ROUND(AX1038/1000/Update!$B$31*Update!$B$27,0)</f>
        <v>0</v>
      </c>
      <c r="BA1038" s="6"/>
      <c r="BB1038" s="6">
        <f>ROUND(BA1038/1000/Update!$B$31,0)</f>
        <v>0</v>
      </c>
      <c r="BC1038" s="6"/>
      <c r="BD1038" s="29">
        <f t="shared" si="584"/>
        <v>0</v>
      </c>
      <c r="BE1038" s="322"/>
      <c r="BF1038" s="322"/>
      <c r="BG1038" s="322"/>
      <c r="BH1038" s="322"/>
      <c r="BI1038" s="322"/>
      <c r="BJ1038" s="322"/>
      <c r="BK1038" s="29">
        <f t="shared" si="595"/>
        <v>0</v>
      </c>
      <c r="BL1038" s="322"/>
      <c r="BM1038" s="322"/>
      <c r="BN1038" s="322"/>
      <c r="BO1038" s="322"/>
      <c r="BP1038" s="322"/>
      <c r="BQ1038" s="322"/>
      <c r="BR1038" s="322"/>
      <c r="BS1038" s="322"/>
      <c r="BT1038" s="322"/>
      <c r="BU1038" s="322"/>
      <c r="BV1038" s="322"/>
      <c r="BW1038" s="322"/>
      <c r="BX1038" s="322"/>
      <c r="BY1038" s="322"/>
      <c r="BZ1038" s="322"/>
      <c r="CA1038" s="322"/>
      <c r="CB1038" s="322"/>
      <c r="CC1038" s="322"/>
      <c r="CD1038" s="322"/>
      <c r="CE1038" s="322"/>
      <c r="CF1038" s="322"/>
      <c r="CG1038" s="322"/>
      <c r="CH1038" s="322"/>
      <c r="CI1038" s="322"/>
      <c r="CM1038" s="1139">
        <v>0</v>
      </c>
      <c r="CN1038" s="1139">
        <v>0</v>
      </c>
      <c r="CP1038" s="923">
        <f t="shared" si="617"/>
        <v>0</v>
      </c>
      <c r="CZ1038" s="330"/>
    </row>
    <row r="1039" spans="1:104" ht="51" customHeight="1" x14ac:dyDescent="0.25">
      <c r="A1039" s="684">
        <f>MAX($A$6:A1038)+1</f>
        <v>1039</v>
      </c>
      <c r="B1039" s="3">
        <f t="shared" si="606"/>
        <v>6.1</v>
      </c>
      <c r="C1039" s="11" t="str">
        <f t="shared" si="577"/>
        <v>Consolidated intangible assets 2025-26</v>
      </c>
      <c r="D1039" s="11" t="s">
        <v>453</v>
      </c>
      <c r="E1039" s="7" t="s">
        <v>193</v>
      </c>
      <c r="F1039" s="7"/>
      <c r="G1039" s="1254" t="s">
        <v>193</v>
      </c>
      <c r="H1039" s="6">
        <v>0</v>
      </c>
      <c r="I1039" s="6">
        <v>0</v>
      </c>
      <c r="J1039" s="1257" t="s">
        <v>767</v>
      </c>
      <c r="K1039" s="251">
        <f>SUMIF('alb Note 6.1 -  Intangibles CY'!$A:$A,$J1039,'alb Note 6.1 -  Intangibles CY'!$G:$G)</f>
        <v>0</v>
      </c>
      <c r="L1039" s="251">
        <f>SUMIF('alb Note 6.1 -  Intangibles CY'!$A:$A,$J1039,'alb Note 6.1 -  Intangibles CY'!$R:$R)</f>
        <v>0</v>
      </c>
      <c r="M1039" s="10"/>
      <c r="N1039" s="273">
        <f t="shared" si="614"/>
        <v>0</v>
      </c>
      <c r="O1039" s="12"/>
      <c r="P1039" s="12"/>
      <c r="Q1039" s="12"/>
      <c r="R1039" s="12"/>
      <c r="S1039" s="6">
        <f t="shared" si="618"/>
        <v>0</v>
      </c>
      <c r="T1039" s="273">
        <f t="shared" si="615"/>
        <v>0</v>
      </c>
      <c r="U1039" s="6">
        <f t="shared" si="616"/>
        <v>0</v>
      </c>
      <c r="V1039" s="6"/>
      <c r="W1039" s="6">
        <f t="shared" si="611"/>
        <v>0</v>
      </c>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X1039" s="6"/>
      <c r="AY1039" s="6">
        <f>ROUND(AX1039/1000/Update!$B$31*Update!$B$27,0)</f>
        <v>0</v>
      </c>
      <c r="BA1039" s="6"/>
      <c r="BB1039" s="6">
        <f>ROUND(BA1039/1000/Update!$B$31,0)</f>
        <v>0</v>
      </c>
      <c r="BC1039" s="6"/>
      <c r="BD1039" s="29">
        <f t="shared" si="584"/>
        <v>0</v>
      </c>
      <c r="BE1039" s="322"/>
      <c r="BF1039" s="322"/>
      <c r="BG1039" s="322"/>
      <c r="BH1039" s="322"/>
      <c r="BI1039" s="322"/>
      <c r="BJ1039" s="322"/>
      <c r="BK1039" s="29">
        <f t="shared" si="595"/>
        <v>0</v>
      </c>
      <c r="BL1039" s="322"/>
      <c r="BM1039" s="322"/>
      <c r="BN1039" s="322"/>
      <c r="BO1039" s="322"/>
      <c r="BP1039" s="322"/>
      <c r="BQ1039" s="322"/>
      <c r="BR1039" s="322"/>
      <c r="BS1039" s="322"/>
      <c r="BT1039" s="322"/>
      <c r="BU1039" s="322"/>
      <c r="BV1039" s="322"/>
      <c r="BW1039" s="322"/>
      <c r="BX1039" s="322"/>
      <c r="BY1039" s="322"/>
      <c r="BZ1039" s="322"/>
      <c r="CA1039" s="322"/>
      <c r="CB1039" s="322"/>
      <c r="CC1039" s="322"/>
      <c r="CD1039" s="322"/>
      <c r="CE1039" s="322"/>
      <c r="CF1039" s="322"/>
      <c r="CG1039" s="322"/>
      <c r="CH1039" s="322"/>
      <c r="CI1039" s="322"/>
      <c r="CM1039" s="1139">
        <v>0</v>
      </c>
      <c r="CN1039" s="1139">
        <v>0</v>
      </c>
      <c r="CP1039" s="923">
        <f t="shared" si="617"/>
        <v>0</v>
      </c>
      <c r="CZ1039" s="330"/>
    </row>
    <row r="1040" spans="1:104" ht="15" customHeight="1" x14ac:dyDescent="0.25">
      <c r="A1040" s="684">
        <f>MAX($A$6:A1039)+1</f>
        <v>1040</v>
      </c>
      <c r="B1040" s="3">
        <f t="shared" si="606"/>
        <v>6.1</v>
      </c>
      <c r="C1040" s="11" t="str">
        <f t="shared" si="577"/>
        <v>Consolidated intangible assets 2025-26</v>
      </c>
      <c r="D1040" s="11" t="s">
        <v>453</v>
      </c>
      <c r="E1040" s="7" t="s">
        <v>189</v>
      </c>
      <c r="F1040" s="7"/>
      <c r="G1040" s="1254" t="s">
        <v>189</v>
      </c>
      <c r="H1040" s="6">
        <v>0</v>
      </c>
      <c r="I1040" s="6">
        <v>0</v>
      </c>
      <c r="J1040" s="1257" t="s">
        <v>557</v>
      </c>
      <c r="K1040" s="251">
        <f>SUMIF('alb Note 6.1 -  Intangibles CY'!$A:$A,$J1040,'alb Note 6.1 -  Intangibles CY'!$G:$G)</f>
        <v>0</v>
      </c>
      <c r="L1040" s="251">
        <f>SUMIF('alb Note 6.1 -  Intangibles CY'!$A:$A,$J1040,'alb Note 6.1 -  Intangibles CY'!$R:$R)</f>
        <v>0</v>
      </c>
      <c r="M1040" s="10"/>
      <c r="N1040" s="273">
        <f t="shared" si="614"/>
        <v>0</v>
      </c>
      <c r="O1040" s="12"/>
      <c r="P1040" s="12"/>
      <c r="Q1040" s="12"/>
      <c r="R1040" s="12"/>
      <c r="S1040" s="6">
        <f t="shared" si="618"/>
        <v>0</v>
      </c>
      <c r="T1040" s="273">
        <f t="shared" si="615"/>
        <v>0</v>
      </c>
      <c r="U1040" s="6">
        <f t="shared" si="616"/>
        <v>0</v>
      </c>
      <c r="V1040" s="6"/>
      <c r="W1040" s="6">
        <f t="shared" si="611"/>
        <v>0</v>
      </c>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X1040" s="6"/>
      <c r="AY1040" s="6">
        <f>ROUND(AX1040/1000/Update!$B$31*Update!$B$27,0)</f>
        <v>0</v>
      </c>
      <c r="BA1040" s="6"/>
      <c r="BB1040" s="6">
        <f>ROUND(BA1040/1000/Update!$B$31,0)</f>
        <v>0</v>
      </c>
      <c r="BC1040" s="6"/>
      <c r="BD1040" s="29">
        <f t="shared" si="584"/>
        <v>0</v>
      </c>
      <c r="BE1040" s="322"/>
      <c r="BF1040" s="322"/>
      <c r="BG1040" s="322"/>
      <c r="BH1040" s="322"/>
      <c r="BI1040" s="322"/>
      <c r="BJ1040" s="322"/>
      <c r="BK1040" s="29">
        <f t="shared" si="595"/>
        <v>0</v>
      </c>
      <c r="BL1040" s="322"/>
      <c r="BM1040" s="322"/>
      <c r="BN1040" s="322"/>
      <c r="BO1040" s="322"/>
      <c r="BP1040" s="322"/>
      <c r="BQ1040" s="322"/>
      <c r="BR1040" s="322"/>
      <c r="BS1040" s="322"/>
      <c r="BT1040" s="322"/>
      <c r="BU1040" s="322"/>
      <c r="BV1040" s="322"/>
      <c r="BW1040" s="322"/>
      <c r="BX1040" s="322"/>
      <c r="BY1040" s="322"/>
      <c r="BZ1040" s="322"/>
      <c r="CA1040" s="322"/>
      <c r="CB1040" s="322"/>
      <c r="CC1040" s="322"/>
      <c r="CD1040" s="322"/>
      <c r="CE1040" s="322"/>
      <c r="CF1040" s="322"/>
      <c r="CG1040" s="322"/>
      <c r="CH1040" s="322"/>
      <c r="CI1040" s="322"/>
      <c r="CM1040" s="1139">
        <v>0</v>
      </c>
      <c r="CN1040" s="1139">
        <v>0</v>
      </c>
      <c r="CP1040" s="923">
        <f t="shared" si="617"/>
        <v>0</v>
      </c>
      <c r="CZ1040" s="330"/>
    </row>
    <row r="1041" spans="1:104" ht="15" customHeight="1" x14ac:dyDescent="0.25">
      <c r="A1041" s="701">
        <f>MAX($A$6:A1040)+1</f>
        <v>1041</v>
      </c>
      <c r="B1041" s="1291">
        <f t="shared" si="606"/>
        <v>6.1</v>
      </c>
      <c r="C1041" s="18" t="str">
        <f t="shared" si="577"/>
        <v>Consolidated intangible assets 2025-26</v>
      </c>
      <c r="D1041" s="18" t="s">
        <v>453</v>
      </c>
      <c r="E1041" s="19" t="str">
        <f>"At"&amp;Update!$B$22</f>
        <v>At 31 March 2026</v>
      </c>
      <c r="F1041" s="20"/>
      <c r="G1041" s="28"/>
      <c r="H1041" s="14">
        <f>SUM(H1031:H1040)</f>
        <v>0</v>
      </c>
      <c r="I1041" s="14">
        <f>SUM(I1031:I1040)</f>
        <v>0</v>
      </c>
      <c r="J1041" s="1258" t="s">
        <v>286</v>
      </c>
      <c r="K1041" s="256">
        <f>SUM(K1031:K1040)</f>
        <v>0</v>
      </c>
      <c r="L1041" s="256">
        <f>SUM(L1031:L1040)</f>
        <v>0</v>
      </c>
      <c r="M1041" s="21"/>
      <c r="N1041" s="14">
        <f>ROUND(SUM(O1041:S1041)+T1041+SUM(Z1041:AV1041),0)</f>
        <v>0</v>
      </c>
      <c r="O1041" s="14">
        <f t="shared" ref="O1041:W1041" si="619">SUM(O1031:O1040)</f>
        <v>0</v>
      </c>
      <c r="P1041" s="14">
        <f t="shared" si="619"/>
        <v>0</v>
      </c>
      <c r="Q1041" s="14">
        <f t="shared" si="619"/>
        <v>0</v>
      </c>
      <c r="R1041" s="14">
        <f t="shared" si="619"/>
        <v>0</v>
      </c>
      <c r="S1041" s="14">
        <f t="shared" si="618"/>
        <v>0</v>
      </c>
      <c r="T1041" s="14">
        <f t="shared" si="619"/>
        <v>0</v>
      </c>
      <c r="U1041" s="14">
        <f t="shared" si="619"/>
        <v>0</v>
      </c>
      <c r="V1041" s="14">
        <f t="shared" si="619"/>
        <v>0</v>
      </c>
      <c r="W1041" s="14">
        <f t="shared" si="619"/>
        <v>0</v>
      </c>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2"/>
      <c r="AX1041" s="14">
        <f>SUM(AX1031:AX1040)</f>
        <v>0</v>
      </c>
      <c r="AY1041" s="14">
        <f>ROUND(AX1041/1000/Update!$B$31*Update!$B$27,0)</f>
        <v>0</v>
      </c>
      <c r="AZ1041" s="2"/>
      <c r="BA1041" s="14">
        <f>SUM(BA1031:BA1040)</f>
        <v>0</v>
      </c>
      <c r="BB1041" s="14">
        <f>ROUND(BA1041/1000/Update!$B$31,0)</f>
        <v>0</v>
      </c>
      <c r="BC1041" s="14"/>
      <c r="BD1041" s="14">
        <f t="shared" si="584"/>
        <v>0</v>
      </c>
      <c r="BE1041" s="14">
        <f t="shared" ref="BE1041:BJ1041" si="620">SUM(BE1031:BE1040)</f>
        <v>0</v>
      </c>
      <c r="BF1041" s="14">
        <f t="shared" si="620"/>
        <v>0</v>
      </c>
      <c r="BG1041" s="14">
        <f t="shared" si="620"/>
        <v>0</v>
      </c>
      <c r="BH1041" s="14">
        <f t="shared" si="620"/>
        <v>0</v>
      </c>
      <c r="BI1041" s="14">
        <f t="shared" si="620"/>
        <v>0</v>
      </c>
      <c r="BJ1041" s="14">
        <f t="shared" si="620"/>
        <v>0</v>
      </c>
      <c r="BK1041" s="14">
        <f t="shared" si="595"/>
        <v>0</v>
      </c>
      <c r="BL1041" s="14"/>
      <c r="BM1041" s="14"/>
      <c r="BN1041" s="14"/>
      <c r="BO1041" s="14"/>
      <c r="BP1041" s="14"/>
      <c r="BQ1041" s="14"/>
      <c r="BR1041" s="14"/>
      <c r="BS1041" s="14"/>
      <c r="BT1041" s="324"/>
      <c r="BU1041" s="14"/>
      <c r="BV1041" s="14"/>
      <c r="BW1041" s="14"/>
      <c r="BX1041" s="14"/>
      <c r="BY1041" s="14"/>
      <c r="BZ1041" s="14"/>
      <c r="CA1041" s="14"/>
      <c r="CB1041" s="14"/>
      <c r="CC1041" s="14"/>
      <c r="CD1041" s="14"/>
      <c r="CE1041" s="14"/>
      <c r="CF1041" s="14"/>
      <c r="CG1041" s="14"/>
      <c r="CH1041" s="14"/>
      <c r="CI1041" s="14"/>
      <c r="CJ1041" s="2"/>
      <c r="CK1041" s="2"/>
      <c r="CM1041" s="1140">
        <v>0</v>
      </c>
      <c r="CN1041" s="1140">
        <v>0</v>
      </c>
      <c r="CP1041" s="923">
        <f t="shared" si="617"/>
        <v>0</v>
      </c>
      <c r="CZ1041" s="330"/>
    </row>
    <row r="1042" spans="1:104" ht="18.75" customHeight="1" x14ac:dyDescent="0.25">
      <c r="A1042" s="684">
        <f>MAX($A$6:A1041)+1</f>
        <v>1042</v>
      </c>
      <c r="B1042" s="3">
        <f t="shared" si="606"/>
        <v>6.1</v>
      </c>
      <c r="C1042" s="11" t="str">
        <f t="shared" si="577"/>
        <v>Consolidated intangible assets 2025-26</v>
      </c>
      <c r="D1042" s="11" t="s">
        <v>453</v>
      </c>
      <c r="E1042" s="277" t="s">
        <v>161</v>
      </c>
      <c r="F1042" s="277"/>
      <c r="G1042" s="26"/>
      <c r="H1042" s="6"/>
      <c r="I1042" s="6"/>
      <c r="J1042" s="1257" t="s">
        <v>286</v>
      </c>
      <c r="K1042" s="251">
        <f>SUMIF('alb Note 6.1 -  Intangibles CY'!$A:$A,$J1042,'alb Note 6.1 -  Intangibles CY'!$G:$G)</f>
        <v>0</v>
      </c>
      <c r="L1042" s="251">
        <f>SUMIF('alb Note 6.1 -  Intangibles CY'!$A:$A,$J1042,'alb Note 6.1 -  Intangibles CY'!$R:$R)</f>
        <v>0</v>
      </c>
      <c r="M1042" s="10"/>
      <c r="N1042" s="273">
        <f>ROUND(SUM(O1042:S1042)+SUM(W1042:AV1042),0)</f>
        <v>0</v>
      </c>
      <c r="O1042" s="12"/>
      <c r="P1042" s="12"/>
      <c r="Q1042" s="12"/>
      <c r="R1042" s="12"/>
      <c r="S1042" s="6">
        <f t="shared" si="618"/>
        <v>0</v>
      </c>
      <c r="T1042" s="273">
        <f>ROUND(SUM(U1042:Y1042),0)</f>
        <v>0</v>
      </c>
      <c r="U1042" s="6">
        <f>SUM(BL1042:BN1042)</f>
        <v>0</v>
      </c>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X1042" s="6"/>
      <c r="AY1042" s="6">
        <f>ROUND(AX1042/1000/Update!$B$31*Update!$B$27,0)</f>
        <v>0</v>
      </c>
      <c r="BA1042" s="6"/>
      <c r="BB1042" s="6">
        <f>ROUND(BA1042/1000/Update!$B$31,0)</f>
        <v>0</v>
      </c>
      <c r="BC1042" s="6"/>
      <c r="BD1042" s="29">
        <f t="shared" si="584"/>
        <v>0</v>
      </c>
      <c r="BE1042" s="322"/>
      <c r="BF1042" s="322"/>
      <c r="BG1042" s="322"/>
      <c r="BH1042" s="322"/>
      <c r="BI1042" s="322"/>
      <c r="BJ1042" s="322"/>
      <c r="BK1042" s="29">
        <f t="shared" si="595"/>
        <v>0</v>
      </c>
      <c r="BL1042" s="322"/>
      <c r="BM1042" s="322"/>
      <c r="BN1042" s="322"/>
      <c r="BO1042" s="322"/>
      <c r="BP1042" s="322"/>
      <c r="BQ1042" s="322"/>
      <c r="BR1042" s="322"/>
      <c r="BS1042" s="322"/>
      <c r="BT1042" s="322"/>
      <c r="BU1042" s="322"/>
      <c r="BV1042" s="322"/>
      <c r="BW1042" s="322"/>
      <c r="BX1042" s="322"/>
      <c r="BY1042" s="322"/>
      <c r="BZ1042" s="322"/>
      <c r="CA1042" s="322"/>
      <c r="CB1042" s="322"/>
      <c r="CC1042" s="322"/>
      <c r="CD1042" s="322"/>
      <c r="CE1042" s="322"/>
      <c r="CF1042" s="322"/>
      <c r="CG1042" s="322"/>
      <c r="CH1042" s="322"/>
      <c r="CI1042" s="322"/>
      <c r="CM1042" s="1139">
        <v>0</v>
      </c>
      <c r="CN1042" s="1139">
        <v>0</v>
      </c>
      <c r="CP1042" s="923">
        <f t="shared" si="617"/>
        <v>0</v>
      </c>
      <c r="CZ1042" s="330"/>
    </row>
    <row r="1043" spans="1:104" ht="15" customHeight="1" x14ac:dyDescent="0.25">
      <c r="A1043" s="684">
        <f>MAX($A$6:A1042)+1</f>
        <v>1043</v>
      </c>
      <c r="B1043" s="3">
        <f t="shared" si="606"/>
        <v>6.1</v>
      </c>
      <c r="C1043" s="11" t="str">
        <f t="shared" si="577"/>
        <v>Consolidated intangible assets 2025-26</v>
      </c>
      <c r="D1043" s="11" t="s">
        <v>453</v>
      </c>
      <c r="E1043" s="7" t="str">
        <f>"At"&amp;Update!$B$20&amp;" "</f>
        <v xml:space="preserve">At 1 April 2025 </v>
      </c>
      <c r="F1043" s="15"/>
      <c r="G1043" s="1267" t="str">
        <f>"At"&amp;Update!$B$20</f>
        <v>At 1 April 2025</v>
      </c>
      <c r="H1043" s="6">
        <v>0</v>
      </c>
      <c r="I1043" s="6">
        <v>0</v>
      </c>
      <c r="J1043" s="1257" t="str">
        <f>$E1043</f>
        <v xml:space="preserve">At 1 April 2025 </v>
      </c>
      <c r="K1043" s="251">
        <f>SUMIF('alb Note 6.1 -  Intangibles CY'!$A:$A,$J1043,'alb Note 6.1 -  Intangibles CY'!$G:$G)</f>
        <v>0</v>
      </c>
      <c r="L1043" s="251">
        <f>SUMIF('alb Note 6.1 -  Intangibles CY'!$A:$A,$J1043,'alb Note 6.1 -  Intangibles CY'!$R:$R)</f>
        <v>0</v>
      </c>
      <c r="M1043" s="10"/>
      <c r="N1043" s="273">
        <f>ROUND(SUM(O1043:S1043)+SUM(W1043:AV1043),0)</f>
        <v>0</v>
      </c>
      <c r="O1043" s="12"/>
      <c r="P1043" s="12"/>
      <c r="Q1043" s="12"/>
      <c r="R1043" s="12"/>
      <c r="S1043" s="6">
        <f t="shared" si="618"/>
        <v>0</v>
      </c>
      <c r="T1043" s="273">
        <f>ROUND(SUM(U1043:Y1043),0)</f>
        <v>0</v>
      </c>
      <c r="U1043" s="6">
        <f>SUM(BL1043:BN1043)</f>
        <v>0</v>
      </c>
      <c r="V1043" s="6"/>
      <c r="W1043" s="6">
        <f t="shared" ref="W1043:W1054" si="621">+H1043</f>
        <v>0</v>
      </c>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X1043" s="6"/>
      <c r="AY1043" s="6">
        <f>ROUND(AX1043/1000/Update!$B$31*Update!$B$27,0)</f>
        <v>0</v>
      </c>
      <c r="BA1043" s="6"/>
      <c r="BB1043" s="6">
        <f>ROUND(BA1043/1000/Update!$B$31,0)</f>
        <v>0</v>
      </c>
      <c r="BC1043" s="6"/>
      <c r="BD1043" s="29">
        <f t="shared" si="584"/>
        <v>0</v>
      </c>
      <c r="BE1043" s="322"/>
      <c r="BF1043" s="322"/>
      <c r="BG1043" s="322"/>
      <c r="BH1043" s="322"/>
      <c r="BI1043" s="322"/>
      <c r="BJ1043" s="322"/>
      <c r="BK1043" s="29">
        <f t="shared" si="595"/>
        <v>0</v>
      </c>
      <c r="BL1043" s="322"/>
      <c r="BM1043" s="322"/>
      <c r="BN1043" s="322"/>
      <c r="BO1043" s="322"/>
      <c r="BP1043" s="322"/>
      <c r="BQ1043" s="322"/>
      <c r="BR1043" s="322"/>
      <c r="BS1043" s="322"/>
      <c r="BT1043" s="322"/>
      <c r="BU1043" s="322"/>
      <c r="BV1043" s="322"/>
      <c r="BW1043" s="322"/>
      <c r="BX1043" s="322"/>
      <c r="BY1043" s="322"/>
      <c r="BZ1043" s="322"/>
      <c r="CA1043" s="322"/>
      <c r="CB1043" s="322"/>
      <c r="CC1043" s="322"/>
      <c r="CD1043" s="322"/>
      <c r="CE1043" s="322"/>
      <c r="CF1043" s="322"/>
      <c r="CG1043" s="322"/>
      <c r="CH1043" s="322"/>
      <c r="CI1043" s="322"/>
      <c r="CM1043" s="1139">
        <v>0</v>
      </c>
      <c r="CN1043" s="1139">
        <v>0</v>
      </c>
      <c r="CP1043" s="923">
        <f t="shared" si="617"/>
        <v>0</v>
      </c>
      <c r="CZ1043" s="330"/>
    </row>
    <row r="1044" spans="1:104" ht="15" customHeight="1" x14ac:dyDescent="0.25">
      <c r="A1044" s="684">
        <f>MAX($A$6:A1043)+1</f>
        <v>1044</v>
      </c>
      <c r="B1044" s="3">
        <f t="shared" si="606"/>
        <v>6.1</v>
      </c>
      <c r="C1044" s="11" t="str">
        <f t="shared" si="577"/>
        <v>Consolidated intangible assets 2025-26</v>
      </c>
      <c r="D1044" s="11" t="str">
        <f>D1043</f>
        <v>Patents</v>
      </c>
      <c r="E1044" s="7" t="s">
        <v>1417</v>
      </c>
      <c r="F1044" s="7"/>
      <c r="G1044" s="1254" t="s">
        <v>435</v>
      </c>
      <c r="H1044" s="6">
        <v>0</v>
      </c>
      <c r="I1044" s="6">
        <v>0</v>
      </c>
      <c r="J1044" s="1257" t="s">
        <v>435</v>
      </c>
      <c r="K1044" s="251">
        <f>SUMIF('alb Note 6.1 -  Intangibles CY'!$A:$A,$J1044,'alb Note 6.1 -  Intangibles CY'!$G:$G)</f>
        <v>0</v>
      </c>
      <c r="L1044" s="251">
        <f>SUMIF('alb Note 6.1 -  Intangibles CY'!$A:$A,$J1044,'alb Note 6.1 -  Intangibles CY'!$R:$R)</f>
        <v>0</v>
      </c>
      <c r="M1044" s="10"/>
      <c r="N1044" s="273">
        <f>ROUND(SUM(O1044:S1044)+SUM(W1044:AV1044),0)</f>
        <v>0</v>
      </c>
      <c r="O1044" s="12"/>
      <c r="P1044" s="12"/>
      <c r="Q1044" s="12"/>
      <c r="R1044" s="12"/>
      <c r="S1044" s="6">
        <f t="shared" si="618"/>
        <v>0</v>
      </c>
      <c r="T1044" s="273">
        <f>ROUND(SUM(U1044:Y1044),0)</f>
        <v>0</v>
      </c>
      <c r="U1044" s="6">
        <f>SUM(BL1044:BN1044)</f>
        <v>0</v>
      </c>
      <c r="V1044" s="6"/>
      <c r="W1044" s="6">
        <f t="shared" si="621"/>
        <v>0</v>
      </c>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X1044" s="6"/>
      <c r="AY1044" s="6">
        <f>ROUND(AX1044/1000/Update!$B$31*Update!$B$27,0)</f>
        <v>0</v>
      </c>
      <c r="BA1044" s="6"/>
      <c r="BB1044" s="6">
        <f>ROUND(BA1044/1000/Update!$B$31,0)</f>
        <v>0</v>
      </c>
      <c r="BC1044" s="6"/>
      <c r="BD1044" s="29">
        <f t="shared" si="584"/>
        <v>0</v>
      </c>
      <c r="BE1044" s="322"/>
      <c r="BF1044" s="322"/>
      <c r="BG1044" s="322"/>
      <c r="BH1044" s="322"/>
      <c r="BI1044" s="322"/>
      <c r="BJ1044" s="322"/>
      <c r="BK1044" s="29">
        <f t="shared" si="595"/>
        <v>0</v>
      </c>
      <c r="BL1044" s="322"/>
      <c r="BM1044" s="322"/>
      <c r="BN1044" s="322"/>
      <c r="BO1044" s="322"/>
      <c r="BP1044" s="322"/>
      <c r="BQ1044" s="322"/>
      <c r="BR1044" s="322"/>
      <c r="BS1044" s="322"/>
      <c r="BT1044" s="322"/>
      <c r="BU1044" s="322"/>
      <c r="BV1044" s="322"/>
      <c r="BW1044" s="322"/>
      <c r="BX1044" s="322"/>
      <c r="BY1044" s="322"/>
      <c r="BZ1044" s="322"/>
      <c r="CA1044" s="322"/>
      <c r="CB1044" s="322"/>
      <c r="CC1044" s="322"/>
      <c r="CD1044" s="322"/>
      <c r="CE1044" s="322"/>
      <c r="CF1044" s="322"/>
      <c r="CG1044" s="322"/>
      <c r="CH1044" s="322"/>
      <c r="CI1044" s="322"/>
      <c r="CM1044" s="1139">
        <v>0</v>
      </c>
      <c r="CN1044" s="1139">
        <v>0</v>
      </c>
      <c r="CP1044" s="923">
        <f t="shared" si="617"/>
        <v>0</v>
      </c>
      <c r="CZ1044" s="330"/>
    </row>
    <row r="1045" spans="1:104" ht="15" customHeight="1" x14ac:dyDescent="0.25">
      <c r="A1045" s="701">
        <f>MAX($A$6:A1044)+1</f>
        <v>1045</v>
      </c>
      <c r="B1045" s="1291">
        <f t="shared" si="606"/>
        <v>6.1</v>
      </c>
      <c r="C1045" s="18" t="str">
        <f t="shared" si="577"/>
        <v>Consolidated intangible assets 2025-26</v>
      </c>
      <c r="D1045" s="18" t="str">
        <f>D1044</f>
        <v>Patents</v>
      </c>
      <c r="E1045" s="19" t="s">
        <v>869</v>
      </c>
      <c r="F1045" s="20"/>
      <c r="G1045" s="1278" t="s">
        <v>442</v>
      </c>
      <c r="H1045" s="14">
        <f>SUM(H1042:H1044)</f>
        <v>0</v>
      </c>
      <c r="I1045" s="14">
        <f>SUM(I1042:I1044)</f>
        <v>0</v>
      </c>
      <c r="J1045" s="1258" t="s">
        <v>442</v>
      </c>
      <c r="K1045" s="256">
        <f>SUM(K1042:K1044)</f>
        <v>0</v>
      </c>
      <c r="L1045" s="256">
        <f>SUM(L1042:L1044)</f>
        <v>0</v>
      </c>
      <c r="M1045" s="21"/>
      <c r="N1045" s="14">
        <f>ROUND(SUM(O1045:S1045)+T1045+SUM(Z1045:AV1045),0)</f>
        <v>0</v>
      </c>
      <c r="O1045" s="14">
        <f t="shared" ref="O1045:W1045" si="622">SUM(O1042:O1044)</f>
        <v>0</v>
      </c>
      <c r="P1045" s="14">
        <f t="shared" si="622"/>
        <v>0</v>
      </c>
      <c r="Q1045" s="14">
        <f t="shared" si="622"/>
        <v>0</v>
      </c>
      <c r="R1045" s="14">
        <f t="shared" si="622"/>
        <v>0</v>
      </c>
      <c r="S1045" s="14">
        <f t="shared" si="618"/>
        <v>0</v>
      </c>
      <c r="T1045" s="14">
        <f t="shared" si="622"/>
        <v>0</v>
      </c>
      <c r="U1045" s="14">
        <f t="shared" si="622"/>
        <v>0</v>
      </c>
      <c r="V1045" s="14">
        <f t="shared" si="622"/>
        <v>0</v>
      </c>
      <c r="W1045" s="14">
        <f t="shared" si="622"/>
        <v>0</v>
      </c>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2"/>
      <c r="AX1045" s="14">
        <f>SUM(AX1042:AX1044)</f>
        <v>0</v>
      </c>
      <c r="AY1045" s="14">
        <f>ROUND(AX1045/1000/Update!$B$31*Update!$B$27,0)</f>
        <v>0</v>
      </c>
      <c r="AZ1045" s="2"/>
      <c r="BA1045" s="14">
        <f>SUM(BA1042:BA1044)</f>
        <v>0</v>
      </c>
      <c r="BB1045" s="14">
        <f>ROUND(BA1045/1000/Update!$B$31,0)</f>
        <v>0</v>
      </c>
      <c r="BC1045" s="14"/>
      <c r="BD1045" s="14">
        <f t="shared" si="584"/>
        <v>0</v>
      </c>
      <c r="BE1045" s="14">
        <f t="shared" ref="BE1045:BJ1045" si="623">SUM(BE1042:BE1044)</f>
        <v>0</v>
      </c>
      <c r="BF1045" s="14">
        <f t="shared" si="623"/>
        <v>0</v>
      </c>
      <c r="BG1045" s="14">
        <f t="shared" si="623"/>
        <v>0</v>
      </c>
      <c r="BH1045" s="14">
        <f t="shared" si="623"/>
        <v>0</v>
      </c>
      <c r="BI1045" s="14">
        <f t="shared" si="623"/>
        <v>0</v>
      </c>
      <c r="BJ1045" s="14">
        <f t="shared" si="623"/>
        <v>0</v>
      </c>
      <c r="BK1045" s="14">
        <f t="shared" si="595"/>
        <v>0</v>
      </c>
      <c r="BL1045" s="14"/>
      <c r="BM1045" s="14"/>
      <c r="BN1045" s="14"/>
      <c r="BO1045" s="14"/>
      <c r="BP1045" s="14"/>
      <c r="BQ1045" s="14"/>
      <c r="BR1045" s="14"/>
      <c r="BS1045" s="14"/>
      <c r="BT1045" s="324"/>
      <c r="BU1045" s="14"/>
      <c r="BV1045" s="14"/>
      <c r="BW1045" s="14"/>
      <c r="BX1045" s="14"/>
      <c r="BY1045" s="14"/>
      <c r="BZ1045" s="14"/>
      <c r="CA1045" s="14"/>
      <c r="CB1045" s="14"/>
      <c r="CC1045" s="14"/>
      <c r="CD1045" s="14"/>
      <c r="CE1045" s="14"/>
      <c r="CF1045" s="14"/>
      <c r="CG1045" s="14"/>
      <c r="CH1045" s="14"/>
      <c r="CI1045" s="14"/>
      <c r="CJ1045" s="2"/>
      <c r="CK1045" s="2"/>
      <c r="CM1045" s="1140">
        <v>0</v>
      </c>
      <c r="CN1045" s="1140">
        <v>0</v>
      </c>
      <c r="CP1045" s="923">
        <f t="shared" si="617"/>
        <v>0</v>
      </c>
      <c r="CZ1045" s="330"/>
    </row>
    <row r="1046" spans="1:104" ht="15" customHeight="1" x14ac:dyDescent="0.25">
      <c r="A1046" s="684">
        <f>MAX($A$6:A1045)+1</f>
        <v>1046</v>
      </c>
      <c r="B1046" s="3">
        <f t="shared" si="606"/>
        <v>6.1</v>
      </c>
      <c r="C1046" s="11" t="str">
        <f>C1043</f>
        <v>Consolidated intangible assets 2025-26</v>
      </c>
      <c r="D1046" s="11" t="s">
        <v>453</v>
      </c>
      <c r="E1046" s="7" t="s">
        <v>1409</v>
      </c>
      <c r="F1046" s="7"/>
      <c r="G1046" s="1254" t="s">
        <v>190</v>
      </c>
      <c r="H1046" s="6">
        <v>0</v>
      </c>
      <c r="I1046" s="6">
        <v>0</v>
      </c>
      <c r="J1046" s="1257" t="s">
        <v>190</v>
      </c>
      <c r="K1046" s="251">
        <f>SUMIF('alb Note 6.1 -  Intangibles CY'!$A:$A,$J1046,'alb Note 6.1 -  Intangibles CY'!$G:$G)</f>
        <v>0</v>
      </c>
      <c r="L1046" s="251">
        <f>SUMIF('alb Note 6.1 -  Intangibles CY'!$A:$A,$J1046,'alb Note 6.1 -  Intangibles CY'!$R:$R)</f>
        <v>0</v>
      </c>
      <c r="M1046" s="10"/>
      <c r="N1046" s="273">
        <f t="shared" ref="N1046:N1054" si="624">ROUND(SUM(O1046:S1046)+SUM(W1046:AV1046),0)</f>
        <v>0</v>
      </c>
      <c r="O1046" s="12"/>
      <c r="P1046" s="12"/>
      <c r="Q1046" s="12"/>
      <c r="R1046" s="12"/>
      <c r="S1046" s="6">
        <f t="shared" si="618"/>
        <v>0</v>
      </c>
      <c r="T1046" s="273">
        <f t="shared" ref="T1046:T1054" si="625">ROUND(SUM(U1046:Y1046),0)</f>
        <v>0</v>
      </c>
      <c r="U1046" s="6">
        <f t="shared" ref="U1046:U1054" si="626">SUM(BL1046:BN1046)</f>
        <v>0</v>
      </c>
      <c r="V1046" s="6"/>
      <c r="W1046" s="6">
        <f t="shared" si="621"/>
        <v>0</v>
      </c>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X1046" s="6"/>
      <c r="AY1046" s="6">
        <f>ROUND(AX1046/1000/Update!$B$31*Update!$B$27,0)</f>
        <v>0</v>
      </c>
      <c r="BA1046" s="6"/>
      <c r="BB1046" s="6">
        <f>ROUND(BA1046/1000/Update!$B$31,0)</f>
        <v>0</v>
      </c>
      <c r="BC1046" s="6"/>
      <c r="BD1046" s="29">
        <f t="shared" si="584"/>
        <v>0</v>
      </c>
      <c r="BE1046" s="322"/>
      <c r="BF1046" s="322"/>
      <c r="BG1046" s="322"/>
      <c r="BH1046" s="322"/>
      <c r="BI1046" s="322"/>
      <c r="BJ1046" s="322"/>
      <c r="BK1046" s="29">
        <f t="shared" si="595"/>
        <v>0</v>
      </c>
      <c r="BL1046" s="322"/>
      <c r="BM1046" s="322"/>
      <c r="BN1046" s="322"/>
      <c r="BO1046" s="322"/>
      <c r="BP1046" s="322"/>
      <c r="BQ1046" s="322"/>
      <c r="BR1046" s="322"/>
      <c r="BS1046" s="322"/>
      <c r="BT1046" s="322"/>
      <c r="BU1046" s="322"/>
      <c r="BV1046" s="322"/>
      <c r="BW1046" s="322"/>
      <c r="BX1046" s="322"/>
      <c r="BY1046" s="322"/>
      <c r="BZ1046" s="322"/>
      <c r="CA1046" s="322"/>
      <c r="CB1046" s="322"/>
      <c r="CC1046" s="322"/>
      <c r="CD1046" s="322"/>
      <c r="CE1046" s="322"/>
      <c r="CF1046" s="322"/>
      <c r="CG1046" s="322"/>
      <c r="CH1046" s="322"/>
      <c r="CI1046" s="322"/>
      <c r="CM1046" s="1139">
        <v>0</v>
      </c>
      <c r="CN1046" s="1139">
        <v>0</v>
      </c>
      <c r="CP1046" s="923">
        <f t="shared" si="617"/>
        <v>0</v>
      </c>
      <c r="CZ1046" s="330"/>
    </row>
    <row r="1047" spans="1:104" ht="15" customHeight="1" x14ac:dyDescent="0.25">
      <c r="A1047" s="684">
        <f>MAX($A$6:A1046)+1</f>
        <v>1047</v>
      </c>
      <c r="B1047" s="3">
        <f t="shared" si="606"/>
        <v>6.1</v>
      </c>
      <c r="C1047" s="11" t="str">
        <f t="shared" si="577"/>
        <v>Consolidated intangible assets 2025-26</v>
      </c>
      <c r="D1047" s="11" t="s">
        <v>453</v>
      </c>
      <c r="E1047" s="7" t="s">
        <v>457</v>
      </c>
      <c r="F1047" s="7"/>
      <c r="G1047" s="1254" t="s">
        <v>457</v>
      </c>
      <c r="H1047" s="6">
        <v>0</v>
      </c>
      <c r="I1047" s="6">
        <v>0</v>
      </c>
      <c r="J1047" s="1257" t="s">
        <v>457</v>
      </c>
      <c r="K1047" s="251">
        <f>SUMIF('alb Note 6.1 -  Intangibles CY'!$A:$A,$J1047,'alb Note 6.1 -  Intangibles CY'!$G:$G)</f>
        <v>0</v>
      </c>
      <c r="L1047" s="251">
        <f>SUMIF('alb Note 6.1 -  Intangibles CY'!$A:$A,$J1047,'alb Note 6.1 -  Intangibles CY'!$R:$R)</f>
        <v>0</v>
      </c>
      <c r="M1047" s="10"/>
      <c r="N1047" s="273">
        <f t="shared" si="624"/>
        <v>0</v>
      </c>
      <c r="O1047" s="12"/>
      <c r="P1047" s="12"/>
      <c r="Q1047" s="12"/>
      <c r="R1047" s="12"/>
      <c r="S1047" s="6">
        <f t="shared" si="618"/>
        <v>0</v>
      </c>
      <c r="T1047" s="273">
        <f t="shared" si="625"/>
        <v>0</v>
      </c>
      <c r="U1047" s="6">
        <f t="shared" si="626"/>
        <v>0</v>
      </c>
      <c r="V1047" s="6"/>
      <c r="W1047" s="6">
        <f t="shared" si="621"/>
        <v>0</v>
      </c>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X1047" s="6"/>
      <c r="AY1047" s="6">
        <f>ROUND(AX1047/1000/Update!$B$31*Update!$B$27,0)</f>
        <v>0</v>
      </c>
      <c r="BA1047" s="6"/>
      <c r="BB1047" s="6">
        <f>ROUND(BA1047/1000/Update!$B$31,0)</f>
        <v>0</v>
      </c>
      <c r="BC1047" s="6"/>
      <c r="BD1047" s="29">
        <f t="shared" si="584"/>
        <v>0</v>
      </c>
      <c r="BE1047" s="322"/>
      <c r="BF1047" s="322"/>
      <c r="BG1047" s="322"/>
      <c r="BH1047" s="322"/>
      <c r="BI1047" s="322"/>
      <c r="BJ1047" s="322"/>
      <c r="BK1047" s="29">
        <f t="shared" si="595"/>
        <v>0</v>
      </c>
      <c r="BL1047" s="322"/>
      <c r="BM1047" s="322"/>
      <c r="BN1047" s="322"/>
      <c r="BO1047" s="322"/>
      <c r="BP1047" s="322"/>
      <c r="BQ1047" s="322"/>
      <c r="BR1047" s="322"/>
      <c r="BS1047" s="322"/>
      <c r="BT1047" s="322"/>
      <c r="BU1047" s="322"/>
      <c r="BV1047" s="322"/>
      <c r="BW1047" s="322"/>
      <c r="BX1047" s="322"/>
      <c r="BY1047" s="322"/>
      <c r="BZ1047" s="322"/>
      <c r="CA1047" s="322"/>
      <c r="CB1047" s="322"/>
      <c r="CC1047" s="322"/>
      <c r="CD1047" s="322"/>
      <c r="CE1047" s="322"/>
      <c r="CF1047" s="322"/>
      <c r="CG1047" s="322"/>
      <c r="CH1047" s="322"/>
      <c r="CI1047" s="322"/>
      <c r="CM1047" s="1139">
        <v>0</v>
      </c>
      <c r="CN1047" s="1139">
        <v>0</v>
      </c>
      <c r="CP1047" s="923">
        <f t="shared" si="617"/>
        <v>0</v>
      </c>
      <c r="CZ1047" s="330"/>
    </row>
    <row r="1048" spans="1:104" ht="15" customHeight="1" x14ac:dyDescent="0.25">
      <c r="A1048" s="684">
        <f>MAX($A$6:A1047)+1</f>
        <v>1048</v>
      </c>
      <c r="B1048" s="3">
        <f t="shared" si="606"/>
        <v>6.1</v>
      </c>
      <c r="C1048" s="11" t="str">
        <f t="shared" si="577"/>
        <v>Consolidated intangible assets 2025-26</v>
      </c>
      <c r="D1048" s="11" t="s">
        <v>453</v>
      </c>
      <c r="E1048" s="7" t="s">
        <v>863</v>
      </c>
      <c r="F1048" s="7"/>
      <c r="G1048" s="1254" t="s">
        <v>186</v>
      </c>
      <c r="H1048" s="6">
        <v>0</v>
      </c>
      <c r="I1048" s="6">
        <v>0</v>
      </c>
      <c r="J1048" s="1257" t="s">
        <v>863</v>
      </c>
      <c r="K1048" s="251">
        <f>SUMIF('alb Note 6.1 -  Intangibles CY'!$A:$A,$J1048,'alb Note 6.1 -  Intangibles CY'!$G:$G)</f>
        <v>0</v>
      </c>
      <c r="L1048" s="251">
        <f>SUMIF('alb Note 6.1 -  Intangibles CY'!$A:$A,$J1048,'alb Note 6.1 -  Intangibles CY'!$R:$R)</f>
        <v>0</v>
      </c>
      <c r="M1048" s="10"/>
      <c r="N1048" s="273">
        <f t="shared" si="624"/>
        <v>0</v>
      </c>
      <c r="O1048" s="12"/>
      <c r="P1048" s="12"/>
      <c r="Q1048" s="12"/>
      <c r="R1048" s="12"/>
      <c r="S1048" s="6">
        <f t="shared" si="618"/>
        <v>0</v>
      </c>
      <c r="T1048" s="273">
        <f t="shared" si="625"/>
        <v>0</v>
      </c>
      <c r="U1048" s="6">
        <f t="shared" si="626"/>
        <v>0</v>
      </c>
      <c r="V1048" s="6"/>
      <c r="W1048" s="6">
        <f t="shared" si="621"/>
        <v>0</v>
      </c>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X1048" s="6"/>
      <c r="AY1048" s="6">
        <f>ROUND(AX1048/1000/Update!$B$31*Update!$B$27,0)</f>
        <v>0</v>
      </c>
      <c r="BA1048" s="6"/>
      <c r="BB1048" s="6">
        <f>ROUND(BA1048/1000/Update!$B$31,0)</f>
        <v>0</v>
      </c>
      <c r="BC1048" s="6"/>
      <c r="BD1048" s="29">
        <f t="shared" si="584"/>
        <v>0</v>
      </c>
      <c r="BE1048" s="322"/>
      <c r="BF1048" s="322"/>
      <c r="BG1048" s="322"/>
      <c r="BH1048" s="322"/>
      <c r="BI1048" s="322"/>
      <c r="BJ1048" s="322"/>
      <c r="BK1048" s="29">
        <f t="shared" si="595"/>
        <v>0</v>
      </c>
      <c r="BL1048" s="322"/>
      <c r="BM1048" s="322"/>
      <c r="BN1048" s="322"/>
      <c r="BO1048" s="322"/>
      <c r="BP1048" s="322"/>
      <c r="BQ1048" s="322"/>
      <c r="BR1048" s="322"/>
      <c r="BS1048" s="322"/>
      <c r="BT1048" s="322"/>
      <c r="BU1048" s="322"/>
      <c r="BV1048" s="322"/>
      <c r="BW1048" s="322"/>
      <c r="BX1048" s="322"/>
      <c r="BY1048" s="322"/>
      <c r="BZ1048" s="322"/>
      <c r="CA1048" s="322"/>
      <c r="CB1048" s="322"/>
      <c r="CC1048" s="322"/>
      <c r="CD1048" s="322"/>
      <c r="CE1048" s="322"/>
      <c r="CF1048" s="322"/>
      <c r="CG1048" s="322"/>
      <c r="CH1048" s="322"/>
      <c r="CI1048" s="322"/>
      <c r="CM1048" s="1139">
        <v>0</v>
      </c>
      <c r="CN1048" s="1139">
        <v>0</v>
      </c>
      <c r="CP1048" s="923">
        <f t="shared" si="617"/>
        <v>0</v>
      </c>
      <c r="CZ1048" s="330"/>
    </row>
    <row r="1049" spans="1:104" ht="15" customHeight="1" x14ac:dyDescent="0.25">
      <c r="A1049" s="684">
        <f>MAX($A$6:A1048)+1</f>
        <v>1049</v>
      </c>
      <c r="B1049" s="3">
        <f t="shared" si="606"/>
        <v>6.1</v>
      </c>
      <c r="C1049" s="11" t="str">
        <f>C1048</f>
        <v>Consolidated intangible assets 2025-26</v>
      </c>
      <c r="D1049" s="11" t="str">
        <f>D1048</f>
        <v>Patents</v>
      </c>
      <c r="E1049" s="7" t="s">
        <v>867</v>
      </c>
      <c r="F1049" s="7"/>
      <c r="G1049" s="1257" t="s">
        <v>187</v>
      </c>
      <c r="H1049" s="6">
        <v>0</v>
      </c>
      <c r="I1049" s="6">
        <v>0</v>
      </c>
      <c r="J1049" s="1257" t="s">
        <v>867</v>
      </c>
      <c r="K1049" s="251">
        <f>SUMIF('alb Note 6.1 -  Intangibles CY'!$A:$A,$J1049,'alb Note 6.1 -  Intangibles CY'!$G:$G)</f>
        <v>0</v>
      </c>
      <c r="L1049" s="251">
        <f>SUMIF('alb Note 6.1 -  Intangibles CY'!$A:$A,$J1049,'alb Note 6.1 -  Intangibles CY'!$R:$R)</f>
        <v>0</v>
      </c>
      <c r="M1049" s="10"/>
      <c r="N1049" s="273">
        <f t="shared" si="624"/>
        <v>0</v>
      </c>
      <c r="O1049" s="12"/>
      <c r="P1049" s="12"/>
      <c r="Q1049" s="12"/>
      <c r="R1049" s="12"/>
      <c r="S1049" s="6">
        <f t="shared" si="618"/>
        <v>0</v>
      </c>
      <c r="T1049" s="273">
        <f t="shared" si="625"/>
        <v>0</v>
      </c>
      <c r="U1049" s="6">
        <f t="shared" si="626"/>
        <v>0</v>
      </c>
      <c r="V1049" s="6"/>
      <c r="W1049" s="6">
        <f t="shared" si="621"/>
        <v>0</v>
      </c>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X1049" s="6"/>
      <c r="AY1049" s="6">
        <f>ROUND(AX1049/1000/Update!$B$31*Update!$B$27,0)</f>
        <v>0</v>
      </c>
      <c r="BA1049" s="6"/>
      <c r="BB1049" s="6">
        <f>ROUND(BA1049/1000/Update!$B$31,0)</f>
        <v>0</v>
      </c>
      <c r="BC1049" s="6"/>
      <c r="BD1049" s="29">
        <f t="shared" si="584"/>
        <v>0</v>
      </c>
      <c r="BE1049" s="322"/>
      <c r="BF1049" s="322"/>
      <c r="BG1049" s="322"/>
      <c r="BH1049" s="322"/>
      <c r="BI1049" s="322"/>
      <c r="BJ1049" s="322"/>
      <c r="BK1049" s="29">
        <f t="shared" si="595"/>
        <v>0</v>
      </c>
      <c r="BL1049" s="322"/>
      <c r="BM1049" s="322"/>
      <c r="BN1049" s="322"/>
      <c r="BO1049" s="322"/>
      <c r="BP1049" s="322"/>
      <c r="BQ1049" s="322"/>
      <c r="BR1049" s="322"/>
      <c r="BS1049" s="322"/>
      <c r="BT1049" s="322"/>
      <c r="BU1049" s="322"/>
      <c r="BV1049" s="322"/>
      <c r="BW1049" s="322"/>
      <c r="BX1049" s="322"/>
      <c r="BY1049" s="322"/>
      <c r="BZ1049" s="322"/>
      <c r="CA1049" s="322"/>
      <c r="CB1049" s="322"/>
      <c r="CC1049" s="322"/>
      <c r="CD1049" s="322"/>
      <c r="CE1049" s="322"/>
      <c r="CF1049" s="322"/>
      <c r="CG1049" s="322"/>
      <c r="CH1049" s="322"/>
      <c r="CI1049" s="322"/>
      <c r="CM1049" s="1139">
        <v>0</v>
      </c>
      <c r="CN1049" s="1139">
        <v>0</v>
      </c>
      <c r="CP1049" s="923">
        <f t="shared" si="617"/>
        <v>0</v>
      </c>
      <c r="CZ1049" s="330"/>
    </row>
    <row r="1050" spans="1:104" ht="15" customHeight="1" x14ac:dyDescent="0.25">
      <c r="A1050" s="684">
        <f>MAX($A$6:A1049)+1</f>
        <v>1050</v>
      </c>
      <c r="B1050" s="3">
        <f t="shared" si="606"/>
        <v>6.1</v>
      </c>
      <c r="C1050" s="11" t="str">
        <f>C1048</f>
        <v>Consolidated intangible assets 2025-26</v>
      </c>
      <c r="D1050" s="11" t="s">
        <v>453</v>
      </c>
      <c r="E1050" s="7" t="s">
        <v>875</v>
      </c>
      <c r="F1050" s="7"/>
      <c r="G1050" s="1254" t="s">
        <v>210</v>
      </c>
      <c r="H1050" s="6">
        <v>0</v>
      </c>
      <c r="I1050" s="6">
        <v>0</v>
      </c>
      <c r="J1050" s="1257" t="s">
        <v>875</v>
      </c>
      <c r="K1050" s="251">
        <f>SUMIF('alb Note 6.1 -  Intangibles CY'!$A:$A,$J1050,'alb Note 6.1 -  Intangibles CY'!$G:$G)</f>
        <v>0</v>
      </c>
      <c r="L1050" s="251">
        <f>SUMIF('alb Note 6.1 -  Intangibles CY'!$A:$A,$J1050,'alb Note 6.1 -  Intangibles CY'!$R:$R)</f>
        <v>0</v>
      </c>
      <c r="M1050" s="10"/>
      <c r="N1050" s="273">
        <f t="shared" si="624"/>
        <v>0</v>
      </c>
      <c r="O1050" s="12"/>
      <c r="P1050" s="12"/>
      <c r="Q1050" s="12"/>
      <c r="R1050" s="12"/>
      <c r="S1050" s="6">
        <f t="shared" si="618"/>
        <v>0</v>
      </c>
      <c r="T1050" s="273">
        <f t="shared" si="625"/>
        <v>0</v>
      </c>
      <c r="U1050" s="6">
        <f t="shared" si="626"/>
        <v>0</v>
      </c>
      <c r="V1050" s="6"/>
      <c r="W1050" s="6">
        <f t="shared" si="621"/>
        <v>0</v>
      </c>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X1050" s="6"/>
      <c r="AY1050" s="6">
        <f>ROUND(AX1050/1000/Update!$B$31*Update!$B$27,0)</f>
        <v>0</v>
      </c>
      <c r="BA1050" s="6"/>
      <c r="BB1050" s="6">
        <f>ROUND(BA1050/1000/Update!$B$31,0)</f>
        <v>0</v>
      </c>
      <c r="BC1050" s="6"/>
      <c r="BD1050" s="29">
        <f t="shared" si="584"/>
        <v>0</v>
      </c>
      <c r="BE1050" s="322"/>
      <c r="BF1050" s="322"/>
      <c r="BG1050" s="322"/>
      <c r="BH1050" s="322"/>
      <c r="BI1050" s="322"/>
      <c r="BJ1050" s="322"/>
      <c r="BK1050" s="29">
        <f t="shared" si="595"/>
        <v>0</v>
      </c>
      <c r="BL1050" s="322"/>
      <c r="BM1050" s="322"/>
      <c r="BN1050" s="322"/>
      <c r="BO1050" s="322"/>
      <c r="BP1050" s="322"/>
      <c r="BQ1050" s="322"/>
      <c r="BR1050" s="322"/>
      <c r="BS1050" s="322"/>
      <c r="BT1050" s="322"/>
      <c r="BU1050" s="322"/>
      <c r="BV1050" s="322"/>
      <c r="BW1050" s="322"/>
      <c r="BX1050" s="322"/>
      <c r="BY1050" s="322"/>
      <c r="BZ1050" s="322"/>
      <c r="CA1050" s="322"/>
      <c r="CB1050" s="322"/>
      <c r="CC1050" s="322"/>
      <c r="CD1050" s="322"/>
      <c r="CE1050" s="322"/>
      <c r="CF1050" s="322"/>
      <c r="CG1050" s="322"/>
      <c r="CH1050" s="322"/>
      <c r="CI1050" s="322"/>
      <c r="CM1050" s="1139">
        <v>0</v>
      </c>
      <c r="CN1050" s="1139">
        <v>0</v>
      </c>
      <c r="CP1050" s="923">
        <f t="shared" si="617"/>
        <v>0</v>
      </c>
      <c r="CZ1050" s="330"/>
    </row>
    <row r="1051" spans="1:104" ht="30" customHeight="1" x14ac:dyDescent="0.25">
      <c r="A1051" s="684">
        <f>MAX($A$6:A1050)+1</f>
        <v>1051</v>
      </c>
      <c r="B1051" s="3">
        <f t="shared" si="606"/>
        <v>6.1</v>
      </c>
      <c r="C1051" s="11" t="str">
        <f t="shared" si="577"/>
        <v>Consolidated intangible assets 2025-26</v>
      </c>
      <c r="D1051" s="11" t="s">
        <v>453</v>
      </c>
      <c r="E1051" s="7" t="s">
        <v>1415</v>
      </c>
      <c r="F1051" s="7"/>
      <c r="G1051" s="1254" t="s">
        <v>438</v>
      </c>
      <c r="H1051" s="6">
        <v>0</v>
      </c>
      <c r="I1051" s="6">
        <v>0</v>
      </c>
      <c r="J1051" s="1257" t="s">
        <v>864</v>
      </c>
      <c r="K1051" s="251">
        <f>SUMIF('alb Note 6.1 -  Intangibles CY'!$A:$A,$J1051,'alb Note 6.1 -  Intangibles CY'!$G:$G)</f>
        <v>0</v>
      </c>
      <c r="L1051" s="251">
        <f>SUMIF('alb Note 6.1 -  Intangibles CY'!$A:$A,$J1051,'alb Note 6.1 -  Intangibles CY'!$R:$R)</f>
        <v>0</v>
      </c>
      <c r="M1051" s="10"/>
      <c r="N1051" s="273">
        <f t="shared" si="624"/>
        <v>0</v>
      </c>
      <c r="O1051" s="12"/>
      <c r="P1051" s="12"/>
      <c r="Q1051" s="12"/>
      <c r="R1051" s="12"/>
      <c r="S1051" s="6">
        <f t="shared" si="618"/>
        <v>0</v>
      </c>
      <c r="T1051" s="273">
        <f t="shared" si="625"/>
        <v>0</v>
      </c>
      <c r="U1051" s="6">
        <f t="shared" si="626"/>
        <v>0</v>
      </c>
      <c r="V1051" s="6"/>
      <c r="W1051" s="6">
        <f t="shared" si="621"/>
        <v>0</v>
      </c>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X1051" s="6"/>
      <c r="AY1051" s="6">
        <f>ROUND(AX1051/1000/Update!$B$31*Update!$B$27,0)</f>
        <v>0</v>
      </c>
      <c r="BA1051" s="6"/>
      <c r="BB1051" s="6">
        <f>ROUND(BA1051/1000/Update!$B$31,0)</f>
        <v>0</v>
      </c>
      <c r="BC1051" s="6"/>
      <c r="BD1051" s="29">
        <f t="shared" si="584"/>
        <v>0</v>
      </c>
      <c r="BE1051" s="322"/>
      <c r="BF1051" s="322"/>
      <c r="BG1051" s="322"/>
      <c r="BH1051" s="322"/>
      <c r="BI1051" s="322"/>
      <c r="BJ1051" s="322"/>
      <c r="BK1051" s="29">
        <f t="shared" si="595"/>
        <v>0</v>
      </c>
      <c r="BL1051" s="322"/>
      <c r="BM1051" s="322"/>
      <c r="BN1051" s="322"/>
      <c r="BO1051" s="322"/>
      <c r="BP1051" s="322"/>
      <c r="BQ1051" s="322"/>
      <c r="BR1051" s="322"/>
      <c r="BS1051" s="322"/>
      <c r="BT1051" s="322"/>
      <c r="BU1051" s="322"/>
      <c r="BV1051" s="322"/>
      <c r="BW1051" s="322"/>
      <c r="BX1051" s="322"/>
      <c r="BY1051" s="322"/>
      <c r="BZ1051" s="322"/>
      <c r="CA1051" s="322"/>
      <c r="CB1051" s="322"/>
      <c r="CC1051" s="322"/>
      <c r="CD1051" s="322"/>
      <c r="CE1051" s="322"/>
      <c r="CF1051" s="322"/>
      <c r="CG1051" s="322"/>
      <c r="CH1051" s="322"/>
      <c r="CI1051" s="322"/>
      <c r="CM1051" s="1139">
        <v>0</v>
      </c>
      <c r="CN1051" s="1139">
        <v>0</v>
      </c>
      <c r="CP1051" s="923">
        <f t="shared" si="617"/>
        <v>0</v>
      </c>
      <c r="CZ1051" s="330"/>
    </row>
    <row r="1052" spans="1:104" ht="51" customHeight="1" x14ac:dyDescent="0.25">
      <c r="A1052" s="684">
        <f>MAX($A$6:A1051)+1</f>
        <v>1052</v>
      </c>
      <c r="B1052" s="3">
        <f t="shared" si="606"/>
        <v>6.1</v>
      </c>
      <c r="C1052" s="11" t="str">
        <f t="shared" si="577"/>
        <v>Consolidated intangible assets 2025-26</v>
      </c>
      <c r="D1052" s="11" t="s">
        <v>453</v>
      </c>
      <c r="E1052" s="7" t="s">
        <v>1410</v>
      </c>
      <c r="F1052" s="7"/>
      <c r="G1052" s="1254" t="s">
        <v>193</v>
      </c>
      <c r="H1052" s="6">
        <v>0</v>
      </c>
      <c r="I1052" s="6">
        <v>0</v>
      </c>
      <c r="J1052" s="1257" t="s">
        <v>865</v>
      </c>
      <c r="K1052" s="251">
        <f>SUMIF('alb Note 6.1 -  Intangibles CY'!$A:$A,$J1052,'alb Note 6.1 -  Intangibles CY'!$G:$G)</f>
        <v>0</v>
      </c>
      <c r="L1052" s="251">
        <f>SUMIF('alb Note 6.1 -  Intangibles CY'!$A:$A,$J1052,'alb Note 6.1 -  Intangibles CY'!$R:$R)</f>
        <v>0</v>
      </c>
      <c r="M1052" s="10"/>
      <c r="N1052" s="273">
        <f t="shared" si="624"/>
        <v>0</v>
      </c>
      <c r="O1052" s="12"/>
      <c r="P1052" s="12"/>
      <c r="Q1052" s="12"/>
      <c r="R1052" s="12"/>
      <c r="S1052" s="6">
        <f t="shared" si="618"/>
        <v>0</v>
      </c>
      <c r="T1052" s="273">
        <f t="shared" si="625"/>
        <v>0</v>
      </c>
      <c r="U1052" s="6">
        <f t="shared" si="626"/>
        <v>0</v>
      </c>
      <c r="V1052" s="6"/>
      <c r="W1052" s="6">
        <f t="shared" si="621"/>
        <v>0</v>
      </c>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X1052" s="6"/>
      <c r="AY1052" s="6">
        <f>ROUND(AX1052/1000/Update!$B$31*Update!$B$27,0)</f>
        <v>0</v>
      </c>
      <c r="BA1052" s="6"/>
      <c r="BB1052" s="6">
        <f>ROUND(BA1052/1000/Update!$B$31,0)</f>
        <v>0</v>
      </c>
      <c r="BC1052" s="6"/>
      <c r="BD1052" s="29">
        <f t="shared" si="584"/>
        <v>0</v>
      </c>
      <c r="BE1052" s="322"/>
      <c r="BF1052" s="322"/>
      <c r="BG1052" s="322"/>
      <c r="BH1052" s="322"/>
      <c r="BI1052" s="322"/>
      <c r="BJ1052" s="322"/>
      <c r="BK1052" s="29">
        <f t="shared" si="595"/>
        <v>0</v>
      </c>
      <c r="BL1052" s="322"/>
      <c r="BM1052" s="322"/>
      <c r="BN1052" s="322"/>
      <c r="BO1052" s="322"/>
      <c r="BP1052" s="322"/>
      <c r="BQ1052" s="322"/>
      <c r="BR1052" s="322"/>
      <c r="BS1052" s="322"/>
      <c r="BT1052" s="322"/>
      <c r="BU1052" s="322"/>
      <c r="BV1052" s="322"/>
      <c r="BW1052" s="322"/>
      <c r="BX1052" s="322"/>
      <c r="BY1052" s="322"/>
      <c r="BZ1052" s="322"/>
      <c r="CA1052" s="322"/>
      <c r="CB1052" s="322"/>
      <c r="CC1052" s="322"/>
      <c r="CD1052" s="322"/>
      <c r="CE1052" s="322"/>
      <c r="CF1052" s="322"/>
      <c r="CG1052" s="322"/>
      <c r="CH1052" s="322"/>
      <c r="CI1052" s="322"/>
      <c r="CM1052" s="1139">
        <v>0</v>
      </c>
      <c r="CN1052" s="1139">
        <v>0</v>
      </c>
      <c r="CP1052" s="923">
        <f t="shared" si="617"/>
        <v>0</v>
      </c>
      <c r="CZ1052" s="330"/>
    </row>
    <row r="1053" spans="1:104" ht="15" customHeight="1" x14ac:dyDescent="0.25">
      <c r="A1053" s="684">
        <f>MAX($A$6:A1052)+1</f>
        <v>1053</v>
      </c>
      <c r="B1053" s="3">
        <f t="shared" si="606"/>
        <v>6.1</v>
      </c>
      <c r="C1053" s="11" t="str">
        <f t="shared" si="577"/>
        <v>Consolidated intangible assets 2025-26</v>
      </c>
      <c r="D1053" s="11" t="str">
        <f>D1052</f>
        <v>Patents</v>
      </c>
      <c r="E1053" s="7" t="s">
        <v>868</v>
      </c>
      <c r="F1053" s="7"/>
      <c r="G1053" s="1254" t="s">
        <v>188</v>
      </c>
      <c r="H1053" s="6">
        <v>0</v>
      </c>
      <c r="I1053" s="6">
        <v>0</v>
      </c>
      <c r="J1053" s="1257" t="s">
        <v>868</v>
      </c>
      <c r="K1053" s="251">
        <f>SUMIF('alb Note 6.1 -  Intangibles CY'!$A:$A,$J1053,'alb Note 6.1 -  Intangibles CY'!$G:$G)</f>
        <v>0</v>
      </c>
      <c r="L1053" s="251">
        <f>SUMIF('alb Note 6.1 -  Intangibles CY'!$A:$A,$J1053,'alb Note 6.1 -  Intangibles CY'!$R:$R)</f>
        <v>0</v>
      </c>
      <c r="M1053" s="10"/>
      <c r="N1053" s="273">
        <f t="shared" si="624"/>
        <v>0</v>
      </c>
      <c r="O1053" s="12"/>
      <c r="P1053" s="12"/>
      <c r="Q1053" s="12"/>
      <c r="R1053" s="12"/>
      <c r="S1053" s="6">
        <f t="shared" si="618"/>
        <v>0</v>
      </c>
      <c r="T1053" s="273">
        <f t="shared" si="625"/>
        <v>0</v>
      </c>
      <c r="U1053" s="6">
        <f t="shared" si="626"/>
        <v>0</v>
      </c>
      <c r="V1053" s="6"/>
      <c r="W1053" s="6">
        <f t="shared" si="621"/>
        <v>0</v>
      </c>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X1053" s="6"/>
      <c r="AY1053" s="6">
        <f>ROUND(AX1053/1000/Update!$B$31*Update!$B$27,0)</f>
        <v>0</v>
      </c>
      <c r="BA1053" s="6"/>
      <c r="BB1053" s="6">
        <f>ROUND(BA1053/1000/Update!$B$31,0)</f>
        <v>0</v>
      </c>
      <c r="BC1053" s="6"/>
      <c r="BD1053" s="29">
        <f t="shared" si="584"/>
        <v>0</v>
      </c>
      <c r="BE1053" s="322"/>
      <c r="BF1053" s="322"/>
      <c r="BG1053" s="322"/>
      <c r="BH1053" s="322"/>
      <c r="BI1053" s="322"/>
      <c r="BJ1053" s="322"/>
      <c r="BK1053" s="29">
        <f t="shared" si="595"/>
        <v>0</v>
      </c>
      <c r="BL1053" s="322"/>
      <c r="BM1053" s="322"/>
      <c r="BN1053" s="322"/>
      <c r="BO1053" s="322"/>
      <c r="BP1053" s="322"/>
      <c r="BQ1053" s="322"/>
      <c r="BR1053" s="322"/>
      <c r="BS1053" s="322"/>
      <c r="BT1053" s="322"/>
      <c r="BU1053" s="322"/>
      <c r="BV1053" s="322"/>
      <c r="BW1053" s="322"/>
      <c r="BX1053" s="322"/>
      <c r="BY1053" s="322"/>
      <c r="BZ1053" s="322"/>
      <c r="CA1053" s="322"/>
      <c r="CB1053" s="322"/>
      <c r="CC1053" s="322"/>
      <c r="CD1053" s="322"/>
      <c r="CE1053" s="322"/>
      <c r="CF1053" s="322"/>
      <c r="CG1053" s="322"/>
      <c r="CH1053" s="322"/>
      <c r="CI1053" s="322"/>
      <c r="CM1053" s="1139">
        <v>0</v>
      </c>
      <c r="CN1053" s="1139">
        <v>0</v>
      </c>
      <c r="CP1053" s="923">
        <f t="shared" si="617"/>
        <v>0</v>
      </c>
      <c r="CZ1053" s="330"/>
    </row>
    <row r="1054" spans="1:104" ht="15" customHeight="1" x14ac:dyDescent="0.25">
      <c r="A1054" s="684">
        <f>MAX($A$6:A1053)+1</f>
        <v>1054</v>
      </c>
      <c r="B1054" s="3">
        <f t="shared" si="606"/>
        <v>6.1</v>
      </c>
      <c r="C1054" s="11" t="str">
        <f>C1052</f>
        <v>Consolidated intangible assets 2025-26</v>
      </c>
      <c r="D1054" s="11" t="s">
        <v>453</v>
      </c>
      <c r="E1054" s="7" t="s">
        <v>1416</v>
      </c>
      <c r="F1054" s="7"/>
      <c r="G1054" s="1254" t="s">
        <v>189</v>
      </c>
      <c r="H1054" s="6">
        <v>0</v>
      </c>
      <c r="I1054" s="6">
        <v>0</v>
      </c>
      <c r="J1054" s="1257" t="s">
        <v>870</v>
      </c>
      <c r="K1054" s="251">
        <f>SUMIF('alb Note 6.1 -  Intangibles CY'!$A:$A,$J1054,'alb Note 6.1 -  Intangibles CY'!$G:$G)</f>
        <v>0</v>
      </c>
      <c r="L1054" s="251">
        <f>SUMIF('alb Note 6.1 -  Intangibles CY'!$A:$A,$J1054,'alb Note 6.1 -  Intangibles CY'!$R:$R)</f>
        <v>0</v>
      </c>
      <c r="M1054" s="10"/>
      <c r="N1054" s="273">
        <f t="shared" si="624"/>
        <v>0</v>
      </c>
      <c r="O1054" s="12"/>
      <c r="P1054" s="12"/>
      <c r="Q1054" s="12"/>
      <c r="R1054" s="12"/>
      <c r="S1054" s="6">
        <f t="shared" si="618"/>
        <v>0</v>
      </c>
      <c r="T1054" s="273">
        <f t="shared" si="625"/>
        <v>0</v>
      </c>
      <c r="U1054" s="6">
        <f t="shared" si="626"/>
        <v>0</v>
      </c>
      <c r="V1054" s="6"/>
      <c r="W1054" s="6">
        <f t="shared" si="621"/>
        <v>0</v>
      </c>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X1054" s="6"/>
      <c r="AY1054" s="6">
        <f>ROUND(AX1054/1000/Update!$B$31*Update!$B$27,0)</f>
        <v>0</v>
      </c>
      <c r="BA1054" s="6"/>
      <c r="BB1054" s="6">
        <f>ROUND(BA1054/1000/Update!$B$31,0)</f>
        <v>0</v>
      </c>
      <c r="BC1054" s="6"/>
      <c r="BD1054" s="29">
        <f t="shared" si="584"/>
        <v>0</v>
      </c>
      <c r="BE1054" s="322"/>
      <c r="BF1054" s="322"/>
      <c r="BG1054" s="322"/>
      <c r="BH1054" s="322"/>
      <c r="BI1054" s="322"/>
      <c r="BJ1054" s="322"/>
      <c r="BK1054" s="29">
        <f t="shared" si="595"/>
        <v>0</v>
      </c>
      <c r="BL1054" s="322"/>
      <c r="BM1054" s="322"/>
      <c r="BN1054" s="322"/>
      <c r="BO1054" s="322"/>
      <c r="BP1054" s="322"/>
      <c r="BQ1054" s="322"/>
      <c r="BR1054" s="322"/>
      <c r="BS1054" s="322"/>
      <c r="BT1054" s="322"/>
      <c r="BU1054" s="322"/>
      <c r="BV1054" s="322"/>
      <c r="BW1054" s="322"/>
      <c r="BX1054" s="322"/>
      <c r="BY1054" s="322"/>
      <c r="BZ1054" s="322"/>
      <c r="CA1054" s="322"/>
      <c r="CB1054" s="322"/>
      <c r="CC1054" s="322"/>
      <c r="CD1054" s="322"/>
      <c r="CE1054" s="322"/>
      <c r="CF1054" s="322"/>
      <c r="CG1054" s="322"/>
      <c r="CH1054" s="322"/>
      <c r="CI1054" s="322"/>
      <c r="CM1054" s="1139">
        <v>0</v>
      </c>
      <c r="CN1054" s="1139">
        <v>0</v>
      </c>
      <c r="CP1054" s="923">
        <f t="shared" si="617"/>
        <v>0</v>
      </c>
      <c r="CZ1054" s="330"/>
    </row>
    <row r="1055" spans="1:104" ht="15" customHeight="1" x14ac:dyDescent="0.25">
      <c r="A1055" s="701">
        <f>MAX($A$6:A1054)+1</f>
        <v>1055</v>
      </c>
      <c r="B1055" s="1291">
        <f t="shared" si="606"/>
        <v>6.1</v>
      </c>
      <c r="C1055" s="18" t="str">
        <f t="shared" si="577"/>
        <v>Consolidated intangible assets 2025-26</v>
      </c>
      <c r="D1055" s="18" t="s">
        <v>453</v>
      </c>
      <c r="E1055" s="19" t="str">
        <f>"At"&amp;Update!$B$22</f>
        <v>At 31 March 2026</v>
      </c>
      <c r="F1055" s="20"/>
      <c r="G1055" s="28"/>
      <c r="H1055" s="14">
        <f>SUM(H1045:H1054)</f>
        <v>0</v>
      </c>
      <c r="I1055" s="14">
        <f>SUM(I1045:I1054)</f>
        <v>0</v>
      </c>
      <c r="J1055" s="1258" t="s">
        <v>2492</v>
      </c>
      <c r="K1055" s="256">
        <f>SUM(K1045:K1054)</f>
        <v>0</v>
      </c>
      <c r="L1055" s="256">
        <f>SUM(L1045:L1054)</f>
        <v>0</v>
      </c>
      <c r="M1055" s="21"/>
      <c r="N1055" s="14">
        <f>ROUND(SUM(O1055:S1055)+T1055+SUM(Z1055:AV1055),0)</f>
        <v>0</v>
      </c>
      <c r="O1055" s="14">
        <f t="shared" ref="O1055:V1055" si="627">SUM(O1045:O1054)</f>
        <v>0</v>
      </c>
      <c r="P1055" s="14">
        <f t="shared" si="627"/>
        <v>0</v>
      </c>
      <c r="Q1055" s="14">
        <f t="shared" si="627"/>
        <v>0</v>
      </c>
      <c r="R1055" s="14">
        <f t="shared" si="627"/>
        <v>0</v>
      </c>
      <c r="S1055" s="14">
        <f t="shared" si="618"/>
        <v>0</v>
      </c>
      <c r="T1055" s="14">
        <f t="shared" si="627"/>
        <v>0</v>
      </c>
      <c r="U1055" s="14">
        <f t="shared" si="627"/>
        <v>0</v>
      </c>
      <c r="V1055" s="14">
        <f t="shared" si="627"/>
        <v>0</v>
      </c>
      <c r="W1055" s="14">
        <f>SUM(W1045:W1054)</f>
        <v>0</v>
      </c>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2"/>
      <c r="AX1055" s="14">
        <f>SUM(AX1045:AX1054)</f>
        <v>0</v>
      </c>
      <c r="AY1055" s="14">
        <f>ROUND(AX1055/1000/Update!$B$31*Update!$B$27,0)</f>
        <v>0</v>
      </c>
      <c r="AZ1055" s="2"/>
      <c r="BA1055" s="14">
        <f>SUM(BA1045:BA1054)</f>
        <v>0</v>
      </c>
      <c r="BB1055" s="14">
        <f>ROUND(BA1055/1000/Update!$B$31,0)</f>
        <v>0</v>
      </c>
      <c r="BC1055" s="14"/>
      <c r="BD1055" s="14">
        <f t="shared" ref="BD1055:BD1120" si="628">ROUND(SUM(BE1055:BK1055),0)</f>
        <v>0</v>
      </c>
      <c r="BE1055" s="14">
        <f t="shared" ref="BE1055:BJ1055" si="629">SUM(BE1045:BE1054)</f>
        <v>0</v>
      </c>
      <c r="BF1055" s="14">
        <f t="shared" si="629"/>
        <v>0</v>
      </c>
      <c r="BG1055" s="14">
        <f t="shared" si="629"/>
        <v>0</v>
      </c>
      <c r="BH1055" s="14">
        <f t="shared" si="629"/>
        <v>0</v>
      </c>
      <c r="BI1055" s="14">
        <f t="shared" si="629"/>
        <v>0</v>
      </c>
      <c r="BJ1055" s="14">
        <f t="shared" si="629"/>
        <v>0</v>
      </c>
      <c r="BK1055" s="14">
        <f t="shared" si="595"/>
        <v>0</v>
      </c>
      <c r="BL1055" s="14"/>
      <c r="BM1055" s="14"/>
      <c r="BN1055" s="14"/>
      <c r="BO1055" s="14"/>
      <c r="BP1055" s="14"/>
      <c r="BQ1055" s="14"/>
      <c r="BR1055" s="14"/>
      <c r="BS1055" s="14"/>
      <c r="BT1055" s="324"/>
      <c r="BU1055" s="14"/>
      <c r="BV1055" s="14"/>
      <c r="BW1055" s="14"/>
      <c r="BX1055" s="14"/>
      <c r="BY1055" s="14"/>
      <c r="BZ1055" s="14"/>
      <c r="CA1055" s="14"/>
      <c r="CB1055" s="14"/>
      <c r="CC1055" s="14"/>
      <c r="CD1055" s="14"/>
      <c r="CE1055" s="14"/>
      <c r="CF1055" s="14"/>
      <c r="CG1055" s="14"/>
      <c r="CH1055" s="14"/>
      <c r="CI1055" s="14"/>
      <c r="CJ1055" s="2"/>
      <c r="CK1055" s="2"/>
      <c r="CM1055" s="1140">
        <v>0</v>
      </c>
      <c r="CN1055" s="1140">
        <v>0</v>
      </c>
      <c r="CP1055" s="923">
        <f t="shared" si="617"/>
        <v>0</v>
      </c>
      <c r="CZ1055" s="330"/>
    </row>
    <row r="1056" spans="1:104" ht="15" customHeight="1" x14ac:dyDescent="0.25">
      <c r="A1056" s="701">
        <f>MAX($A$6:A1055)+1</f>
        <v>1056</v>
      </c>
      <c r="B1056" s="1291">
        <f t="shared" si="606"/>
        <v>6.1</v>
      </c>
      <c r="C1056" s="18" t="str">
        <f t="shared" si="577"/>
        <v>Consolidated intangible assets 2025-26</v>
      </c>
      <c r="D1056" s="18" t="s">
        <v>453</v>
      </c>
      <c r="E1056" s="19" t="str">
        <f>"Carrying amount "&amp;Update!$B$22</f>
        <v>Carrying amount  31 March 2026</v>
      </c>
      <c r="F1056" s="20"/>
      <c r="G1056" s="28"/>
      <c r="H1056" s="14">
        <f>H1041-H1055</f>
        <v>0</v>
      </c>
      <c r="I1056" s="14">
        <f>I1041-I1055</f>
        <v>0</v>
      </c>
      <c r="J1056" s="1258" t="s">
        <v>2493</v>
      </c>
      <c r="K1056" s="256">
        <f>K1041-K1055</f>
        <v>0</v>
      </c>
      <c r="L1056" s="256">
        <f>L1041-L1055</f>
        <v>0</v>
      </c>
      <c r="M1056" s="21"/>
      <c r="N1056" s="14">
        <f>ROUND(SUM(O1056:S1056)+T1056+SUM(Z1056:AV1056),0)</f>
        <v>0</v>
      </c>
      <c r="O1056" s="14">
        <f t="shared" ref="O1056:V1056" si="630">O1041-O1055</f>
        <v>0</v>
      </c>
      <c r="P1056" s="14">
        <f t="shared" si="630"/>
        <v>0</v>
      </c>
      <c r="Q1056" s="14">
        <f t="shared" si="630"/>
        <v>0</v>
      </c>
      <c r="R1056" s="14">
        <f t="shared" si="630"/>
        <v>0</v>
      </c>
      <c r="S1056" s="14">
        <f t="shared" si="618"/>
        <v>0</v>
      </c>
      <c r="T1056" s="14">
        <f t="shared" si="630"/>
        <v>0</v>
      </c>
      <c r="U1056" s="14">
        <f t="shared" si="630"/>
        <v>0</v>
      </c>
      <c r="V1056" s="14">
        <f t="shared" si="630"/>
        <v>0</v>
      </c>
      <c r="W1056" s="14">
        <f>W1041-W1055</f>
        <v>0</v>
      </c>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2"/>
      <c r="AX1056" s="14">
        <f>AX1041-AX1055</f>
        <v>0</v>
      </c>
      <c r="AY1056" s="14">
        <f>ROUND(AX1056/1000/Update!$B$31*Update!$B$27,0)</f>
        <v>0</v>
      </c>
      <c r="AZ1056" s="2"/>
      <c r="BA1056" s="14">
        <f>BA1041-BA1055</f>
        <v>0</v>
      </c>
      <c r="BB1056" s="14">
        <f>ROUND(BA1056/1000/Update!$B$31,0)</f>
        <v>0</v>
      </c>
      <c r="BC1056" s="14"/>
      <c r="BD1056" s="14">
        <f t="shared" si="628"/>
        <v>0</v>
      </c>
      <c r="BE1056" s="14">
        <f t="shared" ref="BE1056:BJ1056" si="631">BE1041-BE1055</f>
        <v>0</v>
      </c>
      <c r="BF1056" s="14">
        <f t="shared" si="631"/>
        <v>0</v>
      </c>
      <c r="BG1056" s="14">
        <f t="shared" si="631"/>
        <v>0</v>
      </c>
      <c r="BH1056" s="14">
        <f t="shared" si="631"/>
        <v>0</v>
      </c>
      <c r="BI1056" s="14">
        <f t="shared" si="631"/>
        <v>0</v>
      </c>
      <c r="BJ1056" s="14">
        <f t="shared" si="631"/>
        <v>0</v>
      </c>
      <c r="BK1056" s="14">
        <f t="shared" si="595"/>
        <v>0</v>
      </c>
      <c r="BL1056" s="14"/>
      <c r="BM1056" s="14"/>
      <c r="BN1056" s="14"/>
      <c r="BO1056" s="14"/>
      <c r="BP1056" s="14"/>
      <c r="BQ1056" s="14"/>
      <c r="BR1056" s="14"/>
      <c r="BS1056" s="14"/>
      <c r="BT1056" s="324"/>
      <c r="BU1056" s="14"/>
      <c r="BV1056" s="14"/>
      <c r="BW1056" s="14"/>
      <c r="BX1056" s="14"/>
      <c r="BY1056" s="14"/>
      <c r="BZ1056" s="14"/>
      <c r="CA1056" s="14"/>
      <c r="CB1056" s="14"/>
      <c r="CC1056" s="14"/>
      <c r="CD1056" s="14"/>
      <c r="CE1056" s="14"/>
      <c r="CF1056" s="14"/>
      <c r="CG1056" s="14"/>
      <c r="CH1056" s="14"/>
      <c r="CI1056" s="14"/>
      <c r="CJ1056" s="2"/>
      <c r="CK1056" s="2"/>
      <c r="CM1056" s="1140">
        <v>0</v>
      </c>
      <c r="CN1056" s="1140">
        <v>0</v>
      </c>
      <c r="CP1056" s="923">
        <f t="shared" si="617"/>
        <v>0</v>
      </c>
      <c r="CZ1056" s="330"/>
    </row>
    <row r="1057" spans="1:104" ht="15" customHeight="1" x14ac:dyDescent="0.25">
      <c r="A1057" s="701">
        <f>MAX($A$6:A1056)+1</f>
        <v>1057</v>
      </c>
      <c r="B1057" s="1291">
        <f t="shared" si="606"/>
        <v>6.1</v>
      </c>
      <c r="C1057" s="18" t="str">
        <f t="shared" si="577"/>
        <v>Consolidated intangible assets 2025-26</v>
      </c>
      <c r="D1057" s="18" t="s">
        <v>453</v>
      </c>
      <c r="E1057" s="19" t="str">
        <f>"Carrying amount "&amp;Update!$B$24</f>
        <v>Carrying amount  31 March 2025</v>
      </c>
      <c r="F1057" s="20"/>
      <c r="G1057" s="28"/>
      <c r="H1057" s="14">
        <f>H1029-H1043</f>
        <v>0</v>
      </c>
      <c r="I1057" s="14">
        <f>I1029-I1043</f>
        <v>0</v>
      </c>
      <c r="J1057" s="1258" t="s">
        <v>2494</v>
      </c>
      <c r="K1057" s="256">
        <f>K1029-K1043</f>
        <v>0</v>
      </c>
      <c r="L1057" s="256">
        <f>L1029-L1043</f>
        <v>0</v>
      </c>
      <c r="M1057" s="21"/>
      <c r="N1057" s="14">
        <f>ROUND(SUM(O1057:S1057)+T1057+SUM(Z1057:AV1057),0)</f>
        <v>0</v>
      </c>
      <c r="O1057" s="14">
        <f t="shared" ref="O1057:V1057" si="632">O1029-O1043</f>
        <v>0</v>
      </c>
      <c r="P1057" s="14">
        <f t="shared" si="632"/>
        <v>0</v>
      </c>
      <c r="Q1057" s="14">
        <f t="shared" si="632"/>
        <v>0</v>
      </c>
      <c r="R1057" s="14">
        <f t="shared" si="632"/>
        <v>0</v>
      </c>
      <c r="S1057" s="14">
        <f t="shared" si="618"/>
        <v>0</v>
      </c>
      <c r="T1057" s="14">
        <f t="shared" si="632"/>
        <v>0</v>
      </c>
      <c r="U1057" s="14">
        <f t="shared" si="632"/>
        <v>0</v>
      </c>
      <c r="V1057" s="14">
        <f t="shared" si="632"/>
        <v>0</v>
      </c>
      <c r="W1057" s="14">
        <f>W1029-W1043</f>
        <v>0</v>
      </c>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2"/>
      <c r="AX1057" s="14">
        <f>AX1029-AX1043</f>
        <v>0</v>
      </c>
      <c r="AY1057" s="14">
        <f>ROUND(AX1057/1000/Update!$B$31*Update!$B$27,0)</f>
        <v>0</v>
      </c>
      <c r="AZ1057" s="2"/>
      <c r="BA1057" s="14">
        <f>BA1029-BA1043</f>
        <v>0</v>
      </c>
      <c r="BB1057" s="14">
        <f>ROUND(BA1057/1000/Update!$B$31,0)</f>
        <v>0</v>
      </c>
      <c r="BC1057" s="14"/>
      <c r="BD1057" s="14">
        <f t="shared" si="628"/>
        <v>0</v>
      </c>
      <c r="BE1057" s="14">
        <f t="shared" ref="BE1057:BJ1057" si="633">BE1029-BE1043</f>
        <v>0</v>
      </c>
      <c r="BF1057" s="14">
        <f t="shared" si="633"/>
        <v>0</v>
      </c>
      <c r="BG1057" s="14">
        <f t="shared" si="633"/>
        <v>0</v>
      </c>
      <c r="BH1057" s="14">
        <f t="shared" si="633"/>
        <v>0</v>
      </c>
      <c r="BI1057" s="14">
        <f t="shared" si="633"/>
        <v>0</v>
      </c>
      <c r="BJ1057" s="14">
        <f t="shared" si="633"/>
        <v>0</v>
      </c>
      <c r="BK1057" s="14">
        <f t="shared" si="595"/>
        <v>0</v>
      </c>
      <c r="BL1057" s="14"/>
      <c r="BM1057" s="14"/>
      <c r="BN1057" s="14"/>
      <c r="BO1057" s="14"/>
      <c r="BP1057" s="14"/>
      <c r="BQ1057" s="14"/>
      <c r="BR1057" s="14"/>
      <c r="BS1057" s="14"/>
      <c r="BT1057" s="324"/>
      <c r="BU1057" s="14"/>
      <c r="BV1057" s="14"/>
      <c r="BW1057" s="14"/>
      <c r="BX1057" s="14"/>
      <c r="BY1057" s="14"/>
      <c r="BZ1057" s="14"/>
      <c r="CA1057" s="14"/>
      <c r="CB1057" s="14"/>
      <c r="CC1057" s="14"/>
      <c r="CD1057" s="14"/>
      <c r="CE1057" s="14"/>
      <c r="CF1057" s="14"/>
      <c r="CG1057" s="14"/>
      <c r="CH1057" s="14"/>
      <c r="CI1057" s="14"/>
      <c r="CJ1057" s="2"/>
      <c r="CK1057" s="2"/>
      <c r="CM1057" s="1140">
        <v>0</v>
      </c>
      <c r="CN1057" s="1140">
        <v>0</v>
      </c>
      <c r="CP1057" s="923">
        <f t="shared" si="617"/>
        <v>0</v>
      </c>
      <c r="CZ1057" s="330"/>
    </row>
    <row r="1058" spans="1:104" ht="15" customHeight="1" x14ac:dyDescent="0.25">
      <c r="A1058" s="684">
        <f>MAX($A$6:A1057)+1</f>
        <v>1058</v>
      </c>
      <c r="B1058" s="3">
        <f t="shared" si="606"/>
        <v>6.1</v>
      </c>
      <c r="C1058" s="11" t="str">
        <f t="shared" si="577"/>
        <v>Consolidated intangible assets 2025-26</v>
      </c>
      <c r="D1058" s="11" t="s">
        <v>453</v>
      </c>
      <c r="E1058" s="13" t="s">
        <v>194</v>
      </c>
      <c r="F1058" s="13"/>
      <c r="G1058" s="26"/>
      <c r="H1058" s="6"/>
      <c r="I1058" s="6"/>
      <c r="J1058" s="1257" t="s">
        <v>286</v>
      </c>
      <c r="K1058" s="251">
        <f>SUMIF('alb Note 6.1 -  Intangibles CY'!$A:$A,$J1058,'alb Note 6.1 -  Intangibles CY'!$G:$G)</f>
        <v>0</v>
      </c>
      <c r="L1058" s="251">
        <f>SUMIF('alb Note 6.1 -  Intangibles CY'!$A:$A,$J1058,'alb Note 6.1 -  Intangibles CY'!$R:$R)</f>
        <v>0</v>
      </c>
      <c r="M1058" s="10"/>
      <c r="N1058" s="273">
        <f>ROUND(SUM(O1058:S1058)+SUM(W1058:AV1058),0)</f>
        <v>0</v>
      </c>
      <c r="O1058" s="12"/>
      <c r="P1058" s="12"/>
      <c r="Q1058" s="12"/>
      <c r="R1058" s="12"/>
      <c r="S1058" s="6">
        <f t="shared" si="618"/>
        <v>0</v>
      </c>
      <c r="T1058" s="273">
        <f>ROUND(SUM(U1058:Y1058),0)</f>
        <v>0</v>
      </c>
      <c r="U1058" s="6">
        <f>SUM(BL1058:BN1058)</f>
        <v>0</v>
      </c>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X1058" s="6"/>
      <c r="AY1058" s="6">
        <f>ROUND(AX1058/1000/Update!$B$31*Update!$B$27,0)</f>
        <v>0</v>
      </c>
      <c r="BA1058" s="6"/>
      <c r="BB1058" s="6">
        <f>ROUND(BA1058/1000/Update!$B$31,0)</f>
        <v>0</v>
      </c>
      <c r="BC1058" s="6"/>
      <c r="BD1058" s="29">
        <f t="shared" si="628"/>
        <v>0</v>
      </c>
      <c r="BE1058" s="322"/>
      <c r="BF1058" s="322"/>
      <c r="BG1058" s="322"/>
      <c r="BH1058" s="322"/>
      <c r="BI1058" s="322"/>
      <c r="BJ1058" s="322"/>
      <c r="BK1058" s="29">
        <f t="shared" si="595"/>
        <v>0</v>
      </c>
      <c r="BL1058" s="322"/>
      <c r="BM1058" s="322"/>
      <c r="BN1058" s="322"/>
      <c r="BO1058" s="322"/>
      <c r="BP1058" s="322"/>
      <c r="BQ1058" s="322"/>
      <c r="BR1058" s="322"/>
      <c r="BS1058" s="322"/>
      <c r="BT1058" s="322"/>
      <c r="BU1058" s="322"/>
      <c r="BV1058" s="322"/>
      <c r="BW1058" s="322"/>
      <c r="BX1058" s="322"/>
      <c r="BY1058" s="322"/>
      <c r="BZ1058" s="322"/>
      <c r="CA1058" s="322"/>
      <c r="CB1058" s="322"/>
      <c r="CC1058" s="322"/>
      <c r="CD1058" s="322"/>
      <c r="CE1058" s="322"/>
      <c r="CF1058" s="322"/>
      <c r="CG1058" s="322"/>
      <c r="CH1058" s="322"/>
      <c r="CI1058" s="322"/>
      <c r="CM1058" s="1139">
        <v>0</v>
      </c>
      <c r="CN1058" s="1139">
        <v>0</v>
      </c>
      <c r="CP1058" s="923">
        <f t="shared" si="617"/>
        <v>0</v>
      </c>
      <c r="CZ1058" s="330"/>
    </row>
    <row r="1059" spans="1:104" ht="15" customHeight="1" x14ac:dyDescent="0.25">
      <c r="A1059" s="684">
        <f>MAX($A$6:A1058)+1</f>
        <v>1059</v>
      </c>
      <c r="B1059" s="3">
        <f t="shared" si="606"/>
        <v>6.1</v>
      </c>
      <c r="C1059" s="11" t="str">
        <f t="shared" si="577"/>
        <v>Consolidated intangible assets 2025-26</v>
      </c>
      <c r="D1059" s="11" t="s">
        <v>453</v>
      </c>
      <c r="E1059" s="7" t="s">
        <v>197</v>
      </c>
      <c r="F1059" s="7"/>
      <c r="G1059" s="1254" t="s">
        <v>443</v>
      </c>
      <c r="H1059" s="6" t="e">
        <v>#VALUE!</v>
      </c>
      <c r="I1059" s="6" t="e">
        <v>#VALUE!</v>
      </c>
      <c r="J1059" s="1257" t="s">
        <v>197</v>
      </c>
      <c r="K1059" s="251">
        <f>SUMIF('alb Note 6.1 -  Intangibles CY'!$A:$A,$J1059,'alb Note 6.1 -  Intangibles CY'!$G:$G)</f>
        <v>0</v>
      </c>
      <c r="L1059" s="251">
        <f>SUMIF('alb Note 6.1 -  Intangibles CY'!$A:$A,$J1059,'alb Note 6.1 -  Intangibles CY'!$R:$R)</f>
        <v>0</v>
      </c>
      <c r="M1059" s="10"/>
      <c r="N1059" s="273" t="e">
        <f>ROUND(SUM(O1059:S1059)+SUM(W1059:AV1059),0)</f>
        <v>#VALUE!</v>
      </c>
      <c r="O1059" s="12"/>
      <c r="P1059" s="12"/>
      <c r="Q1059" s="12"/>
      <c r="R1059" s="12"/>
      <c r="S1059" s="6">
        <f t="shared" si="618"/>
        <v>0</v>
      </c>
      <c r="T1059" s="273" t="e">
        <f>ROUND(SUM(U1059:Y1059),0)</f>
        <v>#VALUE!</v>
      </c>
      <c r="U1059" s="6">
        <f>SUM(BL1059:BN1059)</f>
        <v>0</v>
      </c>
      <c r="V1059" s="6"/>
      <c r="W1059" s="6" t="e">
        <f>+H1059</f>
        <v>#VALUE!</v>
      </c>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X1059" s="6"/>
      <c r="AY1059" s="6">
        <f>ROUND(AX1059/1000/Update!$B$31*Update!$B$27,0)</f>
        <v>0</v>
      </c>
      <c r="BA1059" s="6"/>
      <c r="BB1059" s="6">
        <f>ROUND(BA1059/1000/Update!$B$31,0)</f>
        <v>0</v>
      </c>
      <c r="BC1059" s="6"/>
      <c r="BD1059" s="29">
        <f t="shared" si="628"/>
        <v>0</v>
      </c>
      <c r="BE1059" s="322"/>
      <c r="BF1059" s="322"/>
      <c r="BG1059" s="322"/>
      <c r="BH1059" s="322"/>
      <c r="BI1059" s="322"/>
      <c r="BJ1059" s="322"/>
      <c r="BK1059" s="29">
        <f t="shared" si="595"/>
        <v>0</v>
      </c>
      <c r="BL1059" s="322"/>
      <c r="BM1059" s="322"/>
      <c r="BN1059" s="322"/>
      <c r="BO1059" s="322"/>
      <c r="BP1059" s="322"/>
      <c r="BQ1059" s="322"/>
      <c r="BR1059" s="322"/>
      <c r="BS1059" s="322"/>
      <c r="BT1059" s="322"/>
      <c r="BU1059" s="322"/>
      <c r="BV1059" s="322"/>
      <c r="BW1059" s="322"/>
      <c r="BX1059" s="322"/>
      <c r="BY1059" s="322"/>
      <c r="BZ1059" s="322"/>
      <c r="CA1059" s="322"/>
      <c r="CB1059" s="322"/>
      <c r="CC1059" s="322"/>
      <c r="CD1059" s="322"/>
      <c r="CE1059" s="322"/>
      <c r="CF1059" s="322"/>
      <c r="CG1059" s="322"/>
      <c r="CH1059" s="322"/>
      <c r="CI1059" s="322"/>
      <c r="CM1059" s="1139">
        <v>0</v>
      </c>
      <c r="CN1059" s="1139">
        <v>0</v>
      </c>
      <c r="CP1059" s="923">
        <f t="shared" si="617"/>
        <v>0</v>
      </c>
      <c r="CZ1059" s="330"/>
    </row>
    <row r="1060" spans="1:104" ht="15" customHeight="1" x14ac:dyDescent="0.25">
      <c r="A1060" s="684">
        <f>MAX($A$6:A1059)+1</f>
        <v>1060</v>
      </c>
      <c r="B1060" s="3">
        <f t="shared" si="606"/>
        <v>6.1</v>
      </c>
      <c r="C1060" s="11" t="str">
        <f t="shared" si="577"/>
        <v>Consolidated intangible assets 2025-26</v>
      </c>
      <c r="D1060" s="11" t="s">
        <v>453</v>
      </c>
      <c r="E1060" s="7" t="s">
        <v>198</v>
      </c>
      <c r="F1060" s="7"/>
      <c r="G1060" s="1254" t="s">
        <v>444</v>
      </c>
      <c r="H1060" s="6" t="e">
        <v>#VALUE!</v>
      </c>
      <c r="I1060" s="6" t="e">
        <v>#VALUE!</v>
      </c>
      <c r="J1060" s="1257" t="s">
        <v>198</v>
      </c>
      <c r="K1060" s="251">
        <f>SUMIF('alb Note 6.1 -  Intangibles CY'!$A:$A,$J1060,'alb Note 6.1 -  Intangibles CY'!$G:$G)</f>
        <v>0</v>
      </c>
      <c r="L1060" s="251">
        <f>SUMIF('alb Note 6.1 -  Intangibles CY'!$A:$A,$J1060,'alb Note 6.1 -  Intangibles CY'!$R:$R)</f>
        <v>0</v>
      </c>
      <c r="M1060" s="10"/>
      <c r="N1060" s="273" t="e">
        <f>ROUND(SUM(O1060:S1060)+SUM(W1060:AV1060),0)</f>
        <v>#VALUE!</v>
      </c>
      <c r="O1060" s="12"/>
      <c r="P1060" s="12"/>
      <c r="Q1060" s="12"/>
      <c r="R1060" s="12"/>
      <c r="S1060" s="6">
        <f t="shared" si="618"/>
        <v>0</v>
      </c>
      <c r="T1060" s="273" t="e">
        <f>ROUND(SUM(U1060:Y1060),0)</f>
        <v>#VALUE!</v>
      </c>
      <c r="U1060" s="6">
        <f>SUM(BL1060:BN1060)</f>
        <v>0</v>
      </c>
      <c r="V1060" s="6"/>
      <c r="W1060" s="6" t="e">
        <f>+H1060</f>
        <v>#VALUE!</v>
      </c>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X1060" s="6"/>
      <c r="AY1060" s="6">
        <f>ROUND(AX1060/1000/Update!$B$31*Update!$B$27,0)</f>
        <v>0</v>
      </c>
      <c r="BA1060" s="6"/>
      <c r="BB1060" s="6">
        <f>ROUND(BA1060/1000/Update!$B$31,0)</f>
        <v>0</v>
      </c>
      <c r="BC1060" s="6"/>
      <c r="BD1060" s="29">
        <f t="shared" si="628"/>
        <v>0</v>
      </c>
      <c r="BE1060" s="322"/>
      <c r="BF1060" s="322"/>
      <c r="BG1060" s="322"/>
      <c r="BH1060" s="322"/>
      <c r="BI1060" s="322"/>
      <c r="BJ1060" s="322"/>
      <c r="BK1060" s="29">
        <f t="shared" si="595"/>
        <v>0</v>
      </c>
      <c r="BL1060" s="322"/>
      <c r="BM1060" s="322"/>
      <c r="BN1060" s="322"/>
      <c r="BO1060" s="322"/>
      <c r="BP1060" s="322"/>
      <c r="BQ1060" s="322"/>
      <c r="BR1060" s="322"/>
      <c r="BS1060" s="322"/>
      <c r="BT1060" s="322"/>
      <c r="BU1060" s="322"/>
      <c r="BV1060" s="322"/>
      <c r="BW1060" s="322"/>
      <c r="BX1060" s="322"/>
      <c r="BY1060" s="322"/>
      <c r="BZ1060" s="322"/>
      <c r="CA1060" s="322"/>
      <c r="CB1060" s="322"/>
      <c r="CC1060" s="322"/>
      <c r="CD1060" s="322"/>
      <c r="CE1060" s="322"/>
      <c r="CF1060" s="322"/>
      <c r="CG1060" s="322"/>
      <c r="CH1060" s="322"/>
      <c r="CI1060" s="322"/>
      <c r="CM1060" s="1139">
        <v>0</v>
      </c>
      <c r="CN1060" s="1139">
        <v>0</v>
      </c>
      <c r="CP1060" s="923">
        <f t="shared" si="617"/>
        <v>0</v>
      </c>
      <c r="CZ1060" s="330"/>
    </row>
    <row r="1061" spans="1:104" ht="38.25" customHeight="1" x14ac:dyDescent="0.25">
      <c r="A1061" s="684">
        <f>MAX($A$6:A1060)+1</f>
        <v>1061</v>
      </c>
      <c r="B1061" s="3">
        <f t="shared" si="606"/>
        <v>6.1</v>
      </c>
      <c r="C1061" s="11" t="str">
        <f>C1060</f>
        <v>Consolidated intangible assets 2025-26</v>
      </c>
      <c r="D1061" s="11" t="s">
        <v>453</v>
      </c>
      <c r="E1061" s="148" t="s">
        <v>1696</v>
      </c>
      <c r="F1061" s="148"/>
      <c r="G1061" s="1254" t="s">
        <v>199</v>
      </c>
      <c r="H1061" s="6" t="e">
        <v>#VALUE!</v>
      </c>
      <c r="I1061" s="6" t="e">
        <v>#VALUE!</v>
      </c>
      <c r="J1061" s="1257" t="s">
        <v>769</v>
      </c>
      <c r="K1061" s="251">
        <f>SUMIF('alb Note 6.1 -  Intangibles CY'!$A:$A,$J1061,'alb Note 6.1 -  Intangibles CY'!$G:$G)</f>
        <v>0</v>
      </c>
      <c r="L1061" s="251">
        <f>SUMIF('alb Note 6.1 -  Intangibles CY'!$A:$A,$J1061,'alb Note 6.1 -  Intangibles CY'!$R:$R)</f>
        <v>0</v>
      </c>
      <c r="M1061" s="10"/>
      <c r="N1061" s="273" t="e">
        <f>ROUND(SUM(O1061:S1061)+SUM(W1061:AV1061),0)</f>
        <v>#VALUE!</v>
      </c>
      <c r="O1061" s="12"/>
      <c r="P1061" s="12"/>
      <c r="Q1061" s="12"/>
      <c r="R1061" s="12"/>
      <c r="S1061" s="6">
        <f t="shared" si="618"/>
        <v>0</v>
      </c>
      <c r="T1061" s="273" t="e">
        <f>ROUND(SUM(U1061:Y1061),0)</f>
        <v>#VALUE!</v>
      </c>
      <c r="U1061" s="6">
        <f>SUM(BL1061:BN1061)</f>
        <v>0</v>
      </c>
      <c r="V1061" s="6"/>
      <c r="W1061" s="6" t="e">
        <f>+H1061</f>
        <v>#VALUE!</v>
      </c>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X1061" s="6"/>
      <c r="AY1061" s="6">
        <f>ROUND(AX1061/1000/Update!$B$31*Update!$B$27,0)</f>
        <v>0</v>
      </c>
      <c r="BA1061" s="6"/>
      <c r="BB1061" s="6">
        <f>ROUND(BA1061/1000/Update!$B$31,0)</f>
        <v>0</v>
      </c>
      <c r="BC1061" s="6"/>
      <c r="BD1061" s="29">
        <f t="shared" si="628"/>
        <v>0</v>
      </c>
      <c r="BE1061" s="322"/>
      <c r="BF1061" s="322"/>
      <c r="BG1061" s="322"/>
      <c r="BH1061" s="322"/>
      <c r="BI1061" s="322"/>
      <c r="BJ1061" s="322"/>
      <c r="BK1061" s="29">
        <f t="shared" si="595"/>
        <v>0</v>
      </c>
      <c r="BL1061" s="322"/>
      <c r="BM1061" s="322"/>
      <c r="BN1061" s="322"/>
      <c r="BO1061" s="322"/>
      <c r="BP1061" s="322"/>
      <c r="BQ1061" s="322"/>
      <c r="BR1061" s="322"/>
      <c r="BS1061" s="322"/>
      <c r="BT1061" s="322"/>
      <c r="BU1061" s="322"/>
      <c r="BV1061" s="322"/>
      <c r="BW1061" s="322"/>
      <c r="BX1061" s="322"/>
      <c r="BY1061" s="322"/>
      <c r="BZ1061" s="322"/>
      <c r="CA1061" s="322"/>
      <c r="CB1061" s="322"/>
      <c r="CC1061" s="322"/>
      <c r="CD1061" s="322"/>
      <c r="CE1061" s="322"/>
      <c r="CF1061" s="322"/>
      <c r="CG1061" s="322"/>
      <c r="CH1061" s="322"/>
      <c r="CI1061" s="322"/>
      <c r="CM1061" s="1139">
        <v>0</v>
      </c>
      <c r="CN1061" s="1139">
        <v>0</v>
      </c>
      <c r="CP1061" s="923">
        <f t="shared" si="617"/>
        <v>0</v>
      </c>
      <c r="CZ1061" s="330"/>
    </row>
    <row r="1062" spans="1:104" ht="15" customHeight="1" x14ac:dyDescent="0.25">
      <c r="A1062" s="684">
        <f>MAX($A$6:A1061)+1</f>
        <v>1062</v>
      </c>
      <c r="B1062" s="3">
        <f t="shared" si="606"/>
        <v>6.1</v>
      </c>
      <c r="C1062" s="11" t="str">
        <f>C1061</f>
        <v>Consolidated intangible assets 2025-26</v>
      </c>
      <c r="D1062" s="11" t="s">
        <v>453</v>
      </c>
      <c r="E1062" s="148" t="s">
        <v>1695</v>
      </c>
      <c r="F1062" s="148"/>
      <c r="G1062" s="1254" t="s">
        <v>1695</v>
      </c>
      <c r="H1062" s="6" t="e">
        <v>#VALUE!</v>
      </c>
      <c r="I1062" s="6" t="e">
        <v>#VALUE!</v>
      </c>
      <c r="J1062" s="1257" t="s">
        <v>1695</v>
      </c>
      <c r="K1062" s="251">
        <f>SUMIF('alb Note 6.1 -  Intangibles CY'!$A:$A,$J1062,'alb Note 6.1 -  Intangibles CY'!$G:$G)</f>
        <v>0</v>
      </c>
      <c r="L1062" s="251">
        <f>SUMIF('alb Note 6.1 -  Intangibles CY'!$A:$A,$J1062,'alb Note 6.1 -  Intangibles CY'!$R:$R)</f>
        <v>0</v>
      </c>
      <c r="M1062" s="10"/>
      <c r="N1062" s="273" t="e">
        <f>ROUND(SUM(O1062:S1062)+SUM(W1062:AV1062),0)</f>
        <v>#VALUE!</v>
      </c>
      <c r="O1062" s="12"/>
      <c r="P1062" s="12"/>
      <c r="Q1062" s="12"/>
      <c r="R1062" s="12"/>
      <c r="S1062" s="6">
        <f>-IF(ISNUMBER(BD1062),BD1062,0)</f>
        <v>0</v>
      </c>
      <c r="T1062" s="273" t="e">
        <f>ROUND(SUM(U1062:Y1062),0)</f>
        <v>#VALUE!</v>
      </c>
      <c r="U1062" s="6">
        <f>SUM(BL1062:BN1062)</f>
        <v>0</v>
      </c>
      <c r="V1062" s="6"/>
      <c r="W1062" s="6" t="e">
        <f>+H1062</f>
        <v>#VALUE!</v>
      </c>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X1062" s="6"/>
      <c r="AY1062" s="6"/>
      <c r="BA1062" s="6"/>
      <c r="BB1062" s="6"/>
      <c r="BC1062" s="6"/>
      <c r="BD1062" s="29">
        <f t="shared" si="628"/>
        <v>0</v>
      </c>
      <c r="BE1062" s="322"/>
      <c r="BF1062" s="322"/>
      <c r="BG1062" s="322"/>
      <c r="BH1062" s="322"/>
      <c r="BI1062" s="322"/>
      <c r="BJ1062" s="322"/>
      <c r="BK1062" s="29">
        <f t="shared" si="595"/>
        <v>0</v>
      </c>
      <c r="BL1062" s="322"/>
      <c r="BM1062" s="322"/>
      <c r="BN1062" s="322"/>
      <c r="BO1062" s="322"/>
      <c r="BP1062" s="322"/>
      <c r="BQ1062" s="322"/>
      <c r="BR1062" s="322"/>
      <c r="BS1062" s="322"/>
      <c r="BT1062" s="322"/>
      <c r="BU1062" s="322"/>
      <c r="BV1062" s="322"/>
      <c r="BW1062" s="322"/>
      <c r="BX1062" s="322"/>
      <c r="BY1062" s="322"/>
      <c r="BZ1062" s="322"/>
      <c r="CA1062" s="322"/>
      <c r="CB1062" s="322"/>
      <c r="CC1062" s="322"/>
      <c r="CD1062" s="322"/>
      <c r="CE1062" s="322"/>
      <c r="CF1062" s="322"/>
      <c r="CG1062" s="322"/>
      <c r="CH1062" s="322"/>
      <c r="CI1062" s="322"/>
      <c r="CM1062" s="1139">
        <v>0</v>
      </c>
      <c r="CN1062" s="1139">
        <v>0</v>
      </c>
      <c r="CP1062" s="923">
        <f t="shared" si="617"/>
        <v>0</v>
      </c>
      <c r="CZ1062" s="330"/>
    </row>
    <row r="1063" spans="1:104" ht="15" customHeight="1" x14ac:dyDescent="0.25">
      <c r="A1063" s="701">
        <f>MAX($A$6:A1062)+1</f>
        <v>1063</v>
      </c>
      <c r="B1063" s="1291">
        <f t="shared" si="606"/>
        <v>6.1</v>
      </c>
      <c r="C1063" s="18" t="str">
        <f>C1062</f>
        <v>Consolidated intangible assets 2025-26</v>
      </c>
      <c r="D1063" s="18" t="s">
        <v>453</v>
      </c>
      <c r="E1063" s="19" t="str">
        <f>"Carrying amount "&amp;Update!$B$22</f>
        <v>Carrying amount  31 March 2026</v>
      </c>
      <c r="F1063" s="20"/>
      <c r="G1063" s="28"/>
      <c r="H1063" s="14" t="e">
        <f>SUM(H1058:H1062)</f>
        <v>#VALUE!</v>
      </c>
      <c r="I1063" s="14" t="e">
        <f>SUM(I1058:I1062)</f>
        <v>#VALUE!</v>
      </c>
      <c r="J1063" s="1258" t="s">
        <v>286</v>
      </c>
      <c r="K1063" s="14">
        <f>SUM(K1058:K1062)</f>
        <v>0</v>
      </c>
      <c r="L1063" s="14">
        <f>SUM(L1058:L1062)</f>
        <v>0</v>
      </c>
      <c r="M1063" s="21"/>
      <c r="N1063" s="14" t="e">
        <f>ROUND(SUM(O1063:S1063)+T1063+SUM(Z1063:AV1063),0)</f>
        <v>#VALUE!</v>
      </c>
      <c r="O1063" s="14">
        <f t="shared" ref="O1063:W1063" si="634">SUM(O1058:O1062)</f>
        <v>0</v>
      </c>
      <c r="P1063" s="14">
        <f t="shared" si="634"/>
        <v>0</v>
      </c>
      <c r="Q1063" s="14">
        <f t="shared" si="634"/>
        <v>0</v>
      </c>
      <c r="R1063" s="14">
        <f t="shared" si="634"/>
        <v>0</v>
      </c>
      <c r="S1063" s="14">
        <f t="shared" si="634"/>
        <v>0</v>
      </c>
      <c r="T1063" s="14" t="e">
        <f t="shared" si="634"/>
        <v>#VALUE!</v>
      </c>
      <c r="U1063" s="14">
        <f t="shared" si="634"/>
        <v>0</v>
      </c>
      <c r="V1063" s="14">
        <f t="shared" si="634"/>
        <v>0</v>
      </c>
      <c r="W1063" s="14" t="e">
        <f t="shared" si="634"/>
        <v>#VALUE!</v>
      </c>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2">
        <f t="shared" ref="AW1063:BJ1063" si="635">SUM(AW1058:AW1062)</f>
        <v>0</v>
      </c>
      <c r="AX1063" s="14">
        <f t="shared" si="635"/>
        <v>0</v>
      </c>
      <c r="AY1063" s="14">
        <f t="shared" si="635"/>
        <v>0</v>
      </c>
      <c r="AZ1063" s="2">
        <f t="shared" si="635"/>
        <v>0</v>
      </c>
      <c r="BA1063" s="14">
        <f t="shared" si="635"/>
        <v>0</v>
      </c>
      <c r="BB1063" s="14">
        <f t="shared" si="635"/>
        <v>0</v>
      </c>
      <c r="BC1063" s="14">
        <f t="shared" si="635"/>
        <v>0</v>
      </c>
      <c r="BD1063" s="14">
        <f t="shared" si="635"/>
        <v>0</v>
      </c>
      <c r="BE1063" s="14">
        <f t="shared" si="635"/>
        <v>0</v>
      </c>
      <c r="BF1063" s="14">
        <f t="shared" si="635"/>
        <v>0</v>
      </c>
      <c r="BG1063" s="14">
        <f t="shared" si="635"/>
        <v>0</v>
      </c>
      <c r="BH1063" s="14">
        <f t="shared" si="635"/>
        <v>0</v>
      </c>
      <c r="BI1063" s="14">
        <f t="shared" si="635"/>
        <v>0</v>
      </c>
      <c r="BJ1063" s="14">
        <f t="shared" si="635"/>
        <v>0</v>
      </c>
      <c r="BK1063" s="14">
        <f t="shared" si="595"/>
        <v>0</v>
      </c>
      <c r="BL1063" s="14"/>
      <c r="BM1063" s="14"/>
      <c r="BN1063" s="14"/>
      <c r="BO1063" s="14"/>
      <c r="BP1063" s="14"/>
      <c r="BQ1063" s="14"/>
      <c r="BR1063" s="14"/>
      <c r="BS1063" s="14"/>
      <c r="BT1063" s="324"/>
      <c r="BU1063" s="14"/>
      <c r="BV1063" s="14"/>
      <c r="BW1063" s="14"/>
      <c r="BX1063" s="14"/>
      <c r="BY1063" s="14"/>
      <c r="BZ1063" s="14"/>
      <c r="CA1063" s="14"/>
      <c r="CB1063" s="14"/>
      <c r="CC1063" s="14"/>
      <c r="CD1063" s="14"/>
      <c r="CE1063" s="14"/>
      <c r="CF1063" s="14"/>
      <c r="CG1063" s="14"/>
      <c r="CH1063" s="14"/>
      <c r="CI1063" s="14"/>
      <c r="CJ1063" s="2"/>
      <c r="CK1063" s="2"/>
      <c r="CM1063" s="1140">
        <v>0</v>
      </c>
      <c r="CN1063" s="1140">
        <v>0</v>
      </c>
      <c r="CP1063" s="923">
        <f t="shared" si="617"/>
        <v>0</v>
      </c>
      <c r="CZ1063" s="330"/>
    </row>
    <row r="1064" spans="1:104" ht="18.75" customHeight="1" x14ac:dyDescent="0.25">
      <c r="A1064" s="684">
        <f>MAX($A$6:A1063)+1</f>
        <v>1064</v>
      </c>
      <c r="B1064" s="3">
        <f>B1063</f>
        <v>6.1</v>
      </c>
      <c r="C1064" s="11" t="str">
        <f>C1063</f>
        <v>Consolidated intangible assets 2025-26</v>
      </c>
      <c r="D1064" s="11" t="s">
        <v>454</v>
      </c>
      <c r="E1064" s="277" t="s">
        <v>183</v>
      </c>
      <c r="F1064" s="277"/>
      <c r="G1064" s="26"/>
      <c r="H1064" s="6"/>
      <c r="I1064" s="6"/>
      <c r="J1064" s="1257" t="s">
        <v>286</v>
      </c>
      <c r="K1064" s="251">
        <f>SUMIF('alb Note 6.1 -  Intangibles CY'!$A:$A,$J1064,'alb Note 6.1 -  Intangibles CY'!$H:$H)</f>
        <v>0</v>
      </c>
      <c r="L1064" s="251">
        <f>SUMIF('alb Note 6.1 -  Intangibles CY'!$A:$A,$J1064,'alb Note 6.1 -  Intangibles CY'!$S:$S)</f>
        <v>0</v>
      </c>
      <c r="M1064" s="10"/>
      <c r="N1064" s="273">
        <f>ROUND(SUM(O1064:S1064)+SUM(W1064:AV1064),0)</f>
        <v>0</v>
      </c>
      <c r="O1064" s="12"/>
      <c r="P1064" s="12"/>
      <c r="Q1064" s="12"/>
      <c r="R1064" s="12"/>
      <c r="S1064" s="6">
        <f t="shared" si="618"/>
        <v>0</v>
      </c>
      <c r="T1064" s="273">
        <f>ROUND(SUM(U1064:Y1064),0)</f>
        <v>0</v>
      </c>
      <c r="U1064" s="6">
        <f>SUM(BL1064:BN1064)</f>
        <v>0</v>
      </c>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X1064" s="6"/>
      <c r="AY1064" s="6">
        <f>ROUND(AX1064/1000/Update!$B$31*Update!$B$27,0)</f>
        <v>0</v>
      </c>
      <c r="BA1064" s="6"/>
      <c r="BB1064" s="6">
        <f>ROUND(BA1064/1000/Update!$B$31,0)</f>
        <v>0</v>
      </c>
      <c r="BC1064" s="6"/>
      <c r="BD1064" s="29">
        <f t="shared" si="628"/>
        <v>0</v>
      </c>
      <c r="BE1064" s="322"/>
      <c r="BF1064" s="322"/>
      <c r="BG1064" s="322"/>
      <c r="BH1064" s="322"/>
      <c r="BI1064" s="322"/>
      <c r="BJ1064" s="322"/>
      <c r="BK1064" s="29">
        <f t="shared" si="595"/>
        <v>0</v>
      </c>
      <c r="BL1064" s="322"/>
      <c r="BM1064" s="322"/>
      <c r="BN1064" s="322"/>
      <c r="BO1064" s="322"/>
      <c r="BP1064" s="322"/>
      <c r="BQ1064" s="322"/>
      <c r="BR1064" s="322"/>
      <c r="BS1064" s="322"/>
      <c r="BT1064" s="322"/>
      <c r="BU1064" s="322"/>
      <c r="BV1064" s="322"/>
      <c r="BW1064" s="322"/>
      <c r="BX1064" s="322"/>
      <c r="BY1064" s="322"/>
      <c r="BZ1064" s="322"/>
      <c r="CA1064" s="322"/>
      <c r="CB1064" s="322"/>
      <c r="CC1064" s="322"/>
      <c r="CD1064" s="322"/>
      <c r="CE1064" s="322"/>
      <c r="CF1064" s="322"/>
      <c r="CG1064" s="322"/>
      <c r="CH1064" s="322"/>
      <c r="CI1064" s="322"/>
      <c r="CM1064" s="1139">
        <v>0</v>
      </c>
      <c r="CN1064" s="1139">
        <v>0</v>
      </c>
      <c r="CP1064" s="923">
        <f t="shared" si="617"/>
        <v>0</v>
      </c>
      <c r="CZ1064" s="330"/>
    </row>
    <row r="1065" spans="1:104" ht="15" customHeight="1" x14ac:dyDescent="0.25">
      <c r="A1065" s="684">
        <f>MAX($A$6:A1064)+1</f>
        <v>1065</v>
      </c>
      <c r="B1065" s="3">
        <f t="shared" si="606"/>
        <v>6.1</v>
      </c>
      <c r="C1065" s="11" t="str">
        <f t="shared" ref="C1065:C1137" si="636">C1064</f>
        <v>Consolidated intangible assets 2025-26</v>
      </c>
      <c r="D1065" s="11" t="s">
        <v>454</v>
      </c>
      <c r="E1065" s="7" t="str">
        <f>"At"&amp;Update!$B$20</f>
        <v>At 1 April 2025</v>
      </c>
      <c r="F1065" s="15"/>
      <c r="G1065" s="1267" t="str">
        <f>"At"&amp;Update!$B$20</f>
        <v>At 1 April 2025</v>
      </c>
      <c r="H1065" s="6">
        <v>0</v>
      </c>
      <c r="I1065" s="6">
        <v>0</v>
      </c>
      <c r="J1065" s="1257" t="str">
        <f>$E1065</f>
        <v>At 1 April 2025</v>
      </c>
      <c r="K1065" s="251">
        <f>SUMIF('alb Note 6.1 -  Intangibles CY'!$A:$A,$J1065,'alb Note 6.1 -  Intangibles CY'!$H:$H)</f>
        <v>0</v>
      </c>
      <c r="L1065" s="251">
        <f>SUMIF('alb Note 6.1 -  Intangibles CY'!$A:$A,$J1065,'alb Note 6.1 -  Intangibles CY'!$S:$S)</f>
        <v>0</v>
      </c>
      <c r="M1065" s="10"/>
      <c r="N1065" s="273">
        <f>ROUND(SUM(O1065:S1065)+SUM(W1065:AV1065),0)</f>
        <v>0</v>
      </c>
      <c r="O1065" s="12"/>
      <c r="P1065" s="12"/>
      <c r="Q1065" s="12"/>
      <c r="R1065" s="12"/>
      <c r="S1065" s="6">
        <f t="shared" si="618"/>
        <v>0</v>
      </c>
      <c r="T1065" s="273">
        <f>ROUND(SUM(U1065:Y1065),0)</f>
        <v>0</v>
      </c>
      <c r="U1065" s="6">
        <f>SUM(BL1065:BN1065)</f>
        <v>0</v>
      </c>
      <c r="V1065" s="6"/>
      <c r="W1065" s="6">
        <f t="shared" ref="W1065:W1076" si="637">+H1065</f>
        <v>0</v>
      </c>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X1065" s="6"/>
      <c r="AY1065" s="6">
        <f>ROUND(AX1065/1000/Update!$B$31*Update!$B$27,0)</f>
        <v>0</v>
      </c>
      <c r="BA1065" s="6"/>
      <c r="BB1065" s="6">
        <f>ROUND(BA1065/1000/Update!$B$31,0)</f>
        <v>0</v>
      </c>
      <c r="BC1065" s="6"/>
      <c r="BD1065" s="29">
        <f t="shared" si="628"/>
        <v>0</v>
      </c>
      <c r="BE1065" s="322"/>
      <c r="BF1065" s="322"/>
      <c r="BG1065" s="322"/>
      <c r="BH1065" s="322"/>
      <c r="BI1065" s="322"/>
      <c r="BJ1065" s="322"/>
      <c r="BK1065" s="29">
        <f t="shared" si="595"/>
        <v>0</v>
      </c>
      <c r="BL1065" s="322"/>
      <c r="BM1065" s="322"/>
      <c r="BN1065" s="322"/>
      <c r="BO1065" s="322"/>
      <c r="BP1065" s="322"/>
      <c r="BQ1065" s="322"/>
      <c r="BR1065" s="322"/>
      <c r="BS1065" s="322"/>
      <c r="BT1065" s="322"/>
      <c r="BU1065" s="322"/>
      <c r="BV1065" s="322"/>
      <c r="BW1065" s="322"/>
      <c r="BX1065" s="322"/>
      <c r="BY1065" s="322"/>
      <c r="BZ1065" s="322"/>
      <c r="CA1065" s="322"/>
      <c r="CB1065" s="322"/>
      <c r="CC1065" s="322"/>
      <c r="CD1065" s="322"/>
      <c r="CE1065" s="322"/>
      <c r="CF1065" s="322"/>
      <c r="CG1065" s="322"/>
      <c r="CH1065" s="322"/>
      <c r="CI1065" s="322"/>
      <c r="CM1065" s="1139">
        <v>0</v>
      </c>
      <c r="CN1065" s="1139">
        <v>0</v>
      </c>
      <c r="CP1065" s="923">
        <f t="shared" si="617"/>
        <v>0</v>
      </c>
      <c r="CZ1065" s="330"/>
    </row>
    <row r="1066" spans="1:104" ht="15" customHeight="1" x14ac:dyDescent="0.25">
      <c r="A1066" s="684">
        <f>MAX($A$6:A1065)+1</f>
        <v>1066</v>
      </c>
      <c r="B1066" s="3">
        <f t="shared" si="606"/>
        <v>6.1</v>
      </c>
      <c r="C1066" s="11" t="str">
        <f t="shared" si="636"/>
        <v>Consolidated intangible assets 2025-26</v>
      </c>
      <c r="D1066" s="11" t="str">
        <f>D1065</f>
        <v>Goodwill</v>
      </c>
      <c r="E1066" s="7" t="s">
        <v>435</v>
      </c>
      <c r="F1066" s="7"/>
      <c r="G1066" s="1254" t="s">
        <v>435</v>
      </c>
      <c r="H1066" s="6">
        <v>0</v>
      </c>
      <c r="I1066" s="6">
        <v>0</v>
      </c>
      <c r="J1066" s="1257" t="s">
        <v>184</v>
      </c>
      <c r="K1066" s="251">
        <f>SUMIF('alb Note 6.1 -  Intangibles CY'!$A:$A,$J1066,'alb Note 6.1 -  Intangibles CY'!$H:$H)</f>
        <v>0</v>
      </c>
      <c r="L1066" s="251">
        <f>SUMIF('alb Note 6.1 -  Intangibles CY'!$A:$A,$J1066,'alb Note 6.1 -  Intangibles CY'!$S:$S)</f>
        <v>0</v>
      </c>
      <c r="M1066" s="10"/>
      <c r="N1066" s="273">
        <f>ROUND(SUM(O1066:S1066)+SUM(W1066:AV1066),0)</f>
        <v>0</v>
      </c>
      <c r="O1066" s="12"/>
      <c r="P1066" s="12"/>
      <c r="Q1066" s="12"/>
      <c r="R1066" s="12"/>
      <c r="S1066" s="6">
        <f t="shared" si="618"/>
        <v>0</v>
      </c>
      <c r="T1066" s="273">
        <f>ROUND(SUM(U1066:Y1066),0)</f>
        <v>0</v>
      </c>
      <c r="U1066" s="6">
        <f>SUM(BL1066:BN1066)</f>
        <v>0</v>
      </c>
      <c r="V1066" s="6"/>
      <c r="W1066" s="6">
        <f t="shared" si="637"/>
        <v>0</v>
      </c>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X1066" s="6"/>
      <c r="AY1066" s="6">
        <f>ROUND(AX1066/1000/Update!$B$31*Update!$B$27,0)</f>
        <v>0</v>
      </c>
      <c r="BA1066" s="6"/>
      <c r="BB1066" s="6">
        <f>ROUND(BA1066/1000/Update!$B$31,0)</f>
        <v>0</v>
      </c>
      <c r="BC1066" s="6"/>
      <c r="BD1066" s="29">
        <f t="shared" si="628"/>
        <v>0</v>
      </c>
      <c r="BE1066" s="322"/>
      <c r="BF1066" s="322"/>
      <c r="BG1066" s="322"/>
      <c r="BH1066" s="322"/>
      <c r="BI1066" s="322"/>
      <c r="BJ1066" s="322"/>
      <c r="BK1066" s="29">
        <f t="shared" si="595"/>
        <v>0</v>
      </c>
      <c r="BL1066" s="322"/>
      <c r="BM1066" s="322"/>
      <c r="BN1066" s="322"/>
      <c r="BO1066" s="322"/>
      <c r="BP1066" s="322"/>
      <c r="BQ1066" s="322"/>
      <c r="BR1066" s="322"/>
      <c r="BS1066" s="322"/>
      <c r="BT1066" s="322"/>
      <c r="BU1066" s="322"/>
      <c r="BV1066" s="322"/>
      <c r="BW1066" s="322"/>
      <c r="BX1066" s="322"/>
      <c r="BY1066" s="322"/>
      <c r="BZ1066" s="322"/>
      <c r="CA1066" s="322"/>
      <c r="CB1066" s="322"/>
      <c r="CC1066" s="322"/>
      <c r="CD1066" s="322"/>
      <c r="CE1066" s="322"/>
      <c r="CF1066" s="322"/>
      <c r="CG1066" s="322"/>
      <c r="CH1066" s="322"/>
      <c r="CI1066" s="322"/>
      <c r="CM1066" s="1139">
        <v>0</v>
      </c>
      <c r="CN1066" s="1139">
        <v>0</v>
      </c>
      <c r="CP1066" s="923">
        <f t="shared" si="617"/>
        <v>0</v>
      </c>
      <c r="CZ1066" s="330"/>
    </row>
    <row r="1067" spans="1:104" ht="15" customHeight="1" x14ac:dyDescent="0.25">
      <c r="A1067" s="701">
        <f>MAX($A$6:A1066)+1</f>
        <v>1067</v>
      </c>
      <c r="B1067" s="1291">
        <f t="shared" si="606"/>
        <v>6.1</v>
      </c>
      <c r="C1067" s="18" t="str">
        <f t="shared" si="636"/>
        <v>Consolidated intangible assets 2025-26</v>
      </c>
      <c r="D1067" s="18" t="str">
        <f>D1066</f>
        <v>Goodwill</v>
      </c>
      <c r="E1067" s="19" t="s">
        <v>869</v>
      </c>
      <c r="F1067" s="20"/>
      <c r="G1067" s="1278" t="s">
        <v>442</v>
      </c>
      <c r="H1067" s="14">
        <f>SUM(H1064:H1066)</f>
        <v>0</v>
      </c>
      <c r="I1067" s="14">
        <f>SUM(I1064:I1066)</f>
        <v>0</v>
      </c>
      <c r="J1067" s="1258" t="s">
        <v>869</v>
      </c>
      <c r="K1067" s="14">
        <f>SUM(K1064:K1066)</f>
        <v>0</v>
      </c>
      <c r="L1067" s="14">
        <f>SUM(L1064:L1066)</f>
        <v>0</v>
      </c>
      <c r="M1067" s="21"/>
      <c r="N1067" s="14">
        <f>ROUND(SUM(O1067:S1067)+T1067+SUM(Z1067:AV1067),0)</f>
        <v>0</v>
      </c>
      <c r="O1067" s="14">
        <f t="shared" ref="O1067:W1067" si="638">SUM(O1064:O1066)</f>
        <v>0</v>
      </c>
      <c r="P1067" s="14">
        <f t="shared" si="638"/>
        <v>0</v>
      </c>
      <c r="Q1067" s="14">
        <f t="shared" si="638"/>
        <v>0</v>
      </c>
      <c r="R1067" s="14">
        <f t="shared" si="638"/>
        <v>0</v>
      </c>
      <c r="S1067" s="14">
        <f t="shared" si="618"/>
        <v>0</v>
      </c>
      <c r="T1067" s="14">
        <f t="shared" si="638"/>
        <v>0</v>
      </c>
      <c r="U1067" s="14">
        <f t="shared" si="638"/>
        <v>0</v>
      </c>
      <c r="V1067" s="14">
        <f t="shared" si="638"/>
        <v>0</v>
      </c>
      <c r="W1067" s="14">
        <f t="shared" si="638"/>
        <v>0</v>
      </c>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2"/>
      <c r="AX1067" s="14">
        <f>SUM(AX1064:AX1066)</f>
        <v>0</v>
      </c>
      <c r="AY1067" s="14">
        <f>ROUND(AX1067/1000/Update!$B$31*Update!$B$27,0)</f>
        <v>0</v>
      </c>
      <c r="AZ1067" s="2"/>
      <c r="BA1067" s="14">
        <f>SUM(BA1064:BA1066)</f>
        <v>0</v>
      </c>
      <c r="BB1067" s="14">
        <f>ROUND(BA1067/1000/Update!$B$31,0)</f>
        <v>0</v>
      </c>
      <c r="BC1067" s="14"/>
      <c r="BD1067" s="14">
        <f t="shared" si="628"/>
        <v>0</v>
      </c>
      <c r="BE1067" s="14">
        <f t="shared" ref="BE1067:BJ1067" si="639">SUM(BE1064:BE1066)</f>
        <v>0</v>
      </c>
      <c r="BF1067" s="14">
        <f t="shared" si="639"/>
        <v>0</v>
      </c>
      <c r="BG1067" s="14">
        <f t="shared" si="639"/>
        <v>0</v>
      </c>
      <c r="BH1067" s="14">
        <f t="shared" si="639"/>
        <v>0</v>
      </c>
      <c r="BI1067" s="14">
        <f t="shared" si="639"/>
        <v>0</v>
      </c>
      <c r="BJ1067" s="14">
        <f t="shared" si="639"/>
        <v>0</v>
      </c>
      <c r="BK1067" s="14">
        <f t="shared" si="595"/>
        <v>0</v>
      </c>
      <c r="BL1067" s="14"/>
      <c r="BM1067" s="14"/>
      <c r="BN1067" s="14"/>
      <c r="BO1067" s="14"/>
      <c r="BP1067" s="14"/>
      <c r="BQ1067" s="14"/>
      <c r="BR1067" s="14"/>
      <c r="BS1067" s="14"/>
      <c r="BT1067" s="324"/>
      <c r="BU1067" s="14"/>
      <c r="BV1067" s="14"/>
      <c r="BW1067" s="14"/>
      <c r="BX1067" s="14"/>
      <c r="BY1067" s="14"/>
      <c r="BZ1067" s="14"/>
      <c r="CA1067" s="14"/>
      <c r="CB1067" s="14"/>
      <c r="CC1067" s="14"/>
      <c r="CD1067" s="14"/>
      <c r="CE1067" s="14"/>
      <c r="CF1067" s="14"/>
      <c r="CG1067" s="14"/>
      <c r="CH1067" s="14"/>
      <c r="CI1067" s="14"/>
      <c r="CJ1067" s="2"/>
      <c r="CK1067" s="2"/>
      <c r="CM1067" s="1140">
        <v>0</v>
      </c>
      <c r="CN1067" s="1140">
        <v>0</v>
      </c>
      <c r="CP1067" s="923">
        <f t="shared" si="617"/>
        <v>0</v>
      </c>
      <c r="CZ1067" s="330"/>
    </row>
    <row r="1068" spans="1:104" ht="15" customHeight="1" x14ac:dyDescent="0.25">
      <c r="A1068" s="684">
        <f>MAX($A$6:A1067)+1</f>
        <v>1068</v>
      </c>
      <c r="B1068" s="3">
        <f t="shared" si="606"/>
        <v>6.1</v>
      </c>
      <c r="C1068" s="11" t="str">
        <f t="shared" si="636"/>
        <v>Consolidated intangible assets 2025-26</v>
      </c>
      <c r="D1068" s="11" t="s">
        <v>454</v>
      </c>
      <c r="E1068" s="7" t="s">
        <v>185</v>
      </c>
      <c r="F1068" s="7"/>
      <c r="G1068" s="1254" t="s">
        <v>185</v>
      </c>
      <c r="H1068" s="6">
        <v>0</v>
      </c>
      <c r="I1068" s="6">
        <v>0</v>
      </c>
      <c r="J1068" s="1257" t="s">
        <v>185</v>
      </c>
      <c r="K1068" s="251">
        <f>SUMIF('alb Note 6.1 -  Intangibles CY'!$A:$A,$J1068,'alb Note 6.1 -  Intangibles CY'!$H:$H)</f>
        <v>0</v>
      </c>
      <c r="L1068" s="251">
        <f>SUMIF('alb Note 6.1 -  Intangibles CY'!$A:$A,$J1068,'alb Note 6.1 -  Intangibles CY'!$S:$S)</f>
        <v>0</v>
      </c>
      <c r="M1068" s="10"/>
      <c r="N1068" s="273">
        <f t="shared" ref="N1068:N1076" si="640">ROUND(SUM(O1068:S1068)+SUM(W1068:AV1068),0)</f>
        <v>0</v>
      </c>
      <c r="O1068" s="12"/>
      <c r="P1068" s="12"/>
      <c r="Q1068" s="12"/>
      <c r="R1068" s="12"/>
      <c r="S1068" s="6">
        <f t="shared" si="618"/>
        <v>0</v>
      </c>
      <c r="T1068" s="273">
        <f t="shared" ref="T1068:T1076" si="641">ROUND(SUM(U1068:Y1068),0)</f>
        <v>0</v>
      </c>
      <c r="U1068" s="6">
        <f t="shared" ref="U1068:U1076" si="642">SUM(BL1068:BN1068)</f>
        <v>0</v>
      </c>
      <c r="V1068" s="6"/>
      <c r="W1068" s="6">
        <f t="shared" si="637"/>
        <v>0</v>
      </c>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X1068" s="6"/>
      <c r="AY1068" s="6">
        <f>ROUND(AX1068/1000/Update!$B$31*Update!$B$27,0)</f>
        <v>0</v>
      </c>
      <c r="BA1068" s="6"/>
      <c r="BB1068" s="6">
        <f>ROUND(BA1068/1000/Update!$B$31,0)</f>
        <v>0</v>
      </c>
      <c r="BC1068" s="6"/>
      <c r="BD1068" s="29">
        <f t="shared" si="628"/>
        <v>0</v>
      </c>
      <c r="BE1068" s="322"/>
      <c r="BF1068" s="322"/>
      <c r="BG1068" s="322"/>
      <c r="BH1068" s="322"/>
      <c r="BI1068" s="322"/>
      <c r="BJ1068" s="322"/>
      <c r="BK1068" s="29">
        <f t="shared" si="595"/>
        <v>0</v>
      </c>
      <c r="BL1068" s="322"/>
      <c r="BM1068" s="322"/>
      <c r="BN1068" s="322"/>
      <c r="BO1068" s="322"/>
      <c r="BP1068" s="322"/>
      <c r="BQ1068" s="322"/>
      <c r="BR1068" s="322"/>
      <c r="BS1068" s="322"/>
      <c r="BT1068" s="322"/>
      <c r="BU1068" s="322"/>
      <c r="BV1068" s="322"/>
      <c r="BW1068" s="322"/>
      <c r="BX1068" s="322"/>
      <c r="BY1068" s="322"/>
      <c r="BZ1068" s="322"/>
      <c r="CA1068" s="322"/>
      <c r="CB1068" s="322"/>
      <c r="CC1068" s="322"/>
      <c r="CD1068" s="322"/>
      <c r="CE1068" s="322"/>
      <c r="CF1068" s="322"/>
      <c r="CG1068" s="322"/>
      <c r="CH1068" s="322"/>
      <c r="CI1068" s="322"/>
      <c r="CM1068" s="1139">
        <v>0</v>
      </c>
      <c r="CN1068" s="1139">
        <v>0</v>
      </c>
      <c r="CP1068" s="923">
        <f t="shared" si="617"/>
        <v>0</v>
      </c>
      <c r="CZ1068" s="330"/>
    </row>
    <row r="1069" spans="1:104" ht="30" customHeight="1" x14ac:dyDescent="0.25">
      <c r="A1069" s="684">
        <f>MAX($A$6:A1068)+1</f>
        <v>1069</v>
      </c>
      <c r="B1069" s="3">
        <f t="shared" si="606"/>
        <v>6.1</v>
      </c>
      <c r="C1069" s="11" t="str">
        <f t="shared" si="636"/>
        <v>Consolidated intangible assets 2025-26</v>
      </c>
      <c r="D1069" s="11" t="str">
        <f>D1068</f>
        <v>Goodwill</v>
      </c>
      <c r="E1069" s="7" t="s">
        <v>437</v>
      </c>
      <c r="F1069" s="7"/>
      <c r="G1069" s="1254" t="s">
        <v>437</v>
      </c>
      <c r="H1069" s="6">
        <v>0</v>
      </c>
      <c r="I1069" s="6">
        <v>0</v>
      </c>
      <c r="J1069" s="1257" t="s">
        <v>437</v>
      </c>
      <c r="K1069" s="251">
        <f>SUMIF('alb Note 6.1 -  Intangibles CY'!$A:$A,$J1069,'alb Note 6.1 -  Intangibles CY'!$H:$H)</f>
        <v>0</v>
      </c>
      <c r="L1069" s="251">
        <f>SUMIF('alb Note 6.1 -  Intangibles CY'!$A:$A,$J1069,'alb Note 6.1 -  Intangibles CY'!$S:$S)</f>
        <v>0</v>
      </c>
      <c r="M1069" s="10"/>
      <c r="N1069" s="273">
        <f t="shared" si="640"/>
        <v>0</v>
      </c>
      <c r="O1069" s="12"/>
      <c r="P1069" s="12"/>
      <c r="Q1069" s="12"/>
      <c r="R1069" s="12"/>
      <c r="S1069" s="6">
        <f t="shared" si="618"/>
        <v>0</v>
      </c>
      <c r="T1069" s="273">
        <f t="shared" si="641"/>
        <v>0</v>
      </c>
      <c r="U1069" s="6">
        <f t="shared" si="642"/>
        <v>0</v>
      </c>
      <c r="V1069" s="6"/>
      <c r="W1069" s="6">
        <f t="shared" si="637"/>
        <v>0</v>
      </c>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X1069" s="6"/>
      <c r="AY1069" s="6">
        <f>ROUND(AX1069/1000/Update!$B$31*Update!$B$27,0)</f>
        <v>0</v>
      </c>
      <c r="BA1069" s="6"/>
      <c r="BB1069" s="6">
        <f>ROUND(BA1069/1000/Update!$B$31,0)</f>
        <v>0</v>
      </c>
      <c r="BC1069" s="6"/>
      <c r="BD1069" s="29">
        <f t="shared" si="628"/>
        <v>0</v>
      </c>
      <c r="BE1069" s="322"/>
      <c r="BF1069" s="322"/>
      <c r="BG1069" s="322"/>
      <c r="BH1069" s="322"/>
      <c r="BI1069" s="322"/>
      <c r="BJ1069" s="322"/>
      <c r="BK1069" s="29">
        <f t="shared" si="595"/>
        <v>0</v>
      </c>
      <c r="BL1069" s="322"/>
      <c r="BM1069" s="322"/>
      <c r="BN1069" s="322"/>
      <c r="BO1069" s="322"/>
      <c r="BP1069" s="322"/>
      <c r="BQ1069" s="322"/>
      <c r="BR1069" s="322"/>
      <c r="BS1069" s="322"/>
      <c r="BT1069" s="322"/>
      <c r="BU1069" s="322"/>
      <c r="BV1069" s="322"/>
      <c r="BW1069" s="322"/>
      <c r="BX1069" s="322"/>
      <c r="BY1069" s="322"/>
      <c r="BZ1069" s="322"/>
      <c r="CA1069" s="322"/>
      <c r="CB1069" s="322"/>
      <c r="CC1069" s="322"/>
      <c r="CD1069" s="322"/>
      <c r="CE1069" s="322"/>
      <c r="CF1069" s="322"/>
      <c r="CG1069" s="322"/>
      <c r="CH1069" s="322"/>
      <c r="CI1069" s="322"/>
      <c r="CM1069" s="1139">
        <v>0</v>
      </c>
      <c r="CN1069" s="1139">
        <v>0</v>
      </c>
      <c r="CP1069" s="923">
        <f t="shared" si="617"/>
        <v>0</v>
      </c>
      <c r="CZ1069" s="330"/>
    </row>
    <row r="1070" spans="1:104" ht="15" customHeight="1" x14ac:dyDescent="0.25">
      <c r="A1070" s="684">
        <f>MAX($A$6:A1069)+1</f>
        <v>1070</v>
      </c>
      <c r="B1070" s="3">
        <f t="shared" si="606"/>
        <v>6.1</v>
      </c>
      <c r="C1070" s="11" t="str">
        <f>C1067</f>
        <v>Consolidated intangible assets 2025-26</v>
      </c>
      <c r="D1070" s="11" t="str">
        <f>D1069</f>
        <v>Goodwill</v>
      </c>
      <c r="E1070" s="7" t="s">
        <v>187</v>
      </c>
      <c r="F1070" s="7"/>
      <c r="G1070" s="1257" t="s">
        <v>187</v>
      </c>
      <c r="H1070" s="6">
        <v>0</v>
      </c>
      <c r="I1070" s="6">
        <v>0</v>
      </c>
      <c r="J1070" s="1257" t="s">
        <v>187</v>
      </c>
      <c r="K1070" s="251">
        <f>SUMIF('alb Note 6.1 -  Intangibles CY'!$A:$A,$J1070,'alb Note 6.1 -  Intangibles CY'!$H:$H)</f>
        <v>0</v>
      </c>
      <c r="L1070" s="251">
        <f>SUMIF('alb Note 6.1 -  Intangibles CY'!$A:$A,$J1070,'alb Note 6.1 -  Intangibles CY'!$S:$S)</f>
        <v>0</v>
      </c>
      <c r="M1070" s="10"/>
      <c r="N1070" s="273">
        <f t="shared" si="640"/>
        <v>0</v>
      </c>
      <c r="O1070" s="12"/>
      <c r="P1070" s="12"/>
      <c r="Q1070" s="12"/>
      <c r="R1070" s="12"/>
      <c r="S1070" s="6">
        <f t="shared" si="618"/>
        <v>0</v>
      </c>
      <c r="T1070" s="273">
        <f t="shared" si="641"/>
        <v>0</v>
      </c>
      <c r="U1070" s="6">
        <f t="shared" si="642"/>
        <v>0</v>
      </c>
      <c r="V1070" s="6"/>
      <c r="W1070" s="6">
        <f t="shared" si="637"/>
        <v>0</v>
      </c>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X1070" s="6"/>
      <c r="AY1070" s="6">
        <f>ROUND(AX1070/1000/Update!$B$31*Update!$B$27,0)</f>
        <v>0</v>
      </c>
      <c r="BA1070" s="6"/>
      <c r="BB1070" s="6">
        <f>ROUND(BA1070/1000/Update!$B$31,0)</f>
        <v>0</v>
      </c>
      <c r="BC1070" s="6"/>
      <c r="BD1070" s="29">
        <f t="shared" si="628"/>
        <v>0</v>
      </c>
      <c r="BE1070" s="322"/>
      <c r="BF1070" s="322"/>
      <c r="BG1070" s="322"/>
      <c r="BH1070" s="322"/>
      <c r="BI1070" s="322"/>
      <c r="BJ1070" s="322"/>
      <c r="BK1070" s="29">
        <f t="shared" ref="BK1070:BK1133" si="643">ROUND(SUM(BO1070:CI1070),0)</f>
        <v>0</v>
      </c>
      <c r="BL1070" s="322"/>
      <c r="BM1070" s="322"/>
      <c r="BN1070" s="322"/>
      <c r="BO1070" s="322"/>
      <c r="BP1070" s="322"/>
      <c r="BQ1070" s="322"/>
      <c r="BR1070" s="322"/>
      <c r="BS1070" s="322"/>
      <c r="BT1070" s="322"/>
      <c r="BU1070" s="322"/>
      <c r="BV1070" s="322"/>
      <c r="BW1070" s="322"/>
      <c r="BX1070" s="322"/>
      <c r="BY1070" s="322"/>
      <c r="BZ1070" s="322"/>
      <c r="CA1070" s="322"/>
      <c r="CB1070" s="322"/>
      <c r="CC1070" s="322"/>
      <c r="CD1070" s="322"/>
      <c r="CE1070" s="322"/>
      <c r="CF1070" s="322"/>
      <c r="CG1070" s="322"/>
      <c r="CH1070" s="322"/>
      <c r="CI1070" s="322"/>
      <c r="CM1070" s="1139">
        <v>0</v>
      </c>
      <c r="CN1070" s="1139">
        <v>0</v>
      </c>
      <c r="CP1070" s="923">
        <f t="shared" si="617"/>
        <v>0</v>
      </c>
      <c r="CZ1070" s="330"/>
    </row>
    <row r="1071" spans="1:104" ht="15" customHeight="1" x14ac:dyDescent="0.25">
      <c r="A1071" s="684">
        <f>MAX($A$6:A1070)+1</f>
        <v>1071</v>
      </c>
      <c r="B1071" s="3">
        <f t="shared" si="606"/>
        <v>6.1</v>
      </c>
      <c r="C1071" s="11" t="str">
        <f>C1069</f>
        <v>Consolidated intangible assets 2025-26</v>
      </c>
      <c r="D1071" s="11" t="s">
        <v>454</v>
      </c>
      <c r="E1071" s="7" t="s">
        <v>191</v>
      </c>
      <c r="F1071" s="7"/>
      <c r="G1071" s="1254" t="s">
        <v>457</v>
      </c>
      <c r="H1071" s="6">
        <v>0</v>
      </c>
      <c r="I1071" s="6">
        <v>0</v>
      </c>
      <c r="J1071" s="1257" t="s">
        <v>191</v>
      </c>
      <c r="K1071" s="251">
        <f>SUMIF('alb Note 6.1 -  Intangibles CY'!$A:$A,$J1071,'alb Note 6.1 -  Intangibles CY'!$H:$H)</f>
        <v>0</v>
      </c>
      <c r="L1071" s="251">
        <f>SUMIF('alb Note 6.1 -  Intangibles CY'!$A:$A,$J1071,'alb Note 6.1 -  Intangibles CY'!$S:$S)</f>
        <v>0</v>
      </c>
      <c r="M1071" s="10"/>
      <c r="N1071" s="273">
        <f t="shared" si="640"/>
        <v>0</v>
      </c>
      <c r="O1071" s="12"/>
      <c r="P1071" s="12"/>
      <c r="Q1071" s="12"/>
      <c r="R1071" s="12"/>
      <c r="S1071" s="6">
        <f t="shared" si="618"/>
        <v>0</v>
      </c>
      <c r="T1071" s="273">
        <f t="shared" si="641"/>
        <v>0</v>
      </c>
      <c r="U1071" s="6">
        <f t="shared" si="642"/>
        <v>0</v>
      </c>
      <c r="V1071" s="6"/>
      <c r="W1071" s="6">
        <f t="shared" si="637"/>
        <v>0</v>
      </c>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X1071" s="6"/>
      <c r="AY1071" s="6">
        <f>ROUND(AX1071/1000/Update!$B$31*Update!$B$27,0)</f>
        <v>0</v>
      </c>
      <c r="BA1071" s="6"/>
      <c r="BB1071" s="6">
        <f>ROUND(BA1071/1000/Update!$B$31,0)</f>
        <v>0</v>
      </c>
      <c r="BC1071" s="6"/>
      <c r="BD1071" s="29">
        <f t="shared" si="628"/>
        <v>0</v>
      </c>
      <c r="BE1071" s="322"/>
      <c r="BF1071" s="322"/>
      <c r="BG1071" s="322"/>
      <c r="BH1071" s="322"/>
      <c r="BI1071" s="322"/>
      <c r="BJ1071" s="322"/>
      <c r="BK1071" s="29">
        <f t="shared" si="643"/>
        <v>0</v>
      </c>
      <c r="BL1071" s="322"/>
      <c r="BM1071" s="322"/>
      <c r="BN1071" s="322"/>
      <c r="BO1071" s="322"/>
      <c r="BP1071" s="322"/>
      <c r="BQ1071" s="322"/>
      <c r="BR1071" s="322"/>
      <c r="BS1071" s="322"/>
      <c r="BT1071" s="322"/>
      <c r="BU1071" s="322"/>
      <c r="BV1071" s="322"/>
      <c r="BW1071" s="322"/>
      <c r="BX1071" s="322"/>
      <c r="BY1071" s="322"/>
      <c r="BZ1071" s="322"/>
      <c r="CA1071" s="322"/>
      <c r="CB1071" s="322"/>
      <c r="CC1071" s="322"/>
      <c r="CD1071" s="322"/>
      <c r="CE1071" s="322"/>
      <c r="CF1071" s="322"/>
      <c r="CG1071" s="322"/>
      <c r="CH1071" s="322"/>
      <c r="CI1071" s="322"/>
      <c r="CM1071" s="1139">
        <v>0</v>
      </c>
      <c r="CN1071" s="1139">
        <v>0</v>
      </c>
      <c r="CP1071" s="923">
        <f t="shared" si="617"/>
        <v>0</v>
      </c>
      <c r="CZ1071" s="330"/>
    </row>
    <row r="1072" spans="1:104" ht="15" customHeight="1" x14ac:dyDescent="0.25">
      <c r="A1072" s="684">
        <f>MAX($A$6:A1071)+1</f>
        <v>1072</v>
      </c>
      <c r="B1072" s="3">
        <f t="shared" si="606"/>
        <v>6.1</v>
      </c>
      <c r="C1072" s="11" t="str">
        <f t="shared" si="636"/>
        <v>Consolidated intangible assets 2025-26</v>
      </c>
      <c r="D1072" s="11" t="s">
        <v>454</v>
      </c>
      <c r="E1072" s="7" t="s">
        <v>186</v>
      </c>
      <c r="F1072" s="7"/>
      <c r="G1072" s="1254" t="s">
        <v>186</v>
      </c>
      <c r="H1072" s="6">
        <v>0</v>
      </c>
      <c r="I1072" s="6">
        <v>0</v>
      </c>
      <c r="J1072" s="1257" t="s">
        <v>186</v>
      </c>
      <c r="K1072" s="251">
        <f>SUMIF('alb Note 6.1 -  Intangibles CY'!$A:$A,$J1072,'alb Note 6.1 -  Intangibles CY'!$H:$H)</f>
        <v>0</v>
      </c>
      <c r="L1072" s="251">
        <f>SUMIF('alb Note 6.1 -  Intangibles CY'!$A:$A,$J1072,'alb Note 6.1 -  Intangibles CY'!$S:$S)</f>
        <v>0</v>
      </c>
      <c r="M1072" s="10"/>
      <c r="N1072" s="273">
        <f t="shared" si="640"/>
        <v>0</v>
      </c>
      <c r="O1072" s="12"/>
      <c r="P1072" s="12"/>
      <c r="Q1072" s="12"/>
      <c r="R1072" s="12"/>
      <c r="S1072" s="6">
        <f t="shared" si="618"/>
        <v>0</v>
      </c>
      <c r="T1072" s="273">
        <f t="shared" si="641"/>
        <v>0</v>
      </c>
      <c r="U1072" s="6">
        <f t="shared" si="642"/>
        <v>0</v>
      </c>
      <c r="V1072" s="6"/>
      <c r="W1072" s="6">
        <f t="shared" si="637"/>
        <v>0</v>
      </c>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X1072" s="6"/>
      <c r="AY1072" s="6">
        <f>ROUND(AX1072/1000/Update!$B$31*Update!$B$27,0)</f>
        <v>0</v>
      </c>
      <c r="BA1072" s="6"/>
      <c r="BB1072" s="6">
        <f>ROUND(BA1072/1000/Update!$B$31,0)</f>
        <v>0</v>
      </c>
      <c r="BC1072" s="6"/>
      <c r="BD1072" s="29">
        <f t="shared" si="628"/>
        <v>0</v>
      </c>
      <c r="BE1072" s="322"/>
      <c r="BF1072" s="322"/>
      <c r="BG1072" s="322"/>
      <c r="BH1072" s="322"/>
      <c r="BI1072" s="322"/>
      <c r="BJ1072" s="322"/>
      <c r="BK1072" s="29">
        <f t="shared" si="643"/>
        <v>0</v>
      </c>
      <c r="BL1072" s="322"/>
      <c r="BM1072" s="322"/>
      <c r="BN1072" s="322"/>
      <c r="BO1072" s="322"/>
      <c r="BP1072" s="322"/>
      <c r="BQ1072" s="322"/>
      <c r="BR1072" s="322"/>
      <c r="BS1072" s="322"/>
      <c r="BT1072" s="322"/>
      <c r="BU1072" s="322"/>
      <c r="BV1072" s="322"/>
      <c r="BW1072" s="322"/>
      <c r="BX1072" s="322"/>
      <c r="BY1072" s="322"/>
      <c r="BZ1072" s="322"/>
      <c r="CA1072" s="322"/>
      <c r="CB1072" s="322"/>
      <c r="CC1072" s="322"/>
      <c r="CD1072" s="322"/>
      <c r="CE1072" s="322"/>
      <c r="CF1072" s="322"/>
      <c r="CG1072" s="322"/>
      <c r="CH1072" s="322"/>
      <c r="CI1072" s="322"/>
      <c r="CM1072" s="1139">
        <v>0</v>
      </c>
      <c r="CN1072" s="1139">
        <v>0</v>
      </c>
      <c r="CP1072" s="923">
        <f t="shared" si="617"/>
        <v>0</v>
      </c>
      <c r="CZ1072" s="330"/>
    </row>
    <row r="1073" spans="1:104" ht="15" customHeight="1" x14ac:dyDescent="0.25">
      <c r="A1073" s="684">
        <f>MAX($A$6:A1072)+1</f>
        <v>1073</v>
      </c>
      <c r="B1073" s="3">
        <f t="shared" si="606"/>
        <v>6.1</v>
      </c>
      <c r="C1073" s="11" t="str">
        <f t="shared" si="636"/>
        <v>Consolidated intangible assets 2025-26</v>
      </c>
      <c r="D1073" s="11" t="s">
        <v>454</v>
      </c>
      <c r="E1073" s="7" t="s">
        <v>188</v>
      </c>
      <c r="F1073" s="7"/>
      <c r="G1073" s="1254" t="s">
        <v>188</v>
      </c>
      <c r="H1073" s="6">
        <v>0</v>
      </c>
      <c r="I1073" s="6">
        <v>0</v>
      </c>
      <c r="J1073" s="1257" t="s">
        <v>188</v>
      </c>
      <c r="K1073" s="251">
        <f>SUMIF('alb Note 6.1 -  Intangibles CY'!$A:$A,$J1073,'alb Note 6.1 -  Intangibles CY'!$H:$H)</f>
        <v>0</v>
      </c>
      <c r="L1073" s="251">
        <f>SUMIF('alb Note 6.1 -  Intangibles CY'!$A:$A,$J1073,'alb Note 6.1 -  Intangibles CY'!$S:$S)</f>
        <v>0</v>
      </c>
      <c r="M1073" s="10"/>
      <c r="N1073" s="273">
        <f t="shared" si="640"/>
        <v>0</v>
      </c>
      <c r="O1073" s="12"/>
      <c r="P1073" s="12"/>
      <c r="Q1073" s="12"/>
      <c r="R1073" s="12"/>
      <c r="S1073" s="6">
        <f t="shared" si="618"/>
        <v>0</v>
      </c>
      <c r="T1073" s="273">
        <f t="shared" si="641"/>
        <v>0</v>
      </c>
      <c r="U1073" s="6">
        <f t="shared" si="642"/>
        <v>0</v>
      </c>
      <c r="V1073" s="6"/>
      <c r="W1073" s="6">
        <f t="shared" si="637"/>
        <v>0</v>
      </c>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X1073" s="6"/>
      <c r="AY1073" s="6">
        <f>ROUND(AX1073/1000/Update!$B$31*Update!$B$27,0)</f>
        <v>0</v>
      </c>
      <c r="BA1073" s="6"/>
      <c r="BB1073" s="6">
        <f>ROUND(BA1073/1000/Update!$B$31,0)</f>
        <v>0</v>
      </c>
      <c r="BC1073" s="6"/>
      <c r="BD1073" s="29">
        <f t="shared" si="628"/>
        <v>0</v>
      </c>
      <c r="BE1073" s="322"/>
      <c r="BF1073" s="322"/>
      <c r="BG1073" s="322"/>
      <c r="BH1073" s="322"/>
      <c r="BI1073" s="322"/>
      <c r="BJ1073" s="322"/>
      <c r="BK1073" s="29">
        <f t="shared" si="643"/>
        <v>0</v>
      </c>
      <c r="BL1073" s="322"/>
      <c r="BM1073" s="322"/>
      <c r="BN1073" s="322"/>
      <c r="BO1073" s="322"/>
      <c r="BP1073" s="322"/>
      <c r="BQ1073" s="322"/>
      <c r="BR1073" s="322"/>
      <c r="BS1073" s="322"/>
      <c r="BT1073" s="322"/>
      <c r="BU1073" s="322"/>
      <c r="BV1073" s="322"/>
      <c r="BW1073" s="322"/>
      <c r="BX1073" s="322"/>
      <c r="BY1073" s="322"/>
      <c r="BZ1073" s="322"/>
      <c r="CA1073" s="322"/>
      <c r="CB1073" s="322"/>
      <c r="CC1073" s="322"/>
      <c r="CD1073" s="322"/>
      <c r="CE1073" s="322"/>
      <c r="CF1073" s="322"/>
      <c r="CG1073" s="322"/>
      <c r="CH1073" s="322"/>
      <c r="CI1073" s="322"/>
      <c r="CM1073" s="1139">
        <v>0</v>
      </c>
      <c r="CN1073" s="1139">
        <v>0</v>
      </c>
      <c r="CP1073" s="923">
        <f t="shared" si="617"/>
        <v>0</v>
      </c>
      <c r="CZ1073" s="330"/>
    </row>
    <row r="1074" spans="1:104" ht="30" customHeight="1" x14ac:dyDescent="0.25">
      <c r="A1074" s="684">
        <f>MAX($A$6:A1073)+1</f>
        <v>1074</v>
      </c>
      <c r="B1074" s="3">
        <f t="shared" si="606"/>
        <v>6.1</v>
      </c>
      <c r="C1074" s="11" t="str">
        <f t="shared" si="636"/>
        <v>Consolidated intangible assets 2025-26</v>
      </c>
      <c r="D1074" s="11" t="s">
        <v>454</v>
      </c>
      <c r="E1074" s="7" t="s">
        <v>192</v>
      </c>
      <c r="F1074" s="7"/>
      <c r="G1074" s="1254" t="s">
        <v>438</v>
      </c>
      <c r="H1074" s="6">
        <v>0</v>
      </c>
      <c r="I1074" s="6">
        <v>0</v>
      </c>
      <c r="J1074" s="1257" t="s">
        <v>768</v>
      </c>
      <c r="K1074" s="251">
        <f>SUMIF('alb Note 6.1 -  Intangibles CY'!$A:$A,$J1074,'alb Note 6.1 -  Intangibles CY'!$H:$H)</f>
        <v>0</v>
      </c>
      <c r="L1074" s="251">
        <f>SUMIF('alb Note 6.1 -  Intangibles CY'!$A:$A,$J1074,'alb Note 6.1 -  Intangibles CY'!$S:$S)</f>
        <v>0</v>
      </c>
      <c r="M1074" s="10"/>
      <c r="N1074" s="273">
        <f t="shared" si="640"/>
        <v>0</v>
      </c>
      <c r="O1074" s="12"/>
      <c r="P1074" s="12"/>
      <c r="Q1074" s="12"/>
      <c r="R1074" s="12"/>
      <c r="S1074" s="6">
        <f t="shared" si="618"/>
        <v>0</v>
      </c>
      <c r="T1074" s="273">
        <f t="shared" si="641"/>
        <v>0</v>
      </c>
      <c r="U1074" s="6">
        <f t="shared" si="642"/>
        <v>0</v>
      </c>
      <c r="V1074" s="6"/>
      <c r="W1074" s="6">
        <f t="shared" si="637"/>
        <v>0</v>
      </c>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X1074" s="6"/>
      <c r="AY1074" s="6">
        <f>ROUND(AX1074/1000/Update!$B$31*Update!$B$27,0)</f>
        <v>0</v>
      </c>
      <c r="BA1074" s="6"/>
      <c r="BB1074" s="6">
        <f>ROUND(BA1074/1000/Update!$B$31,0)</f>
        <v>0</v>
      </c>
      <c r="BC1074" s="6"/>
      <c r="BD1074" s="29">
        <f t="shared" si="628"/>
        <v>0</v>
      </c>
      <c r="BE1074" s="322"/>
      <c r="BF1074" s="322"/>
      <c r="BG1074" s="322"/>
      <c r="BH1074" s="322"/>
      <c r="BI1074" s="322"/>
      <c r="BJ1074" s="322"/>
      <c r="BK1074" s="29">
        <f t="shared" si="643"/>
        <v>0</v>
      </c>
      <c r="BL1074" s="322"/>
      <c r="BM1074" s="322"/>
      <c r="BN1074" s="322"/>
      <c r="BO1074" s="322"/>
      <c r="BP1074" s="322"/>
      <c r="BQ1074" s="322"/>
      <c r="BR1074" s="322"/>
      <c r="BS1074" s="322"/>
      <c r="BT1074" s="322"/>
      <c r="BU1074" s="322"/>
      <c r="BV1074" s="322"/>
      <c r="BW1074" s="322"/>
      <c r="BX1074" s="322"/>
      <c r="BY1074" s="322"/>
      <c r="BZ1074" s="322"/>
      <c r="CA1074" s="322"/>
      <c r="CB1074" s="322"/>
      <c r="CC1074" s="322"/>
      <c r="CD1074" s="322"/>
      <c r="CE1074" s="322"/>
      <c r="CF1074" s="322"/>
      <c r="CG1074" s="322"/>
      <c r="CH1074" s="322"/>
      <c r="CI1074" s="322"/>
      <c r="CM1074" s="1139">
        <v>0</v>
      </c>
      <c r="CN1074" s="1139">
        <v>0</v>
      </c>
      <c r="CP1074" s="923">
        <f t="shared" si="617"/>
        <v>0</v>
      </c>
      <c r="CZ1074" s="330"/>
    </row>
    <row r="1075" spans="1:104" ht="51" customHeight="1" x14ac:dyDescent="0.25">
      <c r="A1075" s="684">
        <f>MAX($A$6:A1074)+1</f>
        <v>1075</v>
      </c>
      <c r="B1075" s="3">
        <f t="shared" si="606"/>
        <v>6.1</v>
      </c>
      <c r="C1075" s="11" t="str">
        <f t="shared" si="636"/>
        <v>Consolidated intangible assets 2025-26</v>
      </c>
      <c r="D1075" s="11" t="s">
        <v>454</v>
      </c>
      <c r="E1075" s="7" t="s">
        <v>193</v>
      </c>
      <c r="F1075" s="7"/>
      <c r="G1075" s="1254" t="s">
        <v>193</v>
      </c>
      <c r="H1075" s="6">
        <v>0</v>
      </c>
      <c r="I1075" s="6">
        <v>0</v>
      </c>
      <c r="J1075" s="1257" t="s">
        <v>767</v>
      </c>
      <c r="K1075" s="251">
        <f>SUMIF('alb Note 6.1 -  Intangibles CY'!$A:$A,$J1075,'alb Note 6.1 -  Intangibles CY'!$H:$H)</f>
        <v>0</v>
      </c>
      <c r="L1075" s="251">
        <f>SUMIF('alb Note 6.1 -  Intangibles CY'!$A:$A,$J1075,'alb Note 6.1 -  Intangibles CY'!$S:$S)</f>
        <v>0</v>
      </c>
      <c r="M1075" s="10"/>
      <c r="N1075" s="273">
        <f t="shared" si="640"/>
        <v>0</v>
      </c>
      <c r="O1075" s="12"/>
      <c r="P1075" s="12"/>
      <c r="Q1075" s="12"/>
      <c r="R1075" s="12"/>
      <c r="S1075" s="6">
        <f t="shared" si="618"/>
        <v>0</v>
      </c>
      <c r="T1075" s="273">
        <f t="shared" si="641"/>
        <v>0</v>
      </c>
      <c r="U1075" s="6">
        <f t="shared" si="642"/>
        <v>0</v>
      </c>
      <c r="V1075" s="6"/>
      <c r="W1075" s="6">
        <f t="shared" si="637"/>
        <v>0</v>
      </c>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X1075" s="6"/>
      <c r="AY1075" s="6">
        <f>ROUND(AX1075/1000/Update!$B$31*Update!$B$27,0)</f>
        <v>0</v>
      </c>
      <c r="BA1075" s="6"/>
      <c r="BB1075" s="6">
        <f>ROUND(BA1075/1000/Update!$B$31,0)</f>
        <v>0</v>
      </c>
      <c r="BC1075" s="6"/>
      <c r="BD1075" s="29">
        <f t="shared" si="628"/>
        <v>0</v>
      </c>
      <c r="BE1075" s="322"/>
      <c r="BF1075" s="322"/>
      <c r="BG1075" s="322"/>
      <c r="BH1075" s="322"/>
      <c r="BI1075" s="322"/>
      <c r="BJ1075" s="322"/>
      <c r="BK1075" s="29">
        <f t="shared" si="643"/>
        <v>0</v>
      </c>
      <c r="BL1075" s="322"/>
      <c r="BM1075" s="322"/>
      <c r="BN1075" s="322"/>
      <c r="BO1075" s="322"/>
      <c r="BP1075" s="322"/>
      <c r="BQ1075" s="322"/>
      <c r="BR1075" s="322"/>
      <c r="BS1075" s="322"/>
      <c r="BT1075" s="322"/>
      <c r="BU1075" s="322"/>
      <c r="BV1075" s="322"/>
      <c r="BW1075" s="322"/>
      <c r="BX1075" s="322"/>
      <c r="BY1075" s="322"/>
      <c r="BZ1075" s="322"/>
      <c r="CA1075" s="322"/>
      <c r="CB1075" s="322"/>
      <c r="CC1075" s="322"/>
      <c r="CD1075" s="322"/>
      <c r="CE1075" s="322"/>
      <c r="CF1075" s="322"/>
      <c r="CG1075" s="322"/>
      <c r="CH1075" s="322"/>
      <c r="CI1075" s="322"/>
      <c r="CM1075" s="1139">
        <v>0</v>
      </c>
      <c r="CN1075" s="1139">
        <v>0</v>
      </c>
      <c r="CP1075" s="923">
        <f t="shared" si="617"/>
        <v>0</v>
      </c>
      <c r="CZ1075" s="330"/>
    </row>
    <row r="1076" spans="1:104" ht="15" customHeight="1" x14ac:dyDescent="0.25">
      <c r="A1076" s="684">
        <f>MAX($A$6:A1075)+1</f>
        <v>1076</v>
      </c>
      <c r="B1076" s="3">
        <f t="shared" si="606"/>
        <v>6.1</v>
      </c>
      <c r="C1076" s="11" t="str">
        <f t="shared" si="636"/>
        <v>Consolidated intangible assets 2025-26</v>
      </c>
      <c r="D1076" s="11" t="s">
        <v>454</v>
      </c>
      <c r="E1076" s="7" t="s">
        <v>189</v>
      </c>
      <c r="F1076" s="7"/>
      <c r="G1076" s="1254" t="s">
        <v>189</v>
      </c>
      <c r="H1076" s="6">
        <v>0</v>
      </c>
      <c r="I1076" s="6">
        <v>0</v>
      </c>
      <c r="J1076" s="1257" t="s">
        <v>557</v>
      </c>
      <c r="K1076" s="251">
        <f>SUMIF('alb Note 6.1 -  Intangibles CY'!$A:$A,$J1076,'alb Note 6.1 -  Intangibles CY'!$H:$H)</f>
        <v>0</v>
      </c>
      <c r="L1076" s="251">
        <f>SUMIF('alb Note 6.1 -  Intangibles CY'!$A:$A,$J1076,'alb Note 6.1 -  Intangibles CY'!$S:$S)</f>
        <v>0</v>
      </c>
      <c r="M1076" s="10"/>
      <c r="N1076" s="273">
        <f t="shared" si="640"/>
        <v>0</v>
      </c>
      <c r="O1076" s="12"/>
      <c r="P1076" s="12"/>
      <c r="Q1076" s="12"/>
      <c r="R1076" s="12"/>
      <c r="S1076" s="6">
        <f t="shared" si="618"/>
        <v>0</v>
      </c>
      <c r="T1076" s="273">
        <f t="shared" si="641"/>
        <v>0</v>
      </c>
      <c r="U1076" s="6">
        <f t="shared" si="642"/>
        <v>0</v>
      </c>
      <c r="V1076" s="6"/>
      <c r="W1076" s="6">
        <f t="shared" si="637"/>
        <v>0</v>
      </c>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X1076" s="6"/>
      <c r="AY1076" s="6">
        <f>ROUND(AX1076/1000/Update!$B$31*Update!$B$27,0)</f>
        <v>0</v>
      </c>
      <c r="BA1076" s="6"/>
      <c r="BB1076" s="6">
        <f>ROUND(BA1076/1000/Update!$B$31,0)</f>
        <v>0</v>
      </c>
      <c r="BC1076" s="6"/>
      <c r="BD1076" s="29">
        <f t="shared" si="628"/>
        <v>0</v>
      </c>
      <c r="BE1076" s="322"/>
      <c r="BF1076" s="322"/>
      <c r="BG1076" s="322"/>
      <c r="BH1076" s="322"/>
      <c r="BI1076" s="322"/>
      <c r="BJ1076" s="322"/>
      <c r="BK1076" s="29">
        <f t="shared" si="643"/>
        <v>0</v>
      </c>
      <c r="BL1076" s="322"/>
      <c r="BM1076" s="322"/>
      <c r="BN1076" s="322"/>
      <c r="BO1076" s="322"/>
      <c r="BP1076" s="322"/>
      <c r="BQ1076" s="322"/>
      <c r="BR1076" s="322"/>
      <c r="BS1076" s="322"/>
      <c r="BT1076" s="322"/>
      <c r="BU1076" s="322"/>
      <c r="BV1076" s="322"/>
      <c r="BW1076" s="322"/>
      <c r="BX1076" s="322"/>
      <c r="BY1076" s="322"/>
      <c r="BZ1076" s="322"/>
      <c r="CA1076" s="322"/>
      <c r="CB1076" s="322"/>
      <c r="CC1076" s="322"/>
      <c r="CD1076" s="322"/>
      <c r="CE1076" s="322"/>
      <c r="CF1076" s="322"/>
      <c r="CG1076" s="322"/>
      <c r="CH1076" s="322"/>
      <c r="CI1076" s="322"/>
      <c r="CM1076" s="1139">
        <v>0</v>
      </c>
      <c r="CN1076" s="1139">
        <v>0</v>
      </c>
      <c r="CP1076" s="923">
        <f t="shared" si="617"/>
        <v>0</v>
      </c>
      <c r="CZ1076" s="330"/>
    </row>
    <row r="1077" spans="1:104" ht="15" customHeight="1" x14ac:dyDescent="0.25">
      <c r="A1077" s="701">
        <f>MAX($A$6:A1076)+1</f>
        <v>1077</v>
      </c>
      <c r="B1077" s="1291">
        <f t="shared" si="606"/>
        <v>6.1</v>
      </c>
      <c r="C1077" s="18" t="str">
        <f t="shared" si="636"/>
        <v>Consolidated intangible assets 2025-26</v>
      </c>
      <c r="D1077" s="18" t="s">
        <v>454</v>
      </c>
      <c r="E1077" s="19" t="str">
        <f>"At"&amp;Update!$B$22</f>
        <v>At 31 March 2026</v>
      </c>
      <c r="F1077" s="20"/>
      <c r="G1077" s="28"/>
      <c r="H1077" s="14">
        <f>SUM(H1067:H1076)</f>
        <v>0</v>
      </c>
      <c r="I1077" s="14">
        <f>SUM(I1067:I1076)</f>
        <v>0</v>
      </c>
      <c r="J1077" s="1258" t="s">
        <v>286</v>
      </c>
      <c r="K1077" s="14">
        <f>SUM(K1067:K1076)</f>
        <v>0</v>
      </c>
      <c r="L1077" s="14">
        <f>SUM(L1067:L1076)</f>
        <v>0</v>
      </c>
      <c r="M1077" s="21"/>
      <c r="N1077" s="14">
        <f>ROUND(SUM(O1077:S1077)+T1077+SUM(Z1077:AV1077),0)</f>
        <v>0</v>
      </c>
      <c r="O1077" s="14">
        <f t="shared" ref="O1077:W1077" si="644">SUM(O1067:O1076)</f>
        <v>0</v>
      </c>
      <c r="P1077" s="14">
        <f t="shared" si="644"/>
        <v>0</v>
      </c>
      <c r="Q1077" s="14">
        <f t="shared" si="644"/>
        <v>0</v>
      </c>
      <c r="R1077" s="14">
        <f t="shared" si="644"/>
        <v>0</v>
      </c>
      <c r="S1077" s="14">
        <f t="shared" si="618"/>
        <v>0</v>
      </c>
      <c r="T1077" s="14">
        <f t="shared" si="644"/>
        <v>0</v>
      </c>
      <c r="U1077" s="14">
        <f t="shared" si="644"/>
        <v>0</v>
      </c>
      <c r="V1077" s="14">
        <f t="shared" si="644"/>
        <v>0</v>
      </c>
      <c r="W1077" s="14">
        <f t="shared" si="644"/>
        <v>0</v>
      </c>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2"/>
      <c r="AX1077" s="14">
        <f>SUM(AX1067:AX1076)</f>
        <v>0</v>
      </c>
      <c r="AY1077" s="14">
        <f>ROUND(AX1077/1000/Update!$B$31*Update!$B$27,0)</f>
        <v>0</v>
      </c>
      <c r="AZ1077" s="2"/>
      <c r="BA1077" s="14">
        <f>SUM(BA1067:BA1076)</f>
        <v>0</v>
      </c>
      <c r="BB1077" s="14">
        <f>ROUND(BA1077/1000/Update!$B$31,0)</f>
        <v>0</v>
      </c>
      <c r="BC1077" s="14"/>
      <c r="BD1077" s="14">
        <f t="shared" si="628"/>
        <v>0</v>
      </c>
      <c r="BE1077" s="14">
        <f t="shared" ref="BE1077:BJ1077" si="645">SUM(BE1067:BE1076)</f>
        <v>0</v>
      </c>
      <c r="BF1077" s="14">
        <f t="shared" si="645"/>
        <v>0</v>
      </c>
      <c r="BG1077" s="14">
        <f t="shared" si="645"/>
        <v>0</v>
      </c>
      <c r="BH1077" s="14">
        <f t="shared" si="645"/>
        <v>0</v>
      </c>
      <c r="BI1077" s="14">
        <f t="shared" si="645"/>
        <v>0</v>
      </c>
      <c r="BJ1077" s="14">
        <f t="shared" si="645"/>
        <v>0</v>
      </c>
      <c r="BK1077" s="14">
        <f t="shared" si="643"/>
        <v>0</v>
      </c>
      <c r="BL1077" s="14"/>
      <c r="BM1077" s="14"/>
      <c r="BN1077" s="14"/>
      <c r="BO1077" s="14"/>
      <c r="BP1077" s="14"/>
      <c r="BQ1077" s="14"/>
      <c r="BR1077" s="14"/>
      <c r="BS1077" s="14"/>
      <c r="BT1077" s="324"/>
      <c r="BU1077" s="14"/>
      <c r="BV1077" s="14"/>
      <c r="BW1077" s="14"/>
      <c r="BX1077" s="14"/>
      <c r="BY1077" s="14"/>
      <c r="BZ1077" s="14"/>
      <c r="CA1077" s="14"/>
      <c r="CB1077" s="14"/>
      <c r="CC1077" s="14"/>
      <c r="CD1077" s="14"/>
      <c r="CE1077" s="14"/>
      <c r="CF1077" s="14"/>
      <c r="CG1077" s="14"/>
      <c r="CH1077" s="14"/>
      <c r="CI1077" s="14"/>
      <c r="CJ1077" s="2"/>
      <c r="CK1077" s="2"/>
      <c r="CM1077" s="1140">
        <v>0</v>
      </c>
      <c r="CN1077" s="1140">
        <v>0</v>
      </c>
      <c r="CP1077" s="923">
        <f t="shared" si="617"/>
        <v>0</v>
      </c>
      <c r="CZ1077" s="330"/>
    </row>
    <row r="1078" spans="1:104" ht="18.75" customHeight="1" x14ac:dyDescent="0.25">
      <c r="A1078" s="684">
        <f>MAX($A$6:A1077)+1</f>
        <v>1078</v>
      </c>
      <c r="B1078" s="3">
        <f t="shared" si="606"/>
        <v>6.1</v>
      </c>
      <c r="C1078" s="11" t="str">
        <f t="shared" si="636"/>
        <v>Consolidated intangible assets 2025-26</v>
      </c>
      <c r="D1078" s="11" t="s">
        <v>454</v>
      </c>
      <c r="E1078" s="277" t="s">
        <v>161</v>
      </c>
      <c r="F1078" s="277"/>
      <c r="G1078" s="26"/>
      <c r="H1078" s="6"/>
      <c r="I1078" s="6"/>
      <c r="J1078" s="1257" t="s">
        <v>286</v>
      </c>
      <c r="K1078" s="251">
        <f>SUMIF('alb Note 6.1 -  Intangibles CY'!$A:$A,$J1078,'alb Note 6.1 -  Intangibles CY'!$H:$H)</f>
        <v>0</v>
      </c>
      <c r="L1078" s="251">
        <f>SUMIF('alb Note 6.1 -  Intangibles CY'!$A:$A,$J1078,'alb Note 6.1 -  Intangibles CY'!$S:$S)</f>
        <v>0</v>
      </c>
      <c r="M1078" s="10"/>
      <c r="N1078" s="273">
        <f>ROUND(SUM(O1078:S1078)+SUM(W1078:AV1078),0)</f>
        <v>0</v>
      </c>
      <c r="O1078" s="12"/>
      <c r="P1078" s="12"/>
      <c r="Q1078" s="12"/>
      <c r="R1078" s="12"/>
      <c r="S1078" s="6">
        <f t="shared" si="618"/>
        <v>0</v>
      </c>
      <c r="T1078" s="273">
        <f>ROUND(SUM(U1078:Y1078),0)</f>
        <v>0</v>
      </c>
      <c r="U1078" s="6">
        <f>SUM(BL1078:BN1078)</f>
        <v>0</v>
      </c>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X1078" s="6"/>
      <c r="AY1078" s="6">
        <f>ROUND(AX1078/1000/Update!$B$31*Update!$B$27,0)</f>
        <v>0</v>
      </c>
      <c r="BA1078" s="6"/>
      <c r="BB1078" s="6">
        <f>ROUND(BA1078/1000/Update!$B$31,0)</f>
        <v>0</v>
      </c>
      <c r="BC1078" s="6"/>
      <c r="BD1078" s="29">
        <f t="shared" si="628"/>
        <v>0</v>
      </c>
      <c r="BE1078" s="322"/>
      <c r="BF1078" s="322"/>
      <c r="BG1078" s="322"/>
      <c r="BH1078" s="322"/>
      <c r="BI1078" s="322"/>
      <c r="BJ1078" s="322"/>
      <c r="BK1078" s="29">
        <f t="shared" si="643"/>
        <v>0</v>
      </c>
      <c r="BL1078" s="322"/>
      <c r="BM1078" s="322"/>
      <c r="BN1078" s="322"/>
      <c r="BO1078" s="322"/>
      <c r="BP1078" s="322"/>
      <c r="BQ1078" s="322"/>
      <c r="BR1078" s="322"/>
      <c r="BS1078" s="322"/>
      <c r="BT1078" s="322"/>
      <c r="BU1078" s="322"/>
      <c r="BV1078" s="322"/>
      <c r="BW1078" s="322"/>
      <c r="BX1078" s="322"/>
      <c r="BY1078" s="322"/>
      <c r="BZ1078" s="322"/>
      <c r="CA1078" s="322"/>
      <c r="CB1078" s="322"/>
      <c r="CC1078" s="322"/>
      <c r="CD1078" s="322"/>
      <c r="CE1078" s="322"/>
      <c r="CF1078" s="322"/>
      <c r="CG1078" s="322"/>
      <c r="CH1078" s="322"/>
      <c r="CI1078" s="322"/>
      <c r="CM1078" s="1139">
        <v>0</v>
      </c>
      <c r="CN1078" s="1139">
        <v>0</v>
      </c>
      <c r="CP1078" s="923">
        <f t="shared" si="617"/>
        <v>0</v>
      </c>
      <c r="CZ1078" s="330"/>
    </row>
    <row r="1079" spans="1:104" ht="15" customHeight="1" x14ac:dyDescent="0.25">
      <c r="A1079" s="684">
        <f>MAX($A$6:A1078)+1</f>
        <v>1079</v>
      </c>
      <c r="B1079" s="3">
        <f t="shared" si="606"/>
        <v>6.1</v>
      </c>
      <c r="C1079" s="11" t="str">
        <f t="shared" si="636"/>
        <v>Consolidated intangible assets 2025-26</v>
      </c>
      <c r="D1079" s="11" t="s">
        <v>454</v>
      </c>
      <c r="E1079" s="7" t="str">
        <f>"At"&amp;Update!$B$20&amp;" "</f>
        <v xml:space="preserve">At 1 April 2025 </v>
      </c>
      <c r="F1079" s="15"/>
      <c r="G1079" s="1267" t="str">
        <f>"At"&amp;Update!$B$20</f>
        <v>At 1 April 2025</v>
      </c>
      <c r="H1079" s="6">
        <v>0</v>
      </c>
      <c r="I1079" s="6">
        <v>0</v>
      </c>
      <c r="J1079" s="1257" t="str">
        <f>$E1079</f>
        <v xml:space="preserve">At 1 April 2025 </v>
      </c>
      <c r="K1079" s="251">
        <f>SUMIF('alb Note 6.1 -  Intangibles CY'!$A:$A,$J1079,'alb Note 6.1 -  Intangibles CY'!$H:$H)</f>
        <v>0</v>
      </c>
      <c r="L1079" s="251">
        <f>SUMIF('alb Note 6.1 -  Intangibles CY'!$A:$A,$J1079,'alb Note 6.1 -  Intangibles CY'!$S:$S)</f>
        <v>0</v>
      </c>
      <c r="M1079" s="10"/>
      <c r="N1079" s="273">
        <f>ROUND(SUM(O1079:S1079)+SUM(W1079:AV1079),0)</f>
        <v>0</v>
      </c>
      <c r="O1079" s="12"/>
      <c r="P1079" s="12"/>
      <c r="Q1079" s="12"/>
      <c r="R1079" s="12"/>
      <c r="S1079" s="6">
        <f t="shared" si="618"/>
        <v>0</v>
      </c>
      <c r="T1079" s="273">
        <f>ROUND(SUM(U1079:Y1079),0)</f>
        <v>0</v>
      </c>
      <c r="U1079" s="6">
        <f>SUM(BL1079:BN1079)</f>
        <v>0</v>
      </c>
      <c r="V1079" s="6"/>
      <c r="W1079" s="6">
        <f t="shared" ref="W1079:W1090" si="646">+H1079</f>
        <v>0</v>
      </c>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X1079" s="6"/>
      <c r="AY1079" s="6">
        <f>ROUND(AX1079/1000/Update!$B$31*Update!$B$27,0)</f>
        <v>0</v>
      </c>
      <c r="BA1079" s="6"/>
      <c r="BB1079" s="6">
        <f>ROUND(BA1079/1000/Update!$B$31,0)</f>
        <v>0</v>
      </c>
      <c r="BC1079" s="6"/>
      <c r="BD1079" s="29">
        <f t="shared" si="628"/>
        <v>0</v>
      </c>
      <c r="BE1079" s="322"/>
      <c r="BF1079" s="322"/>
      <c r="BG1079" s="322"/>
      <c r="BH1079" s="322"/>
      <c r="BI1079" s="322"/>
      <c r="BJ1079" s="322"/>
      <c r="BK1079" s="29">
        <f t="shared" si="643"/>
        <v>0</v>
      </c>
      <c r="BL1079" s="322"/>
      <c r="BM1079" s="322"/>
      <c r="BN1079" s="322"/>
      <c r="BO1079" s="322"/>
      <c r="BP1079" s="322"/>
      <c r="BQ1079" s="322"/>
      <c r="BR1079" s="322"/>
      <c r="BS1079" s="322"/>
      <c r="BT1079" s="322"/>
      <c r="BU1079" s="322"/>
      <c r="BV1079" s="322"/>
      <c r="BW1079" s="322"/>
      <c r="BX1079" s="322"/>
      <c r="BY1079" s="322"/>
      <c r="BZ1079" s="322"/>
      <c r="CA1079" s="322"/>
      <c r="CB1079" s="322"/>
      <c r="CC1079" s="322"/>
      <c r="CD1079" s="322"/>
      <c r="CE1079" s="322"/>
      <c r="CF1079" s="322"/>
      <c r="CG1079" s="322"/>
      <c r="CH1079" s="322"/>
      <c r="CI1079" s="322"/>
      <c r="CM1079" s="1139">
        <v>0</v>
      </c>
      <c r="CN1079" s="1139">
        <v>0</v>
      </c>
      <c r="CP1079" s="923">
        <f t="shared" si="617"/>
        <v>0</v>
      </c>
      <c r="CZ1079" s="330"/>
    </row>
    <row r="1080" spans="1:104" ht="15" customHeight="1" x14ac:dyDescent="0.25">
      <c r="A1080" s="684">
        <f>MAX($A$6:A1079)+1</f>
        <v>1080</v>
      </c>
      <c r="B1080" s="3">
        <f t="shared" si="606"/>
        <v>6.1</v>
      </c>
      <c r="C1080" s="11" t="str">
        <f t="shared" si="636"/>
        <v>Consolidated intangible assets 2025-26</v>
      </c>
      <c r="D1080" s="11" t="str">
        <f>D1079</f>
        <v>Goodwill</v>
      </c>
      <c r="E1080" s="7" t="s">
        <v>1417</v>
      </c>
      <c r="F1080" s="7"/>
      <c r="G1080" s="1254" t="s">
        <v>435</v>
      </c>
      <c r="H1080" s="6">
        <v>0</v>
      </c>
      <c r="I1080" s="6">
        <v>0</v>
      </c>
      <c r="J1080" s="1257" t="s">
        <v>435</v>
      </c>
      <c r="K1080" s="251">
        <f>SUMIF('alb Note 6.1 -  Intangibles CY'!$A:$A,$J1080,'alb Note 6.1 -  Intangibles CY'!$H:$H)</f>
        <v>0</v>
      </c>
      <c r="L1080" s="251">
        <f>SUMIF('alb Note 6.1 -  Intangibles CY'!$A:$A,$J1080,'alb Note 6.1 -  Intangibles CY'!$S:$S)</f>
        <v>0</v>
      </c>
      <c r="M1080" s="10"/>
      <c r="N1080" s="273">
        <f>ROUND(SUM(O1080:S1080)+SUM(W1080:AV1080),0)</f>
        <v>0</v>
      </c>
      <c r="O1080" s="12"/>
      <c r="P1080" s="12"/>
      <c r="Q1080" s="12"/>
      <c r="R1080" s="12"/>
      <c r="S1080" s="6">
        <f t="shared" si="618"/>
        <v>0</v>
      </c>
      <c r="T1080" s="273">
        <f>ROUND(SUM(U1080:Y1080),0)</f>
        <v>0</v>
      </c>
      <c r="U1080" s="6">
        <f>SUM(BL1080:BN1080)</f>
        <v>0</v>
      </c>
      <c r="V1080" s="6"/>
      <c r="W1080" s="6">
        <f t="shared" si="646"/>
        <v>0</v>
      </c>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X1080" s="6"/>
      <c r="AY1080" s="6">
        <f>ROUND(AX1080/1000/Update!$B$31*Update!$B$27,0)</f>
        <v>0</v>
      </c>
      <c r="BA1080" s="6"/>
      <c r="BB1080" s="6">
        <f>ROUND(BA1080/1000/Update!$B$31,0)</f>
        <v>0</v>
      </c>
      <c r="BC1080" s="6"/>
      <c r="BD1080" s="29">
        <f t="shared" si="628"/>
        <v>0</v>
      </c>
      <c r="BE1080" s="322"/>
      <c r="BF1080" s="322"/>
      <c r="BG1080" s="322"/>
      <c r="BH1080" s="322"/>
      <c r="BI1080" s="322"/>
      <c r="BJ1080" s="322"/>
      <c r="BK1080" s="29">
        <f t="shared" si="643"/>
        <v>0</v>
      </c>
      <c r="BL1080" s="322"/>
      <c r="BM1080" s="322"/>
      <c r="BN1080" s="322"/>
      <c r="BO1080" s="322"/>
      <c r="BP1080" s="322"/>
      <c r="BQ1080" s="322"/>
      <c r="BR1080" s="322"/>
      <c r="BS1080" s="322"/>
      <c r="BT1080" s="322"/>
      <c r="BU1080" s="322"/>
      <c r="BV1080" s="322"/>
      <c r="BW1080" s="322"/>
      <c r="BX1080" s="322"/>
      <c r="BY1080" s="322"/>
      <c r="BZ1080" s="322"/>
      <c r="CA1080" s="322"/>
      <c r="CB1080" s="322"/>
      <c r="CC1080" s="322"/>
      <c r="CD1080" s="322"/>
      <c r="CE1080" s="322"/>
      <c r="CF1080" s="322"/>
      <c r="CG1080" s="322"/>
      <c r="CH1080" s="322"/>
      <c r="CI1080" s="322"/>
      <c r="CM1080" s="1139">
        <v>0</v>
      </c>
      <c r="CN1080" s="1139">
        <v>0</v>
      </c>
      <c r="CP1080" s="923">
        <f t="shared" si="617"/>
        <v>0</v>
      </c>
      <c r="CZ1080" s="330"/>
    </row>
    <row r="1081" spans="1:104" ht="15" customHeight="1" x14ac:dyDescent="0.25">
      <c r="A1081" s="701">
        <f>MAX($A$6:A1080)+1</f>
        <v>1081</v>
      </c>
      <c r="B1081" s="1291">
        <f t="shared" si="606"/>
        <v>6.1</v>
      </c>
      <c r="C1081" s="18" t="str">
        <f t="shared" si="636"/>
        <v>Consolidated intangible assets 2025-26</v>
      </c>
      <c r="D1081" s="18" t="str">
        <f>D1080</f>
        <v>Goodwill</v>
      </c>
      <c r="E1081" s="19" t="s">
        <v>869</v>
      </c>
      <c r="F1081" s="20"/>
      <c r="G1081" s="1278" t="s">
        <v>442</v>
      </c>
      <c r="H1081" s="14">
        <f>SUM(H1078:H1080)</f>
        <v>0</v>
      </c>
      <c r="I1081" s="14">
        <f>SUM(I1078:I1080)</f>
        <v>0</v>
      </c>
      <c r="J1081" s="1258" t="s">
        <v>442</v>
      </c>
      <c r="K1081" s="14">
        <f>SUM(K1078:K1080)</f>
        <v>0</v>
      </c>
      <c r="L1081" s="14">
        <f>SUM(L1078:L1080)</f>
        <v>0</v>
      </c>
      <c r="M1081" s="21"/>
      <c r="N1081" s="14">
        <f>ROUND(SUM(O1081:S1081)+T1081+SUM(Z1081:AV1081),0)</f>
        <v>0</v>
      </c>
      <c r="O1081" s="14">
        <f t="shared" ref="O1081:W1081" si="647">SUM(O1078:O1080)</f>
        <v>0</v>
      </c>
      <c r="P1081" s="14">
        <f t="shared" si="647"/>
        <v>0</v>
      </c>
      <c r="Q1081" s="14">
        <f t="shared" si="647"/>
        <v>0</v>
      </c>
      <c r="R1081" s="14">
        <f t="shared" si="647"/>
        <v>0</v>
      </c>
      <c r="S1081" s="14">
        <f t="shared" si="618"/>
        <v>0</v>
      </c>
      <c r="T1081" s="14">
        <f t="shared" si="647"/>
        <v>0</v>
      </c>
      <c r="U1081" s="14">
        <f t="shared" si="647"/>
        <v>0</v>
      </c>
      <c r="V1081" s="14">
        <f t="shared" si="647"/>
        <v>0</v>
      </c>
      <c r="W1081" s="14">
        <f t="shared" si="647"/>
        <v>0</v>
      </c>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2"/>
      <c r="AX1081" s="14">
        <f>SUM(AX1078:AX1080)</f>
        <v>0</v>
      </c>
      <c r="AY1081" s="14">
        <f>ROUND(AX1081/1000/Update!$B$31*Update!$B$27,0)</f>
        <v>0</v>
      </c>
      <c r="AZ1081" s="2"/>
      <c r="BA1081" s="14">
        <f>SUM(BA1078:BA1080)</f>
        <v>0</v>
      </c>
      <c r="BB1081" s="14">
        <f>ROUND(BA1081/1000/Update!$B$31,0)</f>
        <v>0</v>
      </c>
      <c r="BC1081" s="14"/>
      <c r="BD1081" s="14">
        <f t="shared" si="628"/>
        <v>0</v>
      </c>
      <c r="BE1081" s="14">
        <f t="shared" ref="BE1081:BJ1081" si="648">SUM(BE1078:BE1080)</f>
        <v>0</v>
      </c>
      <c r="BF1081" s="14">
        <f t="shared" si="648"/>
        <v>0</v>
      </c>
      <c r="BG1081" s="14">
        <f t="shared" si="648"/>
        <v>0</v>
      </c>
      <c r="BH1081" s="14">
        <f t="shared" si="648"/>
        <v>0</v>
      </c>
      <c r="BI1081" s="14">
        <f t="shared" si="648"/>
        <v>0</v>
      </c>
      <c r="BJ1081" s="14">
        <f t="shared" si="648"/>
        <v>0</v>
      </c>
      <c r="BK1081" s="14">
        <f t="shared" si="643"/>
        <v>0</v>
      </c>
      <c r="BL1081" s="14"/>
      <c r="BM1081" s="14"/>
      <c r="BN1081" s="14"/>
      <c r="BO1081" s="14"/>
      <c r="BP1081" s="14"/>
      <c r="BQ1081" s="14"/>
      <c r="BR1081" s="14"/>
      <c r="BS1081" s="14"/>
      <c r="BT1081" s="324"/>
      <c r="BU1081" s="14"/>
      <c r="BV1081" s="14"/>
      <c r="BW1081" s="14"/>
      <c r="BX1081" s="14"/>
      <c r="BY1081" s="14"/>
      <c r="BZ1081" s="14"/>
      <c r="CA1081" s="14"/>
      <c r="CB1081" s="14"/>
      <c r="CC1081" s="14"/>
      <c r="CD1081" s="14"/>
      <c r="CE1081" s="14"/>
      <c r="CF1081" s="14"/>
      <c r="CG1081" s="14"/>
      <c r="CH1081" s="14"/>
      <c r="CI1081" s="14"/>
      <c r="CJ1081" s="2"/>
      <c r="CK1081" s="2"/>
      <c r="CM1081" s="1140">
        <v>0</v>
      </c>
      <c r="CN1081" s="1140">
        <v>0</v>
      </c>
      <c r="CP1081" s="923">
        <f t="shared" si="617"/>
        <v>0</v>
      </c>
      <c r="CZ1081" s="330"/>
    </row>
    <row r="1082" spans="1:104" ht="15" customHeight="1" x14ac:dyDescent="0.25">
      <c r="A1082" s="684">
        <f>MAX($A$6:A1081)+1</f>
        <v>1082</v>
      </c>
      <c r="B1082" s="3">
        <f t="shared" si="606"/>
        <v>6.1</v>
      </c>
      <c r="C1082" s="11" t="str">
        <f>C1079</f>
        <v>Consolidated intangible assets 2025-26</v>
      </c>
      <c r="D1082" s="11" t="s">
        <v>454</v>
      </c>
      <c r="E1082" s="7" t="s">
        <v>1409</v>
      </c>
      <c r="F1082" s="7"/>
      <c r="G1082" s="1254" t="s">
        <v>190</v>
      </c>
      <c r="H1082" s="6">
        <v>0</v>
      </c>
      <c r="I1082" s="6">
        <v>0</v>
      </c>
      <c r="J1082" s="1257" t="s">
        <v>190</v>
      </c>
      <c r="K1082" s="251">
        <f>SUMIF('alb Note 6.1 -  Intangibles CY'!$A:$A,$J1082,'alb Note 6.1 -  Intangibles CY'!$H:$H)</f>
        <v>0</v>
      </c>
      <c r="L1082" s="251">
        <f>SUMIF('alb Note 6.1 -  Intangibles CY'!$A:$A,$J1082,'alb Note 6.1 -  Intangibles CY'!$S:$S)</f>
        <v>0</v>
      </c>
      <c r="M1082" s="10"/>
      <c r="N1082" s="273">
        <f t="shared" ref="N1082:N1090" si="649">ROUND(SUM(O1082:S1082)+SUM(W1082:AV1082),0)</f>
        <v>0</v>
      </c>
      <c r="O1082" s="12"/>
      <c r="P1082" s="12"/>
      <c r="Q1082" s="12"/>
      <c r="R1082" s="12"/>
      <c r="S1082" s="6">
        <f t="shared" si="618"/>
        <v>0</v>
      </c>
      <c r="T1082" s="273">
        <f t="shared" ref="T1082:T1090" si="650">ROUND(SUM(U1082:Y1082),0)</f>
        <v>0</v>
      </c>
      <c r="U1082" s="6">
        <f t="shared" ref="U1082:U1090" si="651">SUM(BL1082:BN1082)</f>
        <v>0</v>
      </c>
      <c r="V1082" s="6"/>
      <c r="W1082" s="6">
        <f t="shared" si="646"/>
        <v>0</v>
      </c>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X1082" s="6"/>
      <c r="AY1082" s="6">
        <f>ROUND(AX1082/1000/Update!$B$31*Update!$B$27,0)</f>
        <v>0</v>
      </c>
      <c r="BA1082" s="6"/>
      <c r="BB1082" s="6">
        <f>ROUND(BA1082/1000/Update!$B$31,0)</f>
        <v>0</v>
      </c>
      <c r="BC1082" s="6"/>
      <c r="BD1082" s="29">
        <f t="shared" si="628"/>
        <v>0</v>
      </c>
      <c r="BE1082" s="322"/>
      <c r="BF1082" s="322"/>
      <c r="BG1082" s="322"/>
      <c r="BH1082" s="322"/>
      <c r="BI1082" s="322"/>
      <c r="BJ1082" s="322"/>
      <c r="BK1082" s="29">
        <f t="shared" si="643"/>
        <v>0</v>
      </c>
      <c r="BL1082" s="322"/>
      <c r="BM1082" s="322"/>
      <c r="BN1082" s="322"/>
      <c r="BO1082" s="322"/>
      <c r="BP1082" s="322"/>
      <c r="BQ1082" s="322"/>
      <c r="BR1082" s="322"/>
      <c r="BS1082" s="322"/>
      <c r="BT1082" s="322"/>
      <c r="BU1082" s="322"/>
      <c r="BV1082" s="322"/>
      <c r="BW1082" s="322"/>
      <c r="BX1082" s="322"/>
      <c r="BY1082" s="322"/>
      <c r="BZ1082" s="322"/>
      <c r="CA1082" s="322"/>
      <c r="CB1082" s="322"/>
      <c r="CC1082" s="322"/>
      <c r="CD1082" s="322"/>
      <c r="CE1082" s="322"/>
      <c r="CF1082" s="322"/>
      <c r="CG1082" s="322"/>
      <c r="CH1082" s="322"/>
      <c r="CI1082" s="322"/>
      <c r="CM1082" s="1139">
        <v>0</v>
      </c>
      <c r="CN1082" s="1139">
        <v>0</v>
      </c>
      <c r="CP1082" s="923">
        <f t="shared" si="617"/>
        <v>0</v>
      </c>
      <c r="CZ1082" s="330"/>
    </row>
    <row r="1083" spans="1:104" ht="15" customHeight="1" x14ac:dyDescent="0.25">
      <c r="A1083" s="684">
        <f>MAX($A$6:A1082)+1</f>
        <v>1083</v>
      </c>
      <c r="B1083" s="3">
        <f t="shared" si="606"/>
        <v>6.1</v>
      </c>
      <c r="C1083" s="11" t="str">
        <f t="shared" si="636"/>
        <v>Consolidated intangible assets 2025-26</v>
      </c>
      <c r="D1083" s="11" t="s">
        <v>454</v>
      </c>
      <c r="E1083" s="7" t="s">
        <v>457</v>
      </c>
      <c r="F1083" s="7"/>
      <c r="G1083" s="1254" t="s">
        <v>457</v>
      </c>
      <c r="H1083" s="6">
        <v>0</v>
      </c>
      <c r="I1083" s="6">
        <v>0</v>
      </c>
      <c r="J1083" s="1257" t="s">
        <v>457</v>
      </c>
      <c r="K1083" s="251">
        <f>SUMIF('alb Note 6.1 -  Intangibles CY'!$A:$A,$J1083,'alb Note 6.1 -  Intangibles CY'!$H:$H)</f>
        <v>0</v>
      </c>
      <c r="L1083" s="251">
        <f>SUMIF('alb Note 6.1 -  Intangibles CY'!$A:$A,$J1083,'alb Note 6.1 -  Intangibles CY'!$S:$S)</f>
        <v>0</v>
      </c>
      <c r="M1083" s="10"/>
      <c r="N1083" s="273">
        <f t="shared" si="649"/>
        <v>0</v>
      </c>
      <c r="O1083" s="12"/>
      <c r="P1083" s="12"/>
      <c r="Q1083" s="12"/>
      <c r="R1083" s="12"/>
      <c r="S1083" s="6">
        <f t="shared" si="618"/>
        <v>0</v>
      </c>
      <c r="T1083" s="273">
        <f t="shared" si="650"/>
        <v>0</v>
      </c>
      <c r="U1083" s="6">
        <f t="shared" si="651"/>
        <v>0</v>
      </c>
      <c r="V1083" s="6"/>
      <c r="W1083" s="6">
        <f t="shared" si="646"/>
        <v>0</v>
      </c>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X1083" s="6"/>
      <c r="AY1083" s="6">
        <f>ROUND(AX1083/1000/Update!$B$31*Update!$B$27,0)</f>
        <v>0</v>
      </c>
      <c r="BA1083" s="6"/>
      <c r="BB1083" s="6">
        <f>ROUND(BA1083/1000/Update!$B$31,0)</f>
        <v>0</v>
      </c>
      <c r="BC1083" s="6"/>
      <c r="BD1083" s="29">
        <f t="shared" si="628"/>
        <v>0</v>
      </c>
      <c r="BE1083" s="322"/>
      <c r="BF1083" s="322"/>
      <c r="BG1083" s="322"/>
      <c r="BH1083" s="322"/>
      <c r="BI1083" s="322"/>
      <c r="BJ1083" s="322"/>
      <c r="BK1083" s="29">
        <f t="shared" si="643"/>
        <v>0</v>
      </c>
      <c r="BL1083" s="322"/>
      <c r="BM1083" s="322"/>
      <c r="BN1083" s="322"/>
      <c r="BO1083" s="322"/>
      <c r="BP1083" s="322"/>
      <c r="BQ1083" s="322"/>
      <c r="BR1083" s="322"/>
      <c r="BS1083" s="322"/>
      <c r="BT1083" s="322"/>
      <c r="BU1083" s="322"/>
      <c r="BV1083" s="322"/>
      <c r="BW1083" s="322"/>
      <c r="BX1083" s="322"/>
      <c r="BY1083" s="322"/>
      <c r="BZ1083" s="322"/>
      <c r="CA1083" s="322"/>
      <c r="CB1083" s="322"/>
      <c r="CC1083" s="322"/>
      <c r="CD1083" s="322"/>
      <c r="CE1083" s="322"/>
      <c r="CF1083" s="322"/>
      <c r="CG1083" s="322"/>
      <c r="CH1083" s="322"/>
      <c r="CI1083" s="322"/>
      <c r="CM1083" s="1139">
        <v>0</v>
      </c>
      <c r="CN1083" s="1139">
        <v>0</v>
      </c>
      <c r="CP1083" s="923">
        <f t="shared" si="617"/>
        <v>0</v>
      </c>
      <c r="CZ1083" s="330"/>
    </row>
    <row r="1084" spans="1:104" ht="15" customHeight="1" x14ac:dyDescent="0.25">
      <c r="A1084" s="684">
        <f>MAX($A$6:A1083)+1</f>
        <v>1084</v>
      </c>
      <c r="B1084" s="3">
        <f t="shared" si="606"/>
        <v>6.1</v>
      </c>
      <c r="C1084" s="11" t="str">
        <f t="shared" si="636"/>
        <v>Consolidated intangible assets 2025-26</v>
      </c>
      <c r="D1084" s="11" t="s">
        <v>454</v>
      </c>
      <c r="E1084" s="7" t="s">
        <v>863</v>
      </c>
      <c r="F1084" s="7"/>
      <c r="G1084" s="1254" t="s">
        <v>186</v>
      </c>
      <c r="H1084" s="6">
        <v>0</v>
      </c>
      <c r="I1084" s="6">
        <v>0</v>
      </c>
      <c r="J1084" s="1257" t="s">
        <v>863</v>
      </c>
      <c r="K1084" s="251">
        <f>SUMIF('alb Note 6.1 -  Intangibles CY'!$A:$A,$J1084,'alb Note 6.1 -  Intangibles CY'!$H:$H)</f>
        <v>0</v>
      </c>
      <c r="L1084" s="251">
        <f>SUMIF('alb Note 6.1 -  Intangibles CY'!$A:$A,$J1084,'alb Note 6.1 -  Intangibles CY'!$S:$S)</f>
        <v>0</v>
      </c>
      <c r="M1084" s="10"/>
      <c r="N1084" s="273">
        <f t="shared" si="649"/>
        <v>0</v>
      </c>
      <c r="O1084" s="12"/>
      <c r="P1084" s="12"/>
      <c r="Q1084" s="12"/>
      <c r="R1084" s="12"/>
      <c r="S1084" s="6">
        <f t="shared" si="618"/>
        <v>0</v>
      </c>
      <c r="T1084" s="273">
        <f t="shared" si="650"/>
        <v>0</v>
      </c>
      <c r="U1084" s="6">
        <f t="shared" si="651"/>
        <v>0</v>
      </c>
      <c r="V1084" s="6"/>
      <c r="W1084" s="6">
        <f t="shared" si="646"/>
        <v>0</v>
      </c>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X1084" s="6"/>
      <c r="AY1084" s="6">
        <f>ROUND(AX1084/1000/Update!$B$31*Update!$B$27,0)</f>
        <v>0</v>
      </c>
      <c r="BA1084" s="6"/>
      <c r="BB1084" s="6">
        <f>ROUND(BA1084/1000/Update!$B$31,0)</f>
        <v>0</v>
      </c>
      <c r="BC1084" s="6"/>
      <c r="BD1084" s="29">
        <f t="shared" si="628"/>
        <v>0</v>
      </c>
      <c r="BE1084" s="322"/>
      <c r="BF1084" s="322"/>
      <c r="BG1084" s="322"/>
      <c r="BH1084" s="322"/>
      <c r="BI1084" s="322"/>
      <c r="BJ1084" s="322"/>
      <c r="BK1084" s="29">
        <f t="shared" si="643"/>
        <v>0</v>
      </c>
      <c r="BL1084" s="322"/>
      <c r="BM1084" s="322"/>
      <c r="BN1084" s="322"/>
      <c r="BO1084" s="322"/>
      <c r="BP1084" s="322"/>
      <c r="BQ1084" s="322"/>
      <c r="BR1084" s="322"/>
      <c r="BS1084" s="322"/>
      <c r="BT1084" s="322"/>
      <c r="BU1084" s="322"/>
      <c r="BV1084" s="322"/>
      <c r="BW1084" s="322"/>
      <c r="BX1084" s="322"/>
      <c r="BY1084" s="322"/>
      <c r="BZ1084" s="322"/>
      <c r="CA1084" s="322"/>
      <c r="CB1084" s="322"/>
      <c r="CC1084" s="322"/>
      <c r="CD1084" s="322"/>
      <c r="CE1084" s="322"/>
      <c r="CF1084" s="322"/>
      <c r="CG1084" s="322"/>
      <c r="CH1084" s="322"/>
      <c r="CI1084" s="322"/>
      <c r="CM1084" s="1139">
        <v>0</v>
      </c>
      <c r="CN1084" s="1139">
        <v>0</v>
      </c>
      <c r="CP1084" s="923">
        <f t="shared" si="617"/>
        <v>0</v>
      </c>
      <c r="CZ1084" s="330"/>
    </row>
    <row r="1085" spans="1:104" ht="15" customHeight="1" x14ac:dyDescent="0.25">
      <c r="A1085" s="684">
        <f>MAX($A$6:A1084)+1</f>
        <v>1085</v>
      </c>
      <c r="B1085" s="3">
        <f t="shared" ref="B1085:B1157" si="652">B1084</f>
        <v>6.1</v>
      </c>
      <c r="C1085" s="11" t="str">
        <f>C1084</f>
        <v>Consolidated intangible assets 2025-26</v>
      </c>
      <c r="D1085" s="11" t="str">
        <f>D1084</f>
        <v>Goodwill</v>
      </c>
      <c r="E1085" s="7" t="s">
        <v>867</v>
      </c>
      <c r="F1085" s="7"/>
      <c r="G1085" s="1257" t="s">
        <v>187</v>
      </c>
      <c r="H1085" s="6">
        <v>0</v>
      </c>
      <c r="I1085" s="6">
        <v>0</v>
      </c>
      <c r="J1085" s="1257" t="s">
        <v>867</v>
      </c>
      <c r="K1085" s="251">
        <f>SUMIF('alb Note 6.1 -  Intangibles CY'!$A:$A,$J1085,'alb Note 6.1 -  Intangibles CY'!$H:$H)</f>
        <v>0</v>
      </c>
      <c r="L1085" s="251">
        <f>SUMIF('alb Note 6.1 -  Intangibles CY'!$A:$A,$J1085,'alb Note 6.1 -  Intangibles CY'!$S:$S)</f>
        <v>0</v>
      </c>
      <c r="M1085" s="10"/>
      <c r="N1085" s="273">
        <f t="shared" si="649"/>
        <v>0</v>
      </c>
      <c r="O1085" s="12"/>
      <c r="P1085" s="12"/>
      <c r="Q1085" s="12"/>
      <c r="R1085" s="12"/>
      <c r="S1085" s="6">
        <f t="shared" si="618"/>
        <v>0</v>
      </c>
      <c r="T1085" s="273">
        <f t="shared" si="650"/>
        <v>0</v>
      </c>
      <c r="U1085" s="6">
        <f t="shared" si="651"/>
        <v>0</v>
      </c>
      <c r="V1085" s="6"/>
      <c r="W1085" s="6">
        <f t="shared" si="646"/>
        <v>0</v>
      </c>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X1085" s="6"/>
      <c r="AY1085" s="6">
        <f>ROUND(AX1085/1000/Update!$B$31*Update!$B$27,0)</f>
        <v>0</v>
      </c>
      <c r="BA1085" s="6"/>
      <c r="BB1085" s="6">
        <f>ROUND(BA1085/1000/Update!$B$31,0)</f>
        <v>0</v>
      </c>
      <c r="BC1085" s="6"/>
      <c r="BD1085" s="29">
        <f t="shared" si="628"/>
        <v>0</v>
      </c>
      <c r="BE1085" s="322"/>
      <c r="BF1085" s="322"/>
      <c r="BG1085" s="322"/>
      <c r="BH1085" s="322"/>
      <c r="BI1085" s="322"/>
      <c r="BJ1085" s="322"/>
      <c r="BK1085" s="29">
        <f t="shared" si="643"/>
        <v>0</v>
      </c>
      <c r="BL1085" s="322"/>
      <c r="BM1085" s="322"/>
      <c r="BN1085" s="322"/>
      <c r="BO1085" s="322"/>
      <c r="BP1085" s="322"/>
      <c r="BQ1085" s="322"/>
      <c r="BR1085" s="322"/>
      <c r="BS1085" s="322"/>
      <c r="BT1085" s="322"/>
      <c r="BU1085" s="322"/>
      <c r="BV1085" s="322"/>
      <c r="BW1085" s="322"/>
      <c r="BX1085" s="322"/>
      <c r="BY1085" s="322"/>
      <c r="BZ1085" s="322"/>
      <c r="CA1085" s="322"/>
      <c r="CB1085" s="322"/>
      <c r="CC1085" s="322"/>
      <c r="CD1085" s="322"/>
      <c r="CE1085" s="322"/>
      <c r="CF1085" s="322"/>
      <c r="CG1085" s="322"/>
      <c r="CH1085" s="322"/>
      <c r="CI1085" s="322"/>
      <c r="CM1085" s="1139">
        <v>0</v>
      </c>
      <c r="CN1085" s="1139">
        <v>0</v>
      </c>
      <c r="CP1085" s="923">
        <f t="shared" si="617"/>
        <v>0</v>
      </c>
      <c r="CZ1085" s="330"/>
    </row>
    <row r="1086" spans="1:104" ht="15" customHeight="1" x14ac:dyDescent="0.25">
      <c r="A1086" s="684">
        <f>MAX($A$6:A1085)+1</f>
        <v>1086</v>
      </c>
      <c r="B1086" s="3">
        <f t="shared" si="652"/>
        <v>6.1</v>
      </c>
      <c r="C1086" s="11" t="str">
        <f>C1084</f>
        <v>Consolidated intangible assets 2025-26</v>
      </c>
      <c r="D1086" s="11" t="s">
        <v>454</v>
      </c>
      <c r="E1086" s="7" t="s">
        <v>875</v>
      </c>
      <c r="F1086" s="7"/>
      <c r="G1086" s="1254" t="s">
        <v>210</v>
      </c>
      <c r="H1086" s="6">
        <v>0</v>
      </c>
      <c r="I1086" s="6">
        <v>0</v>
      </c>
      <c r="J1086" s="1257" t="s">
        <v>875</v>
      </c>
      <c r="K1086" s="251">
        <f>SUMIF('alb Note 6.1 -  Intangibles CY'!$A:$A,$J1086,'alb Note 6.1 -  Intangibles CY'!$H:$H)</f>
        <v>0</v>
      </c>
      <c r="L1086" s="251">
        <f>SUMIF('alb Note 6.1 -  Intangibles CY'!$A:$A,$J1086,'alb Note 6.1 -  Intangibles CY'!$S:$S)</f>
        <v>0</v>
      </c>
      <c r="M1086" s="10"/>
      <c r="N1086" s="273">
        <f t="shared" si="649"/>
        <v>0</v>
      </c>
      <c r="O1086" s="12"/>
      <c r="P1086" s="12"/>
      <c r="Q1086" s="12"/>
      <c r="R1086" s="12"/>
      <c r="S1086" s="6">
        <f t="shared" si="618"/>
        <v>0</v>
      </c>
      <c r="T1086" s="273">
        <f t="shared" si="650"/>
        <v>0</v>
      </c>
      <c r="U1086" s="6">
        <f t="shared" si="651"/>
        <v>0</v>
      </c>
      <c r="V1086" s="6"/>
      <c r="W1086" s="6">
        <f t="shared" si="646"/>
        <v>0</v>
      </c>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X1086" s="6"/>
      <c r="AY1086" s="6">
        <f>ROUND(AX1086/1000/Update!$B$31*Update!$B$27,0)</f>
        <v>0</v>
      </c>
      <c r="BA1086" s="6"/>
      <c r="BB1086" s="6">
        <f>ROUND(BA1086/1000/Update!$B$31,0)</f>
        <v>0</v>
      </c>
      <c r="BC1086" s="6"/>
      <c r="BD1086" s="29">
        <f t="shared" si="628"/>
        <v>0</v>
      </c>
      <c r="BE1086" s="322"/>
      <c r="BF1086" s="322"/>
      <c r="BG1086" s="322"/>
      <c r="BH1086" s="322"/>
      <c r="BI1086" s="322"/>
      <c r="BJ1086" s="322"/>
      <c r="BK1086" s="29">
        <f t="shared" si="643"/>
        <v>0</v>
      </c>
      <c r="BL1086" s="322"/>
      <c r="BM1086" s="322"/>
      <c r="BN1086" s="322"/>
      <c r="BO1086" s="322"/>
      <c r="BP1086" s="322"/>
      <c r="BQ1086" s="322"/>
      <c r="BR1086" s="322"/>
      <c r="BS1086" s="322"/>
      <c r="BT1086" s="322"/>
      <c r="BU1086" s="322"/>
      <c r="BV1086" s="322"/>
      <c r="BW1086" s="322"/>
      <c r="BX1086" s="322"/>
      <c r="BY1086" s="322"/>
      <c r="BZ1086" s="322"/>
      <c r="CA1086" s="322"/>
      <c r="CB1086" s="322"/>
      <c r="CC1086" s="322"/>
      <c r="CD1086" s="322"/>
      <c r="CE1086" s="322"/>
      <c r="CF1086" s="322"/>
      <c r="CG1086" s="322"/>
      <c r="CH1086" s="322"/>
      <c r="CI1086" s="322"/>
      <c r="CM1086" s="1139">
        <v>0</v>
      </c>
      <c r="CN1086" s="1139">
        <v>0</v>
      </c>
      <c r="CP1086" s="923">
        <f t="shared" si="617"/>
        <v>0</v>
      </c>
      <c r="CZ1086" s="330"/>
    </row>
    <row r="1087" spans="1:104" ht="30" customHeight="1" x14ac:dyDescent="0.25">
      <c r="A1087" s="684">
        <f>MAX($A$6:A1086)+1</f>
        <v>1087</v>
      </c>
      <c r="B1087" s="3">
        <f t="shared" si="652"/>
        <v>6.1</v>
      </c>
      <c r="C1087" s="11" t="str">
        <f t="shared" si="636"/>
        <v>Consolidated intangible assets 2025-26</v>
      </c>
      <c r="D1087" s="11" t="s">
        <v>454</v>
      </c>
      <c r="E1087" s="7" t="s">
        <v>1415</v>
      </c>
      <c r="F1087" s="7"/>
      <c r="G1087" s="1254" t="s">
        <v>438</v>
      </c>
      <c r="H1087" s="6">
        <v>0</v>
      </c>
      <c r="I1087" s="6">
        <v>0</v>
      </c>
      <c r="J1087" s="1257" t="s">
        <v>864</v>
      </c>
      <c r="K1087" s="251">
        <f>SUMIF('alb Note 6.1 -  Intangibles CY'!$A:$A,$J1087,'alb Note 6.1 -  Intangibles CY'!$H:$H)</f>
        <v>0</v>
      </c>
      <c r="L1087" s="251">
        <f>SUMIF('alb Note 6.1 -  Intangibles CY'!$A:$A,$J1087,'alb Note 6.1 -  Intangibles CY'!$S:$S)</f>
        <v>0</v>
      </c>
      <c r="M1087" s="10"/>
      <c r="N1087" s="273">
        <f t="shared" si="649"/>
        <v>0</v>
      </c>
      <c r="O1087" s="12"/>
      <c r="P1087" s="12"/>
      <c r="Q1087" s="12"/>
      <c r="R1087" s="12"/>
      <c r="S1087" s="6">
        <f t="shared" si="618"/>
        <v>0</v>
      </c>
      <c r="T1087" s="273">
        <f t="shared" si="650"/>
        <v>0</v>
      </c>
      <c r="U1087" s="6">
        <f t="shared" si="651"/>
        <v>0</v>
      </c>
      <c r="V1087" s="6"/>
      <c r="W1087" s="6">
        <f t="shared" si="646"/>
        <v>0</v>
      </c>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X1087" s="6"/>
      <c r="AY1087" s="6">
        <f>ROUND(AX1087/1000/Update!$B$31*Update!$B$27,0)</f>
        <v>0</v>
      </c>
      <c r="BA1087" s="6"/>
      <c r="BB1087" s="6">
        <f>ROUND(BA1087/1000/Update!$B$31,0)</f>
        <v>0</v>
      </c>
      <c r="BC1087" s="6"/>
      <c r="BD1087" s="29">
        <f t="shared" si="628"/>
        <v>0</v>
      </c>
      <c r="BE1087" s="322"/>
      <c r="BF1087" s="322"/>
      <c r="BG1087" s="322"/>
      <c r="BH1087" s="322"/>
      <c r="BI1087" s="322"/>
      <c r="BJ1087" s="322"/>
      <c r="BK1087" s="29">
        <f t="shared" si="643"/>
        <v>0</v>
      </c>
      <c r="BL1087" s="322"/>
      <c r="BM1087" s="322"/>
      <c r="BN1087" s="322"/>
      <c r="BO1087" s="322"/>
      <c r="BP1087" s="322"/>
      <c r="BQ1087" s="322"/>
      <c r="BR1087" s="322"/>
      <c r="BS1087" s="322"/>
      <c r="BT1087" s="322"/>
      <c r="BU1087" s="322"/>
      <c r="BV1087" s="322"/>
      <c r="BW1087" s="322"/>
      <c r="BX1087" s="322"/>
      <c r="BY1087" s="322"/>
      <c r="BZ1087" s="322"/>
      <c r="CA1087" s="322"/>
      <c r="CB1087" s="322"/>
      <c r="CC1087" s="322"/>
      <c r="CD1087" s="322"/>
      <c r="CE1087" s="322"/>
      <c r="CF1087" s="322"/>
      <c r="CG1087" s="322"/>
      <c r="CH1087" s="322"/>
      <c r="CI1087" s="322"/>
      <c r="CM1087" s="1139">
        <v>0</v>
      </c>
      <c r="CN1087" s="1139">
        <v>0</v>
      </c>
      <c r="CP1087" s="923">
        <f t="shared" si="617"/>
        <v>0</v>
      </c>
      <c r="CZ1087" s="330"/>
    </row>
    <row r="1088" spans="1:104" ht="51" customHeight="1" x14ac:dyDescent="0.25">
      <c r="A1088" s="684">
        <f>MAX($A$6:A1087)+1</f>
        <v>1088</v>
      </c>
      <c r="B1088" s="3">
        <f t="shared" si="652"/>
        <v>6.1</v>
      </c>
      <c r="C1088" s="11" t="str">
        <f t="shared" si="636"/>
        <v>Consolidated intangible assets 2025-26</v>
      </c>
      <c r="D1088" s="11" t="s">
        <v>454</v>
      </c>
      <c r="E1088" s="7" t="s">
        <v>1410</v>
      </c>
      <c r="F1088" s="7"/>
      <c r="G1088" s="1254" t="s">
        <v>193</v>
      </c>
      <c r="H1088" s="6">
        <v>0</v>
      </c>
      <c r="I1088" s="6">
        <v>0</v>
      </c>
      <c r="J1088" s="1257" t="s">
        <v>865</v>
      </c>
      <c r="K1088" s="251">
        <f>SUMIF('alb Note 6.1 -  Intangibles CY'!$A:$A,$J1088,'alb Note 6.1 -  Intangibles CY'!$H:$H)</f>
        <v>0</v>
      </c>
      <c r="L1088" s="251">
        <f>SUMIF('alb Note 6.1 -  Intangibles CY'!$A:$A,$J1088,'alb Note 6.1 -  Intangibles CY'!$S:$S)</f>
        <v>0</v>
      </c>
      <c r="M1088" s="10"/>
      <c r="N1088" s="273">
        <f t="shared" si="649"/>
        <v>0</v>
      </c>
      <c r="O1088" s="12"/>
      <c r="P1088" s="12"/>
      <c r="Q1088" s="12"/>
      <c r="R1088" s="12"/>
      <c r="S1088" s="6">
        <f t="shared" si="618"/>
        <v>0</v>
      </c>
      <c r="T1088" s="273">
        <f t="shared" si="650"/>
        <v>0</v>
      </c>
      <c r="U1088" s="6">
        <f t="shared" si="651"/>
        <v>0</v>
      </c>
      <c r="V1088" s="6"/>
      <c r="W1088" s="6">
        <f t="shared" si="646"/>
        <v>0</v>
      </c>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X1088" s="6"/>
      <c r="AY1088" s="6">
        <f>ROUND(AX1088/1000/Update!$B$31*Update!$B$27,0)</f>
        <v>0</v>
      </c>
      <c r="BA1088" s="6"/>
      <c r="BB1088" s="6">
        <f>ROUND(BA1088/1000/Update!$B$31,0)</f>
        <v>0</v>
      </c>
      <c r="BC1088" s="6"/>
      <c r="BD1088" s="29">
        <f t="shared" si="628"/>
        <v>0</v>
      </c>
      <c r="BE1088" s="322"/>
      <c r="BF1088" s="322"/>
      <c r="BG1088" s="322"/>
      <c r="BH1088" s="322"/>
      <c r="BI1088" s="322"/>
      <c r="BJ1088" s="322"/>
      <c r="BK1088" s="29">
        <f t="shared" si="643"/>
        <v>0</v>
      </c>
      <c r="BL1088" s="322"/>
      <c r="BM1088" s="322"/>
      <c r="BN1088" s="322"/>
      <c r="BO1088" s="322"/>
      <c r="BP1088" s="322"/>
      <c r="BQ1088" s="322"/>
      <c r="BR1088" s="322"/>
      <c r="BS1088" s="322"/>
      <c r="BT1088" s="322"/>
      <c r="BU1088" s="322"/>
      <c r="BV1088" s="322"/>
      <c r="BW1088" s="322"/>
      <c r="BX1088" s="322"/>
      <c r="BY1088" s="322"/>
      <c r="BZ1088" s="322"/>
      <c r="CA1088" s="322"/>
      <c r="CB1088" s="322"/>
      <c r="CC1088" s="322"/>
      <c r="CD1088" s="322"/>
      <c r="CE1088" s="322"/>
      <c r="CF1088" s="322"/>
      <c r="CG1088" s="322"/>
      <c r="CH1088" s="322"/>
      <c r="CI1088" s="322"/>
      <c r="CM1088" s="1139">
        <v>0</v>
      </c>
      <c r="CN1088" s="1139">
        <v>0</v>
      </c>
      <c r="CP1088" s="923">
        <f t="shared" si="617"/>
        <v>0</v>
      </c>
      <c r="CZ1088" s="330"/>
    </row>
    <row r="1089" spans="1:104" ht="15" customHeight="1" x14ac:dyDescent="0.25">
      <c r="A1089" s="684">
        <f>MAX($A$6:A1088)+1</f>
        <v>1089</v>
      </c>
      <c r="B1089" s="3">
        <f t="shared" si="652"/>
        <v>6.1</v>
      </c>
      <c r="C1089" s="11" t="str">
        <f t="shared" si="636"/>
        <v>Consolidated intangible assets 2025-26</v>
      </c>
      <c r="D1089" s="11" t="str">
        <f>D1088</f>
        <v>Goodwill</v>
      </c>
      <c r="E1089" s="7" t="s">
        <v>868</v>
      </c>
      <c r="F1089" s="7"/>
      <c r="G1089" s="1254" t="s">
        <v>188</v>
      </c>
      <c r="H1089" s="6">
        <v>0</v>
      </c>
      <c r="I1089" s="6">
        <v>0</v>
      </c>
      <c r="J1089" s="1257" t="s">
        <v>868</v>
      </c>
      <c r="K1089" s="251">
        <f>SUMIF('alb Note 6.1 -  Intangibles CY'!$A:$A,$J1089,'alb Note 6.1 -  Intangibles CY'!$H:$H)</f>
        <v>0</v>
      </c>
      <c r="L1089" s="251">
        <f>SUMIF('alb Note 6.1 -  Intangibles CY'!$A:$A,$J1089,'alb Note 6.1 -  Intangibles CY'!$S:$S)</f>
        <v>0</v>
      </c>
      <c r="M1089" s="10"/>
      <c r="N1089" s="273">
        <f t="shared" si="649"/>
        <v>0</v>
      </c>
      <c r="O1089" s="12"/>
      <c r="P1089" s="12"/>
      <c r="Q1089" s="12"/>
      <c r="R1089" s="12"/>
      <c r="S1089" s="6">
        <f t="shared" si="618"/>
        <v>0</v>
      </c>
      <c r="T1089" s="273">
        <f t="shared" si="650"/>
        <v>0</v>
      </c>
      <c r="U1089" s="6">
        <f t="shared" si="651"/>
        <v>0</v>
      </c>
      <c r="V1089" s="6"/>
      <c r="W1089" s="6">
        <f t="shared" si="646"/>
        <v>0</v>
      </c>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X1089" s="6"/>
      <c r="AY1089" s="6">
        <f>ROUND(AX1089/1000/Update!$B$31*Update!$B$27,0)</f>
        <v>0</v>
      </c>
      <c r="BA1089" s="6"/>
      <c r="BB1089" s="6">
        <f>ROUND(BA1089/1000/Update!$B$31,0)</f>
        <v>0</v>
      </c>
      <c r="BC1089" s="6"/>
      <c r="BD1089" s="29">
        <f t="shared" si="628"/>
        <v>0</v>
      </c>
      <c r="BE1089" s="322"/>
      <c r="BF1089" s="322"/>
      <c r="BG1089" s="322"/>
      <c r="BH1089" s="322"/>
      <c r="BI1089" s="322"/>
      <c r="BJ1089" s="322"/>
      <c r="BK1089" s="29">
        <f t="shared" si="643"/>
        <v>0</v>
      </c>
      <c r="BL1089" s="322"/>
      <c r="BM1089" s="322"/>
      <c r="BN1089" s="322"/>
      <c r="BO1089" s="322"/>
      <c r="BP1089" s="322"/>
      <c r="BQ1089" s="322"/>
      <c r="BR1089" s="322"/>
      <c r="BS1089" s="322"/>
      <c r="BT1089" s="322"/>
      <c r="BU1089" s="322"/>
      <c r="BV1089" s="322"/>
      <c r="BW1089" s="322"/>
      <c r="BX1089" s="322"/>
      <c r="BY1089" s="322"/>
      <c r="BZ1089" s="322"/>
      <c r="CA1089" s="322"/>
      <c r="CB1089" s="322"/>
      <c r="CC1089" s="322"/>
      <c r="CD1089" s="322"/>
      <c r="CE1089" s="322"/>
      <c r="CF1089" s="322"/>
      <c r="CG1089" s="322"/>
      <c r="CH1089" s="322"/>
      <c r="CI1089" s="322"/>
      <c r="CM1089" s="1139">
        <v>0</v>
      </c>
      <c r="CN1089" s="1139">
        <v>0</v>
      </c>
      <c r="CP1089" s="923">
        <f t="shared" si="617"/>
        <v>0</v>
      </c>
      <c r="CZ1089" s="330"/>
    </row>
    <row r="1090" spans="1:104" ht="15" customHeight="1" x14ac:dyDescent="0.25">
      <c r="A1090" s="684">
        <f>MAX($A$6:A1089)+1</f>
        <v>1090</v>
      </c>
      <c r="B1090" s="3">
        <f t="shared" si="652"/>
        <v>6.1</v>
      </c>
      <c r="C1090" s="11" t="str">
        <f>C1088</f>
        <v>Consolidated intangible assets 2025-26</v>
      </c>
      <c r="D1090" s="11" t="s">
        <v>454</v>
      </c>
      <c r="E1090" s="7" t="s">
        <v>1416</v>
      </c>
      <c r="F1090" s="7"/>
      <c r="G1090" s="1254" t="s">
        <v>189</v>
      </c>
      <c r="H1090" s="6">
        <v>0</v>
      </c>
      <c r="I1090" s="6">
        <v>0</v>
      </c>
      <c r="J1090" s="1257" t="s">
        <v>870</v>
      </c>
      <c r="K1090" s="251">
        <f>SUMIF('alb Note 6.1 -  Intangibles CY'!$A:$A,$J1090,'alb Note 6.1 -  Intangibles CY'!$H:$H)</f>
        <v>0</v>
      </c>
      <c r="L1090" s="251">
        <f>SUMIF('alb Note 6.1 -  Intangibles CY'!$A:$A,$J1090,'alb Note 6.1 -  Intangibles CY'!$S:$S)</f>
        <v>0</v>
      </c>
      <c r="M1090" s="10"/>
      <c r="N1090" s="273">
        <f t="shared" si="649"/>
        <v>0</v>
      </c>
      <c r="O1090" s="12"/>
      <c r="P1090" s="12"/>
      <c r="Q1090" s="12"/>
      <c r="R1090" s="12"/>
      <c r="S1090" s="6">
        <f t="shared" si="618"/>
        <v>0</v>
      </c>
      <c r="T1090" s="273">
        <f t="shared" si="650"/>
        <v>0</v>
      </c>
      <c r="U1090" s="6">
        <f t="shared" si="651"/>
        <v>0</v>
      </c>
      <c r="V1090" s="6"/>
      <c r="W1090" s="6">
        <f t="shared" si="646"/>
        <v>0</v>
      </c>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X1090" s="6"/>
      <c r="AY1090" s="6">
        <f>ROUND(AX1090/1000/Update!$B$31*Update!$B$27,0)</f>
        <v>0</v>
      </c>
      <c r="BA1090" s="6"/>
      <c r="BB1090" s="6">
        <f>ROUND(BA1090/1000/Update!$B$31,0)</f>
        <v>0</v>
      </c>
      <c r="BC1090" s="6"/>
      <c r="BD1090" s="29">
        <f t="shared" si="628"/>
        <v>0</v>
      </c>
      <c r="BE1090" s="322"/>
      <c r="BF1090" s="322"/>
      <c r="BG1090" s="322"/>
      <c r="BH1090" s="322"/>
      <c r="BI1090" s="322"/>
      <c r="BJ1090" s="322"/>
      <c r="BK1090" s="29">
        <f t="shared" si="643"/>
        <v>0</v>
      </c>
      <c r="BL1090" s="322"/>
      <c r="BM1090" s="322"/>
      <c r="BN1090" s="322"/>
      <c r="BO1090" s="322"/>
      <c r="BP1090" s="322"/>
      <c r="BQ1090" s="322"/>
      <c r="BR1090" s="322"/>
      <c r="BS1090" s="322"/>
      <c r="BT1090" s="322"/>
      <c r="BU1090" s="322"/>
      <c r="BV1090" s="322"/>
      <c r="BW1090" s="322"/>
      <c r="BX1090" s="322"/>
      <c r="BY1090" s="322"/>
      <c r="BZ1090" s="322"/>
      <c r="CA1090" s="322"/>
      <c r="CB1090" s="322"/>
      <c r="CC1090" s="322"/>
      <c r="CD1090" s="322"/>
      <c r="CE1090" s="322"/>
      <c r="CF1090" s="322"/>
      <c r="CG1090" s="322"/>
      <c r="CH1090" s="322"/>
      <c r="CI1090" s="322"/>
      <c r="CM1090" s="1139">
        <v>0</v>
      </c>
      <c r="CN1090" s="1139">
        <v>0</v>
      </c>
      <c r="CP1090" s="923">
        <f t="shared" si="617"/>
        <v>0</v>
      </c>
      <c r="CZ1090" s="330"/>
    </row>
    <row r="1091" spans="1:104" ht="15" customHeight="1" x14ac:dyDescent="0.25">
      <c r="A1091" s="701">
        <f>MAX($A$6:A1090)+1</f>
        <v>1091</v>
      </c>
      <c r="B1091" s="1291">
        <f t="shared" si="652"/>
        <v>6.1</v>
      </c>
      <c r="C1091" s="18" t="str">
        <f t="shared" si="636"/>
        <v>Consolidated intangible assets 2025-26</v>
      </c>
      <c r="D1091" s="18" t="s">
        <v>454</v>
      </c>
      <c r="E1091" s="19" t="str">
        <f>"At"&amp;Update!$B$22</f>
        <v>At 31 March 2026</v>
      </c>
      <c r="F1091" s="20"/>
      <c r="G1091" s="28"/>
      <c r="H1091" s="14">
        <f>SUM(H1081:H1090)</f>
        <v>0</v>
      </c>
      <c r="I1091" s="14">
        <f>SUM(I1081:I1090)</f>
        <v>0</v>
      </c>
      <c r="J1091" s="1258" t="s">
        <v>2492</v>
      </c>
      <c r="K1091" s="256">
        <f>SUM(K1081:K1090)</f>
        <v>0</v>
      </c>
      <c r="L1091" s="256">
        <f>SUM(L1081:L1090)</f>
        <v>0</v>
      </c>
      <c r="M1091" s="21"/>
      <c r="N1091" s="14">
        <f>ROUND(SUM(O1091:S1091)+T1091+SUM(Z1091:AV1091),0)</f>
        <v>0</v>
      </c>
      <c r="O1091" s="14">
        <f t="shared" ref="O1091:V1091" si="653">SUM(O1081:O1090)</f>
        <v>0</v>
      </c>
      <c r="P1091" s="14">
        <f t="shared" si="653"/>
        <v>0</v>
      </c>
      <c r="Q1091" s="14">
        <f t="shared" si="653"/>
        <v>0</v>
      </c>
      <c r="R1091" s="14">
        <f t="shared" si="653"/>
        <v>0</v>
      </c>
      <c r="S1091" s="14">
        <f t="shared" si="618"/>
        <v>0</v>
      </c>
      <c r="T1091" s="14">
        <f t="shared" si="653"/>
        <v>0</v>
      </c>
      <c r="U1091" s="14">
        <f t="shared" si="653"/>
        <v>0</v>
      </c>
      <c r="V1091" s="14">
        <f t="shared" si="653"/>
        <v>0</v>
      </c>
      <c r="W1091" s="14">
        <f>SUM(W1081:W1090)</f>
        <v>0</v>
      </c>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2"/>
      <c r="AX1091" s="14">
        <f>SUM(AX1081:AX1090)</f>
        <v>0</v>
      </c>
      <c r="AY1091" s="14">
        <f>ROUND(AX1091/1000/Update!$B$31*Update!$B$27,0)</f>
        <v>0</v>
      </c>
      <c r="AZ1091" s="2"/>
      <c r="BA1091" s="14">
        <f>SUM(BA1081:BA1090)</f>
        <v>0</v>
      </c>
      <c r="BB1091" s="14">
        <f>ROUND(BA1091/1000/Update!$B$31,0)</f>
        <v>0</v>
      </c>
      <c r="BC1091" s="14"/>
      <c r="BD1091" s="14">
        <f t="shared" si="628"/>
        <v>0</v>
      </c>
      <c r="BE1091" s="14">
        <f t="shared" ref="BE1091:BJ1091" si="654">SUM(BE1081:BE1090)</f>
        <v>0</v>
      </c>
      <c r="BF1091" s="14">
        <f t="shared" si="654"/>
        <v>0</v>
      </c>
      <c r="BG1091" s="14">
        <f t="shared" si="654"/>
        <v>0</v>
      </c>
      <c r="BH1091" s="14">
        <f t="shared" si="654"/>
        <v>0</v>
      </c>
      <c r="BI1091" s="14">
        <f t="shared" si="654"/>
        <v>0</v>
      </c>
      <c r="BJ1091" s="14">
        <f t="shared" si="654"/>
        <v>0</v>
      </c>
      <c r="BK1091" s="14">
        <f t="shared" si="643"/>
        <v>0</v>
      </c>
      <c r="BL1091" s="14"/>
      <c r="BM1091" s="14"/>
      <c r="BN1091" s="14"/>
      <c r="BO1091" s="14"/>
      <c r="BP1091" s="14"/>
      <c r="BQ1091" s="14"/>
      <c r="BR1091" s="14"/>
      <c r="BS1091" s="14"/>
      <c r="BT1091" s="324"/>
      <c r="BU1091" s="14"/>
      <c r="BV1091" s="14"/>
      <c r="BW1091" s="14"/>
      <c r="BX1091" s="14"/>
      <c r="BY1091" s="14"/>
      <c r="BZ1091" s="14"/>
      <c r="CA1091" s="14"/>
      <c r="CB1091" s="14"/>
      <c r="CC1091" s="14"/>
      <c r="CD1091" s="14"/>
      <c r="CE1091" s="14"/>
      <c r="CF1091" s="14"/>
      <c r="CG1091" s="14"/>
      <c r="CH1091" s="14"/>
      <c r="CI1091" s="14"/>
      <c r="CJ1091" s="2"/>
      <c r="CK1091" s="2"/>
      <c r="CM1091" s="1140">
        <v>0</v>
      </c>
      <c r="CN1091" s="1140">
        <v>0</v>
      </c>
      <c r="CP1091" s="923">
        <f t="shared" si="617"/>
        <v>0</v>
      </c>
      <c r="CZ1091" s="330"/>
    </row>
    <row r="1092" spans="1:104" ht="15" customHeight="1" x14ac:dyDescent="0.25">
      <c r="A1092" s="701">
        <f>MAX($A$6:A1091)+1</f>
        <v>1092</v>
      </c>
      <c r="B1092" s="1291">
        <f t="shared" si="652"/>
        <v>6.1</v>
      </c>
      <c r="C1092" s="18" t="str">
        <f t="shared" si="636"/>
        <v>Consolidated intangible assets 2025-26</v>
      </c>
      <c r="D1092" s="18" t="s">
        <v>454</v>
      </c>
      <c r="E1092" s="19" t="str">
        <f>"Carrying amount "&amp;Update!$B$22</f>
        <v>Carrying amount  31 March 2026</v>
      </c>
      <c r="F1092" s="20"/>
      <c r="G1092" s="28"/>
      <c r="H1092" s="14">
        <f>H1077-H1091</f>
        <v>0</v>
      </c>
      <c r="I1092" s="14">
        <f>I1077-I1091</f>
        <v>0</v>
      </c>
      <c r="J1092" s="1258" t="s">
        <v>2493</v>
      </c>
      <c r="K1092" s="256">
        <f>K1077-K1091</f>
        <v>0</v>
      </c>
      <c r="L1092" s="256">
        <f>L1077-L1091</f>
        <v>0</v>
      </c>
      <c r="M1092" s="21"/>
      <c r="N1092" s="14">
        <f>ROUND(SUM(O1092:S1092)+T1092+SUM(Z1092:AV1092),0)</f>
        <v>0</v>
      </c>
      <c r="O1092" s="14">
        <f t="shared" ref="O1092:V1092" si="655">O1077-O1091</f>
        <v>0</v>
      </c>
      <c r="P1092" s="14">
        <f t="shared" si="655"/>
        <v>0</v>
      </c>
      <c r="Q1092" s="14">
        <f t="shared" si="655"/>
        <v>0</v>
      </c>
      <c r="R1092" s="14">
        <f t="shared" si="655"/>
        <v>0</v>
      </c>
      <c r="S1092" s="14">
        <f t="shared" si="618"/>
        <v>0</v>
      </c>
      <c r="T1092" s="14">
        <f t="shared" si="655"/>
        <v>0</v>
      </c>
      <c r="U1092" s="14">
        <f t="shared" si="655"/>
        <v>0</v>
      </c>
      <c r="V1092" s="14">
        <f t="shared" si="655"/>
        <v>0</v>
      </c>
      <c r="W1092" s="14">
        <f>W1077-W1091</f>
        <v>0</v>
      </c>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2"/>
      <c r="AX1092" s="14">
        <f>AX1077-AX1091</f>
        <v>0</v>
      </c>
      <c r="AY1092" s="14">
        <f>ROUND(AX1092/1000/Update!$B$31*Update!$B$27,0)</f>
        <v>0</v>
      </c>
      <c r="AZ1092" s="2"/>
      <c r="BA1092" s="14">
        <f>BA1077-BA1091</f>
        <v>0</v>
      </c>
      <c r="BB1092" s="14">
        <f>ROUND(BA1092/1000/Update!$B$31,0)</f>
        <v>0</v>
      </c>
      <c r="BC1092" s="14"/>
      <c r="BD1092" s="14">
        <f t="shared" si="628"/>
        <v>0</v>
      </c>
      <c r="BE1092" s="14">
        <f t="shared" ref="BE1092:BJ1092" si="656">BE1077-BE1091</f>
        <v>0</v>
      </c>
      <c r="BF1092" s="14">
        <f t="shared" si="656"/>
        <v>0</v>
      </c>
      <c r="BG1092" s="14">
        <f t="shared" si="656"/>
        <v>0</v>
      </c>
      <c r="BH1092" s="14">
        <f t="shared" si="656"/>
        <v>0</v>
      </c>
      <c r="BI1092" s="14">
        <f t="shared" si="656"/>
        <v>0</v>
      </c>
      <c r="BJ1092" s="14">
        <f t="shared" si="656"/>
        <v>0</v>
      </c>
      <c r="BK1092" s="14">
        <f t="shared" si="643"/>
        <v>0</v>
      </c>
      <c r="BL1092" s="14"/>
      <c r="BM1092" s="14"/>
      <c r="BN1092" s="14"/>
      <c r="BO1092" s="14"/>
      <c r="BP1092" s="14"/>
      <c r="BQ1092" s="14"/>
      <c r="BR1092" s="14"/>
      <c r="BS1092" s="14"/>
      <c r="BT1092" s="324"/>
      <c r="BU1092" s="14"/>
      <c r="BV1092" s="14"/>
      <c r="BW1092" s="14"/>
      <c r="BX1092" s="14"/>
      <c r="BY1092" s="14"/>
      <c r="BZ1092" s="14"/>
      <c r="CA1092" s="14"/>
      <c r="CB1092" s="14"/>
      <c r="CC1092" s="14"/>
      <c r="CD1092" s="14"/>
      <c r="CE1092" s="14"/>
      <c r="CF1092" s="14"/>
      <c r="CG1092" s="14"/>
      <c r="CH1092" s="14"/>
      <c r="CI1092" s="14"/>
      <c r="CJ1092" s="2"/>
      <c r="CK1092" s="2"/>
      <c r="CM1092" s="1140">
        <v>0</v>
      </c>
      <c r="CN1092" s="1140">
        <v>0</v>
      </c>
      <c r="CP1092" s="923">
        <f t="shared" si="617"/>
        <v>0</v>
      </c>
      <c r="CZ1092" s="330"/>
    </row>
    <row r="1093" spans="1:104" ht="15" customHeight="1" x14ac:dyDescent="0.25">
      <c r="A1093" s="701">
        <f>MAX($A$6:A1092)+1</f>
        <v>1093</v>
      </c>
      <c r="B1093" s="1291">
        <f t="shared" si="652"/>
        <v>6.1</v>
      </c>
      <c r="C1093" s="18" t="str">
        <f t="shared" si="636"/>
        <v>Consolidated intangible assets 2025-26</v>
      </c>
      <c r="D1093" s="18" t="s">
        <v>454</v>
      </c>
      <c r="E1093" s="19" t="str">
        <f>"Carrying amount "&amp;Update!$B$24</f>
        <v>Carrying amount  31 March 2025</v>
      </c>
      <c r="F1093" s="20"/>
      <c r="G1093" s="28"/>
      <c r="H1093" s="14">
        <f>H1065-H1079</f>
        <v>0</v>
      </c>
      <c r="I1093" s="14">
        <f>I1065-I1079</f>
        <v>0</v>
      </c>
      <c r="J1093" s="1258" t="s">
        <v>2494</v>
      </c>
      <c r="K1093" s="256">
        <f>K1065-K1079</f>
        <v>0</v>
      </c>
      <c r="L1093" s="256">
        <f>L1065-L1079</f>
        <v>0</v>
      </c>
      <c r="M1093" s="21"/>
      <c r="N1093" s="14">
        <f>ROUND(SUM(O1093:S1093)+T1093+SUM(Z1093:AV1093),0)</f>
        <v>0</v>
      </c>
      <c r="O1093" s="14">
        <f t="shared" ref="O1093:V1093" si="657">O1065-O1079</f>
        <v>0</v>
      </c>
      <c r="P1093" s="14">
        <f t="shared" si="657"/>
        <v>0</v>
      </c>
      <c r="Q1093" s="14">
        <f t="shared" si="657"/>
        <v>0</v>
      </c>
      <c r="R1093" s="14">
        <f t="shared" si="657"/>
        <v>0</v>
      </c>
      <c r="S1093" s="14">
        <f t="shared" si="618"/>
        <v>0</v>
      </c>
      <c r="T1093" s="14">
        <f t="shared" si="657"/>
        <v>0</v>
      </c>
      <c r="U1093" s="14">
        <f t="shared" si="657"/>
        <v>0</v>
      </c>
      <c r="V1093" s="14">
        <f t="shared" si="657"/>
        <v>0</v>
      </c>
      <c r="W1093" s="14">
        <f>W1065-W1079</f>
        <v>0</v>
      </c>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2"/>
      <c r="AX1093" s="14">
        <f>AX1065-AX1079</f>
        <v>0</v>
      </c>
      <c r="AY1093" s="14">
        <f>ROUND(AX1093/1000/Update!$B$31*Update!$B$27,0)</f>
        <v>0</v>
      </c>
      <c r="AZ1093" s="2"/>
      <c r="BA1093" s="14">
        <f>BA1065-BA1079</f>
        <v>0</v>
      </c>
      <c r="BB1093" s="14">
        <f>ROUND(BA1093/1000/Update!$B$31,0)</f>
        <v>0</v>
      </c>
      <c r="BC1093" s="14"/>
      <c r="BD1093" s="14">
        <f t="shared" si="628"/>
        <v>0</v>
      </c>
      <c r="BE1093" s="14">
        <f t="shared" ref="BE1093:BJ1093" si="658">BE1065-BE1079</f>
        <v>0</v>
      </c>
      <c r="BF1093" s="14">
        <f t="shared" si="658"/>
        <v>0</v>
      </c>
      <c r="BG1093" s="14">
        <f t="shared" si="658"/>
        <v>0</v>
      </c>
      <c r="BH1093" s="14">
        <f t="shared" si="658"/>
        <v>0</v>
      </c>
      <c r="BI1093" s="14">
        <f t="shared" si="658"/>
        <v>0</v>
      </c>
      <c r="BJ1093" s="14">
        <f t="shared" si="658"/>
        <v>0</v>
      </c>
      <c r="BK1093" s="14">
        <f t="shared" si="643"/>
        <v>0</v>
      </c>
      <c r="BL1093" s="14"/>
      <c r="BM1093" s="14"/>
      <c r="BN1093" s="14"/>
      <c r="BO1093" s="14"/>
      <c r="BP1093" s="14"/>
      <c r="BQ1093" s="14"/>
      <c r="BR1093" s="14"/>
      <c r="BS1093" s="14"/>
      <c r="BT1093" s="324"/>
      <c r="BU1093" s="14"/>
      <c r="BV1093" s="14"/>
      <c r="BW1093" s="14"/>
      <c r="BX1093" s="14"/>
      <c r="BY1093" s="14"/>
      <c r="BZ1093" s="14"/>
      <c r="CA1093" s="14"/>
      <c r="CB1093" s="14"/>
      <c r="CC1093" s="14"/>
      <c r="CD1093" s="14"/>
      <c r="CE1093" s="14"/>
      <c r="CF1093" s="14"/>
      <c r="CG1093" s="14"/>
      <c r="CH1093" s="14"/>
      <c r="CI1093" s="14"/>
      <c r="CJ1093" s="2"/>
      <c r="CK1093" s="2"/>
      <c r="CM1093" s="1140">
        <v>0</v>
      </c>
      <c r="CN1093" s="1140">
        <v>0</v>
      </c>
      <c r="CP1093" s="923">
        <f t="shared" si="617"/>
        <v>0</v>
      </c>
      <c r="CZ1093" s="330"/>
    </row>
    <row r="1094" spans="1:104" ht="15" customHeight="1" x14ac:dyDescent="0.25">
      <c r="A1094" s="684">
        <f>MAX($A$6:A1093)+1</f>
        <v>1094</v>
      </c>
      <c r="B1094" s="3">
        <f t="shared" si="652"/>
        <v>6.1</v>
      </c>
      <c r="C1094" s="11" t="str">
        <f t="shared" si="636"/>
        <v>Consolidated intangible assets 2025-26</v>
      </c>
      <c r="D1094" s="11" t="s">
        <v>454</v>
      </c>
      <c r="E1094" s="13" t="s">
        <v>194</v>
      </c>
      <c r="F1094" s="13"/>
      <c r="G1094" s="26"/>
      <c r="H1094" s="6"/>
      <c r="I1094" s="6"/>
      <c r="J1094" s="1257" t="s">
        <v>286</v>
      </c>
      <c r="K1094" s="251">
        <f>SUMIF('alb Note 6.1 -  Intangibles CY'!$A:$A,$J1094,'alb Note 6.1 -  Intangibles CY'!$H:$H)</f>
        <v>0</v>
      </c>
      <c r="L1094" s="251">
        <f>SUMIF('alb Note 6.1 -  Intangibles CY'!$A:$A,$J1094,'alb Note 6.1 -  Intangibles CY'!$S:$S)</f>
        <v>0</v>
      </c>
      <c r="M1094" s="10"/>
      <c r="N1094" s="273">
        <f>ROUND(SUM(O1094:S1094)+SUM(W1094:AV1094),0)</f>
        <v>0</v>
      </c>
      <c r="O1094" s="12"/>
      <c r="P1094" s="12"/>
      <c r="Q1094" s="12"/>
      <c r="R1094" s="12"/>
      <c r="S1094" s="6">
        <f t="shared" si="618"/>
        <v>0</v>
      </c>
      <c r="T1094" s="273">
        <f>ROUND(SUM(U1094:Y1094),0)</f>
        <v>0</v>
      </c>
      <c r="U1094" s="6">
        <f>SUM(BL1094:BN1094)</f>
        <v>0</v>
      </c>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X1094" s="6"/>
      <c r="AY1094" s="6">
        <f>ROUND(AX1094/1000/Update!$B$31*Update!$B$27,0)</f>
        <v>0</v>
      </c>
      <c r="BA1094" s="6"/>
      <c r="BB1094" s="6">
        <f>ROUND(BA1094/1000/Update!$B$31,0)</f>
        <v>0</v>
      </c>
      <c r="BC1094" s="6"/>
      <c r="BD1094" s="29">
        <f t="shared" si="628"/>
        <v>0</v>
      </c>
      <c r="BE1094" s="322"/>
      <c r="BF1094" s="322"/>
      <c r="BG1094" s="322"/>
      <c r="BH1094" s="322"/>
      <c r="BI1094" s="322"/>
      <c r="BJ1094" s="322"/>
      <c r="BK1094" s="29">
        <f t="shared" si="643"/>
        <v>0</v>
      </c>
      <c r="BL1094" s="322"/>
      <c r="BM1094" s="322"/>
      <c r="BN1094" s="322"/>
      <c r="BO1094" s="322"/>
      <c r="BP1094" s="322"/>
      <c r="BQ1094" s="322"/>
      <c r="BR1094" s="322"/>
      <c r="BS1094" s="322"/>
      <c r="BT1094" s="322"/>
      <c r="BU1094" s="322"/>
      <c r="BV1094" s="322"/>
      <c r="BW1094" s="322"/>
      <c r="BX1094" s="322"/>
      <c r="BY1094" s="322"/>
      <c r="BZ1094" s="322"/>
      <c r="CA1094" s="322"/>
      <c r="CB1094" s="322"/>
      <c r="CC1094" s="322"/>
      <c r="CD1094" s="322"/>
      <c r="CE1094" s="322"/>
      <c r="CF1094" s="322"/>
      <c r="CG1094" s="322"/>
      <c r="CH1094" s="322"/>
      <c r="CI1094" s="322"/>
      <c r="CM1094" s="1139">
        <v>0</v>
      </c>
      <c r="CN1094" s="1139">
        <v>0</v>
      </c>
      <c r="CP1094" s="923">
        <f t="shared" si="617"/>
        <v>0</v>
      </c>
      <c r="CZ1094" s="330"/>
    </row>
    <row r="1095" spans="1:104" ht="15" customHeight="1" x14ac:dyDescent="0.25">
      <c r="A1095" s="684">
        <f>MAX($A$6:A1094)+1</f>
        <v>1095</v>
      </c>
      <c r="B1095" s="3">
        <f t="shared" si="652"/>
        <v>6.1</v>
      </c>
      <c r="C1095" s="11" t="str">
        <f t="shared" si="636"/>
        <v>Consolidated intangible assets 2025-26</v>
      </c>
      <c r="D1095" s="11" t="s">
        <v>454</v>
      </c>
      <c r="E1095" s="7" t="s">
        <v>197</v>
      </c>
      <c r="F1095" s="7"/>
      <c r="G1095" s="1254" t="s">
        <v>443</v>
      </c>
      <c r="H1095" s="6" t="e">
        <v>#VALUE!</v>
      </c>
      <c r="I1095" s="6" t="e">
        <v>#VALUE!</v>
      </c>
      <c r="J1095" s="1257" t="s">
        <v>197</v>
      </c>
      <c r="K1095" s="251">
        <f>SUMIF('alb Note 6.1 -  Intangibles CY'!$A:$A,$J1095,'alb Note 6.1 -  Intangibles CY'!$H:$H)</f>
        <v>0</v>
      </c>
      <c r="L1095" s="251">
        <f>SUMIF('alb Note 6.1 -  Intangibles CY'!$A:$A,$J1095,'alb Note 6.1 -  Intangibles CY'!$S:$S)</f>
        <v>0</v>
      </c>
      <c r="M1095" s="10"/>
      <c r="N1095" s="273" t="e">
        <f>ROUND(SUM(O1095:S1095)+SUM(W1095:AV1095),0)</f>
        <v>#VALUE!</v>
      </c>
      <c r="O1095" s="12"/>
      <c r="P1095" s="12"/>
      <c r="Q1095" s="12"/>
      <c r="R1095" s="12"/>
      <c r="S1095" s="6">
        <f t="shared" si="618"/>
        <v>0</v>
      </c>
      <c r="T1095" s="273" t="e">
        <f>ROUND(SUM(U1095:Y1095),0)</f>
        <v>#VALUE!</v>
      </c>
      <c r="U1095" s="6">
        <f>SUM(BL1095:BN1095)</f>
        <v>0</v>
      </c>
      <c r="V1095" s="6"/>
      <c r="W1095" s="6" t="e">
        <f>+H1095</f>
        <v>#VALUE!</v>
      </c>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X1095" s="6"/>
      <c r="AY1095" s="6">
        <f>ROUND(AX1095/1000/Update!$B$31*Update!$B$27,0)</f>
        <v>0</v>
      </c>
      <c r="BA1095" s="6"/>
      <c r="BB1095" s="6">
        <f>ROUND(BA1095/1000/Update!$B$31,0)</f>
        <v>0</v>
      </c>
      <c r="BC1095" s="6"/>
      <c r="BD1095" s="29">
        <f t="shared" si="628"/>
        <v>0</v>
      </c>
      <c r="BE1095" s="322"/>
      <c r="BF1095" s="322"/>
      <c r="BG1095" s="322"/>
      <c r="BH1095" s="322"/>
      <c r="BI1095" s="322"/>
      <c r="BJ1095" s="322"/>
      <c r="BK1095" s="29">
        <f t="shared" si="643"/>
        <v>0</v>
      </c>
      <c r="BL1095" s="322"/>
      <c r="BM1095" s="322"/>
      <c r="BN1095" s="322"/>
      <c r="BO1095" s="322"/>
      <c r="BP1095" s="322"/>
      <c r="BQ1095" s="322"/>
      <c r="BR1095" s="322"/>
      <c r="BS1095" s="322"/>
      <c r="BT1095" s="322"/>
      <c r="BU1095" s="322"/>
      <c r="BV1095" s="322"/>
      <c r="BW1095" s="322"/>
      <c r="BX1095" s="322"/>
      <c r="BY1095" s="322"/>
      <c r="BZ1095" s="322"/>
      <c r="CA1095" s="322"/>
      <c r="CB1095" s="322"/>
      <c r="CC1095" s="322"/>
      <c r="CD1095" s="322"/>
      <c r="CE1095" s="322"/>
      <c r="CF1095" s="322"/>
      <c r="CG1095" s="322"/>
      <c r="CH1095" s="322"/>
      <c r="CI1095" s="322"/>
      <c r="CM1095" s="1139">
        <v>0</v>
      </c>
      <c r="CN1095" s="1139">
        <v>0</v>
      </c>
      <c r="CP1095" s="923">
        <f t="shared" si="617"/>
        <v>0</v>
      </c>
      <c r="CZ1095" s="330"/>
    </row>
    <row r="1096" spans="1:104" ht="15" customHeight="1" x14ac:dyDescent="0.25">
      <c r="A1096" s="684">
        <f>MAX($A$6:A1095)+1</f>
        <v>1096</v>
      </c>
      <c r="B1096" s="3">
        <f t="shared" si="652"/>
        <v>6.1</v>
      </c>
      <c r="C1096" s="11" t="str">
        <f t="shared" si="636"/>
        <v>Consolidated intangible assets 2025-26</v>
      </c>
      <c r="D1096" s="11" t="s">
        <v>454</v>
      </c>
      <c r="E1096" s="7" t="s">
        <v>198</v>
      </c>
      <c r="F1096" s="7"/>
      <c r="G1096" s="1254" t="s">
        <v>444</v>
      </c>
      <c r="H1096" s="6" t="e">
        <v>#VALUE!</v>
      </c>
      <c r="I1096" s="6" t="e">
        <v>#VALUE!</v>
      </c>
      <c r="J1096" s="1257" t="s">
        <v>198</v>
      </c>
      <c r="K1096" s="251">
        <f>SUMIF('alb Note 6.1 -  Intangibles CY'!$A:$A,$J1096,'alb Note 6.1 -  Intangibles CY'!$H:$H)</f>
        <v>0</v>
      </c>
      <c r="L1096" s="251">
        <f>SUMIF('alb Note 6.1 -  Intangibles CY'!$A:$A,$J1096,'alb Note 6.1 -  Intangibles CY'!$S:$S)</f>
        <v>0</v>
      </c>
      <c r="M1096" s="10"/>
      <c r="N1096" s="273" t="e">
        <f>ROUND(SUM(O1096:S1096)+SUM(W1096:AV1096),0)</f>
        <v>#VALUE!</v>
      </c>
      <c r="O1096" s="12"/>
      <c r="P1096" s="12"/>
      <c r="Q1096" s="12"/>
      <c r="R1096" s="12"/>
      <c r="S1096" s="6">
        <f t="shared" si="618"/>
        <v>0</v>
      </c>
      <c r="T1096" s="273" t="e">
        <f>ROUND(SUM(U1096:Y1096),0)</f>
        <v>#VALUE!</v>
      </c>
      <c r="U1096" s="6">
        <f>SUM(BL1096:BN1096)</f>
        <v>0</v>
      </c>
      <c r="V1096" s="6"/>
      <c r="W1096" s="6" t="e">
        <f>+H1096</f>
        <v>#VALUE!</v>
      </c>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X1096" s="6"/>
      <c r="AY1096" s="6">
        <f>ROUND(AX1096/1000/Update!$B$31*Update!$B$27,0)</f>
        <v>0</v>
      </c>
      <c r="BA1096" s="6"/>
      <c r="BB1096" s="6">
        <f>ROUND(BA1096/1000/Update!$B$31,0)</f>
        <v>0</v>
      </c>
      <c r="BC1096" s="6"/>
      <c r="BD1096" s="29">
        <f t="shared" si="628"/>
        <v>0</v>
      </c>
      <c r="BE1096" s="322"/>
      <c r="BF1096" s="322"/>
      <c r="BG1096" s="322"/>
      <c r="BH1096" s="322"/>
      <c r="BI1096" s="322"/>
      <c r="BJ1096" s="322"/>
      <c r="BK1096" s="29">
        <f t="shared" si="643"/>
        <v>0</v>
      </c>
      <c r="BL1096" s="322"/>
      <c r="BM1096" s="322"/>
      <c r="BN1096" s="322"/>
      <c r="BO1096" s="322"/>
      <c r="BP1096" s="322"/>
      <c r="BQ1096" s="322"/>
      <c r="BR1096" s="322"/>
      <c r="BS1096" s="322"/>
      <c r="BT1096" s="322"/>
      <c r="BU1096" s="322"/>
      <c r="BV1096" s="322"/>
      <c r="BW1096" s="322"/>
      <c r="BX1096" s="322"/>
      <c r="BY1096" s="322"/>
      <c r="BZ1096" s="322"/>
      <c r="CA1096" s="322"/>
      <c r="CB1096" s="322"/>
      <c r="CC1096" s="322"/>
      <c r="CD1096" s="322"/>
      <c r="CE1096" s="322"/>
      <c r="CF1096" s="322"/>
      <c r="CG1096" s="322"/>
      <c r="CH1096" s="322"/>
      <c r="CI1096" s="322"/>
      <c r="CM1096" s="1139">
        <v>0</v>
      </c>
      <c r="CN1096" s="1139">
        <v>0</v>
      </c>
      <c r="CP1096" s="923">
        <f t="shared" ref="CP1096:CP1159" si="659">-V1096+BL1096+BM1096+BN1096+CM1096</f>
        <v>0</v>
      </c>
      <c r="CZ1096" s="330"/>
    </row>
    <row r="1097" spans="1:104" ht="38.25" customHeight="1" x14ac:dyDescent="0.25">
      <c r="A1097" s="684">
        <f>MAX($A$6:A1096)+1</f>
        <v>1097</v>
      </c>
      <c r="B1097" s="3">
        <f t="shared" si="652"/>
        <v>6.1</v>
      </c>
      <c r="C1097" s="11" t="str">
        <f t="shared" si="636"/>
        <v>Consolidated intangible assets 2025-26</v>
      </c>
      <c r="D1097" s="11" t="s">
        <v>454</v>
      </c>
      <c r="E1097" s="148" t="s">
        <v>1696</v>
      </c>
      <c r="F1097" s="148"/>
      <c r="G1097" s="1254" t="s">
        <v>199</v>
      </c>
      <c r="H1097" s="6" t="e">
        <v>#VALUE!</v>
      </c>
      <c r="I1097" s="6" t="e">
        <v>#VALUE!</v>
      </c>
      <c r="J1097" s="1257" t="s">
        <v>769</v>
      </c>
      <c r="K1097" s="251">
        <f>SUMIF('alb Note 6.1 -  Intangibles CY'!$A:$A,$J1097,'alb Note 6.1 -  Intangibles CY'!$H:$H)</f>
        <v>0</v>
      </c>
      <c r="L1097" s="251">
        <f>SUMIF('alb Note 6.1 -  Intangibles CY'!$A:$A,$J1097,'alb Note 6.1 -  Intangibles CY'!$S:$S)</f>
        <v>0</v>
      </c>
      <c r="M1097" s="10"/>
      <c r="N1097" s="273" t="e">
        <f>ROUND(SUM(O1097:S1097)+SUM(W1097:AV1097),0)</f>
        <v>#VALUE!</v>
      </c>
      <c r="O1097" s="12"/>
      <c r="P1097" s="12"/>
      <c r="Q1097" s="12"/>
      <c r="R1097" s="12"/>
      <c r="S1097" s="6">
        <f t="shared" si="618"/>
        <v>0</v>
      </c>
      <c r="T1097" s="273" t="e">
        <f>ROUND(SUM(U1097:Y1097),0)</f>
        <v>#VALUE!</v>
      </c>
      <c r="U1097" s="6">
        <f>SUM(BL1097:BN1097)</f>
        <v>0</v>
      </c>
      <c r="V1097" s="6"/>
      <c r="W1097" s="6" t="e">
        <f>+H1097</f>
        <v>#VALUE!</v>
      </c>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X1097" s="6"/>
      <c r="AY1097" s="6">
        <f>ROUND(AX1097/1000/Update!$B$31*Update!$B$27,0)</f>
        <v>0</v>
      </c>
      <c r="BA1097" s="6"/>
      <c r="BB1097" s="6">
        <f>ROUND(BA1097/1000/Update!$B$31,0)</f>
        <v>0</v>
      </c>
      <c r="BC1097" s="6"/>
      <c r="BD1097" s="29">
        <f t="shared" si="628"/>
        <v>0</v>
      </c>
      <c r="BE1097" s="322"/>
      <c r="BF1097" s="322"/>
      <c r="BG1097" s="322"/>
      <c r="BH1097" s="322"/>
      <c r="BI1097" s="322"/>
      <c r="BJ1097" s="322"/>
      <c r="BK1097" s="29">
        <f t="shared" si="643"/>
        <v>0</v>
      </c>
      <c r="BL1097" s="322"/>
      <c r="BM1097" s="322"/>
      <c r="BN1097" s="322"/>
      <c r="BO1097" s="322"/>
      <c r="BP1097" s="322"/>
      <c r="BQ1097" s="322"/>
      <c r="BR1097" s="322"/>
      <c r="BS1097" s="322"/>
      <c r="BT1097" s="322"/>
      <c r="BU1097" s="322"/>
      <c r="BV1097" s="322"/>
      <c r="BW1097" s="322"/>
      <c r="BX1097" s="322"/>
      <c r="BY1097" s="322"/>
      <c r="BZ1097" s="322"/>
      <c r="CA1097" s="322"/>
      <c r="CB1097" s="322"/>
      <c r="CC1097" s="322"/>
      <c r="CD1097" s="322"/>
      <c r="CE1097" s="322"/>
      <c r="CF1097" s="322"/>
      <c r="CG1097" s="322"/>
      <c r="CH1097" s="322"/>
      <c r="CI1097" s="322"/>
      <c r="CM1097" s="1139">
        <v>0</v>
      </c>
      <c r="CN1097" s="1139">
        <v>0</v>
      </c>
      <c r="CP1097" s="923">
        <f t="shared" si="659"/>
        <v>0</v>
      </c>
      <c r="CZ1097" s="330"/>
    </row>
    <row r="1098" spans="1:104" ht="15" customHeight="1" x14ac:dyDescent="0.25">
      <c r="A1098" s="684">
        <f>MAX($A$6:A1097)+1</f>
        <v>1098</v>
      </c>
      <c r="B1098" s="3">
        <f t="shared" si="652"/>
        <v>6.1</v>
      </c>
      <c r="C1098" s="11" t="str">
        <f t="shared" si="636"/>
        <v>Consolidated intangible assets 2025-26</v>
      </c>
      <c r="D1098" s="11" t="s">
        <v>454</v>
      </c>
      <c r="E1098" s="148" t="s">
        <v>1695</v>
      </c>
      <c r="F1098" s="148"/>
      <c r="G1098" s="1254" t="s">
        <v>1695</v>
      </c>
      <c r="H1098" s="6" t="e">
        <v>#VALUE!</v>
      </c>
      <c r="I1098" s="6" t="e">
        <v>#VALUE!</v>
      </c>
      <c r="J1098" s="1257" t="s">
        <v>1695</v>
      </c>
      <c r="K1098" s="251">
        <f>SUMIF('alb Note 6.1 -  Intangibles CY'!$A:$A,$J1098,'alb Note 6.1 -  Intangibles CY'!$H:$H)</f>
        <v>0</v>
      </c>
      <c r="L1098" s="251">
        <f>SUMIF('alb Note 6.1 -  Intangibles CY'!$A:$A,$J1098,'alb Note 6.1 -  Intangibles CY'!$S:$S)</f>
        <v>0</v>
      </c>
      <c r="M1098" s="10"/>
      <c r="N1098" s="273" t="e">
        <f>ROUND(SUM(O1098:S1098)+SUM(W1098:AV1098),0)</f>
        <v>#VALUE!</v>
      </c>
      <c r="O1098" s="12"/>
      <c r="P1098" s="12"/>
      <c r="Q1098" s="12"/>
      <c r="R1098" s="12"/>
      <c r="S1098" s="6">
        <f>-IF(ISNUMBER(BD1098),BD1098,0)</f>
        <v>0</v>
      </c>
      <c r="T1098" s="273" t="e">
        <f>ROUND(SUM(U1098:Y1098),0)</f>
        <v>#VALUE!</v>
      </c>
      <c r="U1098" s="6">
        <f>SUM(BL1098:BN1098)</f>
        <v>0</v>
      </c>
      <c r="V1098" s="6"/>
      <c r="W1098" s="6" t="e">
        <f>+H1098</f>
        <v>#VALUE!</v>
      </c>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X1098" s="6"/>
      <c r="AY1098" s="6"/>
      <c r="BA1098" s="6"/>
      <c r="BB1098" s="6"/>
      <c r="BC1098" s="6"/>
      <c r="BD1098" s="29">
        <f t="shared" si="628"/>
        <v>0</v>
      </c>
      <c r="BE1098" s="322"/>
      <c r="BF1098" s="322"/>
      <c r="BG1098" s="322"/>
      <c r="BH1098" s="322"/>
      <c r="BI1098" s="322"/>
      <c r="BJ1098" s="322"/>
      <c r="BK1098" s="29">
        <f t="shared" si="643"/>
        <v>0</v>
      </c>
      <c r="BL1098" s="322"/>
      <c r="BM1098" s="322"/>
      <c r="BN1098" s="322"/>
      <c r="BO1098" s="322"/>
      <c r="BP1098" s="322"/>
      <c r="BQ1098" s="322"/>
      <c r="BR1098" s="322"/>
      <c r="BS1098" s="322"/>
      <c r="BT1098" s="322"/>
      <c r="BU1098" s="322"/>
      <c r="BV1098" s="322"/>
      <c r="BW1098" s="322"/>
      <c r="BX1098" s="322"/>
      <c r="BY1098" s="322"/>
      <c r="BZ1098" s="322"/>
      <c r="CA1098" s="322"/>
      <c r="CB1098" s="322"/>
      <c r="CC1098" s="322"/>
      <c r="CD1098" s="322"/>
      <c r="CE1098" s="322"/>
      <c r="CF1098" s="322"/>
      <c r="CG1098" s="322"/>
      <c r="CH1098" s="322"/>
      <c r="CI1098" s="322"/>
      <c r="CM1098" s="1139">
        <v>0</v>
      </c>
      <c r="CN1098" s="1139">
        <v>0</v>
      </c>
      <c r="CP1098" s="923">
        <f t="shared" si="659"/>
        <v>0</v>
      </c>
      <c r="CZ1098" s="330"/>
    </row>
    <row r="1099" spans="1:104" ht="15" customHeight="1" x14ac:dyDescent="0.25">
      <c r="A1099" s="701">
        <f>MAX($A$6:A1098)+1</f>
        <v>1099</v>
      </c>
      <c r="B1099" s="1291">
        <f t="shared" si="652"/>
        <v>6.1</v>
      </c>
      <c r="C1099" s="18" t="str">
        <f t="shared" si="636"/>
        <v>Consolidated intangible assets 2025-26</v>
      </c>
      <c r="D1099" s="18" t="s">
        <v>454</v>
      </c>
      <c r="E1099" s="19" t="str">
        <f>"Carrying amount "&amp;Update!$B$22</f>
        <v>Carrying amount  31 March 2026</v>
      </c>
      <c r="F1099" s="20"/>
      <c r="G1099" s="28"/>
      <c r="H1099" s="14" t="e">
        <f>SUM(H1094:H1098)</f>
        <v>#VALUE!</v>
      </c>
      <c r="I1099" s="14" t="e">
        <f>SUM(I1094:I1098)</f>
        <v>#VALUE!</v>
      </c>
      <c r="J1099" s="1258" t="s">
        <v>286</v>
      </c>
      <c r="K1099" s="256">
        <f>SUM(K1094:K1098)</f>
        <v>0</v>
      </c>
      <c r="L1099" s="256">
        <f>SUM(L1094:L1098)</f>
        <v>0</v>
      </c>
      <c r="M1099" s="21"/>
      <c r="N1099" s="14" t="e">
        <f>ROUND(SUM(O1099:S1099)+T1099+SUM(Z1099:AV1099),0)</f>
        <v>#VALUE!</v>
      </c>
      <c r="O1099" s="14">
        <f t="shared" ref="O1099:W1099" si="660">SUM(O1094:O1098)</f>
        <v>0</v>
      </c>
      <c r="P1099" s="14">
        <f t="shared" si="660"/>
        <v>0</v>
      </c>
      <c r="Q1099" s="14">
        <f t="shared" si="660"/>
        <v>0</v>
      </c>
      <c r="R1099" s="14">
        <f t="shared" si="660"/>
        <v>0</v>
      </c>
      <c r="S1099" s="14">
        <f t="shared" si="660"/>
        <v>0</v>
      </c>
      <c r="T1099" s="14" t="e">
        <f t="shared" si="660"/>
        <v>#VALUE!</v>
      </c>
      <c r="U1099" s="14">
        <f t="shared" si="660"/>
        <v>0</v>
      </c>
      <c r="V1099" s="14">
        <f t="shared" si="660"/>
        <v>0</v>
      </c>
      <c r="W1099" s="14" t="e">
        <f t="shared" si="660"/>
        <v>#VALUE!</v>
      </c>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2">
        <f t="shared" ref="AW1099:BJ1099" si="661">SUM(AW1094:AW1098)</f>
        <v>0</v>
      </c>
      <c r="AX1099" s="14">
        <f t="shared" si="661"/>
        <v>0</v>
      </c>
      <c r="AY1099" s="14">
        <f t="shared" si="661"/>
        <v>0</v>
      </c>
      <c r="AZ1099" s="2">
        <f t="shared" si="661"/>
        <v>0</v>
      </c>
      <c r="BA1099" s="14">
        <f t="shared" si="661"/>
        <v>0</v>
      </c>
      <c r="BB1099" s="14">
        <f t="shared" si="661"/>
        <v>0</v>
      </c>
      <c r="BC1099" s="14">
        <f t="shared" si="661"/>
        <v>0</v>
      </c>
      <c r="BD1099" s="14">
        <f t="shared" si="661"/>
        <v>0</v>
      </c>
      <c r="BE1099" s="14">
        <f t="shared" si="661"/>
        <v>0</v>
      </c>
      <c r="BF1099" s="14">
        <f t="shared" si="661"/>
        <v>0</v>
      </c>
      <c r="BG1099" s="14">
        <f t="shared" si="661"/>
        <v>0</v>
      </c>
      <c r="BH1099" s="14">
        <f t="shared" si="661"/>
        <v>0</v>
      </c>
      <c r="BI1099" s="14">
        <f t="shared" si="661"/>
        <v>0</v>
      </c>
      <c r="BJ1099" s="14">
        <f t="shared" si="661"/>
        <v>0</v>
      </c>
      <c r="BK1099" s="14">
        <f t="shared" si="643"/>
        <v>0</v>
      </c>
      <c r="BL1099" s="14"/>
      <c r="BM1099" s="14"/>
      <c r="BN1099" s="14"/>
      <c r="BO1099" s="14"/>
      <c r="BP1099" s="14"/>
      <c r="BQ1099" s="14"/>
      <c r="BR1099" s="14"/>
      <c r="BS1099" s="14"/>
      <c r="BT1099" s="324"/>
      <c r="BU1099" s="14"/>
      <c r="BV1099" s="14"/>
      <c r="BW1099" s="14"/>
      <c r="BX1099" s="14"/>
      <c r="BY1099" s="14"/>
      <c r="BZ1099" s="14"/>
      <c r="CA1099" s="14"/>
      <c r="CB1099" s="14"/>
      <c r="CC1099" s="14"/>
      <c r="CD1099" s="14"/>
      <c r="CE1099" s="14"/>
      <c r="CF1099" s="14"/>
      <c r="CG1099" s="14"/>
      <c r="CH1099" s="14"/>
      <c r="CI1099" s="14"/>
      <c r="CJ1099" s="2"/>
      <c r="CK1099" s="2"/>
      <c r="CM1099" s="1140">
        <v>0</v>
      </c>
      <c r="CN1099" s="1140">
        <v>0</v>
      </c>
      <c r="CP1099" s="923">
        <f t="shared" si="659"/>
        <v>0</v>
      </c>
      <c r="CZ1099" s="330"/>
    </row>
    <row r="1100" spans="1:104" ht="18.75" customHeight="1" x14ac:dyDescent="0.25">
      <c r="A1100" s="684">
        <f>MAX($A$6:A1099)+1</f>
        <v>1100</v>
      </c>
      <c r="B1100" s="3">
        <f>B1099</f>
        <v>6.1</v>
      </c>
      <c r="C1100" s="11" t="str">
        <f>C1099</f>
        <v>Consolidated intangible assets 2025-26</v>
      </c>
      <c r="D1100" s="11" t="s">
        <v>455</v>
      </c>
      <c r="E1100" s="277" t="s">
        <v>183</v>
      </c>
      <c r="F1100" s="277"/>
      <c r="G1100" s="26"/>
      <c r="H1100" s="6"/>
      <c r="I1100" s="6"/>
      <c r="J1100" s="1257" t="s">
        <v>286</v>
      </c>
      <c r="K1100" s="251">
        <f>SUMIF('alb Note 6.1 -  Intangibles CY'!$A:$A,$J1100,'alb Note 6.1 -  Intangibles CY'!$I:$I)</f>
        <v>0</v>
      </c>
      <c r="L1100" s="251">
        <f>SUMIF('alb Note 6.1 -  Intangibles CY'!$A:$A,$J1100,'alb Note 6.1 -  Intangibles CY'!$T:$T)</f>
        <v>0</v>
      </c>
      <c r="M1100" s="10"/>
      <c r="N1100" s="273">
        <f>ROUND(SUM(O1100:S1100)+SUM(W1100:AV1100),0)</f>
        <v>0</v>
      </c>
      <c r="O1100" s="12"/>
      <c r="P1100" s="12"/>
      <c r="Q1100" s="12"/>
      <c r="R1100" s="12"/>
      <c r="S1100" s="6">
        <f t="shared" ref="S1100:S1159" si="662">-IF(ISNUMBER(BD1100),BD1100,0)</f>
        <v>0</v>
      </c>
      <c r="T1100" s="273">
        <f>ROUND(SUM(U1100:Y1100),0)</f>
        <v>0</v>
      </c>
      <c r="U1100" s="6">
        <f>SUM(BL1100:BN1100)</f>
        <v>0</v>
      </c>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X1100" s="6"/>
      <c r="AY1100" s="6">
        <f>ROUND(AX1100/1000/Update!$B$31*Update!$B$27,0)</f>
        <v>0</v>
      </c>
      <c r="BA1100" s="6"/>
      <c r="BB1100" s="6">
        <f>ROUND(BA1100/1000/Update!$B$31,0)</f>
        <v>0</v>
      </c>
      <c r="BC1100" s="6"/>
      <c r="BD1100" s="29">
        <f t="shared" si="628"/>
        <v>0</v>
      </c>
      <c r="BE1100" s="322"/>
      <c r="BF1100" s="322"/>
      <c r="BG1100" s="322"/>
      <c r="BH1100" s="322"/>
      <c r="BI1100" s="322"/>
      <c r="BJ1100" s="322"/>
      <c r="BK1100" s="29">
        <f t="shared" si="643"/>
        <v>0</v>
      </c>
      <c r="BL1100" s="322"/>
      <c r="BM1100" s="322"/>
      <c r="BN1100" s="322"/>
      <c r="BO1100" s="322"/>
      <c r="BP1100" s="322"/>
      <c r="BQ1100" s="322"/>
      <c r="BR1100" s="322"/>
      <c r="BS1100" s="322"/>
      <c r="BT1100" s="322"/>
      <c r="BU1100" s="322"/>
      <c r="BV1100" s="322"/>
      <c r="BW1100" s="322"/>
      <c r="BX1100" s="322"/>
      <c r="BY1100" s="322"/>
      <c r="BZ1100" s="322"/>
      <c r="CA1100" s="322"/>
      <c r="CB1100" s="322"/>
      <c r="CC1100" s="322"/>
      <c r="CD1100" s="322"/>
      <c r="CE1100" s="322"/>
      <c r="CF1100" s="322"/>
      <c r="CG1100" s="322"/>
      <c r="CH1100" s="322"/>
      <c r="CI1100" s="322"/>
      <c r="CM1100" s="1139">
        <v>0</v>
      </c>
      <c r="CN1100" s="1139">
        <v>0</v>
      </c>
      <c r="CP1100" s="923">
        <f t="shared" si="659"/>
        <v>0</v>
      </c>
      <c r="CZ1100" s="330"/>
    </row>
    <row r="1101" spans="1:104" ht="25.5" customHeight="1" x14ac:dyDescent="0.25">
      <c r="A1101" s="684">
        <f>MAX($A$6:A1100)+1</f>
        <v>1101</v>
      </c>
      <c r="B1101" s="3">
        <f t="shared" si="652"/>
        <v>6.1</v>
      </c>
      <c r="C1101" s="11" t="str">
        <f t="shared" si="636"/>
        <v>Consolidated intangible assets 2025-26</v>
      </c>
      <c r="D1101" s="11" t="s">
        <v>455</v>
      </c>
      <c r="E1101" s="7" t="str">
        <f>"At"&amp;Update!$B$20</f>
        <v>At 1 April 2025</v>
      </c>
      <c r="F1101" s="15"/>
      <c r="G1101" s="1267" t="str">
        <f>"At"&amp;Update!$B$20</f>
        <v>At 1 April 2025</v>
      </c>
      <c r="H1101" s="6">
        <v>0</v>
      </c>
      <c r="I1101" s="6">
        <v>0</v>
      </c>
      <c r="J1101" s="1257" t="str">
        <f>$E1101</f>
        <v>At 1 April 2025</v>
      </c>
      <c r="K1101" s="251">
        <f>SUMIF('alb Note 6.1 -  Intangibles CY'!$A:$A,$J1101,'alb Note 6.1 -  Intangibles CY'!$I:$I)</f>
        <v>0</v>
      </c>
      <c r="L1101" s="251">
        <f>SUMIF('alb Note 6.1 -  Intangibles CY'!$A:$A,$J1101,'alb Note 6.1 -  Intangibles CY'!$T:$T)</f>
        <v>0</v>
      </c>
      <c r="M1101" s="10"/>
      <c r="N1101" s="273">
        <f>ROUND(SUM(O1101:S1101)+SUM(W1101:AV1101),0)</f>
        <v>0</v>
      </c>
      <c r="O1101" s="12"/>
      <c r="P1101" s="12"/>
      <c r="Q1101" s="12"/>
      <c r="R1101" s="12"/>
      <c r="S1101" s="6">
        <f t="shared" si="662"/>
        <v>0</v>
      </c>
      <c r="T1101" s="273">
        <f>ROUND(SUM(U1101:Y1101),0)</f>
        <v>0</v>
      </c>
      <c r="U1101" s="6">
        <f>SUM(BL1101:BN1101)</f>
        <v>0</v>
      </c>
      <c r="V1101" s="6"/>
      <c r="W1101" s="6">
        <f t="shared" ref="W1101:W1112" si="663">+H1101</f>
        <v>0</v>
      </c>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X1101" s="6"/>
      <c r="AY1101" s="6">
        <f>ROUND(AX1101/1000/Update!$B$31*Update!$B$27,0)</f>
        <v>0</v>
      </c>
      <c r="BA1101" s="6"/>
      <c r="BB1101" s="6">
        <f>ROUND(BA1101/1000/Update!$B$31,0)</f>
        <v>0</v>
      </c>
      <c r="BC1101" s="6"/>
      <c r="BD1101" s="29">
        <f t="shared" si="628"/>
        <v>0</v>
      </c>
      <c r="BE1101" s="322"/>
      <c r="BF1101" s="322"/>
      <c r="BG1101" s="322"/>
      <c r="BH1101" s="322"/>
      <c r="BI1101" s="322"/>
      <c r="BJ1101" s="322"/>
      <c r="BK1101" s="29">
        <f t="shared" si="643"/>
        <v>0</v>
      </c>
      <c r="BL1101" s="322"/>
      <c r="BM1101" s="322"/>
      <c r="BN1101" s="322"/>
      <c r="BO1101" s="322"/>
      <c r="BP1101" s="322"/>
      <c r="BQ1101" s="322"/>
      <c r="BR1101" s="322"/>
      <c r="BS1101" s="322"/>
      <c r="BT1101" s="322"/>
      <c r="BU1101" s="322"/>
      <c r="BV1101" s="322"/>
      <c r="BW1101" s="322"/>
      <c r="BX1101" s="322"/>
      <c r="BY1101" s="322"/>
      <c r="BZ1101" s="322"/>
      <c r="CA1101" s="322"/>
      <c r="CB1101" s="322"/>
      <c r="CC1101" s="322"/>
      <c r="CD1101" s="322"/>
      <c r="CE1101" s="322"/>
      <c r="CF1101" s="322"/>
      <c r="CG1101" s="322"/>
      <c r="CH1101" s="322"/>
      <c r="CI1101" s="322"/>
      <c r="CM1101" s="1139">
        <v>0</v>
      </c>
      <c r="CN1101" s="1139">
        <v>0</v>
      </c>
      <c r="CP1101" s="923">
        <f t="shared" si="659"/>
        <v>0</v>
      </c>
      <c r="CZ1101" s="330"/>
    </row>
    <row r="1102" spans="1:104" ht="15" customHeight="1" x14ac:dyDescent="0.25">
      <c r="A1102" s="684">
        <f>MAX($A$6:A1101)+1</f>
        <v>1102</v>
      </c>
      <c r="B1102" s="3">
        <f t="shared" si="652"/>
        <v>6.1</v>
      </c>
      <c r="C1102" s="11" t="str">
        <f t="shared" si="636"/>
        <v>Consolidated intangible assets 2025-26</v>
      </c>
      <c r="D1102" s="11" t="str">
        <f>D1101</f>
        <v>Payments on Account &amp; Assets under Construction</v>
      </c>
      <c r="E1102" s="7" t="s">
        <v>435</v>
      </c>
      <c r="F1102" s="7"/>
      <c r="G1102" s="1254" t="s">
        <v>435</v>
      </c>
      <c r="H1102" s="6">
        <v>0</v>
      </c>
      <c r="I1102" s="6">
        <v>0</v>
      </c>
      <c r="J1102" s="1257" t="s">
        <v>184</v>
      </c>
      <c r="K1102" s="251">
        <f>SUMIF('alb Note 6.1 -  Intangibles CY'!$A:$A,$J1102,'alb Note 6.1 -  Intangibles CY'!$I:$I)</f>
        <v>0</v>
      </c>
      <c r="L1102" s="251">
        <f>SUMIF('alb Note 6.1 -  Intangibles CY'!$A:$A,$J1102,'alb Note 6.1 -  Intangibles CY'!$T:$T)</f>
        <v>0</v>
      </c>
      <c r="M1102" s="10"/>
      <c r="N1102" s="273">
        <f>ROUND(SUM(O1102:S1102)+SUM(W1102:AV1102),0)</f>
        <v>0</v>
      </c>
      <c r="O1102" s="12"/>
      <c r="P1102" s="12"/>
      <c r="Q1102" s="12"/>
      <c r="R1102" s="12"/>
      <c r="S1102" s="6">
        <f t="shared" si="662"/>
        <v>0</v>
      </c>
      <c r="T1102" s="273">
        <f>ROUND(SUM(U1102:Y1102),0)</f>
        <v>0</v>
      </c>
      <c r="U1102" s="6">
        <f>SUM(BL1102:BN1102)</f>
        <v>0</v>
      </c>
      <c r="V1102" s="6"/>
      <c r="W1102" s="6">
        <f t="shared" si="663"/>
        <v>0</v>
      </c>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X1102" s="6"/>
      <c r="AY1102" s="6">
        <f>ROUND(AX1102/1000/Update!$B$31*Update!$B$27,0)</f>
        <v>0</v>
      </c>
      <c r="BA1102" s="6"/>
      <c r="BB1102" s="6">
        <f>ROUND(BA1102/1000/Update!$B$31,0)</f>
        <v>0</v>
      </c>
      <c r="BC1102" s="6"/>
      <c r="BD1102" s="29">
        <f t="shared" si="628"/>
        <v>0</v>
      </c>
      <c r="BE1102" s="322"/>
      <c r="BF1102" s="322"/>
      <c r="BG1102" s="322"/>
      <c r="BH1102" s="322"/>
      <c r="BI1102" s="322"/>
      <c r="BJ1102" s="322"/>
      <c r="BK1102" s="29">
        <f t="shared" si="643"/>
        <v>0</v>
      </c>
      <c r="BL1102" s="322"/>
      <c r="BM1102" s="322"/>
      <c r="BN1102" s="322"/>
      <c r="BO1102" s="322"/>
      <c r="BP1102" s="322"/>
      <c r="BQ1102" s="322"/>
      <c r="BR1102" s="322"/>
      <c r="BS1102" s="322"/>
      <c r="BT1102" s="322"/>
      <c r="BU1102" s="322"/>
      <c r="BV1102" s="322"/>
      <c r="BW1102" s="322"/>
      <c r="BX1102" s="322"/>
      <c r="BY1102" s="322"/>
      <c r="BZ1102" s="322"/>
      <c r="CA1102" s="322"/>
      <c r="CB1102" s="322"/>
      <c r="CC1102" s="322"/>
      <c r="CD1102" s="322"/>
      <c r="CE1102" s="322"/>
      <c r="CF1102" s="322"/>
      <c r="CG1102" s="322"/>
      <c r="CH1102" s="322"/>
      <c r="CI1102" s="322"/>
      <c r="CM1102" s="1139">
        <v>0</v>
      </c>
      <c r="CN1102" s="1139">
        <v>0</v>
      </c>
      <c r="CP1102" s="923">
        <f t="shared" si="659"/>
        <v>0</v>
      </c>
      <c r="CZ1102" s="330"/>
    </row>
    <row r="1103" spans="1:104" ht="15" customHeight="1" x14ac:dyDescent="0.25">
      <c r="A1103" s="701">
        <f>MAX($A$6:A1102)+1</f>
        <v>1103</v>
      </c>
      <c r="B1103" s="1291">
        <f t="shared" si="652"/>
        <v>6.1</v>
      </c>
      <c r="C1103" s="18" t="str">
        <f t="shared" si="636"/>
        <v>Consolidated intangible assets 2025-26</v>
      </c>
      <c r="D1103" s="18" t="str">
        <f>D1102</f>
        <v>Payments on Account &amp; Assets under Construction</v>
      </c>
      <c r="E1103" s="19" t="s">
        <v>869</v>
      </c>
      <c r="F1103" s="20"/>
      <c r="G1103" s="1278" t="s">
        <v>442</v>
      </c>
      <c r="H1103" s="14">
        <f>SUM(H1100:H1102)</f>
        <v>0</v>
      </c>
      <c r="I1103" s="14">
        <f>SUM(I1100:I1102)</f>
        <v>0</v>
      </c>
      <c r="J1103" s="1258" t="s">
        <v>869</v>
      </c>
      <c r="K1103" s="256">
        <f>SUM(K1100:K1102)</f>
        <v>0</v>
      </c>
      <c r="L1103" s="256">
        <f>SUM(L1100:L1102)</f>
        <v>0</v>
      </c>
      <c r="M1103" s="21"/>
      <c r="N1103" s="14">
        <f>ROUND(SUM(O1103:S1103)+T1103+SUM(Z1103:AV1103),0)</f>
        <v>0</v>
      </c>
      <c r="O1103" s="14">
        <f t="shared" ref="O1103:W1103" si="664">SUM(O1100:O1102)</f>
        <v>0</v>
      </c>
      <c r="P1103" s="14">
        <f t="shared" si="664"/>
        <v>0</v>
      </c>
      <c r="Q1103" s="14">
        <f t="shared" si="664"/>
        <v>0</v>
      </c>
      <c r="R1103" s="14">
        <f t="shared" si="664"/>
        <v>0</v>
      </c>
      <c r="S1103" s="14">
        <f t="shared" si="662"/>
        <v>0</v>
      </c>
      <c r="T1103" s="14">
        <f t="shared" si="664"/>
        <v>0</v>
      </c>
      <c r="U1103" s="14">
        <f t="shared" si="664"/>
        <v>0</v>
      </c>
      <c r="V1103" s="14">
        <f t="shared" si="664"/>
        <v>0</v>
      </c>
      <c r="W1103" s="14">
        <f t="shared" si="664"/>
        <v>0</v>
      </c>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2"/>
      <c r="AX1103" s="14">
        <f>SUM(AX1100:AX1102)</f>
        <v>0</v>
      </c>
      <c r="AY1103" s="14">
        <f>ROUND(AX1103/1000/Update!$B$31*Update!$B$27,0)</f>
        <v>0</v>
      </c>
      <c r="AZ1103" s="2"/>
      <c r="BA1103" s="14">
        <f>SUM(BA1100:BA1102)</f>
        <v>0</v>
      </c>
      <c r="BB1103" s="14">
        <f>ROUND(BA1103/1000/Update!$B$31,0)</f>
        <v>0</v>
      </c>
      <c r="BC1103" s="14"/>
      <c r="BD1103" s="14">
        <f t="shared" si="628"/>
        <v>0</v>
      </c>
      <c r="BE1103" s="14">
        <f t="shared" ref="BE1103:BJ1103" si="665">SUM(BE1100:BE1102)</f>
        <v>0</v>
      </c>
      <c r="BF1103" s="14">
        <f t="shared" si="665"/>
        <v>0</v>
      </c>
      <c r="BG1103" s="14">
        <f t="shared" si="665"/>
        <v>0</v>
      </c>
      <c r="BH1103" s="14">
        <f t="shared" si="665"/>
        <v>0</v>
      </c>
      <c r="BI1103" s="14">
        <f t="shared" si="665"/>
        <v>0</v>
      </c>
      <c r="BJ1103" s="14">
        <f t="shared" si="665"/>
        <v>0</v>
      </c>
      <c r="BK1103" s="14">
        <f t="shared" si="643"/>
        <v>0</v>
      </c>
      <c r="BL1103" s="14"/>
      <c r="BM1103" s="14"/>
      <c r="BN1103" s="14"/>
      <c r="BO1103" s="14"/>
      <c r="BP1103" s="14"/>
      <c r="BQ1103" s="14"/>
      <c r="BR1103" s="14"/>
      <c r="BS1103" s="14"/>
      <c r="BT1103" s="324"/>
      <c r="BU1103" s="14"/>
      <c r="BV1103" s="14"/>
      <c r="BW1103" s="14"/>
      <c r="BX1103" s="14"/>
      <c r="BY1103" s="14"/>
      <c r="BZ1103" s="14"/>
      <c r="CA1103" s="14"/>
      <c r="CB1103" s="14"/>
      <c r="CC1103" s="14"/>
      <c r="CD1103" s="14"/>
      <c r="CE1103" s="14"/>
      <c r="CF1103" s="14"/>
      <c r="CG1103" s="14"/>
      <c r="CH1103" s="14"/>
      <c r="CI1103" s="14"/>
      <c r="CJ1103" s="2"/>
      <c r="CK1103" s="2"/>
      <c r="CM1103" s="1140">
        <v>0</v>
      </c>
      <c r="CN1103" s="1140">
        <v>0</v>
      </c>
      <c r="CP1103" s="923">
        <f t="shared" si="659"/>
        <v>0</v>
      </c>
      <c r="CZ1103" s="330"/>
    </row>
    <row r="1104" spans="1:104" ht="15" customHeight="1" x14ac:dyDescent="0.25">
      <c r="A1104" s="684">
        <f>MAX($A$6:A1103)+1</f>
        <v>1104</v>
      </c>
      <c r="B1104" s="3">
        <f t="shared" si="652"/>
        <v>6.1</v>
      </c>
      <c r="C1104" s="11" t="str">
        <f t="shared" si="636"/>
        <v>Consolidated intangible assets 2025-26</v>
      </c>
      <c r="D1104" s="11" t="s">
        <v>455</v>
      </c>
      <c r="E1104" s="7" t="s">
        <v>185</v>
      </c>
      <c r="F1104" s="7"/>
      <c r="G1104" s="1254" t="s">
        <v>185</v>
      </c>
      <c r="H1104" s="6">
        <v>0</v>
      </c>
      <c r="I1104" s="6">
        <v>0</v>
      </c>
      <c r="J1104" s="1257" t="s">
        <v>185</v>
      </c>
      <c r="K1104" s="251">
        <f>SUMIF('alb Note 6.1 -  Intangibles CY'!$A:$A,$J1104,'alb Note 6.1 -  Intangibles CY'!$I:$I)</f>
        <v>0</v>
      </c>
      <c r="L1104" s="251">
        <f>SUMIF('alb Note 6.1 -  Intangibles CY'!$A:$A,$J1104,'alb Note 6.1 -  Intangibles CY'!$T:$T)</f>
        <v>0</v>
      </c>
      <c r="M1104" s="10"/>
      <c r="N1104" s="273">
        <f t="shared" ref="N1104:N1112" si="666">ROUND(SUM(O1104:S1104)+SUM(W1104:AV1104),0)</f>
        <v>0</v>
      </c>
      <c r="O1104" s="12"/>
      <c r="P1104" s="12"/>
      <c r="Q1104" s="12"/>
      <c r="R1104" s="12"/>
      <c r="S1104" s="6">
        <f t="shared" si="662"/>
        <v>0</v>
      </c>
      <c r="T1104" s="273">
        <f t="shared" ref="T1104:T1112" si="667">ROUND(SUM(U1104:Y1104),0)</f>
        <v>0</v>
      </c>
      <c r="U1104" s="6">
        <f t="shared" ref="U1104:U1112" si="668">SUM(BL1104:BN1104)</f>
        <v>0</v>
      </c>
      <c r="V1104" s="6"/>
      <c r="W1104" s="6">
        <f t="shared" si="663"/>
        <v>0</v>
      </c>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X1104" s="6"/>
      <c r="AY1104" s="6">
        <f>ROUND(AX1104/1000/Update!$B$31*Update!$B$27,0)</f>
        <v>0</v>
      </c>
      <c r="BA1104" s="6"/>
      <c r="BB1104" s="6">
        <f>ROUND(BA1104/1000/Update!$B$31,0)</f>
        <v>0</v>
      </c>
      <c r="BC1104" s="6"/>
      <c r="BD1104" s="29">
        <f t="shared" si="628"/>
        <v>0</v>
      </c>
      <c r="BE1104" s="322"/>
      <c r="BF1104" s="322"/>
      <c r="BG1104" s="322"/>
      <c r="BH1104" s="322"/>
      <c r="BI1104" s="322"/>
      <c r="BJ1104" s="322"/>
      <c r="BK1104" s="29">
        <f t="shared" si="643"/>
        <v>0</v>
      </c>
      <c r="BL1104" s="322"/>
      <c r="BM1104" s="322"/>
      <c r="BN1104" s="322"/>
      <c r="BO1104" s="322"/>
      <c r="BP1104" s="322"/>
      <c r="BQ1104" s="322"/>
      <c r="BR1104" s="322"/>
      <c r="BS1104" s="322"/>
      <c r="BT1104" s="322"/>
      <c r="BU1104" s="322"/>
      <c r="BV1104" s="322"/>
      <c r="BW1104" s="322"/>
      <c r="BX1104" s="322"/>
      <c r="BY1104" s="322"/>
      <c r="BZ1104" s="322"/>
      <c r="CA1104" s="322"/>
      <c r="CB1104" s="322"/>
      <c r="CC1104" s="322"/>
      <c r="CD1104" s="322"/>
      <c r="CE1104" s="322"/>
      <c r="CF1104" s="322"/>
      <c r="CG1104" s="322"/>
      <c r="CH1104" s="322"/>
      <c r="CI1104" s="322"/>
      <c r="CM1104" s="1139">
        <v>0</v>
      </c>
      <c r="CN1104" s="1139">
        <v>0</v>
      </c>
      <c r="CP1104" s="923">
        <f t="shared" si="659"/>
        <v>0</v>
      </c>
      <c r="CZ1104" s="330"/>
    </row>
    <row r="1105" spans="1:104" ht="30" customHeight="1" x14ac:dyDescent="0.25">
      <c r="A1105" s="684">
        <f>MAX($A$6:A1104)+1</f>
        <v>1105</v>
      </c>
      <c r="B1105" s="3">
        <f t="shared" si="652"/>
        <v>6.1</v>
      </c>
      <c r="C1105" s="11" t="str">
        <f t="shared" si="636"/>
        <v>Consolidated intangible assets 2025-26</v>
      </c>
      <c r="D1105" s="11" t="str">
        <f>D1104</f>
        <v>Payments on Account &amp; Assets under Construction</v>
      </c>
      <c r="E1105" s="7" t="s">
        <v>437</v>
      </c>
      <c r="F1105" s="7"/>
      <c r="G1105" s="1254" t="s">
        <v>437</v>
      </c>
      <c r="H1105" s="6">
        <v>0</v>
      </c>
      <c r="I1105" s="6">
        <v>0</v>
      </c>
      <c r="J1105" s="1257" t="s">
        <v>437</v>
      </c>
      <c r="K1105" s="251">
        <f>SUMIF('alb Note 6.1 -  Intangibles CY'!$A:$A,$J1105,'alb Note 6.1 -  Intangibles CY'!$I:$I)</f>
        <v>0</v>
      </c>
      <c r="L1105" s="251">
        <f>SUMIF('alb Note 6.1 -  Intangibles CY'!$A:$A,$J1105,'alb Note 6.1 -  Intangibles CY'!$T:$T)</f>
        <v>0</v>
      </c>
      <c r="M1105" s="10"/>
      <c r="N1105" s="273">
        <f t="shared" si="666"/>
        <v>0</v>
      </c>
      <c r="O1105" s="12"/>
      <c r="P1105" s="12"/>
      <c r="Q1105" s="12"/>
      <c r="R1105" s="12"/>
      <c r="S1105" s="6">
        <f t="shared" si="662"/>
        <v>0</v>
      </c>
      <c r="T1105" s="273">
        <f t="shared" si="667"/>
        <v>0</v>
      </c>
      <c r="U1105" s="6">
        <f t="shared" si="668"/>
        <v>0</v>
      </c>
      <c r="V1105" s="6"/>
      <c r="W1105" s="6">
        <f t="shared" si="663"/>
        <v>0</v>
      </c>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X1105" s="6"/>
      <c r="AY1105" s="6">
        <f>ROUND(AX1105/1000/Update!$B$31*Update!$B$27,0)</f>
        <v>0</v>
      </c>
      <c r="BA1105" s="6"/>
      <c r="BB1105" s="6">
        <f>ROUND(BA1105/1000/Update!$B$31,0)</f>
        <v>0</v>
      </c>
      <c r="BC1105" s="6"/>
      <c r="BD1105" s="29">
        <f t="shared" si="628"/>
        <v>0</v>
      </c>
      <c r="BE1105" s="322"/>
      <c r="BF1105" s="322"/>
      <c r="BG1105" s="322"/>
      <c r="BH1105" s="322"/>
      <c r="BI1105" s="322"/>
      <c r="BJ1105" s="322"/>
      <c r="BK1105" s="29">
        <f t="shared" si="643"/>
        <v>0</v>
      </c>
      <c r="BL1105" s="322"/>
      <c r="BM1105" s="322"/>
      <c r="BN1105" s="322"/>
      <c r="BO1105" s="322"/>
      <c r="BP1105" s="322"/>
      <c r="BQ1105" s="322"/>
      <c r="BR1105" s="322"/>
      <c r="BS1105" s="322"/>
      <c r="BT1105" s="322"/>
      <c r="BU1105" s="322"/>
      <c r="BV1105" s="322"/>
      <c r="BW1105" s="322"/>
      <c r="BX1105" s="322"/>
      <c r="BY1105" s="322"/>
      <c r="BZ1105" s="322"/>
      <c r="CA1105" s="322"/>
      <c r="CB1105" s="322"/>
      <c r="CC1105" s="322"/>
      <c r="CD1105" s="322"/>
      <c r="CE1105" s="322"/>
      <c r="CF1105" s="322"/>
      <c r="CG1105" s="322"/>
      <c r="CH1105" s="322"/>
      <c r="CI1105" s="322"/>
      <c r="CM1105" s="1139">
        <v>0</v>
      </c>
      <c r="CN1105" s="1139">
        <v>0</v>
      </c>
      <c r="CP1105" s="923">
        <f t="shared" si="659"/>
        <v>0</v>
      </c>
      <c r="CZ1105" s="330"/>
    </row>
    <row r="1106" spans="1:104" ht="15" customHeight="1" x14ac:dyDescent="0.25">
      <c r="A1106" s="684">
        <f>MAX($A$6:A1105)+1</f>
        <v>1106</v>
      </c>
      <c r="B1106" s="3">
        <f t="shared" si="652"/>
        <v>6.1</v>
      </c>
      <c r="C1106" s="11" t="str">
        <f>C1103</f>
        <v>Consolidated intangible assets 2025-26</v>
      </c>
      <c r="D1106" s="11" t="str">
        <f>D1105</f>
        <v>Payments on Account &amp; Assets under Construction</v>
      </c>
      <c r="E1106" s="7" t="s">
        <v>187</v>
      </c>
      <c r="F1106" s="7"/>
      <c r="G1106" s="1257" t="s">
        <v>187</v>
      </c>
      <c r="H1106" s="6">
        <v>0</v>
      </c>
      <c r="I1106" s="6">
        <v>0</v>
      </c>
      <c r="J1106" s="1257" t="s">
        <v>187</v>
      </c>
      <c r="K1106" s="251">
        <f>SUMIF('alb Note 6.1 -  Intangibles CY'!$A:$A,$J1106,'alb Note 6.1 -  Intangibles CY'!$I:$I)</f>
        <v>0</v>
      </c>
      <c r="L1106" s="251">
        <f>SUMIF('alb Note 6.1 -  Intangibles CY'!$A:$A,$J1106,'alb Note 6.1 -  Intangibles CY'!$T:$T)</f>
        <v>0</v>
      </c>
      <c r="M1106" s="10"/>
      <c r="N1106" s="273">
        <f t="shared" si="666"/>
        <v>0</v>
      </c>
      <c r="O1106" s="12"/>
      <c r="P1106" s="12"/>
      <c r="Q1106" s="12"/>
      <c r="R1106" s="12"/>
      <c r="S1106" s="6">
        <f t="shared" si="662"/>
        <v>0</v>
      </c>
      <c r="T1106" s="273">
        <f t="shared" si="667"/>
        <v>0</v>
      </c>
      <c r="U1106" s="6">
        <f t="shared" si="668"/>
        <v>0</v>
      </c>
      <c r="V1106" s="6"/>
      <c r="W1106" s="6">
        <f t="shared" si="663"/>
        <v>0</v>
      </c>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X1106" s="6"/>
      <c r="AY1106" s="6">
        <f>ROUND(AX1106/1000/Update!$B$31*Update!$B$27,0)</f>
        <v>0</v>
      </c>
      <c r="BA1106" s="6"/>
      <c r="BB1106" s="6">
        <f>ROUND(BA1106/1000/Update!$B$31,0)</f>
        <v>0</v>
      </c>
      <c r="BC1106" s="6"/>
      <c r="BD1106" s="29">
        <f t="shared" si="628"/>
        <v>0</v>
      </c>
      <c r="BE1106" s="322"/>
      <c r="BF1106" s="322"/>
      <c r="BG1106" s="322"/>
      <c r="BH1106" s="322"/>
      <c r="BI1106" s="322"/>
      <c r="BJ1106" s="322"/>
      <c r="BK1106" s="29">
        <f t="shared" si="643"/>
        <v>0</v>
      </c>
      <c r="BL1106" s="322"/>
      <c r="BM1106" s="322"/>
      <c r="BN1106" s="322"/>
      <c r="BO1106" s="322"/>
      <c r="BP1106" s="322"/>
      <c r="BQ1106" s="322"/>
      <c r="BR1106" s="322"/>
      <c r="BS1106" s="322"/>
      <c r="BT1106" s="322"/>
      <c r="BU1106" s="322"/>
      <c r="BV1106" s="322"/>
      <c r="BW1106" s="322"/>
      <c r="BX1106" s="322"/>
      <c r="BY1106" s="322"/>
      <c r="BZ1106" s="322"/>
      <c r="CA1106" s="322"/>
      <c r="CB1106" s="322"/>
      <c r="CC1106" s="322"/>
      <c r="CD1106" s="322"/>
      <c r="CE1106" s="322"/>
      <c r="CF1106" s="322"/>
      <c r="CG1106" s="322"/>
      <c r="CH1106" s="322"/>
      <c r="CI1106" s="322"/>
      <c r="CM1106" s="1139">
        <v>0</v>
      </c>
      <c r="CN1106" s="1139">
        <v>0</v>
      </c>
      <c r="CP1106" s="923">
        <f t="shared" si="659"/>
        <v>0</v>
      </c>
      <c r="CZ1106" s="330"/>
    </row>
    <row r="1107" spans="1:104" ht="15" customHeight="1" x14ac:dyDescent="0.25">
      <c r="A1107" s="684">
        <f>MAX($A$6:A1106)+1</f>
        <v>1107</v>
      </c>
      <c r="B1107" s="3">
        <f t="shared" si="652"/>
        <v>6.1</v>
      </c>
      <c r="C1107" s="11" t="str">
        <f>C1105</f>
        <v>Consolidated intangible assets 2025-26</v>
      </c>
      <c r="D1107" s="11" t="s">
        <v>455</v>
      </c>
      <c r="E1107" s="7" t="s">
        <v>191</v>
      </c>
      <c r="F1107" s="7"/>
      <c r="G1107" s="1254" t="s">
        <v>457</v>
      </c>
      <c r="H1107" s="6">
        <v>0</v>
      </c>
      <c r="I1107" s="6">
        <v>0</v>
      </c>
      <c r="J1107" s="1257" t="s">
        <v>191</v>
      </c>
      <c r="K1107" s="251">
        <f>SUMIF('alb Note 6.1 -  Intangibles CY'!$A:$A,$J1107,'alb Note 6.1 -  Intangibles CY'!$I:$I)</f>
        <v>0</v>
      </c>
      <c r="L1107" s="251">
        <f>SUMIF('alb Note 6.1 -  Intangibles CY'!$A:$A,$J1107,'alb Note 6.1 -  Intangibles CY'!$T:$T)</f>
        <v>0</v>
      </c>
      <c r="M1107" s="10"/>
      <c r="N1107" s="273">
        <f t="shared" si="666"/>
        <v>0</v>
      </c>
      <c r="O1107" s="12"/>
      <c r="P1107" s="12"/>
      <c r="Q1107" s="12"/>
      <c r="R1107" s="12"/>
      <c r="S1107" s="6">
        <f t="shared" si="662"/>
        <v>0</v>
      </c>
      <c r="T1107" s="273">
        <f t="shared" si="667"/>
        <v>0</v>
      </c>
      <c r="U1107" s="6">
        <f t="shared" si="668"/>
        <v>0</v>
      </c>
      <c r="V1107" s="6"/>
      <c r="W1107" s="6">
        <f t="shared" si="663"/>
        <v>0</v>
      </c>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X1107" s="6"/>
      <c r="AY1107" s="6">
        <f>ROUND(AX1107/1000/Update!$B$31*Update!$B$27,0)</f>
        <v>0</v>
      </c>
      <c r="BA1107" s="6"/>
      <c r="BB1107" s="6">
        <f>ROUND(BA1107/1000/Update!$B$31,0)</f>
        <v>0</v>
      </c>
      <c r="BC1107" s="6"/>
      <c r="BD1107" s="29">
        <f t="shared" si="628"/>
        <v>0</v>
      </c>
      <c r="BE1107" s="322"/>
      <c r="BF1107" s="322"/>
      <c r="BG1107" s="322"/>
      <c r="BH1107" s="322"/>
      <c r="BI1107" s="322"/>
      <c r="BJ1107" s="322"/>
      <c r="BK1107" s="29">
        <f t="shared" si="643"/>
        <v>0</v>
      </c>
      <c r="BL1107" s="322"/>
      <c r="BM1107" s="322"/>
      <c r="BN1107" s="322"/>
      <c r="BO1107" s="322"/>
      <c r="BP1107" s="322"/>
      <c r="BQ1107" s="322"/>
      <c r="BR1107" s="322"/>
      <c r="BS1107" s="322"/>
      <c r="BT1107" s="322"/>
      <c r="BU1107" s="322"/>
      <c r="BV1107" s="322"/>
      <c r="BW1107" s="322"/>
      <c r="BX1107" s="322"/>
      <c r="BY1107" s="322"/>
      <c r="BZ1107" s="322"/>
      <c r="CA1107" s="322"/>
      <c r="CB1107" s="322"/>
      <c r="CC1107" s="322"/>
      <c r="CD1107" s="322"/>
      <c r="CE1107" s="322"/>
      <c r="CF1107" s="322"/>
      <c r="CG1107" s="322"/>
      <c r="CH1107" s="322"/>
      <c r="CI1107" s="322"/>
      <c r="CM1107" s="1139">
        <v>0</v>
      </c>
      <c r="CN1107" s="1139">
        <v>0</v>
      </c>
      <c r="CP1107" s="923">
        <f t="shared" si="659"/>
        <v>0</v>
      </c>
      <c r="CZ1107" s="330"/>
    </row>
    <row r="1108" spans="1:104" ht="15" customHeight="1" x14ac:dyDescent="0.25">
      <c r="A1108" s="684">
        <f>MAX($A$6:A1107)+1</f>
        <v>1108</v>
      </c>
      <c r="B1108" s="3">
        <f t="shared" si="652"/>
        <v>6.1</v>
      </c>
      <c r="C1108" s="11" t="str">
        <f t="shared" si="636"/>
        <v>Consolidated intangible assets 2025-26</v>
      </c>
      <c r="D1108" s="11" t="s">
        <v>455</v>
      </c>
      <c r="E1108" s="7" t="s">
        <v>186</v>
      </c>
      <c r="F1108" s="7"/>
      <c r="G1108" s="1254" t="s">
        <v>186</v>
      </c>
      <c r="H1108" s="6">
        <v>0</v>
      </c>
      <c r="I1108" s="6">
        <v>0</v>
      </c>
      <c r="J1108" s="1257" t="s">
        <v>186</v>
      </c>
      <c r="K1108" s="251">
        <f>SUMIF('alb Note 6.1 -  Intangibles CY'!$A:$A,$J1108,'alb Note 6.1 -  Intangibles CY'!$I:$I)</f>
        <v>0</v>
      </c>
      <c r="L1108" s="251">
        <f>SUMIF('alb Note 6.1 -  Intangibles CY'!$A:$A,$J1108,'alb Note 6.1 -  Intangibles CY'!$T:$T)</f>
        <v>0</v>
      </c>
      <c r="M1108" s="10"/>
      <c r="N1108" s="273">
        <f t="shared" si="666"/>
        <v>0</v>
      </c>
      <c r="O1108" s="12"/>
      <c r="P1108" s="12"/>
      <c r="Q1108" s="12"/>
      <c r="R1108" s="12"/>
      <c r="S1108" s="6">
        <f t="shared" si="662"/>
        <v>0</v>
      </c>
      <c r="T1108" s="273">
        <f t="shared" si="667"/>
        <v>0</v>
      </c>
      <c r="U1108" s="6">
        <f t="shared" si="668"/>
        <v>0</v>
      </c>
      <c r="V1108" s="6"/>
      <c r="W1108" s="6">
        <f t="shared" si="663"/>
        <v>0</v>
      </c>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X1108" s="6"/>
      <c r="AY1108" s="6">
        <f>ROUND(AX1108/1000/Update!$B$31*Update!$B$27,0)</f>
        <v>0</v>
      </c>
      <c r="BA1108" s="6"/>
      <c r="BB1108" s="6">
        <f>ROUND(BA1108/1000/Update!$B$31,0)</f>
        <v>0</v>
      </c>
      <c r="BC1108" s="6"/>
      <c r="BD1108" s="29">
        <f t="shared" si="628"/>
        <v>0</v>
      </c>
      <c r="BE1108" s="322"/>
      <c r="BF1108" s="322"/>
      <c r="BG1108" s="322"/>
      <c r="BH1108" s="322"/>
      <c r="BI1108" s="322"/>
      <c r="BJ1108" s="322"/>
      <c r="BK1108" s="29">
        <f t="shared" si="643"/>
        <v>0</v>
      </c>
      <c r="BL1108" s="322"/>
      <c r="BM1108" s="322"/>
      <c r="BN1108" s="322"/>
      <c r="BO1108" s="322"/>
      <c r="BP1108" s="322"/>
      <c r="BQ1108" s="322"/>
      <c r="BR1108" s="322"/>
      <c r="BS1108" s="322"/>
      <c r="BT1108" s="322"/>
      <c r="BU1108" s="322"/>
      <c r="BV1108" s="322"/>
      <c r="BW1108" s="322"/>
      <c r="BX1108" s="322"/>
      <c r="BY1108" s="322"/>
      <c r="BZ1108" s="322"/>
      <c r="CA1108" s="322"/>
      <c r="CB1108" s="322"/>
      <c r="CC1108" s="322"/>
      <c r="CD1108" s="322"/>
      <c r="CE1108" s="322"/>
      <c r="CF1108" s="322"/>
      <c r="CG1108" s="322"/>
      <c r="CH1108" s="322"/>
      <c r="CI1108" s="322"/>
      <c r="CM1108" s="1139">
        <v>0</v>
      </c>
      <c r="CN1108" s="1139">
        <v>0</v>
      </c>
      <c r="CP1108" s="923">
        <f t="shared" si="659"/>
        <v>0</v>
      </c>
      <c r="CZ1108" s="330"/>
    </row>
    <row r="1109" spans="1:104" ht="15" customHeight="1" x14ac:dyDescent="0.25">
      <c r="A1109" s="684">
        <f>MAX($A$6:A1108)+1</f>
        <v>1109</v>
      </c>
      <c r="B1109" s="3">
        <f t="shared" si="652"/>
        <v>6.1</v>
      </c>
      <c r="C1109" s="11" t="str">
        <f t="shared" si="636"/>
        <v>Consolidated intangible assets 2025-26</v>
      </c>
      <c r="D1109" s="11" t="s">
        <v>455</v>
      </c>
      <c r="E1109" s="7" t="s">
        <v>188</v>
      </c>
      <c r="F1109" s="7"/>
      <c r="G1109" s="1254" t="s">
        <v>188</v>
      </c>
      <c r="H1109" s="6">
        <v>0</v>
      </c>
      <c r="I1109" s="6">
        <v>0</v>
      </c>
      <c r="J1109" s="1257" t="s">
        <v>188</v>
      </c>
      <c r="K1109" s="251">
        <f>SUMIF('alb Note 6.1 -  Intangibles CY'!$A:$A,$J1109,'alb Note 6.1 -  Intangibles CY'!$I:$I)</f>
        <v>0</v>
      </c>
      <c r="L1109" s="251">
        <f>SUMIF('alb Note 6.1 -  Intangibles CY'!$A:$A,$J1109,'alb Note 6.1 -  Intangibles CY'!$T:$T)</f>
        <v>0</v>
      </c>
      <c r="M1109" s="10"/>
      <c r="N1109" s="273">
        <f t="shared" si="666"/>
        <v>0</v>
      </c>
      <c r="O1109" s="12"/>
      <c r="P1109" s="12"/>
      <c r="Q1109" s="12"/>
      <c r="R1109" s="12"/>
      <c r="S1109" s="6">
        <f t="shared" si="662"/>
        <v>0</v>
      </c>
      <c r="T1109" s="273">
        <f t="shared" si="667"/>
        <v>0</v>
      </c>
      <c r="U1109" s="6">
        <f t="shared" si="668"/>
        <v>0</v>
      </c>
      <c r="V1109" s="6"/>
      <c r="W1109" s="6">
        <f t="shared" si="663"/>
        <v>0</v>
      </c>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X1109" s="6"/>
      <c r="AY1109" s="6">
        <f>ROUND(AX1109/1000/Update!$B$31*Update!$B$27,0)</f>
        <v>0</v>
      </c>
      <c r="BA1109" s="6"/>
      <c r="BB1109" s="6">
        <f>ROUND(BA1109/1000/Update!$B$31,0)</f>
        <v>0</v>
      </c>
      <c r="BC1109" s="6"/>
      <c r="BD1109" s="29">
        <f t="shared" si="628"/>
        <v>0</v>
      </c>
      <c r="BE1109" s="322"/>
      <c r="BF1109" s="322"/>
      <c r="BG1109" s="322"/>
      <c r="BH1109" s="322"/>
      <c r="BI1109" s="322"/>
      <c r="BJ1109" s="322"/>
      <c r="BK1109" s="29">
        <f t="shared" si="643"/>
        <v>0</v>
      </c>
      <c r="BL1109" s="322"/>
      <c r="BM1109" s="322"/>
      <c r="BN1109" s="322"/>
      <c r="BO1109" s="322"/>
      <c r="BP1109" s="322"/>
      <c r="BQ1109" s="322"/>
      <c r="BR1109" s="322"/>
      <c r="BS1109" s="322"/>
      <c r="BT1109" s="322"/>
      <c r="BU1109" s="322"/>
      <c r="BV1109" s="322"/>
      <c r="BW1109" s="322"/>
      <c r="BX1109" s="322"/>
      <c r="BY1109" s="322"/>
      <c r="BZ1109" s="322"/>
      <c r="CA1109" s="322"/>
      <c r="CB1109" s="322"/>
      <c r="CC1109" s="322"/>
      <c r="CD1109" s="322"/>
      <c r="CE1109" s="322"/>
      <c r="CF1109" s="322"/>
      <c r="CG1109" s="322"/>
      <c r="CH1109" s="322"/>
      <c r="CI1109" s="322"/>
      <c r="CM1109" s="1139">
        <v>0</v>
      </c>
      <c r="CN1109" s="1139">
        <v>0</v>
      </c>
      <c r="CP1109" s="923">
        <f t="shared" si="659"/>
        <v>0</v>
      </c>
      <c r="CZ1109" s="330"/>
    </row>
    <row r="1110" spans="1:104" ht="30" customHeight="1" x14ac:dyDescent="0.25">
      <c r="A1110" s="684">
        <f>MAX($A$6:A1109)+1</f>
        <v>1110</v>
      </c>
      <c r="B1110" s="3">
        <f t="shared" si="652"/>
        <v>6.1</v>
      </c>
      <c r="C1110" s="11" t="str">
        <f t="shared" si="636"/>
        <v>Consolidated intangible assets 2025-26</v>
      </c>
      <c r="D1110" s="11" t="s">
        <v>455</v>
      </c>
      <c r="E1110" s="7" t="s">
        <v>192</v>
      </c>
      <c r="F1110" s="7"/>
      <c r="G1110" s="1254" t="s">
        <v>438</v>
      </c>
      <c r="H1110" s="6">
        <v>0</v>
      </c>
      <c r="I1110" s="6">
        <v>0</v>
      </c>
      <c r="J1110" s="1257" t="s">
        <v>768</v>
      </c>
      <c r="K1110" s="251">
        <f>SUMIF('alb Note 6.1 -  Intangibles CY'!$A:$A,$J1110,'alb Note 6.1 -  Intangibles CY'!$I:$I)</f>
        <v>0</v>
      </c>
      <c r="L1110" s="251">
        <f>SUMIF('alb Note 6.1 -  Intangibles CY'!$A:$A,$J1110,'alb Note 6.1 -  Intangibles CY'!$T:$T)</f>
        <v>0</v>
      </c>
      <c r="M1110" s="10"/>
      <c r="N1110" s="273">
        <f t="shared" si="666"/>
        <v>0</v>
      </c>
      <c r="O1110" s="12"/>
      <c r="P1110" s="12"/>
      <c r="Q1110" s="12"/>
      <c r="R1110" s="12"/>
      <c r="S1110" s="6">
        <f t="shared" si="662"/>
        <v>0</v>
      </c>
      <c r="T1110" s="273">
        <f t="shared" si="667"/>
        <v>0</v>
      </c>
      <c r="U1110" s="6">
        <f t="shared" si="668"/>
        <v>0</v>
      </c>
      <c r="V1110" s="6"/>
      <c r="W1110" s="6">
        <f t="shared" si="663"/>
        <v>0</v>
      </c>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X1110" s="6"/>
      <c r="AY1110" s="6">
        <f>ROUND(AX1110/1000/Update!$B$31*Update!$B$27,0)</f>
        <v>0</v>
      </c>
      <c r="BA1110" s="6"/>
      <c r="BB1110" s="6">
        <f>ROUND(BA1110/1000/Update!$B$31,0)</f>
        <v>0</v>
      </c>
      <c r="BC1110" s="6"/>
      <c r="BD1110" s="29">
        <f t="shared" si="628"/>
        <v>0</v>
      </c>
      <c r="BE1110" s="322"/>
      <c r="BF1110" s="322"/>
      <c r="BG1110" s="322"/>
      <c r="BH1110" s="322"/>
      <c r="BI1110" s="322"/>
      <c r="BJ1110" s="322"/>
      <c r="BK1110" s="29">
        <f t="shared" si="643"/>
        <v>0</v>
      </c>
      <c r="BL1110" s="322"/>
      <c r="BM1110" s="322"/>
      <c r="BN1110" s="322"/>
      <c r="BO1110" s="322"/>
      <c r="BP1110" s="322"/>
      <c r="BQ1110" s="322"/>
      <c r="BR1110" s="322"/>
      <c r="BS1110" s="322"/>
      <c r="BT1110" s="322"/>
      <c r="BU1110" s="322"/>
      <c r="BV1110" s="322"/>
      <c r="BW1110" s="322"/>
      <c r="BX1110" s="322"/>
      <c r="BY1110" s="322"/>
      <c r="BZ1110" s="322"/>
      <c r="CA1110" s="322"/>
      <c r="CB1110" s="322"/>
      <c r="CC1110" s="322"/>
      <c r="CD1110" s="322"/>
      <c r="CE1110" s="322"/>
      <c r="CF1110" s="322"/>
      <c r="CG1110" s="322"/>
      <c r="CH1110" s="322"/>
      <c r="CI1110" s="322"/>
      <c r="CM1110" s="1139">
        <v>0</v>
      </c>
      <c r="CN1110" s="1139">
        <v>0</v>
      </c>
      <c r="CP1110" s="923">
        <f t="shared" si="659"/>
        <v>0</v>
      </c>
      <c r="CZ1110" s="330"/>
    </row>
    <row r="1111" spans="1:104" ht="51" customHeight="1" x14ac:dyDescent="0.25">
      <c r="A1111" s="684">
        <f>MAX($A$6:A1110)+1</f>
        <v>1111</v>
      </c>
      <c r="B1111" s="3">
        <f t="shared" si="652"/>
        <v>6.1</v>
      </c>
      <c r="C1111" s="11" t="str">
        <f t="shared" si="636"/>
        <v>Consolidated intangible assets 2025-26</v>
      </c>
      <c r="D1111" s="11" t="s">
        <v>455</v>
      </c>
      <c r="E1111" s="7" t="s">
        <v>193</v>
      </c>
      <c r="F1111" s="7"/>
      <c r="G1111" s="1254" t="s">
        <v>193</v>
      </c>
      <c r="H1111" s="6">
        <v>0</v>
      </c>
      <c r="I1111" s="6">
        <v>0</v>
      </c>
      <c r="J1111" s="1257" t="s">
        <v>767</v>
      </c>
      <c r="K1111" s="251">
        <f>SUMIF('alb Note 6.1 -  Intangibles CY'!$A:$A,$J1111,'alb Note 6.1 -  Intangibles CY'!$I:$I)</f>
        <v>0</v>
      </c>
      <c r="L1111" s="251">
        <f>SUMIF('alb Note 6.1 -  Intangibles CY'!$A:$A,$J1111,'alb Note 6.1 -  Intangibles CY'!$T:$T)</f>
        <v>0</v>
      </c>
      <c r="M1111" s="10"/>
      <c r="N1111" s="273">
        <f t="shared" si="666"/>
        <v>0</v>
      </c>
      <c r="O1111" s="12"/>
      <c r="P1111" s="12"/>
      <c r="Q1111" s="12"/>
      <c r="R1111" s="12"/>
      <c r="S1111" s="6">
        <f t="shared" si="662"/>
        <v>0</v>
      </c>
      <c r="T1111" s="273">
        <f t="shared" si="667"/>
        <v>0</v>
      </c>
      <c r="U1111" s="6">
        <f t="shared" si="668"/>
        <v>0</v>
      </c>
      <c r="V1111" s="6"/>
      <c r="W1111" s="6">
        <f t="shared" si="663"/>
        <v>0</v>
      </c>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X1111" s="6"/>
      <c r="AY1111" s="6">
        <f>ROUND(AX1111/1000/Update!$B$31*Update!$B$27,0)</f>
        <v>0</v>
      </c>
      <c r="BA1111" s="6"/>
      <c r="BB1111" s="6">
        <f>ROUND(BA1111/1000/Update!$B$31,0)</f>
        <v>0</v>
      </c>
      <c r="BC1111" s="6"/>
      <c r="BD1111" s="29">
        <f t="shared" si="628"/>
        <v>0</v>
      </c>
      <c r="BE1111" s="322"/>
      <c r="BF1111" s="322"/>
      <c r="BG1111" s="322"/>
      <c r="BH1111" s="322"/>
      <c r="BI1111" s="322"/>
      <c r="BJ1111" s="322"/>
      <c r="BK1111" s="29">
        <f t="shared" si="643"/>
        <v>0</v>
      </c>
      <c r="BL1111" s="322"/>
      <c r="BM1111" s="322"/>
      <c r="BN1111" s="322"/>
      <c r="BO1111" s="322"/>
      <c r="BP1111" s="322"/>
      <c r="BQ1111" s="322"/>
      <c r="BR1111" s="322"/>
      <c r="BS1111" s="322"/>
      <c r="BT1111" s="322"/>
      <c r="BU1111" s="322"/>
      <c r="BV1111" s="322"/>
      <c r="BW1111" s="322"/>
      <c r="BX1111" s="322"/>
      <c r="BY1111" s="322"/>
      <c r="BZ1111" s="322"/>
      <c r="CA1111" s="322"/>
      <c r="CB1111" s="322"/>
      <c r="CC1111" s="322"/>
      <c r="CD1111" s="322"/>
      <c r="CE1111" s="322"/>
      <c r="CF1111" s="322"/>
      <c r="CG1111" s="322"/>
      <c r="CH1111" s="322"/>
      <c r="CI1111" s="322"/>
      <c r="CM1111" s="1139">
        <v>0</v>
      </c>
      <c r="CN1111" s="1139">
        <v>0</v>
      </c>
      <c r="CP1111" s="923">
        <f t="shared" si="659"/>
        <v>0</v>
      </c>
      <c r="CZ1111" s="330"/>
    </row>
    <row r="1112" spans="1:104" ht="15" customHeight="1" x14ac:dyDescent="0.25">
      <c r="A1112" s="684">
        <f>MAX($A$6:A1111)+1</f>
        <v>1112</v>
      </c>
      <c r="B1112" s="3">
        <f t="shared" si="652"/>
        <v>6.1</v>
      </c>
      <c r="C1112" s="11" t="str">
        <f t="shared" si="636"/>
        <v>Consolidated intangible assets 2025-26</v>
      </c>
      <c r="D1112" s="11" t="s">
        <v>455</v>
      </c>
      <c r="E1112" s="7" t="s">
        <v>189</v>
      </c>
      <c r="F1112" s="7"/>
      <c r="G1112" s="1254" t="s">
        <v>189</v>
      </c>
      <c r="H1112" s="6">
        <v>0</v>
      </c>
      <c r="I1112" s="6">
        <v>0</v>
      </c>
      <c r="J1112" s="1257" t="s">
        <v>557</v>
      </c>
      <c r="K1112" s="251">
        <f>SUMIF('alb Note 6.1 -  Intangibles CY'!$A:$A,$J1112,'alb Note 6.1 -  Intangibles CY'!$I:$I)</f>
        <v>0</v>
      </c>
      <c r="L1112" s="251">
        <f>SUMIF('alb Note 6.1 -  Intangibles CY'!$A:$A,$J1112,'alb Note 6.1 -  Intangibles CY'!$T:$T)</f>
        <v>0</v>
      </c>
      <c r="M1112" s="10"/>
      <c r="N1112" s="273">
        <f t="shared" si="666"/>
        <v>0</v>
      </c>
      <c r="O1112" s="12"/>
      <c r="P1112" s="12"/>
      <c r="Q1112" s="12"/>
      <c r="R1112" s="12"/>
      <c r="S1112" s="6">
        <f t="shared" si="662"/>
        <v>0</v>
      </c>
      <c r="T1112" s="273">
        <f t="shared" si="667"/>
        <v>0</v>
      </c>
      <c r="U1112" s="6">
        <f t="shared" si="668"/>
        <v>0</v>
      </c>
      <c r="V1112" s="6"/>
      <c r="W1112" s="6">
        <f t="shared" si="663"/>
        <v>0</v>
      </c>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X1112" s="6"/>
      <c r="AY1112" s="6">
        <f>ROUND(AX1112/1000/Update!$B$31*Update!$B$27,0)</f>
        <v>0</v>
      </c>
      <c r="BA1112" s="6"/>
      <c r="BB1112" s="6">
        <f>ROUND(BA1112/1000/Update!$B$31,0)</f>
        <v>0</v>
      </c>
      <c r="BC1112" s="6"/>
      <c r="BD1112" s="29">
        <f t="shared" si="628"/>
        <v>0</v>
      </c>
      <c r="BE1112" s="322"/>
      <c r="BF1112" s="322"/>
      <c r="BG1112" s="322"/>
      <c r="BH1112" s="322"/>
      <c r="BI1112" s="322"/>
      <c r="BJ1112" s="322"/>
      <c r="BK1112" s="29">
        <f t="shared" si="643"/>
        <v>0</v>
      </c>
      <c r="BL1112" s="322"/>
      <c r="BM1112" s="322"/>
      <c r="BN1112" s="322"/>
      <c r="BO1112" s="322"/>
      <c r="BP1112" s="322"/>
      <c r="BQ1112" s="322"/>
      <c r="BR1112" s="322"/>
      <c r="BS1112" s="322"/>
      <c r="BT1112" s="322"/>
      <c r="BU1112" s="322"/>
      <c r="BV1112" s="322"/>
      <c r="BW1112" s="322"/>
      <c r="BX1112" s="322"/>
      <c r="BY1112" s="322"/>
      <c r="BZ1112" s="322"/>
      <c r="CA1112" s="322"/>
      <c r="CB1112" s="322"/>
      <c r="CC1112" s="322"/>
      <c r="CD1112" s="322"/>
      <c r="CE1112" s="322"/>
      <c r="CF1112" s="322"/>
      <c r="CG1112" s="322"/>
      <c r="CH1112" s="322"/>
      <c r="CI1112" s="322"/>
      <c r="CM1112" s="1139">
        <v>0</v>
      </c>
      <c r="CN1112" s="1139">
        <v>0</v>
      </c>
      <c r="CP1112" s="923">
        <f t="shared" si="659"/>
        <v>0</v>
      </c>
      <c r="CZ1112" s="330"/>
    </row>
    <row r="1113" spans="1:104" ht="15" customHeight="1" x14ac:dyDescent="0.25">
      <c r="A1113" s="701">
        <f>MAX($A$6:A1112)+1</f>
        <v>1113</v>
      </c>
      <c r="B1113" s="1291">
        <f t="shared" si="652"/>
        <v>6.1</v>
      </c>
      <c r="C1113" s="18" t="str">
        <f t="shared" si="636"/>
        <v>Consolidated intangible assets 2025-26</v>
      </c>
      <c r="D1113" s="18" t="s">
        <v>455</v>
      </c>
      <c r="E1113" s="19" t="str">
        <f>"At"&amp;Update!$B$22</f>
        <v>At 31 March 2026</v>
      </c>
      <c r="F1113" s="20"/>
      <c r="G1113" s="28"/>
      <c r="H1113" s="14">
        <f>SUM(H1103:H1112)</f>
        <v>0</v>
      </c>
      <c r="I1113" s="14">
        <f>SUM(I1103:I1112)</f>
        <v>0</v>
      </c>
      <c r="J1113" s="1258" t="s">
        <v>286</v>
      </c>
      <c r="K1113" s="256">
        <f>SUM(K1103:K1112)</f>
        <v>0</v>
      </c>
      <c r="L1113" s="256">
        <f>SUM(L1103:L1112)</f>
        <v>0</v>
      </c>
      <c r="M1113" s="21"/>
      <c r="N1113" s="14">
        <f>ROUND(SUM(O1113:S1113)+T1113+SUM(Z1113:AV1113),0)</f>
        <v>0</v>
      </c>
      <c r="O1113" s="14">
        <f t="shared" ref="O1113:W1113" si="669">SUM(O1103:O1112)</f>
        <v>0</v>
      </c>
      <c r="P1113" s="14">
        <f t="shared" si="669"/>
        <v>0</v>
      </c>
      <c r="Q1113" s="14">
        <f t="shared" si="669"/>
        <v>0</v>
      </c>
      <c r="R1113" s="14">
        <f t="shared" si="669"/>
        <v>0</v>
      </c>
      <c r="S1113" s="14">
        <f t="shared" si="662"/>
        <v>0</v>
      </c>
      <c r="T1113" s="14">
        <f t="shared" si="669"/>
        <v>0</v>
      </c>
      <c r="U1113" s="14">
        <f t="shared" si="669"/>
        <v>0</v>
      </c>
      <c r="V1113" s="14">
        <f t="shared" si="669"/>
        <v>0</v>
      </c>
      <c r="W1113" s="14">
        <f t="shared" si="669"/>
        <v>0</v>
      </c>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2"/>
      <c r="AX1113" s="14">
        <f>SUM(AX1103:AX1112)</f>
        <v>0</v>
      </c>
      <c r="AY1113" s="14">
        <f>ROUND(AX1113/1000/Update!$B$31*Update!$B$27,0)</f>
        <v>0</v>
      </c>
      <c r="AZ1113" s="2"/>
      <c r="BA1113" s="14">
        <f>SUM(BA1103:BA1112)</f>
        <v>0</v>
      </c>
      <c r="BB1113" s="14">
        <f>ROUND(BA1113/1000/Update!$B$31,0)</f>
        <v>0</v>
      </c>
      <c r="BC1113" s="14"/>
      <c r="BD1113" s="14">
        <f t="shared" si="628"/>
        <v>0</v>
      </c>
      <c r="BE1113" s="14">
        <f t="shared" ref="BE1113:BJ1113" si="670">SUM(BE1103:BE1112)</f>
        <v>0</v>
      </c>
      <c r="BF1113" s="14">
        <f t="shared" si="670"/>
        <v>0</v>
      </c>
      <c r="BG1113" s="14">
        <f t="shared" si="670"/>
        <v>0</v>
      </c>
      <c r="BH1113" s="14">
        <f t="shared" si="670"/>
        <v>0</v>
      </c>
      <c r="BI1113" s="14">
        <f t="shared" si="670"/>
        <v>0</v>
      </c>
      <c r="BJ1113" s="14">
        <f t="shared" si="670"/>
        <v>0</v>
      </c>
      <c r="BK1113" s="14">
        <f t="shared" si="643"/>
        <v>0</v>
      </c>
      <c r="BL1113" s="14"/>
      <c r="BM1113" s="14"/>
      <c r="BN1113" s="14"/>
      <c r="BO1113" s="14"/>
      <c r="BP1113" s="14"/>
      <c r="BQ1113" s="14"/>
      <c r="BR1113" s="14"/>
      <c r="BS1113" s="14"/>
      <c r="BT1113" s="324"/>
      <c r="BU1113" s="14"/>
      <c r="BV1113" s="14"/>
      <c r="BW1113" s="14"/>
      <c r="BX1113" s="14"/>
      <c r="BY1113" s="14"/>
      <c r="BZ1113" s="14"/>
      <c r="CA1113" s="14"/>
      <c r="CB1113" s="14"/>
      <c r="CC1113" s="14"/>
      <c r="CD1113" s="14"/>
      <c r="CE1113" s="14"/>
      <c r="CF1113" s="14"/>
      <c r="CG1113" s="14"/>
      <c r="CH1113" s="14"/>
      <c r="CI1113" s="14"/>
      <c r="CJ1113" s="2"/>
      <c r="CK1113" s="2"/>
      <c r="CM1113" s="1140">
        <v>0</v>
      </c>
      <c r="CN1113" s="1140">
        <v>0</v>
      </c>
      <c r="CP1113" s="923">
        <f t="shared" si="659"/>
        <v>0</v>
      </c>
      <c r="CZ1113" s="330"/>
    </row>
    <row r="1114" spans="1:104" ht="18.75" customHeight="1" x14ac:dyDescent="0.25">
      <c r="A1114" s="684">
        <f>MAX($A$6:A1113)+1</f>
        <v>1114</v>
      </c>
      <c r="B1114" s="3">
        <f t="shared" si="652"/>
        <v>6.1</v>
      </c>
      <c r="C1114" s="11" t="str">
        <f t="shared" si="636"/>
        <v>Consolidated intangible assets 2025-26</v>
      </c>
      <c r="D1114" s="11" t="s">
        <v>455</v>
      </c>
      <c r="E1114" s="277" t="s">
        <v>161</v>
      </c>
      <c r="F1114" s="277"/>
      <c r="G1114" s="26"/>
      <c r="H1114" s="6"/>
      <c r="I1114" s="6"/>
      <c r="J1114" s="1257" t="s">
        <v>286</v>
      </c>
      <c r="K1114" s="251">
        <f>SUMIF('alb Note 6.1 -  Intangibles CY'!$A:$A,$J1114,'alb Note 6.1 -  Intangibles CY'!$I:$I)</f>
        <v>0</v>
      </c>
      <c r="L1114" s="251">
        <f>SUMIF('alb Note 6.1 -  Intangibles CY'!$A:$A,$J1114,'alb Note 6.1 -  Intangibles CY'!$T:$T)</f>
        <v>0</v>
      </c>
      <c r="M1114" s="10"/>
      <c r="N1114" s="273">
        <f>ROUND(SUM(O1114:S1114)+SUM(W1114:AV1114),0)</f>
        <v>0</v>
      </c>
      <c r="O1114" s="12"/>
      <c r="P1114" s="12"/>
      <c r="Q1114" s="12"/>
      <c r="R1114" s="12"/>
      <c r="S1114" s="6">
        <f t="shared" si="662"/>
        <v>0</v>
      </c>
      <c r="T1114" s="273">
        <f>ROUND(SUM(U1114:Y1114),0)</f>
        <v>0</v>
      </c>
      <c r="U1114" s="6">
        <f>SUM(BL1114:BN1114)</f>
        <v>0</v>
      </c>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X1114" s="6"/>
      <c r="AY1114" s="6">
        <f>ROUND(AX1114/1000/Update!$B$31*Update!$B$27,0)</f>
        <v>0</v>
      </c>
      <c r="BA1114" s="6"/>
      <c r="BB1114" s="6">
        <f>ROUND(BA1114/1000/Update!$B$31,0)</f>
        <v>0</v>
      </c>
      <c r="BC1114" s="6"/>
      <c r="BD1114" s="29">
        <f t="shared" si="628"/>
        <v>0</v>
      </c>
      <c r="BE1114" s="322"/>
      <c r="BF1114" s="322"/>
      <c r="BG1114" s="322"/>
      <c r="BH1114" s="322"/>
      <c r="BI1114" s="322"/>
      <c r="BJ1114" s="322"/>
      <c r="BK1114" s="29">
        <f t="shared" si="643"/>
        <v>0</v>
      </c>
      <c r="BL1114" s="322"/>
      <c r="BM1114" s="322"/>
      <c r="BN1114" s="322"/>
      <c r="BO1114" s="322"/>
      <c r="BP1114" s="322"/>
      <c r="BQ1114" s="322"/>
      <c r="BR1114" s="322"/>
      <c r="BS1114" s="322"/>
      <c r="BT1114" s="322"/>
      <c r="BU1114" s="322"/>
      <c r="BV1114" s="322"/>
      <c r="BW1114" s="322"/>
      <c r="BX1114" s="322"/>
      <c r="BY1114" s="322"/>
      <c r="BZ1114" s="322"/>
      <c r="CA1114" s="322"/>
      <c r="CB1114" s="322"/>
      <c r="CC1114" s="322"/>
      <c r="CD1114" s="322"/>
      <c r="CE1114" s="322"/>
      <c r="CF1114" s="322"/>
      <c r="CG1114" s="322"/>
      <c r="CH1114" s="322"/>
      <c r="CI1114" s="322"/>
      <c r="CM1114" s="1139">
        <v>0</v>
      </c>
      <c r="CN1114" s="1139">
        <v>0</v>
      </c>
      <c r="CP1114" s="923">
        <f t="shared" si="659"/>
        <v>0</v>
      </c>
      <c r="CZ1114" s="330"/>
    </row>
    <row r="1115" spans="1:104" ht="25.5" customHeight="1" x14ac:dyDescent="0.25">
      <c r="A1115" s="684">
        <f>MAX($A$6:A1114)+1</f>
        <v>1115</v>
      </c>
      <c r="B1115" s="3">
        <f t="shared" si="652"/>
        <v>6.1</v>
      </c>
      <c r="C1115" s="11" t="str">
        <f t="shared" si="636"/>
        <v>Consolidated intangible assets 2025-26</v>
      </c>
      <c r="D1115" s="11" t="s">
        <v>455</v>
      </c>
      <c r="E1115" s="7" t="str">
        <f>"At"&amp;Update!$B$20&amp;" "</f>
        <v xml:space="preserve">At 1 April 2025 </v>
      </c>
      <c r="F1115" s="15"/>
      <c r="G1115" s="1267" t="str">
        <f>"At"&amp;Update!$B$20</f>
        <v>At 1 April 2025</v>
      </c>
      <c r="H1115" s="6">
        <v>0</v>
      </c>
      <c r="I1115" s="6">
        <v>0</v>
      </c>
      <c r="J1115" s="1257" t="str">
        <f>$E1115</f>
        <v xml:space="preserve">At 1 April 2025 </v>
      </c>
      <c r="K1115" s="251">
        <f>SUMIF('alb Note 6.1 -  Intangibles CY'!$A:$A,$J1115,'alb Note 6.1 -  Intangibles CY'!$I:$I)</f>
        <v>0</v>
      </c>
      <c r="L1115" s="251">
        <f>SUMIF('alb Note 6.1 -  Intangibles CY'!$A:$A,$J1115,'alb Note 6.1 -  Intangibles CY'!$T:$T)</f>
        <v>0</v>
      </c>
      <c r="M1115" s="10"/>
      <c r="N1115" s="273">
        <f>ROUND(SUM(O1115:S1115)+SUM(W1115:AV1115),0)</f>
        <v>0</v>
      </c>
      <c r="O1115" s="12"/>
      <c r="P1115" s="12"/>
      <c r="Q1115" s="12"/>
      <c r="R1115" s="12"/>
      <c r="S1115" s="6">
        <f t="shared" si="662"/>
        <v>0</v>
      </c>
      <c r="T1115" s="273">
        <f>ROUND(SUM(U1115:Y1115),0)</f>
        <v>0</v>
      </c>
      <c r="U1115" s="6">
        <f>SUM(BL1115:BN1115)</f>
        <v>0</v>
      </c>
      <c r="V1115" s="6"/>
      <c r="W1115" s="6">
        <f t="shared" ref="W1115:W1126" si="671">+H1115</f>
        <v>0</v>
      </c>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X1115" s="6"/>
      <c r="AY1115" s="6">
        <f>ROUND(AX1115/1000/Update!$B$31*Update!$B$27,0)</f>
        <v>0</v>
      </c>
      <c r="BA1115" s="6"/>
      <c r="BB1115" s="6">
        <f>ROUND(BA1115/1000/Update!$B$31,0)</f>
        <v>0</v>
      </c>
      <c r="BC1115" s="6"/>
      <c r="BD1115" s="29">
        <f t="shared" si="628"/>
        <v>0</v>
      </c>
      <c r="BE1115" s="322"/>
      <c r="BF1115" s="322"/>
      <c r="BG1115" s="322"/>
      <c r="BH1115" s="322"/>
      <c r="BI1115" s="322"/>
      <c r="BJ1115" s="322"/>
      <c r="BK1115" s="29">
        <f t="shared" si="643"/>
        <v>0</v>
      </c>
      <c r="BL1115" s="322"/>
      <c r="BM1115" s="322"/>
      <c r="BN1115" s="322"/>
      <c r="BO1115" s="322"/>
      <c r="BP1115" s="322"/>
      <c r="BQ1115" s="322"/>
      <c r="BR1115" s="322"/>
      <c r="BS1115" s="322"/>
      <c r="BT1115" s="322"/>
      <c r="BU1115" s="322"/>
      <c r="BV1115" s="322"/>
      <c r="BW1115" s="322"/>
      <c r="BX1115" s="322"/>
      <c r="BY1115" s="322"/>
      <c r="BZ1115" s="322"/>
      <c r="CA1115" s="322"/>
      <c r="CB1115" s="322"/>
      <c r="CC1115" s="322"/>
      <c r="CD1115" s="322"/>
      <c r="CE1115" s="322"/>
      <c r="CF1115" s="322"/>
      <c r="CG1115" s="322"/>
      <c r="CH1115" s="322"/>
      <c r="CI1115" s="322"/>
      <c r="CM1115" s="1139">
        <v>0</v>
      </c>
      <c r="CN1115" s="1139">
        <v>0</v>
      </c>
      <c r="CP1115" s="923">
        <f t="shared" si="659"/>
        <v>0</v>
      </c>
      <c r="CZ1115" s="330"/>
    </row>
    <row r="1116" spans="1:104" ht="15" customHeight="1" x14ac:dyDescent="0.25">
      <c r="A1116" s="684">
        <f>MAX($A$6:A1115)+1</f>
        <v>1116</v>
      </c>
      <c r="B1116" s="3">
        <f t="shared" si="652"/>
        <v>6.1</v>
      </c>
      <c r="C1116" s="11" t="str">
        <f t="shared" si="636"/>
        <v>Consolidated intangible assets 2025-26</v>
      </c>
      <c r="D1116" s="11" t="str">
        <f>D1115</f>
        <v>Payments on Account &amp; Assets under Construction</v>
      </c>
      <c r="E1116" s="7" t="s">
        <v>1417</v>
      </c>
      <c r="F1116" s="7"/>
      <c r="G1116" s="1254" t="s">
        <v>435</v>
      </c>
      <c r="H1116" s="6">
        <v>0</v>
      </c>
      <c r="I1116" s="6">
        <v>0</v>
      </c>
      <c r="J1116" s="1257" t="s">
        <v>435</v>
      </c>
      <c r="K1116" s="251">
        <f>SUMIF('alb Note 6.1 -  Intangibles CY'!$A:$A,$J1116,'alb Note 6.1 -  Intangibles CY'!$I:$I)</f>
        <v>0</v>
      </c>
      <c r="L1116" s="251">
        <f>SUMIF('alb Note 6.1 -  Intangibles CY'!$A:$A,$J1116,'alb Note 6.1 -  Intangibles CY'!$T:$T)</f>
        <v>0</v>
      </c>
      <c r="M1116" s="10"/>
      <c r="N1116" s="273">
        <f>ROUND(SUM(O1116:S1116)+SUM(W1116:AV1116),0)</f>
        <v>0</v>
      </c>
      <c r="O1116" s="12"/>
      <c r="P1116" s="12"/>
      <c r="Q1116" s="12"/>
      <c r="R1116" s="12"/>
      <c r="S1116" s="6">
        <f t="shared" si="662"/>
        <v>0</v>
      </c>
      <c r="T1116" s="273">
        <f>ROUND(SUM(U1116:Y1116),0)</f>
        <v>0</v>
      </c>
      <c r="U1116" s="6">
        <f>SUM(BL1116:BN1116)</f>
        <v>0</v>
      </c>
      <c r="V1116" s="6"/>
      <c r="W1116" s="6">
        <f t="shared" si="671"/>
        <v>0</v>
      </c>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X1116" s="6"/>
      <c r="AY1116" s="6">
        <f>ROUND(AX1116/1000/Update!$B$31*Update!$B$27,0)</f>
        <v>0</v>
      </c>
      <c r="BA1116" s="6"/>
      <c r="BB1116" s="6">
        <f>ROUND(BA1116/1000/Update!$B$31,0)</f>
        <v>0</v>
      </c>
      <c r="BC1116" s="6"/>
      <c r="BD1116" s="29">
        <f t="shared" si="628"/>
        <v>0</v>
      </c>
      <c r="BE1116" s="322"/>
      <c r="BF1116" s="322"/>
      <c r="BG1116" s="322"/>
      <c r="BH1116" s="322"/>
      <c r="BI1116" s="322"/>
      <c r="BJ1116" s="322"/>
      <c r="BK1116" s="29">
        <f t="shared" si="643"/>
        <v>0</v>
      </c>
      <c r="BL1116" s="322"/>
      <c r="BM1116" s="322"/>
      <c r="BN1116" s="322"/>
      <c r="BO1116" s="322"/>
      <c r="BP1116" s="322"/>
      <c r="BQ1116" s="322"/>
      <c r="BR1116" s="322"/>
      <c r="BS1116" s="322"/>
      <c r="BT1116" s="322"/>
      <c r="BU1116" s="322"/>
      <c r="BV1116" s="322"/>
      <c r="BW1116" s="322"/>
      <c r="BX1116" s="322"/>
      <c r="BY1116" s="322"/>
      <c r="BZ1116" s="322"/>
      <c r="CA1116" s="322"/>
      <c r="CB1116" s="322"/>
      <c r="CC1116" s="322"/>
      <c r="CD1116" s="322"/>
      <c r="CE1116" s="322"/>
      <c r="CF1116" s="322"/>
      <c r="CG1116" s="322"/>
      <c r="CH1116" s="322"/>
      <c r="CI1116" s="322"/>
      <c r="CM1116" s="1139">
        <v>0</v>
      </c>
      <c r="CN1116" s="1139">
        <v>0</v>
      </c>
      <c r="CP1116" s="923">
        <f t="shared" si="659"/>
        <v>0</v>
      </c>
      <c r="CZ1116" s="330"/>
    </row>
    <row r="1117" spans="1:104" ht="15" customHeight="1" x14ac:dyDescent="0.25">
      <c r="A1117" s="701">
        <f>MAX($A$6:A1116)+1</f>
        <v>1117</v>
      </c>
      <c r="B1117" s="1291">
        <f t="shared" si="652"/>
        <v>6.1</v>
      </c>
      <c r="C1117" s="18" t="str">
        <f t="shared" si="636"/>
        <v>Consolidated intangible assets 2025-26</v>
      </c>
      <c r="D1117" s="18" t="str">
        <f>D1116</f>
        <v>Payments on Account &amp; Assets under Construction</v>
      </c>
      <c r="E1117" s="19" t="s">
        <v>869</v>
      </c>
      <c r="F1117" s="20"/>
      <c r="G1117" s="1278" t="s">
        <v>442</v>
      </c>
      <c r="H1117" s="14">
        <f>SUM(H1114:H1116)</f>
        <v>0</v>
      </c>
      <c r="I1117" s="14">
        <f>SUM(I1114:I1116)</f>
        <v>0</v>
      </c>
      <c r="J1117" s="1258" t="s">
        <v>442</v>
      </c>
      <c r="K1117" s="256">
        <f>SUM(K1114:K1116)</f>
        <v>0</v>
      </c>
      <c r="L1117" s="256">
        <f>SUM(L1114:L1116)</f>
        <v>0</v>
      </c>
      <c r="M1117" s="21"/>
      <c r="N1117" s="14">
        <f>ROUND(SUM(O1117:S1117)+T1117+SUM(Z1117:AV1117),0)</f>
        <v>0</v>
      </c>
      <c r="O1117" s="14">
        <f t="shared" ref="O1117:V1117" si="672">SUM(O1114:O1116)</f>
        <v>0</v>
      </c>
      <c r="P1117" s="14">
        <f t="shared" si="672"/>
        <v>0</v>
      </c>
      <c r="Q1117" s="14">
        <f t="shared" si="672"/>
        <v>0</v>
      </c>
      <c r="R1117" s="14">
        <f t="shared" si="672"/>
        <v>0</v>
      </c>
      <c r="S1117" s="14">
        <f t="shared" si="662"/>
        <v>0</v>
      </c>
      <c r="T1117" s="14">
        <f t="shared" si="672"/>
        <v>0</v>
      </c>
      <c r="U1117" s="14">
        <f>SUM(U1114:U1116)</f>
        <v>0</v>
      </c>
      <c r="V1117" s="14">
        <f t="shared" si="672"/>
        <v>0</v>
      </c>
      <c r="W1117" s="14">
        <f>SUM(W1114:W1116)</f>
        <v>0</v>
      </c>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2"/>
      <c r="AX1117" s="14">
        <f>SUM(AX1114:AX1116)</f>
        <v>0</v>
      </c>
      <c r="AY1117" s="14">
        <f>ROUND(AX1117/1000/Update!$B$31*Update!$B$27,0)</f>
        <v>0</v>
      </c>
      <c r="AZ1117" s="2"/>
      <c r="BA1117" s="14">
        <f>SUM(BA1114:BA1116)</f>
        <v>0</v>
      </c>
      <c r="BB1117" s="14">
        <f>ROUND(BA1117/1000/Update!$B$31,0)</f>
        <v>0</v>
      </c>
      <c r="BC1117" s="14"/>
      <c r="BD1117" s="14">
        <f t="shared" si="628"/>
        <v>0</v>
      </c>
      <c r="BE1117" s="14">
        <f t="shared" ref="BE1117:BJ1117" si="673">SUM(BE1114:BE1116)</f>
        <v>0</v>
      </c>
      <c r="BF1117" s="14">
        <f t="shared" si="673"/>
        <v>0</v>
      </c>
      <c r="BG1117" s="14">
        <f t="shared" si="673"/>
        <v>0</v>
      </c>
      <c r="BH1117" s="14">
        <f t="shared" si="673"/>
        <v>0</v>
      </c>
      <c r="BI1117" s="14">
        <f t="shared" si="673"/>
        <v>0</v>
      </c>
      <c r="BJ1117" s="14">
        <f t="shared" si="673"/>
        <v>0</v>
      </c>
      <c r="BK1117" s="14">
        <f t="shared" si="643"/>
        <v>0</v>
      </c>
      <c r="BL1117" s="14"/>
      <c r="BM1117" s="14"/>
      <c r="BN1117" s="14"/>
      <c r="BO1117" s="14"/>
      <c r="BP1117" s="14"/>
      <c r="BQ1117" s="14"/>
      <c r="BR1117" s="14"/>
      <c r="BS1117" s="14"/>
      <c r="BT1117" s="324"/>
      <c r="BU1117" s="14"/>
      <c r="BV1117" s="14"/>
      <c r="BW1117" s="14"/>
      <c r="BX1117" s="14"/>
      <c r="BY1117" s="14"/>
      <c r="BZ1117" s="14"/>
      <c r="CA1117" s="14"/>
      <c r="CB1117" s="14"/>
      <c r="CC1117" s="14"/>
      <c r="CD1117" s="14"/>
      <c r="CE1117" s="14"/>
      <c r="CF1117" s="14"/>
      <c r="CG1117" s="14"/>
      <c r="CH1117" s="14"/>
      <c r="CI1117" s="14"/>
      <c r="CJ1117" s="2"/>
      <c r="CK1117" s="2"/>
      <c r="CM1117" s="1140">
        <v>0</v>
      </c>
      <c r="CN1117" s="1140">
        <v>0</v>
      </c>
      <c r="CP1117" s="923">
        <f t="shared" si="659"/>
        <v>0</v>
      </c>
      <c r="CZ1117" s="330"/>
    </row>
    <row r="1118" spans="1:104" ht="15" customHeight="1" x14ac:dyDescent="0.25">
      <c r="A1118" s="684">
        <f>MAX($A$6:A1117)+1</f>
        <v>1118</v>
      </c>
      <c r="B1118" s="3">
        <f t="shared" si="652"/>
        <v>6.1</v>
      </c>
      <c r="C1118" s="11" t="str">
        <f>C1115</f>
        <v>Consolidated intangible assets 2025-26</v>
      </c>
      <c r="D1118" s="11" t="s">
        <v>455</v>
      </c>
      <c r="E1118" s="7" t="s">
        <v>1409</v>
      </c>
      <c r="F1118" s="7"/>
      <c r="G1118" s="1254" t="s">
        <v>190</v>
      </c>
      <c r="H1118" s="6">
        <v>0</v>
      </c>
      <c r="I1118" s="6">
        <v>0</v>
      </c>
      <c r="J1118" s="1257" t="s">
        <v>190</v>
      </c>
      <c r="K1118" s="251">
        <f>SUMIF('alb Note 6.1 -  Intangibles CY'!$A:$A,$J1118,'alb Note 6.1 -  Intangibles CY'!$I:$I)</f>
        <v>0</v>
      </c>
      <c r="L1118" s="251">
        <f>SUMIF('alb Note 6.1 -  Intangibles CY'!$A:$A,$J1118,'alb Note 6.1 -  Intangibles CY'!$T:$T)</f>
        <v>0</v>
      </c>
      <c r="M1118" s="10"/>
      <c r="N1118" s="273">
        <f t="shared" ref="N1118:N1126" si="674">ROUND(SUM(O1118:S1118)+SUM(W1118:AV1118),0)</f>
        <v>0</v>
      </c>
      <c r="O1118" s="12"/>
      <c r="P1118" s="12"/>
      <c r="Q1118" s="12"/>
      <c r="R1118" s="12"/>
      <c r="S1118" s="6">
        <f t="shared" si="662"/>
        <v>0</v>
      </c>
      <c r="T1118" s="273">
        <f t="shared" ref="T1118:T1126" si="675">ROUND(SUM(U1118:Y1118),0)</f>
        <v>0</v>
      </c>
      <c r="U1118" s="6">
        <f t="shared" ref="U1118:U1126" si="676">SUM(BL1118:BN1118)</f>
        <v>0</v>
      </c>
      <c r="V1118" s="6"/>
      <c r="W1118" s="6">
        <f t="shared" si="671"/>
        <v>0</v>
      </c>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X1118" s="6"/>
      <c r="AY1118" s="6">
        <f>ROUND(AX1118/1000/Update!$B$31*Update!$B$27,0)</f>
        <v>0</v>
      </c>
      <c r="BA1118" s="6"/>
      <c r="BB1118" s="6">
        <f>ROUND(BA1118/1000/Update!$B$31,0)</f>
        <v>0</v>
      </c>
      <c r="BC1118" s="6"/>
      <c r="BD1118" s="29">
        <f t="shared" si="628"/>
        <v>0</v>
      </c>
      <c r="BE1118" s="322"/>
      <c r="BF1118" s="322"/>
      <c r="BG1118" s="322"/>
      <c r="BH1118" s="322"/>
      <c r="BI1118" s="322"/>
      <c r="BJ1118" s="322"/>
      <c r="BK1118" s="29">
        <f t="shared" si="643"/>
        <v>0</v>
      </c>
      <c r="BL1118" s="322"/>
      <c r="BM1118" s="322"/>
      <c r="BN1118" s="322"/>
      <c r="BO1118" s="322"/>
      <c r="BP1118" s="322"/>
      <c r="BQ1118" s="322"/>
      <c r="BR1118" s="322"/>
      <c r="BS1118" s="322"/>
      <c r="BT1118" s="322"/>
      <c r="BU1118" s="322"/>
      <c r="BV1118" s="322"/>
      <c r="BW1118" s="322"/>
      <c r="BX1118" s="322"/>
      <c r="BY1118" s="322"/>
      <c r="BZ1118" s="322"/>
      <c r="CA1118" s="322"/>
      <c r="CB1118" s="322"/>
      <c r="CC1118" s="322"/>
      <c r="CD1118" s="322"/>
      <c r="CE1118" s="322"/>
      <c r="CF1118" s="322"/>
      <c r="CG1118" s="322"/>
      <c r="CH1118" s="322"/>
      <c r="CI1118" s="322"/>
      <c r="CM1118" s="1139">
        <v>0</v>
      </c>
      <c r="CN1118" s="1139">
        <v>0</v>
      </c>
      <c r="CP1118" s="923">
        <f t="shared" si="659"/>
        <v>0</v>
      </c>
      <c r="CZ1118" s="330"/>
    </row>
    <row r="1119" spans="1:104" ht="15" customHeight="1" x14ac:dyDescent="0.25">
      <c r="A1119" s="684">
        <f>MAX($A$6:A1118)+1</f>
        <v>1119</v>
      </c>
      <c r="B1119" s="3">
        <f t="shared" si="652"/>
        <v>6.1</v>
      </c>
      <c r="C1119" s="11" t="str">
        <f t="shared" si="636"/>
        <v>Consolidated intangible assets 2025-26</v>
      </c>
      <c r="D1119" s="11" t="s">
        <v>455</v>
      </c>
      <c r="E1119" s="7" t="s">
        <v>457</v>
      </c>
      <c r="F1119" s="7"/>
      <c r="G1119" s="1254" t="s">
        <v>457</v>
      </c>
      <c r="H1119" s="6">
        <v>0</v>
      </c>
      <c r="I1119" s="6">
        <v>0</v>
      </c>
      <c r="J1119" s="1257" t="s">
        <v>457</v>
      </c>
      <c r="K1119" s="251">
        <f>SUMIF('alb Note 6.1 -  Intangibles CY'!$A:$A,$J1119,'alb Note 6.1 -  Intangibles CY'!$I:$I)</f>
        <v>0</v>
      </c>
      <c r="L1119" s="251">
        <f>SUMIF('alb Note 6.1 -  Intangibles CY'!$A:$A,$J1119,'alb Note 6.1 -  Intangibles CY'!$T:$T)</f>
        <v>0</v>
      </c>
      <c r="M1119" s="10"/>
      <c r="N1119" s="273">
        <f t="shared" si="674"/>
        <v>0</v>
      </c>
      <c r="O1119" s="12"/>
      <c r="P1119" s="12"/>
      <c r="Q1119" s="12"/>
      <c r="R1119" s="12"/>
      <c r="S1119" s="6">
        <f t="shared" si="662"/>
        <v>0</v>
      </c>
      <c r="T1119" s="273">
        <f t="shared" si="675"/>
        <v>0</v>
      </c>
      <c r="U1119" s="6">
        <f t="shared" si="676"/>
        <v>0</v>
      </c>
      <c r="V1119" s="6"/>
      <c r="W1119" s="6">
        <f t="shared" si="671"/>
        <v>0</v>
      </c>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X1119" s="6"/>
      <c r="AY1119" s="6">
        <f>ROUND(AX1119/1000/Update!$B$31*Update!$B$27,0)</f>
        <v>0</v>
      </c>
      <c r="BA1119" s="6"/>
      <c r="BB1119" s="6">
        <f>ROUND(BA1119/1000/Update!$B$31,0)</f>
        <v>0</v>
      </c>
      <c r="BC1119" s="6"/>
      <c r="BD1119" s="29">
        <f t="shared" si="628"/>
        <v>0</v>
      </c>
      <c r="BE1119" s="322"/>
      <c r="BF1119" s="322"/>
      <c r="BG1119" s="322"/>
      <c r="BH1119" s="322"/>
      <c r="BI1119" s="322"/>
      <c r="BJ1119" s="322"/>
      <c r="BK1119" s="29">
        <f t="shared" si="643"/>
        <v>0</v>
      </c>
      <c r="BL1119" s="322"/>
      <c r="BM1119" s="322"/>
      <c r="BN1119" s="322"/>
      <c r="BO1119" s="322"/>
      <c r="BP1119" s="322"/>
      <c r="BQ1119" s="322"/>
      <c r="BR1119" s="322"/>
      <c r="BS1119" s="322"/>
      <c r="BT1119" s="322"/>
      <c r="BU1119" s="322"/>
      <c r="BV1119" s="322"/>
      <c r="BW1119" s="322"/>
      <c r="BX1119" s="322"/>
      <c r="BY1119" s="322"/>
      <c r="BZ1119" s="322"/>
      <c r="CA1119" s="322"/>
      <c r="CB1119" s="322"/>
      <c r="CC1119" s="322"/>
      <c r="CD1119" s="322"/>
      <c r="CE1119" s="322"/>
      <c r="CF1119" s="322"/>
      <c r="CG1119" s="322"/>
      <c r="CH1119" s="322"/>
      <c r="CI1119" s="322"/>
      <c r="CM1119" s="1139">
        <v>0</v>
      </c>
      <c r="CN1119" s="1139">
        <v>0</v>
      </c>
      <c r="CP1119" s="923">
        <f t="shared" si="659"/>
        <v>0</v>
      </c>
      <c r="CZ1119" s="330"/>
    </row>
    <row r="1120" spans="1:104" ht="15" customHeight="1" x14ac:dyDescent="0.25">
      <c r="A1120" s="684">
        <f>MAX($A$6:A1119)+1</f>
        <v>1120</v>
      </c>
      <c r="B1120" s="3">
        <f t="shared" si="652"/>
        <v>6.1</v>
      </c>
      <c r="C1120" s="11" t="str">
        <f t="shared" si="636"/>
        <v>Consolidated intangible assets 2025-26</v>
      </c>
      <c r="D1120" s="11" t="s">
        <v>455</v>
      </c>
      <c r="E1120" s="7" t="s">
        <v>863</v>
      </c>
      <c r="F1120" s="7"/>
      <c r="G1120" s="1254" t="s">
        <v>186</v>
      </c>
      <c r="H1120" s="6">
        <v>0</v>
      </c>
      <c r="I1120" s="6">
        <v>0</v>
      </c>
      <c r="J1120" s="1257" t="s">
        <v>863</v>
      </c>
      <c r="K1120" s="251">
        <f>SUMIF('alb Note 6.1 -  Intangibles CY'!$A:$A,$J1120,'alb Note 6.1 -  Intangibles CY'!$I:$I)</f>
        <v>0</v>
      </c>
      <c r="L1120" s="251">
        <f>SUMIF('alb Note 6.1 -  Intangibles CY'!$A:$A,$J1120,'alb Note 6.1 -  Intangibles CY'!$T:$T)</f>
        <v>0</v>
      </c>
      <c r="M1120" s="10"/>
      <c r="N1120" s="273">
        <f t="shared" si="674"/>
        <v>0</v>
      </c>
      <c r="O1120" s="12"/>
      <c r="P1120" s="12"/>
      <c r="Q1120" s="12"/>
      <c r="R1120" s="12"/>
      <c r="S1120" s="6">
        <f t="shared" si="662"/>
        <v>0</v>
      </c>
      <c r="T1120" s="273">
        <f t="shared" si="675"/>
        <v>0</v>
      </c>
      <c r="U1120" s="6">
        <f t="shared" si="676"/>
        <v>0</v>
      </c>
      <c r="V1120" s="6"/>
      <c r="W1120" s="6">
        <f t="shared" si="671"/>
        <v>0</v>
      </c>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X1120" s="6"/>
      <c r="AY1120" s="6">
        <f>ROUND(AX1120/1000/Update!$B$31*Update!$B$27,0)</f>
        <v>0</v>
      </c>
      <c r="BA1120" s="6"/>
      <c r="BB1120" s="6">
        <f>ROUND(BA1120/1000/Update!$B$31,0)</f>
        <v>0</v>
      </c>
      <c r="BC1120" s="6"/>
      <c r="BD1120" s="29">
        <f t="shared" si="628"/>
        <v>0</v>
      </c>
      <c r="BE1120" s="322"/>
      <c r="BF1120" s="322"/>
      <c r="BG1120" s="322"/>
      <c r="BH1120" s="322"/>
      <c r="BI1120" s="322"/>
      <c r="BJ1120" s="322"/>
      <c r="BK1120" s="29">
        <f t="shared" si="643"/>
        <v>0</v>
      </c>
      <c r="BL1120" s="322"/>
      <c r="BM1120" s="322"/>
      <c r="BN1120" s="322"/>
      <c r="BO1120" s="322"/>
      <c r="BP1120" s="322"/>
      <c r="BQ1120" s="322"/>
      <c r="BR1120" s="322"/>
      <c r="BS1120" s="322"/>
      <c r="BT1120" s="322"/>
      <c r="BU1120" s="322"/>
      <c r="BV1120" s="322"/>
      <c r="BW1120" s="322"/>
      <c r="BX1120" s="322"/>
      <c r="BY1120" s="322"/>
      <c r="BZ1120" s="322"/>
      <c r="CA1120" s="322"/>
      <c r="CB1120" s="322"/>
      <c r="CC1120" s="322"/>
      <c r="CD1120" s="322"/>
      <c r="CE1120" s="322"/>
      <c r="CF1120" s="322"/>
      <c r="CG1120" s="322"/>
      <c r="CH1120" s="322"/>
      <c r="CI1120" s="322"/>
      <c r="CM1120" s="1139">
        <v>0</v>
      </c>
      <c r="CN1120" s="1139">
        <v>0</v>
      </c>
      <c r="CP1120" s="923">
        <f t="shared" si="659"/>
        <v>0</v>
      </c>
      <c r="CZ1120" s="330"/>
    </row>
    <row r="1121" spans="1:104" ht="15" customHeight="1" x14ac:dyDescent="0.25">
      <c r="A1121" s="684">
        <f>MAX($A$6:A1120)+1</f>
        <v>1121</v>
      </c>
      <c r="B1121" s="3">
        <f t="shared" si="652"/>
        <v>6.1</v>
      </c>
      <c r="C1121" s="11" t="str">
        <f>C1120</f>
        <v>Consolidated intangible assets 2025-26</v>
      </c>
      <c r="D1121" s="11" t="str">
        <f>D1120</f>
        <v>Payments on Account &amp; Assets under Construction</v>
      </c>
      <c r="E1121" s="7" t="s">
        <v>867</v>
      </c>
      <c r="F1121" s="7"/>
      <c r="G1121" s="1257" t="s">
        <v>187</v>
      </c>
      <c r="H1121" s="6">
        <v>0</v>
      </c>
      <c r="I1121" s="6">
        <v>0</v>
      </c>
      <c r="J1121" s="1257" t="s">
        <v>867</v>
      </c>
      <c r="K1121" s="251">
        <f>SUMIF('alb Note 6.1 -  Intangibles CY'!$A:$A,$J1121,'alb Note 6.1 -  Intangibles CY'!$I:$I)</f>
        <v>0</v>
      </c>
      <c r="L1121" s="251">
        <f>SUMIF('alb Note 6.1 -  Intangibles CY'!$A:$A,$J1121,'alb Note 6.1 -  Intangibles CY'!$T:$T)</f>
        <v>0</v>
      </c>
      <c r="M1121" s="10"/>
      <c r="N1121" s="273">
        <f t="shared" si="674"/>
        <v>0</v>
      </c>
      <c r="O1121" s="12"/>
      <c r="P1121" s="12"/>
      <c r="Q1121" s="12"/>
      <c r="R1121" s="12"/>
      <c r="S1121" s="6">
        <f t="shared" si="662"/>
        <v>0</v>
      </c>
      <c r="T1121" s="273">
        <f t="shared" si="675"/>
        <v>0</v>
      </c>
      <c r="U1121" s="6">
        <f t="shared" si="676"/>
        <v>0</v>
      </c>
      <c r="V1121" s="6"/>
      <c r="W1121" s="6">
        <f t="shared" si="671"/>
        <v>0</v>
      </c>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X1121" s="6"/>
      <c r="AY1121" s="6">
        <f>ROUND(AX1121/1000/Update!$B$31*Update!$B$27,0)</f>
        <v>0</v>
      </c>
      <c r="BA1121" s="6"/>
      <c r="BB1121" s="6">
        <f>ROUND(BA1121/1000/Update!$B$31,0)</f>
        <v>0</v>
      </c>
      <c r="BC1121" s="6"/>
      <c r="BD1121" s="29">
        <f t="shared" ref="BD1121:BD1136" si="677">ROUND(SUM(BE1121:BK1121),0)</f>
        <v>0</v>
      </c>
      <c r="BE1121" s="322"/>
      <c r="BF1121" s="322"/>
      <c r="BG1121" s="322"/>
      <c r="BH1121" s="322"/>
      <c r="BI1121" s="322"/>
      <c r="BJ1121" s="322"/>
      <c r="BK1121" s="29">
        <f t="shared" si="643"/>
        <v>0</v>
      </c>
      <c r="BL1121" s="322"/>
      <c r="BM1121" s="322"/>
      <c r="BN1121" s="322"/>
      <c r="BO1121" s="322"/>
      <c r="BP1121" s="322"/>
      <c r="BQ1121" s="322"/>
      <c r="BR1121" s="322"/>
      <c r="BS1121" s="322"/>
      <c r="BT1121" s="322"/>
      <c r="BU1121" s="322"/>
      <c r="BV1121" s="322"/>
      <c r="BW1121" s="322"/>
      <c r="BX1121" s="322"/>
      <c r="BY1121" s="322"/>
      <c r="BZ1121" s="322"/>
      <c r="CA1121" s="322"/>
      <c r="CB1121" s="322"/>
      <c r="CC1121" s="322"/>
      <c r="CD1121" s="322"/>
      <c r="CE1121" s="322"/>
      <c r="CF1121" s="322"/>
      <c r="CG1121" s="322"/>
      <c r="CH1121" s="322"/>
      <c r="CI1121" s="322"/>
      <c r="CM1121" s="1139">
        <v>0</v>
      </c>
      <c r="CN1121" s="1139">
        <v>0</v>
      </c>
      <c r="CP1121" s="923">
        <f t="shared" si="659"/>
        <v>0</v>
      </c>
      <c r="CZ1121" s="330"/>
    </row>
    <row r="1122" spans="1:104" ht="15" customHeight="1" x14ac:dyDescent="0.25">
      <c r="A1122" s="684">
        <f>MAX($A$6:A1121)+1</f>
        <v>1122</v>
      </c>
      <c r="B1122" s="3">
        <f t="shared" si="652"/>
        <v>6.1</v>
      </c>
      <c r="C1122" s="11" t="str">
        <f>C1120</f>
        <v>Consolidated intangible assets 2025-26</v>
      </c>
      <c r="D1122" s="11" t="s">
        <v>455</v>
      </c>
      <c r="E1122" s="7" t="s">
        <v>875</v>
      </c>
      <c r="F1122" s="7"/>
      <c r="G1122" s="1254" t="s">
        <v>210</v>
      </c>
      <c r="H1122" s="6">
        <v>0</v>
      </c>
      <c r="I1122" s="6">
        <v>0</v>
      </c>
      <c r="J1122" s="1257" t="s">
        <v>875</v>
      </c>
      <c r="K1122" s="251">
        <f>SUMIF('alb Note 6.1 -  Intangibles CY'!$A:$A,$J1122,'alb Note 6.1 -  Intangibles CY'!$I:$I)</f>
        <v>0</v>
      </c>
      <c r="L1122" s="251">
        <f>SUMIF('alb Note 6.1 -  Intangibles CY'!$A:$A,$J1122,'alb Note 6.1 -  Intangibles CY'!$T:$T)</f>
        <v>0</v>
      </c>
      <c r="M1122" s="10"/>
      <c r="N1122" s="273">
        <f t="shared" si="674"/>
        <v>0</v>
      </c>
      <c r="O1122" s="12"/>
      <c r="P1122" s="12"/>
      <c r="Q1122" s="12"/>
      <c r="R1122" s="12"/>
      <c r="S1122" s="6">
        <f t="shared" si="662"/>
        <v>0</v>
      </c>
      <c r="T1122" s="273">
        <f t="shared" si="675"/>
        <v>0</v>
      </c>
      <c r="U1122" s="6">
        <f t="shared" si="676"/>
        <v>0</v>
      </c>
      <c r="V1122" s="6"/>
      <c r="W1122" s="6">
        <f t="shared" si="671"/>
        <v>0</v>
      </c>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X1122" s="6"/>
      <c r="AY1122" s="6">
        <f>ROUND(AX1122/1000/Update!$B$31*Update!$B$27,0)</f>
        <v>0</v>
      </c>
      <c r="BA1122" s="6"/>
      <c r="BB1122" s="6">
        <f>ROUND(BA1122/1000/Update!$B$31,0)</f>
        <v>0</v>
      </c>
      <c r="BC1122" s="6"/>
      <c r="BD1122" s="29">
        <f t="shared" si="677"/>
        <v>0</v>
      </c>
      <c r="BE1122" s="322"/>
      <c r="BF1122" s="322"/>
      <c r="BG1122" s="322"/>
      <c r="BH1122" s="322"/>
      <c r="BI1122" s="322"/>
      <c r="BJ1122" s="322"/>
      <c r="BK1122" s="29">
        <f t="shared" si="643"/>
        <v>0</v>
      </c>
      <c r="BL1122" s="322"/>
      <c r="BM1122" s="322"/>
      <c r="BN1122" s="322"/>
      <c r="BO1122" s="322"/>
      <c r="BP1122" s="322"/>
      <c r="BQ1122" s="322"/>
      <c r="BR1122" s="322"/>
      <c r="BS1122" s="322"/>
      <c r="BT1122" s="322"/>
      <c r="BU1122" s="322"/>
      <c r="BV1122" s="322"/>
      <c r="BW1122" s="322"/>
      <c r="BX1122" s="322"/>
      <c r="BY1122" s="322"/>
      <c r="BZ1122" s="322"/>
      <c r="CA1122" s="322"/>
      <c r="CB1122" s="322"/>
      <c r="CC1122" s="322"/>
      <c r="CD1122" s="322"/>
      <c r="CE1122" s="322"/>
      <c r="CF1122" s="322"/>
      <c r="CG1122" s="322"/>
      <c r="CH1122" s="322"/>
      <c r="CI1122" s="322"/>
      <c r="CM1122" s="1139">
        <v>0</v>
      </c>
      <c r="CN1122" s="1139">
        <v>0</v>
      </c>
      <c r="CP1122" s="923">
        <f t="shared" si="659"/>
        <v>0</v>
      </c>
      <c r="CZ1122" s="330"/>
    </row>
    <row r="1123" spans="1:104" ht="30" customHeight="1" x14ac:dyDescent="0.25">
      <c r="A1123" s="684">
        <f>MAX($A$6:A1122)+1</f>
        <v>1123</v>
      </c>
      <c r="B1123" s="3">
        <f t="shared" si="652"/>
        <v>6.1</v>
      </c>
      <c r="C1123" s="11" t="str">
        <f t="shared" si="636"/>
        <v>Consolidated intangible assets 2025-26</v>
      </c>
      <c r="D1123" s="11" t="s">
        <v>455</v>
      </c>
      <c r="E1123" s="7" t="s">
        <v>1415</v>
      </c>
      <c r="F1123" s="7"/>
      <c r="G1123" s="1254" t="s">
        <v>438</v>
      </c>
      <c r="H1123" s="6">
        <v>0</v>
      </c>
      <c r="I1123" s="6">
        <v>0</v>
      </c>
      <c r="J1123" s="1257" t="s">
        <v>864</v>
      </c>
      <c r="K1123" s="251">
        <f>SUMIF('alb Note 6.1 -  Intangibles CY'!$A:$A,$J1123,'alb Note 6.1 -  Intangibles CY'!$I:$I)</f>
        <v>0</v>
      </c>
      <c r="L1123" s="251">
        <f>SUMIF('alb Note 6.1 -  Intangibles CY'!$A:$A,$J1123,'alb Note 6.1 -  Intangibles CY'!$T:$T)</f>
        <v>0</v>
      </c>
      <c r="M1123" s="10"/>
      <c r="N1123" s="273">
        <f t="shared" si="674"/>
        <v>0</v>
      </c>
      <c r="O1123" s="12"/>
      <c r="P1123" s="12"/>
      <c r="Q1123" s="12"/>
      <c r="R1123" s="12"/>
      <c r="S1123" s="6">
        <f t="shared" si="662"/>
        <v>0</v>
      </c>
      <c r="T1123" s="273">
        <f t="shared" si="675"/>
        <v>0</v>
      </c>
      <c r="U1123" s="6">
        <f t="shared" si="676"/>
        <v>0</v>
      </c>
      <c r="V1123" s="6"/>
      <c r="W1123" s="6">
        <f t="shared" si="671"/>
        <v>0</v>
      </c>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X1123" s="6"/>
      <c r="AY1123" s="6">
        <f>ROUND(AX1123/1000/Update!$B$31*Update!$B$27,0)</f>
        <v>0</v>
      </c>
      <c r="BA1123" s="6"/>
      <c r="BB1123" s="6">
        <f>ROUND(BA1123/1000/Update!$B$31,0)</f>
        <v>0</v>
      </c>
      <c r="BC1123" s="6"/>
      <c r="BD1123" s="29">
        <f t="shared" si="677"/>
        <v>0</v>
      </c>
      <c r="BE1123" s="322"/>
      <c r="BF1123" s="322"/>
      <c r="BG1123" s="322"/>
      <c r="BH1123" s="322"/>
      <c r="BI1123" s="322"/>
      <c r="BJ1123" s="322"/>
      <c r="BK1123" s="29">
        <f t="shared" si="643"/>
        <v>0</v>
      </c>
      <c r="BL1123" s="322"/>
      <c r="BM1123" s="322"/>
      <c r="BN1123" s="322"/>
      <c r="BO1123" s="322"/>
      <c r="BP1123" s="322"/>
      <c r="BQ1123" s="322"/>
      <c r="BR1123" s="322"/>
      <c r="BS1123" s="322"/>
      <c r="BT1123" s="322"/>
      <c r="BU1123" s="322"/>
      <c r="BV1123" s="322"/>
      <c r="BW1123" s="322"/>
      <c r="BX1123" s="322"/>
      <c r="BY1123" s="322"/>
      <c r="BZ1123" s="322"/>
      <c r="CA1123" s="322"/>
      <c r="CB1123" s="322"/>
      <c r="CC1123" s="322"/>
      <c r="CD1123" s="322"/>
      <c r="CE1123" s="322"/>
      <c r="CF1123" s="322"/>
      <c r="CG1123" s="322"/>
      <c r="CH1123" s="322"/>
      <c r="CI1123" s="322"/>
      <c r="CM1123" s="1139">
        <v>0</v>
      </c>
      <c r="CN1123" s="1139">
        <v>0</v>
      </c>
      <c r="CP1123" s="923">
        <f t="shared" si="659"/>
        <v>0</v>
      </c>
      <c r="CZ1123" s="330"/>
    </row>
    <row r="1124" spans="1:104" ht="51" customHeight="1" x14ac:dyDescent="0.25">
      <c r="A1124" s="684">
        <f>MAX($A$6:A1123)+1</f>
        <v>1124</v>
      </c>
      <c r="B1124" s="3">
        <f t="shared" si="652"/>
        <v>6.1</v>
      </c>
      <c r="C1124" s="11" t="str">
        <f t="shared" si="636"/>
        <v>Consolidated intangible assets 2025-26</v>
      </c>
      <c r="D1124" s="11" t="s">
        <v>455</v>
      </c>
      <c r="E1124" s="7" t="s">
        <v>1410</v>
      </c>
      <c r="F1124" s="7"/>
      <c r="G1124" s="1254" t="s">
        <v>193</v>
      </c>
      <c r="H1124" s="6">
        <v>0</v>
      </c>
      <c r="I1124" s="6">
        <v>0</v>
      </c>
      <c r="J1124" s="1257" t="s">
        <v>865</v>
      </c>
      <c r="K1124" s="251">
        <f>SUMIF('alb Note 6.1 -  Intangibles CY'!$A:$A,$J1124,'alb Note 6.1 -  Intangibles CY'!$I:$I)</f>
        <v>0</v>
      </c>
      <c r="L1124" s="251">
        <f>SUMIF('alb Note 6.1 -  Intangibles CY'!$A:$A,$J1124,'alb Note 6.1 -  Intangibles CY'!$T:$T)</f>
        <v>0</v>
      </c>
      <c r="M1124" s="10"/>
      <c r="N1124" s="273">
        <f t="shared" si="674"/>
        <v>0</v>
      </c>
      <c r="O1124" s="12"/>
      <c r="P1124" s="12"/>
      <c r="Q1124" s="12"/>
      <c r="R1124" s="12"/>
      <c r="S1124" s="6">
        <f t="shared" si="662"/>
        <v>0</v>
      </c>
      <c r="T1124" s="273">
        <f t="shared" si="675"/>
        <v>0</v>
      </c>
      <c r="U1124" s="6">
        <f t="shared" si="676"/>
        <v>0</v>
      </c>
      <c r="V1124" s="6"/>
      <c r="W1124" s="6">
        <f t="shared" si="671"/>
        <v>0</v>
      </c>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X1124" s="6"/>
      <c r="AY1124" s="6">
        <f>ROUND(AX1124/1000/Update!$B$31*Update!$B$27,0)</f>
        <v>0</v>
      </c>
      <c r="BA1124" s="6"/>
      <c r="BB1124" s="6">
        <f>ROUND(BA1124/1000/Update!$B$31,0)</f>
        <v>0</v>
      </c>
      <c r="BC1124" s="6"/>
      <c r="BD1124" s="29">
        <f t="shared" si="677"/>
        <v>0</v>
      </c>
      <c r="BE1124" s="322"/>
      <c r="BF1124" s="322"/>
      <c r="BG1124" s="322"/>
      <c r="BH1124" s="322"/>
      <c r="BI1124" s="322"/>
      <c r="BJ1124" s="322"/>
      <c r="BK1124" s="29">
        <f t="shared" si="643"/>
        <v>0</v>
      </c>
      <c r="BL1124" s="322"/>
      <c r="BM1124" s="322"/>
      <c r="BN1124" s="322"/>
      <c r="BO1124" s="322"/>
      <c r="BP1124" s="322"/>
      <c r="BQ1124" s="322"/>
      <c r="BR1124" s="322"/>
      <c r="BS1124" s="322"/>
      <c r="BT1124" s="322"/>
      <c r="BU1124" s="322"/>
      <c r="BV1124" s="322"/>
      <c r="BW1124" s="322"/>
      <c r="BX1124" s="322"/>
      <c r="BY1124" s="322"/>
      <c r="BZ1124" s="322"/>
      <c r="CA1124" s="322"/>
      <c r="CB1124" s="322"/>
      <c r="CC1124" s="322"/>
      <c r="CD1124" s="322"/>
      <c r="CE1124" s="322"/>
      <c r="CF1124" s="322"/>
      <c r="CG1124" s="322"/>
      <c r="CH1124" s="322"/>
      <c r="CI1124" s="322"/>
      <c r="CM1124" s="1139">
        <v>0</v>
      </c>
      <c r="CN1124" s="1139">
        <v>0</v>
      </c>
      <c r="CP1124" s="923">
        <f t="shared" si="659"/>
        <v>0</v>
      </c>
      <c r="CZ1124" s="330"/>
    </row>
    <row r="1125" spans="1:104" ht="15" customHeight="1" x14ac:dyDescent="0.25">
      <c r="A1125" s="684">
        <f>MAX($A$6:A1124)+1</f>
        <v>1125</v>
      </c>
      <c r="B1125" s="3">
        <f t="shared" si="652"/>
        <v>6.1</v>
      </c>
      <c r="C1125" s="11" t="str">
        <f t="shared" si="636"/>
        <v>Consolidated intangible assets 2025-26</v>
      </c>
      <c r="D1125" s="11" t="str">
        <f>D1124</f>
        <v>Payments on Account &amp; Assets under Construction</v>
      </c>
      <c r="E1125" s="7" t="s">
        <v>868</v>
      </c>
      <c r="F1125" s="7"/>
      <c r="G1125" s="1254" t="s">
        <v>188</v>
      </c>
      <c r="H1125" s="6">
        <v>0</v>
      </c>
      <c r="I1125" s="6">
        <v>0</v>
      </c>
      <c r="J1125" s="1257" t="s">
        <v>868</v>
      </c>
      <c r="K1125" s="251">
        <f>SUMIF('alb Note 6.1 -  Intangibles CY'!$A:$A,$J1125,'alb Note 6.1 -  Intangibles CY'!$I:$I)</f>
        <v>0</v>
      </c>
      <c r="L1125" s="251">
        <f>SUMIF('alb Note 6.1 -  Intangibles CY'!$A:$A,$J1125,'alb Note 6.1 -  Intangibles CY'!$T:$T)</f>
        <v>0</v>
      </c>
      <c r="M1125" s="10"/>
      <c r="N1125" s="273">
        <f t="shared" si="674"/>
        <v>0</v>
      </c>
      <c r="O1125" s="12"/>
      <c r="P1125" s="12"/>
      <c r="Q1125" s="12"/>
      <c r="R1125" s="12"/>
      <c r="S1125" s="6">
        <f t="shared" si="662"/>
        <v>0</v>
      </c>
      <c r="T1125" s="273">
        <f t="shared" si="675"/>
        <v>0</v>
      </c>
      <c r="U1125" s="6">
        <f t="shared" si="676"/>
        <v>0</v>
      </c>
      <c r="V1125" s="6"/>
      <c r="W1125" s="6">
        <f t="shared" si="671"/>
        <v>0</v>
      </c>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X1125" s="6"/>
      <c r="AY1125" s="6">
        <f>ROUND(AX1125/1000/Update!$B$31*Update!$B$27,0)</f>
        <v>0</v>
      </c>
      <c r="BA1125" s="6"/>
      <c r="BB1125" s="6">
        <f>ROUND(BA1125/1000/Update!$B$31,0)</f>
        <v>0</v>
      </c>
      <c r="BC1125" s="6"/>
      <c r="BD1125" s="29">
        <f t="shared" si="677"/>
        <v>0</v>
      </c>
      <c r="BE1125" s="322"/>
      <c r="BF1125" s="322"/>
      <c r="BG1125" s="322"/>
      <c r="BH1125" s="322"/>
      <c r="BI1125" s="322"/>
      <c r="BJ1125" s="322"/>
      <c r="BK1125" s="29">
        <f t="shared" si="643"/>
        <v>0</v>
      </c>
      <c r="BL1125" s="322"/>
      <c r="BM1125" s="322"/>
      <c r="BN1125" s="322"/>
      <c r="BO1125" s="322"/>
      <c r="BP1125" s="322"/>
      <c r="BQ1125" s="322"/>
      <c r="BR1125" s="322"/>
      <c r="BS1125" s="322"/>
      <c r="BT1125" s="322"/>
      <c r="BU1125" s="322"/>
      <c r="BV1125" s="322"/>
      <c r="BW1125" s="322"/>
      <c r="BX1125" s="322"/>
      <c r="BY1125" s="322"/>
      <c r="BZ1125" s="322"/>
      <c r="CA1125" s="322"/>
      <c r="CB1125" s="322"/>
      <c r="CC1125" s="322"/>
      <c r="CD1125" s="322"/>
      <c r="CE1125" s="322"/>
      <c r="CF1125" s="322"/>
      <c r="CG1125" s="322"/>
      <c r="CH1125" s="322"/>
      <c r="CI1125" s="322"/>
      <c r="CM1125" s="1139">
        <v>0</v>
      </c>
      <c r="CN1125" s="1139">
        <v>0</v>
      </c>
      <c r="CP1125" s="923">
        <f t="shared" si="659"/>
        <v>0</v>
      </c>
      <c r="CZ1125" s="330"/>
    </row>
    <row r="1126" spans="1:104" ht="15" customHeight="1" x14ac:dyDescent="0.25">
      <c r="A1126" s="684">
        <f>MAX($A$6:A1125)+1</f>
        <v>1126</v>
      </c>
      <c r="B1126" s="3">
        <f t="shared" si="652"/>
        <v>6.1</v>
      </c>
      <c r="C1126" s="11" t="str">
        <f>C1124</f>
        <v>Consolidated intangible assets 2025-26</v>
      </c>
      <c r="D1126" s="11" t="s">
        <v>455</v>
      </c>
      <c r="E1126" s="7" t="s">
        <v>1416</v>
      </c>
      <c r="F1126" s="7"/>
      <c r="G1126" s="1254" t="s">
        <v>189</v>
      </c>
      <c r="H1126" s="6">
        <v>0</v>
      </c>
      <c r="I1126" s="6">
        <v>0</v>
      </c>
      <c r="J1126" s="1257" t="s">
        <v>870</v>
      </c>
      <c r="K1126" s="251">
        <f>SUMIF('alb Note 6.1 -  Intangibles CY'!$A:$A,$J1126,'alb Note 6.1 -  Intangibles CY'!$I:$I)</f>
        <v>0</v>
      </c>
      <c r="L1126" s="251">
        <f>SUMIF('alb Note 6.1 -  Intangibles CY'!$A:$A,$J1126,'alb Note 6.1 -  Intangibles CY'!$T:$T)</f>
        <v>0</v>
      </c>
      <c r="M1126" s="10"/>
      <c r="N1126" s="273">
        <f t="shared" si="674"/>
        <v>0</v>
      </c>
      <c r="O1126" s="12"/>
      <c r="P1126" s="12"/>
      <c r="Q1126" s="12"/>
      <c r="R1126" s="12"/>
      <c r="S1126" s="6">
        <f t="shared" si="662"/>
        <v>0</v>
      </c>
      <c r="T1126" s="273">
        <f t="shared" si="675"/>
        <v>0</v>
      </c>
      <c r="U1126" s="6">
        <f t="shared" si="676"/>
        <v>0</v>
      </c>
      <c r="V1126" s="6"/>
      <c r="W1126" s="6">
        <f t="shared" si="671"/>
        <v>0</v>
      </c>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X1126" s="6"/>
      <c r="AY1126" s="6">
        <f>ROUND(AX1126/1000/Update!$B$31*Update!$B$27,0)</f>
        <v>0</v>
      </c>
      <c r="BA1126" s="6"/>
      <c r="BB1126" s="6">
        <f>ROUND(BA1126/1000/Update!$B$31,0)</f>
        <v>0</v>
      </c>
      <c r="BC1126" s="6"/>
      <c r="BD1126" s="29">
        <f t="shared" si="677"/>
        <v>0</v>
      </c>
      <c r="BE1126" s="322"/>
      <c r="BF1126" s="322"/>
      <c r="BG1126" s="322"/>
      <c r="BH1126" s="322"/>
      <c r="BI1126" s="322"/>
      <c r="BJ1126" s="322"/>
      <c r="BK1126" s="29">
        <f t="shared" si="643"/>
        <v>0</v>
      </c>
      <c r="BL1126" s="322"/>
      <c r="BM1126" s="322"/>
      <c r="BN1126" s="322"/>
      <c r="BO1126" s="322"/>
      <c r="BP1126" s="322"/>
      <c r="BQ1126" s="322"/>
      <c r="BR1126" s="322"/>
      <c r="BS1126" s="322"/>
      <c r="BT1126" s="322"/>
      <c r="BU1126" s="322"/>
      <c r="BV1126" s="322"/>
      <c r="BW1126" s="322"/>
      <c r="BX1126" s="322"/>
      <c r="BY1126" s="322"/>
      <c r="BZ1126" s="322"/>
      <c r="CA1126" s="322"/>
      <c r="CB1126" s="322"/>
      <c r="CC1126" s="322"/>
      <c r="CD1126" s="322"/>
      <c r="CE1126" s="322"/>
      <c r="CF1126" s="322"/>
      <c r="CG1126" s="322"/>
      <c r="CH1126" s="322"/>
      <c r="CI1126" s="322"/>
      <c r="CM1126" s="1139">
        <v>0</v>
      </c>
      <c r="CN1126" s="1139">
        <v>0</v>
      </c>
      <c r="CP1126" s="923">
        <f t="shared" si="659"/>
        <v>0</v>
      </c>
      <c r="CZ1126" s="330"/>
    </row>
    <row r="1127" spans="1:104" ht="15" customHeight="1" x14ac:dyDescent="0.25">
      <c r="A1127" s="701">
        <f>MAX($A$6:A1126)+1</f>
        <v>1127</v>
      </c>
      <c r="B1127" s="1291">
        <f t="shared" si="652"/>
        <v>6.1</v>
      </c>
      <c r="C1127" s="18" t="str">
        <f t="shared" si="636"/>
        <v>Consolidated intangible assets 2025-26</v>
      </c>
      <c r="D1127" s="18" t="s">
        <v>455</v>
      </c>
      <c r="E1127" s="19" t="str">
        <f>"At"&amp;Update!$B$22</f>
        <v>At 31 March 2026</v>
      </c>
      <c r="F1127" s="20"/>
      <c r="G1127" s="28"/>
      <c r="H1127" s="14">
        <f>SUM(H1117:H1126)</f>
        <v>0</v>
      </c>
      <c r="I1127" s="14">
        <f>SUM(I1117:I1126)</f>
        <v>0</v>
      </c>
      <c r="J1127" s="1258" t="s">
        <v>2492</v>
      </c>
      <c r="K1127" s="256">
        <f>SUM(K1117:K1126)</f>
        <v>0</v>
      </c>
      <c r="L1127" s="256">
        <f>SUM(L1117:L1126)</f>
        <v>0</v>
      </c>
      <c r="M1127" s="21"/>
      <c r="N1127" s="14">
        <f>ROUND(SUM(O1127:S1127)+T1127+SUM(Z1127:AV1127),0)</f>
        <v>0</v>
      </c>
      <c r="O1127" s="14">
        <f t="shared" ref="O1127:V1127" si="678">SUM(O1117:O1126)</f>
        <v>0</v>
      </c>
      <c r="P1127" s="14">
        <f t="shared" si="678"/>
        <v>0</v>
      </c>
      <c r="Q1127" s="14">
        <f t="shared" si="678"/>
        <v>0</v>
      </c>
      <c r="R1127" s="14">
        <f t="shared" si="678"/>
        <v>0</v>
      </c>
      <c r="S1127" s="14">
        <f t="shared" si="662"/>
        <v>0</v>
      </c>
      <c r="T1127" s="14">
        <f t="shared" si="678"/>
        <v>0</v>
      </c>
      <c r="U1127" s="14">
        <f t="shared" si="678"/>
        <v>0</v>
      </c>
      <c r="V1127" s="14">
        <f t="shared" si="678"/>
        <v>0</v>
      </c>
      <c r="W1127" s="14">
        <f>SUM(W1117:W1126)</f>
        <v>0</v>
      </c>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2"/>
      <c r="AX1127" s="14">
        <f>SUM(AX1117:AX1126)</f>
        <v>0</v>
      </c>
      <c r="AY1127" s="14">
        <f>ROUND(AX1127/1000/Update!$B$31*Update!$B$27,0)</f>
        <v>0</v>
      </c>
      <c r="AZ1127" s="2"/>
      <c r="BA1127" s="14">
        <f>SUM(BA1117:BA1126)</f>
        <v>0</v>
      </c>
      <c r="BB1127" s="14">
        <f>ROUND(BA1127/1000/Update!$B$31,0)</f>
        <v>0</v>
      </c>
      <c r="BC1127" s="14"/>
      <c r="BD1127" s="14">
        <f t="shared" si="677"/>
        <v>0</v>
      </c>
      <c r="BE1127" s="14">
        <f t="shared" ref="BE1127:BJ1127" si="679">SUM(BE1117:BE1126)</f>
        <v>0</v>
      </c>
      <c r="BF1127" s="14">
        <f t="shared" si="679"/>
        <v>0</v>
      </c>
      <c r="BG1127" s="14">
        <f t="shared" si="679"/>
        <v>0</v>
      </c>
      <c r="BH1127" s="14">
        <f t="shared" si="679"/>
        <v>0</v>
      </c>
      <c r="BI1127" s="14">
        <f t="shared" si="679"/>
        <v>0</v>
      </c>
      <c r="BJ1127" s="14">
        <f t="shared" si="679"/>
        <v>0</v>
      </c>
      <c r="BK1127" s="14">
        <f t="shared" si="643"/>
        <v>0</v>
      </c>
      <c r="BL1127" s="14"/>
      <c r="BM1127" s="14"/>
      <c r="BN1127" s="14"/>
      <c r="BO1127" s="14"/>
      <c r="BP1127" s="14"/>
      <c r="BQ1127" s="14"/>
      <c r="BR1127" s="14"/>
      <c r="BS1127" s="14"/>
      <c r="BT1127" s="324"/>
      <c r="BU1127" s="14"/>
      <c r="BV1127" s="14"/>
      <c r="BW1127" s="14"/>
      <c r="BX1127" s="14"/>
      <c r="BY1127" s="14"/>
      <c r="BZ1127" s="14"/>
      <c r="CA1127" s="14"/>
      <c r="CB1127" s="14"/>
      <c r="CC1127" s="14"/>
      <c r="CD1127" s="14"/>
      <c r="CE1127" s="14"/>
      <c r="CF1127" s="14"/>
      <c r="CG1127" s="14"/>
      <c r="CH1127" s="14"/>
      <c r="CI1127" s="14"/>
      <c r="CJ1127" s="2"/>
      <c r="CK1127" s="2"/>
      <c r="CM1127" s="1140">
        <v>0</v>
      </c>
      <c r="CN1127" s="1140">
        <v>0</v>
      </c>
      <c r="CP1127" s="923">
        <f t="shared" si="659"/>
        <v>0</v>
      </c>
      <c r="CZ1127" s="330"/>
    </row>
    <row r="1128" spans="1:104" ht="15" customHeight="1" x14ac:dyDescent="0.25">
      <c r="A1128" s="701">
        <f>MAX($A$6:A1127)+1</f>
        <v>1128</v>
      </c>
      <c r="B1128" s="1291">
        <f t="shared" si="652"/>
        <v>6.1</v>
      </c>
      <c r="C1128" s="18" t="str">
        <f t="shared" si="636"/>
        <v>Consolidated intangible assets 2025-26</v>
      </c>
      <c r="D1128" s="18" t="s">
        <v>455</v>
      </c>
      <c r="E1128" s="19" t="str">
        <f>"Carrying amount "&amp;Update!$B$22</f>
        <v>Carrying amount  31 March 2026</v>
      </c>
      <c r="F1128" s="20"/>
      <c r="G1128" s="28"/>
      <c r="H1128" s="14">
        <f>H1113-H1127</f>
        <v>0</v>
      </c>
      <c r="I1128" s="14">
        <f>I1113-I1127</f>
        <v>0</v>
      </c>
      <c r="J1128" s="1258" t="s">
        <v>2493</v>
      </c>
      <c r="K1128" s="256">
        <f>K1113-K1127</f>
        <v>0</v>
      </c>
      <c r="L1128" s="256">
        <f>L1113-L1127</f>
        <v>0</v>
      </c>
      <c r="M1128" s="21"/>
      <c r="N1128" s="14">
        <f>ROUND(SUM(O1128:S1128)+T1128+SUM(Z1128:AV1128),0)</f>
        <v>0</v>
      </c>
      <c r="O1128" s="14">
        <f t="shared" ref="O1128:V1128" si="680">O1113-O1127</f>
        <v>0</v>
      </c>
      <c r="P1128" s="14">
        <f t="shared" si="680"/>
        <v>0</v>
      </c>
      <c r="Q1128" s="14">
        <f t="shared" si="680"/>
        <v>0</v>
      </c>
      <c r="R1128" s="14">
        <f t="shared" si="680"/>
        <v>0</v>
      </c>
      <c r="S1128" s="14">
        <f t="shared" si="662"/>
        <v>0</v>
      </c>
      <c r="T1128" s="14">
        <f t="shared" si="680"/>
        <v>0</v>
      </c>
      <c r="U1128" s="14">
        <f t="shared" si="680"/>
        <v>0</v>
      </c>
      <c r="V1128" s="14">
        <f t="shared" si="680"/>
        <v>0</v>
      </c>
      <c r="W1128" s="14">
        <f>W1113-W1127</f>
        <v>0</v>
      </c>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2"/>
      <c r="AX1128" s="14">
        <f>AX1113-AX1127</f>
        <v>0</v>
      </c>
      <c r="AY1128" s="14">
        <f>ROUND(AX1128/1000/Update!$B$31*Update!$B$27,0)</f>
        <v>0</v>
      </c>
      <c r="AZ1128" s="2"/>
      <c r="BA1128" s="14">
        <f>BA1113-BA1127</f>
        <v>0</v>
      </c>
      <c r="BB1128" s="14">
        <f>ROUND(BA1128/1000/Update!$B$31,0)</f>
        <v>0</v>
      </c>
      <c r="BC1128" s="14"/>
      <c r="BD1128" s="14">
        <f t="shared" si="677"/>
        <v>0</v>
      </c>
      <c r="BE1128" s="14">
        <f t="shared" ref="BE1128:BJ1128" si="681">BE1113-BE1127</f>
        <v>0</v>
      </c>
      <c r="BF1128" s="14">
        <f t="shared" si="681"/>
        <v>0</v>
      </c>
      <c r="BG1128" s="14">
        <f t="shared" si="681"/>
        <v>0</v>
      </c>
      <c r="BH1128" s="14">
        <f t="shared" si="681"/>
        <v>0</v>
      </c>
      <c r="BI1128" s="14">
        <f t="shared" si="681"/>
        <v>0</v>
      </c>
      <c r="BJ1128" s="14">
        <f t="shared" si="681"/>
        <v>0</v>
      </c>
      <c r="BK1128" s="14">
        <f t="shared" si="643"/>
        <v>0</v>
      </c>
      <c r="BL1128" s="14"/>
      <c r="BM1128" s="14"/>
      <c r="BN1128" s="14"/>
      <c r="BO1128" s="14"/>
      <c r="BP1128" s="14"/>
      <c r="BQ1128" s="14"/>
      <c r="BR1128" s="14"/>
      <c r="BS1128" s="14"/>
      <c r="BT1128" s="324"/>
      <c r="BU1128" s="14"/>
      <c r="BV1128" s="14"/>
      <c r="BW1128" s="14"/>
      <c r="BX1128" s="14"/>
      <c r="BY1128" s="14"/>
      <c r="BZ1128" s="14"/>
      <c r="CA1128" s="14"/>
      <c r="CB1128" s="14"/>
      <c r="CC1128" s="14"/>
      <c r="CD1128" s="14"/>
      <c r="CE1128" s="14"/>
      <c r="CF1128" s="14"/>
      <c r="CG1128" s="14"/>
      <c r="CH1128" s="14"/>
      <c r="CI1128" s="14"/>
      <c r="CJ1128" s="2"/>
      <c r="CK1128" s="2"/>
      <c r="CM1128" s="1140">
        <v>0</v>
      </c>
      <c r="CN1128" s="1140">
        <v>0</v>
      </c>
      <c r="CP1128" s="923">
        <f t="shared" si="659"/>
        <v>0</v>
      </c>
      <c r="CZ1128" s="330"/>
    </row>
    <row r="1129" spans="1:104" ht="15" customHeight="1" x14ac:dyDescent="0.25">
      <c r="A1129" s="701">
        <f>MAX($A$6:A1128)+1</f>
        <v>1129</v>
      </c>
      <c r="B1129" s="1291">
        <f t="shared" si="652"/>
        <v>6.1</v>
      </c>
      <c r="C1129" s="18" t="str">
        <f t="shared" si="636"/>
        <v>Consolidated intangible assets 2025-26</v>
      </c>
      <c r="D1129" s="18" t="s">
        <v>455</v>
      </c>
      <c r="E1129" s="19" t="str">
        <f>"Carrying amount "&amp;Update!$B$24</f>
        <v>Carrying amount  31 March 2025</v>
      </c>
      <c r="F1129" s="20"/>
      <c r="G1129" s="28"/>
      <c r="H1129" s="14">
        <f>H1101-H1115</f>
        <v>0</v>
      </c>
      <c r="I1129" s="14">
        <f>I1101-I1115</f>
        <v>0</v>
      </c>
      <c r="J1129" s="1258" t="s">
        <v>2494</v>
      </c>
      <c r="K1129" s="256">
        <f>K1101-K1115</f>
        <v>0</v>
      </c>
      <c r="L1129" s="256">
        <f>L1101-L1115</f>
        <v>0</v>
      </c>
      <c r="M1129" s="21"/>
      <c r="N1129" s="14">
        <f>ROUND(SUM(O1129:S1129)+T1129+SUM(Z1129:AV1129),0)</f>
        <v>0</v>
      </c>
      <c r="O1129" s="14">
        <f t="shared" ref="O1129:V1129" si="682">O1101-O1115</f>
        <v>0</v>
      </c>
      <c r="P1129" s="14">
        <f t="shared" si="682"/>
        <v>0</v>
      </c>
      <c r="Q1129" s="14">
        <f t="shared" si="682"/>
        <v>0</v>
      </c>
      <c r="R1129" s="14">
        <f t="shared" si="682"/>
        <v>0</v>
      </c>
      <c r="S1129" s="14">
        <f t="shared" si="662"/>
        <v>0</v>
      </c>
      <c r="T1129" s="14">
        <f t="shared" si="682"/>
        <v>0</v>
      </c>
      <c r="U1129" s="14">
        <f t="shared" si="682"/>
        <v>0</v>
      </c>
      <c r="V1129" s="14">
        <f t="shared" si="682"/>
        <v>0</v>
      </c>
      <c r="W1129" s="14">
        <f>W1101-W1115</f>
        <v>0</v>
      </c>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2"/>
      <c r="AX1129" s="14">
        <f>AX1101-AX1115</f>
        <v>0</v>
      </c>
      <c r="AY1129" s="14">
        <f>ROUND(AX1129/1000/Update!$B$31*Update!$B$27,0)</f>
        <v>0</v>
      </c>
      <c r="AZ1129" s="2"/>
      <c r="BA1129" s="14">
        <f>BA1101-BA1115</f>
        <v>0</v>
      </c>
      <c r="BB1129" s="14">
        <f>ROUND(BA1129/1000/Update!$B$31,0)</f>
        <v>0</v>
      </c>
      <c r="BC1129" s="14"/>
      <c r="BD1129" s="14">
        <f t="shared" si="677"/>
        <v>0</v>
      </c>
      <c r="BE1129" s="14">
        <f t="shared" ref="BE1129:BJ1129" si="683">BE1101-BE1115</f>
        <v>0</v>
      </c>
      <c r="BF1129" s="14">
        <f t="shared" si="683"/>
        <v>0</v>
      </c>
      <c r="BG1129" s="14">
        <f t="shared" si="683"/>
        <v>0</v>
      </c>
      <c r="BH1129" s="14">
        <f t="shared" si="683"/>
        <v>0</v>
      </c>
      <c r="BI1129" s="14">
        <f t="shared" si="683"/>
        <v>0</v>
      </c>
      <c r="BJ1129" s="14">
        <f t="shared" si="683"/>
        <v>0</v>
      </c>
      <c r="BK1129" s="14">
        <f t="shared" si="643"/>
        <v>0</v>
      </c>
      <c r="BL1129" s="14"/>
      <c r="BM1129" s="14"/>
      <c r="BN1129" s="14"/>
      <c r="BO1129" s="14"/>
      <c r="BP1129" s="14"/>
      <c r="BQ1129" s="14"/>
      <c r="BR1129" s="14"/>
      <c r="BS1129" s="14"/>
      <c r="BT1129" s="324"/>
      <c r="BU1129" s="14"/>
      <c r="BV1129" s="14"/>
      <c r="BW1129" s="14"/>
      <c r="BX1129" s="14"/>
      <c r="BY1129" s="14"/>
      <c r="BZ1129" s="14"/>
      <c r="CA1129" s="14"/>
      <c r="CB1129" s="14"/>
      <c r="CC1129" s="14"/>
      <c r="CD1129" s="14"/>
      <c r="CE1129" s="14"/>
      <c r="CF1129" s="14"/>
      <c r="CG1129" s="14"/>
      <c r="CH1129" s="14"/>
      <c r="CI1129" s="14"/>
      <c r="CJ1129" s="2"/>
      <c r="CK1129" s="2"/>
      <c r="CM1129" s="1140">
        <v>0</v>
      </c>
      <c r="CN1129" s="1140">
        <v>0</v>
      </c>
      <c r="CP1129" s="923">
        <f t="shared" si="659"/>
        <v>0</v>
      </c>
      <c r="CZ1129" s="330"/>
    </row>
    <row r="1130" spans="1:104" ht="15" customHeight="1" x14ac:dyDescent="0.25">
      <c r="A1130" s="684">
        <f>MAX($A$6:A1129)+1</f>
        <v>1130</v>
      </c>
      <c r="B1130" s="3">
        <f t="shared" si="652"/>
        <v>6.1</v>
      </c>
      <c r="C1130" s="11" t="str">
        <f t="shared" si="636"/>
        <v>Consolidated intangible assets 2025-26</v>
      </c>
      <c r="D1130" s="11" t="s">
        <v>455</v>
      </c>
      <c r="E1130" s="13" t="s">
        <v>194</v>
      </c>
      <c r="F1130" s="13"/>
      <c r="G1130" s="26"/>
      <c r="H1130" s="6"/>
      <c r="I1130" s="6"/>
      <c r="J1130" s="1257" t="s">
        <v>286</v>
      </c>
      <c r="K1130" s="251">
        <f>SUMIF('alb Note 6.1 -  Intangibles CY'!$A:$A,$J1130,'alb Note 6.1 -  Intangibles CY'!$I:$I)</f>
        <v>0</v>
      </c>
      <c r="L1130" s="251">
        <f>SUMIF('alb Note 6.1 -  Intangibles CY'!$A:$A,$J1130,'alb Note 6.1 -  Intangibles CY'!$T:$T)</f>
        <v>0</v>
      </c>
      <c r="M1130" s="10"/>
      <c r="N1130" s="273">
        <f>ROUND(SUM(O1130:S1130)+SUM(W1130:AV1130),0)</f>
        <v>0</v>
      </c>
      <c r="O1130" s="12"/>
      <c r="P1130" s="12"/>
      <c r="Q1130" s="12"/>
      <c r="R1130" s="12"/>
      <c r="S1130" s="6">
        <f t="shared" si="662"/>
        <v>0</v>
      </c>
      <c r="T1130" s="273">
        <f>ROUND(SUM(U1130:Y1130),0)</f>
        <v>0</v>
      </c>
      <c r="U1130" s="6">
        <f>SUM(BL1130:BN1130)</f>
        <v>0</v>
      </c>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X1130" s="6"/>
      <c r="AY1130" s="6">
        <f>ROUND(AX1130/1000/Update!$B$31*Update!$B$27,0)</f>
        <v>0</v>
      </c>
      <c r="BA1130" s="6"/>
      <c r="BB1130" s="6">
        <f>ROUND(BA1130/1000/Update!$B$31,0)</f>
        <v>0</v>
      </c>
      <c r="BC1130" s="6"/>
      <c r="BD1130" s="29">
        <f t="shared" si="677"/>
        <v>0</v>
      </c>
      <c r="BE1130" s="322"/>
      <c r="BF1130" s="322"/>
      <c r="BG1130" s="322"/>
      <c r="BH1130" s="322"/>
      <c r="BI1130" s="322"/>
      <c r="BJ1130" s="322"/>
      <c r="BK1130" s="29">
        <f t="shared" si="643"/>
        <v>0</v>
      </c>
      <c r="BL1130" s="322"/>
      <c r="BM1130" s="322"/>
      <c r="BN1130" s="322"/>
      <c r="BO1130" s="322"/>
      <c r="BP1130" s="322"/>
      <c r="BQ1130" s="322"/>
      <c r="BR1130" s="322"/>
      <c r="BS1130" s="322"/>
      <c r="BT1130" s="322"/>
      <c r="BU1130" s="322"/>
      <c r="BV1130" s="322"/>
      <c r="BW1130" s="322"/>
      <c r="BX1130" s="322"/>
      <c r="BY1130" s="322"/>
      <c r="BZ1130" s="322"/>
      <c r="CA1130" s="322"/>
      <c r="CB1130" s="322"/>
      <c r="CC1130" s="322"/>
      <c r="CD1130" s="322"/>
      <c r="CE1130" s="322"/>
      <c r="CF1130" s="322"/>
      <c r="CG1130" s="322"/>
      <c r="CH1130" s="322"/>
      <c r="CI1130" s="322"/>
      <c r="CM1130" s="1139">
        <v>0</v>
      </c>
      <c r="CN1130" s="1139">
        <v>0</v>
      </c>
      <c r="CP1130" s="923">
        <f t="shared" si="659"/>
        <v>0</v>
      </c>
      <c r="CZ1130" s="330"/>
    </row>
    <row r="1131" spans="1:104" ht="15" customHeight="1" x14ac:dyDescent="0.25">
      <c r="A1131" s="684">
        <f>MAX($A$6:A1130)+1</f>
        <v>1131</v>
      </c>
      <c r="B1131" s="3">
        <f t="shared" si="652"/>
        <v>6.1</v>
      </c>
      <c r="C1131" s="11" t="str">
        <f t="shared" si="636"/>
        <v>Consolidated intangible assets 2025-26</v>
      </c>
      <c r="D1131" s="11" t="s">
        <v>455</v>
      </c>
      <c r="E1131" s="7" t="s">
        <v>197</v>
      </c>
      <c r="F1131" s="7"/>
      <c r="G1131" s="1254" t="s">
        <v>443</v>
      </c>
      <c r="H1131" s="6" t="e">
        <v>#VALUE!</v>
      </c>
      <c r="I1131" s="6" t="e">
        <v>#VALUE!</v>
      </c>
      <c r="J1131" s="1257" t="s">
        <v>197</v>
      </c>
      <c r="K1131" s="251">
        <f>SUMIF('alb Note 6.1 -  Intangibles CY'!$A:$A,$J1131,'alb Note 6.1 -  Intangibles CY'!$I:$I)</f>
        <v>0</v>
      </c>
      <c r="L1131" s="251">
        <f>SUMIF('alb Note 6.1 -  Intangibles CY'!$A:$A,$J1131,'alb Note 6.1 -  Intangibles CY'!$T:$T)</f>
        <v>0</v>
      </c>
      <c r="M1131" s="10"/>
      <c r="N1131" s="273" t="e">
        <f>ROUND(SUM(O1131:S1131)+SUM(W1131:AV1131),0)</f>
        <v>#VALUE!</v>
      </c>
      <c r="O1131" s="12"/>
      <c r="P1131" s="12"/>
      <c r="Q1131" s="12"/>
      <c r="R1131" s="12"/>
      <c r="S1131" s="6">
        <f t="shared" si="662"/>
        <v>0</v>
      </c>
      <c r="T1131" s="273" t="e">
        <f>ROUND(SUM(U1131:Y1131),0)</f>
        <v>#VALUE!</v>
      </c>
      <c r="U1131" s="6">
        <f>SUM(BL1131:BN1131)</f>
        <v>0</v>
      </c>
      <c r="V1131" s="6"/>
      <c r="W1131" s="6" t="e">
        <f>+H1131</f>
        <v>#VALUE!</v>
      </c>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X1131" s="6"/>
      <c r="AY1131" s="6">
        <f>ROUND(AX1131/1000/Update!$B$31*Update!$B$27,0)</f>
        <v>0</v>
      </c>
      <c r="BA1131" s="6"/>
      <c r="BB1131" s="6">
        <f>ROUND(BA1131/1000/Update!$B$31,0)</f>
        <v>0</v>
      </c>
      <c r="BC1131" s="6"/>
      <c r="BD1131" s="29">
        <f t="shared" si="677"/>
        <v>0</v>
      </c>
      <c r="BE1131" s="322"/>
      <c r="BF1131" s="322"/>
      <c r="BG1131" s="322"/>
      <c r="BH1131" s="322"/>
      <c r="BI1131" s="322"/>
      <c r="BJ1131" s="322"/>
      <c r="BK1131" s="29">
        <f t="shared" si="643"/>
        <v>0</v>
      </c>
      <c r="BL1131" s="322"/>
      <c r="BM1131" s="322"/>
      <c r="BN1131" s="322"/>
      <c r="BO1131" s="322"/>
      <c r="BP1131" s="322"/>
      <c r="BQ1131" s="322"/>
      <c r="BR1131" s="322"/>
      <c r="BS1131" s="322"/>
      <c r="BT1131" s="322"/>
      <c r="BU1131" s="322"/>
      <c r="BV1131" s="322"/>
      <c r="BW1131" s="322"/>
      <c r="BX1131" s="322"/>
      <c r="BY1131" s="322"/>
      <c r="BZ1131" s="322"/>
      <c r="CA1131" s="322"/>
      <c r="CB1131" s="322"/>
      <c r="CC1131" s="322"/>
      <c r="CD1131" s="322"/>
      <c r="CE1131" s="322"/>
      <c r="CF1131" s="322"/>
      <c r="CG1131" s="322"/>
      <c r="CH1131" s="322"/>
      <c r="CI1131" s="322"/>
      <c r="CM1131" s="1139">
        <v>0</v>
      </c>
      <c r="CN1131" s="1139">
        <v>0</v>
      </c>
      <c r="CP1131" s="923">
        <f t="shared" si="659"/>
        <v>0</v>
      </c>
      <c r="CZ1131" s="330"/>
    </row>
    <row r="1132" spans="1:104" ht="15" customHeight="1" x14ac:dyDescent="0.25">
      <c r="A1132" s="684">
        <f>MAX($A$6:A1131)+1</f>
        <v>1132</v>
      </c>
      <c r="B1132" s="3">
        <f t="shared" si="652"/>
        <v>6.1</v>
      </c>
      <c r="C1132" s="11" t="str">
        <f t="shared" si="636"/>
        <v>Consolidated intangible assets 2025-26</v>
      </c>
      <c r="D1132" s="11" t="s">
        <v>455</v>
      </c>
      <c r="E1132" s="7" t="s">
        <v>198</v>
      </c>
      <c r="F1132" s="7"/>
      <c r="G1132" s="1254" t="s">
        <v>444</v>
      </c>
      <c r="H1132" s="6" t="e">
        <v>#VALUE!</v>
      </c>
      <c r="I1132" s="6" t="e">
        <v>#VALUE!</v>
      </c>
      <c r="J1132" s="1257" t="s">
        <v>198</v>
      </c>
      <c r="K1132" s="251">
        <f>SUMIF('alb Note 6.1 -  Intangibles CY'!$A:$A,$J1132,'alb Note 6.1 -  Intangibles CY'!$I:$I)</f>
        <v>0</v>
      </c>
      <c r="L1132" s="251">
        <f>SUMIF('alb Note 6.1 -  Intangibles CY'!$A:$A,$J1132,'alb Note 6.1 -  Intangibles CY'!$T:$T)</f>
        <v>0</v>
      </c>
      <c r="M1132" s="10"/>
      <c r="N1132" s="273" t="e">
        <f>ROUND(SUM(O1132:S1132)+SUM(W1132:AV1132),0)</f>
        <v>#VALUE!</v>
      </c>
      <c r="O1132" s="12"/>
      <c r="P1132" s="12"/>
      <c r="Q1132" s="12"/>
      <c r="R1132" s="12"/>
      <c r="S1132" s="6">
        <f t="shared" si="662"/>
        <v>0</v>
      </c>
      <c r="T1132" s="273" t="e">
        <f>ROUND(SUM(U1132:Y1132),0)</f>
        <v>#VALUE!</v>
      </c>
      <c r="U1132" s="6">
        <f>SUM(BL1132:BN1132)</f>
        <v>0</v>
      </c>
      <c r="V1132" s="6"/>
      <c r="W1132" s="6" t="e">
        <f>+H1132</f>
        <v>#VALUE!</v>
      </c>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X1132" s="6"/>
      <c r="AY1132" s="6">
        <f>ROUND(AX1132/1000/Update!$B$31*Update!$B$27,0)</f>
        <v>0</v>
      </c>
      <c r="BA1132" s="6"/>
      <c r="BB1132" s="6">
        <f>ROUND(BA1132/1000/Update!$B$31,0)</f>
        <v>0</v>
      </c>
      <c r="BC1132" s="6"/>
      <c r="BD1132" s="29">
        <f t="shared" si="677"/>
        <v>0</v>
      </c>
      <c r="BE1132" s="322"/>
      <c r="BF1132" s="322"/>
      <c r="BG1132" s="322"/>
      <c r="BH1132" s="322"/>
      <c r="BI1132" s="322"/>
      <c r="BJ1132" s="322"/>
      <c r="BK1132" s="29">
        <f t="shared" si="643"/>
        <v>0</v>
      </c>
      <c r="BL1132" s="322"/>
      <c r="BM1132" s="322"/>
      <c r="BN1132" s="322"/>
      <c r="BO1132" s="322"/>
      <c r="BP1132" s="322"/>
      <c r="BQ1132" s="322"/>
      <c r="BR1132" s="322"/>
      <c r="BS1132" s="322"/>
      <c r="BT1132" s="322"/>
      <c r="BU1132" s="322"/>
      <c r="BV1132" s="322"/>
      <c r="BW1132" s="322"/>
      <c r="BX1132" s="322"/>
      <c r="BY1132" s="322"/>
      <c r="BZ1132" s="322"/>
      <c r="CA1132" s="322"/>
      <c r="CB1132" s="322"/>
      <c r="CC1132" s="322"/>
      <c r="CD1132" s="322"/>
      <c r="CE1132" s="322"/>
      <c r="CF1132" s="322"/>
      <c r="CG1132" s="322"/>
      <c r="CH1132" s="322"/>
      <c r="CI1132" s="322"/>
      <c r="CM1132" s="1139">
        <v>0</v>
      </c>
      <c r="CN1132" s="1139">
        <v>0</v>
      </c>
      <c r="CP1132" s="923">
        <f t="shared" si="659"/>
        <v>0</v>
      </c>
      <c r="CZ1132" s="330"/>
    </row>
    <row r="1133" spans="1:104" ht="38.25" customHeight="1" x14ac:dyDescent="0.25">
      <c r="A1133" s="684">
        <f>MAX($A$6:A1132)+1</f>
        <v>1133</v>
      </c>
      <c r="B1133" s="3">
        <f t="shared" si="652"/>
        <v>6.1</v>
      </c>
      <c r="C1133" s="11" t="str">
        <f t="shared" si="636"/>
        <v>Consolidated intangible assets 2025-26</v>
      </c>
      <c r="D1133" s="11" t="s">
        <v>455</v>
      </c>
      <c r="E1133" s="148" t="s">
        <v>1696</v>
      </c>
      <c r="F1133" s="148"/>
      <c r="G1133" s="1254" t="s">
        <v>199</v>
      </c>
      <c r="H1133" s="6" t="e">
        <v>#VALUE!</v>
      </c>
      <c r="I1133" s="6" t="e">
        <v>#VALUE!</v>
      </c>
      <c r="J1133" s="1257" t="s">
        <v>769</v>
      </c>
      <c r="K1133" s="251">
        <f>SUMIF('alb Note 6.1 -  Intangibles CY'!$A:$A,$J1133,'alb Note 6.1 -  Intangibles CY'!$I:$I)</f>
        <v>0</v>
      </c>
      <c r="L1133" s="251">
        <f>SUMIF('alb Note 6.1 -  Intangibles CY'!$A:$A,$J1133,'alb Note 6.1 -  Intangibles CY'!$T:$T)</f>
        <v>0</v>
      </c>
      <c r="M1133" s="10"/>
      <c r="N1133" s="273" t="e">
        <f>ROUND(SUM(O1133:S1133)+SUM(W1133:AV1133),0)</f>
        <v>#VALUE!</v>
      </c>
      <c r="O1133" s="12"/>
      <c r="P1133" s="12"/>
      <c r="Q1133" s="12"/>
      <c r="R1133" s="12"/>
      <c r="S1133" s="6">
        <f t="shared" si="662"/>
        <v>0</v>
      </c>
      <c r="T1133" s="273" t="e">
        <f>ROUND(SUM(U1133:Y1133),0)</f>
        <v>#VALUE!</v>
      </c>
      <c r="U1133" s="6">
        <f>SUM(BL1133:BN1133)</f>
        <v>0</v>
      </c>
      <c r="V1133" s="6"/>
      <c r="W1133" s="6" t="e">
        <f>+H1133</f>
        <v>#VALUE!</v>
      </c>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X1133" s="6"/>
      <c r="AY1133" s="6">
        <f>ROUND(AX1133/1000/Update!$B$31*Update!$B$27,0)</f>
        <v>0</v>
      </c>
      <c r="BA1133" s="6"/>
      <c r="BB1133" s="6">
        <f>ROUND(BA1133/1000/Update!$B$31,0)</f>
        <v>0</v>
      </c>
      <c r="BC1133" s="6"/>
      <c r="BD1133" s="29">
        <f t="shared" si="677"/>
        <v>0</v>
      </c>
      <c r="BE1133" s="322"/>
      <c r="BF1133" s="322"/>
      <c r="BG1133" s="322"/>
      <c r="BH1133" s="322"/>
      <c r="BI1133" s="322"/>
      <c r="BJ1133" s="322"/>
      <c r="BK1133" s="29">
        <f t="shared" si="643"/>
        <v>0</v>
      </c>
      <c r="BL1133" s="322"/>
      <c r="BM1133" s="322"/>
      <c r="BN1133" s="322"/>
      <c r="BO1133" s="322"/>
      <c r="BP1133" s="322"/>
      <c r="BQ1133" s="322"/>
      <c r="BR1133" s="322"/>
      <c r="BS1133" s="322"/>
      <c r="BT1133" s="322"/>
      <c r="BU1133" s="322"/>
      <c r="BV1133" s="322"/>
      <c r="BW1133" s="322"/>
      <c r="BX1133" s="322"/>
      <c r="BY1133" s="322"/>
      <c r="BZ1133" s="322"/>
      <c r="CA1133" s="322"/>
      <c r="CB1133" s="322"/>
      <c r="CC1133" s="322"/>
      <c r="CD1133" s="322"/>
      <c r="CE1133" s="322"/>
      <c r="CF1133" s="322"/>
      <c r="CG1133" s="322"/>
      <c r="CH1133" s="322"/>
      <c r="CI1133" s="322"/>
      <c r="CM1133" s="1139">
        <v>0</v>
      </c>
      <c r="CN1133" s="1139">
        <v>0</v>
      </c>
      <c r="CP1133" s="923">
        <f t="shared" si="659"/>
        <v>0</v>
      </c>
      <c r="CZ1133" s="330"/>
    </row>
    <row r="1134" spans="1:104" ht="15" customHeight="1" x14ac:dyDescent="0.25">
      <c r="A1134" s="684">
        <f>MAX($A$6:A1133)+1</f>
        <v>1134</v>
      </c>
      <c r="B1134" s="3">
        <f t="shared" si="652"/>
        <v>6.1</v>
      </c>
      <c r="C1134" s="11" t="str">
        <f t="shared" si="636"/>
        <v>Consolidated intangible assets 2025-26</v>
      </c>
      <c r="D1134" s="11" t="s">
        <v>455</v>
      </c>
      <c r="E1134" s="148" t="s">
        <v>1695</v>
      </c>
      <c r="F1134" s="148"/>
      <c r="G1134" s="1254" t="s">
        <v>1695</v>
      </c>
      <c r="H1134" s="6" t="e">
        <v>#VALUE!</v>
      </c>
      <c r="I1134" s="6" t="e">
        <v>#VALUE!</v>
      </c>
      <c r="J1134" s="1257" t="s">
        <v>1695</v>
      </c>
      <c r="K1134" s="251">
        <f>SUMIF('alb Note 6.1 -  Intangibles CY'!$A:$A,$J1134,'alb Note 6.1 -  Intangibles CY'!$I:$I)</f>
        <v>0</v>
      </c>
      <c r="L1134" s="251">
        <f>SUMIF('alb Note 6.1 -  Intangibles CY'!$A:$A,$J1134,'alb Note 6.1 -  Intangibles CY'!$T:$T)</f>
        <v>0</v>
      </c>
      <c r="M1134" s="10"/>
      <c r="N1134" s="273" t="e">
        <f>ROUND(SUM(O1134:S1134)+SUM(W1134:AV1134),0)</f>
        <v>#VALUE!</v>
      </c>
      <c r="O1134" s="12"/>
      <c r="P1134" s="12"/>
      <c r="Q1134" s="12"/>
      <c r="R1134" s="12"/>
      <c r="S1134" s="6"/>
      <c r="T1134" s="273" t="e">
        <f>ROUND(SUM(U1134:Y1134),0)</f>
        <v>#VALUE!</v>
      </c>
      <c r="U1134" s="6">
        <f>SUM(BL1134:BN1134)</f>
        <v>0</v>
      </c>
      <c r="V1134" s="6"/>
      <c r="W1134" s="6" t="e">
        <f>+H1134</f>
        <v>#VALUE!</v>
      </c>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X1134" s="6"/>
      <c r="AY1134" s="6"/>
      <c r="BA1134" s="6"/>
      <c r="BB1134" s="6"/>
      <c r="BC1134" s="6"/>
      <c r="BD1134" s="29"/>
      <c r="BE1134" s="322"/>
      <c r="BF1134" s="322"/>
      <c r="BG1134" s="322"/>
      <c r="BH1134" s="322"/>
      <c r="BI1134" s="322"/>
      <c r="BJ1134" s="322"/>
      <c r="BK1134" s="29">
        <f t="shared" ref="BK1134:BK1197" si="684">ROUND(SUM(BO1134:CI1134),0)</f>
        <v>0</v>
      </c>
      <c r="BL1134" s="322"/>
      <c r="BM1134" s="322"/>
      <c r="BN1134" s="322"/>
      <c r="BO1134" s="322"/>
      <c r="BP1134" s="322"/>
      <c r="BQ1134" s="322"/>
      <c r="BR1134" s="322"/>
      <c r="BS1134" s="322"/>
      <c r="BT1134" s="322"/>
      <c r="BU1134" s="322"/>
      <c r="BV1134" s="322"/>
      <c r="BW1134" s="322"/>
      <c r="BX1134" s="322"/>
      <c r="BY1134" s="322"/>
      <c r="BZ1134" s="322"/>
      <c r="CA1134" s="322"/>
      <c r="CB1134" s="322"/>
      <c r="CC1134" s="322"/>
      <c r="CD1134" s="322"/>
      <c r="CE1134" s="322"/>
      <c r="CF1134" s="322"/>
      <c r="CG1134" s="322"/>
      <c r="CH1134" s="322"/>
      <c r="CI1134" s="322"/>
      <c r="CM1134" s="1139">
        <v>0</v>
      </c>
      <c r="CN1134" s="1139"/>
      <c r="CP1134" s="923">
        <f t="shared" si="659"/>
        <v>0</v>
      </c>
      <c r="CZ1134" s="330"/>
    </row>
    <row r="1135" spans="1:104" ht="15" customHeight="1" thickBot="1" x14ac:dyDescent="0.3">
      <c r="A1135" s="701">
        <f>MAX($A$6:A1134)+1</f>
        <v>1135</v>
      </c>
      <c r="B1135" s="1291">
        <f t="shared" si="652"/>
        <v>6.1</v>
      </c>
      <c r="C1135" s="18" t="str">
        <f t="shared" si="636"/>
        <v>Consolidated intangible assets 2025-26</v>
      </c>
      <c r="D1135" s="18" t="s">
        <v>455</v>
      </c>
      <c r="E1135" s="19" t="str">
        <f>"Carrying amount "&amp;Update!$B$22</f>
        <v>Carrying amount  31 March 2026</v>
      </c>
      <c r="F1135" s="20"/>
      <c r="G1135" s="28"/>
      <c r="H1135" s="14" t="e">
        <f>SUM(H1130:H1134)</f>
        <v>#VALUE!</v>
      </c>
      <c r="I1135" s="14" t="e">
        <f>SUM(I1130:I1134)</f>
        <v>#VALUE!</v>
      </c>
      <c r="J1135" s="1258" t="s">
        <v>286</v>
      </c>
      <c r="K1135" s="256">
        <f>SUM(K1130:K1134)</f>
        <v>0</v>
      </c>
      <c r="L1135" s="256">
        <f>SUM(L1130:L1134)</f>
        <v>0</v>
      </c>
      <c r="M1135" s="21"/>
      <c r="N1135" s="14" t="e">
        <f>ROUND(SUM(O1135:S1135)+T1135+SUM(Z1135:AV1135),0)</f>
        <v>#VALUE!</v>
      </c>
      <c r="O1135" s="14">
        <f t="shared" ref="O1135:W1135" si="685">SUM(O1130:O1134)</f>
        <v>0</v>
      </c>
      <c r="P1135" s="14">
        <f t="shared" si="685"/>
        <v>0</v>
      </c>
      <c r="Q1135" s="14">
        <f t="shared" si="685"/>
        <v>0</v>
      </c>
      <c r="R1135" s="14">
        <f t="shared" si="685"/>
        <v>0</v>
      </c>
      <c r="S1135" s="14">
        <f t="shared" si="685"/>
        <v>0</v>
      </c>
      <c r="T1135" s="14" t="e">
        <f t="shared" si="685"/>
        <v>#VALUE!</v>
      </c>
      <c r="U1135" s="14">
        <f t="shared" si="685"/>
        <v>0</v>
      </c>
      <c r="V1135" s="14">
        <f t="shared" si="685"/>
        <v>0</v>
      </c>
      <c r="W1135" s="14" t="e">
        <f t="shared" si="685"/>
        <v>#VALUE!</v>
      </c>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2">
        <f t="shared" ref="AW1135:BJ1135" si="686">SUM(AW1130:AW1134)</f>
        <v>0</v>
      </c>
      <c r="AX1135" s="14">
        <f t="shared" si="686"/>
        <v>0</v>
      </c>
      <c r="AY1135" s="14">
        <f t="shared" si="686"/>
        <v>0</v>
      </c>
      <c r="AZ1135" s="2">
        <f t="shared" si="686"/>
        <v>0</v>
      </c>
      <c r="BA1135" s="14">
        <f t="shared" si="686"/>
        <v>0</v>
      </c>
      <c r="BB1135" s="14">
        <f t="shared" si="686"/>
        <v>0</v>
      </c>
      <c r="BC1135" s="14">
        <f t="shared" si="686"/>
        <v>0</v>
      </c>
      <c r="BD1135" s="14">
        <f t="shared" si="686"/>
        <v>0</v>
      </c>
      <c r="BE1135" s="14">
        <f t="shared" si="686"/>
        <v>0</v>
      </c>
      <c r="BF1135" s="14">
        <f t="shared" si="686"/>
        <v>0</v>
      </c>
      <c r="BG1135" s="14">
        <f t="shared" si="686"/>
        <v>0</v>
      </c>
      <c r="BH1135" s="14">
        <f t="shared" si="686"/>
        <v>0</v>
      </c>
      <c r="BI1135" s="14">
        <f t="shared" si="686"/>
        <v>0</v>
      </c>
      <c r="BJ1135" s="14">
        <f t="shared" si="686"/>
        <v>0</v>
      </c>
      <c r="BK1135" s="14">
        <f t="shared" si="684"/>
        <v>0</v>
      </c>
      <c r="BL1135" s="14"/>
      <c r="BM1135" s="14"/>
      <c r="BN1135" s="14"/>
      <c r="BO1135" s="14"/>
      <c r="BP1135" s="14"/>
      <c r="BQ1135" s="14"/>
      <c r="BR1135" s="14"/>
      <c r="BS1135" s="14"/>
      <c r="BT1135" s="324"/>
      <c r="BU1135" s="14"/>
      <c r="BV1135" s="14"/>
      <c r="BW1135" s="14"/>
      <c r="BX1135" s="14"/>
      <c r="BY1135" s="14"/>
      <c r="BZ1135" s="14"/>
      <c r="CA1135" s="14"/>
      <c r="CB1135" s="14"/>
      <c r="CC1135" s="14"/>
      <c r="CD1135" s="14"/>
      <c r="CE1135" s="14"/>
      <c r="CF1135" s="14"/>
      <c r="CG1135" s="14"/>
      <c r="CH1135" s="14"/>
      <c r="CI1135" s="14"/>
      <c r="CJ1135" s="2"/>
      <c r="CK1135" s="2"/>
      <c r="CM1135" s="1140">
        <v>0</v>
      </c>
      <c r="CN1135" s="1140">
        <v>0</v>
      </c>
      <c r="CP1135" s="923">
        <f t="shared" si="659"/>
        <v>0</v>
      </c>
      <c r="CZ1135" s="330"/>
    </row>
    <row r="1136" spans="1:104" ht="15.75" customHeight="1" thickBot="1" x14ac:dyDescent="0.3">
      <c r="A1136" s="701">
        <f>MAX($A$6:A1135)+1</f>
        <v>1136</v>
      </c>
      <c r="B1136" s="1300">
        <f>B1135</f>
        <v>6.1</v>
      </c>
      <c r="C1136" s="710" t="str">
        <f>C1135</f>
        <v>Consolidated intangible assets 2025-26</v>
      </c>
      <c r="D1136" s="710" t="s">
        <v>604</v>
      </c>
      <c r="E1136" s="711" t="str">
        <f>"Carrying amount "&amp;Update!$B$22&amp;" -TOTAL"</f>
        <v>Carrying amount  31 March 2026 -TOTAL</v>
      </c>
      <c r="F1136" s="711"/>
      <c r="G1136" s="289"/>
      <c r="H1136" s="290"/>
      <c r="I1136" s="290"/>
      <c r="J1136" s="1265" t="s">
        <v>286</v>
      </c>
      <c r="K1136" s="286">
        <f>SUM(K876,K912,K948,K984,K1020,K1056,K1092,K1128)</f>
        <v>0</v>
      </c>
      <c r="L1136" s="286">
        <f>SUM(L876,L912,L948,L984,L1020,L1056,L1092,L1128)</f>
        <v>0</v>
      </c>
      <c r="M1136" s="287"/>
      <c r="N1136" s="285">
        <f>ROUND(SUM(O1136:S1136)+T1136+SUM(Z1136:AV1136),0)</f>
        <v>101</v>
      </c>
      <c r="O1136" s="285">
        <f t="shared" ref="O1136:V1136" si="687">SUM(O876,O912,O948,O984,O1020,O1056,O1092,O1128)</f>
        <v>0</v>
      </c>
      <c r="P1136" s="285">
        <f t="shared" si="687"/>
        <v>0</v>
      </c>
      <c r="Q1136" s="285">
        <f t="shared" si="687"/>
        <v>0</v>
      </c>
      <c r="R1136" s="285">
        <f t="shared" si="687"/>
        <v>0</v>
      </c>
      <c r="S1136" s="285">
        <f t="shared" si="662"/>
        <v>0</v>
      </c>
      <c r="T1136" s="285">
        <f t="shared" si="687"/>
        <v>101</v>
      </c>
      <c r="U1136" s="285">
        <f t="shared" si="687"/>
        <v>0</v>
      </c>
      <c r="V1136" s="285">
        <f t="shared" si="687"/>
        <v>0</v>
      </c>
      <c r="W1136" s="285">
        <f>SUM(W876,W912,W948,W984,W1020,W1056,W1092,W1128)</f>
        <v>101</v>
      </c>
      <c r="X1136" s="285"/>
      <c r="Y1136" s="285"/>
      <c r="Z1136" s="285"/>
      <c r="AA1136" s="285"/>
      <c r="AB1136" s="285"/>
      <c r="AC1136" s="285"/>
      <c r="AD1136" s="285"/>
      <c r="AE1136" s="285"/>
      <c r="AF1136" s="285"/>
      <c r="AG1136" s="285"/>
      <c r="AH1136" s="285"/>
      <c r="AI1136" s="285"/>
      <c r="AJ1136" s="285"/>
      <c r="AK1136" s="285"/>
      <c r="AL1136" s="285"/>
      <c r="AM1136" s="285"/>
      <c r="AN1136" s="285"/>
      <c r="AO1136" s="285"/>
      <c r="AP1136" s="285"/>
      <c r="AQ1136" s="285"/>
      <c r="AR1136" s="285"/>
      <c r="AS1136" s="285"/>
      <c r="AT1136" s="285"/>
      <c r="AU1136" s="285"/>
      <c r="AV1136" s="285"/>
      <c r="AW1136" s="712"/>
      <c r="AX1136" s="285">
        <f>SUM(AX876,AX912,AX948,AX984,AX1020,AX1056,AX1092,AX1128)</f>
        <v>0</v>
      </c>
      <c r="AY1136" s="14"/>
      <c r="AZ1136" s="712"/>
      <c r="BA1136" s="285">
        <f>SUM(BA876,BA912,BA948,BA984,BA1020,BA1056,BA1092,BA1128)</f>
        <v>0</v>
      </c>
      <c r="BB1136" s="14"/>
      <c r="BC1136" s="14"/>
      <c r="BD1136" s="14">
        <f t="shared" si="677"/>
        <v>0</v>
      </c>
      <c r="BE1136" s="14">
        <f t="shared" ref="BE1136:BJ1136" si="688">SUM(BE876,BE912,BE948,BE984,BE1020,BE1056,BE1092,BE1128)</f>
        <v>0</v>
      </c>
      <c r="BF1136" s="14">
        <f t="shared" si="688"/>
        <v>0</v>
      </c>
      <c r="BG1136" s="14">
        <f t="shared" si="688"/>
        <v>0</v>
      </c>
      <c r="BH1136" s="14">
        <f t="shared" si="688"/>
        <v>0</v>
      </c>
      <c r="BI1136" s="14">
        <f t="shared" si="688"/>
        <v>0</v>
      </c>
      <c r="BJ1136" s="14">
        <f t="shared" si="688"/>
        <v>0</v>
      </c>
      <c r="BK1136" s="14">
        <f t="shared" si="684"/>
        <v>0</v>
      </c>
      <c r="BL1136" s="14"/>
      <c r="BM1136" s="14"/>
      <c r="BN1136" s="14"/>
      <c r="BO1136" s="14"/>
      <c r="BP1136" s="14"/>
      <c r="BQ1136" s="14"/>
      <c r="BR1136" s="14"/>
      <c r="BS1136" s="14"/>
      <c r="BT1136" s="324"/>
      <c r="BU1136" s="14"/>
      <c r="BV1136" s="14"/>
      <c r="BW1136" s="14"/>
      <c r="BX1136" s="14"/>
      <c r="BY1136" s="14"/>
      <c r="BZ1136" s="14"/>
      <c r="CA1136" s="14"/>
      <c r="CB1136" s="14"/>
      <c r="CC1136" s="14"/>
      <c r="CD1136" s="14"/>
      <c r="CE1136" s="14"/>
      <c r="CF1136" s="14"/>
      <c r="CG1136" s="14"/>
      <c r="CH1136" s="14"/>
      <c r="CI1136" s="14"/>
      <c r="CJ1136" s="712"/>
      <c r="CK1136" s="712"/>
      <c r="CM1136" s="1497">
        <v>0</v>
      </c>
      <c r="CN1136" s="1497">
        <v>0</v>
      </c>
      <c r="CP1136" s="923">
        <f t="shared" si="659"/>
        <v>0</v>
      </c>
      <c r="CZ1136" s="330"/>
    </row>
    <row r="1137" spans="1:104" ht="15" customHeight="1" x14ac:dyDescent="0.25">
      <c r="A1137" s="684">
        <f>MAX($A$6:A1136)+1</f>
        <v>1137</v>
      </c>
      <c r="B1137" s="3">
        <f t="shared" ref="B1137:C1146" si="689">B1136</f>
        <v>6.1</v>
      </c>
      <c r="C1137" s="11" t="str">
        <f t="shared" si="636"/>
        <v>Consolidated intangible assets 2025-26</v>
      </c>
      <c r="D1137" s="1250" t="s">
        <v>1719</v>
      </c>
      <c r="E1137" s="965" t="s">
        <v>1718</v>
      </c>
      <c r="F1137" s="15"/>
      <c r="G1137" s="26"/>
      <c r="H1137" s="1190"/>
      <c r="I1137" s="6"/>
      <c r="J1137" s="965">
        <f>'alb Note 6.1 -  Intangibles CY'!A58</f>
        <v>0</v>
      </c>
      <c r="K1137" s="280">
        <f>'alb Note 6.1 -  Intangibles CY'!E58</f>
        <v>0</v>
      </c>
      <c r="L1137" s="251"/>
      <c r="M1137" s="10"/>
      <c r="N1137" s="273"/>
      <c r="O1137" s="12"/>
      <c r="P1137" s="12"/>
      <c r="Q1137" s="12"/>
      <c r="R1137" s="12"/>
      <c r="S1137" s="6"/>
      <c r="T1137" s="273"/>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X1137" s="6"/>
      <c r="AY1137" s="6"/>
      <c r="BA1137" s="6"/>
      <c r="BB1137" s="6"/>
      <c r="BC1137" s="6"/>
      <c r="BD1137" s="29"/>
      <c r="BE1137" s="322"/>
      <c r="BF1137" s="322"/>
      <c r="BG1137" s="322"/>
      <c r="BH1137" s="322"/>
      <c r="BI1137" s="322"/>
      <c r="BJ1137" s="322"/>
      <c r="BK1137" s="29">
        <f t="shared" si="684"/>
        <v>0</v>
      </c>
      <c r="BL1137" s="322"/>
      <c r="BM1137" s="322"/>
      <c r="BN1137" s="322"/>
      <c r="BO1137" s="322"/>
      <c r="BP1137" s="322"/>
      <c r="BQ1137" s="322"/>
      <c r="BR1137" s="322"/>
      <c r="BS1137" s="322"/>
      <c r="BT1137" s="322"/>
      <c r="BU1137" s="322"/>
      <c r="BV1137" s="322"/>
      <c r="BW1137" s="322"/>
      <c r="BX1137" s="322"/>
      <c r="BY1137" s="322"/>
      <c r="BZ1137" s="322"/>
      <c r="CA1137" s="322"/>
      <c r="CB1137" s="322"/>
      <c r="CC1137" s="322"/>
      <c r="CD1137" s="322"/>
      <c r="CE1137" s="322"/>
      <c r="CF1137" s="322"/>
      <c r="CG1137" s="322"/>
      <c r="CH1137" s="322"/>
      <c r="CI1137" s="322"/>
      <c r="CM1137" s="1139">
        <v>0</v>
      </c>
      <c r="CN1137" s="1139"/>
      <c r="CP1137" s="923">
        <f t="shared" si="659"/>
        <v>0</v>
      </c>
      <c r="CZ1137" s="330"/>
    </row>
    <row r="1138" spans="1:104" ht="15" customHeight="1" x14ac:dyDescent="0.25">
      <c r="A1138" s="684">
        <f>MAX($A$6:A1137)+1</f>
        <v>1138</v>
      </c>
      <c r="B1138" s="3">
        <f t="shared" si="689"/>
        <v>6.1</v>
      </c>
      <c r="C1138" s="11" t="str">
        <f t="shared" si="689"/>
        <v>Consolidated intangible assets 2025-26</v>
      </c>
      <c r="D1138" s="1250" t="s">
        <v>1719</v>
      </c>
      <c r="E1138" s="965" t="s">
        <v>1718</v>
      </c>
      <c r="F1138" s="15"/>
      <c r="G1138" s="1251"/>
      <c r="H1138" s="1190">
        <v>0</v>
      </c>
      <c r="J1138" s="965">
        <f>'alb Note 6.1 -  Intangibles CY'!A59</f>
        <v>0</v>
      </c>
      <c r="K1138" s="280">
        <f>'alb Note 6.1 -  Intangibles CY'!E59</f>
        <v>0</v>
      </c>
      <c r="L1138" s="251"/>
      <c r="M1138" s="10"/>
      <c r="N1138" s="273"/>
      <c r="O1138" s="12"/>
      <c r="P1138" s="12"/>
      <c r="Q1138" s="12"/>
      <c r="R1138" s="12"/>
      <c r="S1138" s="6"/>
      <c r="T1138" s="273"/>
      <c r="U1138" s="6"/>
      <c r="V1138" s="6"/>
      <c r="W1138" s="6">
        <v>0</v>
      </c>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X1138" s="6"/>
      <c r="AY1138" s="6"/>
      <c r="BA1138" s="6"/>
      <c r="BB1138" s="6"/>
      <c r="BC1138" s="6"/>
      <c r="BD1138" s="29"/>
      <c r="BE1138" s="322"/>
      <c r="BF1138" s="322"/>
      <c r="BG1138" s="322"/>
      <c r="BH1138" s="322"/>
      <c r="BI1138" s="322"/>
      <c r="BJ1138" s="322"/>
      <c r="BK1138" s="29">
        <f t="shared" si="684"/>
        <v>0</v>
      </c>
      <c r="BL1138" s="322"/>
      <c r="BM1138" s="322"/>
      <c r="BN1138" s="322"/>
      <c r="BO1138" s="322"/>
      <c r="BP1138" s="322"/>
      <c r="BQ1138" s="322"/>
      <c r="BR1138" s="322"/>
      <c r="BS1138" s="322"/>
      <c r="BT1138" s="322"/>
      <c r="BU1138" s="322"/>
      <c r="BV1138" s="322"/>
      <c r="BW1138" s="322"/>
      <c r="BX1138" s="322"/>
      <c r="BY1138" s="322"/>
      <c r="BZ1138" s="322"/>
      <c r="CA1138" s="322"/>
      <c r="CB1138" s="322"/>
      <c r="CC1138" s="322"/>
      <c r="CD1138" s="322"/>
      <c r="CE1138" s="322"/>
      <c r="CF1138" s="322"/>
      <c r="CG1138" s="322"/>
      <c r="CH1138" s="322"/>
      <c r="CI1138" s="322"/>
      <c r="CM1138" s="1139">
        <v>0</v>
      </c>
      <c r="CN1138" s="1139"/>
      <c r="CP1138" s="923">
        <f t="shared" si="659"/>
        <v>0</v>
      </c>
      <c r="CZ1138" s="330"/>
    </row>
    <row r="1139" spans="1:104" ht="15" customHeight="1" x14ac:dyDescent="0.25">
      <c r="A1139" s="684">
        <f>MAX($A$6:A1138)+1</f>
        <v>1139</v>
      </c>
      <c r="B1139" s="3">
        <f t="shared" si="689"/>
        <v>6.1</v>
      </c>
      <c r="C1139" s="11" t="str">
        <f t="shared" si="689"/>
        <v>Consolidated intangible assets 2025-26</v>
      </c>
      <c r="D1139" s="1250" t="s">
        <v>1719</v>
      </c>
      <c r="E1139" s="965" t="s">
        <v>1718</v>
      </c>
      <c r="F1139" s="15"/>
      <c r="G1139" s="26"/>
      <c r="H1139" s="1190"/>
      <c r="I1139" s="6"/>
      <c r="J1139" s="965">
        <f>'alb Note 6.1 -  Intangibles CY'!A60</f>
        <v>0</v>
      </c>
      <c r="K1139" s="280">
        <f>'alb Note 6.1 -  Intangibles CY'!E60</f>
        <v>0</v>
      </c>
      <c r="L1139" s="251"/>
      <c r="M1139" s="10"/>
      <c r="N1139" s="273"/>
      <c r="O1139" s="12"/>
      <c r="P1139" s="12"/>
      <c r="Q1139" s="12"/>
      <c r="R1139" s="12"/>
      <c r="S1139" s="6"/>
      <c r="T1139" s="273"/>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X1139" s="6"/>
      <c r="AY1139" s="6"/>
      <c r="BA1139" s="6"/>
      <c r="BB1139" s="6"/>
      <c r="BC1139" s="6"/>
      <c r="BD1139" s="29"/>
      <c r="BE1139" s="322"/>
      <c r="BF1139" s="322"/>
      <c r="BG1139" s="322"/>
      <c r="BH1139" s="322"/>
      <c r="BI1139" s="322"/>
      <c r="BJ1139" s="322"/>
      <c r="BK1139" s="29">
        <f t="shared" si="684"/>
        <v>0</v>
      </c>
      <c r="BL1139" s="322"/>
      <c r="BM1139" s="322"/>
      <c r="BN1139" s="322"/>
      <c r="BO1139" s="322"/>
      <c r="BP1139" s="322"/>
      <c r="BQ1139" s="322"/>
      <c r="BR1139" s="322"/>
      <c r="BS1139" s="322"/>
      <c r="BT1139" s="322"/>
      <c r="BU1139" s="322"/>
      <c r="BV1139" s="322"/>
      <c r="BW1139" s="322"/>
      <c r="BX1139" s="322"/>
      <c r="BY1139" s="322"/>
      <c r="BZ1139" s="322"/>
      <c r="CA1139" s="322"/>
      <c r="CB1139" s="322"/>
      <c r="CC1139" s="322"/>
      <c r="CD1139" s="322"/>
      <c r="CE1139" s="322"/>
      <c r="CF1139" s="322"/>
      <c r="CG1139" s="322"/>
      <c r="CH1139" s="322"/>
      <c r="CI1139" s="322"/>
      <c r="CM1139" s="1139">
        <v>0</v>
      </c>
      <c r="CN1139" s="1139"/>
      <c r="CP1139" s="923">
        <f t="shared" si="659"/>
        <v>0</v>
      </c>
      <c r="CZ1139" s="330"/>
    </row>
    <row r="1140" spans="1:104" ht="15" customHeight="1" x14ac:dyDescent="0.25">
      <c r="A1140" s="684">
        <f>MAX($A$6:A1139)+1</f>
        <v>1140</v>
      </c>
      <c r="B1140" s="3">
        <f t="shared" si="689"/>
        <v>6.1</v>
      </c>
      <c r="C1140" s="11" t="str">
        <f t="shared" si="689"/>
        <v>Consolidated intangible assets 2025-26</v>
      </c>
      <c r="D1140" s="1250" t="s">
        <v>1719</v>
      </c>
      <c r="E1140" s="965" t="s">
        <v>1718</v>
      </c>
      <c r="F1140" s="15"/>
      <c r="G1140" s="26"/>
      <c r="H1140" s="1190"/>
      <c r="I1140" s="6"/>
      <c r="J1140" s="965">
        <f>'alb Note 6.1 -  Intangibles CY'!A61</f>
        <v>0</v>
      </c>
      <c r="K1140" s="280">
        <f>'alb Note 6.1 -  Intangibles CY'!E61</f>
        <v>0</v>
      </c>
      <c r="L1140" s="251"/>
      <c r="M1140" s="10"/>
      <c r="N1140" s="273"/>
      <c r="O1140" s="12"/>
      <c r="P1140" s="12"/>
      <c r="Q1140" s="12"/>
      <c r="R1140" s="12"/>
      <c r="S1140" s="6"/>
      <c r="T1140" s="273"/>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X1140" s="6"/>
      <c r="AY1140" s="6"/>
      <c r="BA1140" s="6"/>
      <c r="BB1140" s="6"/>
      <c r="BC1140" s="6"/>
      <c r="BD1140" s="29"/>
      <c r="BE1140" s="322"/>
      <c r="BF1140" s="322"/>
      <c r="BG1140" s="322"/>
      <c r="BH1140" s="322"/>
      <c r="BI1140" s="322"/>
      <c r="BJ1140" s="322"/>
      <c r="BK1140" s="29">
        <f t="shared" si="684"/>
        <v>0</v>
      </c>
      <c r="BL1140" s="322"/>
      <c r="BM1140" s="322"/>
      <c r="BN1140" s="322"/>
      <c r="BO1140" s="322"/>
      <c r="BP1140" s="322"/>
      <c r="BQ1140" s="322"/>
      <c r="BR1140" s="322"/>
      <c r="BS1140" s="322"/>
      <c r="BT1140" s="322"/>
      <c r="BU1140" s="322"/>
      <c r="BV1140" s="322"/>
      <c r="BW1140" s="322"/>
      <c r="BX1140" s="322"/>
      <c r="BY1140" s="322"/>
      <c r="BZ1140" s="322"/>
      <c r="CA1140" s="322"/>
      <c r="CB1140" s="322"/>
      <c r="CC1140" s="322"/>
      <c r="CD1140" s="322"/>
      <c r="CE1140" s="322"/>
      <c r="CF1140" s="322"/>
      <c r="CG1140" s="322"/>
      <c r="CH1140" s="322"/>
      <c r="CI1140" s="322"/>
      <c r="CM1140" s="1139">
        <v>0</v>
      </c>
      <c r="CN1140" s="1139"/>
      <c r="CP1140" s="923">
        <f t="shared" si="659"/>
        <v>0</v>
      </c>
      <c r="CZ1140" s="330"/>
    </row>
    <row r="1141" spans="1:104" ht="15" customHeight="1" x14ac:dyDescent="0.25">
      <c r="A1141" s="684">
        <f>MAX($A$6:A1140)+1</f>
        <v>1141</v>
      </c>
      <c r="B1141" s="3">
        <f t="shared" si="689"/>
        <v>6.1</v>
      </c>
      <c r="C1141" s="11" t="str">
        <f t="shared" si="689"/>
        <v>Consolidated intangible assets 2025-26</v>
      </c>
      <c r="D1141" s="1250" t="s">
        <v>1719</v>
      </c>
      <c r="E1141" s="965" t="s">
        <v>1718</v>
      </c>
      <c r="F1141" s="15"/>
      <c r="G1141" s="26"/>
      <c r="H1141" s="1190"/>
      <c r="I1141" s="6"/>
      <c r="J1141" s="965">
        <f>'alb Note 6.1 -  Intangibles CY'!A62</f>
        <v>0</v>
      </c>
      <c r="K1141" s="280">
        <f>'alb Note 6.1 -  Intangibles CY'!E62</f>
        <v>0</v>
      </c>
      <c r="L1141" s="251"/>
      <c r="M1141" s="10"/>
      <c r="N1141" s="273"/>
      <c r="O1141" s="12"/>
      <c r="P1141" s="12"/>
      <c r="Q1141" s="12"/>
      <c r="R1141" s="12"/>
      <c r="S1141" s="6"/>
      <c r="T1141" s="273"/>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X1141" s="6"/>
      <c r="AY1141" s="6"/>
      <c r="BA1141" s="6"/>
      <c r="BB1141" s="6"/>
      <c r="BC1141" s="6"/>
      <c r="BD1141" s="29"/>
      <c r="BE1141" s="322"/>
      <c r="BF1141" s="322"/>
      <c r="BG1141" s="322"/>
      <c r="BH1141" s="322"/>
      <c r="BI1141" s="322"/>
      <c r="BJ1141" s="322"/>
      <c r="BK1141" s="29">
        <f t="shared" si="684"/>
        <v>0</v>
      </c>
      <c r="BL1141" s="322"/>
      <c r="BM1141" s="322"/>
      <c r="BN1141" s="322"/>
      <c r="BO1141" s="322"/>
      <c r="BP1141" s="322"/>
      <c r="BQ1141" s="322"/>
      <c r="BR1141" s="322"/>
      <c r="BS1141" s="322"/>
      <c r="BT1141" s="322"/>
      <c r="BU1141" s="322"/>
      <c r="BV1141" s="322"/>
      <c r="BW1141" s="322"/>
      <c r="BX1141" s="322"/>
      <c r="BY1141" s="322"/>
      <c r="BZ1141" s="322"/>
      <c r="CA1141" s="322"/>
      <c r="CB1141" s="322"/>
      <c r="CC1141" s="322"/>
      <c r="CD1141" s="322"/>
      <c r="CE1141" s="322"/>
      <c r="CF1141" s="322"/>
      <c r="CG1141" s="322"/>
      <c r="CH1141" s="322"/>
      <c r="CI1141" s="322"/>
      <c r="CM1141" s="1139">
        <v>0</v>
      </c>
      <c r="CN1141" s="1139"/>
      <c r="CP1141" s="923">
        <f t="shared" si="659"/>
        <v>0</v>
      </c>
      <c r="CZ1141" s="330"/>
    </row>
    <row r="1142" spans="1:104" ht="15" customHeight="1" x14ac:dyDescent="0.25">
      <c r="A1142" s="684">
        <f>MAX($A$6:A1141)+1</f>
        <v>1142</v>
      </c>
      <c r="B1142" s="3">
        <f t="shared" si="689"/>
        <v>6.1</v>
      </c>
      <c r="C1142" s="11" t="str">
        <f t="shared" si="689"/>
        <v>Consolidated intangible assets 2025-26</v>
      </c>
      <c r="D1142" s="1250" t="s">
        <v>1719</v>
      </c>
      <c r="E1142" s="965" t="s">
        <v>1718</v>
      </c>
      <c r="F1142" s="15"/>
      <c r="G1142" s="26"/>
      <c r="H1142" s="1190"/>
      <c r="I1142" s="6"/>
      <c r="J1142" s="965">
        <f>'alb Note 6.1 -  Intangibles CY'!A63</f>
        <v>0</v>
      </c>
      <c r="K1142" s="280">
        <f>'alb Note 6.1 -  Intangibles CY'!E63</f>
        <v>0</v>
      </c>
      <c r="L1142" s="251"/>
      <c r="M1142" s="10"/>
      <c r="N1142" s="273"/>
      <c r="O1142" s="12"/>
      <c r="P1142" s="12"/>
      <c r="Q1142" s="12"/>
      <c r="R1142" s="12"/>
      <c r="S1142" s="6"/>
      <c r="T1142" s="273"/>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X1142" s="6"/>
      <c r="AY1142" s="6"/>
      <c r="BA1142" s="6"/>
      <c r="BB1142" s="6"/>
      <c r="BC1142" s="6"/>
      <c r="BD1142" s="29"/>
      <c r="BE1142" s="322"/>
      <c r="BF1142" s="322"/>
      <c r="BG1142" s="322"/>
      <c r="BH1142" s="322"/>
      <c r="BI1142" s="322"/>
      <c r="BJ1142" s="322"/>
      <c r="BK1142" s="29">
        <f t="shared" si="684"/>
        <v>0</v>
      </c>
      <c r="BL1142" s="322"/>
      <c r="BM1142" s="322"/>
      <c r="BN1142" s="322"/>
      <c r="BO1142" s="322"/>
      <c r="BP1142" s="322"/>
      <c r="BQ1142" s="322"/>
      <c r="BR1142" s="322"/>
      <c r="BS1142" s="322"/>
      <c r="BT1142" s="322"/>
      <c r="BU1142" s="322"/>
      <c r="BV1142" s="322"/>
      <c r="BW1142" s="322"/>
      <c r="BX1142" s="322"/>
      <c r="BY1142" s="322"/>
      <c r="BZ1142" s="322"/>
      <c r="CA1142" s="322"/>
      <c r="CB1142" s="322"/>
      <c r="CC1142" s="322"/>
      <c r="CD1142" s="322"/>
      <c r="CE1142" s="322"/>
      <c r="CF1142" s="322"/>
      <c r="CG1142" s="322"/>
      <c r="CH1142" s="322"/>
      <c r="CI1142" s="322"/>
      <c r="CM1142" s="1139">
        <v>0</v>
      </c>
      <c r="CN1142" s="1139"/>
      <c r="CP1142" s="923">
        <f t="shared" si="659"/>
        <v>0</v>
      </c>
      <c r="CZ1142" s="330"/>
    </row>
    <row r="1143" spans="1:104" ht="15" customHeight="1" x14ac:dyDescent="0.25">
      <c r="A1143" s="684">
        <f>MAX($A$6:A1142)+1</f>
        <v>1143</v>
      </c>
      <c r="B1143" s="3">
        <f t="shared" si="689"/>
        <v>6.1</v>
      </c>
      <c r="C1143" s="11" t="str">
        <f t="shared" si="689"/>
        <v>Consolidated intangible assets 2025-26</v>
      </c>
      <c r="D1143" s="1250" t="s">
        <v>1719</v>
      </c>
      <c r="E1143" s="965" t="s">
        <v>1721</v>
      </c>
      <c r="F1143" s="15"/>
      <c r="G1143" s="26"/>
      <c r="H1143" s="1190"/>
      <c r="I1143" s="6"/>
      <c r="J1143" s="965" t="s">
        <v>1712</v>
      </c>
      <c r="K1143" s="280">
        <f>'alb Note 6.1 -  Intangibles CY'!B66</f>
        <v>0</v>
      </c>
      <c r="L1143" s="251"/>
      <c r="M1143" s="10"/>
      <c r="N1143" s="273"/>
      <c r="O1143" s="12"/>
      <c r="P1143" s="12"/>
      <c r="Q1143" s="12"/>
      <c r="R1143" s="12"/>
      <c r="S1143" s="6"/>
      <c r="T1143" s="273"/>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X1143" s="6"/>
      <c r="AY1143" s="6"/>
      <c r="BA1143" s="6"/>
      <c r="BB1143" s="6"/>
      <c r="BC1143" s="6"/>
      <c r="BD1143" s="29"/>
      <c r="BE1143" s="322"/>
      <c r="BF1143" s="322"/>
      <c r="BG1143" s="322"/>
      <c r="BH1143" s="322"/>
      <c r="BI1143" s="322"/>
      <c r="BJ1143" s="322"/>
      <c r="BK1143" s="29">
        <f t="shared" si="684"/>
        <v>0</v>
      </c>
      <c r="BL1143" s="322"/>
      <c r="BM1143" s="322"/>
      <c r="BN1143" s="322"/>
      <c r="BO1143" s="322"/>
      <c r="BP1143" s="322"/>
      <c r="BQ1143" s="322"/>
      <c r="BR1143" s="322"/>
      <c r="BS1143" s="322"/>
      <c r="BT1143" s="322"/>
      <c r="BU1143" s="322"/>
      <c r="BV1143" s="322"/>
      <c r="BW1143" s="322"/>
      <c r="BX1143" s="322"/>
      <c r="BY1143" s="322"/>
      <c r="BZ1143" s="322"/>
      <c r="CA1143" s="322"/>
      <c r="CB1143" s="322"/>
      <c r="CC1143" s="322"/>
      <c r="CD1143" s="322"/>
      <c r="CE1143" s="322"/>
      <c r="CF1143" s="322"/>
      <c r="CG1143" s="322"/>
      <c r="CH1143" s="322"/>
      <c r="CI1143" s="322"/>
      <c r="CM1143" s="1139">
        <v>0</v>
      </c>
      <c r="CN1143" s="1139"/>
      <c r="CP1143" s="923">
        <f t="shared" si="659"/>
        <v>0</v>
      </c>
      <c r="CZ1143" s="330"/>
    </row>
    <row r="1144" spans="1:104" ht="15" customHeight="1" x14ac:dyDescent="0.25">
      <c r="A1144" s="684">
        <f>MAX($A$6:A1143)+1</f>
        <v>1144</v>
      </c>
      <c r="B1144" s="3">
        <f t="shared" si="689"/>
        <v>6.1</v>
      </c>
      <c r="C1144" s="11" t="str">
        <f t="shared" si="689"/>
        <v>Consolidated intangible assets 2025-26</v>
      </c>
      <c r="D1144" s="1250" t="s">
        <v>1719</v>
      </c>
      <c r="E1144" s="965" t="s">
        <v>1721</v>
      </c>
      <c r="F1144" s="15"/>
      <c r="G1144" s="26"/>
      <c r="H1144" s="1190"/>
      <c r="I1144" s="6"/>
      <c r="J1144" s="965" t="s">
        <v>1713</v>
      </c>
      <c r="K1144" s="280">
        <f>'alb Note 6.1 -  Intangibles CY'!B67</f>
        <v>0</v>
      </c>
      <c r="L1144" s="251"/>
      <c r="M1144" s="10"/>
      <c r="N1144" s="273"/>
      <c r="O1144" s="12"/>
      <c r="P1144" s="12"/>
      <c r="Q1144" s="12"/>
      <c r="R1144" s="12"/>
      <c r="S1144" s="6"/>
      <c r="T1144" s="273"/>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X1144" s="6"/>
      <c r="AY1144" s="6"/>
      <c r="BA1144" s="6"/>
      <c r="BB1144" s="6"/>
      <c r="BC1144" s="6"/>
      <c r="BD1144" s="29"/>
      <c r="BE1144" s="322"/>
      <c r="BF1144" s="322"/>
      <c r="BG1144" s="322"/>
      <c r="BH1144" s="322"/>
      <c r="BI1144" s="322"/>
      <c r="BJ1144" s="322"/>
      <c r="BK1144" s="29">
        <f t="shared" si="684"/>
        <v>0</v>
      </c>
      <c r="BL1144" s="322"/>
      <c r="BM1144" s="322"/>
      <c r="BN1144" s="322"/>
      <c r="BO1144" s="322"/>
      <c r="BP1144" s="322"/>
      <c r="BQ1144" s="322"/>
      <c r="BR1144" s="322"/>
      <c r="BS1144" s="322"/>
      <c r="BT1144" s="322"/>
      <c r="BU1144" s="322"/>
      <c r="BV1144" s="322"/>
      <c r="BW1144" s="322"/>
      <c r="BX1144" s="322"/>
      <c r="BY1144" s="322"/>
      <c r="BZ1144" s="322"/>
      <c r="CA1144" s="322"/>
      <c r="CB1144" s="322"/>
      <c r="CC1144" s="322"/>
      <c r="CD1144" s="322"/>
      <c r="CE1144" s="322"/>
      <c r="CF1144" s="322"/>
      <c r="CG1144" s="322"/>
      <c r="CH1144" s="322"/>
      <c r="CI1144" s="322"/>
      <c r="CM1144" s="1139">
        <v>0</v>
      </c>
      <c r="CN1144" s="1139"/>
      <c r="CP1144" s="923">
        <f t="shared" si="659"/>
        <v>0</v>
      </c>
      <c r="CZ1144" s="330"/>
    </row>
    <row r="1145" spans="1:104" ht="15" customHeight="1" x14ac:dyDescent="0.25">
      <c r="A1145" s="684">
        <f>MAX($A$6:A1144)+1</f>
        <v>1145</v>
      </c>
      <c r="B1145" s="3">
        <f t="shared" si="689"/>
        <v>6.1</v>
      </c>
      <c r="C1145" s="11" t="str">
        <f t="shared" si="689"/>
        <v>Consolidated intangible assets 2025-26</v>
      </c>
      <c r="D1145" s="1250" t="s">
        <v>1719</v>
      </c>
      <c r="E1145" s="965" t="s">
        <v>1721</v>
      </c>
      <c r="F1145" s="15"/>
      <c r="G1145" s="26"/>
      <c r="H1145" s="1190"/>
      <c r="I1145" s="6"/>
      <c r="J1145" s="965" t="s">
        <v>1714</v>
      </c>
      <c r="K1145" s="280">
        <f>'alb Note 6.1 -  Intangibles CY'!B68</f>
        <v>0</v>
      </c>
      <c r="L1145" s="251"/>
      <c r="M1145" s="10"/>
      <c r="N1145" s="273"/>
      <c r="O1145" s="12"/>
      <c r="P1145" s="12"/>
      <c r="Q1145" s="12"/>
      <c r="R1145" s="12"/>
      <c r="S1145" s="6"/>
      <c r="T1145" s="273"/>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X1145" s="6"/>
      <c r="AY1145" s="6"/>
      <c r="BA1145" s="6"/>
      <c r="BB1145" s="6"/>
      <c r="BC1145" s="6"/>
      <c r="BD1145" s="29"/>
      <c r="BE1145" s="322"/>
      <c r="BF1145" s="322"/>
      <c r="BG1145" s="322"/>
      <c r="BH1145" s="322"/>
      <c r="BI1145" s="322"/>
      <c r="BJ1145" s="322"/>
      <c r="BK1145" s="29">
        <f t="shared" si="684"/>
        <v>0</v>
      </c>
      <c r="BL1145" s="322"/>
      <c r="BM1145" s="322"/>
      <c r="BN1145" s="322"/>
      <c r="BO1145" s="322"/>
      <c r="BP1145" s="322"/>
      <c r="BQ1145" s="322"/>
      <c r="BR1145" s="322"/>
      <c r="BS1145" s="322"/>
      <c r="BT1145" s="322"/>
      <c r="BU1145" s="322"/>
      <c r="BV1145" s="322"/>
      <c r="BW1145" s="322"/>
      <c r="BX1145" s="322"/>
      <c r="BY1145" s="322"/>
      <c r="BZ1145" s="322"/>
      <c r="CA1145" s="322"/>
      <c r="CB1145" s="322"/>
      <c r="CC1145" s="322"/>
      <c r="CD1145" s="322"/>
      <c r="CE1145" s="322"/>
      <c r="CF1145" s="322"/>
      <c r="CG1145" s="322"/>
      <c r="CH1145" s="322"/>
      <c r="CI1145" s="322"/>
      <c r="CM1145" s="1139">
        <v>0</v>
      </c>
      <c r="CN1145" s="1139"/>
      <c r="CP1145" s="923">
        <f t="shared" si="659"/>
        <v>0</v>
      </c>
      <c r="CZ1145" s="330"/>
    </row>
    <row r="1146" spans="1:104" ht="15" customHeight="1" x14ac:dyDescent="0.25">
      <c r="A1146" s="684">
        <f>MAX($A$6:A1145)+1</f>
        <v>1146</v>
      </c>
      <c r="B1146" s="3">
        <f t="shared" si="689"/>
        <v>6.1</v>
      </c>
      <c r="C1146" s="11" t="str">
        <f t="shared" si="689"/>
        <v>Consolidated intangible assets 2025-26</v>
      </c>
      <c r="D1146" s="1250" t="s">
        <v>1719</v>
      </c>
      <c r="E1146" s="965" t="s">
        <v>1722</v>
      </c>
      <c r="F1146" s="15"/>
      <c r="G1146" s="26"/>
      <c r="H1146" s="1190"/>
      <c r="I1146" s="6"/>
      <c r="J1146" s="965" t="s">
        <v>1722</v>
      </c>
      <c r="K1146" s="280">
        <f>'alb Note 6.2 -  Intangibles PY'!J67</f>
        <v>0</v>
      </c>
      <c r="L1146" s="251"/>
      <c r="M1146" s="10"/>
      <c r="N1146" s="273"/>
      <c r="O1146" s="12"/>
      <c r="P1146" s="12"/>
      <c r="Q1146" s="12"/>
      <c r="R1146" s="12"/>
      <c r="S1146" s="6"/>
      <c r="T1146" s="273"/>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X1146" s="6"/>
      <c r="AY1146" s="6"/>
      <c r="BA1146" s="6"/>
      <c r="BB1146" s="6"/>
      <c r="BC1146" s="6"/>
      <c r="BD1146" s="29"/>
      <c r="BE1146" s="322"/>
      <c r="BF1146" s="322"/>
      <c r="BG1146" s="322"/>
      <c r="BH1146" s="322"/>
      <c r="BI1146" s="322"/>
      <c r="BJ1146" s="322"/>
      <c r="BK1146" s="29">
        <f t="shared" si="684"/>
        <v>0</v>
      </c>
      <c r="BL1146" s="322"/>
      <c r="BM1146" s="322"/>
      <c r="BN1146" s="322"/>
      <c r="BO1146" s="322"/>
      <c r="BP1146" s="322"/>
      <c r="BQ1146" s="322"/>
      <c r="BR1146" s="322"/>
      <c r="BS1146" s="322"/>
      <c r="BT1146" s="322"/>
      <c r="BU1146" s="322"/>
      <c r="BV1146" s="322"/>
      <c r="BW1146" s="322"/>
      <c r="BX1146" s="322"/>
      <c r="BY1146" s="322"/>
      <c r="BZ1146" s="322"/>
      <c r="CA1146" s="322"/>
      <c r="CB1146" s="322"/>
      <c r="CC1146" s="322"/>
      <c r="CD1146" s="322"/>
      <c r="CE1146" s="322"/>
      <c r="CF1146" s="322"/>
      <c r="CG1146" s="322"/>
      <c r="CH1146" s="322"/>
      <c r="CI1146" s="322"/>
      <c r="CM1146" s="1139">
        <v>0</v>
      </c>
      <c r="CN1146" s="1139"/>
      <c r="CP1146" s="923">
        <f t="shared" si="659"/>
        <v>0</v>
      </c>
      <c r="CZ1146" s="330"/>
    </row>
    <row r="1147" spans="1:104" ht="18.75" customHeight="1" x14ac:dyDescent="0.25">
      <c r="A1147" s="1297">
        <f>MAX($A$6:A1146)+1</f>
        <v>1147</v>
      </c>
      <c r="B1147" s="1295">
        <f>SUMIF(Update!$B$33:$B$106,C1147,Update!$A$33:$A$106)</f>
        <v>7</v>
      </c>
      <c r="C1147" s="696" t="s">
        <v>208</v>
      </c>
      <c r="D1147" s="695"/>
      <c r="E1147" s="696" t="str">
        <f>B1147&amp;" "&amp;C1147</f>
        <v>7 Impairments</v>
      </c>
      <c r="F1147" s="697"/>
      <c r="G1147" s="697"/>
      <c r="H1147" s="695"/>
      <c r="I1147" s="695"/>
      <c r="J1147" s="698" t="s">
        <v>286</v>
      </c>
      <c r="K1147" s="699">
        <f>SUMIF('alb Note 7 - Impairments'!$A:$A,$J1147,'alb Note 7 - Impairments'!$B:$B)</f>
        <v>0</v>
      </c>
      <c r="L1147" s="699">
        <f>SUMIF('alb Note 7 - Impairments'!$A:$A,$J1147,'alb Note 7 - Impairments'!$P:$P)</f>
        <v>0</v>
      </c>
      <c r="M1147" s="695"/>
      <c r="N1147" s="713">
        <f>ROUND(SUM(O1147:AU1147)-T1147,0)</f>
        <v>0</v>
      </c>
      <c r="O1147" s="695"/>
      <c r="P1147" s="695"/>
      <c r="Q1147" s="695"/>
      <c r="R1147" s="695"/>
      <c r="S1147" s="695">
        <f t="shared" si="662"/>
        <v>0</v>
      </c>
      <c r="T1147" s="713">
        <f>ROUND(SUM(U1147:Y1147),0)</f>
        <v>0</v>
      </c>
      <c r="U1147" s="695"/>
      <c r="V1147" s="695"/>
      <c r="W1147" s="695"/>
      <c r="X1147" s="695"/>
      <c r="Y1147" s="695"/>
      <c r="Z1147" s="695"/>
      <c r="AA1147" s="695"/>
      <c r="AB1147" s="695"/>
      <c r="AC1147" s="695"/>
      <c r="AD1147" s="695"/>
      <c r="AE1147" s="695"/>
      <c r="AF1147" s="695"/>
      <c r="AG1147" s="695"/>
      <c r="AH1147" s="695"/>
      <c r="AI1147" s="695"/>
      <c r="AJ1147" s="695"/>
      <c r="AK1147" s="695"/>
      <c r="AL1147" s="695"/>
      <c r="AM1147" s="695"/>
      <c r="AN1147" s="695"/>
      <c r="AO1147" s="695"/>
      <c r="AP1147" s="695"/>
      <c r="AQ1147" s="695"/>
      <c r="AR1147" s="695"/>
      <c r="AS1147" s="695"/>
      <c r="AT1147" s="695"/>
      <c r="AU1147" s="695"/>
      <c r="AV1147" s="695"/>
      <c r="AW1147" s="700"/>
      <c r="AX1147" s="700"/>
      <c r="AY1147" s="700">
        <f>ROUND(AX1147/1000/Update!$B$31*Update!$B$27,0)</f>
        <v>0</v>
      </c>
      <c r="AZ1147" s="700"/>
      <c r="BA1147" s="700"/>
      <c r="BB1147" s="700">
        <f>ROUND(BA1147/1000/Update!$B$31,0)</f>
        <v>0</v>
      </c>
      <c r="BC1147" s="700"/>
      <c r="BD1147" s="721">
        <f t="shared" ref="BD1147:BD1159" si="690">ROUND(SUM(BE1147:BK1147),0)</f>
        <v>0</v>
      </c>
      <c r="BE1147" s="700"/>
      <c r="BF1147" s="700"/>
      <c r="BG1147" s="700"/>
      <c r="BH1147" s="700"/>
      <c r="BI1147" s="700"/>
      <c r="BJ1147" s="700"/>
      <c r="BK1147" s="721">
        <f t="shared" si="684"/>
        <v>0</v>
      </c>
      <c r="BL1147" s="700"/>
      <c r="BM1147" s="700"/>
      <c r="BN1147" s="700"/>
      <c r="BO1147" s="700"/>
      <c r="BP1147" s="700"/>
      <c r="BQ1147" s="700"/>
      <c r="BR1147" s="700"/>
      <c r="BS1147" s="700"/>
      <c r="BT1147" s="700"/>
      <c r="BU1147" s="700"/>
      <c r="BV1147" s="700"/>
      <c r="BW1147" s="700"/>
      <c r="BX1147" s="700"/>
      <c r="BY1147" s="700"/>
      <c r="BZ1147" s="700"/>
      <c r="CA1147" s="700"/>
      <c r="CB1147" s="700"/>
      <c r="CC1147" s="700"/>
      <c r="CD1147" s="700"/>
      <c r="CE1147" s="700"/>
      <c r="CF1147" s="700"/>
      <c r="CG1147" s="700"/>
      <c r="CH1147" s="700"/>
      <c r="CI1147" s="700"/>
      <c r="CJ1147" s="700"/>
      <c r="CK1147" s="700"/>
      <c r="CM1147" s="700">
        <v>0</v>
      </c>
      <c r="CN1147" s="700">
        <v>0</v>
      </c>
      <c r="CP1147" s="923">
        <f t="shared" si="659"/>
        <v>0</v>
      </c>
      <c r="CZ1147" s="330"/>
    </row>
    <row r="1148" spans="1:104" ht="36" customHeight="1" x14ac:dyDescent="0.25">
      <c r="A1148" s="684">
        <f>MAX($A$6:A1147)+1</f>
        <v>1148</v>
      </c>
      <c r="B1148" s="3">
        <f t="shared" si="652"/>
        <v>7</v>
      </c>
      <c r="C1148" s="11" t="str">
        <f>C1147</f>
        <v>Impairments</v>
      </c>
      <c r="D1148" s="11" t="s">
        <v>728</v>
      </c>
      <c r="E1148" s="291" t="s">
        <v>606</v>
      </c>
      <c r="F1148" s="291"/>
      <c r="G1148" s="1254" t="s">
        <v>458</v>
      </c>
      <c r="H1148" s="6">
        <v>0</v>
      </c>
      <c r="I1148" s="6">
        <v>0</v>
      </c>
      <c r="J1148" s="1257" t="s">
        <v>876</v>
      </c>
      <c r="K1148" s="251">
        <f>SUMIF('alb Note 7 - Impairments'!$A:$A,$J1148,'alb Note 7 - Impairments'!$B:$B)</f>
        <v>0</v>
      </c>
      <c r="L1148" s="251">
        <f>SUMIF('alb Note 7 - Impairments'!$A:$A,$J1148,'alb Note 7 - Impairments'!$K:$K)</f>
        <v>0</v>
      </c>
      <c r="M1148" s="10"/>
      <c r="N1148" s="273">
        <f>ROUND(SUM(O1148:S1148)+SUM(W1148:AV1148),0)</f>
        <v>0</v>
      </c>
      <c r="O1148" s="12"/>
      <c r="P1148" s="12"/>
      <c r="Q1148" s="12"/>
      <c r="R1148" s="12"/>
      <c r="S1148" s="6">
        <f t="shared" si="662"/>
        <v>0</v>
      </c>
      <c r="T1148" s="273">
        <f>ROUND(SUM(U1148:Y1148),0)</f>
        <v>0</v>
      </c>
      <c r="U1148" s="251">
        <f>SUM(BL1148:BN1148)</f>
        <v>0</v>
      </c>
      <c r="V1148" s="251"/>
      <c r="W1148" s="251">
        <f t="shared" ref="W1148:W1155" si="691">+H1148</f>
        <v>0</v>
      </c>
      <c r="X1148" s="251"/>
      <c r="Y1148" s="251"/>
      <c r="Z1148" s="251"/>
      <c r="AA1148" s="251"/>
      <c r="AB1148" s="251"/>
      <c r="AC1148" s="251"/>
      <c r="AD1148" s="251"/>
      <c r="AE1148" s="251"/>
      <c r="AF1148" s="251"/>
      <c r="AG1148" s="251"/>
      <c r="AH1148" s="251"/>
      <c r="AI1148" s="251"/>
      <c r="AJ1148" s="251"/>
      <c r="AK1148" s="251"/>
      <c r="AL1148" s="251"/>
      <c r="AM1148" s="251"/>
      <c r="AN1148" s="251"/>
      <c r="AO1148" s="251"/>
      <c r="AP1148" s="251"/>
      <c r="AQ1148" s="251"/>
      <c r="AR1148" s="251"/>
      <c r="AS1148" s="251"/>
      <c r="AT1148" s="251"/>
      <c r="AU1148" s="251"/>
      <c r="AV1148" s="251"/>
      <c r="AX1148" s="6"/>
      <c r="AY1148" s="6">
        <f>ROUND(AX1148/1000/Update!$B$31*Update!$B$27,0)</f>
        <v>0</v>
      </c>
      <c r="BA1148" s="6"/>
      <c r="BB1148" s="6">
        <f>ROUND(BA1148/1000/Update!$B$31,0)</f>
        <v>0</v>
      </c>
      <c r="BC1148" s="6"/>
      <c r="BD1148" s="29">
        <f t="shared" si="690"/>
        <v>0</v>
      </c>
      <c r="BE1148" s="317"/>
      <c r="BF1148" s="1191"/>
      <c r="BG1148" s="317"/>
      <c r="BH1148" s="317"/>
      <c r="BI1148" s="317"/>
      <c r="BJ1148" s="317"/>
      <c r="BK1148" s="29">
        <f t="shared" si="684"/>
        <v>0</v>
      </c>
      <c r="BL1148" s="317"/>
      <c r="BM1148" s="317"/>
      <c r="BN1148" s="317"/>
      <c r="BO1148" s="317"/>
      <c r="BP1148" s="317"/>
      <c r="BQ1148" s="317"/>
      <c r="BR1148" s="317"/>
      <c r="BS1148" s="317"/>
      <c r="BT1148" s="317"/>
      <c r="BU1148" s="317"/>
      <c r="BV1148" s="317"/>
      <c r="BW1148" s="317"/>
      <c r="BX1148" s="317"/>
      <c r="BY1148" s="317"/>
      <c r="BZ1148" s="317"/>
      <c r="CA1148" s="317"/>
      <c r="CB1148" s="317"/>
      <c r="CC1148" s="317"/>
      <c r="CD1148" s="317"/>
      <c r="CE1148" s="317"/>
      <c r="CF1148" s="317"/>
      <c r="CG1148" s="317"/>
      <c r="CH1148" s="317"/>
      <c r="CI1148" s="317"/>
      <c r="CM1148" s="1139">
        <v>0</v>
      </c>
      <c r="CN1148" s="1139">
        <v>0</v>
      </c>
      <c r="CP1148" s="923">
        <f t="shared" si="659"/>
        <v>0</v>
      </c>
      <c r="CZ1148" s="330"/>
    </row>
    <row r="1149" spans="1:104" ht="36" customHeight="1" x14ac:dyDescent="0.25">
      <c r="A1149" s="684">
        <f>MAX($A$6:A1148)+1</f>
        <v>1149</v>
      </c>
      <c r="B1149" s="3">
        <f t="shared" si="652"/>
        <v>7</v>
      </c>
      <c r="C1149" s="11" t="str">
        <f>C1148</f>
        <v>Impairments</v>
      </c>
      <c r="D1149" s="11" t="s">
        <v>728</v>
      </c>
      <c r="E1149" s="291" t="s">
        <v>215</v>
      </c>
      <c r="F1149" s="291"/>
      <c r="G1149" s="1254" t="s">
        <v>459</v>
      </c>
      <c r="H1149" s="6">
        <v>0</v>
      </c>
      <c r="I1149" s="6">
        <v>0</v>
      </c>
      <c r="J1149" s="1257" t="s">
        <v>770</v>
      </c>
      <c r="K1149" s="251">
        <f>SUMIF('alb Note 7 - Impairments'!$A:$A,$J1149,'alb Note 7 - Impairments'!$B:$B)</f>
        <v>0</v>
      </c>
      <c r="L1149" s="251">
        <f>SUMIF('alb Note 7 - Impairments'!$A:$A,$J1149,'alb Note 7 - Impairments'!$K:$K)</f>
        <v>0</v>
      </c>
      <c r="M1149" s="10"/>
      <c r="N1149" s="273">
        <f>ROUND(SUM(O1149:S1149)+SUM(W1149:AV1149),0)</f>
        <v>0</v>
      </c>
      <c r="O1149" s="12"/>
      <c r="P1149" s="12"/>
      <c r="Q1149" s="12"/>
      <c r="R1149" s="12"/>
      <c r="S1149" s="6">
        <f t="shared" si="662"/>
        <v>0</v>
      </c>
      <c r="T1149" s="273">
        <f>ROUND(SUM(U1149:Y1149),0)</f>
        <v>0</v>
      </c>
      <c r="U1149" s="6">
        <f>SUM(BL1149:BN1149)</f>
        <v>0</v>
      </c>
      <c r="V1149" s="6"/>
      <c r="W1149" s="6">
        <f t="shared" si="691"/>
        <v>0</v>
      </c>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X1149" s="6"/>
      <c r="AY1149" s="6">
        <f>ROUND(AX1149/1000/Update!$B$31*Update!$B$27,0)</f>
        <v>0</v>
      </c>
      <c r="BA1149" s="6"/>
      <c r="BB1149" s="6">
        <f>ROUND(BA1149/1000/Update!$B$31,0)</f>
        <v>0</v>
      </c>
      <c r="BC1149" s="6"/>
      <c r="BD1149" s="29">
        <f t="shared" si="690"/>
        <v>0</v>
      </c>
      <c r="BE1149" s="317"/>
      <c r="BF1149" s="1191"/>
      <c r="BG1149" s="317"/>
      <c r="BH1149" s="317"/>
      <c r="BI1149" s="317"/>
      <c r="BJ1149" s="317"/>
      <c r="BK1149" s="29">
        <f t="shared" si="684"/>
        <v>0</v>
      </c>
      <c r="BL1149" s="317"/>
      <c r="BM1149" s="317"/>
      <c r="BN1149" s="317"/>
      <c r="BO1149" s="317"/>
      <c r="BP1149" s="317"/>
      <c r="BQ1149" s="317"/>
      <c r="BR1149" s="317"/>
      <c r="BS1149" s="317"/>
      <c r="BT1149" s="317"/>
      <c r="BU1149" s="317"/>
      <c r="BV1149" s="317"/>
      <c r="BW1149" s="317"/>
      <c r="BX1149" s="317"/>
      <c r="BY1149" s="317"/>
      <c r="BZ1149" s="317"/>
      <c r="CA1149" s="317"/>
      <c r="CB1149" s="317"/>
      <c r="CC1149" s="317"/>
      <c r="CD1149" s="317"/>
      <c r="CE1149" s="317"/>
      <c r="CF1149" s="317"/>
      <c r="CG1149" s="317"/>
      <c r="CH1149" s="317"/>
      <c r="CI1149" s="317"/>
      <c r="CM1149" s="1139">
        <v>0</v>
      </c>
      <c r="CN1149" s="1139">
        <v>0</v>
      </c>
      <c r="CP1149" s="923">
        <f t="shared" si="659"/>
        <v>0</v>
      </c>
      <c r="CZ1149" s="330"/>
    </row>
    <row r="1150" spans="1:104" ht="15" customHeight="1" x14ac:dyDescent="0.25">
      <c r="A1150" s="701">
        <f>MAX($A$6:A1149)+1</f>
        <v>1150</v>
      </c>
      <c r="B1150" s="1291">
        <f t="shared" si="652"/>
        <v>7</v>
      </c>
      <c r="C1150" s="18" t="str">
        <f>C1149</f>
        <v>Impairments</v>
      </c>
      <c r="D1150" s="18" t="s">
        <v>728</v>
      </c>
      <c r="E1150" s="19" t="s">
        <v>804</v>
      </c>
      <c r="F1150" s="19"/>
      <c r="G1150" s="1278"/>
      <c r="H1150" s="14">
        <f>SUM(H1148:H1149)</f>
        <v>0</v>
      </c>
      <c r="I1150" s="14">
        <f>SUM(I1148:I1149)</f>
        <v>0</v>
      </c>
      <c r="J1150" s="1258" t="s">
        <v>286</v>
      </c>
      <c r="K1150" s="256">
        <f>K1148+K1149</f>
        <v>0</v>
      </c>
      <c r="L1150" s="256">
        <f>L1148+L1149</f>
        <v>0</v>
      </c>
      <c r="M1150" s="21"/>
      <c r="N1150" s="14">
        <f>ROUND(SUM(O1150:S1150)+T1150+SUM(Z1150:AV1150),0)</f>
        <v>0</v>
      </c>
      <c r="O1150" s="14">
        <f t="shared" ref="O1150:W1150" si="692">SUM(O1148:O1149)</f>
        <v>0</v>
      </c>
      <c r="P1150" s="14">
        <f t="shared" si="692"/>
        <v>0</v>
      </c>
      <c r="Q1150" s="14">
        <f t="shared" si="692"/>
        <v>0</v>
      </c>
      <c r="R1150" s="14">
        <f t="shared" si="692"/>
        <v>0</v>
      </c>
      <c r="S1150" s="14">
        <f t="shared" si="662"/>
        <v>0</v>
      </c>
      <c r="T1150" s="14">
        <f t="shared" si="692"/>
        <v>0</v>
      </c>
      <c r="U1150" s="14">
        <f t="shared" si="692"/>
        <v>0</v>
      </c>
      <c r="V1150" s="14">
        <f t="shared" si="692"/>
        <v>0</v>
      </c>
      <c r="W1150" s="14">
        <f t="shared" si="692"/>
        <v>0</v>
      </c>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2"/>
      <c r="AX1150" s="14">
        <f>SUM(AX1148:AX1149)</f>
        <v>0</v>
      </c>
      <c r="AY1150" s="14">
        <f>ROUND(AX1150/1000/Update!$B$31*Update!$B$27,0)</f>
        <v>0</v>
      </c>
      <c r="AZ1150" s="2"/>
      <c r="BA1150" s="14">
        <f>SUM(BA1148:BA1149)</f>
        <v>0</v>
      </c>
      <c r="BB1150" s="14">
        <f>ROUND(BA1150/1000/Update!$B$31,0)</f>
        <v>0</v>
      </c>
      <c r="BC1150" s="14"/>
      <c r="BD1150" s="14">
        <f t="shared" si="690"/>
        <v>0</v>
      </c>
      <c r="BE1150" s="318">
        <f t="shared" ref="BE1150:BJ1150" si="693">SUM(BE1148:BE1149)</f>
        <v>0</v>
      </c>
      <c r="BF1150" s="318">
        <f t="shared" si="693"/>
        <v>0</v>
      </c>
      <c r="BG1150" s="318">
        <f t="shared" si="693"/>
        <v>0</v>
      </c>
      <c r="BH1150" s="318">
        <f t="shared" si="693"/>
        <v>0</v>
      </c>
      <c r="BI1150" s="318">
        <f t="shared" si="693"/>
        <v>0</v>
      </c>
      <c r="BJ1150" s="318">
        <f t="shared" si="693"/>
        <v>0</v>
      </c>
      <c r="BK1150" s="14">
        <f t="shared" si="684"/>
        <v>0</v>
      </c>
      <c r="BL1150" s="318"/>
      <c r="BM1150" s="318"/>
      <c r="BN1150" s="318"/>
      <c r="BO1150" s="318"/>
      <c r="BP1150" s="318"/>
      <c r="BQ1150" s="318"/>
      <c r="BR1150" s="318"/>
      <c r="BS1150" s="318"/>
      <c r="BT1150" s="318"/>
      <c r="BU1150" s="318"/>
      <c r="BV1150" s="318"/>
      <c r="BW1150" s="318"/>
      <c r="BX1150" s="318"/>
      <c r="BY1150" s="318"/>
      <c r="BZ1150" s="318"/>
      <c r="CA1150" s="318"/>
      <c r="CB1150" s="318"/>
      <c r="CC1150" s="318"/>
      <c r="CD1150" s="318"/>
      <c r="CE1150" s="318"/>
      <c r="CF1150" s="318"/>
      <c r="CG1150" s="318"/>
      <c r="CH1150" s="318"/>
      <c r="CI1150" s="318"/>
      <c r="CJ1150" s="2"/>
      <c r="CK1150" s="2"/>
      <c r="CM1150" s="1140">
        <v>0</v>
      </c>
      <c r="CN1150" s="1140">
        <v>0</v>
      </c>
      <c r="CP1150" s="923">
        <f t="shared" si="659"/>
        <v>0</v>
      </c>
      <c r="CZ1150" s="330"/>
    </row>
    <row r="1151" spans="1:104" ht="36" customHeight="1" x14ac:dyDescent="0.25">
      <c r="A1151" s="684">
        <f>MAX($A$6:A1150)+1</f>
        <v>1151</v>
      </c>
      <c r="B1151" s="3">
        <f t="shared" si="652"/>
        <v>7</v>
      </c>
      <c r="C1151" s="11" t="s">
        <v>213</v>
      </c>
      <c r="D1151" s="11" t="s">
        <v>685</v>
      </c>
      <c r="E1151" s="291" t="s">
        <v>606</v>
      </c>
      <c r="F1151" s="291"/>
      <c r="G1151" s="1254" t="s">
        <v>458</v>
      </c>
      <c r="H1151" s="1190">
        <v>0</v>
      </c>
      <c r="I1151" s="1190"/>
      <c r="J1151" s="1257" t="s">
        <v>876</v>
      </c>
      <c r="K1151" s="251">
        <f>SUMIF('alb Note 7 - Impairments'!$A:$A,$J1151,'alb Note 7 - Impairments'!$D:$D)</f>
        <v>0</v>
      </c>
      <c r="L1151" s="251">
        <f>SUMIF('alb Note 7 - Impairments'!$A:$A,$J1151,'alb Note 7 - Impairments'!$L:$L)</f>
        <v>0</v>
      </c>
      <c r="M1151" s="10"/>
      <c r="N1151" s="273">
        <f>ROUND(SUM(O1151:S1151)+SUM(W1151:AV1151),0)</f>
        <v>0</v>
      </c>
      <c r="O1151" s="12"/>
      <c r="P1151" s="12"/>
      <c r="Q1151" s="12"/>
      <c r="R1151" s="12"/>
      <c r="S1151" s="6">
        <f t="shared" si="662"/>
        <v>0</v>
      </c>
      <c r="T1151" s="273">
        <f>ROUND(SUM(U1151:Y1151),0)</f>
        <v>0</v>
      </c>
      <c r="U1151" s="251">
        <f>SUM(BL1151:BN1151)</f>
        <v>0</v>
      </c>
      <c r="V1151" s="251"/>
      <c r="W1151" s="251">
        <f t="shared" si="691"/>
        <v>0</v>
      </c>
      <c r="X1151" s="251"/>
      <c r="Y1151" s="251"/>
      <c r="Z1151" s="251"/>
      <c r="AA1151" s="251"/>
      <c r="AB1151" s="251"/>
      <c r="AC1151" s="251"/>
      <c r="AD1151" s="251"/>
      <c r="AE1151" s="251"/>
      <c r="AF1151" s="251"/>
      <c r="AG1151" s="251"/>
      <c r="AH1151" s="251"/>
      <c r="AI1151" s="251"/>
      <c r="AJ1151" s="251"/>
      <c r="AK1151" s="251"/>
      <c r="AL1151" s="251"/>
      <c r="AM1151" s="251"/>
      <c r="AN1151" s="251"/>
      <c r="AO1151" s="251"/>
      <c r="AP1151" s="251"/>
      <c r="AQ1151" s="251"/>
      <c r="AR1151" s="251"/>
      <c r="AS1151" s="251"/>
      <c r="AT1151" s="251"/>
      <c r="AU1151" s="251"/>
      <c r="AV1151" s="251"/>
      <c r="AX1151" s="6"/>
      <c r="AY1151" s="6">
        <f>ROUND(AX1151/1000/Update!$B$31*Update!$B$27,0)</f>
        <v>0</v>
      </c>
      <c r="BA1151" s="6"/>
      <c r="BB1151" s="6">
        <f>ROUND(BA1151/1000/Update!$B$31,0)</f>
        <v>0</v>
      </c>
      <c r="BC1151" s="6"/>
      <c r="BD1151" s="29">
        <f t="shared" si="690"/>
        <v>0</v>
      </c>
      <c r="BE1151" s="317"/>
      <c r="BF1151" s="317"/>
      <c r="BG1151" s="317"/>
      <c r="BH1151" s="317"/>
      <c r="BI1151" s="317"/>
      <c r="BJ1151" s="317"/>
      <c r="BK1151" s="29">
        <f t="shared" si="684"/>
        <v>0</v>
      </c>
      <c r="BL1151" s="317"/>
      <c r="BM1151" s="317"/>
      <c r="BN1151" s="317"/>
      <c r="BO1151" s="317"/>
      <c r="BP1151" s="317"/>
      <c r="BQ1151" s="317"/>
      <c r="BR1151" s="317"/>
      <c r="BS1151" s="317"/>
      <c r="BT1151" s="317"/>
      <c r="BU1151" s="317"/>
      <c r="BV1151" s="317"/>
      <c r="BW1151" s="317"/>
      <c r="BX1151" s="317"/>
      <c r="BY1151" s="317"/>
      <c r="BZ1151" s="317"/>
      <c r="CA1151" s="317"/>
      <c r="CB1151" s="317"/>
      <c r="CC1151" s="317"/>
      <c r="CD1151" s="317"/>
      <c r="CE1151" s="317"/>
      <c r="CF1151" s="317"/>
      <c r="CG1151" s="317"/>
      <c r="CH1151" s="317"/>
      <c r="CI1151" s="317"/>
      <c r="CM1151" s="1139">
        <v>0</v>
      </c>
      <c r="CN1151" s="1139">
        <v>0</v>
      </c>
      <c r="CP1151" s="923">
        <f t="shared" si="659"/>
        <v>0</v>
      </c>
      <c r="CZ1151" s="330"/>
    </row>
    <row r="1152" spans="1:104" ht="36" customHeight="1" x14ac:dyDescent="0.25">
      <c r="A1152" s="684">
        <f>MAX($A$6:A1151)+1</f>
        <v>1152</v>
      </c>
      <c r="B1152" s="3">
        <f t="shared" si="652"/>
        <v>7</v>
      </c>
      <c r="C1152" s="11" t="str">
        <f>C1151</f>
        <v>8. Impairments</v>
      </c>
      <c r="D1152" s="11" t="s">
        <v>685</v>
      </c>
      <c r="E1152" s="291" t="s">
        <v>215</v>
      </c>
      <c r="F1152" s="291"/>
      <c r="G1152" s="1254" t="s">
        <v>459</v>
      </c>
      <c r="H1152" s="1190">
        <v>0</v>
      </c>
      <c r="I1152" s="1190"/>
      <c r="J1152" s="1257" t="s">
        <v>770</v>
      </c>
      <c r="K1152" s="251">
        <f>SUMIF('alb Note 7 - Impairments'!$A:$A,$J1152,'alb Note 7 - Impairments'!$D:$D)</f>
        <v>0</v>
      </c>
      <c r="L1152" s="251">
        <f>SUMIF('alb Note 7 - Impairments'!$A:$A,$J1152,'alb Note 7 - Impairments'!$L:$L)</f>
        <v>0</v>
      </c>
      <c r="M1152" s="10"/>
      <c r="N1152" s="273">
        <f>ROUND(SUM(O1152:S1152)+SUM(W1152:AV1152),0)</f>
        <v>0</v>
      </c>
      <c r="O1152" s="12"/>
      <c r="P1152" s="12"/>
      <c r="Q1152" s="12"/>
      <c r="R1152" s="12"/>
      <c r="S1152" s="6">
        <f t="shared" si="662"/>
        <v>0</v>
      </c>
      <c r="T1152" s="273">
        <f>ROUND(SUM(U1152:Y1152),0)</f>
        <v>0</v>
      </c>
      <c r="U1152" s="251">
        <f>SUM(BL1152:BN1152)</f>
        <v>0</v>
      </c>
      <c r="V1152" s="251"/>
      <c r="W1152" s="251">
        <f t="shared" si="691"/>
        <v>0</v>
      </c>
      <c r="X1152" s="251"/>
      <c r="Y1152" s="251"/>
      <c r="Z1152" s="251"/>
      <c r="AA1152" s="251"/>
      <c r="AB1152" s="251"/>
      <c r="AC1152" s="251"/>
      <c r="AD1152" s="251"/>
      <c r="AE1152" s="251"/>
      <c r="AF1152" s="251"/>
      <c r="AG1152" s="251"/>
      <c r="AH1152" s="251"/>
      <c r="AI1152" s="251"/>
      <c r="AJ1152" s="251"/>
      <c r="AK1152" s="251"/>
      <c r="AL1152" s="251"/>
      <c r="AM1152" s="251"/>
      <c r="AN1152" s="251"/>
      <c r="AO1152" s="251"/>
      <c r="AP1152" s="251"/>
      <c r="AQ1152" s="251"/>
      <c r="AR1152" s="251"/>
      <c r="AS1152" s="251"/>
      <c r="AT1152" s="251"/>
      <c r="AU1152" s="251"/>
      <c r="AV1152" s="251"/>
      <c r="AX1152" s="6"/>
      <c r="AY1152" s="6">
        <f>ROUND(AX1152/1000/Update!$B$31*Update!$B$27,0)</f>
        <v>0</v>
      </c>
      <c r="BA1152" s="6"/>
      <c r="BB1152" s="6">
        <f>ROUND(BA1152/1000/Update!$B$31,0)</f>
        <v>0</v>
      </c>
      <c r="BC1152" s="6"/>
      <c r="BD1152" s="29">
        <f t="shared" si="690"/>
        <v>0</v>
      </c>
      <c r="BE1152" s="317"/>
      <c r="BF1152" s="317"/>
      <c r="BG1152" s="317"/>
      <c r="BH1152" s="317"/>
      <c r="BI1152" s="317"/>
      <c r="BJ1152" s="317"/>
      <c r="BK1152" s="29">
        <f t="shared" si="684"/>
        <v>0</v>
      </c>
      <c r="BL1152" s="317"/>
      <c r="BM1152" s="317"/>
      <c r="BN1152" s="317"/>
      <c r="BO1152" s="317"/>
      <c r="BP1152" s="317"/>
      <c r="BQ1152" s="317"/>
      <c r="BR1152" s="317"/>
      <c r="BS1152" s="317"/>
      <c r="BT1152" s="317"/>
      <c r="BU1152" s="317"/>
      <c r="BV1152" s="317"/>
      <c r="BW1152" s="317"/>
      <c r="BX1152" s="317"/>
      <c r="BY1152" s="317"/>
      <c r="BZ1152" s="317"/>
      <c r="CA1152" s="317"/>
      <c r="CB1152" s="317"/>
      <c r="CC1152" s="317"/>
      <c r="CD1152" s="317"/>
      <c r="CE1152" s="317"/>
      <c r="CF1152" s="317"/>
      <c r="CG1152" s="317"/>
      <c r="CH1152" s="317"/>
      <c r="CI1152" s="317"/>
      <c r="CM1152" s="1139">
        <v>0</v>
      </c>
      <c r="CN1152" s="1139">
        <v>0</v>
      </c>
      <c r="CP1152" s="923">
        <f t="shared" si="659"/>
        <v>0</v>
      </c>
      <c r="CZ1152" s="330"/>
    </row>
    <row r="1153" spans="1:104" ht="15" customHeight="1" x14ac:dyDescent="0.25">
      <c r="A1153" s="701">
        <f>MAX($A$6:A1152)+1</f>
        <v>1153</v>
      </c>
      <c r="B1153" s="1291">
        <f t="shared" si="652"/>
        <v>7</v>
      </c>
      <c r="C1153" s="18" t="str">
        <f>C1152</f>
        <v>8. Impairments</v>
      </c>
      <c r="D1153" s="18" t="s">
        <v>685</v>
      </c>
      <c r="E1153" s="19" t="s">
        <v>804</v>
      </c>
      <c r="F1153" s="19"/>
      <c r="G1153" s="1278"/>
      <c r="H1153" s="14">
        <f>SUM(H1151:H1152)</f>
        <v>0</v>
      </c>
      <c r="I1153" s="14"/>
      <c r="J1153" s="1258" t="s">
        <v>286</v>
      </c>
      <c r="K1153" s="256">
        <f>K1151+K1152</f>
        <v>0</v>
      </c>
      <c r="L1153" s="256">
        <f>L1151+L1152</f>
        <v>0</v>
      </c>
      <c r="M1153" s="21"/>
      <c r="N1153" s="14">
        <f>ROUND(SUM(O1153:S1153)+T1153+SUM(Z1153:AV1153),0)</f>
        <v>0</v>
      </c>
      <c r="O1153" s="14">
        <f t="shared" ref="O1153:W1153" si="694">SUM(O1151:O1152)</f>
        <v>0</v>
      </c>
      <c r="P1153" s="14">
        <f t="shared" si="694"/>
        <v>0</v>
      </c>
      <c r="Q1153" s="14">
        <f t="shared" si="694"/>
        <v>0</v>
      </c>
      <c r="R1153" s="14">
        <f t="shared" si="694"/>
        <v>0</v>
      </c>
      <c r="S1153" s="14">
        <f t="shared" si="662"/>
        <v>0</v>
      </c>
      <c r="T1153" s="14">
        <f t="shared" si="694"/>
        <v>0</v>
      </c>
      <c r="U1153" s="14">
        <f t="shared" si="694"/>
        <v>0</v>
      </c>
      <c r="V1153" s="14">
        <f t="shared" si="694"/>
        <v>0</v>
      </c>
      <c r="W1153" s="14">
        <f t="shared" si="694"/>
        <v>0</v>
      </c>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2"/>
      <c r="AX1153" s="14">
        <f>SUM(AX1151:AX1152)</f>
        <v>0</v>
      </c>
      <c r="AY1153" s="14">
        <f>ROUND(AX1153/1000/Update!$B$31*Update!$B$27,0)</f>
        <v>0</v>
      </c>
      <c r="AZ1153" s="2"/>
      <c r="BA1153" s="14">
        <f>SUM(BA1151:BA1152)</f>
        <v>0</v>
      </c>
      <c r="BB1153" s="14">
        <f>ROUND(BA1153/1000/Update!$B$31,0)</f>
        <v>0</v>
      </c>
      <c r="BC1153" s="14"/>
      <c r="BD1153" s="14">
        <f t="shared" si="690"/>
        <v>0</v>
      </c>
      <c r="BE1153" s="318">
        <f t="shared" ref="BE1153:BJ1153" si="695">SUM(BE1151:BE1152)</f>
        <v>0</v>
      </c>
      <c r="BF1153" s="318">
        <f t="shared" si="695"/>
        <v>0</v>
      </c>
      <c r="BG1153" s="318">
        <f t="shared" si="695"/>
        <v>0</v>
      </c>
      <c r="BH1153" s="318">
        <f t="shared" si="695"/>
        <v>0</v>
      </c>
      <c r="BI1153" s="318">
        <f t="shared" si="695"/>
        <v>0</v>
      </c>
      <c r="BJ1153" s="318">
        <f t="shared" si="695"/>
        <v>0</v>
      </c>
      <c r="BK1153" s="14">
        <f t="shared" si="684"/>
        <v>0</v>
      </c>
      <c r="BL1153" s="318"/>
      <c r="BM1153" s="318"/>
      <c r="BN1153" s="318"/>
      <c r="BO1153" s="318"/>
      <c r="BP1153" s="318"/>
      <c r="BQ1153" s="318"/>
      <c r="BR1153" s="318"/>
      <c r="BS1153" s="318"/>
      <c r="BT1153" s="318"/>
      <c r="BU1153" s="318"/>
      <c r="BV1153" s="318"/>
      <c r="BW1153" s="318"/>
      <c r="BX1153" s="318"/>
      <c r="BY1153" s="318"/>
      <c r="BZ1153" s="318"/>
      <c r="CA1153" s="318"/>
      <c r="CB1153" s="318"/>
      <c r="CC1153" s="318"/>
      <c r="CD1153" s="318"/>
      <c r="CE1153" s="318"/>
      <c r="CF1153" s="318"/>
      <c r="CG1153" s="318"/>
      <c r="CH1153" s="318"/>
      <c r="CI1153" s="318"/>
      <c r="CJ1153" s="2"/>
      <c r="CK1153" s="2"/>
      <c r="CM1153" s="1140">
        <v>0</v>
      </c>
      <c r="CN1153" s="1140">
        <v>0</v>
      </c>
      <c r="CP1153" s="923">
        <f t="shared" si="659"/>
        <v>0</v>
      </c>
      <c r="CZ1153" s="330"/>
    </row>
    <row r="1154" spans="1:104" ht="36" customHeight="1" x14ac:dyDescent="0.25">
      <c r="A1154" s="684">
        <f>MAX($A$6:A1153)+1</f>
        <v>1154</v>
      </c>
      <c r="B1154" s="3">
        <f t="shared" si="652"/>
        <v>7</v>
      </c>
      <c r="C1154" s="11" t="s">
        <v>213</v>
      </c>
      <c r="D1154" s="11" t="s">
        <v>343</v>
      </c>
      <c r="E1154" s="291" t="s">
        <v>606</v>
      </c>
      <c r="F1154" s="291"/>
      <c r="G1154" s="1254" t="s">
        <v>458</v>
      </c>
      <c r="H1154" s="1190">
        <v>0</v>
      </c>
      <c r="I1154" s="1190"/>
      <c r="J1154" s="1257" t="s">
        <v>876</v>
      </c>
      <c r="K1154" s="251">
        <f>SUMIF('alb Note 7 - Impairments'!$A:$A,$J1154,'alb Note 7 - Impairments'!$F:$F)</f>
        <v>0</v>
      </c>
      <c r="L1154" s="251">
        <f>SUMIF('alb Note 7 - Impairments'!$A:$A,$J1154,'alb Note 7 - Impairments'!$M:$M)</f>
        <v>0</v>
      </c>
      <c r="M1154" s="10"/>
      <c r="N1154" s="273">
        <f>ROUND(SUM(O1154:S1154)+SUM(W1154:AV1154),0)</f>
        <v>0</v>
      </c>
      <c r="O1154" s="12"/>
      <c r="P1154" s="12"/>
      <c r="Q1154" s="12"/>
      <c r="R1154" s="12"/>
      <c r="S1154" s="6">
        <f>-IF(ISNUMBER(BD1154),BD1154,0)</f>
        <v>0</v>
      </c>
      <c r="T1154" s="273">
        <f>ROUND(SUM(U1154:Y1154),0)</f>
        <v>0</v>
      </c>
      <c r="U1154" s="6">
        <f>SUM(BL1154:BN1154)</f>
        <v>0</v>
      </c>
      <c r="V1154" s="6"/>
      <c r="W1154" s="6">
        <f t="shared" si="691"/>
        <v>0</v>
      </c>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X1154" s="6"/>
      <c r="AY1154" s="6">
        <f>ROUND(AX1154/1000/Update!$B$31*Update!$B$27,0)</f>
        <v>0</v>
      </c>
      <c r="BA1154" s="6"/>
      <c r="BB1154" s="6">
        <f>ROUND(BA1154/1000/Update!$B$31,0)</f>
        <v>0</v>
      </c>
      <c r="BC1154" s="6"/>
      <c r="BD1154" s="29">
        <f>ROUND(SUM(BE1154:BK1154),0)</f>
        <v>0</v>
      </c>
      <c r="BE1154" s="317"/>
      <c r="BF1154" s="317"/>
      <c r="BG1154" s="317"/>
      <c r="BH1154" s="317"/>
      <c r="BI1154" s="317"/>
      <c r="BJ1154" s="317"/>
      <c r="BK1154" s="29">
        <f t="shared" si="684"/>
        <v>0</v>
      </c>
      <c r="BL1154" s="317"/>
      <c r="BM1154" s="317"/>
      <c r="BN1154" s="317"/>
      <c r="BO1154" s="317"/>
      <c r="BP1154" s="317"/>
      <c r="BQ1154" s="317"/>
      <c r="BR1154" s="317"/>
      <c r="BS1154" s="317"/>
      <c r="BT1154" s="317"/>
      <c r="BU1154" s="317"/>
      <c r="BV1154" s="317"/>
      <c r="BW1154" s="317"/>
      <c r="BX1154" s="317"/>
      <c r="BY1154" s="317"/>
      <c r="BZ1154" s="317"/>
      <c r="CA1154" s="317"/>
      <c r="CB1154" s="317"/>
      <c r="CC1154" s="317"/>
      <c r="CD1154" s="317"/>
      <c r="CE1154" s="317"/>
      <c r="CF1154" s="317"/>
      <c r="CG1154" s="317"/>
      <c r="CH1154" s="317"/>
      <c r="CI1154" s="317"/>
      <c r="CM1154" s="1139">
        <v>0</v>
      </c>
      <c r="CN1154" s="1139">
        <v>0</v>
      </c>
      <c r="CP1154" s="923">
        <f t="shared" si="659"/>
        <v>0</v>
      </c>
      <c r="CZ1154" s="330"/>
    </row>
    <row r="1155" spans="1:104" ht="36" customHeight="1" x14ac:dyDescent="0.25">
      <c r="A1155" s="684">
        <f>MAX($A$6:A1154)+1</f>
        <v>1155</v>
      </c>
      <c r="B1155" s="3">
        <f t="shared" si="652"/>
        <v>7</v>
      </c>
      <c r="C1155" s="11" t="str">
        <f>C1154</f>
        <v>8. Impairments</v>
      </c>
      <c r="D1155" s="11" t="s">
        <v>343</v>
      </c>
      <c r="E1155" s="291" t="s">
        <v>215</v>
      </c>
      <c r="F1155" s="291"/>
      <c r="G1155" s="1254" t="s">
        <v>459</v>
      </c>
      <c r="H1155" s="1190">
        <v>0</v>
      </c>
      <c r="I1155" s="1190"/>
      <c r="J1155" s="1257" t="s">
        <v>770</v>
      </c>
      <c r="K1155" s="251">
        <f>SUMIF('alb Note 7 - Impairments'!$A:$A,$J1155,'alb Note 7 - Impairments'!$F:$F)</f>
        <v>0</v>
      </c>
      <c r="L1155" s="251">
        <f>SUMIF('alb Note 7 - Impairments'!$A:$A,$J1155,'alb Note 7 - Impairments'!$M:$M)</f>
        <v>0</v>
      </c>
      <c r="M1155" s="10"/>
      <c r="N1155" s="273">
        <f>ROUND(SUM(O1155:S1155)+SUM(W1155:AV1155),0)</f>
        <v>0</v>
      </c>
      <c r="O1155" s="12"/>
      <c r="P1155" s="12"/>
      <c r="Q1155" s="12"/>
      <c r="R1155" s="12"/>
      <c r="S1155" s="6">
        <f>-IF(ISNUMBER(BD1155),BD1155,0)</f>
        <v>0</v>
      </c>
      <c r="T1155" s="273">
        <f>ROUND(SUM(U1155:Y1155),0)</f>
        <v>0</v>
      </c>
      <c r="U1155" s="6">
        <f>SUM(BL1155:BN1155)</f>
        <v>0</v>
      </c>
      <c r="V1155" s="6"/>
      <c r="W1155" s="6">
        <f t="shared" si="691"/>
        <v>0</v>
      </c>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X1155" s="6"/>
      <c r="AY1155" s="6">
        <f>ROUND(AX1155/1000/Update!$B$31*Update!$B$27,0)</f>
        <v>0</v>
      </c>
      <c r="BA1155" s="6"/>
      <c r="BB1155" s="6">
        <f>ROUND(BA1155/1000/Update!$B$31,0)</f>
        <v>0</v>
      </c>
      <c r="BC1155" s="6"/>
      <c r="BD1155" s="29">
        <f>ROUND(SUM(BE1155:BK1155),0)</f>
        <v>0</v>
      </c>
      <c r="BE1155" s="317"/>
      <c r="BF1155" s="317"/>
      <c r="BG1155" s="317"/>
      <c r="BH1155" s="317"/>
      <c r="BI1155" s="317"/>
      <c r="BJ1155" s="317"/>
      <c r="BK1155" s="29">
        <f t="shared" si="684"/>
        <v>0</v>
      </c>
      <c r="BL1155" s="317"/>
      <c r="BM1155" s="317"/>
      <c r="BN1155" s="317"/>
      <c r="BO1155" s="317"/>
      <c r="BP1155" s="317"/>
      <c r="BQ1155" s="317"/>
      <c r="BR1155" s="317"/>
      <c r="BS1155" s="317"/>
      <c r="BT1155" s="317"/>
      <c r="BU1155" s="317"/>
      <c r="BV1155" s="317"/>
      <c r="BW1155" s="317"/>
      <c r="BX1155" s="317"/>
      <c r="BY1155" s="317"/>
      <c r="BZ1155" s="317"/>
      <c r="CA1155" s="317"/>
      <c r="CB1155" s="317"/>
      <c r="CC1155" s="317"/>
      <c r="CD1155" s="317"/>
      <c r="CE1155" s="317"/>
      <c r="CF1155" s="317"/>
      <c r="CG1155" s="317"/>
      <c r="CH1155" s="317"/>
      <c r="CI1155" s="317"/>
      <c r="CM1155" s="1139">
        <v>0</v>
      </c>
      <c r="CN1155" s="1139">
        <v>0</v>
      </c>
      <c r="CP1155" s="923">
        <f t="shared" si="659"/>
        <v>0</v>
      </c>
      <c r="CZ1155" s="330"/>
    </row>
    <row r="1156" spans="1:104" ht="15" customHeight="1" x14ac:dyDescent="0.25">
      <c r="A1156" s="701">
        <f>MAX($A$6:A1155)+1</f>
        <v>1156</v>
      </c>
      <c r="B1156" s="1291">
        <f t="shared" si="652"/>
        <v>7</v>
      </c>
      <c r="C1156" s="18" t="str">
        <f>C1155</f>
        <v>8. Impairments</v>
      </c>
      <c r="D1156" s="18" t="s">
        <v>343</v>
      </c>
      <c r="E1156" s="19" t="s">
        <v>804</v>
      </c>
      <c r="F1156" s="19"/>
      <c r="G1156" s="28"/>
      <c r="H1156" s="14">
        <f>SUM(H1154:H1155)</f>
        <v>0</v>
      </c>
      <c r="I1156" s="14">
        <f>SUM(I1154:I1155)</f>
        <v>0</v>
      </c>
      <c r="J1156" s="1258" t="s">
        <v>286</v>
      </c>
      <c r="K1156" s="256">
        <f>SUM(K1154:K1155)</f>
        <v>0</v>
      </c>
      <c r="L1156" s="256">
        <f>SUM(L1154:L1155)</f>
        <v>0</v>
      </c>
      <c r="M1156" s="21"/>
      <c r="N1156" s="14">
        <f>ROUND(SUM(O1156:S1156)+T1156+SUM(Z1156:AV1156),0)</f>
        <v>0</v>
      </c>
      <c r="O1156" s="14">
        <f t="shared" ref="O1156:V1156" si="696">SUM(O1154:O1155)</f>
        <v>0</v>
      </c>
      <c r="P1156" s="14">
        <f t="shared" si="696"/>
        <v>0</v>
      </c>
      <c r="Q1156" s="14">
        <f t="shared" si="696"/>
        <v>0</v>
      </c>
      <c r="R1156" s="14">
        <f t="shared" si="696"/>
        <v>0</v>
      </c>
      <c r="S1156" s="14">
        <f t="shared" si="662"/>
        <v>0</v>
      </c>
      <c r="T1156" s="14">
        <f t="shared" si="696"/>
        <v>0</v>
      </c>
      <c r="U1156" s="14">
        <f t="shared" si="696"/>
        <v>0</v>
      </c>
      <c r="V1156" s="14">
        <f t="shared" si="696"/>
        <v>0</v>
      </c>
      <c r="W1156" s="14">
        <f>SUM(W1154:W1155)</f>
        <v>0</v>
      </c>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2"/>
      <c r="AX1156" s="14">
        <f>SUM(AX1154:AX1155)</f>
        <v>0</v>
      </c>
      <c r="AY1156" s="14">
        <f>ROUND(AX1156/1000/Update!$B$31*Update!$B$27,0)</f>
        <v>0</v>
      </c>
      <c r="AZ1156" s="2"/>
      <c r="BA1156" s="14">
        <f>SUM(BA1154:BA1155)</f>
        <v>0</v>
      </c>
      <c r="BB1156" s="14">
        <f>ROUND(BA1156/1000/Update!$B$31,0)</f>
        <v>0</v>
      </c>
      <c r="BC1156" s="14"/>
      <c r="BD1156" s="14">
        <f t="shared" si="690"/>
        <v>0</v>
      </c>
      <c r="BE1156" s="318">
        <f t="shared" ref="BE1156:BJ1156" si="697">SUM(BE1154:BE1155)</f>
        <v>0</v>
      </c>
      <c r="BF1156" s="318">
        <f t="shared" si="697"/>
        <v>0</v>
      </c>
      <c r="BG1156" s="318">
        <f t="shared" si="697"/>
        <v>0</v>
      </c>
      <c r="BH1156" s="318">
        <f t="shared" si="697"/>
        <v>0</v>
      </c>
      <c r="BI1156" s="318">
        <f t="shared" si="697"/>
        <v>0</v>
      </c>
      <c r="BJ1156" s="318">
        <f t="shared" si="697"/>
        <v>0</v>
      </c>
      <c r="BK1156" s="14">
        <f t="shared" si="684"/>
        <v>0</v>
      </c>
      <c r="BL1156" s="318"/>
      <c r="BM1156" s="318"/>
      <c r="BN1156" s="318"/>
      <c r="BO1156" s="318"/>
      <c r="BP1156" s="318"/>
      <c r="BQ1156" s="318"/>
      <c r="BR1156" s="318"/>
      <c r="BS1156" s="318"/>
      <c r="BT1156" s="318"/>
      <c r="BU1156" s="318"/>
      <c r="BV1156" s="318"/>
      <c r="BW1156" s="318"/>
      <c r="BX1156" s="318"/>
      <c r="BY1156" s="318"/>
      <c r="BZ1156" s="318"/>
      <c r="CA1156" s="318"/>
      <c r="CB1156" s="318"/>
      <c r="CC1156" s="318"/>
      <c r="CD1156" s="318"/>
      <c r="CE1156" s="318"/>
      <c r="CF1156" s="318"/>
      <c r="CG1156" s="318"/>
      <c r="CH1156" s="318"/>
      <c r="CI1156" s="318"/>
      <c r="CJ1156" s="2"/>
      <c r="CK1156" s="2"/>
      <c r="CM1156" s="1140">
        <v>0</v>
      </c>
      <c r="CN1156" s="1140">
        <v>0</v>
      </c>
      <c r="CP1156" s="923">
        <f t="shared" si="659"/>
        <v>0</v>
      </c>
      <c r="CZ1156" s="330"/>
    </row>
    <row r="1157" spans="1:104" ht="15" customHeight="1" x14ac:dyDescent="0.25">
      <c r="A1157" s="701">
        <f>MAX($A$6:A1156)+1</f>
        <v>1157</v>
      </c>
      <c r="B1157" s="1291">
        <f t="shared" si="652"/>
        <v>7</v>
      </c>
      <c r="C1157" s="18" t="str">
        <f>C1156</f>
        <v>8. Impairments</v>
      </c>
      <c r="D1157" s="18" t="s">
        <v>343</v>
      </c>
      <c r="E1157" s="19" t="s">
        <v>214</v>
      </c>
      <c r="F1157" s="19"/>
      <c r="G1157" s="28"/>
      <c r="H1157" s="14">
        <f>H1156+H1153+H1150</f>
        <v>0</v>
      </c>
      <c r="I1157" s="14">
        <f>I1156+I1153+I1150</f>
        <v>0</v>
      </c>
      <c r="J1157" s="1258" t="s">
        <v>286</v>
      </c>
      <c r="K1157" s="256">
        <f>K1156+K1153+K1150</f>
        <v>0</v>
      </c>
      <c r="L1157" s="256">
        <f>L1156+L1153+L1150</f>
        <v>0</v>
      </c>
      <c r="M1157" s="21"/>
      <c r="N1157" s="14">
        <f>ROUND(SUM(O1157:S1157)+T1157+SUM(Z1157:AV1157),0)</f>
        <v>0</v>
      </c>
      <c r="O1157" s="14">
        <f t="shared" ref="O1157:V1157" si="698">O1156+O1153+O1150</f>
        <v>0</v>
      </c>
      <c r="P1157" s="14">
        <f t="shared" si="698"/>
        <v>0</v>
      </c>
      <c r="Q1157" s="14">
        <f t="shared" si="698"/>
        <v>0</v>
      </c>
      <c r="R1157" s="14">
        <f t="shared" si="698"/>
        <v>0</v>
      </c>
      <c r="S1157" s="14">
        <f t="shared" si="662"/>
        <v>0</v>
      </c>
      <c r="T1157" s="14">
        <f t="shared" si="698"/>
        <v>0</v>
      </c>
      <c r="U1157" s="14">
        <f t="shared" si="698"/>
        <v>0</v>
      </c>
      <c r="V1157" s="14">
        <f t="shared" si="698"/>
        <v>0</v>
      </c>
      <c r="W1157" s="14">
        <f>W1156+W1153+W1150</f>
        <v>0</v>
      </c>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2"/>
      <c r="AX1157" s="14">
        <f>AX1156+AX1153+AX1150</f>
        <v>0</v>
      </c>
      <c r="AY1157" s="14">
        <f>ROUND(AX1157/1000/Update!$B$31*Update!$B$27,0)</f>
        <v>0</v>
      </c>
      <c r="AZ1157" s="2"/>
      <c r="BA1157" s="14">
        <f>BA1156+BA1153+BA1150</f>
        <v>0</v>
      </c>
      <c r="BB1157" s="14">
        <f>ROUND(BA1157/1000/Update!$B$31,0)</f>
        <v>0</v>
      </c>
      <c r="BC1157" s="14"/>
      <c r="BD1157" s="14">
        <f t="shared" si="690"/>
        <v>0</v>
      </c>
      <c r="BE1157" s="318">
        <f t="shared" ref="BE1157:BJ1157" si="699">BE1156+BE1153+BE1150</f>
        <v>0</v>
      </c>
      <c r="BF1157" s="318">
        <f t="shared" si="699"/>
        <v>0</v>
      </c>
      <c r="BG1157" s="318">
        <f t="shared" si="699"/>
        <v>0</v>
      </c>
      <c r="BH1157" s="318">
        <f t="shared" si="699"/>
        <v>0</v>
      </c>
      <c r="BI1157" s="318">
        <f t="shared" si="699"/>
        <v>0</v>
      </c>
      <c r="BJ1157" s="318">
        <f t="shared" si="699"/>
        <v>0</v>
      </c>
      <c r="BK1157" s="14">
        <f t="shared" si="684"/>
        <v>0</v>
      </c>
      <c r="BL1157" s="318"/>
      <c r="BM1157" s="318"/>
      <c r="BN1157" s="318"/>
      <c r="BO1157" s="318"/>
      <c r="BP1157" s="318"/>
      <c r="BQ1157" s="318"/>
      <c r="BR1157" s="318"/>
      <c r="BS1157" s="318"/>
      <c r="BT1157" s="318"/>
      <c r="BU1157" s="318"/>
      <c r="BV1157" s="318"/>
      <c r="BW1157" s="318"/>
      <c r="BX1157" s="318"/>
      <c r="BY1157" s="318"/>
      <c r="BZ1157" s="318"/>
      <c r="CA1157" s="318"/>
      <c r="CB1157" s="318"/>
      <c r="CC1157" s="318"/>
      <c r="CD1157" s="318"/>
      <c r="CE1157" s="318"/>
      <c r="CF1157" s="318"/>
      <c r="CG1157" s="318"/>
      <c r="CH1157" s="318"/>
      <c r="CI1157" s="318"/>
      <c r="CJ1157" s="2"/>
      <c r="CK1157" s="2"/>
      <c r="CM1157" s="1140">
        <v>0</v>
      </c>
      <c r="CN1157" s="1140">
        <v>0</v>
      </c>
      <c r="CP1157" s="923">
        <f t="shared" si="659"/>
        <v>0</v>
      </c>
      <c r="CZ1157" s="330"/>
    </row>
    <row r="1158" spans="1:104" ht="18.75" customHeight="1" x14ac:dyDescent="0.25">
      <c r="A1158" s="1297">
        <f>MAX($A$6:A1157)+1</f>
        <v>1158</v>
      </c>
      <c r="B1158" s="1295">
        <f>SUMIF(Update!$B$33:$B$106,C1158,Update!$A$33:$A$106)</f>
        <v>8</v>
      </c>
      <c r="C1158" s="696" t="s">
        <v>365</v>
      </c>
      <c r="D1158" s="695"/>
      <c r="E1158" s="696" t="str">
        <f>B1158&amp;" "&amp;C1158</f>
        <v>8 Financial Instruments</v>
      </c>
      <c r="F1158" s="697"/>
      <c r="G1158" s="697"/>
      <c r="H1158" s="695"/>
      <c r="I1158" s="695"/>
      <c r="J1158" s="698" t="s">
        <v>286</v>
      </c>
      <c r="K1158" s="699">
        <f>SUMIF('alb Note 8 - Fin instruments'!$A:$A,$J1158,'alb Note 8 - Fin instruments'!$C:$C)</f>
        <v>0</v>
      </c>
      <c r="L1158" s="699">
        <f>SUMIF('alb Note 8 - Fin instruments'!$A:$A,$J1158,'alb Note 8 - Fin instruments'!$C:$C)</f>
        <v>0</v>
      </c>
      <c r="M1158" s="695"/>
      <c r="N1158" s="713">
        <f>ROUND(SUM(O1158:S1158)+T1158+SUM(Z1158:AV1158),0)</f>
        <v>0</v>
      </c>
      <c r="O1158" s="695"/>
      <c r="P1158" s="695"/>
      <c r="Q1158" s="695"/>
      <c r="R1158" s="695"/>
      <c r="S1158" s="695">
        <f t="shared" si="662"/>
        <v>0</v>
      </c>
      <c r="T1158" s="713">
        <f>ROUND(SUM(U1158:Y1158),0)</f>
        <v>0</v>
      </c>
      <c r="U1158" s="695"/>
      <c r="V1158" s="695"/>
      <c r="W1158" s="695"/>
      <c r="X1158" s="695"/>
      <c r="Y1158" s="695"/>
      <c r="Z1158" s="695"/>
      <c r="AA1158" s="695"/>
      <c r="AB1158" s="695"/>
      <c r="AC1158" s="695"/>
      <c r="AD1158" s="695"/>
      <c r="AE1158" s="695"/>
      <c r="AF1158" s="695"/>
      <c r="AG1158" s="695"/>
      <c r="AH1158" s="695"/>
      <c r="AI1158" s="695"/>
      <c r="AJ1158" s="695"/>
      <c r="AK1158" s="695"/>
      <c r="AL1158" s="695"/>
      <c r="AM1158" s="695"/>
      <c r="AN1158" s="695"/>
      <c r="AO1158" s="695"/>
      <c r="AP1158" s="695"/>
      <c r="AQ1158" s="695"/>
      <c r="AR1158" s="695"/>
      <c r="AS1158" s="695"/>
      <c r="AT1158" s="695"/>
      <c r="AU1158" s="695"/>
      <c r="AV1158" s="695"/>
      <c r="AW1158" s="700"/>
      <c r="AX1158" s="700"/>
      <c r="AY1158" s="700">
        <f>ROUND(AX1158/1000/Update!$B$31*Update!$B$27,0)</f>
        <v>0</v>
      </c>
      <c r="AZ1158" s="700"/>
      <c r="BA1158" s="700"/>
      <c r="BB1158" s="700">
        <f>ROUND(BA1158/1000/Update!$B$31,0)</f>
        <v>0</v>
      </c>
      <c r="BC1158" s="700"/>
      <c r="BD1158" s="721">
        <f t="shared" si="690"/>
        <v>0</v>
      </c>
      <c r="BE1158" s="700"/>
      <c r="BF1158" s="700"/>
      <c r="BG1158" s="700"/>
      <c r="BH1158" s="700"/>
      <c r="BI1158" s="700"/>
      <c r="BJ1158" s="700"/>
      <c r="BK1158" s="721">
        <f t="shared" si="684"/>
        <v>0</v>
      </c>
      <c r="BL1158" s="700"/>
      <c r="BM1158" s="700"/>
      <c r="BN1158" s="700"/>
      <c r="BO1158" s="700"/>
      <c r="BP1158" s="700"/>
      <c r="BQ1158" s="700"/>
      <c r="BR1158" s="700"/>
      <c r="BS1158" s="700"/>
      <c r="BT1158" s="700"/>
      <c r="BU1158" s="700"/>
      <c r="BV1158" s="700"/>
      <c r="BW1158" s="700"/>
      <c r="BX1158" s="700"/>
      <c r="BY1158" s="700"/>
      <c r="BZ1158" s="700"/>
      <c r="CA1158" s="700"/>
      <c r="CB1158" s="700"/>
      <c r="CC1158" s="700"/>
      <c r="CD1158" s="700"/>
      <c r="CE1158" s="700"/>
      <c r="CF1158" s="700"/>
      <c r="CG1158" s="700"/>
      <c r="CH1158" s="700"/>
      <c r="CI1158" s="700"/>
      <c r="CJ1158" s="700"/>
      <c r="CK1158" s="700"/>
      <c r="CM1158" s="700">
        <v>0</v>
      </c>
      <c r="CN1158" s="700">
        <v>0</v>
      </c>
      <c r="CP1158" s="923">
        <f t="shared" si="659"/>
        <v>0</v>
      </c>
      <c r="CZ1158" s="330"/>
    </row>
    <row r="1159" spans="1:104" ht="15" customHeight="1" x14ac:dyDescent="0.25">
      <c r="A1159" s="684">
        <f>MAX($A$6:A1158)+1</f>
        <v>1159</v>
      </c>
      <c r="B1159" s="3">
        <f>B1158</f>
        <v>8</v>
      </c>
      <c r="C1159" s="11" t="str">
        <f>C1158</f>
        <v>Financial Instruments</v>
      </c>
      <c r="D1159" s="11" t="s">
        <v>365</v>
      </c>
      <c r="E1159" s="7" t="s">
        <v>1937</v>
      </c>
      <c r="F1159" s="7"/>
      <c r="G1159" s="1254" t="s">
        <v>1937</v>
      </c>
      <c r="H1159" s="6">
        <v>0</v>
      </c>
      <c r="I1159" s="1190"/>
      <c r="J1159" s="1257" t="s">
        <v>1937</v>
      </c>
      <c r="K1159" s="251">
        <f>'alb Note 8 - Fin instruments'!B13</f>
        <v>0</v>
      </c>
      <c r="L1159" s="266"/>
      <c r="M1159" s="10"/>
      <c r="N1159" s="273">
        <f>ROUND(SUM(O1159:S1159)+SUM(W1159:AV1159),0)</f>
        <v>0</v>
      </c>
      <c r="O1159" s="12"/>
      <c r="P1159" s="12"/>
      <c r="Q1159" s="12"/>
      <c r="R1159" s="12"/>
      <c r="S1159" s="6">
        <f t="shared" si="662"/>
        <v>0</v>
      </c>
      <c r="T1159" s="273">
        <f>ROUND(SUM(U1159:Y1159),0)</f>
        <v>0</v>
      </c>
      <c r="U1159" s="6">
        <f>SUM(BL1159:BN1159)</f>
        <v>0</v>
      </c>
      <c r="V1159" s="6"/>
      <c r="W1159" s="6">
        <f t="shared" ref="W1159:W1198" si="700">+H1159</f>
        <v>0</v>
      </c>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X1159" s="6"/>
      <c r="AY1159" s="6">
        <f>ROUND(AX1159/1000/Update!$B$31*Update!$B$27,0)</f>
        <v>0</v>
      </c>
      <c r="BA1159" s="6"/>
      <c r="BB1159" s="6">
        <f>ROUND(BA1159/1000/Update!$B$31,0)</f>
        <v>0</v>
      </c>
      <c r="BC1159" s="6"/>
      <c r="BD1159" s="29">
        <f t="shared" si="690"/>
        <v>0</v>
      </c>
      <c r="BE1159" s="317"/>
      <c r="BF1159" s="317"/>
      <c r="BG1159" s="317"/>
      <c r="BH1159" s="317"/>
      <c r="BI1159" s="317"/>
      <c r="BJ1159" s="317"/>
      <c r="BK1159" s="29">
        <f t="shared" si="684"/>
        <v>0</v>
      </c>
      <c r="BL1159" s="317"/>
      <c r="BM1159" s="317"/>
      <c r="BN1159" s="317"/>
      <c r="BO1159" s="317"/>
      <c r="BP1159" s="317"/>
      <c r="BQ1159" s="317"/>
      <c r="BR1159" s="317"/>
      <c r="BS1159" s="317"/>
      <c r="BT1159" s="317"/>
      <c r="BU1159" s="317"/>
      <c r="BV1159" s="317"/>
      <c r="BW1159" s="317"/>
      <c r="BX1159" s="317"/>
      <c r="BY1159" s="317"/>
      <c r="BZ1159" s="317"/>
      <c r="CA1159" s="317"/>
      <c r="CB1159" s="317"/>
      <c r="CC1159" s="317"/>
      <c r="CD1159" s="317"/>
      <c r="CE1159" s="317"/>
      <c r="CF1159" s="317"/>
      <c r="CG1159" s="317"/>
      <c r="CH1159" s="317"/>
      <c r="CI1159" s="317"/>
      <c r="CM1159" s="1139">
        <v>0</v>
      </c>
      <c r="CN1159" s="1139">
        <v>0</v>
      </c>
      <c r="CP1159" s="923">
        <f t="shared" si="659"/>
        <v>0</v>
      </c>
      <c r="CZ1159" s="330"/>
    </row>
    <row r="1160" spans="1:104" ht="15" customHeight="1" x14ac:dyDescent="0.25">
      <c r="A1160" s="684">
        <f>MAX($A$6:A1159)+1</f>
        <v>1160</v>
      </c>
      <c r="B1160" s="3">
        <f>B1159</f>
        <v>8</v>
      </c>
      <c r="C1160" s="11" t="str">
        <f>C1159</f>
        <v>Financial Instruments</v>
      </c>
      <c r="D1160" s="11" t="s">
        <v>365</v>
      </c>
      <c r="E1160" s="7" t="s">
        <v>1937</v>
      </c>
      <c r="F1160" s="7"/>
      <c r="G1160" s="1254" t="s">
        <v>1945</v>
      </c>
      <c r="H1160" s="6">
        <v>0</v>
      </c>
      <c r="I1160" s="1190"/>
      <c r="J1160" s="1257" t="s">
        <v>1945</v>
      </c>
      <c r="K1160" s="251">
        <f>'alb Note 8 - Fin instruments'!F13</f>
        <v>0</v>
      </c>
      <c r="L1160" s="266"/>
      <c r="M1160" s="10"/>
      <c r="N1160" s="273">
        <f>ROUND(SUM(O1160:S1160)+SUM(W1160:AV1160),0)</f>
        <v>0</v>
      </c>
      <c r="O1160" s="12"/>
      <c r="P1160" s="12"/>
      <c r="Q1160" s="12"/>
      <c r="R1160" s="12"/>
      <c r="S1160" s="6"/>
      <c r="T1160" s="273"/>
      <c r="U1160" s="6"/>
      <c r="V1160" s="6"/>
      <c r="W1160" s="6">
        <f t="shared" si="700"/>
        <v>0</v>
      </c>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X1160" s="6"/>
      <c r="AY1160" s="6"/>
      <c r="BA1160" s="6"/>
      <c r="BB1160" s="6"/>
      <c r="BC1160" s="6"/>
      <c r="BD1160" s="29"/>
      <c r="BE1160" s="317"/>
      <c r="BF1160" s="317"/>
      <c r="BG1160" s="317"/>
      <c r="BH1160" s="317"/>
      <c r="BI1160" s="317"/>
      <c r="BJ1160" s="317"/>
      <c r="BK1160" s="29">
        <f t="shared" si="684"/>
        <v>0</v>
      </c>
      <c r="BL1160" s="317"/>
      <c r="BM1160" s="317"/>
      <c r="BN1160" s="317"/>
      <c r="BO1160" s="317"/>
      <c r="BP1160" s="317"/>
      <c r="BQ1160" s="317"/>
      <c r="BR1160" s="317"/>
      <c r="BS1160" s="317"/>
      <c r="BT1160" s="317"/>
      <c r="BU1160" s="317"/>
      <c r="BV1160" s="317"/>
      <c r="BW1160" s="317"/>
      <c r="BX1160" s="317"/>
      <c r="BY1160" s="317"/>
      <c r="BZ1160" s="317"/>
      <c r="CA1160" s="317"/>
      <c r="CB1160" s="317"/>
      <c r="CC1160" s="317"/>
      <c r="CD1160" s="317"/>
      <c r="CE1160" s="317"/>
      <c r="CF1160" s="317"/>
      <c r="CG1160" s="317"/>
      <c r="CH1160" s="317"/>
      <c r="CI1160" s="317"/>
      <c r="CM1160" s="1139">
        <v>0</v>
      </c>
      <c r="CN1160" s="1139"/>
      <c r="CP1160" s="923">
        <f t="shared" ref="CP1160:CP1223" si="701">-V1160+BL1160+BM1160+BN1160+CM1160</f>
        <v>0</v>
      </c>
      <c r="CZ1160" s="330"/>
    </row>
    <row r="1161" spans="1:104" ht="18.75" customHeight="1" collapsed="1" x14ac:dyDescent="0.25">
      <c r="A1161" s="1297">
        <f>MAX($A$6:A1160)+1</f>
        <v>1161</v>
      </c>
      <c r="B1161" s="1295">
        <f>SUMIF(Update!$B$33:$B$106,C1161,Update!$A$33:$A$106)</f>
        <v>9</v>
      </c>
      <c r="C1161" s="696" t="s">
        <v>224</v>
      </c>
      <c r="D1161" s="695"/>
      <c r="E1161" s="696" t="str">
        <f>B1161&amp;" "&amp;C1161</f>
        <v>9 Investments</v>
      </c>
      <c r="F1161" s="697"/>
      <c r="G1161" s="697"/>
      <c r="H1161" s="695"/>
      <c r="I1161" s="695"/>
      <c r="J1161" s="698" t="s">
        <v>286</v>
      </c>
      <c r="K1161" s="699"/>
      <c r="L1161" s="699"/>
      <c r="M1161" s="695"/>
      <c r="N1161" s="713">
        <f>ROUND(SUM(O1161:S1161)+T1161+SUM(Z1161:AV1161),0)</f>
        <v>0</v>
      </c>
      <c r="O1161" s="695"/>
      <c r="P1161" s="695"/>
      <c r="Q1161" s="695"/>
      <c r="R1161" s="695"/>
      <c r="S1161" s="695">
        <f t="shared" ref="S1161:S1183" si="702">-IF(ISNUMBER(BD1161),BD1161,0)</f>
        <v>0</v>
      </c>
      <c r="T1161" s="713">
        <f t="shared" ref="T1161:T1168" si="703">ROUND(SUM(U1161:Y1161),0)</f>
        <v>0</v>
      </c>
      <c r="U1161" s="695"/>
      <c r="V1161" s="695"/>
      <c r="W1161" s="695"/>
      <c r="X1161" s="695"/>
      <c r="Y1161" s="695"/>
      <c r="Z1161" s="695"/>
      <c r="AA1161" s="695"/>
      <c r="AB1161" s="695"/>
      <c r="AC1161" s="695"/>
      <c r="AD1161" s="695"/>
      <c r="AE1161" s="695"/>
      <c r="AF1161" s="695"/>
      <c r="AG1161" s="695"/>
      <c r="AH1161" s="695"/>
      <c r="AI1161" s="695"/>
      <c r="AJ1161" s="695"/>
      <c r="AK1161" s="695"/>
      <c r="AL1161" s="695"/>
      <c r="AM1161" s="695"/>
      <c r="AN1161" s="695"/>
      <c r="AO1161" s="695"/>
      <c r="AP1161" s="695"/>
      <c r="AQ1161" s="695"/>
      <c r="AR1161" s="695"/>
      <c r="AS1161" s="695"/>
      <c r="AT1161" s="695"/>
      <c r="AU1161" s="695"/>
      <c r="AV1161" s="695"/>
      <c r="AW1161" s="700"/>
      <c r="AX1161" s="700"/>
      <c r="AY1161" s="700">
        <f>ROUND(AX1161/1000/Update!$B$31*Update!$B$27,0)</f>
        <v>0</v>
      </c>
      <c r="AZ1161" s="700"/>
      <c r="BA1161" s="700"/>
      <c r="BB1161" s="700">
        <f>ROUND(BA1161/1000/Update!$B$31,0)</f>
        <v>0</v>
      </c>
      <c r="BC1161" s="700"/>
      <c r="BD1161" s="721">
        <f t="shared" ref="BD1161:BD1216" si="704">ROUND(SUM(BE1161:BK1161),0)</f>
        <v>0</v>
      </c>
      <c r="BE1161" s="700"/>
      <c r="BF1161" s="700"/>
      <c r="BG1161" s="700"/>
      <c r="BH1161" s="700"/>
      <c r="BI1161" s="700"/>
      <c r="BJ1161" s="700"/>
      <c r="BK1161" s="721">
        <f t="shared" si="684"/>
        <v>0</v>
      </c>
      <c r="BL1161" s="700"/>
      <c r="BM1161" s="700"/>
      <c r="BN1161" s="700"/>
      <c r="BO1161" s="700"/>
      <c r="BP1161" s="700"/>
      <c r="BQ1161" s="700"/>
      <c r="BR1161" s="700"/>
      <c r="BS1161" s="700"/>
      <c r="BT1161" s="700"/>
      <c r="BU1161" s="700"/>
      <c r="BV1161" s="700"/>
      <c r="BW1161" s="700"/>
      <c r="BX1161" s="700"/>
      <c r="BY1161" s="700"/>
      <c r="BZ1161" s="700"/>
      <c r="CA1161" s="700"/>
      <c r="CB1161" s="700"/>
      <c r="CC1161" s="700"/>
      <c r="CD1161" s="700"/>
      <c r="CE1161" s="700"/>
      <c r="CF1161" s="700"/>
      <c r="CG1161" s="700"/>
      <c r="CH1161" s="700"/>
      <c r="CI1161" s="700"/>
      <c r="CJ1161" s="700"/>
      <c r="CK1161" s="700"/>
      <c r="CM1161" s="700">
        <v>0</v>
      </c>
      <c r="CN1161" s="700">
        <v>0</v>
      </c>
      <c r="CP1161" s="923">
        <f t="shared" si="701"/>
        <v>0</v>
      </c>
      <c r="CZ1161" s="330"/>
    </row>
    <row r="1162" spans="1:104" ht="15" customHeight="1" x14ac:dyDescent="0.25">
      <c r="A1162" s="684">
        <f>MAX($A$6:A1161)+1</f>
        <v>1162</v>
      </c>
      <c r="B1162" s="3">
        <f t="shared" ref="B1162:B1195" si="705">B1161</f>
        <v>9</v>
      </c>
      <c r="C1162" s="11" t="str">
        <f t="shared" ref="C1162:D1178" si="706">C1161</f>
        <v>Investments</v>
      </c>
      <c r="D1162" s="11" t="s">
        <v>1939</v>
      </c>
      <c r="E1162" s="13" t="s">
        <v>219</v>
      </c>
      <c r="F1162" s="13"/>
      <c r="G1162" s="1254" t="s">
        <v>607</v>
      </c>
      <c r="H1162" s="6">
        <v>0</v>
      </c>
      <c r="I1162" s="1190"/>
      <c r="J1162" s="1254" t="s">
        <v>607</v>
      </c>
      <c r="K1162" s="251">
        <f>SUMIF('alb Note 9 - Investments'!$A$9:$A$21,J1162,'alb Note 9 - Investments'!$B$9:$B$21)</f>
        <v>0</v>
      </c>
      <c r="L1162" s="266"/>
      <c r="M1162" s="10"/>
      <c r="N1162" s="273">
        <f t="shared" ref="N1162:N1168" si="707">ROUND(SUM(O1162:S1162)+SUM(W1162:AV1162),0)</f>
        <v>0</v>
      </c>
      <c r="O1162" s="12"/>
      <c r="P1162" s="12"/>
      <c r="Q1162" s="12"/>
      <c r="R1162" s="12"/>
      <c r="S1162" s="6">
        <v>0</v>
      </c>
      <c r="T1162" s="273">
        <f t="shared" si="703"/>
        <v>0</v>
      </c>
      <c r="U1162" s="251">
        <f t="shared" ref="U1162:U1168" si="708">SUM(BL1162:BN1162)</f>
        <v>0</v>
      </c>
      <c r="V1162" s="251"/>
      <c r="W1162" s="251">
        <f t="shared" si="700"/>
        <v>0</v>
      </c>
      <c r="X1162" s="251"/>
      <c r="Y1162" s="251"/>
      <c r="Z1162" s="251"/>
      <c r="AA1162" s="251"/>
      <c r="AB1162" s="251"/>
      <c r="AC1162" s="251"/>
      <c r="AD1162" s="251"/>
      <c r="AE1162" s="251"/>
      <c r="AF1162" s="251"/>
      <c r="AG1162" s="251"/>
      <c r="AH1162" s="251"/>
      <c r="AI1162" s="251"/>
      <c r="AJ1162" s="251"/>
      <c r="AK1162" s="251"/>
      <c r="AL1162" s="251"/>
      <c r="AM1162" s="251"/>
      <c r="AN1162" s="251"/>
      <c r="AO1162" s="251"/>
      <c r="AP1162" s="251"/>
      <c r="AQ1162" s="251"/>
      <c r="AR1162" s="251"/>
      <c r="AS1162" s="251"/>
      <c r="AT1162" s="251"/>
      <c r="AU1162" s="251"/>
      <c r="AV1162" s="251"/>
      <c r="AX1162" s="6"/>
      <c r="AY1162" s="6">
        <f>ROUND(AX1162/1000/Update!$B$31*Update!$B$27,0)</f>
        <v>0</v>
      </c>
      <c r="BA1162" s="6"/>
      <c r="BB1162" s="6">
        <f>ROUND(BA1162/1000/Update!$B$31,0)</f>
        <v>0</v>
      </c>
      <c r="BC1162" s="6"/>
      <c r="BD1162" s="29">
        <f t="shared" si="704"/>
        <v>0</v>
      </c>
      <c r="BE1162" s="317"/>
      <c r="BF1162" s="1191"/>
      <c r="BG1162" s="1191"/>
      <c r="BH1162" s="1191"/>
      <c r="BI1162" s="317"/>
      <c r="BJ1162" s="317"/>
      <c r="BK1162" s="29">
        <f t="shared" si="684"/>
        <v>0</v>
      </c>
      <c r="BL1162" s="1191"/>
      <c r="BM1162" s="1191"/>
      <c r="BN1162" s="1191"/>
      <c r="BO1162" s="1191"/>
      <c r="BP1162" s="1191"/>
      <c r="BQ1162" s="1191"/>
      <c r="BR1162" s="1191"/>
      <c r="BS1162" s="1191"/>
      <c r="BT1162" s="1191"/>
      <c r="BU1162" s="1191"/>
      <c r="BV1162" s="1191"/>
      <c r="BW1162" s="1191"/>
      <c r="BX1162" s="1191"/>
      <c r="BY1162" s="1191"/>
      <c r="BZ1162" s="1191"/>
      <c r="CA1162" s="1191"/>
      <c r="CB1162" s="1191"/>
      <c r="CC1162" s="1191"/>
      <c r="CD1162" s="1191"/>
      <c r="CE1162" s="1191"/>
      <c r="CF1162" s="1191"/>
      <c r="CG1162" s="1191"/>
      <c r="CH1162" s="1191"/>
      <c r="CI1162" s="1191"/>
      <c r="CM1162" s="1139">
        <v>0</v>
      </c>
      <c r="CN1162" s="1139">
        <v>0</v>
      </c>
      <c r="CP1162" s="923">
        <f t="shared" si="701"/>
        <v>0</v>
      </c>
      <c r="CZ1162" s="330"/>
    </row>
    <row r="1163" spans="1:104" ht="15" customHeight="1" x14ac:dyDescent="0.25">
      <c r="A1163" s="684">
        <f>MAX($A$6:A1162)+1</f>
        <v>1163</v>
      </c>
      <c r="B1163" s="3">
        <f t="shared" si="705"/>
        <v>9</v>
      </c>
      <c r="C1163" s="11" t="str">
        <f t="shared" si="706"/>
        <v>Investments</v>
      </c>
      <c r="D1163" s="11" t="str">
        <f t="shared" si="706"/>
        <v>Charitable Trust Fund</v>
      </c>
      <c r="E1163" s="7" t="s">
        <v>185</v>
      </c>
      <c r="F1163" s="7"/>
      <c r="G1163" s="1254" t="s">
        <v>185</v>
      </c>
      <c r="H1163" s="6">
        <v>0</v>
      </c>
      <c r="I1163" s="1190"/>
      <c r="J1163" s="1254" t="s">
        <v>185</v>
      </c>
      <c r="K1163" s="251">
        <f>SUMIF('alb Note 9 - Investments'!$A$9:$A$21,J1163,'alb Note 9 - Investments'!$B$9:$B$21)</f>
        <v>0</v>
      </c>
      <c r="L1163" s="266"/>
      <c r="M1163" s="10"/>
      <c r="N1163" s="273">
        <f t="shared" si="707"/>
        <v>0</v>
      </c>
      <c r="O1163" s="12"/>
      <c r="P1163" s="12"/>
      <c r="Q1163" s="12"/>
      <c r="R1163" s="12"/>
      <c r="S1163" s="6">
        <f t="shared" si="702"/>
        <v>0</v>
      </c>
      <c r="T1163" s="273">
        <f t="shared" si="703"/>
        <v>0</v>
      </c>
      <c r="U1163" s="6">
        <f t="shared" si="708"/>
        <v>0</v>
      </c>
      <c r="V1163" s="6"/>
      <c r="W1163" s="6">
        <f t="shared" si="700"/>
        <v>0</v>
      </c>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X1163" s="6"/>
      <c r="AY1163" s="6">
        <f>ROUND(AX1163/1000/Update!$B$31*Update!$B$27,0)</f>
        <v>0</v>
      </c>
      <c r="BA1163" s="6"/>
      <c r="BB1163" s="6">
        <f>ROUND(BA1163/1000/Update!$B$31,0)</f>
        <v>0</v>
      </c>
      <c r="BC1163" s="6"/>
      <c r="BD1163" s="29">
        <f t="shared" si="704"/>
        <v>0</v>
      </c>
      <c r="BE1163" s="317"/>
      <c r="BF1163" s="317"/>
      <c r="BG1163" s="317"/>
      <c r="BH1163" s="317"/>
      <c r="BI1163" s="317"/>
      <c r="BJ1163" s="317"/>
      <c r="BK1163" s="29">
        <f t="shared" si="684"/>
        <v>0</v>
      </c>
      <c r="BL1163" s="1191"/>
      <c r="BM1163" s="1191"/>
      <c r="BN1163" s="1191"/>
      <c r="BO1163" s="1191"/>
      <c r="BP1163" s="1191"/>
      <c r="BQ1163" s="1191"/>
      <c r="BR1163" s="1191"/>
      <c r="BS1163" s="1191"/>
      <c r="BT1163" s="1191"/>
      <c r="BU1163" s="1191"/>
      <c r="BV1163" s="1191"/>
      <c r="BW1163" s="1191"/>
      <c r="BX1163" s="1191"/>
      <c r="BY1163" s="1191"/>
      <c r="BZ1163" s="1191"/>
      <c r="CA1163" s="1191"/>
      <c r="CB1163" s="1191"/>
      <c r="CC1163" s="1191"/>
      <c r="CD1163" s="1191"/>
      <c r="CE1163" s="1191"/>
      <c r="CF1163" s="1191"/>
      <c r="CG1163" s="1191"/>
      <c r="CH1163" s="1191"/>
      <c r="CI1163" s="1191"/>
      <c r="CM1163" s="1139">
        <v>0</v>
      </c>
      <c r="CN1163" s="1139">
        <v>0</v>
      </c>
      <c r="CP1163" s="923">
        <f t="shared" si="701"/>
        <v>0</v>
      </c>
      <c r="CZ1163" s="330"/>
    </row>
    <row r="1164" spans="1:104" ht="15" customHeight="1" x14ac:dyDescent="0.25">
      <c r="A1164" s="684">
        <f>MAX($A$6:A1163)+1</f>
        <v>1164</v>
      </c>
      <c r="B1164" s="3">
        <f t="shared" si="705"/>
        <v>9</v>
      </c>
      <c r="C1164" s="11" t="str">
        <f t="shared" si="706"/>
        <v>Investments</v>
      </c>
      <c r="D1164" s="11" t="str">
        <f t="shared" si="706"/>
        <v>Charitable Trust Fund</v>
      </c>
      <c r="E1164" s="7" t="s">
        <v>191</v>
      </c>
      <c r="F1164" s="7"/>
      <c r="G1164" s="1254" t="s">
        <v>191</v>
      </c>
      <c r="H1164" s="6">
        <v>0</v>
      </c>
      <c r="I1164" s="1190"/>
      <c r="J1164" s="1254" t="s">
        <v>191</v>
      </c>
      <c r="K1164" s="251">
        <f>SUMIF('alb Note 9 - Investments'!$A$9:$A$21,J1164,'alb Note 9 - Investments'!$B$9:$B$21)</f>
        <v>0</v>
      </c>
      <c r="L1164" s="266"/>
      <c r="M1164" s="10"/>
      <c r="N1164" s="273">
        <f t="shared" si="707"/>
        <v>0</v>
      </c>
      <c r="O1164" s="12"/>
      <c r="P1164" s="12"/>
      <c r="Q1164" s="12"/>
      <c r="R1164" s="12"/>
      <c r="S1164" s="6">
        <f t="shared" si="702"/>
        <v>0</v>
      </c>
      <c r="T1164" s="273">
        <f t="shared" si="703"/>
        <v>0</v>
      </c>
      <c r="U1164" s="6">
        <f t="shared" si="708"/>
        <v>0</v>
      </c>
      <c r="V1164" s="6"/>
      <c r="W1164" s="6">
        <f t="shared" si="700"/>
        <v>0</v>
      </c>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X1164" s="6"/>
      <c r="AY1164" s="6">
        <f>ROUND(AX1164/1000/Update!$B$31*Update!$B$27,0)</f>
        <v>0</v>
      </c>
      <c r="BA1164" s="6"/>
      <c r="BB1164" s="6">
        <f>ROUND(BA1164/1000/Update!$B$31,0)</f>
        <v>0</v>
      </c>
      <c r="BC1164" s="6"/>
      <c r="BD1164" s="29">
        <f t="shared" si="704"/>
        <v>0</v>
      </c>
      <c r="BE1164" s="317"/>
      <c r="BF1164" s="317"/>
      <c r="BG1164" s="317"/>
      <c r="BH1164" s="317"/>
      <c r="BI1164" s="317"/>
      <c r="BJ1164" s="317"/>
      <c r="BK1164" s="29">
        <f t="shared" si="684"/>
        <v>0</v>
      </c>
      <c r="BL1164" s="1191"/>
      <c r="BM1164" s="1191"/>
      <c r="BN1164" s="1191"/>
      <c r="BO1164" s="1191"/>
      <c r="BP1164" s="1191"/>
      <c r="BQ1164" s="1191"/>
      <c r="BR1164" s="1191"/>
      <c r="BS1164" s="1191"/>
      <c r="BT1164" s="1191"/>
      <c r="BU1164" s="1191"/>
      <c r="BV1164" s="1191"/>
      <c r="BW1164" s="1191"/>
      <c r="BX1164" s="1191"/>
      <c r="BY1164" s="1191"/>
      <c r="BZ1164" s="1191"/>
      <c r="CA1164" s="1191"/>
      <c r="CB1164" s="1191"/>
      <c r="CC1164" s="1191"/>
      <c r="CD1164" s="1191"/>
      <c r="CE1164" s="1191"/>
      <c r="CF1164" s="1191"/>
      <c r="CG1164" s="1191"/>
      <c r="CH1164" s="1191"/>
      <c r="CI1164" s="1191"/>
      <c r="CM1164" s="1139">
        <v>0</v>
      </c>
      <c r="CN1164" s="1139">
        <v>0</v>
      </c>
      <c r="CP1164" s="923">
        <f t="shared" si="701"/>
        <v>0</v>
      </c>
      <c r="CZ1164" s="330"/>
    </row>
    <row r="1165" spans="1:104" ht="15" customHeight="1" x14ac:dyDescent="0.25">
      <c r="A1165" s="684">
        <f>MAX($A$6:A1164)+1</f>
        <v>1165</v>
      </c>
      <c r="B1165" s="3">
        <f t="shared" si="705"/>
        <v>9</v>
      </c>
      <c r="C1165" s="11" t="str">
        <f t="shared" si="706"/>
        <v>Investments</v>
      </c>
      <c r="D1165" s="11" t="str">
        <f t="shared" si="706"/>
        <v>Charitable Trust Fund</v>
      </c>
      <c r="E1165" s="7" t="s">
        <v>222</v>
      </c>
      <c r="F1165" s="7"/>
      <c r="G1165" s="1254" t="s">
        <v>222</v>
      </c>
      <c r="H1165" s="6">
        <v>0</v>
      </c>
      <c r="I1165" s="1190"/>
      <c r="J1165" s="1254" t="s">
        <v>222</v>
      </c>
      <c r="K1165" s="251">
        <f>SUMIF('alb Note 9 - Investments'!$A$9:$A$21,J1165,'alb Note 9 - Investments'!$B$9:$B$21)</f>
        <v>0</v>
      </c>
      <c r="L1165" s="266"/>
      <c r="M1165" s="10"/>
      <c r="N1165" s="273">
        <f t="shared" si="707"/>
        <v>0</v>
      </c>
      <c r="O1165" s="12"/>
      <c r="P1165" s="12"/>
      <c r="Q1165" s="12"/>
      <c r="R1165" s="12"/>
      <c r="S1165" s="6">
        <f t="shared" si="702"/>
        <v>0</v>
      </c>
      <c r="T1165" s="273">
        <f t="shared" si="703"/>
        <v>0</v>
      </c>
      <c r="U1165" s="6">
        <f t="shared" si="708"/>
        <v>0</v>
      </c>
      <c r="V1165" s="6"/>
      <c r="W1165" s="6">
        <f t="shared" si="700"/>
        <v>0</v>
      </c>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X1165" s="6"/>
      <c r="AY1165" s="6">
        <f>ROUND(AX1165/1000/Update!$B$31*Update!$B$27,0)</f>
        <v>0</v>
      </c>
      <c r="BA1165" s="6"/>
      <c r="BB1165" s="6">
        <f>ROUND(BA1165/1000/Update!$B$31,0)</f>
        <v>0</v>
      </c>
      <c r="BC1165" s="6"/>
      <c r="BD1165" s="29">
        <f t="shared" si="704"/>
        <v>0</v>
      </c>
      <c r="BE1165" s="317"/>
      <c r="BF1165" s="317"/>
      <c r="BG1165" s="317"/>
      <c r="BH1165" s="317"/>
      <c r="BI1165" s="317"/>
      <c r="BJ1165" s="317"/>
      <c r="BK1165" s="29">
        <f t="shared" si="684"/>
        <v>0</v>
      </c>
      <c r="BL1165" s="1191"/>
      <c r="BM1165" s="1191"/>
      <c r="BN1165" s="1191"/>
      <c r="BO1165" s="1191"/>
      <c r="BP1165" s="1191"/>
      <c r="BQ1165" s="1191"/>
      <c r="BR1165" s="1191"/>
      <c r="BS1165" s="1191"/>
      <c r="BT1165" s="1191"/>
      <c r="BU1165" s="1191"/>
      <c r="BV1165" s="1191"/>
      <c r="BW1165" s="1191"/>
      <c r="BX1165" s="1191"/>
      <c r="BY1165" s="1191"/>
      <c r="BZ1165" s="1191"/>
      <c r="CA1165" s="1191"/>
      <c r="CB1165" s="1191"/>
      <c r="CC1165" s="1191"/>
      <c r="CD1165" s="1191"/>
      <c r="CE1165" s="1191"/>
      <c r="CF1165" s="1191"/>
      <c r="CG1165" s="1191"/>
      <c r="CH1165" s="1191"/>
      <c r="CI1165" s="1191"/>
      <c r="CM1165" s="1139">
        <v>0</v>
      </c>
      <c r="CN1165" s="1139">
        <v>0</v>
      </c>
      <c r="CP1165" s="923">
        <f t="shared" si="701"/>
        <v>0</v>
      </c>
      <c r="CZ1165" s="330"/>
    </row>
    <row r="1166" spans="1:104" ht="15" customHeight="1" x14ac:dyDescent="0.25">
      <c r="A1166" s="684">
        <f>MAX($A$6:A1165)+1</f>
        <v>1166</v>
      </c>
      <c r="B1166" s="3">
        <f t="shared" si="705"/>
        <v>9</v>
      </c>
      <c r="C1166" s="11" t="str">
        <f t="shared" si="706"/>
        <v>Investments</v>
      </c>
      <c r="D1166" s="11" t="str">
        <f t="shared" si="706"/>
        <v>Charitable Trust Fund</v>
      </c>
      <c r="E1166" s="7" t="s">
        <v>223</v>
      </c>
      <c r="F1166" s="7"/>
      <c r="G1166" s="1254" t="s">
        <v>223</v>
      </c>
      <c r="H1166" s="6">
        <v>0</v>
      </c>
      <c r="I1166" s="1190"/>
      <c r="J1166" s="1254" t="s">
        <v>223</v>
      </c>
      <c r="K1166" s="251">
        <f>SUMIF('alb Note 9 - Investments'!$A$9:$A$21,J1166,'alb Note 9 - Investments'!$B$9:$B$21)</f>
        <v>0</v>
      </c>
      <c r="L1166" s="266"/>
      <c r="M1166" s="10"/>
      <c r="N1166" s="273">
        <f t="shared" si="707"/>
        <v>0</v>
      </c>
      <c r="O1166" s="12"/>
      <c r="P1166" s="12"/>
      <c r="Q1166" s="12"/>
      <c r="R1166" s="12"/>
      <c r="S1166" s="6">
        <f t="shared" si="702"/>
        <v>0</v>
      </c>
      <c r="T1166" s="273">
        <f t="shared" si="703"/>
        <v>0</v>
      </c>
      <c r="U1166" s="6">
        <f t="shared" si="708"/>
        <v>0</v>
      </c>
      <c r="V1166" s="6"/>
      <c r="W1166" s="6">
        <f t="shared" si="700"/>
        <v>0</v>
      </c>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X1166" s="6"/>
      <c r="AY1166" s="6">
        <f>ROUND(AX1166/1000/Update!$B$31*Update!$B$27,0)</f>
        <v>0</v>
      </c>
      <c r="BA1166" s="6"/>
      <c r="BB1166" s="6">
        <f>ROUND(BA1166/1000/Update!$B$31,0)</f>
        <v>0</v>
      </c>
      <c r="BC1166" s="6"/>
      <c r="BD1166" s="29">
        <f t="shared" si="704"/>
        <v>0</v>
      </c>
      <c r="BE1166" s="317"/>
      <c r="BF1166" s="317"/>
      <c r="BG1166" s="317"/>
      <c r="BH1166" s="317"/>
      <c r="BI1166" s="317"/>
      <c r="BJ1166" s="317"/>
      <c r="BK1166" s="29">
        <f t="shared" si="684"/>
        <v>0</v>
      </c>
      <c r="BL1166" s="1191"/>
      <c r="BM1166" s="1191"/>
      <c r="BN1166" s="1191"/>
      <c r="BO1166" s="1191"/>
      <c r="BP1166" s="1191"/>
      <c r="BQ1166" s="1191"/>
      <c r="BR1166" s="1191"/>
      <c r="BS1166" s="1191"/>
      <c r="BT1166" s="1191"/>
      <c r="BU1166" s="1191"/>
      <c r="BV1166" s="1191"/>
      <c r="BW1166" s="1191"/>
      <c r="BX1166" s="1191"/>
      <c r="BY1166" s="1191"/>
      <c r="BZ1166" s="1191"/>
      <c r="CA1166" s="1191"/>
      <c r="CB1166" s="1191"/>
      <c r="CC1166" s="1191"/>
      <c r="CD1166" s="1191"/>
      <c r="CE1166" s="1191"/>
      <c r="CF1166" s="1191"/>
      <c r="CG1166" s="1191"/>
      <c r="CH1166" s="1191"/>
      <c r="CI1166" s="1191"/>
      <c r="CM1166" s="1139">
        <v>0</v>
      </c>
      <c r="CN1166" s="1139">
        <v>0</v>
      </c>
      <c r="CP1166" s="923">
        <f t="shared" si="701"/>
        <v>0</v>
      </c>
      <c r="CZ1166" s="330"/>
    </row>
    <row r="1167" spans="1:104" ht="15" customHeight="1" x14ac:dyDescent="0.25">
      <c r="A1167" s="684">
        <f>MAX($A$6:A1166)+1</f>
        <v>1167</v>
      </c>
      <c r="B1167" s="3">
        <f t="shared" si="705"/>
        <v>9</v>
      </c>
      <c r="C1167" s="11" t="str">
        <f t="shared" si="706"/>
        <v>Investments</v>
      </c>
      <c r="D1167" s="11" t="str">
        <f t="shared" si="706"/>
        <v>Charitable Trust Fund</v>
      </c>
      <c r="E1167" s="7" t="s">
        <v>189</v>
      </c>
      <c r="F1167" s="7"/>
      <c r="G1167" s="1254" t="s">
        <v>189</v>
      </c>
      <c r="H1167" s="6">
        <v>0</v>
      </c>
      <c r="I1167" s="1190"/>
      <c r="J1167" s="1254" t="s">
        <v>189</v>
      </c>
      <c r="K1167" s="251">
        <f>SUMIF('alb Note 9 - Investments'!$A$9:$A$21,J1167,'alb Note 9 - Investments'!$B$9:$B$21)</f>
        <v>0</v>
      </c>
      <c r="L1167" s="266"/>
      <c r="M1167" s="10"/>
      <c r="N1167" s="273">
        <f t="shared" si="707"/>
        <v>0</v>
      </c>
      <c r="O1167" s="12"/>
      <c r="P1167" s="12"/>
      <c r="Q1167" s="12"/>
      <c r="R1167" s="12"/>
      <c r="S1167" s="6">
        <f t="shared" si="702"/>
        <v>0</v>
      </c>
      <c r="T1167" s="273">
        <f t="shared" si="703"/>
        <v>0</v>
      </c>
      <c r="U1167" s="6">
        <f t="shared" si="708"/>
        <v>0</v>
      </c>
      <c r="V1167" s="6"/>
      <c r="W1167" s="6">
        <f t="shared" si="700"/>
        <v>0</v>
      </c>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X1167" s="6"/>
      <c r="AY1167" s="6">
        <f>ROUND(AX1167/1000/Update!$B$31*Update!$B$27,0)</f>
        <v>0</v>
      </c>
      <c r="BA1167" s="6"/>
      <c r="BB1167" s="6">
        <f>ROUND(BA1167/1000/Update!$B$31,0)</f>
        <v>0</v>
      </c>
      <c r="BC1167" s="6"/>
      <c r="BD1167" s="29">
        <f t="shared" si="704"/>
        <v>0</v>
      </c>
      <c r="BE1167" s="317"/>
      <c r="BF1167" s="317"/>
      <c r="BG1167" s="317"/>
      <c r="BH1167" s="317"/>
      <c r="BI1167" s="317"/>
      <c r="BJ1167" s="317"/>
      <c r="BK1167" s="29">
        <f t="shared" si="684"/>
        <v>0</v>
      </c>
      <c r="BL1167" s="1191"/>
      <c r="BM1167" s="1191"/>
      <c r="BN1167" s="1191"/>
      <c r="BO1167" s="1191"/>
      <c r="BP1167" s="1191"/>
      <c r="BQ1167" s="1191"/>
      <c r="BR1167" s="1191"/>
      <c r="BS1167" s="1191"/>
      <c r="BT1167" s="1191"/>
      <c r="BU1167" s="1191"/>
      <c r="BV1167" s="1191"/>
      <c r="BW1167" s="1191"/>
      <c r="BX1167" s="1191"/>
      <c r="BY1167" s="1191"/>
      <c r="BZ1167" s="1191"/>
      <c r="CA1167" s="1191"/>
      <c r="CB1167" s="1191"/>
      <c r="CC1167" s="1191"/>
      <c r="CD1167" s="1191"/>
      <c r="CE1167" s="1191"/>
      <c r="CF1167" s="1191"/>
      <c r="CG1167" s="1191"/>
      <c r="CH1167" s="1191"/>
      <c r="CI1167" s="1191"/>
      <c r="CM1167" s="1139">
        <v>0</v>
      </c>
      <c r="CN1167" s="1139">
        <v>0</v>
      </c>
      <c r="CP1167" s="923">
        <f t="shared" si="701"/>
        <v>0</v>
      </c>
      <c r="CZ1167" s="330"/>
    </row>
    <row r="1168" spans="1:104" ht="15" customHeight="1" x14ac:dyDescent="0.25">
      <c r="A1168" s="684">
        <f>MAX($A$6:A1167)+1</f>
        <v>1168</v>
      </c>
      <c r="B1168" s="3">
        <f t="shared" si="705"/>
        <v>9</v>
      </c>
      <c r="C1168" s="11" t="str">
        <f t="shared" si="706"/>
        <v>Investments</v>
      </c>
      <c r="D1168" s="11" t="str">
        <f t="shared" si="706"/>
        <v>Charitable Trust Fund</v>
      </c>
      <c r="E1168" s="7" t="s">
        <v>208</v>
      </c>
      <c r="F1168" s="7"/>
      <c r="G1168" s="1254" t="s">
        <v>208</v>
      </c>
      <c r="H1168" s="6">
        <v>0</v>
      </c>
      <c r="I1168" s="1190"/>
      <c r="J1168" s="1254" t="s">
        <v>208</v>
      </c>
      <c r="K1168" s="251">
        <f>SUMIF('alb Note 9 - Investments'!$A$9:$A$21,J1168,'alb Note 9 - Investments'!$B$9:$B$21)</f>
        <v>0</v>
      </c>
      <c r="L1168" s="266"/>
      <c r="M1168" s="10"/>
      <c r="N1168" s="273">
        <f t="shared" si="707"/>
        <v>0</v>
      </c>
      <c r="O1168" s="12"/>
      <c r="P1168" s="12"/>
      <c r="Q1168" s="12"/>
      <c r="R1168" s="12"/>
      <c r="S1168" s="6">
        <f t="shared" si="702"/>
        <v>0</v>
      </c>
      <c r="T1168" s="273">
        <f t="shared" si="703"/>
        <v>0</v>
      </c>
      <c r="U1168" s="6">
        <f t="shared" si="708"/>
        <v>0</v>
      </c>
      <c r="V1168" s="6"/>
      <c r="W1168" s="6">
        <f t="shared" si="700"/>
        <v>0</v>
      </c>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X1168" s="6"/>
      <c r="AY1168" s="6">
        <f>ROUND(AX1168/1000/Update!$B$31*Update!$B$27,0)</f>
        <v>0</v>
      </c>
      <c r="BA1168" s="6"/>
      <c r="BB1168" s="6">
        <f>ROUND(BA1168/1000/Update!$B$31,0)</f>
        <v>0</v>
      </c>
      <c r="BC1168" s="6"/>
      <c r="BD1168" s="29">
        <f t="shared" si="704"/>
        <v>0</v>
      </c>
      <c r="BE1168" s="317"/>
      <c r="BF1168" s="317"/>
      <c r="BG1168" s="317"/>
      <c r="BH1168" s="317"/>
      <c r="BI1168" s="317"/>
      <c r="BJ1168" s="317"/>
      <c r="BK1168" s="29">
        <f t="shared" si="684"/>
        <v>0</v>
      </c>
      <c r="BL1168" s="1191"/>
      <c r="BM1168" s="1191"/>
      <c r="BN1168" s="1191"/>
      <c r="BO1168" s="1191"/>
      <c r="BP1168" s="1191"/>
      <c r="BQ1168" s="1191"/>
      <c r="BR1168" s="1191"/>
      <c r="BS1168" s="1191"/>
      <c r="BT1168" s="1191"/>
      <c r="BU1168" s="1191"/>
      <c r="BV1168" s="1191"/>
      <c r="BW1168" s="1191"/>
      <c r="BX1168" s="1191"/>
      <c r="BY1168" s="1191"/>
      <c r="BZ1168" s="1191"/>
      <c r="CA1168" s="1191"/>
      <c r="CB1168" s="1191"/>
      <c r="CC1168" s="1191"/>
      <c r="CD1168" s="1191"/>
      <c r="CE1168" s="1191"/>
      <c r="CF1168" s="1191"/>
      <c r="CG1168" s="1191"/>
      <c r="CH1168" s="1191"/>
      <c r="CI1168" s="1191"/>
      <c r="CM1168" s="1139">
        <v>0</v>
      </c>
      <c r="CN1168" s="1139">
        <v>0</v>
      </c>
      <c r="CP1168" s="923">
        <f t="shared" si="701"/>
        <v>0</v>
      </c>
      <c r="CZ1168" s="330"/>
    </row>
    <row r="1169" spans="1:104" ht="15" customHeight="1" x14ac:dyDescent="0.25">
      <c r="A1169" s="701">
        <f>MAX($A$6:A1168)+1</f>
        <v>1169</v>
      </c>
      <c r="B1169" s="1291">
        <f t="shared" si="705"/>
        <v>9</v>
      </c>
      <c r="C1169" s="18" t="str">
        <f t="shared" si="706"/>
        <v>Investments</v>
      </c>
      <c r="D1169" s="18" t="str">
        <f t="shared" si="706"/>
        <v>Charitable Trust Fund</v>
      </c>
      <c r="E1169" s="19" t="s">
        <v>220</v>
      </c>
      <c r="F1169" s="19"/>
      <c r="G1169" s="28"/>
      <c r="H1169" s="14">
        <f>SUM(H1162:H1168)</f>
        <v>0</v>
      </c>
      <c r="I1169" s="14"/>
      <c r="J1169" s="1258" t="s">
        <v>286</v>
      </c>
      <c r="K1169" s="256">
        <f>SUM(K1162:K1168)</f>
        <v>0</v>
      </c>
      <c r="L1169" s="256">
        <f>SUM(L1162:L1168)</f>
        <v>0</v>
      </c>
      <c r="M1169" s="21"/>
      <c r="N1169" s="14">
        <f>ROUND(SUM(O1169:S1169)+T1169+SUM(Z1169:AV1169),0)</f>
        <v>0</v>
      </c>
      <c r="O1169" s="14">
        <f t="shared" ref="O1169:W1169" si="709">SUM(O1162:O1168)</f>
        <v>0</v>
      </c>
      <c r="P1169" s="14">
        <f t="shared" si="709"/>
        <v>0</v>
      </c>
      <c r="Q1169" s="14">
        <f t="shared" si="709"/>
        <v>0</v>
      </c>
      <c r="R1169" s="14">
        <f t="shared" si="709"/>
        <v>0</v>
      </c>
      <c r="S1169" s="14">
        <v>0</v>
      </c>
      <c r="T1169" s="14">
        <f t="shared" si="709"/>
        <v>0</v>
      </c>
      <c r="U1169" s="14">
        <f t="shared" si="709"/>
        <v>0</v>
      </c>
      <c r="V1169" s="14">
        <f t="shared" si="709"/>
        <v>0</v>
      </c>
      <c r="W1169" s="14">
        <f t="shared" si="709"/>
        <v>0</v>
      </c>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2"/>
      <c r="AX1169" s="14">
        <f>SUM(AX1162:AX1168)</f>
        <v>0</v>
      </c>
      <c r="AY1169" s="14">
        <f>ROUND(AX1169/1000/Update!$B$31*Update!$B$27,0)</f>
        <v>0</v>
      </c>
      <c r="AZ1169" s="2"/>
      <c r="BA1169" s="14">
        <f>SUM(BA1162:BA1168)</f>
        <v>0</v>
      </c>
      <c r="BB1169" s="14">
        <f>ROUND(BA1169/1000/Update!$B$31,0)</f>
        <v>0</v>
      </c>
      <c r="BC1169" s="14"/>
      <c r="BD1169" s="14">
        <f t="shared" si="704"/>
        <v>0</v>
      </c>
      <c r="BE1169" s="318">
        <f t="shared" ref="BE1169:BJ1169" si="710">SUM(BE1162:BE1168)</f>
        <v>0</v>
      </c>
      <c r="BF1169" s="318">
        <f t="shared" si="710"/>
        <v>0</v>
      </c>
      <c r="BG1169" s="318">
        <f t="shared" si="710"/>
        <v>0</v>
      </c>
      <c r="BH1169" s="318">
        <f t="shared" si="710"/>
        <v>0</v>
      </c>
      <c r="BI1169" s="318">
        <f t="shared" si="710"/>
        <v>0</v>
      </c>
      <c r="BJ1169" s="318">
        <f t="shared" si="710"/>
        <v>0</v>
      </c>
      <c r="BK1169" s="14">
        <f t="shared" si="684"/>
        <v>0</v>
      </c>
      <c r="BL1169" s="318"/>
      <c r="BM1169" s="318"/>
      <c r="BN1169" s="318"/>
      <c r="BO1169" s="318"/>
      <c r="BP1169" s="318"/>
      <c r="BQ1169" s="318"/>
      <c r="BR1169" s="318"/>
      <c r="BS1169" s="318"/>
      <c r="BT1169" s="318"/>
      <c r="BU1169" s="318"/>
      <c r="BV1169" s="318"/>
      <c r="BW1169" s="318"/>
      <c r="BX1169" s="318"/>
      <c r="BY1169" s="318"/>
      <c r="BZ1169" s="318"/>
      <c r="CA1169" s="318"/>
      <c r="CB1169" s="318"/>
      <c r="CC1169" s="318"/>
      <c r="CD1169" s="318"/>
      <c r="CE1169" s="318"/>
      <c r="CF1169" s="318"/>
      <c r="CG1169" s="318"/>
      <c r="CH1169" s="318"/>
      <c r="CI1169" s="318"/>
      <c r="CJ1169" s="2"/>
      <c r="CK1169" s="2"/>
      <c r="CM1169" s="1140">
        <v>0</v>
      </c>
      <c r="CN1169" s="1140">
        <v>0</v>
      </c>
      <c r="CP1169" s="923">
        <f t="shared" si="701"/>
        <v>0</v>
      </c>
      <c r="CZ1169" s="330"/>
    </row>
    <row r="1170" spans="1:104" ht="15" customHeight="1" x14ac:dyDescent="0.25">
      <c r="A1170" s="684">
        <f>MAX($A$6:A1169)+1</f>
        <v>1170</v>
      </c>
      <c r="B1170" s="3">
        <f t="shared" si="705"/>
        <v>9</v>
      </c>
      <c r="C1170" s="11" t="str">
        <f t="shared" si="706"/>
        <v>Investments</v>
      </c>
      <c r="D1170" s="11" t="s">
        <v>1940</v>
      </c>
      <c r="E1170" s="13" t="s">
        <v>219</v>
      </c>
      <c r="F1170" s="13"/>
      <c r="G1170" s="1254" t="s">
        <v>607</v>
      </c>
      <c r="H1170" s="6">
        <v>0</v>
      </c>
      <c r="I1170" s="1190"/>
      <c r="J1170" s="1254" t="s">
        <v>607</v>
      </c>
      <c r="K1170" s="251">
        <f>SUMIF('alb Note 9 - Investments'!$A$9:$A$21,J1170,'alb Note 9 - Investments'!$C$9:$C$21)</f>
        <v>0</v>
      </c>
      <c r="L1170" s="266"/>
      <c r="M1170" s="10"/>
      <c r="N1170" s="273">
        <f t="shared" ref="N1170:N1176" si="711">ROUND(SUM(O1170:S1170)+SUM(W1170:AV1170),0)</f>
        <v>0</v>
      </c>
      <c r="O1170" s="12"/>
      <c r="P1170" s="12"/>
      <c r="Q1170" s="12"/>
      <c r="R1170" s="12"/>
      <c r="S1170" s="6">
        <f t="shared" si="702"/>
        <v>0</v>
      </c>
      <c r="T1170" s="273">
        <f t="shared" ref="T1170:T1176" si="712">ROUND(SUM(U1170:Y1170),0)</f>
        <v>0</v>
      </c>
      <c r="U1170" s="251">
        <f t="shared" ref="U1170:U1176" si="713">SUM(BL1170:BN1170)</f>
        <v>0</v>
      </c>
      <c r="V1170" s="251"/>
      <c r="W1170" s="251">
        <f t="shared" si="700"/>
        <v>0</v>
      </c>
      <c r="X1170" s="251"/>
      <c r="Y1170" s="251"/>
      <c r="Z1170" s="251"/>
      <c r="AA1170" s="251"/>
      <c r="AB1170" s="251"/>
      <c r="AC1170" s="251"/>
      <c r="AD1170" s="251"/>
      <c r="AE1170" s="251"/>
      <c r="AF1170" s="251"/>
      <c r="AG1170" s="251"/>
      <c r="AH1170" s="251"/>
      <c r="AI1170" s="251"/>
      <c r="AJ1170" s="251"/>
      <c r="AK1170" s="251"/>
      <c r="AL1170" s="251"/>
      <c r="AM1170" s="251"/>
      <c r="AN1170" s="251"/>
      <c r="AO1170" s="251"/>
      <c r="AP1170" s="251"/>
      <c r="AQ1170" s="251"/>
      <c r="AR1170" s="251"/>
      <c r="AS1170" s="251"/>
      <c r="AT1170" s="251"/>
      <c r="AU1170" s="251"/>
      <c r="AV1170" s="251"/>
      <c r="AX1170" s="6"/>
      <c r="AY1170" s="6">
        <f>ROUND(AX1170/1000/Update!$B$31*Update!$B$27,0)</f>
        <v>0</v>
      </c>
      <c r="BA1170" s="6"/>
      <c r="BB1170" s="6">
        <f>ROUND(BA1170/1000/Update!$B$31,0)</f>
        <v>0</v>
      </c>
      <c r="BC1170" s="6"/>
      <c r="BD1170" s="29">
        <f t="shared" si="704"/>
        <v>0</v>
      </c>
      <c r="BE1170" s="317"/>
      <c r="BF1170" s="317"/>
      <c r="BG1170" s="317"/>
      <c r="BH1170" s="317"/>
      <c r="BI1170" s="317"/>
      <c r="BJ1170" s="317"/>
      <c r="BK1170" s="29">
        <f t="shared" si="684"/>
        <v>0</v>
      </c>
      <c r="BL1170" s="1191"/>
      <c r="BM1170" s="1191"/>
      <c r="BN1170" s="1191"/>
      <c r="BO1170" s="1191"/>
      <c r="BP1170" s="1191"/>
      <c r="BQ1170" s="1191"/>
      <c r="BR1170" s="1191"/>
      <c r="BS1170" s="1191"/>
      <c r="BT1170" s="1191"/>
      <c r="BU1170" s="1191"/>
      <c r="BV1170" s="1191"/>
      <c r="BW1170" s="1191"/>
      <c r="BX1170" s="1191"/>
      <c r="BY1170" s="1191"/>
      <c r="BZ1170" s="1191"/>
      <c r="CA1170" s="1191"/>
      <c r="CB1170" s="1191"/>
      <c r="CC1170" s="1191"/>
      <c r="CD1170" s="1191"/>
      <c r="CE1170" s="1191"/>
      <c r="CF1170" s="1191"/>
      <c r="CG1170" s="1191"/>
      <c r="CH1170" s="1191"/>
      <c r="CI1170" s="1191"/>
      <c r="CM1170" s="1139">
        <v>0</v>
      </c>
      <c r="CN1170" s="1139">
        <v>0</v>
      </c>
      <c r="CP1170" s="923">
        <f t="shared" si="701"/>
        <v>0</v>
      </c>
      <c r="CZ1170" s="330"/>
    </row>
    <row r="1171" spans="1:104" ht="15" customHeight="1" x14ac:dyDescent="0.25">
      <c r="A1171" s="684">
        <f>MAX($A$6:A1170)+1</f>
        <v>1171</v>
      </c>
      <c r="B1171" s="3">
        <f t="shared" si="705"/>
        <v>9</v>
      </c>
      <c r="C1171" s="11" t="str">
        <f t="shared" si="706"/>
        <v>Investments</v>
      </c>
      <c r="D1171" s="11" t="str">
        <f>D1170</f>
        <v>Financial Transactions Capital</v>
      </c>
      <c r="E1171" s="7" t="s">
        <v>185</v>
      </c>
      <c r="F1171" s="7"/>
      <c r="G1171" s="1254" t="s">
        <v>185</v>
      </c>
      <c r="H1171" s="6">
        <v>0</v>
      </c>
      <c r="I1171" s="1190"/>
      <c r="J1171" s="1254" t="s">
        <v>185</v>
      </c>
      <c r="K1171" s="251">
        <f>SUMIF('alb Note 9 - Investments'!$A$9:$A$21,J1171,'alb Note 9 - Investments'!$C$9:$C$21)</f>
        <v>0</v>
      </c>
      <c r="L1171" s="266"/>
      <c r="M1171" s="10"/>
      <c r="N1171" s="273">
        <f t="shared" si="711"/>
        <v>0</v>
      </c>
      <c r="O1171" s="12"/>
      <c r="P1171" s="12"/>
      <c r="Q1171" s="12"/>
      <c r="R1171" s="12"/>
      <c r="S1171" s="6">
        <f t="shared" si="702"/>
        <v>0</v>
      </c>
      <c r="T1171" s="273">
        <f t="shared" si="712"/>
        <v>0</v>
      </c>
      <c r="U1171" s="6">
        <f t="shared" si="713"/>
        <v>0</v>
      </c>
      <c r="V1171" s="6"/>
      <c r="W1171" s="6">
        <f t="shared" si="700"/>
        <v>0</v>
      </c>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X1171" s="6"/>
      <c r="AY1171" s="6">
        <f>ROUND(AX1171/1000/Update!$B$31*Update!$B$27,0)</f>
        <v>0</v>
      </c>
      <c r="BA1171" s="6"/>
      <c r="BB1171" s="6">
        <f>ROUND(BA1171/1000/Update!$B$31,0)</f>
        <v>0</v>
      </c>
      <c r="BC1171" s="6"/>
      <c r="BD1171" s="29">
        <f t="shared" si="704"/>
        <v>0</v>
      </c>
      <c r="BE1171" s="317"/>
      <c r="BF1171" s="317"/>
      <c r="BG1171" s="317"/>
      <c r="BH1171" s="317"/>
      <c r="BI1171" s="317"/>
      <c r="BJ1171" s="317"/>
      <c r="BK1171" s="29">
        <f t="shared" si="684"/>
        <v>0</v>
      </c>
      <c r="BL1171" s="1191"/>
      <c r="BM1171" s="1191"/>
      <c r="BN1171" s="1191"/>
      <c r="BO1171" s="1191"/>
      <c r="BP1171" s="1191"/>
      <c r="BQ1171" s="1191"/>
      <c r="BR1171" s="1191"/>
      <c r="BS1171" s="1191"/>
      <c r="BT1171" s="1191"/>
      <c r="BU1171" s="1191"/>
      <c r="BV1171" s="1191"/>
      <c r="BW1171" s="1191"/>
      <c r="BX1171" s="1191"/>
      <c r="BY1171" s="1191"/>
      <c r="BZ1171" s="1191"/>
      <c r="CA1171" s="1191"/>
      <c r="CB1171" s="1191"/>
      <c r="CC1171" s="1191"/>
      <c r="CD1171" s="1191"/>
      <c r="CE1171" s="1191"/>
      <c r="CF1171" s="1191"/>
      <c r="CG1171" s="1191"/>
      <c r="CH1171" s="1191"/>
      <c r="CI1171" s="1191"/>
      <c r="CM1171" s="1139">
        <v>0</v>
      </c>
      <c r="CN1171" s="1139">
        <v>0</v>
      </c>
      <c r="CP1171" s="923">
        <f t="shared" si="701"/>
        <v>0</v>
      </c>
      <c r="CZ1171" s="330"/>
    </row>
    <row r="1172" spans="1:104" ht="15" customHeight="1" x14ac:dyDescent="0.25">
      <c r="A1172" s="684">
        <f>MAX($A$6:A1171)+1</f>
        <v>1172</v>
      </c>
      <c r="B1172" s="3">
        <f t="shared" si="705"/>
        <v>9</v>
      </c>
      <c r="C1172" s="11" t="str">
        <f t="shared" si="706"/>
        <v>Investments</v>
      </c>
      <c r="D1172" s="11" t="str">
        <f t="shared" si="706"/>
        <v>Financial Transactions Capital</v>
      </c>
      <c r="E1172" s="7" t="s">
        <v>191</v>
      </c>
      <c r="F1172" s="7"/>
      <c r="G1172" s="1254" t="s">
        <v>191</v>
      </c>
      <c r="H1172" s="6">
        <v>0</v>
      </c>
      <c r="I1172" s="1190"/>
      <c r="J1172" s="1254" t="s">
        <v>191</v>
      </c>
      <c r="K1172" s="251">
        <f>SUMIF('alb Note 9 - Investments'!$A$9:$A$21,J1172,'alb Note 9 - Investments'!$C$9:$C$21)</f>
        <v>0</v>
      </c>
      <c r="L1172" s="266"/>
      <c r="M1172" s="10"/>
      <c r="N1172" s="273">
        <f t="shared" si="711"/>
        <v>0</v>
      </c>
      <c r="O1172" s="12"/>
      <c r="P1172" s="12"/>
      <c r="Q1172" s="12"/>
      <c r="R1172" s="12"/>
      <c r="S1172" s="6">
        <f t="shared" si="702"/>
        <v>0</v>
      </c>
      <c r="T1172" s="273">
        <f t="shared" si="712"/>
        <v>0</v>
      </c>
      <c r="U1172" s="6">
        <f t="shared" si="713"/>
        <v>0</v>
      </c>
      <c r="V1172" s="6"/>
      <c r="W1172" s="6">
        <f t="shared" si="700"/>
        <v>0</v>
      </c>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X1172" s="6"/>
      <c r="AY1172" s="6">
        <f>ROUND(AX1172/1000/Update!$B$31*Update!$B$27,0)</f>
        <v>0</v>
      </c>
      <c r="BA1172" s="6"/>
      <c r="BB1172" s="6">
        <f>ROUND(BA1172/1000/Update!$B$31,0)</f>
        <v>0</v>
      </c>
      <c r="BC1172" s="6"/>
      <c r="BD1172" s="29">
        <f t="shared" si="704"/>
        <v>0</v>
      </c>
      <c r="BE1172" s="317"/>
      <c r="BF1172" s="317"/>
      <c r="BG1172" s="317"/>
      <c r="BH1172" s="317"/>
      <c r="BI1172" s="317"/>
      <c r="BJ1172" s="317"/>
      <c r="BK1172" s="29">
        <f t="shared" si="684"/>
        <v>0</v>
      </c>
      <c r="BL1172" s="1191"/>
      <c r="BM1172" s="1191"/>
      <c r="BN1172" s="1191"/>
      <c r="BO1172" s="1191"/>
      <c r="BP1172" s="1191"/>
      <c r="BQ1172" s="1191"/>
      <c r="BR1172" s="1191"/>
      <c r="BS1172" s="1191"/>
      <c r="BT1172" s="1191"/>
      <c r="BU1172" s="1191"/>
      <c r="BV1172" s="1191"/>
      <c r="BW1172" s="1191"/>
      <c r="BX1172" s="1191"/>
      <c r="BY1172" s="1191"/>
      <c r="BZ1172" s="1191"/>
      <c r="CA1172" s="1191"/>
      <c r="CB1172" s="1191"/>
      <c r="CC1172" s="1191"/>
      <c r="CD1172" s="1191"/>
      <c r="CE1172" s="1191"/>
      <c r="CF1172" s="1191"/>
      <c r="CG1172" s="1191"/>
      <c r="CH1172" s="1191"/>
      <c r="CI1172" s="1191"/>
      <c r="CM1172" s="1139">
        <v>0</v>
      </c>
      <c r="CN1172" s="1139">
        <v>0</v>
      </c>
      <c r="CP1172" s="923">
        <f t="shared" si="701"/>
        <v>0</v>
      </c>
      <c r="CZ1172" s="330"/>
    </row>
    <row r="1173" spans="1:104" ht="15" customHeight="1" x14ac:dyDescent="0.25">
      <c r="A1173" s="684">
        <f>MAX($A$6:A1172)+1</f>
        <v>1173</v>
      </c>
      <c r="B1173" s="3">
        <f t="shared" si="705"/>
        <v>9</v>
      </c>
      <c r="C1173" s="11" t="str">
        <f t="shared" si="706"/>
        <v>Investments</v>
      </c>
      <c r="D1173" s="11" t="str">
        <f t="shared" si="706"/>
        <v>Financial Transactions Capital</v>
      </c>
      <c r="E1173" s="7" t="s">
        <v>222</v>
      </c>
      <c r="F1173" s="7"/>
      <c r="G1173" s="1254" t="s">
        <v>222</v>
      </c>
      <c r="H1173" s="6">
        <v>0</v>
      </c>
      <c r="I1173" s="1190"/>
      <c r="J1173" s="1254" t="s">
        <v>222</v>
      </c>
      <c r="K1173" s="251">
        <f>SUMIF('alb Note 9 - Investments'!$A$9:$A$21,J1173,'alb Note 9 - Investments'!$C$9:$C$21)</f>
        <v>0</v>
      </c>
      <c r="L1173" s="266"/>
      <c r="M1173" s="10"/>
      <c r="N1173" s="273">
        <f t="shared" si="711"/>
        <v>0</v>
      </c>
      <c r="O1173" s="12"/>
      <c r="P1173" s="12"/>
      <c r="Q1173" s="12"/>
      <c r="R1173" s="12"/>
      <c r="S1173" s="6">
        <f t="shared" si="702"/>
        <v>0</v>
      </c>
      <c r="T1173" s="273">
        <f t="shared" si="712"/>
        <v>0</v>
      </c>
      <c r="U1173" s="6">
        <f t="shared" si="713"/>
        <v>0</v>
      </c>
      <c r="V1173" s="6"/>
      <c r="W1173" s="6">
        <f t="shared" si="700"/>
        <v>0</v>
      </c>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X1173" s="6"/>
      <c r="AY1173" s="6">
        <f>ROUND(AX1173/1000/Update!$B$31*Update!$B$27,0)</f>
        <v>0</v>
      </c>
      <c r="BA1173" s="6"/>
      <c r="BB1173" s="6">
        <f>ROUND(BA1173/1000/Update!$B$31,0)</f>
        <v>0</v>
      </c>
      <c r="BC1173" s="6"/>
      <c r="BD1173" s="29">
        <f t="shared" si="704"/>
        <v>0</v>
      </c>
      <c r="BE1173" s="317"/>
      <c r="BF1173" s="317"/>
      <c r="BG1173" s="317"/>
      <c r="BH1173" s="317"/>
      <c r="BI1173" s="317"/>
      <c r="BJ1173" s="317"/>
      <c r="BK1173" s="29">
        <f t="shared" si="684"/>
        <v>0</v>
      </c>
      <c r="BL1173" s="1191"/>
      <c r="BM1173" s="1191"/>
      <c r="BN1173" s="1191"/>
      <c r="BO1173" s="1191"/>
      <c r="BP1173" s="1191"/>
      <c r="BQ1173" s="1191"/>
      <c r="BR1173" s="1191"/>
      <c r="BS1173" s="1191"/>
      <c r="BT1173" s="1191"/>
      <c r="BU1173" s="1191"/>
      <c r="BV1173" s="1191"/>
      <c r="BW1173" s="1191"/>
      <c r="BX1173" s="1191"/>
      <c r="BY1173" s="1191"/>
      <c r="BZ1173" s="1191"/>
      <c r="CA1173" s="1191"/>
      <c r="CB1173" s="1191"/>
      <c r="CC1173" s="1191"/>
      <c r="CD1173" s="1191"/>
      <c r="CE1173" s="1191"/>
      <c r="CF1173" s="1191"/>
      <c r="CG1173" s="1191"/>
      <c r="CH1173" s="1191"/>
      <c r="CI1173" s="1191"/>
      <c r="CM1173" s="1139">
        <v>0</v>
      </c>
      <c r="CN1173" s="1139">
        <v>0</v>
      </c>
      <c r="CP1173" s="923">
        <f t="shared" si="701"/>
        <v>0</v>
      </c>
      <c r="CZ1173" s="330"/>
    </row>
    <row r="1174" spans="1:104" ht="15" customHeight="1" x14ac:dyDescent="0.25">
      <c r="A1174" s="684">
        <f>MAX($A$6:A1173)+1</f>
        <v>1174</v>
      </c>
      <c r="B1174" s="3">
        <f t="shared" si="705"/>
        <v>9</v>
      </c>
      <c r="C1174" s="11" t="str">
        <f t="shared" si="706"/>
        <v>Investments</v>
      </c>
      <c r="D1174" s="11" t="str">
        <f t="shared" si="706"/>
        <v>Financial Transactions Capital</v>
      </c>
      <c r="E1174" s="7" t="s">
        <v>223</v>
      </c>
      <c r="F1174" s="7"/>
      <c r="G1174" s="1254" t="s">
        <v>223</v>
      </c>
      <c r="H1174" s="6">
        <v>0</v>
      </c>
      <c r="I1174" s="1190"/>
      <c r="J1174" s="1254" t="s">
        <v>223</v>
      </c>
      <c r="K1174" s="251">
        <f>SUMIF('alb Note 9 - Investments'!$A$9:$A$21,J1174,'alb Note 9 - Investments'!$C$9:$C$21)</f>
        <v>0</v>
      </c>
      <c r="L1174" s="266"/>
      <c r="M1174" s="10"/>
      <c r="N1174" s="273">
        <f t="shared" si="711"/>
        <v>0</v>
      </c>
      <c r="O1174" s="12"/>
      <c r="P1174" s="12"/>
      <c r="Q1174" s="12"/>
      <c r="R1174" s="12"/>
      <c r="S1174" s="6">
        <f t="shared" si="702"/>
        <v>0</v>
      </c>
      <c r="T1174" s="273">
        <f t="shared" si="712"/>
        <v>0</v>
      </c>
      <c r="U1174" s="6">
        <f t="shared" si="713"/>
        <v>0</v>
      </c>
      <c r="V1174" s="6"/>
      <c r="W1174" s="6">
        <f t="shared" si="700"/>
        <v>0</v>
      </c>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X1174" s="6"/>
      <c r="AY1174" s="6">
        <f>ROUND(AX1174/1000/Update!$B$31*Update!$B$27,0)</f>
        <v>0</v>
      </c>
      <c r="BA1174" s="6"/>
      <c r="BB1174" s="6">
        <f>ROUND(BA1174/1000/Update!$B$31,0)</f>
        <v>0</v>
      </c>
      <c r="BC1174" s="6"/>
      <c r="BD1174" s="29">
        <f t="shared" si="704"/>
        <v>0</v>
      </c>
      <c r="BE1174" s="317"/>
      <c r="BF1174" s="317"/>
      <c r="BG1174" s="317"/>
      <c r="BH1174" s="317"/>
      <c r="BI1174" s="317"/>
      <c r="BJ1174" s="317"/>
      <c r="BK1174" s="29">
        <f t="shared" si="684"/>
        <v>0</v>
      </c>
      <c r="BL1174" s="1191"/>
      <c r="BM1174" s="1191"/>
      <c r="BN1174" s="1191"/>
      <c r="BO1174" s="1191"/>
      <c r="BP1174" s="1191"/>
      <c r="BQ1174" s="1191"/>
      <c r="BR1174" s="1191"/>
      <c r="BS1174" s="1191"/>
      <c r="BT1174" s="1191"/>
      <c r="BU1174" s="1191"/>
      <c r="BV1174" s="1191"/>
      <c r="BW1174" s="1191"/>
      <c r="BX1174" s="1191"/>
      <c r="BY1174" s="1191"/>
      <c r="BZ1174" s="1191"/>
      <c r="CA1174" s="1191"/>
      <c r="CB1174" s="1191"/>
      <c r="CC1174" s="1191"/>
      <c r="CD1174" s="1191"/>
      <c r="CE1174" s="1191"/>
      <c r="CF1174" s="1191"/>
      <c r="CG1174" s="1191"/>
      <c r="CH1174" s="1191"/>
      <c r="CI1174" s="1191"/>
      <c r="CM1174" s="1139">
        <v>0</v>
      </c>
      <c r="CN1174" s="1139">
        <v>0</v>
      </c>
      <c r="CP1174" s="923">
        <f t="shared" si="701"/>
        <v>0</v>
      </c>
      <c r="CZ1174" s="330"/>
    </row>
    <row r="1175" spans="1:104" ht="15" customHeight="1" x14ac:dyDescent="0.25">
      <c r="A1175" s="684">
        <f>MAX($A$6:A1174)+1</f>
        <v>1175</v>
      </c>
      <c r="B1175" s="3">
        <f t="shared" si="705"/>
        <v>9</v>
      </c>
      <c r="C1175" s="11" t="str">
        <f t="shared" si="706"/>
        <v>Investments</v>
      </c>
      <c r="D1175" s="11" t="str">
        <f t="shared" si="706"/>
        <v>Financial Transactions Capital</v>
      </c>
      <c r="E1175" s="7" t="s">
        <v>189</v>
      </c>
      <c r="F1175" s="7"/>
      <c r="G1175" s="1254" t="s">
        <v>189</v>
      </c>
      <c r="H1175" s="6">
        <v>0</v>
      </c>
      <c r="I1175" s="1190"/>
      <c r="J1175" s="1254" t="s">
        <v>189</v>
      </c>
      <c r="K1175" s="251">
        <f>SUMIF('alb Note 9 - Investments'!$A$9:$A$21,J1175,'alb Note 9 - Investments'!$C$9:$C$21)</f>
        <v>0</v>
      </c>
      <c r="L1175" s="266"/>
      <c r="M1175" s="10"/>
      <c r="N1175" s="273">
        <f t="shared" si="711"/>
        <v>0</v>
      </c>
      <c r="O1175" s="12"/>
      <c r="P1175" s="12"/>
      <c r="Q1175" s="12"/>
      <c r="R1175" s="12"/>
      <c r="S1175" s="6">
        <f t="shared" si="702"/>
        <v>0</v>
      </c>
      <c r="T1175" s="273">
        <f t="shared" si="712"/>
        <v>0</v>
      </c>
      <c r="U1175" s="6">
        <f t="shared" si="713"/>
        <v>0</v>
      </c>
      <c r="V1175" s="6"/>
      <c r="W1175" s="6">
        <f t="shared" si="700"/>
        <v>0</v>
      </c>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X1175" s="6"/>
      <c r="AY1175" s="6">
        <f>ROUND(AX1175/1000/Update!$B$31*Update!$B$27,0)</f>
        <v>0</v>
      </c>
      <c r="BA1175" s="6"/>
      <c r="BB1175" s="6">
        <f>ROUND(BA1175/1000/Update!$B$31,0)</f>
        <v>0</v>
      </c>
      <c r="BC1175" s="6"/>
      <c r="BD1175" s="29">
        <f t="shared" si="704"/>
        <v>0</v>
      </c>
      <c r="BE1175" s="317"/>
      <c r="BF1175" s="317"/>
      <c r="BG1175" s="317"/>
      <c r="BH1175" s="317"/>
      <c r="BI1175" s="317"/>
      <c r="BJ1175" s="317"/>
      <c r="BK1175" s="29">
        <f t="shared" si="684"/>
        <v>0</v>
      </c>
      <c r="BL1175" s="1191"/>
      <c r="BM1175" s="1191"/>
      <c r="BN1175" s="1191"/>
      <c r="BO1175" s="1191"/>
      <c r="BP1175" s="1191"/>
      <c r="BQ1175" s="1191"/>
      <c r="BR1175" s="1191"/>
      <c r="BS1175" s="1191"/>
      <c r="BT1175" s="1191"/>
      <c r="BU1175" s="1191"/>
      <c r="BV1175" s="1191"/>
      <c r="BW1175" s="1191"/>
      <c r="BX1175" s="1191"/>
      <c r="BY1175" s="1191"/>
      <c r="BZ1175" s="1191"/>
      <c r="CA1175" s="1191"/>
      <c r="CB1175" s="1191"/>
      <c r="CC1175" s="1191"/>
      <c r="CD1175" s="1191"/>
      <c r="CE1175" s="1191"/>
      <c r="CF1175" s="1191"/>
      <c r="CG1175" s="1191"/>
      <c r="CH1175" s="1191"/>
      <c r="CI1175" s="1191"/>
      <c r="CM1175" s="1139">
        <v>0</v>
      </c>
      <c r="CN1175" s="1139">
        <v>0</v>
      </c>
      <c r="CP1175" s="923">
        <f t="shared" si="701"/>
        <v>0</v>
      </c>
      <c r="CZ1175" s="330"/>
    </row>
    <row r="1176" spans="1:104" ht="15" customHeight="1" x14ac:dyDescent="0.25">
      <c r="A1176" s="684">
        <f>MAX($A$6:A1175)+1</f>
        <v>1176</v>
      </c>
      <c r="B1176" s="3">
        <f t="shared" si="705"/>
        <v>9</v>
      </c>
      <c r="C1176" s="11" t="str">
        <f t="shared" si="706"/>
        <v>Investments</v>
      </c>
      <c r="D1176" s="11" t="str">
        <f t="shared" si="706"/>
        <v>Financial Transactions Capital</v>
      </c>
      <c r="E1176" s="7" t="s">
        <v>208</v>
      </c>
      <c r="F1176" s="7"/>
      <c r="G1176" s="1254" t="s">
        <v>208</v>
      </c>
      <c r="H1176" s="6">
        <v>0</v>
      </c>
      <c r="I1176" s="1190"/>
      <c r="J1176" s="1254" t="s">
        <v>208</v>
      </c>
      <c r="K1176" s="251">
        <f>SUMIF('alb Note 9 - Investments'!$A$9:$A$21,J1176,'alb Note 9 - Investments'!$C$9:$C$21)</f>
        <v>0</v>
      </c>
      <c r="L1176" s="266"/>
      <c r="M1176" s="10"/>
      <c r="N1176" s="273">
        <f t="shared" si="711"/>
        <v>0</v>
      </c>
      <c r="O1176" s="12"/>
      <c r="P1176" s="12"/>
      <c r="Q1176" s="12"/>
      <c r="R1176" s="12"/>
      <c r="S1176" s="6">
        <f t="shared" si="702"/>
        <v>0</v>
      </c>
      <c r="T1176" s="273">
        <f t="shared" si="712"/>
        <v>0</v>
      </c>
      <c r="U1176" s="6">
        <f t="shared" si="713"/>
        <v>0</v>
      </c>
      <c r="V1176" s="6"/>
      <c r="W1176" s="6">
        <f t="shared" si="700"/>
        <v>0</v>
      </c>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X1176" s="6"/>
      <c r="AY1176" s="6">
        <f>ROUND(AX1176/1000/Update!$B$31*Update!$B$27,0)</f>
        <v>0</v>
      </c>
      <c r="BA1176" s="6"/>
      <c r="BB1176" s="6">
        <f>ROUND(BA1176/1000/Update!$B$31,0)</f>
        <v>0</v>
      </c>
      <c r="BC1176" s="6"/>
      <c r="BD1176" s="29">
        <f t="shared" si="704"/>
        <v>0</v>
      </c>
      <c r="BE1176" s="317"/>
      <c r="BF1176" s="317"/>
      <c r="BG1176" s="317"/>
      <c r="BH1176" s="317"/>
      <c r="BI1176" s="317"/>
      <c r="BJ1176" s="317"/>
      <c r="BK1176" s="29">
        <f t="shared" si="684"/>
        <v>0</v>
      </c>
      <c r="BL1176" s="1191"/>
      <c r="BM1176" s="1191"/>
      <c r="BN1176" s="1191"/>
      <c r="BO1176" s="1191"/>
      <c r="BP1176" s="1191"/>
      <c r="BQ1176" s="1191"/>
      <c r="BR1176" s="1191"/>
      <c r="BS1176" s="1191"/>
      <c r="BT1176" s="1191"/>
      <c r="BU1176" s="1191"/>
      <c r="BV1176" s="1191"/>
      <c r="BW1176" s="1191"/>
      <c r="BX1176" s="1191"/>
      <c r="BY1176" s="1191"/>
      <c r="BZ1176" s="1191"/>
      <c r="CA1176" s="1191"/>
      <c r="CB1176" s="1191"/>
      <c r="CC1176" s="1191"/>
      <c r="CD1176" s="1191"/>
      <c r="CE1176" s="1191"/>
      <c r="CF1176" s="1191"/>
      <c r="CG1176" s="1191"/>
      <c r="CH1176" s="1191"/>
      <c r="CI1176" s="1191"/>
      <c r="CM1176" s="1139">
        <v>0</v>
      </c>
      <c r="CN1176" s="1139">
        <v>0</v>
      </c>
      <c r="CP1176" s="923">
        <f t="shared" si="701"/>
        <v>0</v>
      </c>
      <c r="CZ1176" s="330"/>
    </row>
    <row r="1177" spans="1:104" ht="15" customHeight="1" x14ac:dyDescent="0.25">
      <c r="A1177" s="701">
        <f>MAX($A$6:A1176)+1</f>
        <v>1177</v>
      </c>
      <c r="B1177" s="1291">
        <f t="shared" si="705"/>
        <v>9</v>
      </c>
      <c r="C1177" s="18" t="str">
        <f t="shared" ref="C1177:D1191" si="714">C1176</f>
        <v>Investments</v>
      </c>
      <c r="D1177" s="18" t="str">
        <f t="shared" si="714"/>
        <v>Financial Transactions Capital</v>
      </c>
      <c r="E1177" s="19" t="s">
        <v>220</v>
      </c>
      <c r="F1177" s="19"/>
      <c r="G1177" s="1278"/>
      <c r="H1177" s="14">
        <f>SUM(H1170:H1176)</f>
        <v>0</v>
      </c>
      <c r="I1177" s="14"/>
      <c r="J1177" s="1258" t="s">
        <v>286</v>
      </c>
      <c r="K1177" s="256">
        <f>SUM(K1170:K1176)</f>
        <v>0</v>
      </c>
      <c r="L1177" s="256">
        <f>SUM(L1170:L1176)</f>
        <v>0</v>
      </c>
      <c r="M1177" s="21"/>
      <c r="N1177" s="14">
        <f>ROUND(SUM(O1177:S1177)+T1177+SUM(Z1177:AV1177),0)</f>
        <v>0</v>
      </c>
      <c r="O1177" s="14">
        <f t="shared" ref="O1177:V1177" si="715">SUM(O1170:O1176)</f>
        <v>0</v>
      </c>
      <c r="P1177" s="14">
        <f t="shared" si="715"/>
        <v>0</v>
      </c>
      <c r="Q1177" s="14">
        <f t="shared" si="715"/>
        <v>0</v>
      </c>
      <c r="R1177" s="14">
        <f t="shared" si="715"/>
        <v>0</v>
      </c>
      <c r="S1177" s="14">
        <f t="shared" si="702"/>
        <v>0</v>
      </c>
      <c r="T1177" s="14">
        <f t="shared" si="715"/>
        <v>0</v>
      </c>
      <c r="U1177" s="14">
        <f>SUM(U1170:U1176)</f>
        <v>0</v>
      </c>
      <c r="V1177" s="14">
        <f t="shared" si="715"/>
        <v>0</v>
      </c>
      <c r="W1177" s="14">
        <f>SUM(W1170:W1176)</f>
        <v>0</v>
      </c>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2"/>
      <c r="AX1177" s="14">
        <f>SUM(AX1170:AX1176)</f>
        <v>0</v>
      </c>
      <c r="AY1177" s="14">
        <f>ROUND(AX1177/1000/Update!$B$31*Update!$B$27,0)</f>
        <v>0</v>
      </c>
      <c r="AZ1177" s="2"/>
      <c r="BA1177" s="14">
        <f>SUM(BA1170:BA1176)</f>
        <v>0</v>
      </c>
      <c r="BB1177" s="14">
        <f>ROUND(BA1177/1000/Update!$B$31,0)</f>
        <v>0</v>
      </c>
      <c r="BC1177" s="14"/>
      <c r="BD1177" s="14">
        <f t="shared" si="704"/>
        <v>0</v>
      </c>
      <c r="BE1177" s="318">
        <f t="shared" ref="BE1177:BJ1177" si="716">SUM(BE1170:BE1176)</f>
        <v>0</v>
      </c>
      <c r="BF1177" s="318">
        <f t="shared" si="716"/>
        <v>0</v>
      </c>
      <c r="BG1177" s="318">
        <f t="shared" si="716"/>
        <v>0</v>
      </c>
      <c r="BH1177" s="318">
        <f t="shared" si="716"/>
        <v>0</v>
      </c>
      <c r="BI1177" s="318">
        <f t="shared" si="716"/>
        <v>0</v>
      </c>
      <c r="BJ1177" s="318">
        <f t="shared" si="716"/>
        <v>0</v>
      </c>
      <c r="BK1177" s="14">
        <f t="shared" si="684"/>
        <v>0</v>
      </c>
      <c r="BL1177" s="318"/>
      <c r="BM1177" s="318"/>
      <c r="BN1177" s="318"/>
      <c r="BO1177" s="318"/>
      <c r="BP1177" s="318"/>
      <c r="BQ1177" s="318"/>
      <c r="BR1177" s="318"/>
      <c r="BS1177" s="318"/>
      <c r="BT1177" s="318"/>
      <c r="BU1177" s="318"/>
      <c r="BV1177" s="318"/>
      <c r="BW1177" s="318"/>
      <c r="BX1177" s="318"/>
      <c r="BY1177" s="318"/>
      <c r="BZ1177" s="318"/>
      <c r="CA1177" s="318"/>
      <c r="CB1177" s="318"/>
      <c r="CC1177" s="318"/>
      <c r="CD1177" s="318"/>
      <c r="CE1177" s="318"/>
      <c r="CF1177" s="318"/>
      <c r="CG1177" s="318"/>
      <c r="CH1177" s="318"/>
      <c r="CI1177" s="318"/>
      <c r="CJ1177" s="2"/>
      <c r="CK1177" s="2"/>
      <c r="CM1177" s="1140">
        <v>0</v>
      </c>
      <c r="CN1177" s="1140">
        <v>0</v>
      </c>
      <c r="CP1177" s="923">
        <f t="shared" si="701"/>
        <v>0</v>
      </c>
      <c r="CZ1177" s="330"/>
    </row>
    <row r="1178" spans="1:104" ht="15" customHeight="1" x14ac:dyDescent="0.25">
      <c r="A1178" s="684">
        <f>MAX($A$6:A1177)+1</f>
        <v>1178</v>
      </c>
      <c r="B1178" s="3">
        <f t="shared" si="705"/>
        <v>9</v>
      </c>
      <c r="C1178" s="11" t="str">
        <f t="shared" si="706"/>
        <v>Investments</v>
      </c>
      <c r="D1178" s="11" t="s">
        <v>1941</v>
      </c>
      <c r="E1178" s="13" t="s">
        <v>219</v>
      </c>
      <c r="F1178" s="13"/>
      <c r="G1178" s="1254" t="s">
        <v>607</v>
      </c>
      <c r="H1178" s="6">
        <v>2009000</v>
      </c>
      <c r="I1178" s="1190"/>
      <c r="J1178" s="1254" t="s">
        <v>607</v>
      </c>
      <c r="K1178" s="251">
        <f>SUMIF('alb Note 9 - Investments'!$A$9:$A$21,J1178,'alb Note 9 - Investments'!$D$9:$D$21)</f>
        <v>0</v>
      </c>
      <c r="L1178" s="266"/>
      <c r="M1178" s="10"/>
      <c r="N1178" s="273">
        <f>ROUND(SUM(O1178:S1178)+SUM(W1178:AV1178),0)</f>
        <v>0</v>
      </c>
      <c r="O1178" s="12"/>
      <c r="P1178" s="12"/>
      <c r="Q1178" s="12"/>
      <c r="R1178" s="12"/>
      <c r="S1178" s="6">
        <f t="shared" si="702"/>
        <v>-2009000</v>
      </c>
      <c r="T1178" s="273">
        <f t="shared" ref="T1178:T1198" si="717">ROUND(SUM(U1178:Y1178),0)</f>
        <v>2009000</v>
      </c>
      <c r="U1178" s="6">
        <f t="shared" ref="U1178:U1184" si="718">SUM(BL1178:BN1178)</f>
        <v>0</v>
      </c>
      <c r="V1178" s="6"/>
      <c r="W1178" s="6">
        <f t="shared" si="700"/>
        <v>2009000</v>
      </c>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X1178" s="6"/>
      <c r="AY1178" s="6">
        <f>ROUND(AX1178/1000/Update!$B$31*Update!$B$27,0)</f>
        <v>0</v>
      </c>
      <c r="BA1178" s="6"/>
      <c r="BB1178" s="6">
        <f>ROUND(BA1178/1000/Update!$B$31,0)</f>
        <v>0</v>
      </c>
      <c r="BC1178" s="6"/>
      <c r="BD1178" s="29">
        <f t="shared" si="704"/>
        <v>2009000</v>
      </c>
      <c r="BE1178" s="317"/>
      <c r="BG1178" s="317"/>
      <c r="BH1178" s="1528">
        <f>+T1185</f>
        <v>2009000</v>
      </c>
      <c r="BI1178" s="317"/>
      <c r="BJ1178" s="317"/>
      <c r="BK1178" s="29">
        <f t="shared" si="684"/>
        <v>0</v>
      </c>
      <c r="BL1178" s="1191"/>
      <c r="BM1178" s="1191"/>
      <c r="BN1178" s="1191"/>
      <c r="BO1178" s="1191"/>
      <c r="BP1178" s="1191"/>
      <c r="BQ1178" s="1191"/>
      <c r="BR1178" s="1191"/>
      <c r="BS1178" s="1191"/>
      <c r="BT1178" s="1191"/>
      <c r="BU1178" s="1191"/>
      <c r="BV1178" s="1191"/>
      <c r="BW1178" s="1191"/>
      <c r="BX1178" s="1191"/>
      <c r="BY1178" s="1191"/>
      <c r="BZ1178" s="1191"/>
      <c r="CA1178" s="1191"/>
      <c r="CB1178" s="1191"/>
      <c r="CC1178" s="1191"/>
      <c r="CD1178" s="1191"/>
      <c r="CE1178" s="1191"/>
      <c r="CF1178" s="1191"/>
      <c r="CG1178" s="1191"/>
      <c r="CH1178" s="1191"/>
      <c r="CI1178" s="1191"/>
      <c r="CM1178" s="1139">
        <v>0</v>
      </c>
      <c r="CN1178" s="1139">
        <v>2009000</v>
      </c>
      <c r="CP1178" s="923">
        <f t="shared" si="701"/>
        <v>0</v>
      </c>
      <c r="CZ1178" s="330"/>
    </row>
    <row r="1179" spans="1:104" ht="15" customHeight="1" x14ac:dyDescent="0.25">
      <c r="A1179" s="684">
        <f>MAX($A$6:A1178)+1</f>
        <v>1179</v>
      </c>
      <c r="B1179" s="3">
        <f t="shared" si="705"/>
        <v>9</v>
      </c>
      <c r="C1179" s="11" t="str">
        <f t="shared" si="714"/>
        <v>Investments</v>
      </c>
      <c r="D1179" s="11" t="str">
        <f>D1178</f>
        <v>Other Investments</v>
      </c>
      <c r="E1179" s="7" t="s">
        <v>185</v>
      </c>
      <c r="F1179" s="7"/>
      <c r="G1179" s="1254" t="s">
        <v>185</v>
      </c>
      <c r="H1179" s="6">
        <v>0</v>
      </c>
      <c r="I1179" s="1190"/>
      <c r="J1179" s="1254" t="s">
        <v>185</v>
      </c>
      <c r="K1179" s="251">
        <f>SUMIF('alb Note 9 - Investments'!$A$9:$A$21,J1179,'alb Note 9 - Investments'!$D$9:$D$21)</f>
        <v>0</v>
      </c>
      <c r="L1179" s="266"/>
      <c r="M1179" s="10"/>
      <c r="N1179" s="273">
        <f t="shared" ref="N1179:N1184" si="719">ROUND(SUM(O1179:S1179)+SUM(W1179:AV1179),0)</f>
        <v>0</v>
      </c>
      <c r="O1179" s="12"/>
      <c r="P1179" s="12"/>
      <c r="Q1179" s="12"/>
      <c r="R1179" s="12"/>
      <c r="S1179" s="6">
        <f t="shared" si="702"/>
        <v>0</v>
      </c>
      <c r="T1179" s="273">
        <f t="shared" si="717"/>
        <v>0</v>
      </c>
      <c r="U1179" s="6">
        <f t="shared" si="718"/>
        <v>0</v>
      </c>
      <c r="V1179" s="6"/>
      <c r="W1179" s="6">
        <f t="shared" si="700"/>
        <v>0</v>
      </c>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X1179" s="6"/>
      <c r="AY1179" s="6">
        <f>ROUND(AX1179/1000/Update!$B$31*Update!$B$27,0)</f>
        <v>0</v>
      </c>
      <c r="BA1179" s="6"/>
      <c r="BB1179" s="6">
        <f>ROUND(BA1179/1000/Update!$B$31,0)</f>
        <v>0</v>
      </c>
      <c r="BC1179" s="6"/>
      <c r="BD1179" s="29">
        <f t="shared" si="704"/>
        <v>0</v>
      </c>
      <c r="BE1179" s="317"/>
      <c r="BF1179" s="317"/>
      <c r="BG1179" s="317"/>
      <c r="BH1179" s="317"/>
      <c r="BI1179" s="317"/>
      <c r="BJ1179" s="317"/>
      <c r="BK1179" s="29">
        <f t="shared" si="684"/>
        <v>0</v>
      </c>
      <c r="BL1179" s="1191"/>
      <c r="BM1179" s="1191"/>
      <c r="BN1179" s="1191"/>
      <c r="BO1179" s="1191"/>
      <c r="BP1179" s="1191"/>
      <c r="BQ1179" s="1191"/>
      <c r="BR1179" s="1191"/>
      <c r="BS1179" s="1191"/>
      <c r="BT1179" s="1191"/>
      <c r="BU1179" s="1191"/>
      <c r="BV1179" s="1191"/>
      <c r="BW1179" s="1191"/>
      <c r="BX1179" s="1191"/>
      <c r="BY1179" s="1191"/>
      <c r="BZ1179" s="1191"/>
      <c r="CA1179" s="1191"/>
      <c r="CB1179" s="1191"/>
      <c r="CC1179" s="1191"/>
      <c r="CD1179" s="1191"/>
      <c r="CE1179" s="1191"/>
      <c r="CF1179" s="1191"/>
      <c r="CG1179" s="1191"/>
      <c r="CH1179" s="1191"/>
      <c r="CI1179" s="1191"/>
      <c r="CM1179" s="1139">
        <v>0</v>
      </c>
      <c r="CN1179" s="1139">
        <v>0</v>
      </c>
      <c r="CP1179" s="923">
        <f t="shared" si="701"/>
        <v>0</v>
      </c>
      <c r="CZ1179" s="330"/>
    </row>
    <row r="1180" spans="1:104" ht="15" customHeight="1" x14ac:dyDescent="0.25">
      <c r="A1180" s="684">
        <f>MAX($A$6:A1179)+1</f>
        <v>1180</v>
      </c>
      <c r="B1180" s="3">
        <f t="shared" si="705"/>
        <v>9</v>
      </c>
      <c r="C1180" s="11" t="str">
        <f t="shared" si="714"/>
        <v>Investments</v>
      </c>
      <c r="D1180" s="11" t="str">
        <f t="shared" si="714"/>
        <v>Other Investments</v>
      </c>
      <c r="E1180" s="7" t="s">
        <v>191</v>
      </c>
      <c r="F1180" s="7"/>
      <c r="G1180" s="1254" t="s">
        <v>191</v>
      </c>
      <c r="H1180" s="6">
        <v>0</v>
      </c>
      <c r="I1180" s="1190"/>
      <c r="J1180" s="1254" t="s">
        <v>191</v>
      </c>
      <c r="K1180" s="251">
        <f>SUMIF('alb Note 9 - Investments'!$A$9:$A$21,J1180,'alb Note 9 - Investments'!$D$9:$D$21)</f>
        <v>0</v>
      </c>
      <c r="L1180" s="266"/>
      <c r="M1180" s="10"/>
      <c r="N1180" s="273">
        <f t="shared" si="719"/>
        <v>0</v>
      </c>
      <c r="O1180" s="12"/>
      <c r="P1180" s="12"/>
      <c r="Q1180" s="12"/>
      <c r="R1180" s="12"/>
      <c r="S1180" s="6">
        <f t="shared" si="702"/>
        <v>0</v>
      </c>
      <c r="T1180" s="273">
        <f t="shared" si="717"/>
        <v>0</v>
      </c>
      <c r="U1180" s="6">
        <f t="shared" si="718"/>
        <v>0</v>
      </c>
      <c r="V1180" s="6"/>
      <c r="W1180" s="6">
        <f t="shared" si="700"/>
        <v>0</v>
      </c>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X1180" s="6"/>
      <c r="AY1180" s="6">
        <f>ROUND(AX1180/1000/Update!$B$31*Update!$B$27,0)</f>
        <v>0</v>
      </c>
      <c r="BA1180" s="6"/>
      <c r="BB1180" s="6">
        <f>ROUND(BA1180/1000/Update!$B$31,0)</f>
        <v>0</v>
      </c>
      <c r="BC1180" s="6"/>
      <c r="BD1180" s="29">
        <f t="shared" si="704"/>
        <v>0</v>
      </c>
      <c r="BE1180" s="317"/>
      <c r="BF1180" s="317"/>
      <c r="BG1180" s="317"/>
      <c r="BH1180" s="317"/>
      <c r="BI1180" s="317"/>
      <c r="BJ1180" s="317"/>
      <c r="BK1180" s="29">
        <f t="shared" si="684"/>
        <v>0</v>
      </c>
      <c r="BL1180" s="1191"/>
      <c r="BM1180" s="1191"/>
      <c r="BN1180" s="1191"/>
      <c r="BO1180" s="1191"/>
      <c r="BP1180" s="1191"/>
      <c r="BQ1180" s="1191"/>
      <c r="BR1180" s="1191"/>
      <c r="BS1180" s="1191"/>
      <c r="BT1180" s="1191"/>
      <c r="BU1180" s="1191"/>
      <c r="BV1180" s="1191"/>
      <c r="BW1180" s="1191"/>
      <c r="BX1180" s="1191"/>
      <c r="BY1180" s="1191"/>
      <c r="BZ1180" s="1191"/>
      <c r="CA1180" s="1191"/>
      <c r="CB1180" s="1191"/>
      <c r="CC1180" s="1191"/>
      <c r="CD1180" s="1191"/>
      <c r="CE1180" s="1191"/>
      <c r="CF1180" s="1191"/>
      <c r="CG1180" s="1191"/>
      <c r="CH1180" s="1191"/>
      <c r="CI1180" s="1191"/>
      <c r="CM1180" s="1139">
        <v>0</v>
      </c>
      <c r="CN1180" s="1139">
        <v>0</v>
      </c>
      <c r="CP1180" s="923">
        <f t="shared" si="701"/>
        <v>0</v>
      </c>
      <c r="CZ1180" s="330"/>
    </row>
    <row r="1181" spans="1:104" ht="15" customHeight="1" x14ac:dyDescent="0.25">
      <c r="A1181" s="684">
        <f>MAX($A$6:A1180)+1</f>
        <v>1181</v>
      </c>
      <c r="B1181" s="3">
        <f t="shared" si="705"/>
        <v>9</v>
      </c>
      <c r="C1181" s="11" t="str">
        <f t="shared" si="714"/>
        <v>Investments</v>
      </c>
      <c r="D1181" s="11" t="str">
        <f t="shared" si="714"/>
        <v>Other Investments</v>
      </c>
      <c r="E1181" s="7" t="s">
        <v>222</v>
      </c>
      <c r="F1181" s="7"/>
      <c r="G1181" s="1254" t="s">
        <v>222</v>
      </c>
      <c r="H1181" s="6">
        <v>0</v>
      </c>
      <c r="I1181" s="1190"/>
      <c r="J1181" s="1254" t="s">
        <v>222</v>
      </c>
      <c r="K1181" s="251">
        <f>SUMIF('alb Note 9 - Investments'!$A$9:$A$21,J1181,'alb Note 9 - Investments'!$D$9:$D$21)</f>
        <v>0</v>
      </c>
      <c r="L1181" s="266"/>
      <c r="M1181" s="10"/>
      <c r="N1181" s="273">
        <f t="shared" si="719"/>
        <v>0</v>
      </c>
      <c r="O1181" s="12"/>
      <c r="P1181" s="12"/>
      <c r="Q1181" s="12"/>
      <c r="R1181" s="12"/>
      <c r="S1181" s="6">
        <f t="shared" si="702"/>
        <v>0</v>
      </c>
      <c r="T1181" s="273">
        <f t="shared" si="717"/>
        <v>0</v>
      </c>
      <c r="U1181" s="6">
        <f t="shared" si="718"/>
        <v>0</v>
      </c>
      <c r="V1181" s="6"/>
      <c r="W1181" s="6">
        <f t="shared" si="700"/>
        <v>0</v>
      </c>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X1181" s="6"/>
      <c r="AY1181" s="6">
        <f>ROUND(AX1181/1000/Update!$B$31*Update!$B$27,0)</f>
        <v>0</v>
      </c>
      <c r="BA1181" s="6"/>
      <c r="BB1181" s="6">
        <f>ROUND(BA1181/1000/Update!$B$31,0)</f>
        <v>0</v>
      </c>
      <c r="BC1181" s="6"/>
      <c r="BD1181" s="29">
        <f t="shared" si="704"/>
        <v>0</v>
      </c>
      <c r="BE1181" s="317"/>
      <c r="BF1181" s="317"/>
      <c r="BG1181" s="317"/>
      <c r="BH1181" s="317"/>
      <c r="BI1181" s="317"/>
      <c r="BJ1181" s="317"/>
      <c r="BK1181" s="29">
        <f t="shared" si="684"/>
        <v>0</v>
      </c>
      <c r="BL1181" s="1191"/>
      <c r="BM1181" s="1191"/>
      <c r="BN1181" s="1191"/>
      <c r="BO1181" s="1191"/>
      <c r="BP1181" s="1191"/>
      <c r="BQ1181" s="1191"/>
      <c r="BR1181" s="1191"/>
      <c r="BS1181" s="1191"/>
      <c r="BT1181" s="1191"/>
      <c r="BU1181" s="1191"/>
      <c r="BV1181" s="1191"/>
      <c r="BW1181" s="1191"/>
      <c r="BX1181" s="1191"/>
      <c r="BY1181" s="1191"/>
      <c r="BZ1181" s="1191"/>
      <c r="CA1181" s="1191"/>
      <c r="CB1181" s="1191"/>
      <c r="CC1181" s="1191"/>
      <c r="CD1181" s="1191"/>
      <c r="CE1181" s="1191"/>
      <c r="CF1181" s="1191"/>
      <c r="CG1181" s="1191"/>
      <c r="CH1181" s="1191"/>
      <c r="CI1181" s="1191"/>
      <c r="CM1181" s="1139">
        <v>0</v>
      </c>
      <c r="CN1181" s="1139">
        <v>0</v>
      </c>
      <c r="CP1181" s="923">
        <f t="shared" si="701"/>
        <v>0</v>
      </c>
      <c r="CZ1181" s="330"/>
    </row>
    <row r="1182" spans="1:104" ht="15" customHeight="1" x14ac:dyDescent="0.25">
      <c r="A1182" s="684">
        <f>MAX($A$6:A1181)+1</f>
        <v>1182</v>
      </c>
      <c r="B1182" s="3">
        <f t="shared" si="705"/>
        <v>9</v>
      </c>
      <c r="C1182" s="11" t="str">
        <f t="shared" si="714"/>
        <v>Investments</v>
      </c>
      <c r="D1182" s="11" t="str">
        <f t="shared" si="714"/>
        <v>Other Investments</v>
      </c>
      <c r="E1182" s="7" t="s">
        <v>223</v>
      </c>
      <c r="F1182" s="7"/>
      <c r="G1182" s="1254" t="s">
        <v>223</v>
      </c>
      <c r="H1182" s="6">
        <v>0</v>
      </c>
      <c r="I1182" s="1190"/>
      <c r="J1182" s="1254" t="s">
        <v>223</v>
      </c>
      <c r="K1182" s="251">
        <f>SUMIF('alb Note 9 - Investments'!$A$9:$A$21,J1182,'alb Note 9 - Investments'!$D$9:$D$21)</f>
        <v>0</v>
      </c>
      <c r="L1182" s="266"/>
      <c r="M1182" s="10"/>
      <c r="N1182" s="273">
        <f t="shared" si="719"/>
        <v>0</v>
      </c>
      <c r="O1182" s="12"/>
      <c r="P1182" s="12"/>
      <c r="Q1182" s="12"/>
      <c r="R1182" s="12"/>
      <c r="S1182" s="6">
        <f t="shared" si="702"/>
        <v>0</v>
      </c>
      <c r="T1182" s="273">
        <f t="shared" si="717"/>
        <v>0</v>
      </c>
      <c r="U1182" s="6">
        <f t="shared" si="718"/>
        <v>0</v>
      </c>
      <c r="V1182" s="6"/>
      <c r="W1182" s="6">
        <f t="shared" si="700"/>
        <v>0</v>
      </c>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X1182" s="6"/>
      <c r="AY1182" s="6">
        <f>ROUND(AX1182/1000/Update!$B$31*Update!$B$27,0)</f>
        <v>0</v>
      </c>
      <c r="BA1182" s="6"/>
      <c r="BB1182" s="6">
        <f>ROUND(BA1182/1000/Update!$B$31,0)</f>
        <v>0</v>
      </c>
      <c r="BC1182" s="6"/>
      <c r="BD1182" s="29">
        <f t="shared" si="704"/>
        <v>0</v>
      </c>
      <c r="BE1182" s="317"/>
      <c r="BF1182" s="317"/>
      <c r="BG1182" s="317"/>
      <c r="BH1182" s="317"/>
      <c r="BI1182" s="317"/>
      <c r="BJ1182" s="317"/>
      <c r="BK1182" s="29">
        <f t="shared" si="684"/>
        <v>0</v>
      </c>
      <c r="BL1182" s="1191"/>
      <c r="BM1182" s="1191"/>
      <c r="BN1182" s="1191"/>
      <c r="BO1182" s="1191"/>
      <c r="BP1182" s="1191"/>
      <c r="BQ1182" s="1191"/>
      <c r="BR1182" s="1191"/>
      <c r="BS1182" s="1191"/>
      <c r="BT1182" s="1191"/>
      <c r="BU1182" s="1191"/>
      <c r="BV1182" s="1191"/>
      <c r="BW1182" s="1191"/>
      <c r="BX1182" s="1191"/>
      <c r="BY1182" s="1191"/>
      <c r="BZ1182" s="1191"/>
      <c r="CA1182" s="1191"/>
      <c r="CB1182" s="1191"/>
      <c r="CC1182" s="1191"/>
      <c r="CD1182" s="1191"/>
      <c r="CE1182" s="1191"/>
      <c r="CF1182" s="1191"/>
      <c r="CG1182" s="1191"/>
      <c r="CH1182" s="1191"/>
      <c r="CI1182" s="1191"/>
      <c r="CM1182" s="1139">
        <v>0</v>
      </c>
      <c r="CN1182" s="1139">
        <v>0</v>
      </c>
      <c r="CP1182" s="923">
        <f t="shared" si="701"/>
        <v>0</v>
      </c>
      <c r="CZ1182" s="330"/>
    </row>
    <row r="1183" spans="1:104" ht="15" customHeight="1" x14ac:dyDescent="0.25">
      <c r="A1183" s="684">
        <f>MAX($A$6:A1182)+1</f>
        <v>1183</v>
      </c>
      <c r="B1183" s="3">
        <f t="shared" si="705"/>
        <v>9</v>
      </c>
      <c r="C1183" s="11" t="str">
        <f t="shared" si="714"/>
        <v>Investments</v>
      </c>
      <c r="D1183" s="11" t="str">
        <f t="shared" si="714"/>
        <v>Other Investments</v>
      </c>
      <c r="E1183" s="7" t="s">
        <v>189</v>
      </c>
      <c r="F1183" s="7"/>
      <c r="G1183" s="1254" t="s">
        <v>189</v>
      </c>
      <c r="H1183" s="6">
        <v>0</v>
      </c>
      <c r="I1183" s="1190"/>
      <c r="J1183" s="1254" t="s">
        <v>189</v>
      </c>
      <c r="K1183" s="251">
        <f>SUMIF('alb Note 9 - Investments'!$A$9:$A$21,J1183,'alb Note 9 - Investments'!$D$9:$D$21)</f>
        <v>0</v>
      </c>
      <c r="L1183" s="266"/>
      <c r="M1183" s="10"/>
      <c r="N1183" s="273">
        <f t="shared" si="719"/>
        <v>0</v>
      </c>
      <c r="O1183" s="12"/>
      <c r="P1183" s="12"/>
      <c r="Q1183" s="12"/>
      <c r="R1183" s="12"/>
      <c r="S1183" s="6">
        <f t="shared" si="702"/>
        <v>0</v>
      </c>
      <c r="T1183" s="273">
        <f t="shared" si="717"/>
        <v>0</v>
      </c>
      <c r="U1183" s="6">
        <f t="shared" si="718"/>
        <v>0</v>
      </c>
      <c r="V1183" s="6"/>
      <c r="W1183" s="6">
        <f t="shared" si="700"/>
        <v>0</v>
      </c>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X1183" s="6"/>
      <c r="AY1183" s="6">
        <f>ROUND(AX1183/1000/Update!$B$31*Update!$B$27,0)</f>
        <v>0</v>
      </c>
      <c r="BA1183" s="6"/>
      <c r="BB1183" s="6">
        <f>ROUND(BA1183/1000/Update!$B$31,0)</f>
        <v>0</v>
      </c>
      <c r="BC1183" s="6"/>
      <c r="BD1183" s="29">
        <f t="shared" si="704"/>
        <v>0</v>
      </c>
      <c r="BE1183" s="317"/>
      <c r="BF1183" s="317"/>
      <c r="BG1183" s="317"/>
      <c r="BH1183" s="317"/>
      <c r="BI1183" s="317"/>
      <c r="BJ1183" s="317"/>
      <c r="BK1183" s="29">
        <f t="shared" si="684"/>
        <v>0</v>
      </c>
      <c r="BL1183" s="1191"/>
      <c r="BM1183" s="1191"/>
      <c r="BN1183" s="1191"/>
      <c r="BO1183" s="1191"/>
      <c r="BP1183" s="1191"/>
      <c r="BQ1183" s="1191"/>
      <c r="BR1183" s="1191"/>
      <c r="BS1183" s="1191"/>
      <c r="BT1183" s="1191"/>
      <c r="BU1183" s="1191"/>
      <c r="BV1183" s="1191"/>
      <c r="BW1183" s="1191"/>
      <c r="BX1183" s="1191"/>
      <c r="BY1183" s="1191"/>
      <c r="BZ1183" s="1191"/>
      <c r="CA1183" s="1191"/>
      <c r="CB1183" s="1191"/>
      <c r="CC1183" s="1191"/>
      <c r="CD1183" s="1191"/>
      <c r="CE1183" s="1191"/>
      <c r="CF1183" s="1191"/>
      <c r="CG1183" s="1191"/>
      <c r="CH1183" s="1191"/>
      <c r="CI1183" s="1191"/>
      <c r="CM1183" s="1139">
        <v>0</v>
      </c>
      <c r="CN1183" s="1139">
        <v>0</v>
      </c>
      <c r="CP1183" s="923">
        <f t="shared" si="701"/>
        <v>0</v>
      </c>
      <c r="CZ1183" s="330"/>
    </row>
    <row r="1184" spans="1:104" ht="15" customHeight="1" x14ac:dyDescent="0.25">
      <c r="A1184" s="684">
        <f>MAX($A$6:A1183)+1</f>
        <v>1184</v>
      </c>
      <c r="B1184" s="3">
        <f t="shared" si="705"/>
        <v>9</v>
      </c>
      <c r="C1184" s="11" t="str">
        <f t="shared" si="714"/>
        <v>Investments</v>
      </c>
      <c r="D1184" s="11" t="str">
        <f t="shared" si="714"/>
        <v>Other Investments</v>
      </c>
      <c r="E1184" s="7" t="s">
        <v>208</v>
      </c>
      <c r="F1184" s="7"/>
      <c r="G1184" s="1254" t="s">
        <v>208</v>
      </c>
      <c r="H1184" s="6">
        <v>0</v>
      </c>
      <c r="I1184" s="1190"/>
      <c r="J1184" s="1254" t="s">
        <v>208</v>
      </c>
      <c r="K1184" s="251">
        <f>SUMIF('alb Note 9 - Investments'!$A$9:$A$21,J1184,'alb Note 9 - Investments'!$D$9:$D$21)</f>
        <v>0</v>
      </c>
      <c r="L1184" s="266"/>
      <c r="M1184" s="10"/>
      <c r="N1184" s="273">
        <f t="shared" si="719"/>
        <v>0</v>
      </c>
      <c r="O1184" s="12"/>
      <c r="P1184" s="12"/>
      <c r="Q1184" s="12"/>
      <c r="R1184" s="12"/>
      <c r="S1184" s="6">
        <f t="shared" ref="S1184:S1246" si="720">-IF(ISNUMBER(BD1184),BD1184,0)</f>
        <v>0</v>
      </c>
      <c r="T1184" s="273">
        <f t="shared" si="717"/>
        <v>0</v>
      </c>
      <c r="U1184" s="6">
        <f t="shared" si="718"/>
        <v>0</v>
      </c>
      <c r="V1184" s="6"/>
      <c r="W1184" s="6">
        <f t="shared" si="700"/>
        <v>0</v>
      </c>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X1184" s="6"/>
      <c r="AY1184" s="6">
        <f>ROUND(AX1184/1000/Update!$B$31*Update!$B$27,0)</f>
        <v>0</v>
      </c>
      <c r="BA1184" s="6"/>
      <c r="BB1184" s="6">
        <f>ROUND(BA1184/1000/Update!$B$31,0)</f>
        <v>0</v>
      </c>
      <c r="BC1184" s="6"/>
      <c r="BD1184" s="29">
        <f t="shared" si="704"/>
        <v>0</v>
      </c>
      <c r="BE1184" s="317"/>
      <c r="BF1184" s="317"/>
      <c r="BG1184" s="317"/>
      <c r="BH1184" s="317"/>
      <c r="BI1184" s="317"/>
      <c r="BJ1184" s="317"/>
      <c r="BK1184" s="29">
        <f t="shared" si="684"/>
        <v>0</v>
      </c>
      <c r="BL1184" s="1191"/>
      <c r="BM1184" s="1191"/>
      <c r="BN1184" s="1191"/>
      <c r="BO1184" s="1191"/>
      <c r="BP1184" s="1191"/>
      <c r="BQ1184" s="1191"/>
      <c r="BR1184" s="1191"/>
      <c r="BS1184" s="1191"/>
      <c r="BT1184" s="1191"/>
      <c r="BU1184" s="1191"/>
      <c r="BV1184" s="1191"/>
      <c r="BW1184" s="1191"/>
      <c r="BX1184" s="1191"/>
      <c r="BY1184" s="1191"/>
      <c r="BZ1184" s="1191"/>
      <c r="CA1184" s="1191"/>
      <c r="CB1184" s="1191"/>
      <c r="CC1184" s="1191"/>
      <c r="CD1184" s="1191"/>
      <c r="CE1184" s="1191"/>
      <c r="CF1184" s="1191"/>
      <c r="CG1184" s="1191"/>
      <c r="CH1184" s="1191"/>
      <c r="CI1184" s="1191"/>
      <c r="CM1184" s="1139">
        <v>0</v>
      </c>
      <c r="CN1184" s="1139">
        <v>0</v>
      </c>
      <c r="CP1184" s="923">
        <f t="shared" si="701"/>
        <v>0</v>
      </c>
      <c r="CZ1184" s="330"/>
    </row>
    <row r="1185" spans="1:104" ht="15" customHeight="1" x14ac:dyDescent="0.25">
      <c r="A1185" s="701">
        <f>MAX($A$6:A1184)+1</f>
        <v>1185</v>
      </c>
      <c r="B1185" s="1291">
        <f t="shared" si="705"/>
        <v>9</v>
      </c>
      <c r="C1185" s="18" t="str">
        <f t="shared" si="714"/>
        <v>Investments</v>
      </c>
      <c r="D1185" s="18" t="str">
        <f t="shared" si="714"/>
        <v>Other Investments</v>
      </c>
      <c r="E1185" s="19" t="s">
        <v>220</v>
      </c>
      <c r="F1185" s="19"/>
      <c r="G1185" s="1278"/>
      <c r="H1185" s="14">
        <f>SUM(H1178:H1184)</f>
        <v>2009000</v>
      </c>
      <c r="I1185" s="14"/>
      <c r="J1185" s="1258" t="s">
        <v>286</v>
      </c>
      <c r="K1185" s="256">
        <f>SUM(K1179:K1184)</f>
        <v>0</v>
      </c>
      <c r="L1185" s="256">
        <f>SUM(L1179:L1184)</f>
        <v>0</v>
      </c>
      <c r="M1185" s="21"/>
      <c r="N1185" s="14">
        <f>ROUND(SUM(O1185:S1185)+T1185+SUM(Z1185:AV1185),0)</f>
        <v>0</v>
      </c>
      <c r="O1185" s="14">
        <f>SUM(O1178:O1184)</f>
        <v>0</v>
      </c>
      <c r="P1185" s="14">
        <f>SUM(P1178:P1184)</f>
        <v>0</v>
      </c>
      <c r="Q1185" s="14">
        <f>SUM(Q1178:Q1184)</f>
        <v>0</v>
      </c>
      <c r="R1185" s="14">
        <f>SUM(R1178:R1184)</f>
        <v>0</v>
      </c>
      <c r="S1185" s="14">
        <f>SUM(S1178:S1184)</f>
        <v>-2009000</v>
      </c>
      <c r="T1185" s="14">
        <f t="shared" si="717"/>
        <v>2009000</v>
      </c>
      <c r="U1185" s="14">
        <f>SUM(U1178:U1184)</f>
        <v>0</v>
      </c>
      <c r="V1185" s="14">
        <f>SUM(V1178:V1184)</f>
        <v>0</v>
      </c>
      <c r="W1185" s="14">
        <f>SUM(W1178:W1184)</f>
        <v>2009000</v>
      </c>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2"/>
      <c r="AX1185" s="14">
        <f>SUM(AX1178:AX1184)</f>
        <v>0</v>
      </c>
      <c r="AY1185" s="14">
        <f>ROUND(AX1185/1000/Update!$B$31*Update!$B$27,0)</f>
        <v>0</v>
      </c>
      <c r="AZ1185" s="2"/>
      <c r="BA1185" s="14">
        <f>SUM(BA1178:BA1184)</f>
        <v>0</v>
      </c>
      <c r="BB1185" s="14">
        <f>ROUND(BA1185/1000/Update!$B$31,0)</f>
        <v>0</v>
      </c>
      <c r="BC1185" s="14"/>
      <c r="BD1185" s="14">
        <f>ROUND(SUM(BE1185:BK1185),0)</f>
        <v>2009000</v>
      </c>
      <c r="BE1185" s="318">
        <f t="shared" ref="BE1185:BJ1185" si="721">SUM(BE1178:BE1184)</f>
        <v>0</v>
      </c>
      <c r="BF1185" s="318">
        <f t="shared" si="721"/>
        <v>0</v>
      </c>
      <c r="BG1185" s="318">
        <f t="shared" si="721"/>
        <v>0</v>
      </c>
      <c r="BH1185" s="318">
        <f>SUM(BH1178:BH1184)</f>
        <v>2009000</v>
      </c>
      <c r="BI1185" s="318">
        <f t="shared" si="721"/>
        <v>0</v>
      </c>
      <c r="BJ1185" s="318">
        <f t="shared" si="721"/>
        <v>0</v>
      </c>
      <c r="BK1185" s="14">
        <f>ROUND(SUM(BO1185:CI1185),0)</f>
        <v>0</v>
      </c>
      <c r="BL1185" s="318"/>
      <c r="BM1185" s="318"/>
      <c r="BN1185" s="318"/>
      <c r="BO1185" s="318"/>
      <c r="BP1185" s="318"/>
      <c r="BQ1185" s="318"/>
      <c r="BR1185" s="318"/>
      <c r="BS1185" s="318"/>
      <c r="BT1185" s="318"/>
      <c r="BU1185" s="318"/>
      <c r="BV1185" s="318"/>
      <c r="BW1185" s="318"/>
      <c r="BX1185" s="318"/>
      <c r="BY1185" s="318"/>
      <c r="BZ1185" s="318"/>
      <c r="CA1185" s="318"/>
      <c r="CB1185" s="318"/>
      <c r="CC1185" s="318"/>
      <c r="CD1185" s="318"/>
      <c r="CE1185" s="318"/>
      <c r="CF1185" s="318"/>
      <c r="CG1185" s="318"/>
      <c r="CH1185" s="318"/>
      <c r="CI1185" s="318"/>
      <c r="CJ1185" s="2"/>
      <c r="CK1185" s="2"/>
      <c r="CM1185" s="1140">
        <v>0</v>
      </c>
      <c r="CN1185" s="1140">
        <v>2009000</v>
      </c>
      <c r="CP1185" s="923">
        <f t="shared" si="701"/>
        <v>0</v>
      </c>
      <c r="CZ1185" s="330"/>
    </row>
    <row r="1186" spans="1:104" ht="15" customHeight="1" x14ac:dyDescent="0.25">
      <c r="A1186" s="684">
        <f>MAX($A$6:A1185)+1</f>
        <v>1186</v>
      </c>
      <c r="B1186" s="3">
        <f t="shared" si="705"/>
        <v>9</v>
      </c>
      <c r="C1186" s="11" t="str">
        <f t="shared" si="714"/>
        <v>Investments</v>
      </c>
      <c r="D1186" s="11" t="s">
        <v>1946</v>
      </c>
      <c r="E1186" s="7" t="s">
        <v>1946</v>
      </c>
      <c r="F1186" s="7"/>
      <c r="G1186" s="1254" t="s">
        <v>1946</v>
      </c>
      <c r="H1186" s="6">
        <v>0</v>
      </c>
      <c r="I1186" s="1190"/>
      <c r="J1186" s="1257" t="s">
        <v>1946</v>
      </c>
      <c r="K1186" s="251">
        <f>'alb Note 9 - Investments'!B27</f>
        <v>0</v>
      </c>
      <c r="L1186" s="266"/>
      <c r="M1186" s="10"/>
      <c r="N1186" s="273">
        <f t="shared" ref="N1186:N1191" si="722">ROUND(SUM(O1186:S1186)+SUM(W1186:AV1186),0)</f>
        <v>0</v>
      </c>
      <c r="O1186" s="12"/>
      <c r="P1186" s="12"/>
      <c r="Q1186" s="12"/>
      <c r="R1186" s="12"/>
      <c r="S1186" s="6">
        <f t="shared" si="720"/>
        <v>0</v>
      </c>
      <c r="T1186" s="273">
        <f t="shared" si="717"/>
        <v>0</v>
      </c>
      <c r="U1186" s="6">
        <f t="shared" ref="U1186:U1191" si="723">SUM(BL1186:BN1186)</f>
        <v>0</v>
      </c>
      <c r="V1186" s="6"/>
      <c r="W1186" s="6">
        <f t="shared" si="700"/>
        <v>0</v>
      </c>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X1186" s="6"/>
      <c r="AY1186" s="6">
        <f>ROUND(AX1186/1000/Update!$B$31*Update!$B$27,0)</f>
        <v>0</v>
      </c>
      <c r="BA1186" s="6"/>
      <c r="BB1186" s="6">
        <f>ROUND(BA1186/1000/Update!$B$31,0)</f>
        <v>0</v>
      </c>
      <c r="BC1186" s="6"/>
      <c r="BD1186" s="29">
        <f t="shared" si="704"/>
        <v>0</v>
      </c>
      <c r="BE1186" s="1191"/>
      <c r="BF1186" s="1191"/>
      <c r="BG1186" s="1191"/>
      <c r="BH1186" s="1191"/>
      <c r="BI1186" s="1191"/>
      <c r="BJ1186" s="1191"/>
      <c r="BK1186" s="29">
        <f t="shared" si="684"/>
        <v>0</v>
      </c>
      <c r="BL1186" s="1191"/>
      <c r="BM1186" s="1191"/>
      <c r="BN1186" s="1191"/>
      <c r="BO1186" s="1191"/>
      <c r="BP1186" s="1191"/>
      <c r="BQ1186" s="1191"/>
      <c r="BR1186" s="1191"/>
      <c r="BS1186" s="1191"/>
      <c r="BT1186" s="1191"/>
      <c r="BU1186" s="1191"/>
      <c r="BV1186" s="1191"/>
      <c r="BW1186" s="1191"/>
      <c r="BX1186" s="1191"/>
      <c r="BY1186" s="1191"/>
      <c r="BZ1186" s="1191"/>
      <c r="CA1186" s="1191"/>
      <c r="CB1186" s="1191"/>
      <c r="CC1186" s="1191"/>
      <c r="CD1186" s="1191"/>
      <c r="CE1186" s="1191"/>
      <c r="CF1186" s="1191"/>
      <c r="CG1186" s="1191"/>
      <c r="CH1186" s="1191"/>
      <c r="CI1186" s="1191"/>
      <c r="CM1186" s="1139">
        <v>0</v>
      </c>
      <c r="CN1186" s="1139">
        <v>0</v>
      </c>
      <c r="CP1186" s="923">
        <f t="shared" si="701"/>
        <v>0</v>
      </c>
      <c r="CZ1186" s="330"/>
    </row>
    <row r="1187" spans="1:104" ht="15" customHeight="1" x14ac:dyDescent="0.25">
      <c r="A1187" s="684">
        <f>MAX($A$6:A1186)+1</f>
        <v>1187</v>
      </c>
      <c r="B1187" s="3">
        <f t="shared" si="705"/>
        <v>9</v>
      </c>
      <c r="C1187" s="11" t="str">
        <f t="shared" si="714"/>
        <v>Investments</v>
      </c>
      <c r="D1187" s="11" t="s">
        <v>1948</v>
      </c>
      <c r="E1187" s="7" t="s">
        <v>1948</v>
      </c>
      <c r="F1187" s="7"/>
      <c r="G1187" s="1254" t="s">
        <v>1948</v>
      </c>
      <c r="H1187" s="6">
        <v>0</v>
      </c>
      <c r="I1187" s="1190"/>
      <c r="J1187" s="1257" t="s">
        <v>1948</v>
      </c>
      <c r="K1187" s="251">
        <f>'alb Note 9 - Investments'!C27</f>
        <v>0</v>
      </c>
      <c r="L1187" s="266"/>
      <c r="M1187" s="10"/>
      <c r="N1187" s="273">
        <f t="shared" si="722"/>
        <v>0</v>
      </c>
      <c r="O1187" s="12"/>
      <c r="P1187" s="12"/>
      <c r="Q1187" s="12"/>
      <c r="R1187" s="12"/>
      <c r="S1187" s="6">
        <f t="shared" si="720"/>
        <v>0</v>
      </c>
      <c r="T1187" s="273">
        <f t="shared" si="717"/>
        <v>0</v>
      </c>
      <c r="U1187" s="6">
        <f t="shared" si="723"/>
        <v>0</v>
      </c>
      <c r="V1187" s="6"/>
      <c r="W1187" s="6">
        <f t="shared" si="700"/>
        <v>0</v>
      </c>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X1187" s="6"/>
      <c r="AY1187" s="6"/>
      <c r="BA1187" s="6"/>
      <c r="BB1187" s="6"/>
      <c r="BC1187" s="6"/>
      <c r="BD1187" s="29">
        <f t="shared" si="704"/>
        <v>0</v>
      </c>
      <c r="BE1187" s="1191"/>
      <c r="BF1187" s="1191"/>
      <c r="BG1187" s="1191"/>
      <c r="BH1187" s="1191"/>
      <c r="BI1187" s="1191"/>
      <c r="BJ1187" s="1191"/>
      <c r="BK1187" s="29">
        <f t="shared" si="684"/>
        <v>0</v>
      </c>
      <c r="BL1187" s="1191"/>
      <c r="BM1187" s="1191"/>
      <c r="BN1187" s="1191"/>
      <c r="BO1187" s="1191"/>
      <c r="BP1187" s="1191"/>
      <c r="BQ1187" s="1191"/>
      <c r="BR1187" s="1191"/>
      <c r="BS1187" s="1191"/>
      <c r="BT1187" s="1191"/>
      <c r="BU1187" s="1191"/>
      <c r="BV1187" s="1191"/>
      <c r="BW1187" s="1191"/>
      <c r="BX1187" s="1191"/>
      <c r="BY1187" s="1191"/>
      <c r="BZ1187" s="1191"/>
      <c r="CA1187" s="1191"/>
      <c r="CB1187" s="1191"/>
      <c r="CC1187" s="1191"/>
      <c r="CD1187" s="1191"/>
      <c r="CE1187" s="1191"/>
      <c r="CF1187" s="1191"/>
      <c r="CG1187" s="1191"/>
      <c r="CH1187" s="1191"/>
      <c r="CI1187" s="1191"/>
      <c r="CM1187" s="1139">
        <v>0</v>
      </c>
      <c r="CN1187" s="1139">
        <v>0</v>
      </c>
      <c r="CP1187" s="923">
        <f t="shared" si="701"/>
        <v>0</v>
      </c>
      <c r="CZ1187" s="330"/>
    </row>
    <row r="1188" spans="1:104" ht="15" customHeight="1" x14ac:dyDescent="0.25">
      <c r="A1188" s="684">
        <f>MAX($A$6:A1187)+1</f>
        <v>1188</v>
      </c>
      <c r="B1188" s="3">
        <f t="shared" si="705"/>
        <v>9</v>
      </c>
      <c r="C1188" s="11" t="str">
        <f t="shared" si="714"/>
        <v>Investments</v>
      </c>
      <c r="D1188" s="11" t="s">
        <v>1950</v>
      </c>
      <c r="E1188" s="7" t="s">
        <v>1950</v>
      </c>
      <c r="F1188" s="7"/>
      <c r="G1188" s="1254" t="s">
        <v>1950</v>
      </c>
      <c r="H1188" s="6">
        <v>0</v>
      </c>
      <c r="I1188" s="1190"/>
      <c r="J1188" s="1257" t="s">
        <v>1950</v>
      </c>
      <c r="K1188" s="251">
        <f>'alb Note 9 - Investments'!D27</f>
        <v>0</v>
      </c>
      <c r="L1188" s="266"/>
      <c r="M1188" s="10"/>
      <c r="N1188" s="273">
        <f t="shared" si="722"/>
        <v>0</v>
      </c>
      <c r="O1188" s="12"/>
      <c r="P1188" s="12"/>
      <c r="Q1188" s="12"/>
      <c r="R1188" s="12"/>
      <c r="S1188" s="6">
        <f t="shared" si="720"/>
        <v>0</v>
      </c>
      <c r="T1188" s="273">
        <f t="shared" si="717"/>
        <v>0</v>
      </c>
      <c r="U1188" s="6">
        <f t="shared" si="723"/>
        <v>0</v>
      </c>
      <c r="V1188" s="6"/>
      <c r="W1188" s="6">
        <f t="shared" si="700"/>
        <v>0</v>
      </c>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X1188" s="6"/>
      <c r="AY1188" s="6"/>
      <c r="BA1188" s="6"/>
      <c r="BB1188" s="6"/>
      <c r="BC1188" s="6"/>
      <c r="BD1188" s="29">
        <f t="shared" si="704"/>
        <v>0</v>
      </c>
      <c r="BE1188" s="1191"/>
      <c r="BF1188" s="1191"/>
      <c r="BG1188" s="1191"/>
      <c r="BH1188" s="1191"/>
      <c r="BI1188" s="1191"/>
      <c r="BJ1188" s="1191"/>
      <c r="BK1188" s="29">
        <f t="shared" si="684"/>
        <v>0</v>
      </c>
      <c r="BL1188" s="1191"/>
      <c r="BM1188" s="1191"/>
      <c r="BN1188" s="1191"/>
      <c r="BO1188" s="1191"/>
      <c r="BP1188" s="1191"/>
      <c r="BQ1188" s="1191"/>
      <c r="BR1188" s="1191"/>
      <c r="BS1188" s="1191"/>
      <c r="BT1188" s="1191"/>
      <c r="BU1188" s="1191"/>
      <c r="BV1188" s="1191"/>
      <c r="BW1188" s="1191"/>
      <c r="BX1188" s="1191"/>
      <c r="BY1188" s="1191"/>
      <c r="BZ1188" s="1191"/>
      <c r="CA1188" s="1191"/>
      <c r="CB1188" s="1191"/>
      <c r="CC1188" s="1191"/>
      <c r="CD1188" s="1191"/>
      <c r="CE1188" s="1191"/>
      <c r="CF1188" s="1191"/>
      <c r="CG1188" s="1191"/>
      <c r="CH1188" s="1191"/>
      <c r="CI1188" s="1191"/>
      <c r="CM1188" s="1139">
        <v>0</v>
      </c>
      <c r="CN1188" s="1139">
        <v>0</v>
      </c>
      <c r="CP1188" s="923">
        <f t="shared" si="701"/>
        <v>0</v>
      </c>
      <c r="CZ1188" s="330"/>
    </row>
    <row r="1189" spans="1:104" ht="15" customHeight="1" x14ac:dyDescent="0.25">
      <c r="A1189" s="684">
        <f>MAX($A$6:A1188)+1</f>
        <v>1189</v>
      </c>
      <c r="B1189" s="3">
        <f t="shared" si="705"/>
        <v>9</v>
      </c>
      <c r="C1189" s="11" t="str">
        <f t="shared" si="714"/>
        <v>Investments</v>
      </c>
      <c r="D1189" s="11" t="s">
        <v>1947</v>
      </c>
      <c r="E1189" s="7" t="s">
        <v>1947</v>
      </c>
      <c r="F1189" s="7"/>
      <c r="G1189" s="1254" t="s">
        <v>1947</v>
      </c>
      <c r="H1189" s="6">
        <v>0</v>
      </c>
      <c r="I1189" s="1190"/>
      <c r="J1189" s="1257" t="s">
        <v>1947</v>
      </c>
      <c r="K1189" s="251">
        <f>'alb Note 9 - Investments'!B28</f>
        <v>0</v>
      </c>
      <c r="L1189" s="266"/>
      <c r="M1189" s="10"/>
      <c r="N1189" s="273">
        <f t="shared" si="722"/>
        <v>0</v>
      </c>
      <c r="O1189" s="12"/>
      <c r="P1189" s="12"/>
      <c r="Q1189" s="12"/>
      <c r="R1189" s="12"/>
      <c r="S1189" s="6">
        <f t="shared" si="720"/>
        <v>0</v>
      </c>
      <c r="T1189" s="273">
        <f t="shared" si="717"/>
        <v>0</v>
      </c>
      <c r="U1189" s="6">
        <f t="shared" si="723"/>
        <v>0</v>
      </c>
      <c r="V1189" s="6"/>
      <c r="W1189" s="6">
        <f t="shared" si="700"/>
        <v>0</v>
      </c>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X1189" s="6"/>
      <c r="AY1189" s="6"/>
      <c r="BA1189" s="6"/>
      <c r="BB1189" s="6"/>
      <c r="BC1189" s="6"/>
      <c r="BD1189" s="29">
        <f t="shared" si="704"/>
        <v>0</v>
      </c>
      <c r="BE1189" s="1191"/>
      <c r="BF1189" s="1191"/>
      <c r="BG1189" s="1191"/>
      <c r="BH1189" s="1191"/>
      <c r="BI1189" s="1191"/>
      <c r="BJ1189" s="1191"/>
      <c r="BK1189" s="29">
        <f t="shared" si="684"/>
        <v>0</v>
      </c>
      <c r="BL1189" s="1191"/>
      <c r="BM1189" s="1191"/>
      <c r="BN1189" s="1191"/>
      <c r="BO1189" s="1191"/>
      <c r="BP1189" s="1191"/>
      <c r="BQ1189" s="1191"/>
      <c r="BR1189" s="1191"/>
      <c r="BS1189" s="1191"/>
      <c r="BT1189" s="1191"/>
      <c r="BU1189" s="1191"/>
      <c r="BV1189" s="1191"/>
      <c r="BW1189" s="1191"/>
      <c r="BX1189" s="1191"/>
      <c r="BY1189" s="1191"/>
      <c r="BZ1189" s="1191"/>
      <c r="CA1189" s="1191"/>
      <c r="CB1189" s="1191"/>
      <c r="CC1189" s="1191"/>
      <c r="CD1189" s="1191"/>
      <c r="CE1189" s="1191"/>
      <c r="CF1189" s="1191"/>
      <c r="CG1189" s="1191"/>
      <c r="CH1189" s="1191"/>
      <c r="CI1189" s="1191"/>
      <c r="CM1189" s="1139">
        <v>0</v>
      </c>
      <c r="CN1189" s="1139">
        <v>0</v>
      </c>
      <c r="CP1189" s="923">
        <f t="shared" si="701"/>
        <v>0</v>
      </c>
      <c r="CZ1189" s="330"/>
    </row>
    <row r="1190" spans="1:104" ht="15" customHeight="1" x14ac:dyDescent="0.25">
      <c r="A1190" s="684">
        <f>MAX($A$6:A1189)+1</f>
        <v>1190</v>
      </c>
      <c r="B1190" s="3">
        <f t="shared" si="705"/>
        <v>9</v>
      </c>
      <c r="C1190" s="11" t="str">
        <f t="shared" si="714"/>
        <v>Investments</v>
      </c>
      <c r="D1190" s="11" t="s">
        <v>1949</v>
      </c>
      <c r="E1190" s="7" t="s">
        <v>1949</v>
      </c>
      <c r="F1190" s="7"/>
      <c r="G1190" s="1254" t="s">
        <v>1949</v>
      </c>
      <c r="H1190" s="6">
        <v>0</v>
      </c>
      <c r="I1190" s="1190"/>
      <c r="J1190" s="1257" t="s">
        <v>1949</v>
      </c>
      <c r="K1190" s="251">
        <f>'alb Note 9 - Investments'!C28</f>
        <v>0</v>
      </c>
      <c r="L1190" s="266"/>
      <c r="M1190" s="10"/>
      <c r="N1190" s="273">
        <f t="shared" si="722"/>
        <v>0</v>
      </c>
      <c r="O1190" s="12"/>
      <c r="P1190" s="12"/>
      <c r="Q1190" s="12"/>
      <c r="R1190" s="12"/>
      <c r="S1190" s="6">
        <f t="shared" si="720"/>
        <v>0</v>
      </c>
      <c r="T1190" s="273">
        <f t="shared" si="717"/>
        <v>0</v>
      </c>
      <c r="U1190" s="6">
        <f t="shared" si="723"/>
        <v>0</v>
      </c>
      <c r="V1190" s="6"/>
      <c r="W1190" s="6">
        <f t="shared" si="700"/>
        <v>0</v>
      </c>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X1190" s="6"/>
      <c r="AY1190" s="6"/>
      <c r="BA1190" s="6"/>
      <c r="BB1190" s="6"/>
      <c r="BC1190" s="6"/>
      <c r="BD1190" s="29">
        <f t="shared" si="704"/>
        <v>0</v>
      </c>
      <c r="BE1190" s="1191"/>
      <c r="BF1190" s="1191"/>
      <c r="BG1190" s="1191"/>
      <c r="BH1190" s="1191"/>
      <c r="BI1190" s="1191"/>
      <c r="BJ1190" s="1191"/>
      <c r="BK1190" s="29">
        <f t="shared" si="684"/>
        <v>0</v>
      </c>
      <c r="BL1190" s="1191"/>
      <c r="BM1190" s="1191"/>
      <c r="BN1190" s="1191"/>
      <c r="BO1190" s="1191"/>
      <c r="BP1190" s="1191"/>
      <c r="BQ1190" s="1191"/>
      <c r="BR1190" s="1191"/>
      <c r="BS1190" s="1191"/>
      <c r="BT1190" s="1191"/>
      <c r="BU1190" s="1191"/>
      <c r="BV1190" s="1191"/>
      <c r="BW1190" s="1191"/>
      <c r="BX1190" s="1191"/>
      <c r="BY1190" s="1191"/>
      <c r="BZ1190" s="1191"/>
      <c r="CA1190" s="1191"/>
      <c r="CB1190" s="1191"/>
      <c r="CC1190" s="1191"/>
      <c r="CD1190" s="1191"/>
      <c r="CE1190" s="1191"/>
      <c r="CF1190" s="1191"/>
      <c r="CG1190" s="1191"/>
      <c r="CH1190" s="1191"/>
      <c r="CI1190" s="1191"/>
      <c r="CM1190" s="1139">
        <v>0</v>
      </c>
      <c r="CN1190" s="1139">
        <v>0</v>
      </c>
      <c r="CP1190" s="923">
        <f t="shared" si="701"/>
        <v>0</v>
      </c>
      <c r="CZ1190" s="330"/>
    </row>
    <row r="1191" spans="1:104" ht="15" customHeight="1" x14ac:dyDescent="0.25">
      <c r="A1191" s="684">
        <f>MAX($A$6:A1190)+1</f>
        <v>1191</v>
      </c>
      <c r="B1191" s="3">
        <f t="shared" si="705"/>
        <v>9</v>
      </c>
      <c r="C1191" s="11" t="str">
        <f t="shared" si="714"/>
        <v>Investments</v>
      </c>
      <c r="D1191" s="11" t="s">
        <v>1951</v>
      </c>
      <c r="E1191" s="7" t="s">
        <v>1951</v>
      </c>
      <c r="F1191" s="7"/>
      <c r="G1191" s="1254" t="s">
        <v>1951</v>
      </c>
      <c r="H1191" s="6">
        <v>2009000</v>
      </c>
      <c r="I1191" s="1190"/>
      <c r="J1191" s="1257" t="s">
        <v>1951</v>
      </c>
      <c r="K1191" s="251">
        <f>'alb Note 9 - Investments'!D28</f>
        <v>0</v>
      </c>
      <c r="L1191" s="266"/>
      <c r="M1191" s="10"/>
      <c r="N1191" s="273">
        <f t="shared" si="722"/>
        <v>0</v>
      </c>
      <c r="O1191" s="12"/>
      <c r="P1191" s="12"/>
      <c r="Q1191" s="12"/>
      <c r="R1191" s="12"/>
      <c r="S1191" s="6">
        <f t="shared" si="720"/>
        <v>-2009000</v>
      </c>
      <c r="T1191" s="273">
        <f t="shared" si="717"/>
        <v>2009000</v>
      </c>
      <c r="U1191" s="6">
        <f t="shared" si="723"/>
        <v>0</v>
      </c>
      <c r="V1191" s="6"/>
      <c r="W1191" s="6">
        <f t="shared" si="700"/>
        <v>2009000</v>
      </c>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X1191" s="6"/>
      <c r="AY1191" s="6"/>
      <c r="BA1191" s="6"/>
      <c r="BB1191" s="6"/>
      <c r="BC1191" s="6"/>
      <c r="BD1191" s="29">
        <f t="shared" si="704"/>
        <v>2009000</v>
      </c>
      <c r="BE1191" s="1191"/>
      <c r="BF1191" s="1191"/>
      <c r="BG1191" s="1191"/>
      <c r="BH1191" s="1528">
        <f>+BH1178</f>
        <v>2009000</v>
      </c>
      <c r="BI1191" s="1191"/>
      <c r="BJ1191" s="1191"/>
      <c r="BK1191" s="29">
        <f t="shared" si="684"/>
        <v>0</v>
      </c>
      <c r="BL1191" s="1191"/>
      <c r="BM1191" s="1191"/>
      <c r="BN1191" s="1191"/>
      <c r="BO1191" s="1191"/>
      <c r="BP1191" s="1191"/>
      <c r="BQ1191" s="1191"/>
      <c r="BR1191" s="1191"/>
      <c r="BS1191" s="1191"/>
      <c r="BT1191" s="1191"/>
      <c r="BU1191" s="1191"/>
      <c r="BV1191" s="1191"/>
      <c r="BW1191" s="1191"/>
      <c r="BX1191" s="1191"/>
      <c r="BY1191" s="1191"/>
      <c r="BZ1191" s="1191"/>
      <c r="CA1191" s="1191"/>
      <c r="CB1191" s="1191"/>
      <c r="CC1191" s="1191"/>
      <c r="CD1191" s="1191"/>
      <c r="CE1191" s="1191"/>
      <c r="CF1191" s="1191"/>
      <c r="CG1191" s="1191"/>
      <c r="CH1191" s="1191"/>
      <c r="CI1191" s="1191"/>
      <c r="CM1191" s="1139">
        <v>0</v>
      </c>
      <c r="CN1191" s="1139">
        <v>2009000</v>
      </c>
      <c r="CP1191" s="923">
        <f t="shared" si="701"/>
        <v>0</v>
      </c>
      <c r="CZ1191" s="330"/>
    </row>
    <row r="1192" spans="1:104" ht="18.75" customHeight="1" x14ac:dyDescent="0.25">
      <c r="A1192" s="1297">
        <f>MAX($A$6:A1191)+1</f>
        <v>1192</v>
      </c>
      <c r="B1192" s="1295">
        <f>SUMIF(Update!$B$33:$B$106,C1192,Update!$A$33:$A$106)</f>
        <v>10</v>
      </c>
      <c r="C1192" s="696" t="s">
        <v>293</v>
      </c>
      <c r="D1192" s="695"/>
      <c r="E1192" s="696" t="str">
        <f>B1192&amp;" "&amp;C1192</f>
        <v>10 Inventories</v>
      </c>
      <c r="F1192" s="697"/>
      <c r="G1192" s="697"/>
      <c r="H1192" s="695"/>
      <c r="I1192" s="695"/>
      <c r="J1192" s="698"/>
      <c r="K1192" s="699">
        <f>SUMIF('alb Note 10 - Inventories'!$A:$A,$J1192,'alb Note 10 - Inventories'!$B:$B)</f>
        <v>0</v>
      </c>
      <c r="L1192" s="699">
        <f>SUMIF('alb Note 10 - Inventories'!$A:$A,$J1192,'alb Note 10 - Inventories'!$B:$B)</f>
        <v>0</v>
      </c>
      <c r="M1192" s="695"/>
      <c r="N1192" s="713">
        <f t="shared" ref="N1192:N1222" si="724">ROUND(SUM(O1192:S1192)+T1192+SUM(Z1192:AV1192),0)</f>
        <v>0</v>
      </c>
      <c r="O1192" s="695"/>
      <c r="P1192" s="695"/>
      <c r="Q1192" s="695"/>
      <c r="R1192" s="695"/>
      <c r="S1192" s="695">
        <f t="shared" si="720"/>
        <v>0</v>
      </c>
      <c r="T1192" s="713">
        <f t="shared" si="717"/>
        <v>0</v>
      </c>
      <c r="U1192" s="695"/>
      <c r="V1192" s="695"/>
      <c r="W1192" s="695"/>
      <c r="X1192" s="695"/>
      <c r="Y1192" s="695"/>
      <c r="Z1192" s="695"/>
      <c r="AA1192" s="695"/>
      <c r="AB1192" s="695"/>
      <c r="AC1192" s="695"/>
      <c r="AD1192" s="695"/>
      <c r="AE1192" s="695"/>
      <c r="AF1192" s="695"/>
      <c r="AG1192" s="695"/>
      <c r="AH1192" s="695"/>
      <c r="AI1192" s="695"/>
      <c r="AJ1192" s="695"/>
      <c r="AK1192" s="695"/>
      <c r="AL1192" s="695"/>
      <c r="AM1192" s="695"/>
      <c r="AN1192" s="695"/>
      <c r="AO1192" s="695"/>
      <c r="AP1192" s="695"/>
      <c r="AQ1192" s="695"/>
      <c r="AR1192" s="695"/>
      <c r="AS1192" s="695"/>
      <c r="AT1192" s="695"/>
      <c r="AU1192" s="695"/>
      <c r="AV1192" s="695"/>
      <c r="AW1192" s="700"/>
      <c r="AX1192" s="700"/>
      <c r="AY1192" s="700">
        <f>ROUND(AX1192/1000/Update!$B$31*Update!$B$27,0)</f>
        <v>0</v>
      </c>
      <c r="AZ1192" s="700"/>
      <c r="BA1192" s="700"/>
      <c r="BB1192" s="700">
        <f>ROUND(BA1192/1000/Update!$B$31,0)</f>
        <v>0</v>
      </c>
      <c r="BC1192" s="700"/>
      <c r="BD1192" s="721">
        <f t="shared" si="704"/>
        <v>0</v>
      </c>
      <c r="BE1192" s="700"/>
      <c r="BF1192" s="700"/>
      <c r="BG1192" s="700"/>
      <c r="BH1192" s="700"/>
      <c r="BI1192" s="700"/>
      <c r="BJ1192" s="700"/>
      <c r="BK1192" s="721">
        <f t="shared" si="684"/>
        <v>0</v>
      </c>
      <c r="BL1192" s="700"/>
      <c r="BM1192" s="700"/>
      <c r="BN1192" s="700"/>
      <c r="BO1192" s="700"/>
      <c r="BP1192" s="700"/>
      <c r="BQ1192" s="700"/>
      <c r="BR1192" s="700"/>
      <c r="BS1192" s="700"/>
      <c r="BT1192" s="700"/>
      <c r="BU1192" s="700"/>
      <c r="BV1192" s="700"/>
      <c r="BW1192" s="700"/>
      <c r="BX1192" s="700"/>
      <c r="BY1192" s="700"/>
      <c r="BZ1192" s="700"/>
      <c r="CA1192" s="700"/>
      <c r="CB1192" s="700"/>
      <c r="CC1192" s="700"/>
      <c r="CD1192" s="700"/>
      <c r="CE1192" s="700"/>
      <c r="CF1192" s="700"/>
      <c r="CG1192" s="700"/>
      <c r="CH1192" s="700"/>
      <c r="CI1192" s="700"/>
      <c r="CJ1192" s="700"/>
      <c r="CK1192" s="700"/>
      <c r="CM1192" s="700">
        <v>0</v>
      </c>
      <c r="CN1192" s="700">
        <v>0</v>
      </c>
      <c r="CP1192" s="923">
        <f t="shared" si="701"/>
        <v>0</v>
      </c>
      <c r="CZ1192" s="330"/>
    </row>
    <row r="1193" spans="1:104" ht="15" customHeight="1" x14ac:dyDescent="0.25">
      <c r="A1193" s="684">
        <f>MAX($A$6:A1192)+1</f>
        <v>1193</v>
      </c>
      <c r="B1193" s="3">
        <f t="shared" si="705"/>
        <v>10</v>
      </c>
      <c r="C1193" s="11" t="str">
        <f t="shared" ref="C1193:C1259" si="725">C1192</f>
        <v>Inventories</v>
      </c>
      <c r="D1193" s="11"/>
      <c r="E1193" s="7" t="s">
        <v>811</v>
      </c>
      <c r="F1193" s="7"/>
      <c r="G1193" s="1254" t="s">
        <v>293</v>
      </c>
      <c r="H1193" s="6">
        <v>0</v>
      </c>
      <c r="I1193" s="1190"/>
      <c r="J1193" s="1257" t="s">
        <v>811</v>
      </c>
      <c r="K1193" s="251">
        <f>SUMIF('alb Note 10 - Inventories'!$A:$A,$J1193,'alb Note 10 - Inventories'!$B:$B)</f>
        <v>0</v>
      </c>
      <c r="L1193" s="266"/>
      <c r="M1193" s="10"/>
      <c r="N1193" s="273">
        <f t="shared" si="724"/>
        <v>0</v>
      </c>
      <c r="O1193" s="12"/>
      <c r="P1193" s="12"/>
      <c r="Q1193" s="12"/>
      <c r="R1193" s="12"/>
      <c r="S1193" s="6">
        <f t="shared" si="720"/>
        <v>0</v>
      </c>
      <c r="T1193" s="273">
        <f t="shared" si="717"/>
        <v>0</v>
      </c>
      <c r="U1193" s="6">
        <f t="shared" ref="U1193:U1198" si="726">SUM(BL1193:BN1193)</f>
        <v>0</v>
      </c>
      <c r="V1193" s="6"/>
      <c r="W1193" s="6">
        <f t="shared" si="700"/>
        <v>0</v>
      </c>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X1193" s="6"/>
      <c r="AY1193" s="6">
        <f>ROUND(AX1193/1000/Update!$B$31*Update!$B$27,0)</f>
        <v>0</v>
      </c>
      <c r="BA1193" s="6"/>
      <c r="BB1193" s="6">
        <f>ROUND(BA1193/1000/Update!$B$31,0)</f>
        <v>0</v>
      </c>
      <c r="BC1193" s="6"/>
      <c r="BD1193" s="29">
        <f t="shared" si="704"/>
        <v>0</v>
      </c>
      <c r="BE1193" s="322"/>
      <c r="BF1193" s="322"/>
      <c r="BG1193" s="322"/>
      <c r="BH1193" s="322"/>
      <c r="BI1193" s="322"/>
      <c r="BJ1193" s="322"/>
      <c r="BK1193" s="29">
        <f t="shared" si="684"/>
        <v>0</v>
      </c>
      <c r="BL1193" s="322"/>
      <c r="BM1193" s="322"/>
      <c r="BN1193" s="322"/>
      <c r="BO1193" s="322"/>
      <c r="BP1193" s="322"/>
      <c r="BQ1193" s="322"/>
      <c r="BR1193" s="322"/>
      <c r="BS1193" s="322"/>
      <c r="BT1193" s="322"/>
      <c r="BU1193" s="322"/>
      <c r="BV1193" s="322"/>
      <c r="BW1193" s="322"/>
      <c r="BX1193" s="322"/>
      <c r="BY1193" s="322"/>
      <c r="BZ1193" s="322"/>
      <c r="CA1193" s="322"/>
      <c r="CB1193" s="322"/>
      <c r="CC1193" s="322"/>
      <c r="CD1193" s="322"/>
      <c r="CE1193" s="322"/>
      <c r="CF1193" s="322"/>
      <c r="CG1193" s="322"/>
      <c r="CH1193" s="322"/>
      <c r="CI1193" s="322"/>
      <c r="CM1193" s="1139">
        <v>0</v>
      </c>
      <c r="CN1193" s="1139">
        <v>0</v>
      </c>
      <c r="CP1193" s="923">
        <f t="shared" si="701"/>
        <v>0</v>
      </c>
      <c r="CZ1193" s="330"/>
    </row>
    <row r="1194" spans="1:104" ht="15" customHeight="1" x14ac:dyDescent="0.25">
      <c r="A1194" s="684">
        <f>MAX($A$6:A1193)+1</f>
        <v>1194</v>
      </c>
      <c r="B1194" s="3">
        <f t="shared" si="705"/>
        <v>10</v>
      </c>
      <c r="C1194" s="11" t="str">
        <f t="shared" si="725"/>
        <v>Inventories</v>
      </c>
      <c r="D1194" s="11"/>
      <c r="E1194" s="7" t="s">
        <v>1730</v>
      </c>
      <c r="F1194" s="7"/>
      <c r="G1194" s="1254" t="s">
        <v>286</v>
      </c>
      <c r="H1194" s="6">
        <v>0</v>
      </c>
      <c r="I1194" s="1190"/>
      <c r="J1194" s="1257" t="s">
        <v>1730</v>
      </c>
      <c r="K1194" s="251">
        <f>SUMIF('alb Note 10 - Inventories'!$A:$A,$J1194,'alb Note 10 - Inventories'!$B:$B)</f>
        <v>0</v>
      </c>
      <c r="L1194" s="266"/>
      <c r="M1194" s="10"/>
      <c r="N1194" s="273">
        <f t="shared" si="724"/>
        <v>0</v>
      </c>
      <c r="O1194" s="12"/>
      <c r="P1194" s="12"/>
      <c r="Q1194" s="12"/>
      <c r="R1194" s="12"/>
      <c r="S1194" s="6">
        <f t="shared" si="720"/>
        <v>0</v>
      </c>
      <c r="T1194" s="273">
        <f t="shared" si="717"/>
        <v>0</v>
      </c>
      <c r="U1194" s="6">
        <f t="shared" si="726"/>
        <v>0</v>
      </c>
      <c r="V1194" s="6"/>
      <c r="W1194" s="6">
        <f t="shared" si="700"/>
        <v>0</v>
      </c>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X1194" s="6"/>
      <c r="AY1194" s="6">
        <f>ROUND(AX1194/1000/Update!$B$31*Update!$B$27,0)</f>
        <v>0</v>
      </c>
      <c r="BA1194" s="6"/>
      <c r="BB1194" s="6">
        <f>ROUND(BA1194/1000/Update!$B$31,0)</f>
        <v>0</v>
      </c>
      <c r="BC1194" s="6"/>
      <c r="BD1194" s="29">
        <f t="shared" si="704"/>
        <v>0</v>
      </c>
      <c r="BE1194" s="322"/>
      <c r="BF1194" s="322"/>
      <c r="BG1194" s="322"/>
      <c r="BH1194" s="322"/>
      <c r="BI1194" s="322"/>
      <c r="BJ1194" s="322"/>
      <c r="BK1194" s="29">
        <f t="shared" si="684"/>
        <v>0</v>
      </c>
      <c r="BL1194" s="322"/>
      <c r="BM1194" s="322"/>
      <c r="BN1194" s="322"/>
      <c r="BO1194" s="322"/>
      <c r="BP1194" s="322"/>
      <c r="BQ1194" s="322"/>
      <c r="BR1194" s="322"/>
      <c r="BS1194" s="322"/>
      <c r="BT1194" s="322"/>
      <c r="BU1194" s="322"/>
      <c r="BV1194" s="322"/>
      <c r="BW1194" s="322"/>
      <c r="BX1194" s="322"/>
      <c r="BY1194" s="322"/>
      <c r="BZ1194" s="322"/>
      <c r="CA1194" s="322"/>
      <c r="CB1194" s="322"/>
      <c r="CC1194" s="322"/>
      <c r="CD1194" s="322"/>
      <c r="CE1194" s="322"/>
      <c r="CF1194" s="322"/>
      <c r="CG1194" s="322"/>
      <c r="CH1194" s="322"/>
      <c r="CI1194" s="322"/>
      <c r="CM1194" s="1139">
        <v>0</v>
      </c>
      <c r="CN1194" s="1139">
        <v>0</v>
      </c>
      <c r="CP1194" s="923">
        <f t="shared" si="701"/>
        <v>0</v>
      </c>
      <c r="CZ1194" s="330"/>
    </row>
    <row r="1195" spans="1:104" ht="15" customHeight="1" x14ac:dyDescent="0.25">
      <c r="A1195" s="684">
        <f>MAX($A$6:A1194)+1</f>
        <v>1195</v>
      </c>
      <c r="B1195" s="3">
        <f t="shared" si="705"/>
        <v>10</v>
      </c>
      <c r="C1195" s="11" t="str">
        <f t="shared" si="725"/>
        <v>Inventories</v>
      </c>
      <c r="D1195" s="11"/>
      <c r="E1195" s="7" t="s">
        <v>813</v>
      </c>
      <c r="F1195" s="7"/>
      <c r="G1195" s="1254" t="s">
        <v>286</v>
      </c>
      <c r="H1195" s="6">
        <v>0</v>
      </c>
      <c r="I1195" s="1190"/>
      <c r="J1195" s="1257" t="s">
        <v>813</v>
      </c>
      <c r="K1195" s="251">
        <f>SUMIF('alb Note 10 - Inventories'!$A:$A,$J1195,'alb Note 10 - Inventories'!$B:$B)</f>
        <v>0</v>
      </c>
      <c r="L1195" s="266"/>
      <c r="M1195" s="10"/>
      <c r="N1195" s="273">
        <f t="shared" si="724"/>
        <v>0</v>
      </c>
      <c r="O1195" s="12"/>
      <c r="P1195" s="12"/>
      <c r="Q1195" s="12"/>
      <c r="R1195" s="12"/>
      <c r="S1195" s="6">
        <f t="shared" si="720"/>
        <v>0</v>
      </c>
      <c r="T1195" s="273">
        <f t="shared" si="717"/>
        <v>0</v>
      </c>
      <c r="U1195" s="6">
        <f t="shared" si="726"/>
        <v>0</v>
      </c>
      <c r="V1195" s="6"/>
      <c r="W1195" s="6">
        <f t="shared" si="700"/>
        <v>0</v>
      </c>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X1195" s="6"/>
      <c r="AY1195" s="6">
        <f>ROUND(AX1195/1000/Update!$B$31*Update!$B$27,0)</f>
        <v>0</v>
      </c>
      <c r="BA1195" s="6"/>
      <c r="BB1195" s="6">
        <f>ROUND(BA1195/1000/Update!$B$31,0)</f>
        <v>0</v>
      </c>
      <c r="BC1195" s="6"/>
      <c r="BD1195" s="29">
        <f t="shared" si="704"/>
        <v>0</v>
      </c>
      <c r="BE1195" s="322"/>
      <c r="BF1195" s="322"/>
      <c r="BG1195" s="322"/>
      <c r="BH1195" s="322"/>
      <c r="BI1195" s="322"/>
      <c r="BJ1195" s="322"/>
      <c r="BK1195" s="29">
        <f t="shared" si="684"/>
        <v>0</v>
      </c>
      <c r="BL1195" s="322"/>
      <c r="BM1195" s="322"/>
      <c r="BN1195" s="322"/>
      <c r="BO1195" s="322"/>
      <c r="BP1195" s="322"/>
      <c r="BQ1195" s="322"/>
      <c r="BR1195" s="322"/>
      <c r="BS1195" s="322"/>
      <c r="BT1195" s="322"/>
      <c r="BU1195" s="322"/>
      <c r="BV1195" s="322"/>
      <c r="BW1195" s="322"/>
      <c r="BX1195" s="322"/>
      <c r="BY1195" s="322"/>
      <c r="BZ1195" s="322"/>
      <c r="CA1195" s="322"/>
      <c r="CB1195" s="322"/>
      <c r="CC1195" s="322"/>
      <c r="CD1195" s="322"/>
      <c r="CE1195" s="322"/>
      <c r="CF1195" s="322"/>
      <c r="CG1195" s="322"/>
      <c r="CH1195" s="322"/>
      <c r="CI1195" s="322"/>
      <c r="CM1195" s="1139">
        <v>0</v>
      </c>
      <c r="CN1195" s="1139">
        <v>0</v>
      </c>
      <c r="CP1195" s="923">
        <f t="shared" si="701"/>
        <v>0</v>
      </c>
      <c r="CZ1195" s="330"/>
    </row>
    <row r="1196" spans="1:104" ht="15" customHeight="1" x14ac:dyDescent="0.25">
      <c r="A1196" s="684">
        <f>MAX($A$6:A1195)+1</f>
        <v>1196</v>
      </c>
      <c r="B1196" s="3">
        <f>B1195</f>
        <v>10</v>
      </c>
      <c r="C1196" s="11" t="str">
        <f t="shared" si="725"/>
        <v>Inventories</v>
      </c>
      <c r="D1196" s="11"/>
      <c r="E1196" s="7" t="s">
        <v>812</v>
      </c>
      <c r="F1196" s="7"/>
      <c r="G1196" s="1254" t="s">
        <v>286</v>
      </c>
      <c r="H1196" s="6">
        <v>0</v>
      </c>
      <c r="I1196" s="1190"/>
      <c r="J1196" s="1257" t="s">
        <v>812</v>
      </c>
      <c r="K1196" s="251">
        <f>SUMIF('alb Note 10 - Inventories'!$A:$A,$J1196,'alb Note 10 - Inventories'!$B:$B)</f>
        <v>0</v>
      </c>
      <c r="L1196" s="266"/>
      <c r="M1196" s="10"/>
      <c r="N1196" s="273">
        <f t="shared" si="724"/>
        <v>0</v>
      </c>
      <c r="O1196" s="12"/>
      <c r="P1196" s="12"/>
      <c r="Q1196" s="12"/>
      <c r="R1196" s="12"/>
      <c r="S1196" s="6">
        <f t="shared" si="720"/>
        <v>0</v>
      </c>
      <c r="T1196" s="273">
        <f t="shared" si="717"/>
        <v>0</v>
      </c>
      <c r="U1196" s="6">
        <f t="shared" si="726"/>
        <v>0</v>
      </c>
      <c r="V1196" s="6"/>
      <c r="W1196" s="6">
        <f t="shared" si="700"/>
        <v>0</v>
      </c>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X1196" s="6"/>
      <c r="AY1196" s="6">
        <f>ROUND(AX1196/1000/Update!$B$31*Update!$B$27,0)</f>
        <v>0</v>
      </c>
      <c r="BA1196" s="6"/>
      <c r="BB1196" s="6">
        <f>ROUND(BA1196/1000/Update!$B$31,0)</f>
        <v>0</v>
      </c>
      <c r="BC1196" s="6"/>
      <c r="BD1196" s="29">
        <f t="shared" si="704"/>
        <v>0</v>
      </c>
      <c r="BE1196" s="322"/>
      <c r="BF1196" s="322"/>
      <c r="BG1196" s="322"/>
      <c r="BH1196" s="322"/>
      <c r="BI1196" s="322"/>
      <c r="BJ1196" s="322"/>
      <c r="BK1196" s="29">
        <f t="shared" si="684"/>
        <v>0</v>
      </c>
      <c r="BL1196" s="322"/>
      <c r="BM1196" s="322"/>
      <c r="BN1196" s="322"/>
      <c r="BO1196" s="322"/>
      <c r="BP1196" s="322"/>
      <c r="BQ1196" s="322"/>
      <c r="BR1196" s="322"/>
      <c r="BS1196" s="322"/>
      <c r="BT1196" s="322"/>
      <c r="BU1196" s="322"/>
      <c r="BV1196" s="322"/>
      <c r="BW1196" s="322"/>
      <c r="BX1196" s="322"/>
      <c r="BY1196" s="322"/>
      <c r="BZ1196" s="322"/>
      <c r="CA1196" s="322"/>
      <c r="CB1196" s="322"/>
      <c r="CC1196" s="322"/>
      <c r="CD1196" s="322"/>
      <c r="CE1196" s="322"/>
      <c r="CF1196" s="322"/>
      <c r="CG1196" s="322"/>
      <c r="CH1196" s="322"/>
      <c r="CI1196" s="322"/>
      <c r="CM1196" s="1139">
        <v>0</v>
      </c>
      <c r="CN1196" s="1139">
        <v>0</v>
      </c>
      <c r="CP1196" s="923">
        <f t="shared" si="701"/>
        <v>0</v>
      </c>
      <c r="CZ1196" s="330"/>
    </row>
    <row r="1197" spans="1:104" ht="15" customHeight="1" x14ac:dyDescent="0.25">
      <c r="A1197" s="684">
        <f>MAX($A$6:A1196)+1</f>
        <v>1197</v>
      </c>
      <c r="B1197" s="3">
        <f>B1196</f>
        <v>10</v>
      </c>
      <c r="C1197" s="11" t="str">
        <f t="shared" si="725"/>
        <v>Inventories</v>
      </c>
      <c r="D1197" s="11"/>
      <c r="E1197" s="7" t="s">
        <v>181</v>
      </c>
      <c r="F1197" s="7"/>
      <c r="G1197" s="1254" t="s">
        <v>286</v>
      </c>
      <c r="H1197" s="6">
        <v>0</v>
      </c>
      <c r="I1197" s="1190"/>
      <c r="J1197" s="1257" t="s">
        <v>181</v>
      </c>
      <c r="K1197" s="251">
        <f>SUMIF('alb Note 10 - Inventories'!$A:$A,$J1197,'alb Note 10 - Inventories'!$B:$B)</f>
        <v>0</v>
      </c>
      <c r="L1197" s="266"/>
      <c r="M1197" s="10"/>
      <c r="N1197" s="273">
        <f t="shared" si="724"/>
        <v>0</v>
      </c>
      <c r="O1197" s="12"/>
      <c r="P1197" s="12"/>
      <c r="Q1197" s="12"/>
      <c r="R1197" s="12"/>
      <c r="S1197" s="6">
        <f t="shared" si="720"/>
        <v>0</v>
      </c>
      <c r="T1197" s="273">
        <f t="shared" si="717"/>
        <v>0</v>
      </c>
      <c r="U1197" s="6">
        <f t="shared" si="726"/>
        <v>0</v>
      </c>
      <c r="V1197" s="6"/>
      <c r="W1197" s="6">
        <f t="shared" si="700"/>
        <v>0</v>
      </c>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X1197" s="6"/>
      <c r="AY1197" s="6">
        <f>ROUND(AX1197/1000/Update!$B$31*Update!$B$27,0)</f>
        <v>0</v>
      </c>
      <c r="BA1197" s="6"/>
      <c r="BB1197" s="6">
        <f>ROUND(BA1197/1000/Update!$B$31,0)</f>
        <v>0</v>
      </c>
      <c r="BC1197" s="6"/>
      <c r="BD1197" s="29">
        <f t="shared" si="704"/>
        <v>0</v>
      </c>
      <c r="BE1197" s="322"/>
      <c r="BF1197" s="322"/>
      <c r="BG1197" s="322"/>
      <c r="BH1197" s="322"/>
      <c r="BI1197" s="322"/>
      <c r="BJ1197" s="322"/>
      <c r="BK1197" s="29">
        <f t="shared" si="684"/>
        <v>0</v>
      </c>
      <c r="BL1197" s="322"/>
      <c r="BM1197" s="322"/>
      <c r="BN1197" s="322"/>
      <c r="BO1197" s="322"/>
      <c r="BP1197" s="322"/>
      <c r="BQ1197" s="322"/>
      <c r="BR1197" s="322"/>
      <c r="BS1197" s="322"/>
      <c r="BT1197" s="322"/>
      <c r="BU1197" s="322"/>
      <c r="BV1197" s="322"/>
      <c r="BW1197" s="322"/>
      <c r="BX1197" s="322"/>
      <c r="BY1197" s="322"/>
      <c r="BZ1197" s="322"/>
      <c r="CA1197" s="322"/>
      <c r="CB1197" s="322"/>
      <c r="CC1197" s="322"/>
      <c r="CD1197" s="322"/>
      <c r="CE1197" s="322"/>
      <c r="CF1197" s="322"/>
      <c r="CG1197" s="322"/>
      <c r="CH1197" s="322"/>
      <c r="CI1197" s="322"/>
      <c r="CM1197" s="1139">
        <v>0</v>
      </c>
      <c r="CN1197" s="1139">
        <v>0</v>
      </c>
      <c r="CP1197" s="923">
        <f t="shared" si="701"/>
        <v>0</v>
      </c>
      <c r="CZ1197" s="330"/>
    </row>
    <row r="1198" spans="1:104" ht="15" customHeight="1" x14ac:dyDescent="0.25">
      <c r="A1198" s="684">
        <f>MAX($A$6:A1197)+1</f>
        <v>1198</v>
      </c>
      <c r="B1198" s="3">
        <f>B1197</f>
        <v>10</v>
      </c>
      <c r="C1198" s="11" t="str">
        <f t="shared" si="725"/>
        <v>Inventories</v>
      </c>
      <c r="D1198" s="11"/>
      <c r="E1198" s="7" t="s">
        <v>286</v>
      </c>
      <c r="F1198" s="7"/>
      <c r="G1198" s="1254" t="s">
        <v>286</v>
      </c>
      <c r="H1198" s="6">
        <v>0</v>
      </c>
      <c r="I1198" s="1190"/>
      <c r="J1198" s="1257" t="s">
        <v>286</v>
      </c>
      <c r="K1198" s="251">
        <f>SUMIF('alb Note 10 - Inventories'!$A:$A,$J1198,'alb Note 10 - Inventories'!$B:$B)</f>
        <v>0</v>
      </c>
      <c r="L1198" s="266"/>
      <c r="M1198" s="10"/>
      <c r="N1198" s="273">
        <f t="shared" si="724"/>
        <v>0</v>
      </c>
      <c r="O1198" s="12"/>
      <c r="P1198" s="12"/>
      <c r="Q1198" s="12"/>
      <c r="R1198" s="12"/>
      <c r="S1198" s="6">
        <f t="shared" si="720"/>
        <v>0</v>
      </c>
      <c r="T1198" s="273">
        <f t="shared" si="717"/>
        <v>0</v>
      </c>
      <c r="U1198" s="6">
        <f t="shared" si="726"/>
        <v>0</v>
      </c>
      <c r="V1198" s="6"/>
      <c r="W1198" s="6">
        <f t="shared" si="700"/>
        <v>0</v>
      </c>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X1198" s="6"/>
      <c r="AY1198" s="6"/>
      <c r="BA1198" s="6"/>
      <c r="BB1198" s="6"/>
      <c r="BC1198" s="6"/>
      <c r="BD1198" s="29">
        <f t="shared" si="704"/>
        <v>0</v>
      </c>
      <c r="BE1198" s="322"/>
      <c r="BF1198" s="322"/>
      <c r="BG1198" s="322"/>
      <c r="BH1198" s="322"/>
      <c r="BI1198" s="322"/>
      <c r="BJ1198" s="322"/>
      <c r="BK1198" s="29">
        <f t="shared" ref="BK1198:BK1270" si="727">ROUND(SUM(BO1198:CI1198),0)</f>
        <v>0</v>
      </c>
      <c r="BL1198" s="322"/>
      <c r="BM1198" s="322"/>
      <c r="BN1198" s="322"/>
      <c r="BO1198" s="322"/>
      <c r="BP1198" s="322"/>
      <c r="BQ1198" s="322"/>
      <c r="BR1198" s="322"/>
      <c r="BS1198" s="322"/>
      <c r="BT1198" s="322"/>
      <c r="BU1198" s="322"/>
      <c r="BV1198" s="322"/>
      <c r="BW1198" s="322"/>
      <c r="BX1198" s="322"/>
      <c r="BY1198" s="322"/>
      <c r="BZ1198" s="322"/>
      <c r="CA1198" s="322"/>
      <c r="CB1198" s="322"/>
      <c r="CC1198" s="322"/>
      <c r="CD1198" s="322"/>
      <c r="CE1198" s="322"/>
      <c r="CF1198" s="322"/>
      <c r="CG1198" s="322"/>
      <c r="CH1198" s="322"/>
      <c r="CI1198" s="322"/>
      <c r="CM1198" s="1139">
        <v>0</v>
      </c>
      <c r="CN1198" s="1139">
        <v>0</v>
      </c>
      <c r="CP1198" s="923">
        <f t="shared" si="701"/>
        <v>0</v>
      </c>
      <c r="CZ1198" s="330"/>
    </row>
    <row r="1199" spans="1:104" ht="15" customHeight="1" x14ac:dyDescent="0.25">
      <c r="A1199" s="701">
        <f>MAX($A$6:A1198)+1</f>
        <v>1199</v>
      </c>
      <c r="B1199" s="1291">
        <f>B1198</f>
        <v>10</v>
      </c>
      <c r="C1199" s="18" t="str">
        <f>C1198</f>
        <v>Inventories</v>
      </c>
      <c r="D1199" s="18"/>
      <c r="E1199" s="19"/>
      <c r="F1199" s="19"/>
      <c r="G1199" s="28"/>
      <c r="H1199" s="14">
        <f>SUM(H1192:H1198)</f>
        <v>0</v>
      </c>
      <c r="I1199" s="14"/>
      <c r="J1199" s="1258" t="s">
        <v>286</v>
      </c>
      <c r="K1199" s="256">
        <f>SUM(K1192:K1198)</f>
        <v>0</v>
      </c>
      <c r="L1199" s="256">
        <f>SUM(L1192:L1198)</f>
        <v>0</v>
      </c>
      <c r="M1199" s="21"/>
      <c r="N1199" s="14">
        <f t="shared" si="724"/>
        <v>0</v>
      </c>
      <c r="O1199" s="14">
        <f>SUM(O1192:O1198)</f>
        <v>0</v>
      </c>
      <c r="P1199" s="14">
        <f>SUM(P1192:P1198)</f>
        <v>0</v>
      </c>
      <c r="Q1199" s="14">
        <f>SUM(Q1192:Q1198)</f>
        <v>0</v>
      </c>
      <c r="R1199" s="14">
        <f>SUM(R1192:R1198)</f>
        <v>0</v>
      </c>
      <c r="S1199" s="14">
        <f t="shared" si="720"/>
        <v>0</v>
      </c>
      <c r="T1199" s="14">
        <f>SUM(T1192:T1198)</f>
        <v>0</v>
      </c>
      <c r="U1199" s="14">
        <f>SUM(U1192:U1198)</f>
        <v>0</v>
      </c>
      <c r="V1199" s="14">
        <f>SUM(V1192:V1198)</f>
        <v>0</v>
      </c>
      <c r="W1199" s="14">
        <f>SUM(W1192:W1198)</f>
        <v>0</v>
      </c>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2"/>
      <c r="AX1199" s="14">
        <f>SUM(AX1192:AX1198)</f>
        <v>0</v>
      </c>
      <c r="AY1199" s="14">
        <f>ROUND(AX1199/1000/Update!$B$31*Update!$B$27,0)</f>
        <v>0</v>
      </c>
      <c r="AZ1199" s="2"/>
      <c r="BA1199" s="14">
        <f>SUM(BA1192:BA1198)</f>
        <v>0</v>
      </c>
      <c r="BB1199" s="14">
        <f>ROUND(BA1199/1000/Update!$B$31,0)</f>
        <v>0</v>
      </c>
      <c r="BC1199" s="14"/>
      <c r="BD1199" s="14">
        <f t="shared" si="704"/>
        <v>0</v>
      </c>
      <c r="BE1199" s="14">
        <f t="shared" ref="BE1199:BJ1199" si="728">SUM(BE1192:BE1198)</f>
        <v>0</v>
      </c>
      <c r="BF1199" s="14">
        <f t="shared" si="728"/>
        <v>0</v>
      </c>
      <c r="BG1199" s="14">
        <f t="shared" si="728"/>
        <v>0</v>
      </c>
      <c r="BH1199" s="14">
        <f t="shared" si="728"/>
        <v>0</v>
      </c>
      <c r="BI1199" s="14">
        <f t="shared" si="728"/>
        <v>0</v>
      </c>
      <c r="BJ1199" s="14">
        <f t="shared" si="728"/>
        <v>0</v>
      </c>
      <c r="BK1199" s="14">
        <f t="shared" si="727"/>
        <v>0</v>
      </c>
      <c r="BL1199" s="14"/>
      <c r="BM1199" s="14"/>
      <c r="BN1199" s="14"/>
      <c r="BO1199" s="14"/>
      <c r="BP1199" s="14"/>
      <c r="BQ1199" s="14"/>
      <c r="BR1199" s="14"/>
      <c r="BS1199" s="14"/>
      <c r="BT1199" s="324"/>
      <c r="BU1199" s="14"/>
      <c r="BV1199" s="14"/>
      <c r="BW1199" s="14"/>
      <c r="BX1199" s="14"/>
      <c r="BY1199" s="14"/>
      <c r="BZ1199" s="14"/>
      <c r="CA1199" s="14"/>
      <c r="CB1199" s="14"/>
      <c r="CC1199" s="14"/>
      <c r="CD1199" s="14"/>
      <c r="CE1199" s="14"/>
      <c r="CF1199" s="14"/>
      <c r="CG1199" s="14"/>
      <c r="CH1199" s="14"/>
      <c r="CI1199" s="14"/>
      <c r="CJ1199" s="2"/>
      <c r="CK1199" s="2"/>
      <c r="CM1199" s="1498">
        <v>0</v>
      </c>
      <c r="CN1199" s="1498">
        <v>0</v>
      </c>
      <c r="CP1199" s="923">
        <f t="shared" si="701"/>
        <v>0</v>
      </c>
      <c r="CZ1199" s="330"/>
    </row>
    <row r="1200" spans="1:104" ht="18.75" customHeight="1" x14ac:dyDescent="0.25">
      <c r="A1200" s="1297">
        <f>MAX($A$6:A1199)+1</f>
        <v>1200</v>
      </c>
      <c r="B1200" s="1295">
        <f>SUMIF(Update!$B$33:$B$106,C1200,Update!$A$33:$A$106)</f>
        <v>11</v>
      </c>
      <c r="C1200" s="696" t="s">
        <v>295</v>
      </c>
      <c r="D1200" s="695"/>
      <c r="E1200" s="696" t="str">
        <f>B1200&amp;" "&amp;C1200</f>
        <v>11 Cash and cash equivalents</v>
      </c>
      <c r="F1200" s="697"/>
      <c r="G1200" s="697"/>
      <c r="H1200" s="695"/>
      <c r="I1200" s="695"/>
      <c r="J1200" s="698"/>
      <c r="K1200" s="699">
        <f>SUMIF('alb Note 11 - Cash'!$A:$A,$J1200,'alb Note 11 - Cash'!$B:$B)</f>
        <v>0</v>
      </c>
      <c r="L1200" s="699">
        <f>SUMIF('alb Note 11 - Cash'!$A:$A,$J1200,'alb Note 11 - Cash'!$B:$B)</f>
        <v>0</v>
      </c>
      <c r="M1200" s="695"/>
      <c r="N1200" s="713">
        <f t="shared" si="724"/>
        <v>0</v>
      </c>
      <c r="O1200" s="695"/>
      <c r="P1200" s="695"/>
      <c r="Q1200" s="695"/>
      <c r="R1200" s="695"/>
      <c r="S1200" s="695">
        <f t="shared" si="720"/>
        <v>0</v>
      </c>
      <c r="T1200" s="713">
        <f>ROUND(SUM(U1200:Y1200),0)</f>
        <v>0</v>
      </c>
      <c r="U1200" s="695"/>
      <c r="V1200" s="695"/>
      <c r="W1200" s="695"/>
      <c r="X1200" s="695"/>
      <c r="Y1200" s="695"/>
      <c r="Z1200" s="695"/>
      <c r="AA1200" s="695"/>
      <c r="AB1200" s="695"/>
      <c r="AC1200" s="695"/>
      <c r="AD1200" s="695"/>
      <c r="AE1200" s="695"/>
      <c r="AF1200" s="695"/>
      <c r="AG1200" s="695"/>
      <c r="AH1200" s="695"/>
      <c r="AI1200" s="695"/>
      <c r="AJ1200" s="695"/>
      <c r="AK1200" s="695"/>
      <c r="AL1200" s="695"/>
      <c r="AM1200" s="695"/>
      <c r="AN1200" s="695"/>
      <c r="AO1200" s="695"/>
      <c r="AP1200" s="695"/>
      <c r="AQ1200" s="695"/>
      <c r="AR1200" s="695"/>
      <c r="AS1200" s="695"/>
      <c r="AT1200" s="695"/>
      <c r="AU1200" s="695"/>
      <c r="AV1200" s="695"/>
      <c r="AW1200" s="700"/>
      <c r="AX1200" s="700"/>
      <c r="AY1200" s="700">
        <f>ROUND(AX1200/1000/Update!$B$31*Update!$B$27,0)</f>
        <v>0</v>
      </c>
      <c r="AZ1200" s="700"/>
      <c r="BA1200" s="700"/>
      <c r="BB1200" s="700">
        <f>ROUND(BA1200/1000/Update!$B$31,0)</f>
        <v>0</v>
      </c>
      <c r="BC1200" s="700"/>
      <c r="BD1200" s="721">
        <f t="shared" si="704"/>
        <v>0</v>
      </c>
      <c r="BE1200" s="700"/>
      <c r="BF1200" s="700"/>
      <c r="BG1200" s="700"/>
      <c r="BH1200" s="700"/>
      <c r="BI1200" s="700"/>
      <c r="BJ1200" s="700"/>
      <c r="BK1200" s="721">
        <f t="shared" si="727"/>
        <v>0</v>
      </c>
      <c r="BL1200" s="700"/>
      <c r="BM1200" s="700"/>
      <c r="BN1200" s="700"/>
      <c r="BO1200" s="700"/>
      <c r="BP1200" s="700"/>
      <c r="BQ1200" s="700"/>
      <c r="BR1200" s="700"/>
      <c r="BS1200" s="700"/>
      <c r="BT1200" s="700"/>
      <c r="BU1200" s="700"/>
      <c r="BV1200" s="700"/>
      <c r="BW1200" s="700"/>
      <c r="BX1200" s="700"/>
      <c r="BY1200" s="700"/>
      <c r="BZ1200" s="700"/>
      <c r="CA1200" s="700"/>
      <c r="CB1200" s="700"/>
      <c r="CC1200" s="700"/>
      <c r="CD1200" s="700"/>
      <c r="CE1200" s="700"/>
      <c r="CF1200" s="700"/>
      <c r="CG1200" s="700"/>
      <c r="CH1200" s="700"/>
      <c r="CI1200" s="700"/>
      <c r="CJ1200" s="700"/>
      <c r="CK1200" s="700"/>
      <c r="CM1200" s="700">
        <v>0</v>
      </c>
      <c r="CN1200" s="700">
        <v>0</v>
      </c>
      <c r="CP1200" s="923">
        <f t="shared" si="701"/>
        <v>0</v>
      </c>
      <c r="CZ1200" s="330"/>
    </row>
    <row r="1201" spans="1:104" ht="15" customHeight="1" x14ac:dyDescent="0.25">
      <c r="A1201" s="684">
        <f>MAX($A$6:A1200)+1</f>
        <v>1201</v>
      </c>
      <c r="B1201" s="3">
        <f>B1200</f>
        <v>11</v>
      </c>
      <c r="C1201" s="11" t="str">
        <f>C1200</f>
        <v>Cash and cash equivalents</v>
      </c>
      <c r="D1201" s="11"/>
      <c r="E1201" s="7" t="s">
        <v>219</v>
      </c>
      <c r="F1201" s="7"/>
      <c r="G1201" s="1281" t="s">
        <v>607</v>
      </c>
      <c r="H1201" s="6">
        <v>-7487</v>
      </c>
      <c r="I1201" s="1190"/>
      <c r="J1201" s="1257" t="s">
        <v>219</v>
      </c>
      <c r="K1201" s="251">
        <f>SUMIF('alb Note 11 - Cash'!$A:$A,$J1201,'alb Note 11 - Cash'!$B:$B)</f>
        <v>0</v>
      </c>
      <c r="L1201" s="266"/>
      <c r="M1201" s="10"/>
      <c r="N1201" s="273">
        <f t="shared" si="724"/>
        <v>-7487</v>
      </c>
      <c r="O1201" s="12"/>
      <c r="P1201" s="12"/>
      <c r="Q1201" s="12"/>
      <c r="R1201" s="12"/>
      <c r="S1201" s="6">
        <f t="shared" si="720"/>
        <v>0</v>
      </c>
      <c r="T1201" s="273">
        <f>ROUND(SUM(U1201:Y1201),0)</f>
        <v>-7487</v>
      </c>
      <c r="U1201" s="6">
        <f>SUM(BL1201:BN1201)</f>
        <v>0</v>
      </c>
      <c r="V1201" s="6"/>
      <c r="W1201" s="6">
        <f t="shared" ref="W1201:W1234" si="729">+H1201</f>
        <v>-7487</v>
      </c>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X1201" s="6"/>
      <c r="AY1201" s="6">
        <f>ROUND(AX1201/1000/Update!$B$31*Update!$B$27,0)</f>
        <v>0</v>
      </c>
      <c r="BA1201" s="6"/>
      <c r="BB1201" s="6">
        <f>ROUND(BA1201/1000/Update!$B$31,0)</f>
        <v>0</v>
      </c>
      <c r="BC1201" s="6"/>
      <c r="BD1201" s="29">
        <f t="shared" si="704"/>
        <v>0</v>
      </c>
      <c r="BE1201" s="317"/>
      <c r="BF1201" s="317"/>
      <c r="BG1201" s="317"/>
      <c r="BH1201" s="317"/>
      <c r="BI1201" s="317"/>
      <c r="BJ1201" s="317"/>
      <c r="BK1201" s="29">
        <f t="shared" si="727"/>
        <v>0</v>
      </c>
      <c r="BL1201" s="317"/>
      <c r="BM1201" s="317"/>
      <c r="BN1201" s="317"/>
      <c r="BO1201" s="317"/>
      <c r="BP1201" s="317"/>
      <c r="BQ1201" s="317"/>
      <c r="BR1201" s="317"/>
      <c r="BS1201" s="317"/>
      <c r="BT1201" s="317"/>
      <c r="BU1201" s="317"/>
      <c r="BV1201" s="317"/>
      <c r="BW1201" s="317"/>
      <c r="BX1201" s="317"/>
      <c r="BY1201" s="317"/>
      <c r="BZ1201" s="317"/>
      <c r="CA1201" s="317"/>
      <c r="CB1201" s="317"/>
      <c r="CC1201" s="317"/>
      <c r="CD1201" s="317"/>
      <c r="CE1201" s="317"/>
      <c r="CF1201" s="317"/>
      <c r="CG1201" s="317"/>
      <c r="CH1201" s="317"/>
      <c r="CI1201" s="317"/>
      <c r="CM1201" s="1139">
        <v>0</v>
      </c>
      <c r="CN1201" s="1139">
        <v>0</v>
      </c>
      <c r="CP1201" s="923">
        <f t="shared" si="701"/>
        <v>0</v>
      </c>
      <c r="CZ1201" s="330"/>
    </row>
    <row r="1202" spans="1:104" ht="30" customHeight="1" x14ac:dyDescent="0.25">
      <c r="A1202" s="684">
        <f>MAX($A$6:A1201)+1</f>
        <v>1202</v>
      </c>
      <c r="B1202" s="3">
        <f t="shared" ref="B1202:B1280" si="730">B1201</f>
        <v>11</v>
      </c>
      <c r="C1202" s="11" t="str">
        <f t="shared" si="725"/>
        <v>Cash and cash equivalents</v>
      </c>
      <c r="D1202" s="11"/>
      <c r="E1202" s="7" t="s">
        <v>225</v>
      </c>
      <c r="F1202" s="7"/>
      <c r="G1202" s="1281" t="s">
        <v>225</v>
      </c>
      <c r="H1202" s="6">
        <v>7487</v>
      </c>
      <c r="I1202" s="1190"/>
      <c r="J1202" s="1257" t="s">
        <v>774</v>
      </c>
      <c r="K1202" s="251">
        <f>SUMIF('alb Note 11 - Cash'!$A:$A,$J1202,'alb Note 11 - Cash'!$B:$B)</f>
        <v>0</v>
      </c>
      <c r="L1202" s="266"/>
      <c r="M1202" s="10"/>
      <c r="N1202" s="273">
        <f t="shared" si="724"/>
        <v>7487</v>
      </c>
      <c r="O1202" s="12"/>
      <c r="P1202" s="12"/>
      <c r="Q1202" s="12"/>
      <c r="R1202" s="12"/>
      <c r="S1202" s="6">
        <f t="shared" si="720"/>
        <v>0</v>
      </c>
      <c r="T1202" s="273">
        <f>ROUND(SUM(U1202:Y1202),0)</f>
        <v>7487</v>
      </c>
      <c r="U1202" s="6">
        <f>SUM(BL1202:BN1202)</f>
        <v>0</v>
      </c>
      <c r="V1202" s="6"/>
      <c r="W1202" s="6">
        <f t="shared" si="729"/>
        <v>7487</v>
      </c>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X1202" s="6"/>
      <c r="AY1202" s="6">
        <f>ROUND(AX1202/1000/Update!$B$31*Update!$B$27,0)</f>
        <v>0</v>
      </c>
      <c r="BA1202" s="6"/>
      <c r="BB1202" s="6">
        <f>ROUND(BA1202/1000/Update!$B$31,0)</f>
        <v>0</v>
      </c>
      <c r="BC1202" s="6"/>
      <c r="BD1202" s="29">
        <f t="shared" si="704"/>
        <v>0</v>
      </c>
      <c r="BE1202" s="317"/>
      <c r="BF1202" s="317"/>
      <c r="BG1202" s="317"/>
      <c r="BH1202" s="317"/>
      <c r="BI1202" s="317"/>
      <c r="BJ1202" s="317"/>
      <c r="BK1202" s="29">
        <f t="shared" si="727"/>
        <v>0</v>
      </c>
      <c r="BL1202" s="317"/>
      <c r="BM1202" s="317"/>
      <c r="BN1202" s="317"/>
      <c r="BO1202" s="317"/>
      <c r="BP1202" s="317"/>
      <c r="BQ1202" s="317"/>
      <c r="BR1202" s="317"/>
      <c r="BS1202" s="317"/>
      <c r="BT1202" s="317"/>
      <c r="BU1202" s="317"/>
      <c r="BV1202" s="317"/>
      <c r="BW1202" s="317"/>
      <c r="BX1202" s="317"/>
      <c r="BY1202" s="317"/>
      <c r="BZ1202" s="317"/>
      <c r="CA1202" s="317"/>
      <c r="CB1202" s="317"/>
      <c r="CC1202" s="317"/>
      <c r="CD1202" s="317"/>
      <c r="CE1202" s="317"/>
      <c r="CF1202" s="317"/>
      <c r="CG1202" s="317"/>
      <c r="CH1202" s="317"/>
      <c r="CI1202" s="317"/>
      <c r="CM1202" s="1139">
        <v>0</v>
      </c>
      <c r="CN1202" s="1139">
        <v>0</v>
      </c>
      <c r="CP1202" s="923">
        <f t="shared" si="701"/>
        <v>0</v>
      </c>
      <c r="CZ1202" s="330"/>
    </row>
    <row r="1203" spans="1:104" ht="15" customHeight="1" x14ac:dyDescent="0.25">
      <c r="A1203" s="701">
        <f>MAX($A$6:A1202)+1</f>
        <v>1203</v>
      </c>
      <c r="B1203" s="1291">
        <f t="shared" si="730"/>
        <v>11</v>
      </c>
      <c r="C1203" s="18" t="str">
        <f t="shared" si="725"/>
        <v>Cash and cash equivalents</v>
      </c>
      <c r="D1203" s="18"/>
      <c r="E1203" s="19" t="s">
        <v>220</v>
      </c>
      <c r="F1203" s="19"/>
      <c r="G1203" s="28"/>
      <c r="H1203" s="14">
        <f>SUM(H1201:H1202)</f>
        <v>0</v>
      </c>
      <c r="I1203" s="14"/>
      <c r="J1203" s="1258" t="s">
        <v>286</v>
      </c>
      <c r="K1203" s="256">
        <f>SUM(K1201:K1202)</f>
        <v>0</v>
      </c>
      <c r="L1203" s="256">
        <f>SUM(L1201:L1202)</f>
        <v>0</v>
      </c>
      <c r="M1203" s="21"/>
      <c r="N1203" s="14">
        <f t="shared" si="724"/>
        <v>0</v>
      </c>
      <c r="O1203" s="14">
        <f t="shared" ref="O1203:V1203" si="731">SUM(O1201:O1202)</f>
        <v>0</v>
      </c>
      <c r="P1203" s="14">
        <f t="shared" si="731"/>
        <v>0</v>
      </c>
      <c r="Q1203" s="14">
        <f t="shared" si="731"/>
        <v>0</v>
      </c>
      <c r="R1203" s="14">
        <f t="shared" si="731"/>
        <v>0</v>
      </c>
      <c r="S1203" s="14">
        <f t="shared" si="720"/>
        <v>0</v>
      </c>
      <c r="T1203" s="14">
        <f t="shared" si="731"/>
        <v>0</v>
      </c>
      <c r="U1203" s="14">
        <f>SUM(U1201:U1202)</f>
        <v>0</v>
      </c>
      <c r="V1203" s="14">
        <f t="shared" si="731"/>
        <v>0</v>
      </c>
      <c r="W1203" s="14">
        <f>SUM(W1201:W1202)</f>
        <v>0</v>
      </c>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2"/>
      <c r="AX1203" s="14">
        <f>SUM(AX1201:AX1202)</f>
        <v>0</v>
      </c>
      <c r="AY1203" s="14">
        <f>ROUND(AX1203/1000/Update!$B$31*Update!$B$27,0)</f>
        <v>0</v>
      </c>
      <c r="AZ1203" s="2"/>
      <c r="BA1203" s="14">
        <f>SUM(BA1201:BA1202)</f>
        <v>0</v>
      </c>
      <c r="BB1203" s="14">
        <f>ROUND(BA1203/1000/Update!$B$31,0)</f>
        <v>0</v>
      </c>
      <c r="BC1203" s="14"/>
      <c r="BD1203" s="14">
        <f t="shared" si="704"/>
        <v>0</v>
      </c>
      <c r="BE1203" s="326"/>
      <c r="BF1203" s="326"/>
      <c r="BG1203" s="326"/>
      <c r="BH1203" s="326"/>
      <c r="BI1203" s="326"/>
      <c r="BJ1203" s="326"/>
      <c r="BK1203" s="14">
        <f t="shared" si="727"/>
        <v>0</v>
      </c>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2"/>
      <c r="CK1203" s="2"/>
      <c r="CM1203" s="1498">
        <v>0</v>
      </c>
      <c r="CN1203" s="1498">
        <v>0</v>
      </c>
      <c r="CP1203" s="923">
        <f t="shared" si="701"/>
        <v>0</v>
      </c>
      <c r="CZ1203" s="330"/>
    </row>
    <row r="1204" spans="1:104" ht="15" customHeight="1" x14ac:dyDescent="0.25">
      <c r="A1204" s="684">
        <f>MAX($A$6:A1203)+1</f>
        <v>1204</v>
      </c>
      <c r="B1204" s="3">
        <f t="shared" si="730"/>
        <v>11</v>
      </c>
      <c r="C1204" s="11" t="str">
        <f t="shared" si="725"/>
        <v>Cash and cash equivalents</v>
      </c>
      <c r="D1204" s="11"/>
      <c r="E1204" s="7"/>
      <c r="F1204" s="7"/>
      <c r="G1204" s="26"/>
      <c r="H1204" s="6"/>
      <c r="I1204" s="1190"/>
      <c r="J1204" s="1257" t="s">
        <v>286</v>
      </c>
      <c r="K1204" s="251">
        <f>SUMIF('alb Note 11 - Cash'!$A:$A,$J1204,'alb Note 11 - Cash'!$B:$B)</f>
        <v>0</v>
      </c>
      <c r="L1204" s="266"/>
      <c r="M1204" s="10"/>
      <c r="N1204" s="273">
        <f t="shared" si="724"/>
        <v>0</v>
      </c>
      <c r="O1204" s="12"/>
      <c r="P1204" s="12"/>
      <c r="Q1204" s="12"/>
      <c r="R1204" s="12"/>
      <c r="S1204" s="6">
        <f t="shared" si="720"/>
        <v>0</v>
      </c>
      <c r="T1204" s="273">
        <f t="shared" ref="T1204:T1210" si="732">ROUND(SUM(U1204:Y1204),0)</f>
        <v>0</v>
      </c>
      <c r="U1204" s="6">
        <f t="shared" ref="U1204:U1210" si="733">SUM(BL1204:BN1204)</f>
        <v>0</v>
      </c>
      <c r="V1204" s="6"/>
      <c r="W1204" s="6">
        <f t="shared" si="729"/>
        <v>0</v>
      </c>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X1204" s="6"/>
      <c r="AY1204" s="6">
        <f>ROUND(AX1204/1000/Update!$B$31*Update!$B$27,0)</f>
        <v>0</v>
      </c>
      <c r="BA1204" s="6"/>
      <c r="BB1204" s="6">
        <f>ROUND(BA1204/1000/Update!$B$31,0)</f>
        <v>0</v>
      </c>
      <c r="BC1204" s="6"/>
      <c r="BD1204" s="29">
        <f t="shared" si="704"/>
        <v>0</v>
      </c>
      <c r="BE1204" s="322"/>
      <c r="BF1204" s="322"/>
      <c r="BG1204" s="322"/>
      <c r="BH1204" s="322"/>
      <c r="BI1204" s="322"/>
      <c r="BJ1204" s="322"/>
      <c r="BK1204" s="29">
        <f t="shared" si="727"/>
        <v>0</v>
      </c>
      <c r="BL1204" s="322"/>
      <c r="BM1204" s="322"/>
      <c r="BN1204" s="322"/>
      <c r="BO1204" s="322"/>
      <c r="BP1204" s="322"/>
      <c r="BQ1204" s="322"/>
      <c r="BR1204" s="322"/>
      <c r="BS1204" s="322"/>
      <c r="BT1204" s="322"/>
      <c r="BU1204" s="322"/>
      <c r="BV1204" s="322"/>
      <c r="BW1204" s="322"/>
      <c r="BX1204" s="322"/>
      <c r="BY1204" s="322"/>
      <c r="BZ1204" s="322"/>
      <c r="CA1204" s="322"/>
      <c r="CB1204" s="322"/>
      <c r="CC1204" s="322"/>
      <c r="CD1204" s="322"/>
      <c r="CE1204" s="322"/>
      <c r="CF1204" s="322"/>
      <c r="CG1204" s="322"/>
      <c r="CH1204" s="322"/>
      <c r="CI1204" s="322"/>
      <c r="CM1204" s="1139">
        <v>0</v>
      </c>
      <c r="CN1204" s="1139">
        <v>0</v>
      </c>
      <c r="CP1204" s="923">
        <f t="shared" si="701"/>
        <v>0</v>
      </c>
      <c r="CZ1204" s="330"/>
    </row>
    <row r="1205" spans="1:104" ht="15" customHeight="1" x14ac:dyDescent="0.25">
      <c r="A1205" s="684">
        <f>MAX($A$6:A1204)+1</f>
        <v>1205</v>
      </c>
      <c r="B1205" s="3">
        <f t="shared" si="730"/>
        <v>11</v>
      </c>
      <c r="C1205" s="11" t="str">
        <f t="shared" si="725"/>
        <v>Cash and cash equivalents</v>
      </c>
      <c r="D1205" s="11"/>
      <c r="E1205" s="7"/>
      <c r="F1205" s="7"/>
      <c r="G1205" s="26"/>
      <c r="H1205" s="6"/>
      <c r="I1205" s="1190"/>
      <c r="J1205" s="1257" t="s">
        <v>286</v>
      </c>
      <c r="K1205" s="251">
        <f>SUMIF('alb Note 11 - Cash'!$A:$A,$J1205,'alb Note 11 - Cash'!$B:$B)</f>
        <v>0</v>
      </c>
      <c r="L1205" s="266"/>
      <c r="M1205" s="10"/>
      <c r="N1205" s="273">
        <f t="shared" si="724"/>
        <v>0</v>
      </c>
      <c r="O1205" s="12"/>
      <c r="P1205" s="12"/>
      <c r="Q1205" s="12"/>
      <c r="R1205" s="12"/>
      <c r="S1205" s="6">
        <f t="shared" si="720"/>
        <v>0</v>
      </c>
      <c r="T1205" s="273">
        <f t="shared" si="732"/>
        <v>0</v>
      </c>
      <c r="U1205" s="6">
        <f t="shared" si="733"/>
        <v>0</v>
      </c>
      <c r="V1205" s="6"/>
      <c r="W1205" s="6">
        <f t="shared" si="729"/>
        <v>0</v>
      </c>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X1205" s="6"/>
      <c r="AY1205" s="6">
        <f>ROUND(AX1205/1000/Update!$B$31*Update!$B$27,0)</f>
        <v>0</v>
      </c>
      <c r="BA1205" s="6"/>
      <c r="BB1205" s="6">
        <f>ROUND(BA1205/1000/Update!$B$31,0)</f>
        <v>0</v>
      </c>
      <c r="BC1205" s="6"/>
      <c r="BD1205" s="29">
        <f t="shared" si="704"/>
        <v>0</v>
      </c>
      <c r="BE1205" s="322"/>
      <c r="BF1205" s="322"/>
      <c r="BG1205" s="322"/>
      <c r="BH1205" s="322"/>
      <c r="BI1205" s="322"/>
      <c r="BJ1205" s="322"/>
      <c r="BK1205" s="29">
        <f t="shared" si="727"/>
        <v>0</v>
      </c>
      <c r="BL1205" s="322"/>
      <c r="BM1205" s="322"/>
      <c r="BN1205" s="322"/>
      <c r="BO1205" s="322"/>
      <c r="BP1205" s="322"/>
      <c r="BQ1205" s="322"/>
      <c r="BR1205" s="322"/>
      <c r="BS1205" s="322"/>
      <c r="BT1205" s="322"/>
      <c r="BU1205" s="322"/>
      <c r="BV1205" s="322"/>
      <c r="BW1205" s="322"/>
      <c r="BX1205" s="322"/>
      <c r="BY1205" s="322"/>
      <c r="BZ1205" s="322"/>
      <c r="CA1205" s="322"/>
      <c r="CB1205" s="322"/>
      <c r="CC1205" s="322"/>
      <c r="CD1205" s="322"/>
      <c r="CE1205" s="322"/>
      <c r="CF1205" s="322"/>
      <c r="CG1205" s="322"/>
      <c r="CH1205" s="322"/>
      <c r="CI1205" s="322"/>
      <c r="CM1205" s="1139">
        <v>0</v>
      </c>
      <c r="CN1205" s="1139">
        <v>0</v>
      </c>
      <c r="CP1205" s="923">
        <f t="shared" si="701"/>
        <v>0</v>
      </c>
      <c r="CZ1205" s="330"/>
    </row>
    <row r="1206" spans="1:104" ht="30" customHeight="1" x14ac:dyDescent="0.25">
      <c r="A1206" s="684">
        <f>MAX($A$6:A1205)+1</f>
        <v>1206</v>
      </c>
      <c r="B1206" s="3">
        <f t="shared" si="730"/>
        <v>11</v>
      </c>
      <c r="C1206" s="11" t="str">
        <f t="shared" si="725"/>
        <v>Cash and cash equivalents</v>
      </c>
      <c r="D1206" s="11"/>
      <c r="E1206" s="13" t="s">
        <v>228</v>
      </c>
      <c r="F1206" s="13"/>
      <c r="G1206" s="26"/>
      <c r="H1206" s="6"/>
      <c r="I1206" s="1190"/>
      <c r="J1206" s="1257" t="s">
        <v>286</v>
      </c>
      <c r="K1206" s="251">
        <f>SUMIF('alb Note 11 - Cash'!$A:$A,$J1206,'alb Note 11 - Cash'!$B:$B)</f>
        <v>0</v>
      </c>
      <c r="L1206" s="266"/>
      <c r="M1206" s="10"/>
      <c r="N1206" s="273">
        <f t="shared" si="724"/>
        <v>0</v>
      </c>
      <c r="O1206" s="12"/>
      <c r="P1206" s="12"/>
      <c r="Q1206" s="12"/>
      <c r="R1206" s="12"/>
      <c r="S1206" s="6">
        <f t="shared" si="720"/>
        <v>0</v>
      </c>
      <c r="T1206" s="273">
        <f t="shared" si="732"/>
        <v>0</v>
      </c>
      <c r="U1206" s="6">
        <f t="shared" si="733"/>
        <v>0</v>
      </c>
      <c r="V1206" s="6"/>
      <c r="W1206" s="6">
        <f t="shared" si="729"/>
        <v>0</v>
      </c>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X1206" s="6"/>
      <c r="AY1206" s="6">
        <f>ROUND(AX1206/1000/Update!$B$31*Update!$B$27,0)</f>
        <v>0</v>
      </c>
      <c r="BA1206" s="6"/>
      <c r="BB1206" s="6">
        <f>ROUND(BA1206/1000/Update!$B$31,0)</f>
        <v>0</v>
      </c>
      <c r="BC1206" s="6"/>
      <c r="BD1206" s="29">
        <f t="shared" si="704"/>
        <v>0</v>
      </c>
      <c r="BE1206" s="322"/>
      <c r="BF1206" s="322"/>
      <c r="BG1206" s="322"/>
      <c r="BH1206" s="322"/>
      <c r="BI1206" s="322"/>
      <c r="BJ1206" s="322"/>
      <c r="BK1206" s="29">
        <f t="shared" si="727"/>
        <v>0</v>
      </c>
      <c r="BL1206" s="322"/>
      <c r="BM1206" s="322"/>
      <c r="BN1206" s="322"/>
      <c r="BO1206" s="322"/>
      <c r="BP1206" s="322"/>
      <c r="BQ1206" s="322"/>
      <c r="BR1206" s="322"/>
      <c r="BS1206" s="322"/>
      <c r="BT1206" s="322"/>
      <c r="BU1206" s="322"/>
      <c r="BV1206" s="322"/>
      <c r="BW1206" s="322"/>
      <c r="BX1206" s="322"/>
      <c r="BY1206" s="322"/>
      <c r="BZ1206" s="322"/>
      <c r="CA1206" s="322"/>
      <c r="CB1206" s="322"/>
      <c r="CC1206" s="322"/>
      <c r="CD1206" s="322"/>
      <c r="CE1206" s="322"/>
      <c r="CF1206" s="322"/>
      <c r="CG1206" s="322"/>
      <c r="CH1206" s="322"/>
      <c r="CI1206" s="322"/>
      <c r="CM1206" s="1139">
        <v>0</v>
      </c>
      <c r="CN1206" s="1139">
        <v>0</v>
      </c>
      <c r="CP1206" s="923">
        <f t="shared" si="701"/>
        <v>0</v>
      </c>
      <c r="CZ1206" s="330"/>
    </row>
    <row r="1207" spans="1:104" ht="15" customHeight="1" x14ac:dyDescent="0.25">
      <c r="A1207" s="684">
        <f>MAX($A$6:A1206)+1</f>
        <v>1207</v>
      </c>
      <c r="B1207" s="3">
        <f t="shared" si="730"/>
        <v>11</v>
      </c>
      <c r="C1207" s="11" t="str">
        <f t="shared" si="725"/>
        <v>Cash and cash equivalents</v>
      </c>
      <c r="D1207" s="11"/>
      <c r="E1207" s="7" t="s">
        <v>2050</v>
      </c>
      <c r="F1207" s="7"/>
      <c r="G1207" s="1254" t="s">
        <v>2050</v>
      </c>
      <c r="H1207" s="6">
        <v>0</v>
      </c>
      <c r="I1207" s="1190"/>
      <c r="J1207" s="1257" t="s">
        <v>286</v>
      </c>
      <c r="K1207" s="251">
        <f>SUMIF('alb Note 11 - Cash'!$A:$A,$J1207,'alb Note 11 - Cash'!$B:$B)</f>
        <v>0</v>
      </c>
      <c r="L1207" s="266"/>
      <c r="M1207" s="10"/>
      <c r="N1207" s="273">
        <f t="shared" si="724"/>
        <v>0</v>
      </c>
      <c r="O1207" s="12"/>
      <c r="P1207" s="12"/>
      <c r="Q1207" s="12"/>
      <c r="R1207" s="12"/>
      <c r="S1207" s="6">
        <f t="shared" si="720"/>
        <v>0</v>
      </c>
      <c r="T1207" s="273">
        <f t="shared" si="732"/>
        <v>0</v>
      </c>
      <c r="U1207" s="6">
        <f t="shared" si="733"/>
        <v>0</v>
      </c>
      <c r="V1207" s="6"/>
      <c r="W1207" s="6">
        <f t="shared" si="729"/>
        <v>0</v>
      </c>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X1207" s="6"/>
      <c r="AY1207" s="6">
        <f>ROUND(AX1207/1000/Update!$B$31*Update!$B$27,0)</f>
        <v>0</v>
      </c>
      <c r="BA1207" s="6"/>
      <c r="BB1207" s="6">
        <f>ROUND(BA1207/1000/Update!$B$31,0)</f>
        <v>0</v>
      </c>
      <c r="BC1207" s="6"/>
      <c r="BD1207" s="29">
        <f t="shared" si="704"/>
        <v>0</v>
      </c>
      <c r="BE1207" s="322"/>
      <c r="BF1207" s="322"/>
      <c r="BG1207" s="322"/>
      <c r="BH1207" s="322"/>
      <c r="BI1207" s="322"/>
      <c r="BJ1207" s="322"/>
      <c r="BK1207" s="29">
        <f t="shared" si="727"/>
        <v>0</v>
      </c>
      <c r="BL1207" s="322"/>
      <c r="BM1207" s="322"/>
      <c r="BN1207" s="322"/>
      <c r="BO1207" s="322"/>
      <c r="BP1207" s="322"/>
      <c r="BQ1207" s="322"/>
      <c r="BR1207" s="322"/>
      <c r="BS1207" s="322"/>
      <c r="BT1207" s="322"/>
      <c r="BU1207" s="322"/>
      <c r="BV1207" s="322"/>
      <c r="BW1207" s="322"/>
      <c r="BX1207" s="322"/>
      <c r="BY1207" s="322"/>
      <c r="BZ1207" s="322"/>
      <c r="CA1207" s="322"/>
      <c r="CB1207" s="322"/>
      <c r="CC1207" s="322"/>
      <c r="CD1207" s="322"/>
      <c r="CE1207" s="322"/>
      <c r="CF1207" s="322"/>
      <c r="CG1207" s="322"/>
      <c r="CH1207" s="322"/>
      <c r="CI1207" s="322"/>
      <c r="CM1207" s="1139">
        <v>0</v>
      </c>
      <c r="CN1207" s="1139">
        <v>0</v>
      </c>
      <c r="CP1207" s="923">
        <f t="shared" si="701"/>
        <v>0</v>
      </c>
      <c r="CZ1207" s="330"/>
    </row>
    <row r="1208" spans="1:104" ht="25.5" customHeight="1" x14ac:dyDescent="0.25">
      <c r="A1208" s="684">
        <f>MAX($A$6:A1207)+1</f>
        <v>1208</v>
      </c>
      <c r="B1208" s="3">
        <f t="shared" si="730"/>
        <v>11</v>
      </c>
      <c r="C1208" s="11" t="str">
        <f t="shared" si="725"/>
        <v>Cash and cash equivalents</v>
      </c>
      <c r="D1208" s="11"/>
      <c r="E1208" s="7" t="s">
        <v>226</v>
      </c>
      <c r="F1208" s="7"/>
      <c r="G1208" s="1254" t="s">
        <v>226</v>
      </c>
      <c r="H1208" s="6">
        <v>0</v>
      </c>
      <c r="I1208" s="1190"/>
      <c r="J1208" s="1257" t="s">
        <v>226</v>
      </c>
      <c r="K1208" s="251">
        <f>SUMIF('alb Note 11 - Cash'!$A:$A,$J1208,'alb Note 11 - Cash'!$B:$B)</f>
        <v>0</v>
      </c>
      <c r="L1208" s="266"/>
      <c r="M1208" s="10"/>
      <c r="N1208" s="273">
        <f t="shared" si="724"/>
        <v>0</v>
      </c>
      <c r="O1208" s="12"/>
      <c r="P1208" s="12"/>
      <c r="Q1208" s="12"/>
      <c r="R1208" s="12"/>
      <c r="S1208" s="6">
        <f t="shared" si="720"/>
        <v>0</v>
      </c>
      <c r="T1208" s="273">
        <f t="shared" si="732"/>
        <v>0</v>
      </c>
      <c r="U1208" s="6">
        <f t="shared" si="733"/>
        <v>0</v>
      </c>
      <c r="V1208" s="6"/>
      <c r="W1208" s="6">
        <f t="shared" si="729"/>
        <v>0</v>
      </c>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X1208" s="6"/>
      <c r="AY1208" s="6">
        <f>ROUND(AX1208/1000/Update!$B$31*Update!$B$27,0)</f>
        <v>0</v>
      </c>
      <c r="BA1208" s="6"/>
      <c r="BB1208" s="6">
        <f>ROUND(BA1208/1000/Update!$B$31,0)</f>
        <v>0</v>
      </c>
      <c r="BC1208" s="6"/>
      <c r="BD1208" s="29">
        <f t="shared" si="704"/>
        <v>0</v>
      </c>
      <c r="BE1208" s="322"/>
      <c r="BF1208" s="322"/>
      <c r="BG1208" s="322"/>
      <c r="BH1208" s="322"/>
      <c r="BI1208" s="322"/>
      <c r="BJ1208" s="322"/>
      <c r="BK1208" s="29">
        <f t="shared" si="727"/>
        <v>0</v>
      </c>
      <c r="BL1208" s="322"/>
      <c r="BM1208" s="322"/>
      <c r="BN1208" s="322"/>
      <c r="BO1208" s="322"/>
      <c r="BP1208" s="322"/>
      <c r="BQ1208" s="322"/>
      <c r="BR1208" s="322"/>
      <c r="BS1208" s="322"/>
      <c r="BT1208" s="322"/>
      <c r="BU1208" s="322"/>
      <c r="BV1208" s="322"/>
      <c r="BW1208" s="322"/>
      <c r="BX1208" s="322"/>
      <c r="BY1208" s="322"/>
      <c r="BZ1208" s="322"/>
      <c r="CA1208" s="322"/>
      <c r="CB1208" s="322"/>
      <c r="CC1208" s="322"/>
      <c r="CD1208" s="322"/>
      <c r="CE1208" s="322"/>
      <c r="CF1208" s="322"/>
      <c r="CG1208" s="322"/>
      <c r="CH1208" s="322"/>
      <c r="CI1208" s="322"/>
      <c r="CM1208" s="1139">
        <v>0</v>
      </c>
      <c r="CN1208" s="1139">
        <v>0</v>
      </c>
      <c r="CP1208" s="923">
        <f t="shared" si="701"/>
        <v>0</v>
      </c>
      <c r="CZ1208" s="330"/>
    </row>
    <row r="1209" spans="1:104" ht="25.5" customHeight="1" x14ac:dyDescent="0.25">
      <c r="A1209" s="684">
        <f>MAX($A$6:A1208)+1</f>
        <v>1209</v>
      </c>
      <c r="B1209" s="3">
        <f t="shared" si="730"/>
        <v>11</v>
      </c>
      <c r="C1209" s="11" t="str">
        <f t="shared" si="725"/>
        <v>Cash and cash equivalents</v>
      </c>
      <c r="D1209" s="11"/>
      <c r="E1209" s="34" t="s">
        <v>2535</v>
      </c>
      <c r="F1209" s="7"/>
      <c r="G1209" s="1254" t="s">
        <v>286</v>
      </c>
      <c r="H1209" s="6">
        <v>0</v>
      </c>
      <c r="I1209" s="1190"/>
      <c r="J1209" s="1254" t="s">
        <v>2535</v>
      </c>
      <c r="K1209" s="251">
        <f>SUMIF('alb Note 11 - Cash'!$A:$A,$J1209,'alb Note 11 - Cash'!$B:$B)</f>
        <v>0</v>
      </c>
      <c r="L1209" s="266"/>
      <c r="M1209" s="10"/>
      <c r="N1209" s="273">
        <f t="shared" si="724"/>
        <v>0</v>
      </c>
      <c r="O1209" s="12"/>
      <c r="P1209" s="12"/>
      <c r="Q1209" s="12"/>
      <c r="R1209" s="12"/>
      <c r="S1209" s="6">
        <f t="shared" si="720"/>
        <v>0</v>
      </c>
      <c r="T1209" s="273">
        <f t="shared" si="732"/>
        <v>0</v>
      </c>
      <c r="U1209" s="6">
        <f t="shared" si="733"/>
        <v>0</v>
      </c>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X1209" s="6"/>
      <c r="AY1209" s="6"/>
      <c r="BA1209" s="6"/>
      <c r="BB1209" s="6"/>
      <c r="BC1209" s="6"/>
      <c r="BD1209" s="29">
        <f t="shared" si="704"/>
        <v>0</v>
      </c>
      <c r="BE1209" s="322"/>
      <c r="BF1209" s="322"/>
      <c r="BG1209" s="322"/>
      <c r="BH1209" s="322"/>
      <c r="BI1209" s="322"/>
      <c r="BJ1209" s="322"/>
      <c r="BK1209" s="29">
        <f t="shared" si="727"/>
        <v>0</v>
      </c>
      <c r="BL1209" s="322"/>
      <c r="BM1209" s="322"/>
      <c r="BN1209" s="322"/>
      <c r="BO1209" s="322"/>
      <c r="BP1209" s="322"/>
      <c r="BQ1209" s="322"/>
      <c r="BR1209" s="322"/>
      <c r="BS1209" s="322"/>
      <c r="BT1209" s="322"/>
      <c r="BU1209" s="322"/>
      <c r="BV1209" s="322"/>
      <c r="BW1209" s="322"/>
      <c r="BX1209" s="322"/>
      <c r="BY1209" s="322"/>
      <c r="BZ1209" s="322"/>
      <c r="CA1209" s="322"/>
      <c r="CB1209" s="322"/>
      <c r="CC1209" s="322"/>
      <c r="CD1209" s="322"/>
      <c r="CE1209" s="322"/>
      <c r="CF1209" s="322"/>
      <c r="CG1209" s="322"/>
      <c r="CH1209" s="322"/>
      <c r="CI1209" s="322"/>
      <c r="CM1209" s="1139">
        <v>0</v>
      </c>
      <c r="CN1209" s="1139">
        <v>0</v>
      </c>
      <c r="CP1209" s="923">
        <f t="shared" si="701"/>
        <v>0</v>
      </c>
      <c r="CZ1209" s="330"/>
    </row>
    <row r="1210" spans="1:104" ht="15" customHeight="1" x14ac:dyDescent="0.25">
      <c r="A1210" s="684">
        <f>MAX($A$6:A1209)+1</f>
        <v>1210</v>
      </c>
      <c r="B1210" s="3">
        <f>B1208</f>
        <v>11</v>
      </c>
      <c r="C1210" s="11" t="str">
        <f>C1208</f>
        <v>Cash and cash equivalents</v>
      </c>
      <c r="D1210" s="11"/>
      <c r="E1210" s="7" t="s">
        <v>227</v>
      </c>
      <c r="F1210" s="7"/>
      <c r="G1210" s="1254" t="s">
        <v>227</v>
      </c>
      <c r="H1210" s="6">
        <v>0</v>
      </c>
      <c r="I1210" s="1190"/>
      <c r="J1210" s="1257" t="s">
        <v>227</v>
      </c>
      <c r="K1210" s="251">
        <f>SUMIF('alb Note 11 - Cash'!$A:$A,$J1210,'alb Note 11 - Cash'!$B:$B)</f>
        <v>0</v>
      </c>
      <c r="L1210" s="266"/>
      <c r="M1210" s="10"/>
      <c r="N1210" s="273">
        <f t="shared" si="724"/>
        <v>0</v>
      </c>
      <c r="O1210" s="12"/>
      <c r="P1210" s="12"/>
      <c r="Q1210" s="12"/>
      <c r="R1210" s="12"/>
      <c r="S1210" s="6">
        <f t="shared" si="720"/>
        <v>0</v>
      </c>
      <c r="T1210" s="273">
        <f t="shared" si="732"/>
        <v>0</v>
      </c>
      <c r="U1210" s="6">
        <f t="shared" si="733"/>
        <v>0</v>
      </c>
      <c r="V1210" s="6"/>
      <c r="W1210" s="6">
        <f t="shared" si="729"/>
        <v>0</v>
      </c>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X1210" s="6"/>
      <c r="AY1210" s="6">
        <f>ROUND(AX1210/1000/Update!$B$31*Update!$B$27,0)</f>
        <v>0</v>
      </c>
      <c r="BA1210" s="6"/>
      <c r="BB1210" s="6">
        <f>ROUND(BA1210/1000/Update!$B$31,0)</f>
        <v>0</v>
      </c>
      <c r="BC1210" s="6"/>
      <c r="BD1210" s="29">
        <f t="shared" si="704"/>
        <v>0</v>
      </c>
      <c r="BE1210" s="322"/>
      <c r="BF1210" s="322"/>
      <c r="BG1210" s="322"/>
      <c r="BH1210" s="322"/>
      <c r="BI1210" s="322"/>
      <c r="BJ1210" s="322"/>
      <c r="BK1210" s="29">
        <f t="shared" si="727"/>
        <v>0</v>
      </c>
      <c r="BL1210" s="322"/>
      <c r="BM1210" s="322"/>
      <c r="BN1210" s="322"/>
      <c r="BO1210" s="322"/>
      <c r="BP1210" s="322"/>
      <c r="BQ1210" s="322"/>
      <c r="BR1210" s="322"/>
      <c r="BS1210" s="322"/>
      <c r="BT1210" s="322"/>
      <c r="BU1210" s="322"/>
      <c r="BV1210" s="322"/>
      <c r="BW1210" s="322"/>
      <c r="BX1210" s="322"/>
      <c r="BY1210" s="322"/>
      <c r="BZ1210" s="322"/>
      <c r="CA1210" s="322"/>
      <c r="CB1210" s="322"/>
      <c r="CC1210" s="322"/>
      <c r="CD1210" s="322"/>
      <c r="CE1210" s="322"/>
      <c r="CF1210" s="322"/>
      <c r="CG1210" s="322"/>
      <c r="CH1210" s="322"/>
      <c r="CI1210" s="322"/>
      <c r="CM1210" s="1139">
        <v>0</v>
      </c>
      <c r="CN1210" s="1139">
        <v>0</v>
      </c>
      <c r="CP1210" s="923">
        <f t="shared" si="701"/>
        <v>0</v>
      </c>
      <c r="CZ1210" s="330"/>
    </row>
    <row r="1211" spans="1:104" ht="15" customHeight="1" x14ac:dyDescent="0.25">
      <c r="A1211" s="701">
        <f>MAX($A$6:A1210)+1</f>
        <v>1211</v>
      </c>
      <c r="B1211" s="1291">
        <f t="shared" si="730"/>
        <v>11</v>
      </c>
      <c r="C1211" s="18" t="str">
        <f t="shared" si="725"/>
        <v>Cash and cash equivalents</v>
      </c>
      <c r="D1211" s="18"/>
      <c r="E1211" s="19" t="s">
        <v>220</v>
      </c>
      <c r="F1211" s="19"/>
      <c r="G1211" s="28"/>
      <c r="H1211" s="14">
        <f>SUM(H1205:H1210)</f>
        <v>0</v>
      </c>
      <c r="I1211" s="14"/>
      <c r="J1211" s="1258" t="s">
        <v>286</v>
      </c>
      <c r="K1211" s="256">
        <f>SUM(K1205:K1210)</f>
        <v>0</v>
      </c>
      <c r="L1211" s="256">
        <f>SUM(L1205:L1210)</f>
        <v>0</v>
      </c>
      <c r="M1211" s="21"/>
      <c r="N1211" s="14">
        <f t="shared" si="724"/>
        <v>0</v>
      </c>
      <c r="O1211" s="14">
        <f t="shared" ref="O1211:V1211" si="734">SUM(O1205:O1210)</f>
        <v>0</v>
      </c>
      <c r="P1211" s="14">
        <f t="shared" si="734"/>
        <v>0</v>
      </c>
      <c r="Q1211" s="14">
        <f t="shared" si="734"/>
        <v>0</v>
      </c>
      <c r="R1211" s="14">
        <f t="shared" si="734"/>
        <v>0</v>
      </c>
      <c r="S1211" s="14">
        <f t="shared" si="720"/>
        <v>0</v>
      </c>
      <c r="T1211" s="14">
        <f t="shared" si="734"/>
        <v>0</v>
      </c>
      <c r="U1211" s="14">
        <f>SUM(U1205:U1210)</f>
        <v>0</v>
      </c>
      <c r="V1211" s="14">
        <f t="shared" si="734"/>
        <v>0</v>
      </c>
      <c r="W1211" s="14">
        <f>SUM(W1205:W1210)</f>
        <v>0</v>
      </c>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2"/>
      <c r="AX1211" s="14">
        <f>SUM(AX1205:AX1210)</f>
        <v>0</v>
      </c>
      <c r="AY1211" s="14">
        <f>ROUND(AX1211/1000/Update!$B$31*Update!$B$27,0)</f>
        <v>0</v>
      </c>
      <c r="AZ1211" s="2"/>
      <c r="BA1211" s="14">
        <f>SUM(BA1205:BA1210)</f>
        <v>0</v>
      </c>
      <c r="BB1211" s="14">
        <f>ROUND(BA1211/1000/Update!$B$31,0)</f>
        <v>0</v>
      </c>
      <c r="BC1211" s="14"/>
      <c r="BD1211" s="14">
        <f t="shared" si="704"/>
        <v>0</v>
      </c>
      <c r="BE1211" s="326"/>
      <c r="BF1211" s="326"/>
      <c r="BG1211" s="326"/>
      <c r="BH1211" s="326"/>
      <c r="BI1211" s="326"/>
      <c r="BJ1211" s="326"/>
      <c r="BK1211" s="14">
        <f t="shared" si="727"/>
        <v>0</v>
      </c>
      <c r="BL1211" s="326"/>
      <c r="BM1211" s="326"/>
      <c r="BN1211" s="326"/>
      <c r="BO1211" s="326"/>
      <c r="BP1211" s="326"/>
      <c r="BQ1211" s="326"/>
      <c r="BR1211" s="326"/>
      <c r="BS1211" s="326"/>
      <c r="BT1211" s="326"/>
      <c r="BU1211" s="326"/>
      <c r="BV1211" s="326"/>
      <c r="BW1211" s="326"/>
      <c r="BX1211" s="326"/>
      <c r="BY1211" s="326"/>
      <c r="BZ1211" s="326"/>
      <c r="CA1211" s="326"/>
      <c r="CB1211" s="326"/>
      <c r="CC1211" s="326"/>
      <c r="CD1211" s="326"/>
      <c r="CE1211" s="326"/>
      <c r="CF1211" s="326"/>
      <c r="CG1211" s="326"/>
      <c r="CH1211" s="326"/>
      <c r="CI1211" s="326"/>
      <c r="CJ1211" s="2"/>
      <c r="CK1211" s="2"/>
      <c r="CM1211" s="1498">
        <v>0</v>
      </c>
      <c r="CN1211" s="1498">
        <v>0</v>
      </c>
      <c r="CP1211" s="923">
        <f t="shared" si="701"/>
        <v>0</v>
      </c>
      <c r="CZ1211" s="330"/>
    </row>
    <row r="1212" spans="1:104" ht="15" customHeight="1" x14ac:dyDescent="0.25">
      <c r="A1212" s="684">
        <f>MAX($A$6:A1211)+1</f>
        <v>1212</v>
      </c>
      <c r="B1212" s="3">
        <f t="shared" si="730"/>
        <v>11</v>
      </c>
      <c r="C1212" s="11" t="str">
        <f t="shared" si="725"/>
        <v>Cash and cash equivalents</v>
      </c>
      <c r="D1212" s="11"/>
      <c r="E1212" s="7"/>
      <c r="F1212" s="7"/>
      <c r="G1212" s="26"/>
      <c r="H1212" s="293">
        <f>H1211-H1203</f>
        <v>0</v>
      </c>
      <c r="J1212" s="1257" t="s">
        <v>286</v>
      </c>
      <c r="K1212" s="294">
        <f>K1211-K1203</f>
        <v>0</v>
      </c>
      <c r="L1212" s="294">
        <f>L1211-L1203</f>
        <v>0</v>
      </c>
      <c r="M1212" s="10"/>
      <c r="N1212" s="273">
        <f t="shared" si="724"/>
        <v>0</v>
      </c>
      <c r="O1212" s="12"/>
      <c r="P1212" s="12"/>
      <c r="Q1212" s="12"/>
      <c r="R1212" s="12"/>
      <c r="S1212" s="6">
        <f t="shared" si="720"/>
        <v>0</v>
      </c>
      <c r="T1212" s="273">
        <f t="shared" ref="T1212:T1246" si="735">ROUND(SUM(U1212:Y1212),0)</f>
        <v>0</v>
      </c>
      <c r="U1212" s="6">
        <f>SUM(BL1212:BN1212)</f>
        <v>0</v>
      </c>
      <c r="V1212" s="6"/>
      <c r="W1212" s="6">
        <f t="shared" si="729"/>
        <v>0</v>
      </c>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X1212" s="6"/>
      <c r="AY1212" s="6">
        <f>ROUND(AX1212/1000/Update!$B$31*Update!$B$27,0)</f>
        <v>0</v>
      </c>
      <c r="BA1212" s="6"/>
      <c r="BB1212" s="6">
        <f>ROUND(BA1212/1000/Update!$B$31,0)</f>
        <v>0</v>
      </c>
      <c r="BC1212" s="6"/>
      <c r="BD1212" s="29">
        <f t="shared" si="704"/>
        <v>0</v>
      </c>
      <c r="BE1212" s="322"/>
      <c r="BF1212" s="322"/>
      <c r="BG1212" s="322"/>
      <c r="BH1212" s="322"/>
      <c r="BI1212" s="322"/>
      <c r="BJ1212" s="322"/>
      <c r="BK1212" s="29">
        <f t="shared" si="727"/>
        <v>0</v>
      </c>
      <c r="BL1212" s="322"/>
      <c r="BM1212" s="322"/>
      <c r="BN1212" s="322"/>
      <c r="BO1212" s="322"/>
      <c r="BP1212" s="322"/>
      <c r="BQ1212" s="322"/>
      <c r="BR1212" s="322"/>
      <c r="BS1212" s="322"/>
      <c r="BT1212" s="322"/>
      <c r="BU1212" s="322"/>
      <c r="BV1212" s="322"/>
      <c r="BW1212" s="322"/>
      <c r="BX1212" s="322"/>
      <c r="BY1212" s="322"/>
      <c r="BZ1212" s="322"/>
      <c r="CA1212" s="322"/>
      <c r="CB1212" s="322"/>
      <c r="CC1212" s="322"/>
      <c r="CD1212" s="322"/>
      <c r="CE1212" s="322"/>
      <c r="CF1212" s="322"/>
      <c r="CG1212" s="322"/>
      <c r="CH1212" s="322"/>
      <c r="CI1212" s="322"/>
      <c r="CM1212" s="1139">
        <v>0</v>
      </c>
      <c r="CN1212" s="1139">
        <v>0</v>
      </c>
      <c r="CP1212" s="923">
        <f t="shared" si="701"/>
        <v>0</v>
      </c>
      <c r="CZ1212" s="330"/>
    </row>
    <row r="1213" spans="1:104" ht="60" customHeight="1" x14ac:dyDescent="0.25">
      <c r="A1213" s="684">
        <f>MAX($A$6:A1212)+1</f>
        <v>1213</v>
      </c>
      <c r="B1213" s="3">
        <f t="shared" si="730"/>
        <v>11</v>
      </c>
      <c r="C1213" s="11" t="str">
        <f t="shared" si="725"/>
        <v>Cash and cash equivalents</v>
      </c>
      <c r="D1213" s="11"/>
      <c r="E1213" s="7" t="s">
        <v>2465</v>
      </c>
      <c r="F1213" s="7"/>
      <c r="G1213" s="1254" t="s">
        <v>805</v>
      </c>
      <c r="H1213" s="295"/>
      <c r="J1213" s="965" t="s">
        <v>733</v>
      </c>
      <c r="K1213" s="280">
        <v>0</v>
      </c>
      <c r="L1213" s="1185">
        <v>0</v>
      </c>
      <c r="M1213" s="10" t="s">
        <v>176</v>
      </c>
      <c r="N1213" s="273">
        <f t="shared" si="724"/>
        <v>0</v>
      </c>
      <c r="O1213" s="12"/>
      <c r="P1213" s="12"/>
      <c r="Q1213" s="12"/>
      <c r="R1213" s="12"/>
      <c r="S1213" s="6">
        <f t="shared" si="720"/>
        <v>0</v>
      </c>
      <c r="T1213" s="273">
        <f t="shared" si="735"/>
        <v>0</v>
      </c>
      <c r="U1213" s="6">
        <f>SUM(BL1213:BN1213)</f>
        <v>0</v>
      </c>
      <c r="V1213" s="6"/>
      <c r="W1213" s="6">
        <f t="shared" si="729"/>
        <v>0</v>
      </c>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X1213" s="6"/>
      <c r="AY1213" s="6">
        <f>ROUND(AX1213/1000/Update!$B$31*Update!$B$27,0)</f>
        <v>0</v>
      </c>
      <c r="BA1213" s="6"/>
      <c r="BB1213" s="6">
        <f>ROUND(BA1213/1000/Update!$B$31,0)</f>
        <v>0</v>
      </c>
      <c r="BC1213" s="6"/>
      <c r="BD1213" s="29">
        <f t="shared" si="704"/>
        <v>0</v>
      </c>
      <c r="BE1213" s="322"/>
      <c r="BF1213" s="322"/>
      <c r="BG1213" s="322"/>
      <c r="BH1213" s="322"/>
      <c r="BI1213" s="322"/>
      <c r="BJ1213" s="322"/>
      <c r="BK1213" s="29">
        <f t="shared" si="727"/>
        <v>0</v>
      </c>
      <c r="BL1213" s="322"/>
      <c r="BM1213" s="322"/>
      <c r="BN1213" s="322"/>
      <c r="BO1213" s="322"/>
      <c r="BP1213" s="322"/>
      <c r="BQ1213" s="322"/>
      <c r="BR1213" s="322"/>
      <c r="BS1213" s="322"/>
      <c r="BT1213" s="322"/>
      <c r="BU1213" s="322"/>
      <c r="BV1213" s="322"/>
      <c r="BW1213" s="322"/>
      <c r="BX1213" s="322"/>
      <c r="BY1213" s="322"/>
      <c r="BZ1213" s="322"/>
      <c r="CA1213" s="322"/>
      <c r="CB1213" s="322"/>
      <c r="CC1213" s="322"/>
      <c r="CD1213" s="322"/>
      <c r="CE1213" s="322"/>
      <c r="CF1213" s="322"/>
      <c r="CG1213" s="322"/>
      <c r="CH1213" s="322"/>
      <c r="CI1213" s="322"/>
      <c r="CM1213" s="1139">
        <v>0</v>
      </c>
      <c r="CN1213" s="1139">
        <v>0</v>
      </c>
      <c r="CP1213" s="923">
        <f t="shared" si="701"/>
        <v>0</v>
      </c>
      <c r="CZ1213" s="330"/>
    </row>
    <row r="1214" spans="1:104" ht="15" customHeight="1" x14ac:dyDescent="0.25">
      <c r="A1214" s="684">
        <f>MAX($A$6:A1213)+1</f>
        <v>1214</v>
      </c>
      <c r="B1214" s="3">
        <f t="shared" si="730"/>
        <v>11</v>
      </c>
      <c r="C1214" s="11" t="str">
        <f t="shared" si="725"/>
        <v>Cash and cash equivalents</v>
      </c>
      <c r="D1214" s="11"/>
      <c r="E1214" s="7"/>
      <c r="F1214" s="7"/>
      <c r="G1214" s="1257" t="s">
        <v>286</v>
      </c>
      <c r="H1214" s="6"/>
      <c r="I1214" s="1190"/>
      <c r="J1214" s="1257" t="s">
        <v>286</v>
      </c>
      <c r="K1214" s="266"/>
      <c r="L1214" s="266"/>
      <c r="M1214" s="10"/>
      <c r="N1214" s="273">
        <f t="shared" si="724"/>
        <v>0</v>
      </c>
      <c r="O1214" s="12"/>
      <c r="P1214" s="12"/>
      <c r="Q1214" s="12"/>
      <c r="R1214" s="12"/>
      <c r="S1214" s="6">
        <f t="shared" si="720"/>
        <v>0</v>
      </c>
      <c r="T1214" s="273">
        <f t="shared" si="735"/>
        <v>0</v>
      </c>
      <c r="U1214" s="6">
        <f>SUM(BL1214:BN1214)</f>
        <v>0</v>
      </c>
      <c r="V1214" s="6"/>
      <c r="W1214" s="6">
        <f t="shared" si="729"/>
        <v>0</v>
      </c>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X1214" s="6"/>
      <c r="AY1214" s="6">
        <f>ROUND(AX1214/1000/Update!$B$31*Update!$B$27,0)</f>
        <v>0</v>
      </c>
      <c r="BA1214" s="6"/>
      <c r="BB1214" s="6">
        <f>ROUND(BA1214/1000/Update!$B$31,0)</f>
        <v>0</v>
      </c>
      <c r="BC1214" s="6"/>
      <c r="BD1214" s="29">
        <f t="shared" si="704"/>
        <v>0</v>
      </c>
      <c r="BE1214" s="322"/>
      <c r="BF1214" s="322"/>
      <c r="BG1214" s="322"/>
      <c r="BH1214" s="322"/>
      <c r="BI1214" s="322"/>
      <c r="BJ1214" s="322"/>
      <c r="BK1214" s="29">
        <f t="shared" si="727"/>
        <v>0</v>
      </c>
      <c r="BL1214" s="322"/>
      <c r="BM1214" s="322"/>
      <c r="BN1214" s="322"/>
      <c r="BO1214" s="322"/>
      <c r="BP1214" s="322"/>
      <c r="BQ1214" s="322"/>
      <c r="BR1214" s="322"/>
      <c r="BS1214" s="322"/>
      <c r="BT1214" s="322"/>
      <c r="BU1214" s="322"/>
      <c r="BV1214" s="322"/>
      <c r="BW1214" s="322"/>
      <c r="BX1214" s="322"/>
      <c r="BY1214" s="322"/>
      <c r="BZ1214" s="322"/>
      <c r="CA1214" s="322"/>
      <c r="CB1214" s="322"/>
      <c r="CC1214" s="322"/>
      <c r="CD1214" s="322"/>
      <c r="CE1214" s="322"/>
      <c r="CF1214" s="322"/>
      <c r="CG1214" s="322"/>
      <c r="CH1214" s="322"/>
      <c r="CI1214" s="322"/>
      <c r="CM1214" s="1139">
        <v>0</v>
      </c>
      <c r="CN1214" s="1139">
        <v>0</v>
      </c>
      <c r="CP1214" s="923">
        <f t="shared" si="701"/>
        <v>0</v>
      </c>
      <c r="CZ1214" s="330"/>
    </row>
    <row r="1215" spans="1:104" ht="15" customHeight="1" x14ac:dyDescent="0.25">
      <c r="A1215" s="684">
        <f>MAX($A$6:A1214)+1</f>
        <v>1215</v>
      </c>
      <c r="B1215" s="3">
        <f t="shared" si="730"/>
        <v>11</v>
      </c>
      <c r="C1215" s="11" t="str">
        <f t="shared" si="725"/>
        <v>Cash and cash equivalents</v>
      </c>
      <c r="D1215" s="11"/>
      <c r="E1215" s="7"/>
      <c r="F1215" s="7"/>
      <c r="G1215" s="1257" t="s">
        <v>286</v>
      </c>
      <c r="H1215" s="6"/>
      <c r="I1215" s="1190"/>
      <c r="J1215" s="1257" t="s">
        <v>286</v>
      </c>
      <c r="K1215" s="266"/>
      <c r="L1215" s="266"/>
      <c r="M1215" s="10"/>
      <c r="N1215" s="273">
        <f t="shared" si="724"/>
        <v>0</v>
      </c>
      <c r="O1215" s="12"/>
      <c r="P1215" s="12"/>
      <c r="Q1215" s="12"/>
      <c r="R1215" s="12"/>
      <c r="S1215" s="6">
        <f t="shared" si="720"/>
        <v>0</v>
      </c>
      <c r="T1215" s="273">
        <f t="shared" si="735"/>
        <v>0</v>
      </c>
      <c r="U1215" s="6">
        <f>SUM(BL1215:BN1215)</f>
        <v>0</v>
      </c>
      <c r="V1215" s="6"/>
      <c r="W1215" s="6">
        <f t="shared" si="729"/>
        <v>0</v>
      </c>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X1215" s="6"/>
      <c r="AY1215" s="6">
        <f>ROUND(AX1215/1000/Update!$B$31*Update!$B$27,0)</f>
        <v>0</v>
      </c>
      <c r="BA1215" s="6"/>
      <c r="BB1215" s="6">
        <f>ROUND(BA1215/1000/Update!$B$31,0)</f>
        <v>0</v>
      </c>
      <c r="BC1215" s="6"/>
      <c r="BD1215" s="29">
        <f t="shared" si="704"/>
        <v>0</v>
      </c>
      <c r="BE1215" s="322"/>
      <c r="BF1215" s="322"/>
      <c r="BG1215" s="322"/>
      <c r="BH1215" s="322"/>
      <c r="BI1215" s="322"/>
      <c r="BJ1215" s="322"/>
      <c r="BK1215" s="29">
        <f t="shared" si="727"/>
        <v>0</v>
      </c>
      <c r="BL1215" s="322"/>
      <c r="BM1215" s="322"/>
      <c r="BN1215" s="322"/>
      <c r="BO1215" s="322"/>
      <c r="BP1215" s="322"/>
      <c r="BQ1215" s="322"/>
      <c r="BR1215" s="322"/>
      <c r="BS1215" s="322"/>
      <c r="BT1215" s="322"/>
      <c r="BU1215" s="322"/>
      <c r="BV1215" s="322"/>
      <c r="BW1215" s="322"/>
      <c r="BX1215" s="322"/>
      <c r="BY1215" s="322"/>
      <c r="BZ1215" s="322"/>
      <c r="CA1215" s="322"/>
      <c r="CB1215" s="322"/>
      <c r="CC1215" s="322"/>
      <c r="CD1215" s="322"/>
      <c r="CE1215" s="322"/>
      <c r="CF1215" s="322"/>
      <c r="CG1215" s="322"/>
      <c r="CH1215" s="322"/>
      <c r="CI1215" s="322"/>
      <c r="CM1215" s="1139">
        <v>0</v>
      </c>
      <c r="CN1215" s="1139">
        <v>0</v>
      </c>
      <c r="CP1215" s="923">
        <f t="shared" si="701"/>
        <v>0</v>
      </c>
      <c r="CZ1215" s="330"/>
    </row>
    <row r="1216" spans="1:104" ht="18.75" customHeight="1" x14ac:dyDescent="0.25">
      <c r="A1216" s="1297">
        <f>MAX($A$6:A1215)+1</f>
        <v>1216</v>
      </c>
      <c r="B1216" s="1295">
        <f>SUMIF(Update!$B$33:$B$106,C1216,Update!$A$33:$A$106)</f>
        <v>11.1</v>
      </c>
      <c r="C1216" s="696" t="s">
        <v>1381</v>
      </c>
      <c r="D1216" s="695"/>
      <c r="E1216" s="696" t="str">
        <f>B1216&amp;" "&amp;C1216</f>
        <v>11.1 Reconciliation of liabilities arising from financing activities</v>
      </c>
      <c r="F1216" s="697"/>
      <c r="G1216" s="697"/>
      <c r="H1216" s="695"/>
      <c r="I1216" s="695"/>
      <c r="J1216" s="698" t="s">
        <v>286</v>
      </c>
      <c r="K1216" s="699">
        <f>SUMIF('alb Note 11 - Cash'!$A:$A,$J1216,'alb Note 11 - Cash'!$B:$B)</f>
        <v>0</v>
      </c>
      <c r="L1216" s="699">
        <f>SUMIF('alb Note 11 - Cash'!$A:$A,$J1216,'alb Note 11 - Cash'!$B:$B)</f>
        <v>0</v>
      </c>
      <c r="M1216" s="695"/>
      <c r="N1216" s="713">
        <f t="shared" si="724"/>
        <v>0</v>
      </c>
      <c r="O1216" s="695"/>
      <c r="P1216" s="695"/>
      <c r="Q1216" s="695"/>
      <c r="R1216" s="695"/>
      <c r="S1216" s="695">
        <f t="shared" si="720"/>
        <v>0</v>
      </c>
      <c r="T1216" s="713">
        <f>ROUND(SUM(U1216:Y1216),0)</f>
        <v>0</v>
      </c>
      <c r="U1216" s="695"/>
      <c r="V1216" s="695"/>
      <c r="W1216" s="695"/>
      <c r="X1216" s="695"/>
      <c r="Y1216" s="695"/>
      <c r="Z1216" s="695"/>
      <c r="AA1216" s="695"/>
      <c r="AB1216" s="695"/>
      <c r="AC1216" s="695"/>
      <c r="AD1216" s="695"/>
      <c r="AE1216" s="695"/>
      <c r="AF1216" s="695"/>
      <c r="AG1216" s="695"/>
      <c r="AH1216" s="695"/>
      <c r="AI1216" s="695"/>
      <c r="AJ1216" s="695"/>
      <c r="AK1216" s="695"/>
      <c r="AL1216" s="695"/>
      <c r="AM1216" s="695"/>
      <c r="AN1216" s="695"/>
      <c r="AO1216" s="695"/>
      <c r="AP1216" s="695"/>
      <c r="AQ1216" s="695"/>
      <c r="AR1216" s="695"/>
      <c r="AS1216" s="695"/>
      <c r="AT1216" s="695"/>
      <c r="AU1216" s="695"/>
      <c r="AV1216" s="695"/>
      <c r="AW1216" s="700"/>
      <c r="AX1216" s="700"/>
      <c r="AY1216" s="700">
        <f>ROUND(AX1216/1000/Update!$B$31*Update!$B$27,0)</f>
        <v>0</v>
      </c>
      <c r="AZ1216" s="700"/>
      <c r="BA1216" s="700"/>
      <c r="BB1216" s="700">
        <f>ROUND(BA1216/1000/Update!$B$31,0)</f>
        <v>0</v>
      </c>
      <c r="BC1216" s="700"/>
      <c r="BD1216" s="721">
        <f t="shared" si="704"/>
        <v>0</v>
      </c>
      <c r="BE1216" s="700"/>
      <c r="BF1216" s="700"/>
      <c r="BG1216" s="700"/>
      <c r="BH1216" s="700"/>
      <c r="BI1216" s="700"/>
      <c r="BJ1216" s="700"/>
      <c r="BK1216" s="721">
        <f t="shared" si="727"/>
        <v>0</v>
      </c>
      <c r="BL1216" s="700"/>
      <c r="BM1216" s="700"/>
      <c r="BN1216" s="700"/>
      <c r="BO1216" s="700"/>
      <c r="BP1216" s="700"/>
      <c r="BQ1216" s="700"/>
      <c r="BR1216" s="700"/>
      <c r="BS1216" s="700"/>
      <c r="BT1216" s="700"/>
      <c r="BU1216" s="700"/>
      <c r="BV1216" s="700"/>
      <c r="BW1216" s="700"/>
      <c r="BX1216" s="700"/>
      <c r="BY1216" s="700"/>
      <c r="BZ1216" s="700"/>
      <c r="CA1216" s="700"/>
      <c r="CB1216" s="700"/>
      <c r="CC1216" s="700"/>
      <c r="CD1216" s="700"/>
      <c r="CE1216" s="700"/>
      <c r="CF1216" s="700"/>
      <c r="CG1216" s="700"/>
      <c r="CH1216" s="700"/>
      <c r="CI1216" s="700"/>
      <c r="CJ1216" s="700"/>
      <c r="CK1216" s="700"/>
      <c r="CM1216" s="700">
        <v>0</v>
      </c>
      <c r="CN1216" s="700">
        <v>0</v>
      </c>
      <c r="CP1216" s="923">
        <f t="shared" si="701"/>
        <v>0</v>
      </c>
      <c r="CZ1216" s="330"/>
    </row>
    <row r="1217" spans="1:104" ht="15" customHeight="1" x14ac:dyDescent="0.25">
      <c r="A1217" s="684">
        <f>MAX($A$6:A1216)+1</f>
        <v>1217</v>
      </c>
      <c r="B1217" s="3">
        <f>B1216</f>
        <v>11.1</v>
      </c>
      <c r="C1217" s="11" t="str">
        <f>C1216</f>
        <v>Reconciliation of liabilities arising from financing activities</v>
      </c>
      <c r="D1217" s="1549">
        <f>Update!$B$37</f>
        <v>2025</v>
      </c>
      <c r="E1217" s="7" t="s">
        <v>2474</v>
      </c>
      <c r="F1217" s="7"/>
      <c r="G1217" s="1254" t="s">
        <v>1892</v>
      </c>
      <c r="H1217" s="6">
        <v>1883.608309999574</v>
      </c>
      <c r="I1217" s="1190"/>
      <c r="J1217" s="1254" t="s">
        <v>1892</v>
      </c>
      <c r="K1217" s="267"/>
      <c r="L1217" s="266"/>
      <c r="M1217" s="10"/>
      <c r="N1217" s="273">
        <f t="shared" si="724"/>
        <v>1884</v>
      </c>
      <c r="O1217" s="12"/>
      <c r="P1217" s="12"/>
      <c r="Q1217" s="12"/>
      <c r="R1217" s="12"/>
      <c r="S1217" s="6">
        <f>-IF(ISNUMBER(BD1217),BD1217,0)</f>
        <v>0</v>
      </c>
      <c r="T1217" s="273">
        <f>ROUND(SUM(U1217:Y1217),0)</f>
        <v>1884</v>
      </c>
      <c r="U1217" s="6">
        <f>SUM(BL1217:BN1217)</f>
        <v>0</v>
      </c>
      <c r="V1217" s="6"/>
      <c r="W1217" s="6">
        <f>+H1217</f>
        <v>1883.608309999574</v>
      </c>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X1217" s="6"/>
      <c r="AY1217" s="6"/>
      <c r="BA1217" s="6"/>
      <c r="BB1217" s="6"/>
      <c r="BC1217" s="6"/>
      <c r="BD1217" s="29">
        <v>0</v>
      </c>
      <c r="BE1217" s="322"/>
      <c r="BF1217" s="322"/>
      <c r="BG1217" s="322"/>
      <c r="BH1217" s="322"/>
      <c r="BI1217" s="322"/>
      <c r="BJ1217" s="322"/>
      <c r="BK1217" s="29">
        <f>ROUND(SUM(BO1217:CI1217),0)</f>
        <v>0</v>
      </c>
      <c r="BL1217" s="322"/>
      <c r="BM1217" s="322"/>
      <c r="BN1217" s="322"/>
      <c r="BO1217" s="322"/>
      <c r="BP1217" s="322"/>
      <c r="BQ1217" s="322"/>
      <c r="BR1217" s="322"/>
      <c r="BS1217" s="322"/>
      <c r="BT1217" s="322"/>
      <c r="BU1217" s="322"/>
      <c r="BV1217" s="322"/>
      <c r="BW1217" s="322"/>
      <c r="BX1217" s="322"/>
      <c r="BY1217" s="322"/>
      <c r="BZ1217" s="322"/>
      <c r="CA1217" s="322"/>
      <c r="CB1217" s="322"/>
      <c r="CC1217" s="322"/>
      <c r="CD1217" s="322"/>
      <c r="CE1217" s="322"/>
      <c r="CF1217" s="322"/>
      <c r="CG1217" s="322"/>
      <c r="CH1217" s="322"/>
      <c r="CI1217" s="322"/>
      <c r="CM1217" s="1139">
        <v>0</v>
      </c>
      <c r="CN1217" s="1139">
        <v>0</v>
      </c>
      <c r="CP1217" s="923">
        <f t="shared" si="701"/>
        <v>0</v>
      </c>
      <c r="CZ1217" s="330"/>
    </row>
    <row r="1218" spans="1:104" ht="15" customHeight="1" x14ac:dyDescent="0.25">
      <c r="A1218" s="684">
        <f>MAX($A$6:A1217)+1</f>
        <v>1218</v>
      </c>
      <c r="B1218" s="3">
        <f>B1216</f>
        <v>11.1</v>
      </c>
      <c r="C1218" s="11" t="str">
        <f t="shared" ref="C1218:C1234" si="736">C1217</f>
        <v>Reconciliation of liabilities arising from financing activities</v>
      </c>
      <c r="D1218" s="11" t="s">
        <v>1279</v>
      </c>
      <c r="E1218" s="7" t="s">
        <v>2474</v>
      </c>
      <c r="F1218" s="7"/>
      <c r="G1218" s="1254" t="s">
        <v>1279</v>
      </c>
      <c r="H1218" s="6">
        <v>0</v>
      </c>
      <c r="I1218" s="1190"/>
      <c r="J1218" s="1254" t="s">
        <v>1279</v>
      </c>
      <c r="K1218" s="267"/>
      <c r="L1218" s="266"/>
      <c r="M1218" s="10"/>
      <c r="N1218" s="273">
        <f t="shared" si="724"/>
        <v>0</v>
      </c>
      <c r="O1218" s="12"/>
      <c r="P1218" s="12"/>
      <c r="Q1218" s="12"/>
      <c r="R1218" s="12"/>
      <c r="S1218" s="6">
        <f t="shared" si="720"/>
        <v>0</v>
      </c>
      <c r="T1218" s="273">
        <f t="shared" si="735"/>
        <v>0</v>
      </c>
      <c r="U1218" s="6">
        <f t="shared" ref="U1218:U1234" si="737">SUM(BL1218:BN1218)</f>
        <v>0</v>
      </c>
      <c r="V1218" s="6"/>
      <c r="W1218" s="6">
        <f t="shared" si="729"/>
        <v>0</v>
      </c>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X1218" s="6"/>
      <c r="AY1218" s="6"/>
      <c r="BA1218" s="6"/>
      <c r="BB1218" s="6"/>
      <c r="BC1218" s="6"/>
      <c r="BD1218" s="29">
        <v>0</v>
      </c>
      <c r="BE1218" s="322"/>
      <c r="BF1218" s="322"/>
      <c r="BG1218" s="322"/>
      <c r="BH1218" s="322"/>
      <c r="BI1218" s="322"/>
      <c r="BJ1218" s="322"/>
      <c r="BK1218" s="29">
        <f t="shared" si="727"/>
        <v>0</v>
      </c>
      <c r="BL1218" s="322"/>
      <c r="BM1218" s="322"/>
      <c r="BN1218" s="322"/>
      <c r="BO1218" s="322"/>
      <c r="BP1218" s="322"/>
      <c r="BQ1218" s="322"/>
      <c r="BR1218" s="322"/>
      <c r="BS1218" s="322"/>
      <c r="BT1218" s="322"/>
      <c r="BU1218" s="322"/>
      <c r="BV1218" s="322"/>
      <c r="BW1218" s="322"/>
      <c r="BX1218" s="322"/>
      <c r="BY1218" s="322"/>
      <c r="BZ1218" s="322"/>
      <c r="CA1218" s="322"/>
      <c r="CB1218" s="322"/>
      <c r="CC1218" s="322"/>
      <c r="CD1218" s="322"/>
      <c r="CE1218" s="322"/>
      <c r="CF1218" s="322"/>
      <c r="CG1218" s="322"/>
      <c r="CH1218" s="322"/>
      <c r="CI1218" s="322"/>
      <c r="CM1218" s="1139">
        <v>0</v>
      </c>
      <c r="CN1218" s="1139">
        <v>0</v>
      </c>
      <c r="CP1218" s="923">
        <f t="shared" si="701"/>
        <v>0</v>
      </c>
      <c r="CZ1218" s="330"/>
    </row>
    <row r="1219" spans="1:104" ht="15" customHeight="1" x14ac:dyDescent="0.25">
      <c r="A1219" s="684">
        <f>MAX($A$6:A1218)+1</f>
        <v>1219</v>
      </c>
      <c r="B1219" s="3">
        <f t="shared" si="730"/>
        <v>11.1</v>
      </c>
      <c r="C1219" s="11" t="str">
        <f t="shared" si="736"/>
        <v>Reconciliation of liabilities arising from financing activities</v>
      </c>
      <c r="D1219" s="11" t="s">
        <v>533</v>
      </c>
      <c r="E1219" s="7" t="s">
        <v>2474</v>
      </c>
      <c r="F1219" s="7"/>
      <c r="G1219" s="1254" t="s">
        <v>533</v>
      </c>
      <c r="H1219" s="6">
        <v>22660</v>
      </c>
      <c r="I1219" s="1190"/>
      <c r="J1219" s="1254" t="s">
        <v>533</v>
      </c>
      <c r="K1219" s="267"/>
      <c r="L1219" s="266"/>
      <c r="M1219" s="10"/>
      <c r="N1219" s="273">
        <f t="shared" si="724"/>
        <v>22660</v>
      </c>
      <c r="O1219" s="12"/>
      <c r="P1219" s="12"/>
      <c r="Q1219" s="12"/>
      <c r="R1219" s="12"/>
      <c r="S1219" s="6">
        <f t="shared" si="720"/>
        <v>0</v>
      </c>
      <c r="T1219" s="273">
        <f t="shared" si="735"/>
        <v>22660</v>
      </c>
      <c r="U1219" s="6">
        <f t="shared" si="737"/>
        <v>0</v>
      </c>
      <c r="V1219" s="6"/>
      <c r="W1219" s="6">
        <f t="shared" si="729"/>
        <v>22660</v>
      </c>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X1219" s="6"/>
      <c r="AY1219" s="6"/>
      <c r="BA1219" s="6"/>
      <c r="BB1219" s="6"/>
      <c r="BC1219" s="6"/>
      <c r="BD1219" s="29">
        <v>0</v>
      </c>
      <c r="BE1219" s="322"/>
      <c r="BF1219" s="322"/>
      <c r="BG1219" s="322"/>
      <c r="BH1219" s="322"/>
      <c r="BI1219" s="322"/>
      <c r="BJ1219" s="322"/>
      <c r="BK1219" s="29">
        <f t="shared" si="727"/>
        <v>0</v>
      </c>
      <c r="BL1219" s="322"/>
      <c r="BM1219" s="322"/>
      <c r="BN1219" s="322"/>
      <c r="BO1219" s="322"/>
      <c r="BP1219" s="322"/>
      <c r="BQ1219" s="322"/>
      <c r="BR1219" s="322"/>
      <c r="BS1219" s="322"/>
      <c r="BT1219" s="322"/>
      <c r="BU1219" s="322"/>
      <c r="BV1219" s="322"/>
      <c r="BW1219" s="322"/>
      <c r="BX1219" s="322"/>
      <c r="BY1219" s="322"/>
      <c r="BZ1219" s="322"/>
      <c r="CA1219" s="322"/>
      <c r="CB1219" s="322"/>
      <c r="CC1219" s="322"/>
      <c r="CD1219" s="322"/>
      <c r="CE1219" s="322"/>
      <c r="CF1219" s="322"/>
      <c r="CG1219" s="322"/>
      <c r="CH1219" s="322"/>
      <c r="CI1219" s="322"/>
      <c r="CM1219" s="1139">
        <v>0</v>
      </c>
      <c r="CN1219" s="1139">
        <v>0</v>
      </c>
      <c r="CP1219" s="923">
        <f t="shared" si="701"/>
        <v>0</v>
      </c>
      <c r="CZ1219" s="330"/>
    </row>
    <row r="1220" spans="1:104" ht="15" customHeight="1" x14ac:dyDescent="0.25">
      <c r="A1220" s="684">
        <f>MAX($A$6:A1219)+1</f>
        <v>1220</v>
      </c>
      <c r="B1220" s="3">
        <f t="shared" si="730"/>
        <v>11.1</v>
      </c>
      <c r="C1220" s="11" t="str">
        <f t="shared" si="736"/>
        <v>Reconciliation of liabilities arising from financing activities</v>
      </c>
      <c r="D1220" s="11" t="s">
        <v>2472</v>
      </c>
      <c r="E1220" s="7" t="s">
        <v>2474</v>
      </c>
      <c r="F1220" s="7"/>
      <c r="G1220" s="1254" t="s">
        <v>2472</v>
      </c>
      <c r="H1220" s="6">
        <v>0</v>
      </c>
      <c r="I1220" s="1190"/>
      <c r="J1220" s="1254" t="s">
        <v>2472</v>
      </c>
      <c r="K1220" s="267"/>
      <c r="L1220" s="266"/>
      <c r="M1220" s="10"/>
      <c r="N1220" s="273">
        <f t="shared" si="724"/>
        <v>0</v>
      </c>
      <c r="O1220" s="12"/>
      <c r="P1220" s="12"/>
      <c r="Q1220" s="12"/>
      <c r="R1220" s="12"/>
      <c r="S1220" s="6">
        <f t="shared" si="720"/>
        <v>0</v>
      </c>
      <c r="T1220" s="273">
        <f t="shared" si="735"/>
        <v>0</v>
      </c>
      <c r="U1220" s="6">
        <f t="shared" si="737"/>
        <v>0</v>
      </c>
      <c r="V1220" s="6"/>
      <c r="W1220" s="6">
        <f t="shared" si="729"/>
        <v>0</v>
      </c>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X1220" s="6"/>
      <c r="AY1220" s="6"/>
      <c r="BA1220" s="6"/>
      <c r="BB1220" s="6"/>
      <c r="BC1220" s="6"/>
      <c r="BD1220" s="29">
        <v>0</v>
      </c>
      <c r="BE1220" s="322"/>
      <c r="BF1220" s="322"/>
      <c r="BG1220" s="322"/>
      <c r="BH1220" s="322"/>
      <c r="BI1220" s="322"/>
      <c r="BJ1220" s="322"/>
      <c r="BK1220" s="29">
        <f t="shared" si="727"/>
        <v>0</v>
      </c>
      <c r="BL1220" s="322"/>
      <c r="BM1220" s="322"/>
      <c r="BN1220" s="322"/>
      <c r="BO1220" s="322"/>
      <c r="BP1220" s="322"/>
      <c r="BQ1220" s="322"/>
      <c r="BR1220" s="322"/>
      <c r="BS1220" s="322"/>
      <c r="BT1220" s="322"/>
      <c r="BU1220" s="322"/>
      <c r="BV1220" s="322"/>
      <c r="BW1220" s="322"/>
      <c r="BX1220" s="322"/>
      <c r="BY1220" s="322"/>
      <c r="BZ1220" s="322"/>
      <c r="CA1220" s="322"/>
      <c r="CB1220" s="322"/>
      <c r="CC1220" s="322"/>
      <c r="CD1220" s="322"/>
      <c r="CE1220" s="322"/>
      <c r="CF1220" s="322"/>
      <c r="CG1220" s="322"/>
      <c r="CH1220" s="322"/>
      <c r="CI1220" s="322"/>
      <c r="CM1220" s="1139">
        <v>0</v>
      </c>
      <c r="CN1220" s="1139">
        <v>0</v>
      </c>
      <c r="CP1220" s="923">
        <f t="shared" si="701"/>
        <v>0</v>
      </c>
      <c r="CZ1220" s="330"/>
    </row>
    <row r="1221" spans="1:104" ht="15" customHeight="1" x14ac:dyDescent="0.25">
      <c r="A1221" s="684">
        <f>MAX($A$6:A1220)+1</f>
        <v>1221</v>
      </c>
      <c r="B1221" s="3">
        <f t="shared" si="730"/>
        <v>11.1</v>
      </c>
      <c r="C1221" s="11" t="str">
        <f t="shared" si="736"/>
        <v>Reconciliation of liabilities arising from financing activities</v>
      </c>
      <c r="D1221" s="11" t="s">
        <v>2473</v>
      </c>
      <c r="E1221" s="7" t="s">
        <v>2474</v>
      </c>
      <c r="F1221" s="7"/>
      <c r="G1221" s="1254" t="s">
        <v>2473</v>
      </c>
      <c r="H1221" s="6">
        <v>0</v>
      </c>
      <c r="I1221" s="1190"/>
      <c r="J1221" s="1254" t="s">
        <v>2473</v>
      </c>
      <c r="K1221" s="267"/>
      <c r="L1221" s="266"/>
      <c r="M1221" s="10"/>
      <c r="N1221" s="273">
        <f t="shared" si="724"/>
        <v>0</v>
      </c>
      <c r="O1221" s="12"/>
      <c r="P1221" s="12"/>
      <c r="Q1221" s="12"/>
      <c r="R1221" s="12"/>
      <c r="S1221" s="6">
        <f t="shared" si="720"/>
        <v>0</v>
      </c>
      <c r="T1221" s="273">
        <f t="shared" si="735"/>
        <v>0</v>
      </c>
      <c r="U1221" s="6">
        <f t="shared" si="737"/>
        <v>0</v>
      </c>
      <c r="V1221" s="6"/>
      <c r="W1221" s="6">
        <f t="shared" si="729"/>
        <v>0</v>
      </c>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X1221" s="6"/>
      <c r="AY1221" s="6"/>
      <c r="BA1221" s="6"/>
      <c r="BB1221" s="6"/>
      <c r="BC1221" s="6"/>
      <c r="BD1221" s="29">
        <v>0</v>
      </c>
      <c r="BE1221" s="322"/>
      <c r="BF1221" s="322"/>
      <c r="BG1221" s="322"/>
      <c r="BH1221" s="322"/>
      <c r="BI1221" s="322"/>
      <c r="BJ1221" s="322"/>
      <c r="BK1221" s="29">
        <f t="shared" si="727"/>
        <v>0</v>
      </c>
      <c r="BL1221" s="322"/>
      <c r="BM1221" s="322"/>
      <c r="BN1221" s="322"/>
      <c r="BO1221" s="322"/>
      <c r="BP1221" s="322"/>
      <c r="BQ1221" s="322"/>
      <c r="BR1221" s="322"/>
      <c r="BS1221" s="322"/>
      <c r="BT1221" s="322"/>
      <c r="BU1221" s="322"/>
      <c r="BV1221" s="322"/>
      <c r="BW1221" s="322"/>
      <c r="BX1221" s="322"/>
      <c r="BY1221" s="322"/>
      <c r="BZ1221" s="322"/>
      <c r="CA1221" s="322"/>
      <c r="CB1221" s="322"/>
      <c r="CC1221" s="322"/>
      <c r="CD1221" s="322"/>
      <c r="CE1221" s="322"/>
      <c r="CF1221" s="322"/>
      <c r="CG1221" s="322"/>
      <c r="CH1221" s="322"/>
      <c r="CI1221" s="322"/>
      <c r="CM1221" s="1139">
        <v>0</v>
      </c>
      <c r="CN1221" s="1139">
        <v>0</v>
      </c>
      <c r="CP1221" s="923">
        <f t="shared" si="701"/>
        <v>0</v>
      </c>
      <c r="CZ1221" s="330"/>
    </row>
    <row r="1222" spans="1:104" ht="15" customHeight="1" x14ac:dyDescent="0.25">
      <c r="A1222" s="684">
        <f>MAX($A$6:A1221)+1</f>
        <v>1222</v>
      </c>
      <c r="B1222" s="3">
        <f t="shared" si="730"/>
        <v>11.1</v>
      </c>
      <c r="C1222" s="11" t="str">
        <f t="shared" si="736"/>
        <v>Reconciliation of liabilities arising from financing activities</v>
      </c>
      <c r="D1222" s="11" t="s">
        <v>1654</v>
      </c>
      <c r="E1222" s="7" t="s">
        <v>2474</v>
      </c>
      <c r="F1222" s="7"/>
      <c r="G1222" s="1254" t="s">
        <v>1654</v>
      </c>
      <c r="H1222" s="6">
        <v>0</v>
      </c>
      <c r="I1222" s="1190"/>
      <c r="J1222" s="1254" t="s">
        <v>1654</v>
      </c>
      <c r="K1222" s="267"/>
      <c r="L1222" s="266"/>
      <c r="M1222" s="10"/>
      <c r="N1222" s="273">
        <f t="shared" si="724"/>
        <v>0</v>
      </c>
      <c r="O1222" s="12"/>
      <c r="P1222" s="12"/>
      <c r="Q1222" s="12"/>
      <c r="R1222" s="12"/>
      <c r="S1222" s="6">
        <f t="shared" si="720"/>
        <v>0</v>
      </c>
      <c r="T1222" s="273">
        <f t="shared" si="735"/>
        <v>0</v>
      </c>
      <c r="U1222" s="6">
        <f t="shared" si="737"/>
        <v>0</v>
      </c>
      <c r="V1222" s="6"/>
      <c r="W1222" s="6">
        <f t="shared" si="729"/>
        <v>0</v>
      </c>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X1222" s="6"/>
      <c r="AY1222" s="6"/>
      <c r="BA1222" s="6"/>
      <c r="BB1222" s="6"/>
      <c r="BC1222" s="6"/>
      <c r="BD1222" s="29">
        <v>0</v>
      </c>
      <c r="BE1222" s="322"/>
      <c r="BF1222" s="322"/>
      <c r="BG1222" s="322"/>
      <c r="BH1222" s="322"/>
      <c r="BI1222" s="322"/>
      <c r="BJ1222" s="322"/>
      <c r="BK1222" s="29">
        <f t="shared" si="727"/>
        <v>0</v>
      </c>
      <c r="BL1222" s="322"/>
      <c r="BM1222" s="322"/>
      <c r="BN1222" s="322"/>
      <c r="BO1222" s="322"/>
      <c r="BP1222" s="322"/>
      <c r="BQ1222" s="322"/>
      <c r="BR1222" s="322"/>
      <c r="BS1222" s="322"/>
      <c r="BT1222" s="322"/>
      <c r="BU1222" s="322"/>
      <c r="BV1222" s="322"/>
      <c r="BW1222" s="322"/>
      <c r="BX1222" s="322"/>
      <c r="BY1222" s="322"/>
      <c r="BZ1222" s="322"/>
      <c r="CA1222" s="322"/>
      <c r="CB1222" s="322"/>
      <c r="CC1222" s="322"/>
      <c r="CD1222" s="322"/>
      <c r="CE1222" s="322"/>
      <c r="CF1222" s="322"/>
      <c r="CG1222" s="322"/>
      <c r="CH1222" s="322"/>
      <c r="CI1222" s="322"/>
      <c r="CM1222" s="1139">
        <v>0</v>
      </c>
      <c r="CN1222" s="1139">
        <v>0</v>
      </c>
      <c r="CP1222" s="923">
        <f t="shared" si="701"/>
        <v>0</v>
      </c>
      <c r="CZ1222" s="330"/>
    </row>
    <row r="1223" spans="1:104" ht="15" customHeight="1" x14ac:dyDescent="0.25">
      <c r="A1223" s="684">
        <f>MAX($A$6:A1222)+1</f>
        <v>1223</v>
      </c>
      <c r="B1223" s="3">
        <f t="shared" si="730"/>
        <v>11.1</v>
      </c>
      <c r="C1223" s="11" t="str">
        <f t="shared" si="736"/>
        <v>Reconciliation of liabilities arising from financing activities</v>
      </c>
      <c r="D1223" s="1549">
        <f>Update!$B$37</f>
        <v>2025</v>
      </c>
      <c r="E1223" s="7" t="s">
        <v>2475</v>
      </c>
      <c r="F1223" s="7"/>
      <c r="G1223" s="1254" t="s">
        <v>1892</v>
      </c>
      <c r="H1223" s="6">
        <v>495</v>
      </c>
      <c r="I1223" s="1190"/>
      <c r="J1223" s="1254" t="s">
        <v>1892</v>
      </c>
      <c r="K1223" s="6">
        <f>+'alb Note 11 - Cash'!$B$30</f>
        <v>0</v>
      </c>
      <c r="L1223" s="266"/>
      <c r="M1223" s="10"/>
      <c r="N1223" s="273">
        <f t="shared" ref="N1223:N1231" si="738">ROUND(SUM(O1223:S1223)+T1223+SUM(Z1223:AV1223),0)</f>
        <v>495</v>
      </c>
      <c r="O1223" s="12"/>
      <c r="P1223" s="12"/>
      <c r="Q1223" s="12"/>
      <c r="R1223" s="12"/>
      <c r="S1223" s="6">
        <f>-IF(ISNUMBER(BD1223),BD1223,0)</f>
        <v>0</v>
      </c>
      <c r="T1223" s="273">
        <f>ROUND(SUM(U1223:Y1223),0)</f>
        <v>495</v>
      </c>
      <c r="U1223" s="6">
        <f>SUM(BL1223:BN1223)</f>
        <v>0</v>
      </c>
      <c r="V1223" s="6"/>
      <c r="W1223" s="6">
        <f t="shared" ref="W1223:W1231" si="739">+H1223</f>
        <v>495</v>
      </c>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X1223" s="6"/>
      <c r="AY1223" s="6"/>
      <c r="BA1223" s="6"/>
      <c r="BB1223" s="6"/>
      <c r="BC1223" s="6"/>
      <c r="BD1223" s="29">
        <v>0</v>
      </c>
      <c r="BE1223" s="322"/>
      <c r="BF1223" s="322"/>
      <c r="BG1223" s="322"/>
      <c r="BH1223" s="322"/>
      <c r="BI1223" s="322"/>
      <c r="BJ1223" s="322"/>
      <c r="BK1223" s="29">
        <f t="shared" ref="BK1223:BK1231" si="740">ROUND(SUM(BO1223:CI1223),0)</f>
        <v>0</v>
      </c>
      <c r="BL1223" s="322"/>
      <c r="BM1223" s="322"/>
      <c r="BN1223" s="322"/>
      <c r="BO1223" s="322"/>
      <c r="BP1223" s="322"/>
      <c r="BQ1223" s="322"/>
      <c r="BR1223" s="322"/>
      <c r="BS1223" s="322"/>
      <c r="BT1223" s="322"/>
      <c r="BU1223" s="322"/>
      <c r="BV1223" s="322"/>
      <c r="BW1223" s="322"/>
      <c r="BX1223" s="322"/>
      <c r="BY1223" s="322"/>
      <c r="BZ1223" s="322"/>
      <c r="CA1223" s="322"/>
      <c r="CB1223" s="322"/>
      <c r="CC1223" s="322"/>
      <c r="CD1223" s="322"/>
      <c r="CE1223" s="322"/>
      <c r="CF1223" s="322"/>
      <c r="CG1223" s="322"/>
      <c r="CH1223" s="322"/>
      <c r="CI1223" s="322"/>
      <c r="CM1223" s="1139">
        <v>0</v>
      </c>
      <c r="CN1223" s="1139">
        <v>0</v>
      </c>
      <c r="CP1223" s="923">
        <f t="shared" si="701"/>
        <v>0</v>
      </c>
      <c r="CZ1223" s="330"/>
    </row>
    <row r="1224" spans="1:104" ht="15" customHeight="1" x14ac:dyDescent="0.25">
      <c r="A1224" s="684">
        <f>MAX($A$6:A1223)+1</f>
        <v>1224</v>
      </c>
      <c r="B1224" s="3">
        <f t="shared" si="730"/>
        <v>11.1</v>
      </c>
      <c r="C1224" s="11" t="str">
        <f t="shared" si="736"/>
        <v>Reconciliation of liabilities arising from financing activities</v>
      </c>
      <c r="D1224" s="11" t="s">
        <v>1279</v>
      </c>
      <c r="E1224" s="7" t="s">
        <v>2475</v>
      </c>
      <c r="F1224" s="7"/>
      <c r="G1224" s="1254" t="s">
        <v>1279</v>
      </c>
      <c r="H1224" s="6">
        <v>-189</v>
      </c>
      <c r="I1224" s="1190"/>
      <c r="J1224" s="1254" t="s">
        <v>1279</v>
      </c>
      <c r="K1224" s="6">
        <f>+'alb Note 11 - Cash'!$C$30</f>
        <v>0</v>
      </c>
      <c r="L1224" s="266"/>
      <c r="M1224" s="10"/>
      <c r="N1224" s="273">
        <f t="shared" si="738"/>
        <v>-189</v>
      </c>
      <c r="O1224" s="12"/>
      <c r="P1224" s="12"/>
      <c r="Q1224" s="12"/>
      <c r="R1224" s="12"/>
      <c r="S1224" s="6">
        <f t="shared" ref="S1224:S1230" si="741">-IF(ISNUMBER(BD1224),BD1224,0)</f>
        <v>0</v>
      </c>
      <c r="T1224" s="273">
        <f t="shared" ref="T1224:T1230" si="742">ROUND(SUM(U1224:Y1224),0)</f>
        <v>-189</v>
      </c>
      <c r="U1224" s="6">
        <f t="shared" ref="U1224:U1230" si="743">SUM(BL1224:BN1224)</f>
        <v>0</v>
      </c>
      <c r="V1224" s="6"/>
      <c r="W1224" s="6">
        <f t="shared" si="739"/>
        <v>-189</v>
      </c>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X1224" s="6"/>
      <c r="AY1224" s="6"/>
      <c r="BA1224" s="6"/>
      <c r="BB1224" s="6"/>
      <c r="BC1224" s="6"/>
      <c r="BD1224" s="29">
        <v>0</v>
      </c>
      <c r="BE1224" s="322"/>
      <c r="BF1224" s="322"/>
      <c r="BG1224" s="322"/>
      <c r="BH1224" s="322"/>
      <c r="BI1224" s="322"/>
      <c r="BJ1224" s="322"/>
      <c r="BK1224" s="29">
        <f t="shared" si="740"/>
        <v>0</v>
      </c>
      <c r="BL1224" s="322"/>
      <c r="BM1224" s="322"/>
      <c r="BN1224" s="322"/>
      <c r="BO1224" s="322"/>
      <c r="BP1224" s="322"/>
      <c r="BQ1224" s="322"/>
      <c r="BR1224" s="322"/>
      <c r="BS1224" s="322"/>
      <c r="BT1224" s="322"/>
      <c r="BU1224" s="322"/>
      <c r="BV1224" s="322"/>
      <c r="BW1224" s="322"/>
      <c r="BX1224" s="322"/>
      <c r="BY1224" s="322"/>
      <c r="BZ1224" s="322"/>
      <c r="CA1224" s="322"/>
      <c r="CB1224" s="322"/>
      <c r="CC1224" s="322"/>
      <c r="CD1224" s="322"/>
      <c r="CE1224" s="322"/>
      <c r="CF1224" s="322"/>
      <c r="CG1224" s="322"/>
      <c r="CH1224" s="322"/>
      <c r="CI1224" s="322"/>
      <c r="CM1224" s="1139">
        <v>0</v>
      </c>
      <c r="CN1224" s="1139">
        <v>0</v>
      </c>
      <c r="CP1224" s="923">
        <f t="shared" ref="CP1224:CP1287" si="744">-V1224+BL1224+BM1224+BN1224+CM1224</f>
        <v>0</v>
      </c>
      <c r="CZ1224" s="330"/>
    </row>
    <row r="1225" spans="1:104" ht="15" customHeight="1" x14ac:dyDescent="0.25">
      <c r="A1225" s="684">
        <f>MAX($A$6:A1224)+1</f>
        <v>1225</v>
      </c>
      <c r="B1225" s="3">
        <f t="shared" si="730"/>
        <v>11.1</v>
      </c>
      <c r="C1225" s="11" t="str">
        <f t="shared" si="736"/>
        <v>Reconciliation of liabilities arising from financing activities</v>
      </c>
      <c r="D1225" s="11" t="s">
        <v>533</v>
      </c>
      <c r="E1225" s="7" t="s">
        <v>2475</v>
      </c>
      <c r="F1225" s="7"/>
      <c r="G1225" s="1254" t="s">
        <v>533</v>
      </c>
      <c r="H1225" s="6">
        <v>0</v>
      </c>
      <c r="I1225" s="1190"/>
      <c r="J1225" s="1254" t="s">
        <v>533</v>
      </c>
      <c r="K1225" s="267"/>
      <c r="L1225" s="266"/>
      <c r="M1225" s="10"/>
      <c r="N1225" s="273">
        <f t="shared" si="738"/>
        <v>0</v>
      </c>
      <c r="O1225" s="12"/>
      <c r="P1225" s="12"/>
      <c r="Q1225" s="12"/>
      <c r="R1225" s="12"/>
      <c r="S1225" s="6">
        <f t="shared" si="741"/>
        <v>0</v>
      </c>
      <c r="T1225" s="273">
        <f t="shared" si="742"/>
        <v>0</v>
      </c>
      <c r="U1225" s="6">
        <f t="shared" si="743"/>
        <v>0</v>
      </c>
      <c r="V1225" s="6"/>
      <c r="W1225" s="6">
        <f t="shared" si="739"/>
        <v>0</v>
      </c>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X1225" s="6"/>
      <c r="AY1225" s="6"/>
      <c r="BA1225" s="6"/>
      <c r="BB1225" s="6"/>
      <c r="BC1225" s="6"/>
      <c r="BD1225" s="29">
        <v>0</v>
      </c>
      <c r="BE1225" s="322"/>
      <c r="BF1225" s="322"/>
      <c r="BG1225" s="322"/>
      <c r="BH1225" s="322"/>
      <c r="BI1225" s="322"/>
      <c r="BJ1225" s="322"/>
      <c r="BK1225" s="29">
        <f t="shared" si="740"/>
        <v>0</v>
      </c>
      <c r="BL1225" s="322"/>
      <c r="BM1225" s="322"/>
      <c r="BN1225" s="322"/>
      <c r="BO1225" s="322"/>
      <c r="BP1225" s="322"/>
      <c r="BQ1225" s="322"/>
      <c r="BR1225" s="322"/>
      <c r="BS1225" s="322"/>
      <c r="BT1225" s="322"/>
      <c r="BU1225" s="322"/>
      <c r="BV1225" s="322"/>
      <c r="BW1225" s="322"/>
      <c r="BX1225" s="322"/>
      <c r="BY1225" s="322"/>
      <c r="BZ1225" s="322"/>
      <c r="CA1225" s="322"/>
      <c r="CB1225" s="322"/>
      <c r="CC1225" s="322"/>
      <c r="CD1225" s="322"/>
      <c r="CE1225" s="322"/>
      <c r="CF1225" s="322"/>
      <c r="CG1225" s="322"/>
      <c r="CH1225" s="322"/>
      <c r="CI1225" s="322"/>
      <c r="CM1225" s="1139">
        <v>0</v>
      </c>
      <c r="CN1225" s="1139">
        <v>0</v>
      </c>
      <c r="CP1225" s="923">
        <f t="shared" si="744"/>
        <v>0</v>
      </c>
      <c r="CZ1225" s="330"/>
    </row>
    <row r="1226" spans="1:104" ht="15" customHeight="1" x14ac:dyDescent="0.25">
      <c r="A1226" s="684">
        <f>MAX($A$6:A1225)+1</f>
        <v>1226</v>
      </c>
      <c r="B1226" s="3">
        <f t="shared" si="730"/>
        <v>11.1</v>
      </c>
      <c r="C1226" s="11" t="str">
        <f t="shared" si="736"/>
        <v>Reconciliation of liabilities arising from financing activities</v>
      </c>
      <c r="D1226" s="11" t="s">
        <v>2472</v>
      </c>
      <c r="E1226" s="7" t="s">
        <v>2475</v>
      </c>
      <c r="F1226" s="7"/>
      <c r="G1226" s="1254" t="s">
        <v>2472</v>
      </c>
      <c r="H1226" s="6">
        <v>0</v>
      </c>
      <c r="I1226" s="1190"/>
      <c r="J1226" s="1254" t="s">
        <v>2472</v>
      </c>
      <c r="K1226" s="6">
        <f>+'alb Note 11 - Cash'!$E$30</f>
        <v>0</v>
      </c>
      <c r="L1226" s="266"/>
      <c r="M1226" s="10"/>
      <c r="N1226" s="273">
        <f t="shared" si="738"/>
        <v>0</v>
      </c>
      <c r="O1226" s="12"/>
      <c r="P1226" s="12"/>
      <c r="Q1226" s="12"/>
      <c r="R1226" s="12"/>
      <c r="S1226" s="6">
        <f t="shared" si="741"/>
        <v>0</v>
      </c>
      <c r="T1226" s="273">
        <f t="shared" si="742"/>
        <v>0</v>
      </c>
      <c r="U1226" s="6">
        <f t="shared" si="743"/>
        <v>0</v>
      </c>
      <c r="V1226" s="6"/>
      <c r="W1226" s="6">
        <f t="shared" si="739"/>
        <v>0</v>
      </c>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X1226" s="6"/>
      <c r="AY1226" s="6"/>
      <c r="BA1226" s="6"/>
      <c r="BB1226" s="6"/>
      <c r="BC1226" s="6"/>
      <c r="BD1226" s="29">
        <v>0</v>
      </c>
      <c r="BE1226" s="322"/>
      <c r="BF1226" s="322"/>
      <c r="BG1226" s="322"/>
      <c r="BH1226" s="322"/>
      <c r="BI1226" s="322"/>
      <c r="BJ1226" s="322"/>
      <c r="BK1226" s="29">
        <f t="shared" si="740"/>
        <v>0</v>
      </c>
      <c r="BL1226" s="322"/>
      <c r="BM1226" s="322"/>
      <c r="BN1226" s="322"/>
      <c r="BO1226" s="322"/>
      <c r="BP1226" s="322"/>
      <c r="BQ1226" s="322"/>
      <c r="BR1226" s="322"/>
      <c r="BS1226" s="322"/>
      <c r="BT1226" s="322"/>
      <c r="BU1226" s="322"/>
      <c r="BV1226" s="322"/>
      <c r="BW1226" s="322"/>
      <c r="BX1226" s="322"/>
      <c r="BY1226" s="322"/>
      <c r="BZ1226" s="322"/>
      <c r="CA1226" s="322"/>
      <c r="CB1226" s="322"/>
      <c r="CC1226" s="322"/>
      <c r="CD1226" s="322"/>
      <c r="CE1226" s="322"/>
      <c r="CF1226" s="322"/>
      <c r="CG1226" s="322"/>
      <c r="CH1226" s="322"/>
      <c r="CI1226" s="322"/>
      <c r="CM1226" s="1139">
        <v>0</v>
      </c>
      <c r="CN1226" s="1139">
        <v>0</v>
      </c>
      <c r="CP1226" s="923">
        <f t="shared" si="744"/>
        <v>0</v>
      </c>
      <c r="CZ1226" s="330"/>
    </row>
    <row r="1227" spans="1:104" ht="15" customHeight="1" x14ac:dyDescent="0.25">
      <c r="A1227" s="684">
        <f>MAX($A$6:A1226)+1</f>
        <v>1227</v>
      </c>
      <c r="B1227" s="3">
        <f t="shared" si="730"/>
        <v>11.1</v>
      </c>
      <c r="C1227" s="11" t="str">
        <f t="shared" si="736"/>
        <v>Reconciliation of liabilities arising from financing activities</v>
      </c>
      <c r="D1227" s="11" t="s">
        <v>2473</v>
      </c>
      <c r="E1227" s="7" t="s">
        <v>2475</v>
      </c>
      <c r="F1227" s="7"/>
      <c r="G1227" s="1254" t="s">
        <v>2473</v>
      </c>
      <c r="H1227" s="6">
        <v>0</v>
      </c>
      <c r="I1227" s="1190"/>
      <c r="J1227" s="1254" t="s">
        <v>2473</v>
      </c>
      <c r="K1227" s="6">
        <f>+'alb Note 11 - Cash'!$F$30</f>
        <v>0</v>
      </c>
      <c r="L1227" s="266"/>
      <c r="M1227" s="10"/>
      <c r="N1227" s="273">
        <f t="shared" si="738"/>
        <v>0</v>
      </c>
      <c r="O1227" s="12"/>
      <c r="P1227" s="12"/>
      <c r="Q1227" s="12"/>
      <c r="R1227" s="12"/>
      <c r="S1227" s="6">
        <f t="shared" si="741"/>
        <v>0</v>
      </c>
      <c r="T1227" s="273">
        <f t="shared" si="742"/>
        <v>0</v>
      </c>
      <c r="U1227" s="6">
        <f t="shared" si="743"/>
        <v>0</v>
      </c>
      <c r="V1227" s="6"/>
      <c r="W1227" s="6">
        <f t="shared" si="739"/>
        <v>0</v>
      </c>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X1227" s="6"/>
      <c r="AY1227" s="6"/>
      <c r="BA1227" s="6"/>
      <c r="BB1227" s="6"/>
      <c r="BC1227" s="6"/>
      <c r="BD1227" s="29">
        <v>0</v>
      </c>
      <c r="BE1227" s="322"/>
      <c r="BF1227" s="322"/>
      <c r="BG1227" s="322"/>
      <c r="BH1227" s="322"/>
      <c r="BI1227" s="322"/>
      <c r="BJ1227" s="322"/>
      <c r="BK1227" s="29">
        <f t="shared" si="740"/>
        <v>0</v>
      </c>
      <c r="BL1227" s="322"/>
      <c r="BM1227" s="322"/>
      <c r="BN1227" s="322"/>
      <c r="BO1227" s="322"/>
      <c r="BP1227" s="322"/>
      <c r="BQ1227" s="322"/>
      <c r="BR1227" s="322"/>
      <c r="BS1227" s="322"/>
      <c r="BT1227" s="322"/>
      <c r="BU1227" s="322"/>
      <c r="BV1227" s="322"/>
      <c r="BW1227" s="322"/>
      <c r="BX1227" s="322"/>
      <c r="BY1227" s="322"/>
      <c r="BZ1227" s="322"/>
      <c r="CA1227" s="322"/>
      <c r="CB1227" s="322"/>
      <c r="CC1227" s="322"/>
      <c r="CD1227" s="322"/>
      <c r="CE1227" s="322"/>
      <c r="CF1227" s="322"/>
      <c r="CG1227" s="322"/>
      <c r="CH1227" s="322"/>
      <c r="CI1227" s="322"/>
      <c r="CM1227" s="1139">
        <v>0</v>
      </c>
      <c r="CN1227" s="1139">
        <v>0</v>
      </c>
      <c r="CP1227" s="923">
        <f t="shared" si="744"/>
        <v>0</v>
      </c>
      <c r="CZ1227" s="330"/>
    </row>
    <row r="1228" spans="1:104" ht="15" customHeight="1" x14ac:dyDescent="0.25">
      <c r="A1228" s="684">
        <f>MAX($A$6:A1227)+1</f>
        <v>1228</v>
      </c>
      <c r="B1228" s="3">
        <f t="shared" si="730"/>
        <v>11.1</v>
      </c>
      <c r="C1228" s="11" t="str">
        <f t="shared" si="736"/>
        <v>Reconciliation of liabilities arising from financing activities</v>
      </c>
      <c r="D1228" s="11" t="s">
        <v>1654</v>
      </c>
      <c r="E1228" s="7" t="s">
        <v>2475</v>
      </c>
      <c r="F1228" s="7"/>
      <c r="G1228" s="1254" t="s">
        <v>1654</v>
      </c>
      <c r="H1228" s="6">
        <v>0</v>
      </c>
      <c r="I1228" s="1190"/>
      <c r="J1228" s="1254" t="s">
        <v>1654</v>
      </c>
      <c r="K1228" s="6">
        <f>+'alb Note 11 - Cash'!$G$30</f>
        <v>0</v>
      </c>
      <c r="L1228" s="266"/>
      <c r="M1228" s="10"/>
      <c r="N1228" s="273">
        <f t="shared" si="738"/>
        <v>0</v>
      </c>
      <c r="O1228" s="12"/>
      <c r="P1228" s="12"/>
      <c r="Q1228" s="12"/>
      <c r="R1228" s="12"/>
      <c r="S1228" s="6">
        <f t="shared" si="741"/>
        <v>0</v>
      </c>
      <c r="T1228" s="273">
        <f t="shared" si="742"/>
        <v>0</v>
      </c>
      <c r="U1228" s="6">
        <f t="shared" si="743"/>
        <v>0</v>
      </c>
      <c r="V1228" s="6"/>
      <c r="W1228" s="6">
        <f t="shared" si="739"/>
        <v>0</v>
      </c>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X1228" s="6"/>
      <c r="AY1228" s="6"/>
      <c r="BA1228" s="6"/>
      <c r="BB1228" s="6"/>
      <c r="BC1228" s="6"/>
      <c r="BD1228" s="29">
        <v>0</v>
      </c>
      <c r="BE1228" s="322"/>
      <c r="BF1228" s="322"/>
      <c r="BG1228" s="322"/>
      <c r="BH1228" s="322"/>
      <c r="BI1228" s="322"/>
      <c r="BJ1228" s="322"/>
      <c r="BK1228" s="29">
        <f t="shared" si="740"/>
        <v>0</v>
      </c>
      <c r="BL1228" s="322"/>
      <c r="BM1228" s="322"/>
      <c r="BN1228" s="322"/>
      <c r="BO1228" s="322"/>
      <c r="BP1228" s="322"/>
      <c r="BQ1228" s="322"/>
      <c r="BR1228" s="322"/>
      <c r="BS1228" s="322"/>
      <c r="BT1228" s="322"/>
      <c r="BU1228" s="322"/>
      <c r="BV1228" s="322"/>
      <c r="BW1228" s="322"/>
      <c r="BX1228" s="322"/>
      <c r="BY1228" s="322"/>
      <c r="BZ1228" s="322"/>
      <c r="CA1228" s="322"/>
      <c r="CB1228" s="322"/>
      <c r="CC1228" s="322"/>
      <c r="CD1228" s="322"/>
      <c r="CE1228" s="322"/>
      <c r="CF1228" s="322"/>
      <c r="CG1228" s="322"/>
      <c r="CH1228" s="322"/>
      <c r="CI1228" s="322"/>
      <c r="CM1228" s="1139">
        <v>0</v>
      </c>
      <c r="CN1228" s="1139">
        <v>0</v>
      </c>
      <c r="CP1228" s="923">
        <f t="shared" si="744"/>
        <v>0</v>
      </c>
      <c r="CZ1228" s="330"/>
    </row>
    <row r="1229" spans="1:104" ht="15" customHeight="1" x14ac:dyDescent="0.25">
      <c r="A1229" s="684">
        <f>MAX($A$6:A1228)+1</f>
        <v>1229</v>
      </c>
      <c r="B1229" s="3">
        <f t="shared" si="730"/>
        <v>11.1</v>
      </c>
      <c r="C1229" s="11" t="str">
        <f t="shared" si="736"/>
        <v>Reconciliation of liabilities arising from financing activities</v>
      </c>
      <c r="D1229" s="1549">
        <f>Update!$B$37</f>
        <v>2025</v>
      </c>
      <c r="E1229" s="7" t="s">
        <v>2476</v>
      </c>
      <c r="F1229" s="7"/>
      <c r="G1229" s="1254" t="s">
        <v>1892</v>
      </c>
      <c r="H1229" s="6">
        <v>0</v>
      </c>
      <c r="I1229" s="1190"/>
      <c r="J1229" s="1254" t="s">
        <v>1892</v>
      </c>
      <c r="K1229" s="6">
        <f>+'alb Note 11 - Cash'!$B$31</f>
        <v>0</v>
      </c>
      <c r="L1229" s="266"/>
      <c r="M1229" s="10"/>
      <c r="N1229" s="273">
        <f t="shared" si="738"/>
        <v>0</v>
      </c>
      <c r="O1229" s="12"/>
      <c r="P1229" s="12"/>
      <c r="Q1229" s="12"/>
      <c r="R1229" s="12"/>
      <c r="S1229" s="6">
        <f t="shared" si="741"/>
        <v>0</v>
      </c>
      <c r="T1229" s="273">
        <f t="shared" si="742"/>
        <v>0</v>
      </c>
      <c r="U1229" s="6">
        <f t="shared" si="743"/>
        <v>0</v>
      </c>
      <c r="V1229" s="6"/>
      <c r="W1229" s="6">
        <f t="shared" si="739"/>
        <v>0</v>
      </c>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X1229" s="6"/>
      <c r="AY1229" s="6"/>
      <c r="BA1229" s="6"/>
      <c r="BB1229" s="6"/>
      <c r="BC1229" s="6"/>
      <c r="BD1229" s="29">
        <v>0</v>
      </c>
      <c r="BE1229" s="322"/>
      <c r="BF1229" s="322"/>
      <c r="BG1229" s="322"/>
      <c r="BH1229" s="322"/>
      <c r="BI1229" s="322"/>
      <c r="BJ1229" s="322"/>
      <c r="BK1229" s="29">
        <f t="shared" si="740"/>
        <v>0</v>
      </c>
      <c r="BL1229" s="322"/>
      <c r="BM1229" s="322"/>
      <c r="BN1229" s="322"/>
      <c r="BO1229" s="322"/>
      <c r="BP1229" s="322"/>
      <c r="BQ1229" s="322"/>
      <c r="BR1229" s="322"/>
      <c r="BS1229" s="322"/>
      <c r="BT1229" s="322"/>
      <c r="BU1229" s="322"/>
      <c r="BV1229" s="322"/>
      <c r="BW1229" s="322"/>
      <c r="BX1229" s="322"/>
      <c r="BY1229" s="322"/>
      <c r="BZ1229" s="322"/>
      <c r="CA1229" s="322"/>
      <c r="CB1229" s="322"/>
      <c r="CC1229" s="322"/>
      <c r="CD1229" s="322"/>
      <c r="CE1229" s="322"/>
      <c r="CF1229" s="322"/>
      <c r="CG1229" s="322"/>
      <c r="CH1229" s="322"/>
      <c r="CI1229" s="322"/>
      <c r="CM1229" s="1139">
        <v>0</v>
      </c>
      <c r="CN1229" s="1139">
        <v>0</v>
      </c>
      <c r="CP1229" s="923">
        <f t="shared" si="744"/>
        <v>0</v>
      </c>
      <c r="CZ1229" s="330"/>
    </row>
    <row r="1230" spans="1:104" ht="15" customHeight="1" x14ac:dyDescent="0.25">
      <c r="A1230" s="684">
        <f>MAX($A$6:A1229)+1</f>
        <v>1230</v>
      </c>
      <c r="B1230" s="3">
        <f t="shared" si="730"/>
        <v>11.1</v>
      </c>
      <c r="C1230" s="11" t="str">
        <f t="shared" si="736"/>
        <v>Reconciliation of liabilities arising from financing activities</v>
      </c>
      <c r="D1230" s="11" t="s">
        <v>1279</v>
      </c>
      <c r="E1230" s="7" t="s">
        <v>2476</v>
      </c>
      <c r="F1230" s="7"/>
      <c r="G1230" s="1254" t="s">
        <v>1279</v>
      </c>
      <c r="H1230" s="6">
        <v>0</v>
      </c>
      <c r="I1230" s="1190"/>
      <c r="J1230" s="1254" t="s">
        <v>1279</v>
      </c>
      <c r="K1230" s="6">
        <f>+'alb Note 11 - Cash'!$C$31</f>
        <v>0</v>
      </c>
      <c r="L1230" s="266"/>
      <c r="M1230" s="10"/>
      <c r="N1230" s="273">
        <f t="shared" si="738"/>
        <v>0</v>
      </c>
      <c r="O1230" s="12"/>
      <c r="P1230" s="12"/>
      <c r="Q1230" s="12"/>
      <c r="R1230" s="12"/>
      <c r="S1230" s="6">
        <f t="shared" si="741"/>
        <v>0</v>
      </c>
      <c r="T1230" s="273">
        <f t="shared" si="742"/>
        <v>0</v>
      </c>
      <c r="U1230" s="6">
        <f t="shared" si="743"/>
        <v>0</v>
      </c>
      <c r="V1230" s="6"/>
      <c r="W1230" s="6">
        <f t="shared" si="739"/>
        <v>0</v>
      </c>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X1230" s="6"/>
      <c r="AY1230" s="6"/>
      <c r="BA1230" s="6"/>
      <c r="BB1230" s="6"/>
      <c r="BC1230" s="6"/>
      <c r="BD1230" s="29">
        <v>0</v>
      </c>
      <c r="BE1230" s="322"/>
      <c r="BF1230" s="322"/>
      <c r="BG1230" s="322"/>
      <c r="BH1230" s="322"/>
      <c r="BI1230" s="322"/>
      <c r="BJ1230" s="322"/>
      <c r="BK1230" s="29">
        <f t="shared" si="740"/>
        <v>0</v>
      </c>
      <c r="BL1230" s="322"/>
      <c r="BM1230" s="322"/>
      <c r="BN1230" s="322"/>
      <c r="BO1230" s="322"/>
      <c r="BP1230" s="322"/>
      <c r="BQ1230" s="322"/>
      <c r="BR1230" s="322"/>
      <c r="BS1230" s="322"/>
      <c r="BT1230" s="322"/>
      <c r="BU1230" s="322"/>
      <c r="BV1230" s="322"/>
      <c r="BW1230" s="322"/>
      <c r="BX1230" s="322"/>
      <c r="BY1230" s="322"/>
      <c r="BZ1230" s="322"/>
      <c r="CA1230" s="322"/>
      <c r="CB1230" s="322"/>
      <c r="CC1230" s="322"/>
      <c r="CD1230" s="322"/>
      <c r="CE1230" s="322"/>
      <c r="CF1230" s="322"/>
      <c r="CG1230" s="322"/>
      <c r="CH1230" s="322"/>
      <c r="CI1230" s="322"/>
      <c r="CM1230" s="1139">
        <v>0</v>
      </c>
      <c r="CN1230" s="1139">
        <v>0</v>
      </c>
      <c r="CP1230" s="923">
        <f t="shared" si="744"/>
        <v>0</v>
      </c>
      <c r="CZ1230" s="330"/>
    </row>
    <row r="1231" spans="1:104" ht="15" customHeight="1" x14ac:dyDescent="0.25">
      <c r="A1231" s="684">
        <f>MAX($A$6:A1230)+1</f>
        <v>1231</v>
      </c>
      <c r="B1231" s="3">
        <f t="shared" si="730"/>
        <v>11.1</v>
      </c>
      <c r="C1231" s="11" t="str">
        <f t="shared" si="736"/>
        <v>Reconciliation of liabilities arising from financing activities</v>
      </c>
      <c r="D1231" s="11" t="s">
        <v>533</v>
      </c>
      <c r="E1231" s="7" t="s">
        <v>2476</v>
      </c>
      <c r="F1231" s="7"/>
      <c r="G1231" s="1254" t="s">
        <v>533</v>
      </c>
      <c r="H1231" s="6">
        <v>0</v>
      </c>
      <c r="I1231" s="1190"/>
      <c r="J1231" s="1254" t="s">
        <v>533</v>
      </c>
      <c r="K1231" s="267"/>
      <c r="L1231" s="266"/>
      <c r="M1231" s="10"/>
      <c r="N1231" s="273">
        <f t="shared" si="738"/>
        <v>0</v>
      </c>
      <c r="O1231" s="12"/>
      <c r="P1231" s="12"/>
      <c r="Q1231" s="12"/>
      <c r="R1231" s="12"/>
      <c r="S1231" s="6">
        <f t="shared" si="720"/>
        <v>0</v>
      </c>
      <c r="T1231" s="273">
        <f t="shared" si="735"/>
        <v>0</v>
      </c>
      <c r="U1231" s="6">
        <f t="shared" si="737"/>
        <v>0</v>
      </c>
      <c r="V1231" s="6"/>
      <c r="W1231" s="6">
        <f t="shared" si="739"/>
        <v>0</v>
      </c>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X1231" s="6"/>
      <c r="AY1231" s="6"/>
      <c r="BA1231" s="6"/>
      <c r="BB1231" s="6"/>
      <c r="BC1231" s="6"/>
      <c r="BD1231" s="29">
        <v>0</v>
      </c>
      <c r="BE1231" s="322"/>
      <c r="BF1231" s="322"/>
      <c r="BG1231" s="322"/>
      <c r="BH1231" s="322"/>
      <c r="BI1231" s="322"/>
      <c r="BJ1231" s="322"/>
      <c r="BK1231" s="29">
        <f t="shared" si="740"/>
        <v>0</v>
      </c>
      <c r="BL1231" s="322"/>
      <c r="BM1231" s="322"/>
      <c r="BN1231" s="322"/>
      <c r="BO1231" s="322"/>
      <c r="BP1231" s="322"/>
      <c r="BQ1231" s="322"/>
      <c r="BR1231" s="322"/>
      <c r="BS1231" s="322"/>
      <c r="BT1231" s="322"/>
      <c r="BU1231" s="322"/>
      <c r="BV1231" s="322"/>
      <c r="BW1231" s="322"/>
      <c r="BX1231" s="322"/>
      <c r="BY1231" s="322"/>
      <c r="BZ1231" s="322"/>
      <c r="CA1231" s="322"/>
      <c r="CB1231" s="322"/>
      <c r="CC1231" s="322"/>
      <c r="CD1231" s="322"/>
      <c r="CE1231" s="322"/>
      <c r="CF1231" s="322"/>
      <c r="CG1231" s="322"/>
      <c r="CH1231" s="322"/>
      <c r="CI1231" s="322"/>
      <c r="CM1231" s="1139">
        <v>0</v>
      </c>
      <c r="CN1231" s="1139">
        <v>0</v>
      </c>
      <c r="CP1231" s="923">
        <f t="shared" si="744"/>
        <v>0</v>
      </c>
      <c r="CZ1231" s="330"/>
    </row>
    <row r="1232" spans="1:104" ht="15" customHeight="1" x14ac:dyDescent="0.25">
      <c r="A1232" s="684">
        <f>MAX($A$6:A1231)+1</f>
        <v>1232</v>
      </c>
      <c r="B1232" s="3">
        <f t="shared" si="730"/>
        <v>11.1</v>
      </c>
      <c r="C1232" s="11" t="str">
        <f t="shared" si="736"/>
        <v>Reconciliation of liabilities arising from financing activities</v>
      </c>
      <c r="D1232" s="11" t="s">
        <v>2472</v>
      </c>
      <c r="E1232" s="7" t="s">
        <v>2476</v>
      </c>
      <c r="F1232" s="7"/>
      <c r="G1232" s="1254" t="s">
        <v>2472</v>
      </c>
      <c r="H1232" s="6">
        <v>0</v>
      </c>
      <c r="I1232" s="1190"/>
      <c r="J1232" s="1254" t="s">
        <v>2472</v>
      </c>
      <c r="K1232" s="6">
        <f>+'alb Note 11 - Cash'!$E$31</f>
        <v>0</v>
      </c>
      <c r="L1232" s="266"/>
      <c r="M1232" s="10"/>
      <c r="N1232" s="273">
        <f>ROUND(SUM(O1232:S1232)+T1232+SUM(Z1232:AV1232),0)</f>
        <v>0</v>
      </c>
      <c r="O1232" s="12"/>
      <c r="P1232" s="12"/>
      <c r="Q1232" s="12"/>
      <c r="R1232" s="12"/>
      <c r="S1232" s="6">
        <f t="shared" si="720"/>
        <v>0</v>
      </c>
      <c r="T1232" s="273">
        <f t="shared" si="735"/>
        <v>0</v>
      </c>
      <c r="U1232" s="6">
        <f t="shared" si="737"/>
        <v>0</v>
      </c>
      <c r="V1232" s="6"/>
      <c r="W1232" s="6">
        <f t="shared" si="729"/>
        <v>0</v>
      </c>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X1232" s="6"/>
      <c r="AY1232" s="6"/>
      <c r="BA1232" s="6"/>
      <c r="BB1232" s="6"/>
      <c r="BC1232" s="6"/>
      <c r="BD1232" s="29">
        <v>0</v>
      </c>
      <c r="BE1232" s="322"/>
      <c r="BF1232" s="322"/>
      <c r="BG1232" s="322"/>
      <c r="BH1232" s="322"/>
      <c r="BI1232" s="322"/>
      <c r="BJ1232" s="322"/>
      <c r="BK1232" s="29">
        <f t="shared" si="727"/>
        <v>0</v>
      </c>
      <c r="BL1232" s="322"/>
      <c r="BM1232" s="322"/>
      <c r="BN1232" s="322"/>
      <c r="BO1232" s="322"/>
      <c r="BP1232" s="322"/>
      <c r="BQ1232" s="322"/>
      <c r="BR1232" s="322"/>
      <c r="BS1232" s="322"/>
      <c r="BT1232" s="322"/>
      <c r="BU1232" s="322"/>
      <c r="BV1232" s="322"/>
      <c r="BW1232" s="322"/>
      <c r="BX1232" s="322"/>
      <c r="BY1232" s="322"/>
      <c r="BZ1232" s="322"/>
      <c r="CA1232" s="322"/>
      <c r="CB1232" s="322"/>
      <c r="CC1232" s="322"/>
      <c r="CD1232" s="322"/>
      <c r="CE1232" s="322"/>
      <c r="CF1232" s="322"/>
      <c r="CG1232" s="322"/>
      <c r="CH1232" s="322"/>
      <c r="CI1232" s="322"/>
      <c r="CM1232" s="1139">
        <v>0</v>
      </c>
      <c r="CN1232" s="1139">
        <v>0</v>
      </c>
      <c r="CP1232" s="923">
        <f t="shared" si="744"/>
        <v>0</v>
      </c>
      <c r="CZ1232" s="330"/>
    </row>
    <row r="1233" spans="1:104" ht="15" customHeight="1" x14ac:dyDescent="0.25">
      <c r="A1233" s="684">
        <f>MAX($A$6:A1232)+1</f>
        <v>1233</v>
      </c>
      <c r="B1233" s="3">
        <f t="shared" si="730"/>
        <v>11.1</v>
      </c>
      <c r="C1233" s="11" t="str">
        <f t="shared" si="736"/>
        <v>Reconciliation of liabilities arising from financing activities</v>
      </c>
      <c r="D1233" s="11" t="s">
        <v>2473</v>
      </c>
      <c r="E1233" s="7" t="s">
        <v>2476</v>
      </c>
      <c r="F1233" s="7"/>
      <c r="G1233" s="1254" t="s">
        <v>2473</v>
      </c>
      <c r="H1233" s="6">
        <v>0</v>
      </c>
      <c r="I1233" s="1190"/>
      <c r="J1233" s="1254" t="s">
        <v>2473</v>
      </c>
      <c r="K1233" s="6">
        <f>+'alb Note 11 - Cash'!$F$31</f>
        <v>0</v>
      </c>
      <c r="L1233" s="266"/>
      <c r="M1233" s="10"/>
      <c r="N1233" s="273">
        <f>ROUND(SUM(O1233:S1233)+T1233+SUM(Z1233:AV1233),0)</f>
        <v>0</v>
      </c>
      <c r="O1233" s="12"/>
      <c r="P1233" s="12"/>
      <c r="Q1233" s="12"/>
      <c r="R1233" s="12"/>
      <c r="S1233" s="6">
        <f t="shared" si="720"/>
        <v>0</v>
      </c>
      <c r="T1233" s="273">
        <f t="shared" si="735"/>
        <v>0</v>
      </c>
      <c r="U1233" s="6">
        <f t="shared" si="737"/>
        <v>0</v>
      </c>
      <c r="V1233" s="6"/>
      <c r="W1233" s="6">
        <f t="shared" si="729"/>
        <v>0</v>
      </c>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X1233" s="6"/>
      <c r="AY1233" s="6"/>
      <c r="BA1233" s="6"/>
      <c r="BB1233" s="6"/>
      <c r="BC1233" s="6"/>
      <c r="BD1233" s="29">
        <v>0</v>
      </c>
      <c r="BE1233" s="322"/>
      <c r="BF1233" s="322"/>
      <c r="BG1233" s="322"/>
      <c r="BH1233" s="322"/>
      <c r="BI1233" s="322"/>
      <c r="BJ1233" s="322"/>
      <c r="BK1233" s="29">
        <f t="shared" si="727"/>
        <v>0</v>
      </c>
      <c r="BL1233" s="322"/>
      <c r="BM1233" s="322"/>
      <c r="BN1233" s="322"/>
      <c r="BO1233" s="322"/>
      <c r="BP1233" s="322"/>
      <c r="BQ1233" s="322"/>
      <c r="BR1233" s="322"/>
      <c r="BS1233" s="322"/>
      <c r="BT1233" s="322"/>
      <c r="BU1233" s="322"/>
      <c r="BV1233" s="322"/>
      <c r="BW1233" s="322"/>
      <c r="BX1233" s="322"/>
      <c r="BY1233" s="322"/>
      <c r="BZ1233" s="322"/>
      <c r="CA1233" s="322"/>
      <c r="CB1233" s="322"/>
      <c r="CC1233" s="322"/>
      <c r="CD1233" s="322"/>
      <c r="CE1233" s="322"/>
      <c r="CF1233" s="322"/>
      <c r="CG1233" s="322"/>
      <c r="CH1233" s="322"/>
      <c r="CI1233" s="322"/>
      <c r="CM1233" s="1139">
        <v>0</v>
      </c>
      <c r="CN1233" s="1139">
        <v>0</v>
      </c>
      <c r="CP1233" s="923">
        <f t="shared" si="744"/>
        <v>0</v>
      </c>
      <c r="CZ1233" s="330"/>
    </row>
    <row r="1234" spans="1:104" ht="15" customHeight="1" x14ac:dyDescent="0.25">
      <c r="A1234" s="684">
        <f>MAX($A$6:A1233)+1</f>
        <v>1234</v>
      </c>
      <c r="B1234" s="3">
        <f t="shared" si="730"/>
        <v>11.1</v>
      </c>
      <c r="C1234" s="11" t="str">
        <f t="shared" si="736"/>
        <v>Reconciliation of liabilities arising from financing activities</v>
      </c>
      <c r="D1234" s="11" t="s">
        <v>1654</v>
      </c>
      <c r="E1234" s="7" t="s">
        <v>2476</v>
      </c>
      <c r="F1234" s="7"/>
      <c r="G1234" s="1254" t="s">
        <v>1654</v>
      </c>
      <c r="H1234" s="6">
        <v>0</v>
      </c>
      <c r="I1234" s="1190"/>
      <c r="J1234" s="1254" t="s">
        <v>1654</v>
      </c>
      <c r="K1234" s="6">
        <f>+'alb Note 11 - Cash'!$G$31</f>
        <v>0</v>
      </c>
      <c r="L1234" s="266"/>
      <c r="M1234" s="10"/>
      <c r="N1234" s="273">
        <f>ROUND(SUM(O1234:S1234)+T1234+SUM(Z1234:AV1234),0)</f>
        <v>0</v>
      </c>
      <c r="O1234" s="12"/>
      <c r="P1234" s="12"/>
      <c r="Q1234" s="12"/>
      <c r="R1234" s="12"/>
      <c r="S1234" s="6">
        <f t="shared" si="720"/>
        <v>0</v>
      </c>
      <c r="T1234" s="273">
        <f t="shared" si="735"/>
        <v>0</v>
      </c>
      <c r="U1234" s="6">
        <f t="shared" si="737"/>
        <v>0</v>
      </c>
      <c r="V1234" s="6"/>
      <c r="W1234" s="6">
        <f t="shared" si="729"/>
        <v>0</v>
      </c>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X1234" s="6"/>
      <c r="AY1234" s="6"/>
      <c r="BA1234" s="6"/>
      <c r="BB1234" s="6"/>
      <c r="BC1234" s="6"/>
      <c r="BD1234" s="29">
        <v>0</v>
      </c>
      <c r="BE1234" s="322"/>
      <c r="BF1234" s="322"/>
      <c r="BG1234" s="322"/>
      <c r="BH1234" s="322"/>
      <c r="BI1234" s="322"/>
      <c r="BJ1234" s="322"/>
      <c r="BK1234" s="29">
        <f t="shared" si="727"/>
        <v>0</v>
      </c>
      <c r="BL1234" s="322"/>
      <c r="BM1234" s="322"/>
      <c r="BN1234" s="322"/>
      <c r="BO1234" s="322"/>
      <c r="BP1234" s="322"/>
      <c r="BQ1234" s="322"/>
      <c r="BR1234" s="322"/>
      <c r="BS1234" s="322"/>
      <c r="BT1234" s="322"/>
      <c r="BU1234" s="322"/>
      <c r="BV1234" s="322"/>
      <c r="BW1234" s="322"/>
      <c r="BX1234" s="322"/>
      <c r="BY1234" s="322"/>
      <c r="BZ1234" s="322"/>
      <c r="CA1234" s="322"/>
      <c r="CB1234" s="322"/>
      <c r="CC1234" s="322"/>
      <c r="CD1234" s="322"/>
      <c r="CE1234" s="322"/>
      <c r="CF1234" s="322"/>
      <c r="CG1234" s="322"/>
      <c r="CH1234" s="322"/>
      <c r="CI1234" s="322"/>
      <c r="CM1234" s="1139">
        <v>0</v>
      </c>
      <c r="CN1234" s="1139">
        <v>0</v>
      </c>
      <c r="CP1234" s="923">
        <f t="shared" si="744"/>
        <v>0</v>
      </c>
      <c r="CZ1234" s="330"/>
    </row>
    <row r="1235" spans="1:104" ht="18.75" customHeight="1" x14ac:dyDescent="0.25">
      <c r="A1235" s="1297">
        <f>MAX($A$6:A1234)+1</f>
        <v>1235</v>
      </c>
      <c r="B1235" s="1295">
        <f>SUMIF(Update!$B$33:$B$106,C1235,Update!$A$33:$A$106)</f>
        <v>12</v>
      </c>
      <c r="C1235" s="696" t="s">
        <v>1700</v>
      </c>
      <c r="D1235" s="695"/>
      <c r="E1235" s="696" t="str">
        <f>B1235&amp;" "&amp;C1235</f>
        <v>12 Trade receivables, financial and other assets</v>
      </c>
      <c r="F1235" s="697"/>
      <c r="G1235" s="697"/>
      <c r="H1235" s="695"/>
      <c r="I1235" s="695"/>
      <c r="J1235" s="698" t="s">
        <v>286</v>
      </c>
      <c r="K1235" s="699">
        <f>SUMIF('alb Note 12 Trade Receivables'!$A:$A,$J1235,'alb Note 12 Trade Receivables'!$B:$B)</f>
        <v>0</v>
      </c>
      <c r="L1235" s="699">
        <f>SUMIF('alb Note 12 Trade Receivables'!$A:$A,$J1235,'alb Note 12 Trade Receivables'!$B:$B)</f>
        <v>0</v>
      </c>
      <c r="M1235" s="695"/>
      <c r="N1235" s="713">
        <f>ROUND(SUM(O1235:S1235)+T1235+SUM(Z1235:AV1235),0)</f>
        <v>0</v>
      </c>
      <c r="O1235" s="695"/>
      <c r="P1235" s="695"/>
      <c r="Q1235" s="695"/>
      <c r="R1235" s="695"/>
      <c r="S1235" s="695">
        <f t="shared" si="720"/>
        <v>0</v>
      </c>
      <c r="T1235" s="713">
        <f t="shared" si="735"/>
        <v>0</v>
      </c>
      <c r="U1235" s="695"/>
      <c r="V1235" s="695"/>
      <c r="W1235" s="695"/>
      <c r="X1235" s="695"/>
      <c r="Y1235" s="695"/>
      <c r="Z1235" s="695"/>
      <c r="AA1235" s="695"/>
      <c r="AB1235" s="695"/>
      <c r="AC1235" s="695"/>
      <c r="AD1235" s="695"/>
      <c r="AE1235" s="695"/>
      <c r="AF1235" s="695"/>
      <c r="AG1235" s="695"/>
      <c r="AH1235" s="695"/>
      <c r="AI1235" s="695"/>
      <c r="AJ1235" s="695"/>
      <c r="AK1235" s="695"/>
      <c r="AL1235" s="695"/>
      <c r="AM1235" s="695"/>
      <c r="AN1235" s="695"/>
      <c r="AO1235" s="695"/>
      <c r="AP1235" s="695"/>
      <c r="AQ1235" s="695"/>
      <c r="AR1235" s="695"/>
      <c r="AS1235" s="695"/>
      <c r="AT1235" s="695"/>
      <c r="AU1235" s="695"/>
      <c r="AV1235" s="695"/>
      <c r="AW1235" s="700"/>
      <c r="AX1235" s="700"/>
      <c r="AY1235" s="700">
        <f>ROUND(AX1235/1000/Update!$B$31*Update!$B$27,0)</f>
        <v>0</v>
      </c>
      <c r="AZ1235" s="700"/>
      <c r="BA1235" s="700"/>
      <c r="BB1235" s="700">
        <f>ROUND(BA1235/1000/Update!$B$31,0)</f>
        <v>0</v>
      </c>
      <c r="BC1235" s="700"/>
      <c r="BD1235" s="721">
        <f t="shared" ref="BD1235:BD1309" si="745">ROUND(SUM(BE1235:BK1235),0)</f>
        <v>0</v>
      </c>
      <c r="BE1235" s="700"/>
      <c r="BF1235" s="700"/>
      <c r="BG1235" s="700"/>
      <c r="BH1235" s="700"/>
      <c r="BI1235" s="700"/>
      <c r="BJ1235" s="700"/>
      <c r="BK1235" s="721">
        <f t="shared" si="727"/>
        <v>0</v>
      </c>
      <c r="BL1235" s="700"/>
      <c r="BM1235" s="700"/>
      <c r="BN1235" s="700"/>
      <c r="BO1235" s="700"/>
      <c r="BP1235" s="700"/>
      <c r="BQ1235" s="700"/>
      <c r="BR1235" s="700"/>
      <c r="BS1235" s="700"/>
      <c r="BT1235" s="700"/>
      <c r="BU1235" s="700"/>
      <c r="BV1235" s="700"/>
      <c r="BW1235" s="700"/>
      <c r="BX1235" s="700"/>
      <c r="BY1235" s="700"/>
      <c r="BZ1235" s="700"/>
      <c r="CA1235" s="700"/>
      <c r="CB1235" s="700"/>
      <c r="CC1235" s="700"/>
      <c r="CD1235" s="700"/>
      <c r="CE1235" s="700"/>
      <c r="CF1235" s="700"/>
      <c r="CG1235" s="700"/>
      <c r="CH1235" s="700"/>
      <c r="CI1235" s="700"/>
      <c r="CJ1235" s="700"/>
      <c r="CK1235" s="700"/>
      <c r="CM1235" s="700">
        <v>0</v>
      </c>
      <c r="CN1235" s="700">
        <v>0</v>
      </c>
      <c r="CP1235" s="923">
        <f t="shared" si="744"/>
        <v>0</v>
      </c>
      <c r="CZ1235" s="330"/>
    </row>
    <row r="1236" spans="1:104" ht="15" customHeight="1" x14ac:dyDescent="0.25">
      <c r="A1236" s="684">
        <f>MAX($A$6:A1235)+1</f>
        <v>1236</v>
      </c>
      <c r="B1236" s="3">
        <f t="shared" si="730"/>
        <v>12</v>
      </c>
      <c r="C1236" s="11" t="str">
        <f t="shared" si="725"/>
        <v>Trade receivables, financial and other assets</v>
      </c>
      <c r="D1236" s="11"/>
      <c r="E1236" s="13" t="s">
        <v>229</v>
      </c>
      <c r="F1236" s="13"/>
      <c r="G1236" s="26"/>
      <c r="H1236" s="6"/>
      <c r="I1236" s="6"/>
      <c r="J1236" s="1257" t="s">
        <v>286</v>
      </c>
      <c r="K1236" s="251">
        <f>SUMIF('alb Note 12 Trade Receivables'!$A:$A,$J1236,'alb Note 12 Trade Receivables'!$B:$B)</f>
        <v>0</v>
      </c>
      <c r="L1236" s="251">
        <f>SUMIF('alb Note 12 Trade Receivables'!$A:$A,$J1236,'alb Note 12 Trade Receivables'!$E:$E)</f>
        <v>0</v>
      </c>
      <c r="M1236" s="10"/>
      <c r="N1236" s="273">
        <f>ROUND(SUM(O1236:S1236)+T1236+SUM(Z1236:AV1236),0)</f>
        <v>0</v>
      </c>
      <c r="O1236" s="12"/>
      <c r="P1236" s="12"/>
      <c r="Q1236" s="12"/>
      <c r="R1236" s="12"/>
      <c r="S1236" s="6">
        <f t="shared" si="720"/>
        <v>0</v>
      </c>
      <c r="T1236" s="273">
        <f t="shared" si="735"/>
        <v>0</v>
      </c>
      <c r="U1236" s="6">
        <f>SUM(BL1236:BN1236)</f>
        <v>0</v>
      </c>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X1236" s="6"/>
      <c r="AY1236" s="6">
        <f>ROUND(AX1236/1000/Update!$B$31*Update!$B$27,0)</f>
        <v>0</v>
      </c>
      <c r="BA1236" s="6"/>
      <c r="BB1236" s="6">
        <f>ROUND(BA1236/1000/Update!$B$31,0)</f>
        <v>0</v>
      </c>
      <c r="BC1236" s="6"/>
      <c r="BD1236" s="29">
        <f t="shared" si="745"/>
        <v>0</v>
      </c>
      <c r="BE1236" s="317"/>
      <c r="BF1236" s="317"/>
      <c r="BG1236" s="317"/>
      <c r="BH1236" s="317"/>
      <c r="BI1236" s="317"/>
      <c r="BJ1236" s="317"/>
      <c r="BK1236" s="29">
        <f t="shared" si="727"/>
        <v>0</v>
      </c>
      <c r="BL1236" s="317"/>
      <c r="BM1236" s="317"/>
      <c r="BN1236" s="317"/>
      <c r="BO1236" s="317"/>
      <c r="BP1236" s="317"/>
      <c r="BQ1236" s="317"/>
      <c r="BR1236" s="317"/>
      <c r="BS1236" s="317"/>
      <c r="BT1236" s="317"/>
      <c r="BU1236" s="317"/>
      <c r="BV1236" s="317"/>
      <c r="BW1236" s="317"/>
      <c r="BX1236" s="317"/>
      <c r="BY1236" s="317"/>
      <c r="BZ1236" s="317"/>
      <c r="CA1236" s="317"/>
      <c r="CB1236" s="317"/>
      <c r="CC1236" s="317"/>
      <c r="CD1236" s="317"/>
      <c r="CE1236" s="317"/>
      <c r="CF1236" s="317"/>
      <c r="CG1236" s="317"/>
      <c r="CH1236" s="317"/>
      <c r="CI1236" s="317"/>
      <c r="CM1236" s="1139">
        <v>0</v>
      </c>
      <c r="CN1236" s="1139">
        <v>0</v>
      </c>
      <c r="CP1236" s="923">
        <f t="shared" si="744"/>
        <v>0</v>
      </c>
      <c r="CZ1236" s="330"/>
    </row>
    <row r="1237" spans="1:104" ht="15" customHeight="1" x14ac:dyDescent="0.25">
      <c r="A1237" s="684">
        <f>MAX($A$6:A1236)+1</f>
        <v>1237</v>
      </c>
      <c r="B1237" s="3">
        <f t="shared" si="730"/>
        <v>12</v>
      </c>
      <c r="C1237" s="11" t="str">
        <f>C1236</f>
        <v>Trade receivables, financial and other assets</v>
      </c>
      <c r="D1237" s="11"/>
      <c r="E1237" s="7" t="s">
        <v>230</v>
      </c>
      <c r="F1237" s="7"/>
      <c r="G1237" s="1254" t="s">
        <v>230</v>
      </c>
      <c r="H1237" s="6">
        <v>0</v>
      </c>
      <c r="I1237" s="6">
        <v>0</v>
      </c>
      <c r="J1237" s="1257" t="s">
        <v>775</v>
      </c>
      <c r="K1237" s="251">
        <f>SUMIF('alb Note 12 Trade Receivables'!$A:$A,$J1237,'alb Note 12 Trade Receivables'!$B:$B)</f>
        <v>0</v>
      </c>
      <c r="L1237" s="251">
        <f>SUMIF('alb Note 12 Trade Receivables'!$A:$A,$J1237,'alb Note 12 Trade Receivables'!$E:$E)</f>
        <v>0</v>
      </c>
      <c r="M1237" s="10"/>
      <c r="N1237" s="273">
        <f>ROUND(SUM(O1237:S1237)+SUM(W1237:AV1237),0)</f>
        <v>0</v>
      </c>
      <c r="O1237" s="12"/>
      <c r="P1237" s="12"/>
      <c r="Q1237" s="12"/>
      <c r="R1237" s="12"/>
      <c r="S1237" s="6">
        <f t="shared" si="720"/>
        <v>0</v>
      </c>
      <c r="T1237" s="273">
        <f t="shared" si="735"/>
        <v>0</v>
      </c>
      <c r="U1237" s="6">
        <f>-SUM(BL1237:BN1237)</f>
        <v>0</v>
      </c>
      <c r="V1237" s="6"/>
      <c r="W1237" s="6">
        <f t="shared" ref="W1237:W1252" si="746">+H1237</f>
        <v>0</v>
      </c>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X1237" s="6"/>
      <c r="AY1237" s="6">
        <f>ROUND(AX1237/1000/Update!$B$31*Update!$B$27,0)</f>
        <v>0</v>
      </c>
      <c r="BA1237" s="6"/>
      <c r="BB1237" s="6">
        <f>ROUND(BA1237/1000/Update!$B$31,0)</f>
        <v>0</v>
      </c>
      <c r="BC1237" s="6"/>
      <c r="BD1237" s="29">
        <f t="shared" si="745"/>
        <v>0</v>
      </c>
      <c r="BE1237" s="317"/>
      <c r="BF1237" s="317"/>
      <c r="BG1237" s="317"/>
      <c r="BI1237" s="317"/>
      <c r="BJ1237" s="317"/>
      <c r="BK1237" s="29">
        <f t="shared" si="727"/>
        <v>0</v>
      </c>
      <c r="BL1237" s="317"/>
      <c r="BM1237" s="317"/>
      <c r="BN1237" s="317"/>
      <c r="BO1237" s="317"/>
      <c r="BP1237" s="317"/>
      <c r="BQ1237" s="317"/>
      <c r="BR1237" s="317"/>
      <c r="BS1237" s="317"/>
      <c r="BT1237" s="317"/>
      <c r="BU1237" s="317"/>
      <c r="BV1237" s="317"/>
      <c r="BW1237" s="317"/>
      <c r="BX1237" s="317"/>
      <c r="BY1237" s="317"/>
      <c r="BZ1237" s="317"/>
      <c r="CA1237" s="317"/>
      <c r="CB1237" s="317"/>
      <c r="CC1237" s="317"/>
      <c r="CD1237" s="317"/>
      <c r="CE1237" s="317"/>
      <c r="CF1237" s="317"/>
      <c r="CG1237" s="317"/>
      <c r="CH1237" s="317"/>
      <c r="CI1237" s="317"/>
      <c r="CM1237" s="1139">
        <v>0</v>
      </c>
      <c r="CN1237" s="1139">
        <v>0</v>
      </c>
      <c r="CP1237" s="923">
        <f t="shared" si="744"/>
        <v>0</v>
      </c>
      <c r="CZ1237" s="330"/>
    </row>
    <row r="1238" spans="1:104" ht="15" customHeight="1" x14ac:dyDescent="0.25">
      <c r="A1238" s="684">
        <f>MAX($A$6:A1237)+1</f>
        <v>1238</v>
      </c>
      <c r="B1238" s="3">
        <f t="shared" si="730"/>
        <v>12</v>
      </c>
      <c r="C1238" s="11" t="str">
        <f t="shared" si="725"/>
        <v>Trade receivables, financial and other assets</v>
      </c>
      <c r="D1238" s="11"/>
      <c r="E1238" s="7" t="s">
        <v>231</v>
      </c>
      <c r="F1238" s="7"/>
      <c r="G1238" s="1254" t="s">
        <v>231</v>
      </c>
      <c r="H1238" s="6">
        <v>0</v>
      </c>
      <c r="I1238" s="6">
        <v>0</v>
      </c>
      <c r="J1238" s="1257" t="s">
        <v>231</v>
      </c>
      <c r="K1238" s="251">
        <f>SUMIF('alb Note 12 Trade Receivables'!$A:$A,$J1238,'alb Note 12 Trade Receivables'!$B:$B)</f>
        <v>0</v>
      </c>
      <c r="L1238" s="251">
        <f>SUMIF('alb Note 12 Trade Receivables'!$A:$A,$J1238,'alb Note 12 Trade Receivables'!$E:$E)</f>
        <v>0</v>
      </c>
      <c r="M1238" s="10"/>
      <c r="N1238" s="273">
        <f>ROUND(SUM(O1238:S1238)+SUM(W1238:AV1238),0)</f>
        <v>0</v>
      </c>
      <c r="O1238" s="12"/>
      <c r="P1238" s="12"/>
      <c r="Q1238" s="12"/>
      <c r="R1238" s="12"/>
      <c r="S1238" s="6">
        <f>-IF(ISNUMBER(BD1238),BD1238,0)</f>
        <v>0</v>
      </c>
      <c r="T1238" s="273">
        <f>ROUND(SUM(U1238:Y1238),0)</f>
        <v>0</v>
      </c>
      <c r="U1238" s="6">
        <f t="shared" ref="U1238:U1252" si="747">-SUM(BL1238:BN1238)</f>
        <v>0</v>
      </c>
      <c r="V1238" s="1527">
        <f>IF(-U1266+U1311&gt;0,(-U1266+U1311),0)</f>
        <v>0</v>
      </c>
      <c r="W1238" s="6">
        <f t="shared" si="746"/>
        <v>0</v>
      </c>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X1238" s="6"/>
      <c r="AY1238" s="6">
        <f>ROUND(AX1238/1000/Update!$B$31*Update!$B$27,0)</f>
        <v>0</v>
      </c>
      <c r="BA1238" s="6"/>
      <c r="BB1238" s="6">
        <f>ROUND(BA1238/1000/Update!$B$31,0)</f>
        <v>0</v>
      </c>
      <c r="BC1238" s="6"/>
      <c r="BD1238" s="29">
        <f t="shared" si="745"/>
        <v>0</v>
      </c>
      <c r="BE1238" s="317"/>
      <c r="BF1238" s="317"/>
      <c r="BG1238" s="1139"/>
      <c r="BI1238" s="317"/>
      <c r="BJ1238" s="1527">
        <f>IF(BK1266-BK1311&gt;0,-(BK1266-BK1311),0)</f>
        <v>0</v>
      </c>
      <c r="BK1238" s="29">
        <f t="shared" si="727"/>
        <v>0</v>
      </c>
      <c r="BL1238" s="317"/>
      <c r="BM1238" s="317"/>
      <c r="BN1238" s="317"/>
      <c r="BO1238" s="317"/>
      <c r="BP1238" s="317"/>
      <c r="BQ1238" s="317"/>
      <c r="BR1238" s="317"/>
      <c r="BS1238" s="317"/>
      <c r="BT1238" s="317"/>
      <c r="BU1238" s="317"/>
      <c r="BV1238" s="317"/>
      <c r="BW1238" s="317"/>
      <c r="BX1238" s="317"/>
      <c r="BY1238" s="317"/>
      <c r="BZ1238" s="317"/>
      <c r="CA1238" s="317"/>
      <c r="CB1238" s="317"/>
      <c r="CC1238" s="317"/>
      <c r="CD1238" s="317"/>
      <c r="CE1238" s="317"/>
      <c r="CF1238" s="317"/>
      <c r="CG1238" s="317"/>
      <c r="CH1238" s="317"/>
      <c r="CI1238" s="317"/>
      <c r="CM1238" s="1139">
        <v>-68</v>
      </c>
      <c r="CN1238" s="1139">
        <v>69837</v>
      </c>
      <c r="CP1238" s="923">
        <f t="shared" si="744"/>
        <v>-68</v>
      </c>
      <c r="CZ1238" s="330"/>
    </row>
    <row r="1239" spans="1:104" ht="25.5" customHeight="1" x14ac:dyDescent="0.25">
      <c r="A1239" s="684">
        <f>MAX($A$6:A1238)+1</f>
        <v>1239</v>
      </c>
      <c r="B1239" s="3">
        <f t="shared" si="730"/>
        <v>12</v>
      </c>
      <c r="C1239" s="11" t="str">
        <f t="shared" si="725"/>
        <v>Trade receivables, financial and other assets</v>
      </c>
      <c r="D1239" s="11"/>
      <c r="E1239" s="7" t="s">
        <v>232</v>
      </c>
      <c r="F1239" s="7"/>
      <c r="G1239" s="1254" t="s">
        <v>232</v>
      </c>
      <c r="H1239" s="6">
        <v>0</v>
      </c>
      <c r="I1239" s="6">
        <v>0</v>
      </c>
      <c r="J1239" s="1257" t="s">
        <v>286</v>
      </c>
      <c r="K1239" s="251">
        <f>SUMIF('alb Note 12 Trade Receivables'!$A:$A,$J1239,'alb Note 12 Trade Receivables'!$B:$B)</f>
        <v>0</v>
      </c>
      <c r="L1239" s="251">
        <f>SUMIF('alb Note 12 Trade Receivables'!$A:$A,$J1239,'alb Note 12 Trade Receivables'!$E:$E)</f>
        <v>0</v>
      </c>
      <c r="M1239" s="10"/>
      <c r="N1239" s="273">
        <f t="shared" ref="N1239:N1246" si="748">ROUND(SUM(O1239:S1239)+SUM(W1239:AV1239),0)</f>
        <v>0</v>
      </c>
      <c r="O1239" s="12"/>
      <c r="P1239" s="12"/>
      <c r="Q1239" s="12"/>
      <c r="R1239" s="12"/>
      <c r="S1239" s="6">
        <f t="shared" si="720"/>
        <v>0</v>
      </c>
      <c r="T1239" s="273">
        <f>ROUND(SUM(U1239:Y1239),0)</f>
        <v>0</v>
      </c>
      <c r="U1239" s="6">
        <f t="shared" si="747"/>
        <v>0</v>
      </c>
      <c r="V1239" s="6"/>
      <c r="W1239" s="6">
        <f t="shared" si="746"/>
        <v>0</v>
      </c>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X1239" s="6"/>
      <c r="AY1239" s="6">
        <f>ROUND(AX1239/1000/Update!$B$31*Update!$B$27,0)</f>
        <v>0</v>
      </c>
      <c r="BA1239" s="6"/>
      <c r="BB1239" s="6">
        <f>ROUND(BA1239/1000/Update!$B$31,0)</f>
        <v>0</v>
      </c>
      <c r="BC1239" s="6"/>
      <c r="BD1239" s="29">
        <f t="shared" si="745"/>
        <v>0</v>
      </c>
      <c r="BE1239" s="317"/>
      <c r="BF1239" s="317"/>
      <c r="BH1239" s="317"/>
      <c r="BI1239" s="317"/>
      <c r="BJ1239" s="317"/>
      <c r="BK1239" s="29">
        <f t="shared" si="727"/>
        <v>0</v>
      </c>
      <c r="BL1239" s="317"/>
      <c r="BM1239" s="317"/>
      <c r="BN1239" s="317"/>
      <c r="BO1239" s="317"/>
      <c r="BP1239" s="317"/>
      <c r="BQ1239" s="317"/>
      <c r="BR1239" s="317"/>
      <c r="BS1239" s="317"/>
      <c r="BT1239" s="317"/>
      <c r="BU1239" s="317"/>
      <c r="BV1239" s="317"/>
      <c r="BW1239" s="317"/>
      <c r="BX1239" s="317"/>
      <c r="BY1239" s="317"/>
      <c r="BZ1239" s="317"/>
      <c r="CA1239" s="317"/>
      <c r="CB1239" s="317"/>
      <c r="CC1239" s="317"/>
      <c r="CD1239" s="317"/>
      <c r="CE1239" s="317"/>
      <c r="CF1239" s="317"/>
      <c r="CG1239" s="317"/>
      <c r="CH1239" s="317"/>
      <c r="CI1239" s="317"/>
      <c r="CM1239" s="1139">
        <v>0</v>
      </c>
      <c r="CN1239" s="1139">
        <v>0</v>
      </c>
      <c r="CP1239" s="923">
        <f t="shared" si="744"/>
        <v>0</v>
      </c>
      <c r="CZ1239" s="330"/>
    </row>
    <row r="1240" spans="1:104" ht="30" customHeight="1" x14ac:dyDescent="0.25">
      <c r="A1240" s="684">
        <f>MAX($A$6:A1239)+1</f>
        <v>1240</v>
      </c>
      <c r="B1240" s="3">
        <f t="shared" si="730"/>
        <v>12</v>
      </c>
      <c r="C1240" s="11" t="str">
        <f t="shared" si="725"/>
        <v>Trade receivables, financial and other assets</v>
      </c>
      <c r="D1240" s="11"/>
      <c r="E1240" s="7" t="s">
        <v>233</v>
      </c>
      <c r="F1240" s="7"/>
      <c r="G1240" s="1254" t="s">
        <v>233</v>
      </c>
      <c r="H1240" s="6"/>
      <c r="I1240" s="6">
        <v>0</v>
      </c>
      <c r="J1240" s="1257" t="s">
        <v>233</v>
      </c>
      <c r="K1240" s="251">
        <f>SUMIF('alb Note 12 Trade Receivables'!$A:$A,$J1240,'alb Note 12 Trade Receivables'!$B:$B)</f>
        <v>0</v>
      </c>
      <c r="L1240" s="251">
        <f>SUMIF('alb Note 12 Trade Receivables'!$A:$A,$J1240,'alb Note 12 Trade Receivables'!$E:$E)</f>
        <v>0</v>
      </c>
      <c r="M1240" s="10"/>
      <c r="N1240" s="273">
        <f t="shared" si="748"/>
        <v>0</v>
      </c>
      <c r="O1240" s="12"/>
      <c r="P1240" s="12"/>
      <c r="Q1240" s="12"/>
      <c r="R1240" s="12"/>
      <c r="S1240" s="6">
        <f t="shared" si="720"/>
        <v>0</v>
      </c>
      <c r="T1240" s="273">
        <f t="shared" si="735"/>
        <v>0</v>
      </c>
      <c r="U1240" s="6">
        <f t="shared" si="747"/>
        <v>0</v>
      </c>
      <c r="V1240" s="6"/>
      <c r="W1240" s="6">
        <f t="shared" si="746"/>
        <v>0</v>
      </c>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X1240" s="6"/>
      <c r="AY1240" s="6">
        <f>ROUND(AX1240/1000/Update!$B$31*Update!$B$27,0)</f>
        <v>0</v>
      </c>
      <c r="BA1240" s="6"/>
      <c r="BB1240" s="6">
        <f>ROUND(BA1240/1000/Update!$B$31,0)</f>
        <v>0</v>
      </c>
      <c r="BC1240" s="6"/>
      <c r="BD1240" s="29">
        <f t="shared" si="745"/>
        <v>0</v>
      </c>
      <c r="BE1240" s="317"/>
      <c r="BF1240" s="317"/>
      <c r="BG1240" s="317"/>
      <c r="BH1240" s="317"/>
      <c r="BI1240" s="317"/>
      <c r="BJ1240" s="317"/>
      <c r="BK1240" s="29">
        <f t="shared" si="727"/>
        <v>0</v>
      </c>
      <c r="BL1240" s="317"/>
      <c r="BM1240" s="317"/>
      <c r="BN1240" s="317"/>
      <c r="BO1240" s="317"/>
      <c r="BP1240" s="317"/>
      <c r="BQ1240" s="317"/>
      <c r="BR1240" s="317"/>
      <c r="BS1240" s="317"/>
      <c r="BT1240" s="317"/>
      <c r="BU1240" s="317"/>
      <c r="BV1240" s="317"/>
      <c r="BW1240" s="317"/>
      <c r="BX1240" s="317"/>
      <c r="BY1240" s="317"/>
      <c r="BZ1240" s="317"/>
      <c r="CA1240" s="317"/>
      <c r="CB1240" s="317"/>
      <c r="CC1240" s="317"/>
      <c r="CD1240" s="317"/>
      <c r="CE1240" s="317"/>
      <c r="CF1240" s="317"/>
      <c r="CG1240" s="317"/>
      <c r="CH1240" s="317"/>
      <c r="CI1240" s="317"/>
      <c r="CM1240" s="1139">
        <v>0</v>
      </c>
      <c r="CN1240" s="1139">
        <v>0</v>
      </c>
      <c r="CP1240" s="923">
        <f t="shared" si="744"/>
        <v>0</v>
      </c>
      <c r="CZ1240" s="330"/>
    </row>
    <row r="1241" spans="1:104" ht="30" customHeight="1" x14ac:dyDescent="0.25">
      <c r="A1241" s="684">
        <f>MAX($A$6:A1240)+1</f>
        <v>1241</v>
      </c>
      <c r="B1241" s="3">
        <f t="shared" si="730"/>
        <v>12</v>
      </c>
      <c r="C1241" s="11" t="str">
        <f t="shared" si="725"/>
        <v>Trade receivables, financial and other assets</v>
      </c>
      <c r="D1241" s="11"/>
      <c r="E1241" s="7" t="s">
        <v>234</v>
      </c>
      <c r="F1241" s="7"/>
      <c r="G1241" s="1254" t="s">
        <v>234</v>
      </c>
      <c r="H1241" s="6">
        <v>0</v>
      </c>
      <c r="I1241" s="6">
        <v>0</v>
      </c>
      <c r="J1241" s="1257" t="s">
        <v>234</v>
      </c>
      <c r="K1241" s="251">
        <f>SUMIF('alb Note 12 Trade Receivables'!$A:$A,$J1241,'alb Note 12 Trade Receivables'!$B:$B)</f>
        <v>0</v>
      </c>
      <c r="L1241" s="251">
        <f>SUMIF('alb Note 12 Trade Receivables'!$A:$A,$J1241,'alb Note 12 Trade Receivables'!$E:$E)</f>
        <v>0</v>
      </c>
      <c r="M1241" s="10"/>
      <c r="N1241" s="273">
        <f t="shared" si="748"/>
        <v>0</v>
      </c>
      <c r="O1241" s="12"/>
      <c r="P1241" s="12"/>
      <c r="Q1241" s="12"/>
      <c r="R1241" s="12"/>
      <c r="S1241" s="6">
        <f t="shared" si="720"/>
        <v>0</v>
      </c>
      <c r="T1241" s="273">
        <f t="shared" si="735"/>
        <v>0</v>
      </c>
      <c r="U1241" s="6">
        <f t="shared" si="747"/>
        <v>0</v>
      </c>
      <c r="V1241" s="6"/>
      <c r="W1241" s="6">
        <f t="shared" si="746"/>
        <v>0</v>
      </c>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X1241" s="6"/>
      <c r="AY1241" s="6">
        <f>ROUND(AX1241/1000/Update!$B$31*Update!$B$27,0)</f>
        <v>0</v>
      </c>
      <c r="BA1241" s="6"/>
      <c r="BB1241" s="6">
        <f>ROUND(BA1241/1000/Update!$B$31,0)</f>
        <v>0</v>
      </c>
      <c r="BC1241" s="6"/>
      <c r="BD1241" s="29">
        <f t="shared" si="745"/>
        <v>0</v>
      </c>
      <c r="BE1241" s="317"/>
      <c r="BF1241" s="317"/>
      <c r="BG1241" s="317"/>
      <c r="BH1241" s="317"/>
      <c r="BI1241" s="317"/>
      <c r="BJ1241" s="317"/>
      <c r="BK1241" s="29">
        <f t="shared" si="727"/>
        <v>0</v>
      </c>
      <c r="BL1241" s="317"/>
      <c r="BM1241" s="317"/>
      <c r="BN1241" s="317"/>
      <c r="BO1241" s="317"/>
      <c r="BP1241" s="317"/>
      <c r="BQ1241" s="317"/>
      <c r="BR1241" s="317"/>
      <c r="BS1241" s="317"/>
      <c r="BT1241" s="317"/>
      <c r="BU1241" s="317"/>
      <c r="BV1241" s="317"/>
      <c r="BW1241" s="317"/>
      <c r="BX1241" s="317"/>
      <c r="BY1241" s="317"/>
      <c r="BZ1241" s="317"/>
      <c r="CA1241" s="317"/>
      <c r="CB1241" s="317"/>
      <c r="CC1241" s="317"/>
      <c r="CD1241" s="317"/>
      <c r="CE1241" s="317"/>
      <c r="CF1241" s="317"/>
      <c r="CG1241" s="317"/>
      <c r="CH1241" s="317"/>
      <c r="CI1241" s="317"/>
      <c r="CM1241" s="1139">
        <v>0</v>
      </c>
      <c r="CN1241" s="1139">
        <v>0</v>
      </c>
      <c r="CP1241" s="923">
        <f t="shared" si="744"/>
        <v>0</v>
      </c>
      <c r="CZ1241" s="330"/>
    </row>
    <row r="1242" spans="1:104" ht="25.5" customHeight="1" x14ac:dyDescent="0.25">
      <c r="A1242" s="684">
        <f>MAX($A$6:A1241)+1</f>
        <v>1242</v>
      </c>
      <c r="B1242" s="3">
        <f t="shared" si="730"/>
        <v>12</v>
      </c>
      <c r="C1242" s="11" t="str">
        <f t="shared" si="725"/>
        <v>Trade receivables, financial and other assets</v>
      </c>
      <c r="D1242" s="11"/>
      <c r="E1242" s="7" t="s">
        <v>235</v>
      </c>
      <c r="F1242" s="7"/>
      <c r="G1242" s="1254" t="s">
        <v>235</v>
      </c>
      <c r="H1242" s="6">
        <v>0</v>
      </c>
      <c r="I1242" s="6">
        <v>0</v>
      </c>
      <c r="J1242" s="1257" t="s">
        <v>286</v>
      </c>
      <c r="K1242" s="251">
        <f>SUMIF('alb Note 12 Trade Receivables'!$A:$A,$J1242,'alb Note 12 Trade Receivables'!$B:$B)</f>
        <v>0</v>
      </c>
      <c r="L1242" s="251">
        <f>SUMIF('alb Note 12 Trade Receivables'!$A:$A,$J1242,'alb Note 12 Trade Receivables'!$E:$E)</f>
        <v>0</v>
      </c>
      <c r="M1242" s="10"/>
      <c r="N1242" s="273">
        <f t="shared" si="748"/>
        <v>0</v>
      </c>
      <c r="O1242" s="12"/>
      <c r="P1242" s="12"/>
      <c r="Q1242" s="12"/>
      <c r="R1242" s="12"/>
      <c r="S1242" s="6">
        <f t="shared" si="720"/>
        <v>0</v>
      </c>
      <c r="T1242" s="273">
        <f t="shared" si="735"/>
        <v>0</v>
      </c>
      <c r="U1242" s="6">
        <f t="shared" si="747"/>
        <v>0</v>
      </c>
      <c r="V1242" s="6"/>
      <c r="W1242" s="6">
        <f t="shared" si="746"/>
        <v>0</v>
      </c>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X1242" s="6"/>
      <c r="AY1242" s="6">
        <f>ROUND(AX1242/1000/Update!$B$31*Update!$B$27,0)</f>
        <v>0</v>
      </c>
      <c r="BA1242" s="6"/>
      <c r="BB1242" s="6">
        <f>ROUND(BA1242/1000/Update!$B$31,0)</f>
        <v>0</v>
      </c>
      <c r="BC1242" s="6"/>
      <c r="BD1242" s="29">
        <f t="shared" si="745"/>
        <v>0</v>
      </c>
      <c r="BE1242" s="317"/>
      <c r="BF1242" s="317"/>
      <c r="BG1242" s="317"/>
      <c r="BH1242" s="317"/>
      <c r="BI1242" s="317"/>
      <c r="BJ1242" s="317"/>
      <c r="BK1242" s="29">
        <f t="shared" si="727"/>
        <v>0</v>
      </c>
      <c r="BL1242" s="317"/>
      <c r="BM1242" s="317"/>
      <c r="BN1242" s="317"/>
      <c r="BO1242" s="317"/>
      <c r="BP1242" s="317"/>
      <c r="BQ1242" s="317"/>
      <c r="BR1242" s="317"/>
      <c r="BS1242" s="317"/>
      <c r="BT1242" s="317"/>
      <c r="BU1242" s="317"/>
      <c r="BV1242" s="317"/>
      <c r="BW1242" s="317"/>
      <c r="BX1242" s="317"/>
      <c r="BY1242" s="317"/>
      <c r="BZ1242" s="317"/>
      <c r="CA1242" s="317"/>
      <c r="CB1242" s="317"/>
      <c r="CC1242" s="317"/>
      <c r="CD1242" s="317"/>
      <c r="CE1242" s="317"/>
      <c r="CF1242" s="317"/>
      <c r="CG1242" s="317"/>
      <c r="CH1242" s="317"/>
      <c r="CI1242" s="317"/>
      <c r="CM1242" s="1139">
        <v>0</v>
      </c>
      <c r="CN1242" s="1139">
        <v>0</v>
      </c>
      <c r="CP1242" s="923">
        <f t="shared" si="744"/>
        <v>0</v>
      </c>
      <c r="CZ1242" s="330"/>
    </row>
    <row r="1243" spans="1:104" ht="15" customHeight="1" x14ac:dyDescent="0.25">
      <c r="A1243" s="684">
        <f>MAX($A$6:A1242)+1</f>
        <v>1243</v>
      </c>
      <c r="B1243" s="3">
        <f t="shared" si="730"/>
        <v>12</v>
      </c>
      <c r="C1243" s="11" t="str">
        <f t="shared" si="725"/>
        <v>Trade receivables, financial and other assets</v>
      </c>
      <c r="D1243" s="11"/>
      <c r="E1243" s="7" t="s">
        <v>236</v>
      </c>
      <c r="F1243" s="7"/>
      <c r="G1243" s="1254" t="s">
        <v>286</v>
      </c>
      <c r="H1243" s="6">
        <v>0</v>
      </c>
      <c r="I1243" s="6">
        <v>0</v>
      </c>
      <c r="J1243" s="1257" t="s">
        <v>286</v>
      </c>
      <c r="K1243" s="251">
        <f>SUMIF('alb Note 12 Trade Receivables'!$A:$A,$J1243,'alb Note 12 Trade Receivables'!$B:$B)</f>
        <v>0</v>
      </c>
      <c r="L1243" s="251">
        <f>SUMIF('alb Note 12 Trade Receivables'!$A:$A,$J1243,'alb Note 12 Trade Receivables'!$E:$E)</f>
        <v>0</v>
      </c>
      <c r="M1243" s="10"/>
      <c r="N1243" s="273">
        <f t="shared" si="748"/>
        <v>0</v>
      </c>
      <c r="O1243" s="12"/>
      <c r="P1243" s="12"/>
      <c r="Q1243" s="12"/>
      <c r="R1243" s="12"/>
      <c r="S1243" s="6">
        <f t="shared" si="720"/>
        <v>0</v>
      </c>
      <c r="T1243" s="273">
        <f t="shared" si="735"/>
        <v>0</v>
      </c>
      <c r="U1243" s="6">
        <f t="shared" si="747"/>
        <v>0</v>
      </c>
      <c r="V1243" s="6"/>
      <c r="W1243" s="6">
        <f t="shared" si="746"/>
        <v>0</v>
      </c>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X1243" s="6"/>
      <c r="AY1243" s="6">
        <f>ROUND(AX1243/1000/Update!$B$31*Update!$B$27,0)</f>
        <v>0</v>
      </c>
      <c r="BA1243" s="6"/>
      <c r="BB1243" s="6">
        <f>ROUND(BA1243/1000/Update!$B$31,0)</f>
        <v>0</v>
      </c>
      <c r="BC1243" s="6"/>
      <c r="BD1243" s="29">
        <f t="shared" si="745"/>
        <v>0</v>
      </c>
      <c r="BE1243" s="317"/>
      <c r="BF1243" s="317"/>
      <c r="BG1243" s="317"/>
      <c r="BH1243" s="317"/>
      <c r="BI1243" s="317"/>
      <c r="BJ1243" s="317"/>
      <c r="BK1243" s="29">
        <f t="shared" si="727"/>
        <v>0</v>
      </c>
      <c r="BL1243" s="317"/>
      <c r="BM1243" s="317"/>
      <c r="BN1243" s="317"/>
      <c r="BO1243" s="317"/>
      <c r="BP1243" s="317"/>
      <c r="BQ1243" s="317"/>
      <c r="BR1243" s="317"/>
      <c r="BS1243" s="317"/>
      <c r="BT1243" s="317"/>
      <c r="BU1243" s="317"/>
      <c r="BV1243" s="317"/>
      <c r="BW1243" s="317"/>
      <c r="BX1243" s="317"/>
      <c r="BY1243" s="317"/>
      <c r="BZ1243" s="317"/>
      <c r="CA1243" s="317"/>
      <c r="CB1243" s="317"/>
      <c r="CC1243" s="317"/>
      <c r="CD1243" s="317"/>
      <c r="CE1243" s="317"/>
      <c r="CF1243" s="317"/>
      <c r="CG1243" s="317"/>
      <c r="CH1243" s="317"/>
      <c r="CI1243" s="317"/>
      <c r="CM1243" s="1139">
        <v>0</v>
      </c>
      <c r="CN1243" s="1139">
        <v>0</v>
      </c>
      <c r="CP1243" s="923">
        <f t="shared" si="744"/>
        <v>0</v>
      </c>
      <c r="CZ1243" s="330"/>
    </row>
    <row r="1244" spans="1:104" ht="15" customHeight="1" x14ac:dyDescent="0.25">
      <c r="A1244" s="684">
        <f>MAX($A$6:A1243)+1</f>
        <v>1244</v>
      </c>
      <c r="B1244" s="3">
        <f t="shared" si="730"/>
        <v>12</v>
      </c>
      <c r="C1244" s="11" t="str">
        <f t="shared" si="725"/>
        <v>Trade receivables, financial and other assets</v>
      </c>
      <c r="D1244" s="11"/>
      <c r="E1244" s="7" t="s">
        <v>232</v>
      </c>
      <c r="F1244" s="7"/>
      <c r="G1244" s="1254" t="s">
        <v>286</v>
      </c>
      <c r="H1244" s="6">
        <v>0</v>
      </c>
      <c r="I1244" s="6">
        <v>0</v>
      </c>
      <c r="J1244" s="1257" t="s">
        <v>611</v>
      </c>
      <c r="K1244" s="251">
        <f>SUMIF('alb Note 12 Trade Receivables'!$A:$A,$J1244,'alb Note 12 Trade Receivables'!$B:$B)</f>
        <v>0</v>
      </c>
      <c r="L1244" s="251">
        <f>SUMIF('alb Note 12 Trade Receivables'!$A:$A,$J1244,'alb Note 12 Trade Receivables'!$E:$E)</f>
        <v>0</v>
      </c>
      <c r="M1244" s="10"/>
      <c r="N1244" s="273">
        <f t="shared" si="748"/>
        <v>0</v>
      </c>
      <c r="O1244" s="12"/>
      <c r="P1244" s="12"/>
      <c r="Q1244" s="12"/>
      <c r="R1244" s="12"/>
      <c r="S1244" s="6">
        <f t="shared" si="720"/>
        <v>0</v>
      </c>
      <c r="T1244" s="273">
        <f t="shared" si="735"/>
        <v>0</v>
      </c>
      <c r="U1244" s="6">
        <f t="shared" si="747"/>
        <v>0</v>
      </c>
      <c r="V1244" s="6"/>
      <c r="W1244" s="6">
        <f t="shared" si="746"/>
        <v>0</v>
      </c>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X1244" s="6"/>
      <c r="AY1244" s="6">
        <f>ROUND(AX1244/1000/Update!$B$31*Update!$B$27,0)</f>
        <v>0</v>
      </c>
      <c r="BA1244" s="6"/>
      <c r="BB1244" s="6">
        <f>ROUND(BA1244/1000/Update!$B$31,0)</f>
        <v>0</v>
      </c>
      <c r="BC1244" s="6"/>
      <c r="BD1244" s="29">
        <f t="shared" si="745"/>
        <v>0</v>
      </c>
      <c r="BE1244" s="317"/>
      <c r="BF1244" s="317"/>
      <c r="BG1244" s="317"/>
      <c r="BH1244" s="317"/>
      <c r="BI1244" s="317"/>
      <c r="BJ1244" s="317"/>
      <c r="BK1244" s="29">
        <f t="shared" si="727"/>
        <v>0</v>
      </c>
      <c r="BL1244" s="317"/>
      <c r="BM1244" s="317"/>
      <c r="BN1244" s="317"/>
      <c r="BO1244" s="317"/>
      <c r="BP1244" s="317"/>
      <c r="BQ1244" s="317"/>
      <c r="BR1244" s="317"/>
      <c r="BS1244" s="317"/>
      <c r="BT1244" s="317"/>
      <c r="BU1244" s="317"/>
      <c r="BV1244" s="317"/>
      <c r="BW1244" s="317"/>
      <c r="BX1244" s="317"/>
      <c r="BY1244" s="317"/>
      <c r="BZ1244" s="317"/>
      <c r="CA1244" s="317"/>
      <c r="CB1244" s="317"/>
      <c r="CC1244" s="317"/>
      <c r="CD1244" s="317"/>
      <c r="CE1244" s="317"/>
      <c r="CF1244" s="317"/>
      <c r="CG1244" s="317"/>
      <c r="CH1244" s="317"/>
      <c r="CI1244" s="317"/>
      <c r="CM1244" s="1139">
        <v>-367</v>
      </c>
      <c r="CN1244" s="1139">
        <v>3426</v>
      </c>
      <c r="CP1244" s="923">
        <f t="shared" si="744"/>
        <v>-367</v>
      </c>
      <c r="CZ1244" s="330"/>
    </row>
    <row r="1245" spans="1:104" ht="38.25" customHeight="1" x14ac:dyDescent="0.25">
      <c r="A1245" s="684">
        <f>MAX($A$6:A1244)+1</f>
        <v>1245</v>
      </c>
      <c r="B1245" s="3">
        <f t="shared" si="730"/>
        <v>12</v>
      </c>
      <c r="C1245" s="11" t="str">
        <f t="shared" si="725"/>
        <v>Trade receivables, financial and other assets</v>
      </c>
      <c r="D1245" s="11"/>
      <c r="E1245" s="7" t="s">
        <v>776</v>
      </c>
      <c r="F1245" s="7"/>
      <c r="G1245" s="1254" t="s">
        <v>617</v>
      </c>
      <c r="H1245" s="6">
        <v>0</v>
      </c>
      <c r="I1245" s="6">
        <v>0</v>
      </c>
      <c r="J1245" s="1257" t="s">
        <v>776</v>
      </c>
      <c r="K1245" s="251">
        <f>SUMIF('alb Note 12 Trade Receivables'!$A:$A,$J1245,'alb Note 12 Trade Receivables'!$B:$B)</f>
        <v>0</v>
      </c>
      <c r="L1245" s="251">
        <f>SUMIF('alb Note 12 Trade Receivables'!$A:$A,$J1245,'alb Note 12 Trade Receivables'!$E:$E)</f>
        <v>0</v>
      </c>
      <c r="M1245" s="10"/>
      <c r="N1245" s="273">
        <f t="shared" si="748"/>
        <v>0</v>
      </c>
      <c r="O1245" s="12"/>
      <c r="P1245" s="12"/>
      <c r="Q1245" s="12"/>
      <c r="R1245" s="12"/>
      <c r="S1245" s="6">
        <f t="shared" si="720"/>
        <v>0</v>
      </c>
      <c r="T1245" s="273">
        <f t="shared" si="735"/>
        <v>0</v>
      </c>
      <c r="U1245" s="6">
        <f t="shared" si="747"/>
        <v>0</v>
      </c>
      <c r="V1245" s="6"/>
      <c r="W1245" s="6">
        <f t="shared" si="746"/>
        <v>0</v>
      </c>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X1245" s="6"/>
      <c r="AY1245" s="6">
        <f>ROUND(AX1245/1000/Update!$B$31*Update!$B$27,0)</f>
        <v>0</v>
      </c>
      <c r="BA1245" s="6"/>
      <c r="BB1245" s="6">
        <f>ROUND(BA1245/1000/Update!$B$31,0)</f>
        <v>0</v>
      </c>
      <c r="BC1245" s="6"/>
      <c r="BD1245" s="29">
        <f t="shared" si="745"/>
        <v>0</v>
      </c>
      <c r="BE1245" s="317"/>
      <c r="BF1245" s="317"/>
      <c r="BG1245" s="317"/>
      <c r="BH1245" s="317"/>
      <c r="BI1245" s="317"/>
      <c r="BJ1245" s="317"/>
      <c r="BK1245" s="29">
        <f t="shared" si="727"/>
        <v>0</v>
      </c>
      <c r="BL1245" s="317"/>
      <c r="BM1245" s="317"/>
      <c r="BN1245" s="317"/>
      <c r="BO1245" s="317"/>
      <c r="BP1245" s="317"/>
      <c r="BQ1245" s="317"/>
      <c r="BR1245" s="317"/>
      <c r="BS1245" s="317"/>
      <c r="BT1245" s="317"/>
      <c r="BU1245" s="317"/>
      <c r="BV1245" s="317"/>
      <c r="BW1245" s="317"/>
      <c r="BX1245" s="317"/>
      <c r="BY1245" s="317"/>
      <c r="BZ1245" s="317"/>
      <c r="CA1245" s="317"/>
      <c r="CB1245" s="317"/>
      <c r="CC1245" s="317"/>
      <c r="CD1245" s="317"/>
      <c r="CE1245" s="317"/>
      <c r="CF1245" s="317"/>
      <c r="CG1245" s="317"/>
      <c r="CH1245" s="317"/>
      <c r="CI1245" s="317"/>
      <c r="CM1245" s="1139">
        <v>0</v>
      </c>
      <c r="CN1245" s="1139">
        <v>0</v>
      </c>
      <c r="CP1245" s="923">
        <f t="shared" si="744"/>
        <v>0</v>
      </c>
      <c r="CZ1245" s="330"/>
    </row>
    <row r="1246" spans="1:104" ht="38.25" customHeight="1" x14ac:dyDescent="0.25">
      <c r="A1246" s="684">
        <f>MAX($A$6:A1245)+1</f>
        <v>1246</v>
      </c>
      <c r="B1246" s="3">
        <f>B1245</f>
        <v>12</v>
      </c>
      <c r="C1246" s="11" t="str">
        <f>C1245</f>
        <v>Trade receivables, financial and other assets</v>
      </c>
      <c r="D1246" s="11"/>
      <c r="E1246" s="7" t="s">
        <v>237</v>
      </c>
      <c r="F1246" s="7"/>
      <c r="G1246" s="1254" t="s">
        <v>237</v>
      </c>
      <c r="H1246" s="6">
        <v>0</v>
      </c>
      <c r="I1246" s="6">
        <v>0</v>
      </c>
      <c r="J1246" s="1257" t="s">
        <v>286</v>
      </c>
      <c r="K1246" s="251">
        <f>SUMIF('alb Note 12 Trade Receivables'!$A:$A,$J1246,'alb Note 12 Trade Receivables'!$B:$B)</f>
        <v>0</v>
      </c>
      <c r="L1246" s="251">
        <f>SUMIF('alb Note 12 Trade Receivables'!$A:$A,$J1246,'alb Note 12 Trade Receivables'!$E:$E)</f>
        <v>0</v>
      </c>
      <c r="M1246" s="10"/>
      <c r="N1246" s="273">
        <f t="shared" si="748"/>
        <v>0</v>
      </c>
      <c r="O1246" s="12"/>
      <c r="P1246" s="12"/>
      <c r="Q1246" s="12"/>
      <c r="R1246" s="12"/>
      <c r="S1246" s="6">
        <f t="shared" si="720"/>
        <v>0</v>
      </c>
      <c r="T1246" s="273">
        <f t="shared" si="735"/>
        <v>0</v>
      </c>
      <c r="U1246" s="6">
        <f t="shared" si="747"/>
        <v>0</v>
      </c>
      <c r="V1246" s="6"/>
      <c r="W1246" s="6">
        <f t="shared" si="746"/>
        <v>0</v>
      </c>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X1246" s="6"/>
      <c r="AY1246" s="6">
        <f>ROUND(AX1246/1000/Update!$B$31*Update!$B$27,0)</f>
        <v>0</v>
      </c>
      <c r="BA1246" s="6"/>
      <c r="BB1246" s="6">
        <f>ROUND(BA1246/1000/Update!$B$31,0)</f>
        <v>0</v>
      </c>
      <c r="BC1246" s="6"/>
      <c r="BD1246" s="29">
        <f t="shared" si="745"/>
        <v>0</v>
      </c>
      <c r="BE1246" s="317"/>
      <c r="BF1246" s="317"/>
      <c r="BG1246" s="317"/>
      <c r="BH1246" s="317"/>
      <c r="BI1246" s="317"/>
      <c r="BJ1246" s="317"/>
      <c r="BK1246" s="29">
        <f t="shared" si="727"/>
        <v>0</v>
      </c>
      <c r="BL1246" s="317"/>
      <c r="BM1246" s="317"/>
      <c r="BN1246" s="317"/>
      <c r="BO1246" s="317"/>
      <c r="BP1246" s="317"/>
      <c r="BQ1246" s="317"/>
      <c r="BR1246" s="317"/>
      <c r="BS1246" s="317"/>
      <c r="BT1246" s="317"/>
      <c r="BU1246" s="317"/>
      <c r="BV1246" s="317"/>
      <c r="BW1246" s="317"/>
      <c r="BX1246" s="317"/>
      <c r="BY1246" s="317"/>
      <c r="BZ1246" s="317"/>
      <c r="CA1246" s="317"/>
      <c r="CB1246" s="317"/>
      <c r="CC1246" s="317"/>
      <c r="CD1246" s="317"/>
      <c r="CE1246" s="317"/>
      <c r="CF1246" s="317"/>
      <c r="CG1246" s="317"/>
      <c r="CH1246" s="317"/>
      <c r="CI1246" s="317"/>
      <c r="CM1246" s="1139">
        <v>0</v>
      </c>
      <c r="CN1246" s="1139">
        <v>0</v>
      </c>
      <c r="CP1246" s="923">
        <f t="shared" si="744"/>
        <v>0</v>
      </c>
      <c r="CZ1246" s="330"/>
    </row>
    <row r="1247" spans="1:104" ht="15" customHeight="1" x14ac:dyDescent="0.25">
      <c r="A1247" s="684">
        <f>MAX($A$6:A1246)+1</f>
        <v>1247</v>
      </c>
      <c r="B1247" s="3">
        <f t="shared" si="730"/>
        <v>12</v>
      </c>
      <c r="C1247" s="11" t="str">
        <f t="shared" si="725"/>
        <v>Trade receivables, financial and other assets</v>
      </c>
      <c r="D1247" s="11"/>
      <c r="E1247" s="7" t="s">
        <v>239</v>
      </c>
      <c r="F1247" s="7"/>
      <c r="G1247" s="1254" t="s">
        <v>239</v>
      </c>
      <c r="H1247" s="6">
        <v>0</v>
      </c>
      <c r="I1247" s="6">
        <v>0</v>
      </c>
      <c r="J1247" s="1257" t="s">
        <v>239</v>
      </c>
      <c r="K1247" s="251">
        <f>SUMIF('alb Note 12 Trade Receivables'!$A:$A,$J1247,'alb Note 12 Trade Receivables'!$B:$B)</f>
        <v>0</v>
      </c>
      <c r="L1247" s="251">
        <f>SUMIF('alb Note 12 Trade Receivables'!$A:$A,$J1247,'alb Note 12 Trade Receivables'!$E:$E)</f>
        <v>0</v>
      </c>
      <c r="M1247" s="10"/>
      <c r="N1247" s="273">
        <f>ROUND(SUM(O1247:S1247)+SUM(W1247:AV1247),0)</f>
        <v>0</v>
      </c>
      <c r="O1247" s="12"/>
      <c r="P1247" s="12"/>
      <c r="Q1247" s="12"/>
      <c r="R1247" s="12"/>
      <c r="S1247" s="6">
        <f>-IF(ISNUMBER(BD1247),BD1247,0)</f>
        <v>0</v>
      </c>
      <c r="T1247" s="273">
        <f>ROUND(SUM(U1247:Y1247),0)</f>
        <v>0</v>
      </c>
      <c r="U1247" s="6">
        <f t="shared" si="747"/>
        <v>0</v>
      </c>
      <c r="V1247" s="6"/>
      <c r="W1247" s="6">
        <f t="shared" si="746"/>
        <v>0</v>
      </c>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X1247" s="6"/>
      <c r="AY1247" s="6">
        <f>ROUND(AX1247/1000/Update!$B$31*Update!$B$27,0)</f>
        <v>0</v>
      </c>
      <c r="BA1247" s="6"/>
      <c r="BB1247" s="6">
        <f>ROUND(BA1247/1000/Update!$B$31,0)</f>
        <v>0</v>
      </c>
      <c r="BC1247" s="6"/>
      <c r="BD1247" s="29">
        <f>ROUND(SUM(BE1247:BK1247),0)</f>
        <v>0</v>
      </c>
      <c r="BE1247" s="317"/>
      <c r="BF1247" s="317"/>
      <c r="BG1247" s="317"/>
      <c r="BH1247" s="317"/>
      <c r="BI1247" s="317"/>
      <c r="BJ1247" s="317"/>
      <c r="BK1247" s="29">
        <f t="shared" si="727"/>
        <v>0</v>
      </c>
      <c r="BL1247" s="317"/>
      <c r="BM1247" s="317"/>
      <c r="BN1247" s="317"/>
      <c r="BO1247" s="317"/>
      <c r="BP1247" s="317"/>
      <c r="BQ1247" s="317"/>
      <c r="BR1247" s="317"/>
      <c r="BS1247" s="317"/>
      <c r="BT1247" s="317"/>
      <c r="BU1247" s="317"/>
      <c r="BV1247" s="317"/>
      <c r="BW1247" s="317"/>
      <c r="BX1247" s="317"/>
      <c r="BY1247" s="317"/>
      <c r="BZ1247" s="317"/>
      <c r="CA1247" s="317"/>
      <c r="CB1247" s="317"/>
      <c r="CC1247" s="317"/>
      <c r="CD1247" s="317"/>
      <c r="CE1247" s="317"/>
      <c r="CF1247" s="317"/>
      <c r="CG1247" s="317"/>
      <c r="CH1247" s="317"/>
      <c r="CI1247" s="317"/>
      <c r="CM1247" s="1139">
        <v>0</v>
      </c>
      <c r="CN1247" s="1139">
        <v>0</v>
      </c>
      <c r="CP1247" s="923">
        <f t="shared" si="744"/>
        <v>0</v>
      </c>
      <c r="CZ1247" s="330"/>
    </row>
    <row r="1248" spans="1:104" ht="15" customHeight="1" x14ac:dyDescent="0.25">
      <c r="A1248" s="701">
        <f>MAX($A$6:A1247)+1</f>
        <v>1248</v>
      </c>
      <c r="B1248" s="1291">
        <f>B1246</f>
        <v>12</v>
      </c>
      <c r="C1248" s="18" t="str">
        <f>C1246</f>
        <v>Trade receivables, financial and other assets</v>
      </c>
      <c r="D1248" s="18"/>
      <c r="E1248" s="19" t="s">
        <v>238</v>
      </c>
      <c r="F1248" s="19"/>
      <c r="G1248" s="28"/>
      <c r="H1248" s="14">
        <f>SUM(H1237:H1246)</f>
        <v>0</v>
      </c>
      <c r="I1248" s="14">
        <f>SUM(I1237:I1246)</f>
        <v>0</v>
      </c>
      <c r="J1248" s="1258" t="s">
        <v>286</v>
      </c>
      <c r="K1248" s="256">
        <f>SUM(K1237:K1246)</f>
        <v>0</v>
      </c>
      <c r="L1248" s="256">
        <f>SUM(L1237:L1246)</f>
        <v>0</v>
      </c>
      <c r="M1248" s="21"/>
      <c r="N1248" s="14">
        <f>ROUND(SUM(O1248:S1248)+SUM(W1248:AV1248),0)</f>
        <v>0</v>
      </c>
      <c r="O1248" s="14">
        <f t="shared" ref="O1248:W1248" si="749">SUM(O1237:O1247)</f>
        <v>0</v>
      </c>
      <c r="P1248" s="14">
        <f t="shared" si="749"/>
        <v>0</v>
      </c>
      <c r="Q1248" s="14">
        <f t="shared" si="749"/>
        <v>0</v>
      </c>
      <c r="R1248" s="14">
        <f t="shared" si="749"/>
        <v>0</v>
      </c>
      <c r="S1248" s="14">
        <f>SUM(S1237:S1247)</f>
        <v>0</v>
      </c>
      <c r="T1248" s="14">
        <f>SUM(T1237:T1247)</f>
        <v>0</v>
      </c>
      <c r="U1248" s="14">
        <f>SUM(U1237:U1247)</f>
        <v>0</v>
      </c>
      <c r="V1248" s="14">
        <f t="shared" si="749"/>
        <v>0</v>
      </c>
      <c r="W1248" s="14">
        <f t="shared" si="749"/>
        <v>0</v>
      </c>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2"/>
      <c r="AX1248" s="14">
        <f>SUM(AX1237:AX1247)</f>
        <v>0</v>
      </c>
      <c r="AY1248" s="14">
        <f>SUM(AY1237:AY1247)</f>
        <v>0</v>
      </c>
      <c r="AZ1248" s="2"/>
      <c r="BA1248" s="14">
        <f t="shared" ref="BA1248:BJ1248" si="750">SUM(BA1237:BA1247)</f>
        <v>0</v>
      </c>
      <c r="BB1248" s="14">
        <f t="shared" si="750"/>
        <v>0</v>
      </c>
      <c r="BC1248" s="14">
        <f t="shared" si="750"/>
        <v>0</v>
      </c>
      <c r="BD1248" s="14">
        <f t="shared" si="750"/>
        <v>0</v>
      </c>
      <c r="BE1248" s="318">
        <f t="shared" si="750"/>
        <v>0</v>
      </c>
      <c r="BF1248" s="318">
        <f t="shared" si="750"/>
        <v>0</v>
      </c>
      <c r="BG1248" s="318">
        <f t="shared" si="750"/>
        <v>0</v>
      </c>
      <c r="BH1248" s="318">
        <f t="shared" si="750"/>
        <v>0</v>
      </c>
      <c r="BI1248" s="318">
        <f t="shared" si="750"/>
        <v>0</v>
      </c>
      <c r="BJ1248" s="318">
        <f t="shared" si="750"/>
        <v>0</v>
      </c>
      <c r="BK1248" s="14">
        <f>ROUND(SUM(BO1248:CI1248),0)</f>
        <v>0</v>
      </c>
      <c r="BL1248" s="318"/>
      <c r="BM1248" s="318"/>
      <c r="BN1248" s="318"/>
      <c r="BO1248" s="318"/>
      <c r="BP1248" s="318"/>
      <c r="BQ1248" s="318"/>
      <c r="BR1248" s="318"/>
      <c r="BS1248" s="318"/>
      <c r="BT1248" s="318"/>
      <c r="BU1248" s="318"/>
      <c r="BV1248" s="318"/>
      <c r="BW1248" s="318"/>
      <c r="BX1248" s="318"/>
      <c r="BY1248" s="318"/>
      <c r="BZ1248" s="318"/>
      <c r="CA1248" s="318"/>
      <c r="CB1248" s="318"/>
      <c r="CC1248" s="318"/>
      <c r="CD1248" s="318"/>
      <c r="CE1248" s="318"/>
      <c r="CF1248" s="318"/>
      <c r="CG1248" s="318"/>
      <c r="CH1248" s="318"/>
      <c r="CI1248" s="318"/>
      <c r="CJ1248" s="2"/>
      <c r="CK1248" s="2"/>
      <c r="CM1248" s="1140">
        <v>-435</v>
      </c>
      <c r="CN1248" s="1140">
        <v>73263</v>
      </c>
      <c r="CP1248" s="923">
        <f t="shared" si="744"/>
        <v>-435</v>
      </c>
      <c r="CZ1248" s="330"/>
    </row>
    <row r="1249" spans="1:104" ht="15" customHeight="1" x14ac:dyDescent="0.25">
      <c r="A1249" s="684">
        <f>MAX($A$6:A1248)+1</f>
        <v>1249</v>
      </c>
      <c r="B1249" s="3">
        <f>B1248</f>
        <v>12</v>
      </c>
      <c r="C1249" s="11" t="str">
        <f>C1248</f>
        <v>Trade receivables, financial and other assets</v>
      </c>
      <c r="D1249" s="11"/>
      <c r="E1249" s="7" t="s">
        <v>615</v>
      </c>
      <c r="F1249" s="7"/>
      <c r="G1249" s="1254" t="s">
        <v>615</v>
      </c>
      <c r="H1249" s="6">
        <v>0</v>
      </c>
      <c r="I1249" s="6">
        <v>0</v>
      </c>
      <c r="J1249" s="1257" t="s">
        <v>615</v>
      </c>
      <c r="K1249" s="251">
        <f>SUMIF('alb Note 12 Trade Receivables'!$A:$A,$J1249,'alb Note 12 Trade Receivables'!$B:$B)</f>
        <v>0</v>
      </c>
      <c r="L1249" s="251">
        <f>SUMIF('alb Note 12 Trade Receivables'!$A:$A,$J1249,'alb Note 12 Trade Receivables'!$E:$E)</f>
        <v>0</v>
      </c>
      <c r="M1249" s="10"/>
      <c r="N1249" s="273">
        <f t="shared" ref="N1249:N1252" si="751">ROUND(SUM(O1249:S1249)+SUM(W1249:AV1249),0)</f>
        <v>0</v>
      </c>
      <c r="O1249" s="12"/>
      <c r="P1249" s="12"/>
      <c r="Q1249" s="12"/>
      <c r="R1249" s="12"/>
      <c r="S1249" s="6">
        <f t="shared" ref="S1249:S1312" si="752">-IF(ISNUMBER(BD1249),BD1249,0)</f>
        <v>0</v>
      </c>
      <c r="T1249" s="273">
        <f>ROUND(SUM(U1249:Y1249),0)</f>
        <v>0</v>
      </c>
      <c r="U1249" s="6">
        <f t="shared" si="747"/>
        <v>0</v>
      </c>
      <c r="V1249" s="6"/>
      <c r="W1249" s="6">
        <f t="shared" si="746"/>
        <v>0</v>
      </c>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X1249" s="6"/>
      <c r="AY1249" s="6">
        <f>ROUND(AX1249/1000/Update!$B$31*Update!$B$27,0)</f>
        <v>0</v>
      </c>
      <c r="BA1249" s="6"/>
      <c r="BB1249" s="6">
        <f>ROUND(BA1249/1000/Update!$B$31,0)</f>
        <v>0</v>
      </c>
      <c r="BC1249" s="6"/>
      <c r="BD1249" s="29">
        <f t="shared" si="745"/>
        <v>0</v>
      </c>
      <c r="BE1249" s="317"/>
      <c r="BF1249" s="317"/>
      <c r="BG1249" s="317"/>
      <c r="BH1249" s="317"/>
      <c r="BI1249" s="317"/>
      <c r="BJ1249" s="317"/>
      <c r="BK1249" s="29">
        <f t="shared" si="727"/>
        <v>0</v>
      </c>
      <c r="BL1249" s="317"/>
      <c r="BM1249" s="317"/>
      <c r="BN1249" s="317"/>
      <c r="BO1249" s="317"/>
      <c r="BP1249" s="317"/>
      <c r="BQ1249" s="317"/>
      <c r="BR1249" s="317"/>
      <c r="BS1249" s="317"/>
      <c r="BT1249" s="317"/>
      <c r="BU1249" s="317"/>
      <c r="BV1249" s="317"/>
      <c r="BW1249" s="317"/>
      <c r="BX1249" s="317"/>
      <c r="BY1249" s="317"/>
      <c r="BZ1249" s="317"/>
      <c r="CA1249" s="317"/>
      <c r="CB1249" s="317"/>
      <c r="CC1249" s="317"/>
      <c r="CD1249" s="317"/>
      <c r="CE1249" s="317"/>
      <c r="CF1249" s="317"/>
      <c r="CG1249" s="317"/>
      <c r="CH1249" s="317"/>
      <c r="CI1249" s="317"/>
      <c r="CM1249" s="1139">
        <v>1</v>
      </c>
      <c r="CN1249" s="1139">
        <v>7719</v>
      </c>
      <c r="CP1249" s="923">
        <f t="shared" si="744"/>
        <v>1</v>
      </c>
      <c r="CZ1249" s="330"/>
    </row>
    <row r="1250" spans="1:104" ht="15" customHeight="1" x14ac:dyDescent="0.25">
      <c r="A1250" s="684">
        <f>MAX($A$6:A1249)+1</f>
        <v>1250</v>
      </c>
      <c r="B1250" s="3">
        <f t="shared" si="730"/>
        <v>12</v>
      </c>
      <c r="C1250" s="11" t="str">
        <f t="shared" si="725"/>
        <v>Trade receivables, financial and other assets</v>
      </c>
      <c r="D1250" s="11"/>
      <c r="E1250" s="7" t="s">
        <v>616</v>
      </c>
      <c r="F1250" s="7"/>
      <c r="G1250" s="1254" t="s">
        <v>806</v>
      </c>
      <c r="H1250" s="6">
        <v>0</v>
      </c>
      <c r="I1250" s="6">
        <v>0</v>
      </c>
      <c r="J1250" s="1257" t="s">
        <v>616</v>
      </c>
      <c r="K1250" s="251">
        <f>SUMIF('alb Note 12 Trade Receivables'!$A:$A,$J1250,'alb Note 12 Trade Receivables'!$B:$B)</f>
        <v>0</v>
      </c>
      <c r="L1250" s="251">
        <f>SUMIF('alb Note 12 Trade Receivables'!$A:$A,$J1250,'alb Note 12 Trade Receivables'!$E:$E)</f>
        <v>0</v>
      </c>
      <c r="M1250" s="10"/>
      <c r="N1250" s="273">
        <f t="shared" si="751"/>
        <v>0</v>
      </c>
      <c r="O1250" s="12"/>
      <c r="P1250" s="12"/>
      <c r="Q1250" s="12"/>
      <c r="R1250" s="12"/>
      <c r="S1250" s="6">
        <f t="shared" si="752"/>
        <v>0</v>
      </c>
      <c r="T1250" s="273">
        <f>ROUND(SUM(U1250:Y1250),0)</f>
        <v>0</v>
      </c>
      <c r="U1250" s="6">
        <f t="shared" si="747"/>
        <v>0</v>
      </c>
      <c r="V1250" s="6"/>
      <c r="W1250" s="6">
        <f t="shared" si="746"/>
        <v>0</v>
      </c>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X1250" s="6"/>
      <c r="AY1250" s="6">
        <f>ROUND(AX1250/1000/Update!$B$31*Update!$B$27,0)</f>
        <v>0</v>
      </c>
      <c r="BA1250" s="6"/>
      <c r="BB1250" s="6">
        <f>ROUND(BA1250/1000/Update!$B$31,0)</f>
        <v>0</v>
      </c>
      <c r="BC1250" s="6"/>
      <c r="BD1250" s="29">
        <f t="shared" si="745"/>
        <v>0</v>
      </c>
      <c r="BE1250" s="317"/>
      <c r="BF1250" s="317"/>
      <c r="BG1250" s="317"/>
      <c r="BH1250" s="317"/>
      <c r="BI1250" s="317"/>
      <c r="BJ1250" s="317"/>
      <c r="BK1250" s="29">
        <f t="shared" si="727"/>
        <v>0</v>
      </c>
      <c r="BL1250" s="317"/>
      <c r="BM1250" s="317"/>
      <c r="BN1250" s="317"/>
      <c r="BO1250" s="317"/>
      <c r="BP1250" s="317"/>
      <c r="BQ1250" s="317"/>
      <c r="BR1250" s="317"/>
      <c r="BS1250" s="317"/>
      <c r="BT1250" s="317"/>
      <c r="BU1250" s="317"/>
      <c r="BV1250" s="317"/>
      <c r="BW1250" s="317"/>
      <c r="BX1250" s="317"/>
      <c r="BY1250" s="317"/>
      <c r="BZ1250" s="317"/>
      <c r="CA1250" s="317"/>
      <c r="CB1250" s="317"/>
      <c r="CC1250" s="317"/>
      <c r="CD1250" s="317"/>
      <c r="CE1250" s="317"/>
      <c r="CF1250" s="317"/>
      <c r="CG1250" s="317"/>
      <c r="CH1250" s="317"/>
      <c r="CI1250" s="317"/>
      <c r="CM1250" s="1139">
        <v>0</v>
      </c>
      <c r="CN1250" s="1139">
        <v>0</v>
      </c>
      <c r="CP1250" s="923">
        <f t="shared" si="744"/>
        <v>0</v>
      </c>
      <c r="CZ1250" s="330"/>
    </row>
    <row r="1251" spans="1:104" ht="15" customHeight="1" x14ac:dyDescent="0.25">
      <c r="A1251" s="684">
        <f>MAX($A$6:A1250)+1</f>
        <v>1251</v>
      </c>
      <c r="B1251" s="3">
        <f t="shared" si="730"/>
        <v>12</v>
      </c>
      <c r="C1251" s="11" t="str">
        <f t="shared" si="725"/>
        <v>Trade receivables, financial and other assets</v>
      </c>
      <c r="D1251" s="11"/>
      <c r="E1251" s="7" t="s">
        <v>232</v>
      </c>
      <c r="F1251" s="7"/>
      <c r="G1251" s="1254" t="s">
        <v>286</v>
      </c>
      <c r="H1251" s="6">
        <v>0</v>
      </c>
      <c r="I1251" s="6">
        <v>0</v>
      </c>
      <c r="J1251" s="1257" t="s">
        <v>777</v>
      </c>
      <c r="K1251" s="251">
        <f>SUMIF('alb Note 12 Trade Receivables'!$A:$A,$J1251,'alb Note 12 Trade Receivables'!$B:$B)</f>
        <v>0</v>
      </c>
      <c r="L1251" s="251">
        <f>SUMIF('alb Note 12 Trade Receivables'!$A:$A,$J1251,'alb Note 12 Trade Receivables'!$E:$E)</f>
        <v>0</v>
      </c>
      <c r="M1251" s="10"/>
      <c r="N1251" s="273">
        <f t="shared" si="751"/>
        <v>0</v>
      </c>
      <c r="O1251" s="12"/>
      <c r="P1251" s="12"/>
      <c r="Q1251" s="12"/>
      <c r="R1251" s="12"/>
      <c r="S1251" s="6">
        <f t="shared" si="752"/>
        <v>0</v>
      </c>
      <c r="T1251" s="273">
        <f>ROUND(SUM(U1251:Y1251),0)</f>
        <v>0</v>
      </c>
      <c r="U1251" s="6">
        <f t="shared" si="747"/>
        <v>0</v>
      </c>
      <c r="V1251" s="6"/>
      <c r="W1251" s="6">
        <f t="shared" si="746"/>
        <v>0</v>
      </c>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X1251" s="6"/>
      <c r="AY1251" s="6">
        <f>ROUND(AX1251/1000/Update!$B$31*Update!$B$27,0)</f>
        <v>0</v>
      </c>
      <c r="BA1251" s="6"/>
      <c r="BB1251" s="6">
        <f>ROUND(BA1251/1000/Update!$B$31,0)</f>
        <v>0</v>
      </c>
      <c r="BC1251" s="6"/>
      <c r="BD1251" s="29">
        <f t="shared" si="745"/>
        <v>0</v>
      </c>
      <c r="BE1251" s="317"/>
      <c r="BF1251" s="317"/>
      <c r="BG1251" s="317"/>
      <c r="BH1251" s="317"/>
      <c r="BI1251" s="317"/>
      <c r="BJ1251" s="317"/>
      <c r="BK1251" s="29">
        <f t="shared" si="727"/>
        <v>0</v>
      </c>
      <c r="BL1251" s="317"/>
      <c r="BM1251" s="317"/>
      <c r="BN1251" s="317"/>
      <c r="BO1251" s="317"/>
      <c r="BP1251" s="317"/>
      <c r="BQ1251" s="317"/>
      <c r="BR1251" s="317"/>
      <c r="BS1251" s="317"/>
      <c r="BT1251" s="317"/>
      <c r="BU1251" s="317"/>
      <c r="BV1251" s="317"/>
      <c r="BW1251" s="317"/>
      <c r="BX1251" s="317"/>
      <c r="BY1251" s="317"/>
      <c r="BZ1251" s="317"/>
      <c r="CA1251" s="317"/>
      <c r="CB1251" s="317"/>
      <c r="CC1251" s="317"/>
      <c r="CD1251" s="317"/>
      <c r="CE1251" s="317"/>
      <c r="CF1251" s="317"/>
      <c r="CG1251" s="317"/>
      <c r="CH1251" s="317"/>
      <c r="CI1251" s="317"/>
      <c r="CM1251" s="1139">
        <v>0</v>
      </c>
      <c r="CN1251" s="1139">
        <v>0</v>
      </c>
      <c r="CP1251" s="923">
        <f t="shared" si="744"/>
        <v>0</v>
      </c>
      <c r="CZ1251" s="330"/>
    </row>
    <row r="1252" spans="1:104" ht="15" customHeight="1" x14ac:dyDescent="0.25">
      <c r="A1252" s="684">
        <f>MAX($A$6:A1251)+1</f>
        <v>1252</v>
      </c>
      <c r="B1252" s="3">
        <f>B1250</f>
        <v>12</v>
      </c>
      <c r="C1252" s="11" t="str">
        <f>C1249</f>
        <v>Trade receivables, financial and other assets</v>
      </c>
      <c r="D1252" s="11"/>
      <c r="E1252" s="7" t="s">
        <v>232</v>
      </c>
      <c r="F1252" s="7"/>
      <c r="G1252" s="1254" t="s">
        <v>286</v>
      </c>
      <c r="H1252" s="6">
        <v>0</v>
      </c>
      <c r="I1252" s="6">
        <v>0</v>
      </c>
      <c r="J1252" s="1257" t="s">
        <v>1701</v>
      </c>
      <c r="K1252" s="251">
        <f>SUMIF('alb Note 12 Trade Receivables'!$A:$A,$J1252,'alb Note 12 Trade Receivables'!$B:$B)</f>
        <v>0</v>
      </c>
      <c r="L1252" s="251">
        <f>SUMIF('alb Note 12 Trade Receivables'!$A:$A,$J1252,'alb Note 12 Trade Receivables'!$E:$E)</f>
        <v>0</v>
      </c>
      <c r="M1252" s="10"/>
      <c r="N1252" s="273">
        <f t="shared" si="751"/>
        <v>0</v>
      </c>
      <c r="O1252" s="12"/>
      <c r="P1252" s="12"/>
      <c r="Q1252" s="12"/>
      <c r="R1252" s="12"/>
      <c r="S1252" s="6">
        <f t="shared" si="752"/>
        <v>0</v>
      </c>
      <c r="T1252" s="273">
        <f>ROUND(SUM(U1252:Y1252),0)</f>
        <v>0</v>
      </c>
      <c r="U1252" s="6">
        <f t="shared" si="747"/>
        <v>0</v>
      </c>
      <c r="V1252" s="6"/>
      <c r="W1252" s="6">
        <f t="shared" si="746"/>
        <v>0</v>
      </c>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X1252" s="6"/>
      <c r="AY1252" s="6">
        <f>ROUND(AX1252/1000/Update!$B$31*Update!$B$27,0)</f>
        <v>0</v>
      </c>
      <c r="BA1252" s="6"/>
      <c r="BB1252" s="6">
        <f>ROUND(BA1252/1000/Update!$B$31,0)</f>
        <v>0</v>
      </c>
      <c r="BC1252" s="6"/>
      <c r="BD1252" s="29">
        <f t="shared" si="745"/>
        <v>0</v>
      </c>
      <c r="BE1252" s="317"/>
      <c r="BF1252" s="317"/>
      <c r="BG1252" s="317"/>
      <c r="BH1252" s="317"/>
      <c r="BI1252" s="317"/>
      <c r="BJ1252" s="317"/>
      <c r="BK1252" s="29">
        <f t="shared" si="727"/>
        <v>0</v>
      </c>
      <c r="BL1252" s="317"/>
      <c r="BM1252" s="317"/>
      <c r="BN1252" s="317"/>
      <c r="BO1252" s="317"/>
      <c r="BP1252" s="317"/>
      <c r="BQ1252" s="317"/>
      <c r="BR1252" s="317"/>
      <c r="BS1252" s="317"/>
      <c r="BT1252" s="317"/>
      <c r="BU1252" s="317"/>
      <c r="BV1252" s="317"/>
      <c r="BW1252" s="317"/>
      <c r="BX1252" s="317"/>
      <c r="BY1252" s="317"/>
      <c r="BZ1252" s="317"/>
      <c r="CA1252" s="317"/>
      <c r="CB1252" s="317"/>
      <c r="CC1252" s="317"/>
      <c r="CD1252" s="317"/>
      <c r="CE1252" s="317"/>
      <c r="CF1252" s="317"/>
      <c r="CG1252" s="317"/>
      <c r="CH1252" s="317"/>
      <c r="CI1252" s="317"/>
      <c r="CM1252" s="1139">
        <v>0</v>
      </c>
      <c r="CN1252" s="1139">
        <v>0</v>
      </c>
      <c r="CP1252" s="923">
        <f t="shared" si="744"/>
        <v>0</v>
      </c>
      <c r="CZ1252" s="330"/>
    </row>
    <row r="1253" spans="1:104" ht="15" customHeight="1" x14ac:dyDescent="0.25">
      <c r="A1253" s="701">
        <f>MAX($A$6:A1252)+1</f>
        <v>1253</v>
      </c>
      <c r="B1253" s="1291">
        <f t="shared" si="730"/>
        <v>12</v>
      </c>
      <c r="C1253" s="18" t="str">
        <f t="shared" si="725"/>
        <v>Trade receivables, financial and other assets</v>
      </c>
      <c r="D1253" s="18"/>
      <c r="E1253" s="19" t="s">
        <v>240</v>
      </c>
      <c r="F1253" s="19"/>
      <c r="G1253" s="1278"/>
      <c r="H1253" s="14">
        <f>SUM(H1249:H1252)</f>
        <v>0</v>
      </c>
      <c r="I1253" s="14">
        <f>SUM(I1249:I1252)</f>
        <v>0</v>
      </c>
      <c r="J1253" s="1258" t="s">
        <v>286</v>
      </c>
      <c r="K1253" s="256">
        <f>SUM(K1249:K1252)</f>
        <v>0</v>
      </c>
      <c r="L1253" s="256">
        <f>SUM(L1249:L1252)</f>
        <v>0</v>
      </c>
      <c r="M1253" s="21"/>
      <c r="N1253" s="14">
        <f>ROUND(SUM(O1253:S1253)+T1253+SUM(Z1253:AV1253),0)</f>
        <v>0</v>
      </c>
      <c r="O1253" s="14">
        <f>SUM(O1249:O1252)</f>
        <v>0</v>
      </c>
      <c r="P1253" s="14">
        <f>SUM(P1249:P1252)</f>
        <v>0</v>
      </c>
      <c r="Q1253" s="14">
        <f>SUM(Q1249:Q1252)</f>
        <v>0</v>
      </c>
      <c r="R1253" s="14">
        <f>SUM(R1249:R1252)</f>
        <v>0</v>
      </c>
      <c r="S1253" s="14">
        <f t="shared" si="752"/>
        <v>0</v>
      </c>
      <c r="T1253" s="14">
        <f>SUM(T1249:T1252)</f>
        <v>0</v>
      </c>
      <c r="U1253" s="14">
        <f>SUM(U1249:U1252)</f>
        <v>0</v>
      </c>
      <c r="V1253" s="14">
        <f>SUM(V1249:V1252)</f>
        <v>0</v>
      </c>
      <c r="W1253" s="14">
        <f>SUM(W1249:W1252)</f>
        <v>0</v>
      </c>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2"/>
      <c r="AX1253" s="14">
        <f>SUM(AX1249:AX1252)</f>
        <v>0</v>
      </c>
      <c r="AY1253" s="14">
        <f>ROUND(AX1253/1000/Update!$B$31*Update!$B$27,0)</f>
        <v>0</v>
      </c>
      <c r="AZ1253" s="2"/>
      <c r="BA1253" s="14">
        <f>SUM(BA1249:BA1252)</f>
        <v>0</v>
      </c>
      <c r="BB1253" s="14">
        <f>ROUND(BA1253/1000/Update!$B$31,0)</f>
        <v>0</v>
      </c>
      <c r="BC1253" s="14"/>
      <c r="BD1253" s="14">
        <f t="shared" si="745"/>
        <v>0</v>
      </c>
      <c r="BE1253" s="318">
        <f t="shared" ref="BE1253:BJ1253" si="753">SUM(BE1249:BE1252)</f>
        <v>0</v>
      </c>
      <c r="BF1253" s="318">
        <f t="shared" si="753"/>
        <v>0</v>
      </c>
      <c r="BG1253" s="318">
        <f t="shared" si="753"/>
        <v>0</v>
      </c>
      <c r="BH1253" s="318">
        <f t="shared" si="753"/>
        <v>0</v>
      </c>
      <c r="BI1253" s="318">
        <f t="shared" si="753"/>
        <v>0</v>
      </c>
      <c r="BJ1253" s="318">
        <f t="shared" si="753"/>
        <v>0</v>
      </c>
      <c r="BK1253" s="14">
        <f>ROUND(SUM(BO1253:CI1253),0)</f>
        <v>0</v>
      </c>
      <c r="BL1253" s="318"/>
      <c r="BM1253" s="318"/>
      <c r="BN1253" s="318"/>
      <c r="BO1253" s="318"/>
      <c r="BP1253" s="318"/>
      <c r="BQ1253" s="318"/>
      <c r="BR1253" s="318"/>
      <c r="BS1253" s="318"/>
      <c r="BT1253" s="318"/>
      <c r="BU1253" s="318"/>
      <c r="BV1253" s="318"/>
      <c r="BW1253" s="318"/>
      <c r="BX1253" s="318"/>
      <c r="BY1253" s="318"/>
      <c r="BZ1253" s="318"/>
      <c r="CA1253" s="318"/>
      <c r="CB1253" s="318"/>
      <c r="CC1253" s="318"/>
      <c r="CD1253" s="318"/>
      <c r="CE1253" s="318"/>
      <c r="CF1253" s="318"/>
      <c r="CG1253" s="318"/>
      <c r="CH1253" s="318"/>
      <c r="CI1253" s="318"/>
      <c r="CJ1253" s="2"/>
      <c r="CK1253" s="2"/>
      <c r="CM1253" s="1140">
        <v>1</v>
      </c>
      <c r="CN1253" s="1140">
        <v>7719</v>
      </c>
      <c r="CP1253" s="923">
        <f t="shared" si="744"/>
        <v>1</v>
      </c>
      <c r="CZ1253" s="330"/>
    </row>
    <row r="1254" spans="1:104" ht="30" customHeight="1" x14ac:dyDescent="0.25">
      <c r="A1254" s="684">
        <f>MAX($A$6:A1253)+1</f>
        <v>1254</v>
      </c>
      <c r="B1254" s="3">
        <f t="shared" si="730"/>
        <v>12</v>
      </c>
      <c r="C1254" s="11" t="str">
        <f t="shared" si="725"/>
        <v>Trade receivables, financial and other assets</v>
      </c>
      <c r="D1254" s="11"/>
      <c r="E1254" s="13" t="s">
        <v>241</v>
      </c>
      <c r="F1254" s="13"/>
      <c r="G1254" s="1254"/>
      <c r="H1254" s="6"/>
      <c r="I1254" s="6"/>
      <c r="J1254" s="1257" t="s">
        <v>286</v>
      </c>
      <c r="K1254" s="251">
        <f>SUMIF('alb Note 12 Trade Receivables'!$A:$A,$J1254,'alb Note 12 Trade Receivables'!$B:$B)</f>
        <v>0</v>
      </c>
      <c r="L1254" s="251">
        <f>SUMIF('alb Note 12 Trade Receivables'!$A:$A,$J1254,'alb Note 12 Trade Receivables'!$E:$E)</f>
        <v>0</v>
      </c>
      <c r="M1254" s="10"/>
      <c r="N1254" s="273">
        <f>ROUND(SUM(O1254:S1254)+SUM(W1254:AV1254),0)</f>
        <v>0</v>
      </c>
      <c r="O1254" s="12"/>
      <c r="P1254" s="12"/>
      <c r="Q1254" s="12"/>
      <c r="R1254" s="12"/>
      <c r="S1254" s="6">
        <f t="shared" si="752"/>
        <v>0</v>
      </c>
      <c r="T1254" s="273">
        <f>ROUND(SUM(U1254:Y1254),0)</f>
        <v>0</v>
      </c>
      <c r="U1254" s="6">
        <f>SUM(BL1254:BN1254)</f>
        <v>0</v>
      </c>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X1254" s="6"/>
      <c r="AY1254" s="6">
        <f>ROUND(AX1254/1000/Update!$B$31*Update!$B$27,0)</f>
        <v>0</v>
      </c>
      <c r="BA1254" s="6"/>
      <c r="BB1254" s="6">
        <f>ROUND(BA1254/1000/Update!$B$31,0)</f>
        <v>0</v>
      </c>
      <c r="BC1254" s="6"/>
      <c r="BD1254" s="29">
        <f t="shared" si="745"/>
        <v>0</v>
      </c>
      <c r="BE1254" s="317"/>
      <c r="BF1254" s="317"/>
      <c r="BG1254" s="317"/>
      <c r="BH1254" s="317"/>
      <c r="BI1254" s="317"/>
      <c r="BJ1254" s="317"/>
      <c r="BK1254" s="29">
        <f t="shared" si="727"/>
        <v>0</v>
      </c>
      <c r="BL1254" s="317"/>
      <c r="BM1254" s="317"/>
      <c r="BN1254" s="317"/>
      <c r="BO1254" s="317"/>
      <c r="BP1254" s="317"/>
      <c r="BQ1254" s="317"/>
      <c r="BR1254" s="317"/>
      <c r="BS1254" s="317"/>
      <c r="BT1254" s="317"/>
      <c r="BU1254" s="317"/>
      <c r="BV1254" s="317"/>
      <c r="BW1254" s="317"/>
      <c r="BX1254" s="317"/>
      <c r="BY1254" s="317"/>
      <c r="BZ1254" s="317"/>
      <c r="CA1254" s="317"/>
      <c r="CB1254" s="317"/>
      <c r="CC1254" s="317"/>
      <c r="CD1254" s="317"/>
      <c r="CE1254" s="317"/>
      <c r="CF1254" s="317"/>
      <c r="CG1254" s="317"/>
      <c r="CH1254" s="317"/>
      <c r="CI1254" s="317"/>
      <c r="CM1254" s="1139">
        <v>0</v>
      </c>
      <c r="CN1254" s="1139">
        <v>0</v>
      </c>
      <c r="CP1254" s="923">
        <f t="shared" si="744"/>
        <v>0</v>
      </c>
      <c r="CZ1254" s="330"/>
    </row>
    <row r="1255" spans="1:104" ht="15" customHeight="1" x14ac:dyDescent="0.25">
      <c r="A1255" s="684">
        <f>MAX($A$6:A1254)+1</f>
        <v>1255</v>
      </c>
      <c r="B1255" s="3">
        <f t="shared" si="730"/>
        <v>12</v>
      </c>
      <c r="C1255" s="11" t="str">
        <f t="shared" si="725"/>
        <v>Trade receivables, financial and other assets</v>
      </c>
      <c r="D1255" s="11"/>
      <c r="E1255" s="7" t="s">
        <v>231</v>
      </c>
      <c r="F1255" s="7"/>
      <c r="G1255" s="1254" t="s">
        <v>231</v>
      </c>
      <c r="H1255" s="6">
        <v>0</v>
      </c>
      <c r="I1255" s="6">
        <v>0</v>
      </c>
      <c r="J1255" s="1257" t="s">
        <v>877</v>
      </c>
      <c r="K1255" s="251">
        <f>SUMIF('alb Note 12 Trade Receivables'!$A:$A,$J1255,'alb Note 12 Trade Receivables'!$B:$B)</f>
        <v>0</v>
      </c>
      <c r="L1255" s="251">
        <f>SUMIF('alb Note 12 Trade Receivables'!$A:$A,$J1255,'alb Note 12 Trade Receivables'!$E:$E)</f>
        <v>0</v>
      </c>
      <c r="M1255" s="10"/>
      <c r="N1255" s="273">
        <f>ROUND(SUM(O1255:S1255)+SUM(W1255:AV1255),0)</f>
        <v>0</v>
      </c>
      <c r="O1255" s="12"/>
      <c r="P1255" s="12"/>
      <c r="Q1255" s="12"/>
      <c r="R1255" s="12"/>
      <c r="S1255" s="6">
        <f t="shared" si="752"/>
        <v>0</v>
      </c>
      <c r="T1255" s="273">
        <f>ROUND(SUM(U1255:Y1255),0)</f>
        <v>0</v>
      </c>
      <c r="U1255" s="6">
        <f>-SUM(BL1255:BN1255)</f>
        <v>0</v>
      </c>
      <c r="V1255" s="6"/>
      <c r="W1255" s="6">
        <f t="shared" ref="W1255:W1262" si="754">+H1255</f>
        <v>0</v>
      </c>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X1255" s="6"/>
      <c r="AY1255" s="6">
        <f>ROUND(AX1255/1000/Update!$B$31*Update!$B$27,0)</f>
        <v>0</v>
      </c>
      <c r="BA1255" s="6"/>
      <c r="BB1255" s="6">
        <f>ROUND(BA1255/1000/Update!$B$31,0)</f>
        <v>0</v>
      </c>
      <c r="BC1255" s="6"/>
      <c r="BD1255" s="29">
        <f t="shared" si="745"/>
        <v>0</v>
      </c>
      <c r="BE1255" s="317"/>
      <c r="BF1255" s="317"/>
      <c r="BG1255" s="317"/>
      <c r="BH1255" s="317"/>
      <c r="BI1255" s="317"/>
      <c r="BJ1255" s="317"/>
      <c r="BK1255" s="29">
        <f t="shared" si="727"/>
        <v>0</v>
      </c>
      <c r="BL1255" s="317"/>
      <c r="BM1255" s="317"/>
      <c r="BN1255" s="317"/>
      <c r="BO1255" s="317"/>
      <c r="BP1255" s="317"/>
      <c r="BQ1255" s="317"/>
      <c r="BR1255" s="317"/>
      <c r="BS1255" s="317"/>
      <c r="BT1255" s="317"/>
      <c r="BU1255" s="317"/>
      <c r="BV1255" s="317"/>
      <c r="BW1255" s="317"/>
      <c r="BX1255" s="317"/>
      <c r="BY1255" s="317"/>
      <c r="BZ1255" s="317"/>
      <c r="CA1255" s="317"/>
      <c r="CB1255" s="317"/>
      <c r="CC1255" s="317"/>
      <c r="CD1255" s="317"/>
      <c r="CE1255" s="317"/>
      <c r="CF1255" s="317"/>
      <c r="CG1255" s="317"/>
      <c r="CH1255" s="317"/>
      <c r="CI1255" s="317"/>
      <c r="CM1255" s="1139">
        <v>0</v>
      </c>
      <c r="CN1255" s="1139">
        <v>0</v>
      </c>
      <c r="CP1255" s="923">
        <f t="shared" si="744"/>
        <v>0</v>
      </c>
      <c r="CZ1255" s="330"/>
    </row>
    <row r="1256" spans="1:104" ht="15" customHeight="1" x14ac:dyDescent="0.25">
      <c r="A1256" s="684">
        <f>MAX($A$6:A1255)+1</f>
        <v>1256</v>
      </c>
      <c r="B1256" s="3">
        <f t="shared" si="730"/>
        <v>12</v>
      </c>
      <c r="C1256" s="11" t="str">
        <f t="shared" si="725"/>
        <v>Trade receivables, financial and other assets</v>
      </c>
      <c r="D1256" s="11"/>
      <c r="E1256" s="7" t="s">
        <v>231</v>
      </c>
      <c r="F1256" s="7"/>
      <c r="G1256" s="1254" t="s">
        <v>239</v>
      </c>
      <c r="H1256" s="6">
        <v>0</v>
      </c>
      <c r="I1256" s="6">
        <v>0</v>
      </c>
      <c r="J1256" s="1257" t="s">
        <v>879</v>
      </c>
      <c r="K1256" s="251">
        <f>SUMIF('alb Note 12 Trade Receivables'!$A:$A,$J1256,'alb Note 12 Trade Receivables'!$B:$B)</f>
        <v>0</v>
      </c>
      <c r="L1256" s="251">
        <f>SUMIF('alb Note 12 Trade Receivables'!$A:$A,$J1256,'alb Note 12 Trade Receivables'!$E:$E)</f>
        <v>0</v>
      </c>
      <c r="M1256" s="10"/>
      <c r="N1256" s="273">
        <f>ROUND(SUM(O1256:S1256)+SUM(W1256:AV1256),0)</f>
        <v>0</v>
      </c>
      <c r="O1256" s="12"/>
      <c r="P1256" s="12"/>
      <c r="Q1256" s="12"/>
      <c r="R1256" s="12"/>
      <c r="S1256" s="6">
        <f>-IF(ISNUMBER(BD1256),BD1256,0)</f>
        <v>0</v>
      </c>
      <c r="T1256" s="273">
        <f>ROUND(SUM(U1256:Y1256),0)</f>
        <v>0</v>
      </c>
      <c r="U1256" s="6">
        <f>-SUM(BL1256:BN1256)</f>
        <v>0</v>
      </c>
      <c r="V1256" s="6"/>
      <c r="W1256" s="6">
        <f t="shared" si="754"/>
        <v>0</v>
      </c>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X1256" s="6"/>
      <c r="AY1256" s="6">
        <f>ROUND(AX1256/1000/Update!$B$31*Update!$B$27,0)</f>
        <v>0</v>
      </c>
      <c r="BA1256" s="6"/>
      <c r="BB1256" s="6">
        <f>ROUND(BA1256/1000/Update!$B$31,0)</f>
        <v>0</v>
      </c>
      <c r="BC1256" s="6"/>
      <c r="BD1256" s="29">
        <f>ROUND(SUM(BE1256:BK1256),0)</f>
        <v>0</v>
      </c>
      <c r="BE1256" s="317"/>
      <c r="BF1256" s="317"/>
      <c r="BG1256" s="317"/>
      <c r="BH1256" s="317"/>
      <c r="BI1256" s="317"/>
      <c r="BJ1256" s="317"/>
      <c r="BK1256" s="29">
        <f t="shared" si="727"/>
        <v>0</v>
      </c>
      <c r="BL1256" s="317"/>
      <c r="BM1256" s="317"/>
      <c r="BN1256" s="317"/>
      <c r="BO1256" s="317"/>
      <c r="BP1256" s="317"/>
      <c r="BQ1256" s="317"/>
      <c r="BR1256" s="317"/>
      <c r="BS1256" s="317"/>
      <c r="BT1256" s="317"/>
      <c r="BU1256" s="317"/>
      <c r="BV1256" s="317"/>
      <c r="BW1256" s="317"/>
      <c r="BX1256" s="317"/>
      <c r="BY1256" s="317"/>
      <c r="BZ1256" s="317"/>
      <c r="CA1256" s="317"/>
      <c r="CB1256" s="317"/>
      <c r="CC1256" s="317"/>
      <c r="CD1256" s="317"/>
      <c r="CE1256" s="317"/>
      <c r="CF1256" s="317"/>
      <c r="CG1256" s="317"/>
      <c r="CH1256" s="317"/>
      <c r="CI1256" s="317"/>
      <c r="CM1256" s="1139">
        <v>0</v>
      </c>
      <c r="CN1256" s="1139">
        <v>0</v>
      </c>
      <c r="CP1256" s="923">
        <f t="shared" si="744"/>
        <v>0</v>
      </c>
      <c r="CZ1256" s="330"/>
    </row>
    <row r="1257" spans="1:104" ht="15" customHeight="1" x14ac:dyDescent="0.25">
      <c r="A1257" s="684">
        <f>MAX($A$6:A1256)+1</f>
        <v>1257</v>
      </c>
      <c r="B1257" s="3">
        <f>B1255</f>
        <v>12</v>
      </c>
      <c r="C1257" s="11" t="str">
        <f>C1255</f>
        <v>Trade receivables, financial and other assets</v>
      </c>
      <c r="D1257" s="11"/>
      <c r="E1257" s="7" t="s">
        <v>232</v>
      </c>
      <c r="F1257" s="7"/>
      <c r="G1257" s="1254" t="s">
        <v>232</v>
      </c>
      <c r="H1257" s="6">
        <v>0</v>
      </c>
      <c r="I1257" s="6">
        <v>0</v>
      </c>
      <c r="J1257" s="1257" t="s">
        <v>878</v>
      </c>
      <c r="K1257" s="251">
        <f>SUMIF('alb Note 12 Trade Receivables'!$A:$A,$J1257,'alb Note 12 Trade Receivables'!$B:$B)</f>
        <v>0</v>
      </c>
      <c r="L1257" s="251">
        <f>SUMIF('alb Note 12 Trade Receivables'!$A:$A,$J1257,'alb Note 12 Trade Receivables'!$E:$E)</f>
        <v>0</v>
      </c>
      <c r="M1257" s="10"/>
      <c r="N1257" s="273">
        <f>ROUND(SUM(O1257:S1257)+SUM(W1257:AV1257),0)</f>
        <v>0</v>
      </c>
      <c r="O1257" s="12"/>
      <c r="P1257" s="12"/>
      <c r="Q1257" s="12"/>
      <c r="R1257" s="12"/>
      <c r="S1257" s="6">
        <f t="shared" si="752"/>
        <v>0</v>
      </c>
      <c r="T1257" s="273">
        <f>ROUND(SUM(U1257:Y1257),0)</f>
        <v>0</v>
      </c>
      <c r="U1257" s="6">
        <f>-SUM(BL1257:BN1257)</f>
        <v>0</v>
      </c>
      <c r="V1257" s="6"/>
      <c r="W1257" s="6">
        <f t="shared" si="754"/>
        <v>0</v>
      </c>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X1257" s="6"/>
      <c r="AY1257" s="6">
        <f>ROUND(AX1257/1000/Update!$B$31*Update!$B$27,0)</f>
        <v>0</v>
      </c>
      <c r="BA1257" s="6"/>
      <c r="BB1257" s="6">
        <f>ROUND(BA1257/1000/Update!$B$31,0)</f>
        <v>0</v>
      </c>
      <c r="BC1257" s="6"/>
      <c r="BD1257" s="29">
        <f t="shared" si="745"/>
        <v>0</v>
      </c>
      <c r="BE1257" s="317"/>
      <c r="BF1257" s="317"/>
      <c r="BG1257" s="317"/>
      <c r="BH1257" s="317"/>
      <c r="BI1257" s="317"/>
      <c r="BJ1257" s="317"/>
      <c r="BK1257" s="29">
        <f t="shared" si="727"/>
        <v>0</v>
      </c>
      <c r="BL1257" s="317"/>
      <c r="BM1257" s="317"/>
      <c r="BN1257" s="317"/>
      <c r="BO1257" s="317"/>
      <c r="BP1257" s="317"/>
      <c r="BQ1257" s="317"/>
      <c r="BR1257" s="317"/>
      <c r="BS1257" s="317"/>
      <c r="BT1257" s="317"/>
      <c r="BU1257" s="317"/>
      <c r="BV1257" s="317"/>
      <c r="BW1257" s="317"/>
      <c r="BX1257" s="317"/>
      <c r="BY1257" s="317"/>
      <c r="BZ1257" s="317"/>
      <c r="CA1257" s="317"/>
      <c r="CB1257" s="317"/>
      <c r="CC1257" s="317"/>
      <c r="CD1257" s="317"/>
      <c r="CE1257" s="317"/>
      <c r="CF1257" s="317"/>
      <c r="CG1257" s="317"/>
      <c r="CH1257" s="317"/>
      <c r="CI1257" s="317"/>
      <c r="CM1257" s="1139">
        <v>0</v>
      </c>
      <c r="CN1257" s="1139">
        <v>0</v>
      </c>
      <c r="CP1257" s="923">
        <f t="shared" si="744"/>
        <v>0</v>
      </c>
      <c r="CZ1257" s="330"/>
    </row>
    <row r="1258" spans="1:104" ht="25.5" customHeight="1" x14ac:dyDescent="0.25">
      <c r="A1258" s="684">
        <f>MAX($A$6:A1257)+1</f>
        <v>1258</v>
      </c>
      <c r="B1258" s="3">
        <f>B1257</f>
        <v>12</v>
      </c>
      <c r="C1258" s="11" t="str">
        <f>C1257</f>
        <v>Trade receivables, financial and other assets</v>
      </c>
      <c r="D1258" s="11"/>
      <c r="E1258" s="7" t="s">
        <v>235</v>
      </c>
      <c r="F1258" s="7"/>
      <c r="G1258" s="1254" t="s">
        <v>235</v>
      </c>
      <c r="H1258" s="6">
        <v>0</v>
      </c>
      <c r="I1258" s="6">
        <v>0</v>
      </c>
      <c r="J1258" s="1257" t="s">
        <v>286</v>
      </c>
      <c r="K1258" s="251">
        <f>SUMIF('alb Note 12 Trade Receivables'!$A:$A,$J1258,'alb Note 12 Trade Receivables'!$B:$B)</f>
        <v>0</v>
      </c>
      <c r="L1258" s="251">
        <f>SUMIF('alb Note 12 Trade Receivables'!$A:$A,$J1258,'alb Note 12 Trade Receivables'!$E:$E)</f>
        <v>0</v>
      </c>
      <c r="M1258" s="10"/>
      <c r="N1258" s="273">
        <f>ROUND(SUM(O1258:S1258)+SUM(W1258:AV1258),0)</f>
        <v>0</v>
      </c>
      <c r="O1258" s="12"/>
      <c r="P1258" s="12"/>
      <c r="Q1258" s="12"/>
      <c r="R1258" s="12"/>
      <c r="S1258" s="6">
        <f t="shared" si="752"/>
        <v>0</v>
      </c>
      <c r="T1258" s="273">
        <f>ROUND(SUM(U1258:Y1258),0)</f>
        <v>0</v>
      </c>
      <c r="U1258" s="6">
        <f>-SUM(BL1258:BN1258)</f>
        <v>0</v>
      </c>
      <c r="V1258" s="6"/>
      <c r="W1258" s="6">
        <f t="shared" si="754"/>
        <v>0</v>
      </c>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X1258" s="6"/>
      <c r="AY1258" s="6">
        <f>ROUND(AX1258/1000/Update!$B$31*Update!$B$27,0)</f>
        <v>0</v>
      </c>
      <c r="BA1258" s="6"/>
      <c r="BB1258" s="6">
        <f>ROUND(BA1258/1000/Update!$B$31,0)</f>
        <v>0</v>
      </c>
      <c r="BC1258" s="6"/>
      <c r="BD1258" s="29">
        <f t="shared" si="745"/>
        <v>0</v>
      </c>
      <c r="BE1258" s="317"/>
      <c r="BF1258" s="317"/>
      <c r="BG1258" s="317"/>
      <c r="BH1258" s="317"/>
      <c r="BI1258" s="317"/>
      <c r="BJ1258" s="317"/>
      <c r="BK1258" s="29">
        <f t="shared" si="727"/>
        <v>0</v>
      </c>
      <c r="BL1258" s="317"/>
      <c r="BM1258" s="317"/>
      <c r="BN1258" s="317"/>
      <c r="BO1258" s="317"/>
      <c r="BP1258" s="317"/>
      <c r="BQ1258" s="317"/>
      <c r="BR1258" s="317"/>
      <c r="BS1258" s="317"/>
      <c r="BT1258" s="317"/>
      <c r="BU1258" s="317"/>
      <c r="BV1258" s="317"/>
      <c r="BW1258" s="317"/>
      <c r="BX1258" s="317"/>
      <c r="BY1258" s="317"/>
      <c r="BZ1258" s="317"/>
      <c r="CA1258" s="317"/>
      <c r="CB1258" s="317"/>
      <c r="CC1258" s="317"/>
      <c r="CD1258" s="317"/>
      <c r="CE1258" s="317"/>
      <c r="CF1258" s="317"/>
      <c r="CG1258" s="317"/>
      <c r="CH1258" s="317"/>
      <c r="CI1258" s="317"/>
      <c r="CM1258" s="1139">
        <v>0</v>
      </c>
      <c r="CN1258" s="1139">
        <v>0</v>
      </c>
      <c r="CP1258" s="923">
        <f t="shared" si="744"/>
        <v>0</v>
      </c>
      <c r="CZ1258" s="330"/>
    </row>
    <row r="1259" spans="1:104" ht="30" customHeight="1" x14ac:dyDescent="0.25">
      <c r="A1259" s="701">
        <f>MAX($A$6:A1258)+1</f>
        <v>1259</v>
      </c>
      <c r="B1259" s="1291">
        <f t="shared" si="730"/>
        <v>12</v>
      </c>
      <c r="C1259" s="18" t="str">
        <f t="shared" si="725"/>
        <v>Trade receivables, financial and other assets</v>
      </c>
      <c r="D1259" s="18"/>
      <c r="E1259" s="19" t="s">
        <v>242</v>
      </c>
      <c r="F1259" s="19"/>
      <c r="G1259" s="28"/>
      <c r="H1259" s="14">
        <f>SUM(H1254:H1258)</f>
        <v>0</v>
      </c>
      <c r="I1259" s="14">
        <f>SUM(I1254:I1258)</f>
        <v>0</v>
      </c>
      <c r="J1259" s="1258" t="s">
        <v>286</v>
      </c>
      <c r="K1259" s="256">
        <f>SUM(K1254:K1258)</f>
        <v>0</v>
      </c>
      <c r="L1259" s="256">
        <f>SUM(L1254:L1258)</f>
        <v>0</v>
      </c>
      <c r="M1259" s="21"/>
      <c r="N1259" s="14">
        <f>ROUND(SUM(O1259:S1259)+T1259+SUM(Z1259:AV1259),0)</f>
        <v>0</v>
      </c>
      <c r="O1259" s="14">
        <f t="shared" ref="O1259:T1259" si="755">SUM(O1254:O1258)</f>
        <v>0</v>
      </c>
      <c r="P1259" s="14">
        <f t="shared" si="755"/>
        <v>0</v>
      </c>
      <c r="Q1259" s="14">
        <f t="shared" si="755"/>
        <v>0</v>
      </c>
      <c r="R1259" s="14">
        <f t="shared" si="755"/>
        <v>0</v>
      </c>
      <c r="S1259" s="14">
        <f t="shared" si="752"/>
        <v>0</v>
      </c>
      <c r="T1259" s="14">
        <f t="shared" si="755"/>
        <v>0</v>
      </c>
      <c r="U1259" s="14">
        <f>SUM(U1254:U1258)</f>
        <v>0</v>
      </c>
      <c r="V1259" s="14">
        <f>SUM(V1254:V1258)</f>
        <v>0</v>
      </c>
      <c r="W1259" s="14">
        <f>SUM(W1254:W1258)</f>
        <v>0</v>
      </c>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2"/>
      <c r="AX1259" s="14">
        <f>SUM(AX1254:AX1258)</f>
        <v>0</v>
      </c>
      <c r="AY1259" s="14">
        <f>ROUND(AX1259/1000/Update!$B$31*Update!$B$27,0)</f>
        <v>0</v>
      </c>
      <c r="AZ1259" s="2"/>
      <c r="BA1259" s="14">
        <f>SUM(BA1254:BA1258)</f>
        <v>0</v>
      </c>
      <c r="BB1259" s="14">
        <f>ROUND(BA1259/1000/Update!$B$31,0)</f>
        <v>0</v>
      </c>
      <c r="BC1259" s="14"/>
      <c r="BD1259" s="14">
        <f t="shared" si="745"/>
        <v>0</v>
      </c>
      <c r="BE1259" s="318">
        <f t="shared" ref="BE1259:BJ1259" si="756">SUM(BE1254:BE1258)</f>
        <v>0</v>
      </c>
      <c r="BF1259" s="318">
        <f t="shared" si="756"/>
        <v>0</v>
      </c>
      <c r="BG1259" s="318">
        <f t="shared" si="756"/>
        <v>0</v>
      </c>
      <c r="BH1259" s="318">
        <f t="shared" si="756"/>
        <v>0</v>
      </c>
      <c r="BI1259" s="318">
        <f t="shared" si="756"/>
        <v>0</v>
      </c>
      <c r="BJ1259" s="318">
        <f t="shared" si="756"/>
        <v>0</v>
      </c>
      <c r="BK1259" s="14">
        <f t="shared" si="727"/>
        <v>0</v>
      </c>
      <c r="BL1259" s="318"/>
      <c r="BM1259" s="318"/>
      <c r="BN1259" s="318"/>
      <c r="BO1259" s="318"/>
      <c r="BP1259" s="318"/>
      <c r="BQ1259" s="318"/>
      <c r="BR1259" s="318"/>
      <c r="BS1259" s="318"/>
      <c r="BT1259" s="318"/>
      <c r="BU1259" s="318"/>
      <c r="BV1259" s="318"/>
      <c r="BW1259" s="318"/>
      <c r="BX1259" s="318"/>
      <c r="BY1259" s="318"/>
      <c r="BZ1259" s="318"/>
      <c r="CA1259" s="318"/>
      <c r="CB1259" s="318"/>
      <c r="CC1259" s="318"/>
      <c r="CD1259" s="318"/>
      <c r="CE1259" s="318"/>
      <c r="CF1259" s="318"/>
      <c r="CG1259" s="318"/>
      <c r="CH1259" s="318"/>
      <c r="CI1259" s="318"/>
      <c r="CJ1259" s="2"/>
      <c r="CK1259" s="2"/>
      <c r="CM1259" s="1140">
        <v>0</v>
      </c>
      <c r="CN1259" s="1140">
        <v>0</v>
      </c>
      <c r="CP1259" s="923">
        <f t="shared" si="744"/>
        <v>0</v>
      </c>
      <c r="CZ1259" s="330"/>
    </row>
    <row r="1260" spans="1:104" ht="15" customHeight="1" x14ac:dyDescent="0.25">
      <c r="A1260" s="684">
        <f>MAX($A$6:A1259)+1</f>
        <v>1260</v>
      </c>
      <c r="B1260" s="3">
        <f>B1259</f>
        <v>12</v>
      </c>
      <c r="C1260" s="11" t="str">
        <f>C1259</f>
        <v>Trade receivables, financial and other assets</v>
      </c>
      <c r="D1260" s="11"/>
      <c r="E1260" s="7" t="s">
        <v>897</v>
      </c>
      <c r="F1260" s="7"/>
      <c r="G1260" s="1254" t="s">
        <v>615</v>
      </c>
      <c r="H1260" s="6">
        <v>0</v>
      </c>
      <c r="I1260" s="6">
        <v>0</v>
      </c>
      <c r="J1260" s="1257" t="s">
        <v>897</v>
      </c>
      <c r="K1260" s="251">
        <f>SUMIF('alb Note 12 Trade Receivables'!$A:$A,$J1260,'alb Note 12 Trade Receivables'!$B:$B)</f>
        <v>0</v>
      </c>
      <c r="L1260" s="251">
        <f>SUMIF('alb Note 12 Trade Receivables'!$A:$A,$J1260,'alb Note 12 Trade Receivables'!$E:$E)</f>
        <v>0</v>
      </c>
      <c r="M1260" s="10"/>
      <c r="N1260" s="273">
        <f>ROUND(SUM(O1260:S1260)+SUM(W1260:AV1260),0)</f>
        <v>0</v>
      </c>
      <c r="O1260" s="12"/>
      <c r="P1260" s="12"/>
      <c r="Q1260" s="12"/>
      <c r="R1260" s="12"/>
      <c r="S1260" s="6">
        <f t="shared" si="752"/>
        <v>0</v>
      </c>
      <c r="T1260" s="273">
        <f t="shared" ref="T1260:T1292" si="757">ROUND(SUM(U1260:Y1260),0)</f>
        <v>0</v>
      </c>
      <c r="U1260" s="6">
        <f>-SUM(BL1260:BN1260)</f>
        <v>0</v>
      </c>
      <c r="V1260" s="6"/>
      <c r="W1260" s="6">
        <f t="shared" si="754"/>
        <v>0</v>
      </c>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X1260" s="6"/>
      <c r="AY1260" s="6">
        <f>ROUND(AX1260/1000/Update!$B$31*Update!$B$27,0)</f>
        <v>0</v>
      </c>
      <c r="BA1260" s="6"/>
      <c r="BB1260" s="6"/>
      <c r="BC1260" s="6"/>
      <c r="BD1260" s="29">
        <f t="shared" si="745"/>
        <v>0</v>
      </c>
      <c r="BE1260" s="317"/>
      <c r="BF1260" s="317"/>
      <c r="BG1260" s="317"/>
      <c r="BH1260" s="317"/>
      <c r="BI1260" s="317"/>
      <c r="BJ1260" s="317"/>
      <c r="BK1260" s="29">
        <f t="shared" si="727"/>
        <v>0</v>
      </c>
      <c r="BL1260" s="317"/>
      <c r="BM1260" s="317"/>
      <c r="BN1260" s="317"/>
      <c r="BO1260" s="317"/>
      <c r="BP1260" s="317"/>
      <c r="BQ1260" s="317"/>
      <c r="BR1260" s="317"/>
      <c r="BS1260" s="317"/>
      <c r="BT1260" s="317"/>
      <c r="BU1260" s="317"/>
      <c r="BV1260" s="317"/>
      <c r="BW1260" s="317"/>
      <c r="BX1260" s="317"/>
      <c r="BY1260" s="317"/>
      <c r="BZ1260" s="317"/>
      <c r="CA1260" s="317"/>
      <c r="CB1260" s="317"/>
      <c r="CC1260" s="317"/>
      <c r="CD1260" s="317"/>
      <c r="CE1260" s="317"/>
      <c r="CF1260" s="317"/>
      <c r="CG1260" s="317"/>
      <c r="CH1260" s="317"/>
      <c r="CI1260" s="317"/>
      <c r="CM1260" s="1139">
        <v>0</v>
      </c>
      <c r="CN1260" s="1139">
        <v>0</v>
      </c>
      <c r="CP1260" s="923">
        <f t="shared" si="744"/>
        <v>0</v>
      </c>
      <c r="CZ1260" s="330"/>
    </row>
    <row r="1261" spans="1:104" ht="15" customHeight="1" x14ac:dyDescent="0.25">
      <c r="A1261" s="684">
        <f>MAX($A$6:A1260)+1</f>
        <v>1261</v>
      </c>
      <c r="B1261" s="3">
        <f>B1260</f>
        <v>12</v>
      </c>
      <c r="C1261" s="11" t="str">
        <f>C1260</f>
        <v>Trade receivables, financial and other assets</v>
      </c>
      <c r="D1261" s="11"/>
      <c r="E1261" s="7" t="s">
        <v>898</v>
      </c>
      <c r="F1261" s="7"/>
      <c r="G1261" s="1254" t="s">
        <v>286</v>
      </c>
      <c r="H1261" s="6">
        <v>0</v>
      </c>
      <c r="I1261" s="6">
        <v>0</v>
      </c>
      <c r="J1261" s="1257" t="s">
        <v>1684</v>
      </c>
      <c r="K1261" s="251">
        <f>SUMIF('alb Note 12 Trade Receivables'!$A:$A,$J1261,'alb Note 12 Trade Receivables'!$B:$B)</f>
        <v>0</v>
      </c>
      <c r="L1261" s="251">
        <f>SUMIF('alb Note 12 Trade Receivables'!$A:$A,$J1261,'alb Note 12 Trade Receivables'!$E:$E)</f>
        <v>0</v>
      </c>
      <c r="M1261" s="10"/>
      <c r="N1261" s="273">
        <f>ROUND(SUM(O1261:S1261)+SUM(W1261:AV1261),0)</f>
        <v>0</v>
      </c>
      <c r="O1261" s="12"/>
      <c r="P1261" s="12"/>
      <c r="Q1261" s="12"/>
      <c r="R1261" s="12"/>
      <c r="S1261" s="6">
        <f t="shared" si="752"/>
        <v>0</v>
      </c>
      <c r="T1261" s="273">
        <f t="shared" si="757"/>
        <v>0</v>
      </c>
      <c r="U1261" s="6">
        <f>-SUM(BL1261:BN1261)</f>
        <v>0</v>
      </c>
      <c r="V1261" s="6"/>
      <c r="W1261" s="6">
        <f t="shared" si="754"/>
        <v>0</v>
      </c>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X1261" s="6"/>
      <c r="AY1261" s="6">
        <f>ROUND(AX1261/1000/Update!$B$31*Update!$B$27,0)</f>
        <v>0</v>
      </c>
      <c r="BA1261" s="6"/>
      <c r="BB1261" s="6">
        <f>ROUND(BA1261/1000/Update!$B$31,0)</f>
        <v>0</v>
      </c>
      <c r="BC1261" s="6"/>
      <c r="BD1261" s="29">
        <f t="shared" si="745"/>
        <v>0</v>
      </c>
      <c r="BE1261" s="317"/>
      <c r="BF1261" s="317"/>
      <c r="BG1261" s="317"/>
      <c r="BH1261" s="317"/>
      <c r="BI1261" s="317"/>
      <c r="BJ1261" s="317"/>
      <c r="BK1261" s="29">
        <f t="shared" si="727"/>
        <v>0</v>
      </c>
      <c r="BL1261" s="317"/>
      <c r="BM1261" s="317"/>
      <c r="BN1261" s="317"/>
      <c r="BO1261" s="317"/>
      <c r="BP1261" s="317"/>
      <c r="BQ1261" s="317"/>
      <c r="BR1261" s="317"/>
      <c r="BS1261" s="317"/>
      <c r="BT1261" s="317"/>
      <c r="BU1261" s="317"/>
      <c r="BV1261" s="317"/>
      <c r="BW1261" s="317"/>
      <c r="BX1261" s="317"/>
      <c r="BY1261" s="317"/>
      <c r="BZ1261" s="317"/>
      <c r="CA1261" s="317"/>
      <c r="CB1261" s="317"/>
      <c r="CC1261" s="317"/>
      <c r="CD1261" s="317"/>
      <c r="CE1261" s="317"/>
      <c r="CF1261" s="317"/>
      <c r="CG1261" s="317"/>
      <c r="CH1261" s="317"/>
      <c r="CI1261" s="317"/>
      <c r="CM1261" s="1139">
        <v>0</v>
      </c>
      <c r="CN1261" s="1139">
        <v>0</v>
      </c>
      <c r="CP1261" s="923">
        <f t="shared" si="744"/>
        <v>0</v>
      </c>
      <c r="CZ1261" s="330"/>
    </row>
    <row r="1262" spans="1:104" ht="38.25" customHeight="1" x14ac:dyDescent="0.25">
      <c r="A1262" s="684">
        <f>MAX($A$6:A1261)+1</f>
        <v>1262</v>
      </c>
      <c r="B1262" s="3">
        <f t="shared" si="730"/>
        <v>12</v>
      </c>
      <c r="C1262" s="11" t="str">
        <f>C1261</f>
        <v>Trade receivables, financial and other assets</v>
      </c>
      <c r="D1262" s="11"/>
      <c r="E1262" s="1257" t="s">
        <v>286</v>
      </c>
      <c r="F1262" s="7"/>
      <c r="G1262" s="1254" t="s">
        <v>618</v>
      </c>
      <c r="H1262" s="6">
        <v>0</v>
      </c>
      <c r="I1262" s="6">
        <v>0</v>
      </c>
      <c r="J1262" s="1257" t="s">
        <v>286</v>
      </c>
      <c r="K1262" s="251">
        <f>SUMIF('alb Note 12 Trade Receivables'!$A:$A,$J1262,'alb Note 12 Trade Receivables'!$B:$B)</f>
        <v>0</v>
      </c>
      <c r="L1262" s="251">
        <f>SUMIF('alb Note 12 Trade Receivables'!$A:$A,$J1262,'alb Note 12 Trade Receivables'!$E:$E)</f>
        <v>0</v>
      </c>
      <c r="M1262" s="10"/>
      <c r="N1262" s="273">
        <f>ROUND(SUM(O1262:S1262)+SUM(W1262:AV1262),0)</f>
        <v>0</v>
      </c>
      <c r="O1262" s="12"/>
      <c r="P1262" s="12"/>
      <c r="Q1262" s="12"/>
      <c r="R1262" s="12"/>
      <c r="S1262" s="6">
        <f t="shared" si="752"/>
        <v>0</v>
      </c>
      <c r="T1262" s="273">
        <f t="shared" si="757"/>
        <v>0</v>
      </c>
      <c r="U1262" s="6">
        <f>-SUM(BL1262:BN1262)</f>
        <v>0</v>
      </c>
      <c r="V1262" s="6"/>
      <c r="W1262" s="6">
        <f t="shared" si="754"/>
        <v>0</v>
      </c>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X1262" s="6"/>
      <c r="AY1262" s="6">
        <f>ROUND(AX1262/1000/Update!$B$31*Update!$B$27,0)</f>
        <v>0</v>
      </c>
      <c r="BA1262" s="6"/>
      <c r="BB1262" s="6">
        <f>ROUND(BA1262/1000/Update!$B$31,0)</f>
        <v>0</v>
      </c>
      <c r="BC1262" s="6"/>
      <c r="BD1262" s="29">
        <f t="shared" si="745"/>
        <v>0</v>
      </c>
      <c r="BE1262" s="317"/>
      <c r="BF1262" s="317"/>
      <c r="BG1262" s="317"/>
      <c r="BH1262" s="317"/>
      <c r="BI1262" s="317"/>
      <c r="BJ1262" s="317"/>
      <c r="BK1262" s="29">
        <f t="shared" si="727"/>
        <v>0</v>
      </c>
      <c r="BL1262" s="317"/>
      <c r="BM1262" s="317"/>
      <c r="BN1262" s="317"/>
      <c r="BO1262" s="317"/>
      <c r="BP1262" s="317"/>
      <c r="BQ1262" s="317"/>
      <c r="BR1262" s="317"/>
      <c r="BS1262" s="317"/>
      <c r="BT1262" s="317"/>
      <c r="BU1262" s="317"/>
      <c r="BV1262" s="317"/>
      <c r="BW1262" s="317"/>
      <c r="BX1262" s="317"/>
      <c r="BY1262" s="317"/>
      <c r="BZ1262" s="317"/>
      <c r="CA1262" s="317"/>
      <c r="CB1262" s="317"/>
      <c r="CC1262" s="317"/>
      <c r="CD1262" s="317"/>
      <c r="CE1262" s="317"/>
      <c r="CF1262" s="317"/>
      <c r="CG1262" s="317"/>
      <c r="CH1262" s="317"/>
      <c r="CI1262" s="317"/>
      <c r="CM1262" s="1139">
        <v>0</v>
      </c>
      <c r="CN1262" s="1139">
        <v>0</v>
      </c>
      <c r="CP1262" s="923">
        <f t="shared" si="744"/>
        <v>0</v>
      </c>
      <c r="CZ1262" s="330"/>
    </row>
    <row r="1263" spans="1:104" ht="15" customHeight="1" x14ac:dyDescent="0.25">
      <c r="A1263" s="701">
        <f>MAX($A$6:A1262)+1</f>
        <v>1263</v>
      </c>
      <c r="B1263" s="1291">
        <f t="shared" si="730"/>
        <v>12</v>
      </c>
      <c r="C1263" s="18" t="str">
        <f t="shared" ref="C1263:C1268" si="758">C1262</f>
        <v>Trade receivables, financial and other assets</v>
      </c>
      <c r="D1263" s="18"/>
      <c r="E1263" s="22" t="s">
        <v>243</v>
      </c>
      <c r="F1263" s="22"/>
      <c r="G1263" s="28"/>
      <c r="H1263" s="14">
        <f>H1253</f>
        <v>0</v>
      </c>
      <c r="I1263" s="14">
        <f>I1253</f>
        <v>0</v>
      </c>
      <c r="J1263" s="1258" t="s">
        <v>286</v>
      </c>
      <c r="K1263" s="256">
        <f>SUM(K1260:K1262)</f>
        <v>0</v>
      </c>
      <c r="L1263" s="256">
        <f>SUM(L1260:L1262)</f>
        <v>0</v>
      </c>
      <c r="M1263" s="21"/>
      <c r="N1263" s="256">
        <f>ROUND(SUM(O1263:S1263)+SUM(W1263:AV1263),0)</f>
        <v>0</v>
      </c>
      <c r="O1263" s="23">
        <f>SUM(O1260:O1262)</f>
        <v>0</v>
      </c>
      <c r="P1263" s="23">
        <f>SUM(P1260:P1262)</f>
        <v>0</v>
      </c>
      <c r="Q1263" s="23">
        <f>SUM(Q1260:Q1262)</f>
        <v>0</v>
      </c>
      <c r="R1263" s="23">
        <f>SUM(R1260:R1262)</f>
        <v>0</v>
      </c>
      <c r="S1263" s="14">
        <f t="shared" si="752"/>
        <v>0</v>
      </c>
      <c r="T1263" s="256">
        <f>ROUND(SUM(U1263:Y1263),0)</f>
        <v>0</v>
      </c>
      <c r="U1263" s="14">
        <f>SUM(U1260:U1262)</f>
        <v>0</v>
      </c>
      <c r="V1263" s="14">
        <f>SUM(V1260:V1262)</f>
        <v>0</v>
      </c>
      <c r="W1263" s="14">
        <f>SUM(W1260:W1262)</f>
        <v>0</v>
      </c>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2"/>
      <c r="AX1263" s="14">
        <f>SUM(AX1260:AX1262)</f>
        <v>0</v>
      </c>
      <c r="AY1263" s="14">
        <f>ROUND(AX1263/1000/Update!$B$31*Update!$B$27,0)</f>
        <v>0</v>
      </c>
      <c r="AZ1263" s="2"/>
      <c r="BA1263" s="14">
        <f>SUM(BA1260:BA1262)</f>
        <v>0</v>
      </c>
      <c r="BB1263" s="14">
        <f>ROUND(BA1263/1000/Update!$B$31,0)</f>
        <v>0</v>
      </c>
      <c r="BC1263" s="14"/>
      <c r="BD1263" s="14">
        <f t="shared" si="745"/>
        <v>0</v>
      </c>
      <c r="BE1263" s="318">
        <f t="shared" ref="BE1263:BJ1263" si="759">SUM(BE1260:BE1262)</f>
        <v>0</v>
      </c>
      <c r="BF1263" s="318">
        <f t="shared" si="759"/>
        <v>0</v>
      </c>
      <c r="BG1263" s="318">
        <f t="shared" si="759"/>
        <v>0</v>
      </c>
      <c r="BH1263" s="318">
        <f t="shared" si="759"/>
        <v>0</v>
      </c>
      <c r="BI1263" s="318">
        <f t="shared" si="759"/>
        <v>0</v>
      </c>
      <c r="BJ1263" s="318">
        <f t="shared" si="759"/>
        <v>0</v>
      </c>
      <c r="BK1263" s="14">
        <f t="shared" si="727"/>
        <v>0</v>
      </c>
      <c r="BL1263" s="318"/>
      <c r="BM1263" s="318"/>
      <c r="BN1263" s="318"/>
      <c r="BO1263" s="318"/>
      <c r="BP1263" s="318"/>
      <c r="BQ1263" s="318"/>
      <c r="BR1263" s="318"/>
      <c r="BS1263" s="318"/>
      <c r="BT1263" s="318"/>
      <c r="BU1263" s="318"/>
      <c r="BV1263" s="318"/>
      <c r="BW1263" s="318"/>
      <c r="BX1263" s="318"/>
      <c r="BY1263" s="318"/>
      <c r="BZ1263" s="318"/>
      <c r="CA1263" s="318"/>
      <c r="CB1263" s="318"/>
      <c r="CC1263" s="318"/>
      <c r="CD1263" s="318"/>
      <c r="CE1263" s="318"/>
      <c r="CF1263" s="318"/>
      <c r="CG1263" s="318"/>
      <c r="CH1263" s="318"/>
      <c r="CI1263" s="318"/>
      <c r="CJ1263" s="2"/>
      <c r="CK1263" s="2"/>
      <c r="CM1263" s="1140">
        <v>0</v>
      </c>
      <c r="CN1263" s="1140">
        <v>0</v>
      </c>
      <c r="CP1263" s="923">
        <f t="shared" si="744"/>
        <v>0</v>
      </c>
      <c r="CZ1263" s="330"/>
    </row>
    <row r="1264" spans="1:104" ht="15" customHeight="1" x14ac:dyDescent="0.25">
      <c r="A1264" s="701">
        <f>MAX($A$6:A1263)+1</f>
        <v>1264</v>
      </c>
      <c r="B1264" s="1291">
        <f t="shared" si="730"/>
        <v>12</v>
      </c>
      <c r="C1264" s="18" t="str">
        <f t="shared" si="758"/>
        <v>Trade receivables, financial and other assets</v>
      </c>
      <c r="D1264" s="18"/>
      <c r="E1264" s="22" t="s">
        <v>244</v>
      </c>
      <c r="F1264" s="22"/>
      <c r="G1264" s="28"/>
      <c r="H1264" s="14">
        <f>H1248</f>
        <v>0</v>
      </c>
      <c r="I1264" s="14">
        <f>I1248</f>
        <v>0</v>
      </c>
      <c r="J1264" s="1258" t="s">
        <v>286</v>
      </c>
      <c r="K1264" s="256">
        <f>K1248+K1253</f>
        <v>0</v>
      </c>
      <c r="L1264" s="256">
        <f>L1248+L1253</f>
        <v>0</v>
      </c>
      <c r="M1264" s="21"/>
      <c r="N1264" s="14">
        <f>N1248+N1253</f>
        <v>0</v>
      </c>
      <c r="O1264" s="23">
        <f>O1248+O1253</f>
        <v>0</v>
      </c>
      <c r="P1264" s="23">
        <f>P1248+P1253</f>
        <v>0</v>
      </c>
      <c r="Q1264" s="23">
        <f>Q1248+Q1253</f>
        <v>0</v>
      </c>
      <c r="R1264" s="23">
        <f>R1248+R1253</f>
        <v>0</v>
      </c>
      <c r="S1264" s="14">
        <f t="shared" si="752"/>
        <v>0</v>
      </c>
      <c r="T1264" s="256">
        <f t="shared" si="757"/>
        <v>0</v>
      </c>
      <c r="U1264" s="14">
        <f>U1248+U1253</f>
        <v>0</v>
      </c>
      <c r="V1264" s="14">
        <f>V1248+V1253</f>
        <v>0</v>
      </c>
      <c r="W1264" s="14">
        <f>W1248+W1253</f>
        <v>0</v>
      </c>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2"/>
      <c r="AX1264" s="14">
        <f>AX1248+AX1253</f>
        <v>0</v>
      </c>
      <c r="AY1264" s="14">
        <f>ROUND(AX1264/1000/Update!$B$31*Update!$B$27,0)</f>
        <v>0</v>
      </c>
      <c r="AZ1264" s="2"/>
      <c r="BA1264" s="14">
        <f>BA1248+BA1253</f>
        <v>0</v>
      </c>
      <c r="BB1264" s="14">
        <f>ROUND(BA1264/1000/Update!$B$31,0)</f>
        <v>0</v>
      </c>
      <c r="BC1264" s="14"/>
      <c r="BD1264" s="14">
        <f t="shared" si="745"/>
        <v>0</v>
      </c>
      <c r="BE1264" s="318">
        <f t="shared" ref="BE1264:BJ1264" si="760">BE1248+BE1253</f>
        <v>0</v>
      </c>
      <c r="BF1264" s="318">
        <f t="shared" si="760"/>
        <v>0</v>
      </c>
      <c r="BG1264" s="318">
        <f t="shared" si="760"/>
        <v>0</v>
      </c>
      <c r="BH1264" s="318">
        <f t="shared" si="760"/>
        <v>0</v>
      </c>
      <c r="BI1264" s="318">
        <f t="shared" si="760"/>
        <v>0</v>
      </c>
      <c r="BJ1264" s="318">
        <f t="shared" si="760"/>
        <v>0</v>
      </c>
      <c r="BK1264" s="14">
        <f t="shared" si="727"/>
        <v>0</v>
      </c>
      <c r="BL1264" s="318"/>
      <c r="BM1264" s="318"/>
      <c r="BN1264" s="318"/>
      <c r="BO1264" s="318"/>
      <c r="BP1264" s="318"/>
      <c r="BQ1264" s="318"/>
      <c r="BR1264" s="318"/>
      <c r="BS1264" s="318"/>
      <c r="BT1264" s="318"/>
      <c r="BU1264" s="318"/>
      <c r="BV1264" s="318"/>
      <c r="BW1264" s="318"/>
      <c r="BX1264" s="318"/>
      <c r="BY1264" s="318"/>
      <c r="BZ1264" s="318"/>
      <c r="CA1264" s="318"/>
      <c r="CB1264" s="318"/>
      <c r="CC1264" s="318"/>
      <c r="CD1264" s="318"/>
      <c r="CE1264" s="318"/>
      <c r="CF1264" s="318"/>
      <c r="CG1264" s="318"/>
      <c r="CH1264" s="318"/>
      <c r="CI1264" s="318"/>
      <c r="CJ1264" s="2"/>
      <c r="CK1264" s="2"/>
      <c r="CM1264" s="1140">
        <v>-434</v>
      </c>
      <c r="CN1264" s="1140">
        <v>80982</v>
      </c>
      <c r="CP1264" s="923">
        <f t="shared" si="744"/>
        <v>-434</v>
      </c>
      <c r="CZ1264" s="330"/>
    </row>
    <row r="1265" spans="1:104" ht="15" customHeight="1" x14ac:dyDescent="0.25">
      <c r="A1265" s="701">
        <f>MAX($A$6:A1264)+1</f>
        <v>1265</v>
      </c>
      <c r="B1265" s="1291">
        <f t="shared" si="730"/>
        <v>12</v>
      </c>
      <c r="C1265" s="18" t="str">
        <f t="shared" si="758"/>
        <v>Trade receivables, financial and other assets</v>
      </c>
      <c r="D1265" s="18"/>
      <c r="E1265" s="22" t="s">
        <v>245</v>
      </c>
      <c r="F1265" s="22"/>
      <c r="G1265" s="28"/>
      <c r="H1265" s="14">
        <f>H1259</f>
        <v>0</v>
      </c>
      <c r="I1265" s="14">
        <f>I1259</f>
        <v>0</v>
      </c>
      <c r="J1265" s="1258" t="s">
        <v>286</v>
      </c>
      <c r="K1265" s="256">
        <f>K1259+K1263</f>
        <v>0</v>
      </c>
      <c r="L1265" s="256">
        <f>L1259+L1263</f>
        <v>0</v>
      </c>
      <c r="M1265" s="21"/>
      <c r="N1265" s="14">
        <f>N1259+N1263</f>
        <v>0</v>
      </c>
      <c r="O1265" s="23">
        <f>O1259+O1263</f>
        <v>0</v>
      </c>
      <c r="P1265" s="23">
        <f>P1259+P1263</f>
        <v>0</v>
      </c>
      <c r="Q1265" s="23">
        <f>Q1259+Q1263</f>
        <v>0</v>
      </c>
      <c r="R1265" s="23">
        <f>R1259+R1263</f>
        <v>0</v>
      </c>
      <c r="S1265" s="14">
        <f t="shared" si="752"/>
        <v>0</v>
      </c>
      <c r="T1265" s="256">
        <f t="shared" si="757"/>
        <v>0</v>
      </c>
      <c r="U1265" s="14">
        <f>U1259+U1263</f>
        <v>0</v>
      </c>
      <c r="V1265" s="14">
        <f>V1259+V1263</f>
        <v>0</v>
      </c>
      <c r="W1265" s="14">
        <f>W1259+W1263</f>
        <v>0</v>
      </c>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2"/>
      <c r="AX1265" s="14">
        <f>AX1259+AX1263</f>
        <v>0</v>
      </c>
      <c r="AY1265" s="14">
        <f>ROUND(AX1265/1000/Update!$B$31*Update!$B$27,0)</f>
        <v>0</v>
      </c>
      <c r="AZ1265" s="2"/>
      <c r="BA1265" s="14">
        <f>BA1259+BA1263</f>
        <v>0</v>
      </c>
      <c r="BB1265" s="14">
        <f>ROUND(BA1265/1000/Update!$B$31,0)</f>
        <v>0</v>
      </c>
      <c r="BC1265" s="14"/>
      <c r="BD1265" s="14">
        <f t="shared" si="745"/>
        <v>0</v>
      </c>
      <c r="BE1265" s="318">
        <f t="shared" ref="BE1265:BJ1265" si="761">BE1259+BE1263</f>
        <v>0</v>
      </c>
      <c r="BF1265" s="318">
        <f t="shared" si="761"/>
        <v>0</v>
      </c>
      <c r="BG1265" s="318">
        <f t="shared" si="761"/>
        <v>0</v>
      </c>
      <c r="BH1265" s="318">
        <f t="shared" si="761"/>
        <v>0</v>
      </c>
      <c r="BI1265" s="318">
        <f t="shared" si="761"/>
        <v>0</v>
      </c>
      <c r="BJ1265" s="318">
        <f t="shared" si="761"/>
        <v>0</v>
      </c>
      <c r="BK1265" s="14">
        <f t="shared" si="727"/>
        <v>0</v>
      </c>
      <c r="BL1265" s="318"/>
      <c r="BM1265" s="318"/>
      <c r="BN1265" s="318"/>
      <c r="BO1265" s="318"/>
      <c r="BP1265" s="318"/>
      <c r="BQ1265" s="318"/>
      <c r="BR1265" s="318"/>
      <c r="BS1265" s="318"/>
      <c r="BT1265" s="318"/>
      <c r="BU1265" s="318"/>
      <c r="BV1265" s="318"/>
      <c r="BW1265" s="318"/>
      <c r="BX1265" s="318"/>
      <c r="BY1265" s="318"/>
      <c r="BZ1265" s="318"/>
      <c r="CA1265" s="318"/>
      <c r="CB1265" s="318"/>
      <c r="CC1265" s="318"/>
      <c r="CD1265" s="318"/>
      <c r="CE1265" s="318"/>
      <c r="CF1265" s="318"/>
      <c r="CG1265" s="318"/>
      <c r="CH1265" s="318"/>
      <c r="CI1265" s="318"/>
      <c r="CJ1265" s="2"/>
      <c r="CK1265" s="2"/>
      <c r="CM1265" s="1140">
        <v>0</v>
      </c>
      <c r="CN1265" s="1140">
        <v>0</v>
      </c>
      <c r="CP1265" s="923">
        <f t="shared" si="744"/>
        <v>0</v>
      </c>
      <c r="CZ1265" s="330"/>
    </row>
    <row r="1266" spans="1:104" ht="15" customHeight="1" x14ac:dyDescent="0.25">
      <c r="A1266" s="701">
        <f>MAX($A$6:A1265)+1</f>
        <v>1266</v>
      </c>
      <c r="B1266" s="1291">
        <f t="shared" si="730"/>
        <v>12</v>
      </c>
      <c r="C1266" s="18" t="str">
        <f t="shared" si="758"/>
        <v>Trade receivables, financial and other assets</v>
      </c>
      <c r="D1266" s="18"/>
      <c r="E1266" s="22" t="s">
        <v>246</v>
      </c>
      <c r="F1266" s="22"/>
      <c r="G1266" s="28"/>
      <c r="H1266" s="14">
        <f>SUM(H1263:H1265)</f>
        <v>0</v>
      </c>
      <c r="I1266" s="14">
        <f>SUM(I1263:I1265)</f>
        <v>0</v>
      </c>
      <c r="J1266" s="1258" t="s">
        <v>286</v>
      </c>
      <c r="K1266" s="256">
        <f>SUM(K1263:K1265)</f>
        <v>0</v>
      </c>
      <c r="L1266" s="256">
        <f>SUM(L1263:L1265)</f>
        <v>0</v>
      </c>
      <c r="M1266" s="21"/>
      <c r="N1266" s="14">
        <f>SUM(N1263:N1265)</f>
        <v>0</v>
      </c>
      <c r="O1266" s="23">
        <f>SUM(O1263:O1265)</f>
        <v>0</v>
      </c>
      <c r="P1266" s="23">
        <f>SUM(P1263:P1265)</f>
        <v>0</v>
      </c>
      <c r="Q1266" s="23">
        <f>SUM(Q1263:Q1265)</f>
        <v>0</v>
      </c>
      <c r="R1266" s="23">
        <f>SUM(R1263:R1265)</f>
        <v>0</v>
      </c>
      <c r="S1266" s="14">
        <f t="shared" si="752"/>
        <v>0</v>
      </c>
      <c r="T1266" s="14">
        <f t="shared" si="757"/>
        <v>0</v>
      </c>
      <c r="U1266" s="14">
        <f>SUM(U1263:U1265)</f>
        <v>0</v>
      </c>
      <c r="V1266" s="14">
        <f>SUM(V1263:V1265)</f>
        <v>0</v>
      </c>
      <c r="W1266" s="14">
        <f>SUM(W1263:W1265)</f>
        <v>0</v>
      </c>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2"/>
      <c r="AX1266" s="14">
        <f>SUM(AX1263:AX1265)</f>
        <v>0</v>
      </c>
      <c r="AY1266" s="14">
        <f>ROUND(AX1266/1000/Update!$B$31*Update!$B$27,0)</f>
        <v>0</v>
      </c>
      <c r="AZ1266" s="2"/>
      <c r="BA1266" s="14">
        <f>SUM(BA1263:BA1265)</f>
        <v>0</v>
      </c>
      <c r="BB1266" s="14">
        <f>ROUND(BA1266/1000/Update!$B$31,0)</f>
        <v>0</v>
      </c>
      <c r="BC1266" s="14"/>
      <c r="BD1266" s="14">
        <f t="shared" si="745"/>
        <v>0</v>
      </c>
      <c r="BE1266" s="318">
        <f t="shared" ref="BE1266:BJ1266" si="762">SUM(BE1263:BE1265)</f>
        <v>0</v>
      </c>
      <c r="BF1266" s="318">
        <f t="shared" si="762"/>
        <v>0</v>
      </c>
      <c r="BG1266" s="318">
        <f t="shared" si="762"/>
        <v>0</v>
      </c>
      <c r="BH1266" s="318">
        <f t="shared" si="762"/>
        <v>0</v>
      </c>
      <c r="BI1266" s="318">
        <f t="shared" si="762"/>
        <v>0</v>
      </c>
      <c r="BJ1266" s="318">
        <f t="shared" si="762"/>
        <v>0</v>
      </c>
      <c r="BK1266" s="14">
        <f>ROUND(SUM(BO1266:CI1266),0)</f>
        <v>0</v>
      </c>
      <c r="BL1266" s="318"/>
      <c r="BM1266" s="318"/>
      <c r="BN1266" s="318"/>
      <c r="BO1266" s="318"/>
      <c r="BP1266" s="318"/>
      <c r="BQ1266" s="318"/>
      <c r="BR1266" s="318"/>
      <c r="BS1266" s="318"/>
      <c r="BT1266" s="318"/>
      <c r="BU1266" s="318"/>
      <c r="BV1266" s="318"/>
      <c r="BW1266" s="318"/>
      <c r="BX1266" s="318"/>
      <c r="BY1266" s="318"/>
      <c r="BZ1266" s="318"/>
      <c r="CA1266" s="318"/>
      <c r="CB1266" s="318"/>
      <c r="CC1266" s="318"/>
      <c r="CD1266" s="318"/>
      <c r="CE1266" s="318"/>
      <c r="CF1266" s="318"/>
      <c r="CG1266" s="318"/>
      <c r="CH1266" s="318"/>
      <c r="CI1266" s="318"/>
      <c r="CJ1266" s="2"/>
      <c r="CK1266" s="2"/>
      <c r="CM1266" s="1140">
        <v>-434</v>
      </c>
      <c r="CN1266" s="1140">
        <v>80982</v>
      </c>
      <c r="CP1266" s="923">
        <f t="shared" si="744"/>
        <v>-434</v>
      </c>
      <c r="CZ1266" s="330"/>
    </row>
    <row r="1267" spans="1:104" ht="15" customHeight="1" x14ac:dyDescent="0.25">
      <c r="A1267" s="684">
        <f>MAX($A$6:A1266)+1</f>
        <v>1267</v>
      </c>
      <c r="B1267" s="3">
        <f t="shared" si="730"/>
        <v>12</v>
      </c>
      <c r="C1267" s="11" t="str">
        <f t="shared" si="758"/>
        <v>Trade receivables, financial and other assets</v>
      </c>
      <c r="D1267" s="11"/>
      <c r="E1267" s="7"/>
      <c r="F1267" s="7"/>
      <c r="G1267" s="26"/>
      <c r="H1267" s="6"/>
      <c r="I1267" s="6"/>
      <c r="J1267" s="1257" t="s">
        <v>286</v>
      </c>
      <c r="K1267" s="266"/>
      <c r="L1267" s="266"/>
      <c r="M1267" s="10"/>
      <c r="N1267" s="273">
        <f>ROUND(SUM(O1267:S1267)+T1267+SUM(Z1267:AV1267),0)</f>
        <v>0</v>
      </c>
      <c r="O1267" s="12"/>
      <c r="P1267" s="12"/>
      <c r="Q1267" s="12"/>
      <c r="R1267" s="12"/>
      <c r="S1267" s="6">
        <f t="shared" si="752"/>
        <v>0</v>
      </c>
      <c r="T1267" s="273">
        <f t="shared" si="757"/>
        <v>0</v>
      </c>
      <c r="U1267" s="6">
        <f>-SUM(BL1267:BN1267)</f>
        <v>0</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X1267" s="25">
        <f>AX1264-AX1259-AX1253-AX1248</f>
        <v>0</v>
      </c>
      <c r="AY1267" s="6">
        <f>ROUND(AX1267/1000/Update!$B$31*Update!$B$27,0)</f>
        <v>0</v>
      </c>
      <c r="BA1267" s="25">
        <f>BA1264-BA1259-BA1253-BA1248</f>
        <v>0</v>
      </c>
      <c r="BB1267" s="6">
        <f>ROUND(BA1267/1000/Update!$B$31,0)</f>
        <v>0</v>
      </c>
      <c r="BC1267" s="6"/>
      <c r="BD1267" s="29">
        <f t="shared" si="745"/>
        <v>0</v>
      </c>
      <c r="BE1267" s="322">
        <f t="shared" ref="BE1267:BJ1267" si="763">BE1264-BE1259-BE1253-BE1248</f>
        <v>0</v>
      </c>
      <c r="BF1267" s="322">
        <f t="shared" si="763"/>
        <v>0</v>
      </c>
      <c r="BG1267" s="322">
        <f t="shared" si="763"/>
        <v>0</v>
      </c>
      <c r="BH1267" s="322">
        <f t="shared" si="763"/>
        <v>0</v>
      </c>
      <c r="BI1267" s="322">
        <f t="shared" si="763"/>
        <v>0</v>
      </c>
      <c r="BJ1267" s="322">
        <f t="shared" si="763"/>
        <v>0</v>
      </c>
      <c r="BK1267" s="29">
        <f t="shared" si="727"/>
        <v>0</v>
      </c>
      <c r="BL1267" s="322"/>
      <c r="BM1267" s="322"/>
      <c r="BN1267" s="322"/>
      <c r="BO1267" s="322"/>
      <c r="BP1267" s="322"/>
      <c r="BQ1267" s="322"/>
      <c r="BR1267" s="322"/>
      <c r="BS1267" s="322"/>
      <c r="BT1267" s="322"/>
      <c r="BU1267" s="322"/>
      <c r="BV1267" s="322"/>
      <c r="BW1267" s="322"/>
      <c r="BX1267" s="322"/>
      <c r="BY1267" s="322"/>
      <c r="BZ1267" s="322"/>
      <c r="CA1267" s="322"/>
      <c r="CB1267" s="322"/>
      <c r="CC1267" s="322"/>
      <c r="CD1267" s="322"/>
      <c r="CE1267" s="322"/>
      <c r="CF1267" s="322"/>
      <c r="CG1267" s="322"/>
      <c r="CH1267" s="322"/>
      <c r="CI1267" s="322"/>
      <c r="CM1267" s="1139">
        <v>0</v>
      </c>
      <c r="CN1267" s="1139">
        <v>0</v>
      </c>
      <c r="CP1267" s="923">
        <f t="shared" si="744"/>
        <v>0</v>
      </c>
      <c r="CZ1267" s="330"/>
    </row>
    <row r="1268" spans="1:104" ht="45" customHeight="1" x14ac:dyDescent="0.25">
      <c r="A1268" s="684">
        <f>MAX($A$6:A1267)+1</f>
        <v>1268</v>
      </c>
      <c r="B1268" s="3">
        <f t="shared" si="730"/>
        <v>12</v>
      </c>
      <c r="C1268" s="11" t="str">
        <f t="shared" si="758"/>
        <v>Trade receivables, financial and other assets</v>
      </c>
      <c r="D1268" s="11"/>
      <c r="E1268" s="7" t="s">
        <v>247</v>
      </c>
      <c r="F1268" s="7"/>
      <c r="G1268" s="1254" t="s">
        <v>619</v>
      </c>
      <c r="H1268" s="6">
        <v>0</v>
      </c>
      <c r="I1268" s="6">
        <v>0</v>
      </c>
      <c r="J1268" s="1266" t="s">
        <v>286</v>
      </c>
      <c r="K1268" s="280">
        <v>0</v>
      </c>
      <c r="L1268" s="1185">
        <v>0</v>
      </c>
      <c r="M1268" s="10"/>
      <c r="N1268" s="273">
        <f>ROUND(SUM(O1268:S1268)+SUM(W1268:AV1268),0)</f>
        <v>0</v>
      </c>
      <c r="O1268" s="12"/>
      <c r="P1268" s="12"/>
      <c r="Q1268" s="12"/>
      <c r="R1268" s="12"/>
      <c r="S1268" s="6">
        <f t="shared" si="752"/>
        <v>0</v>
      </c>
      <c r="T1268" s="273">
        <f t="shared" si="757"/>
        <v>0</v>
      </c>
      <c r="U1268" s="6">
        <f>-SUM(BL1268:BN1268)</f>
        <v>0</v>
      </c>
      <c r="V1268" s="6"/>
      <c r="W1268" s="6">
        <f>+H1268</f>
        <v>0</v>
      </c>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X1268" s="6"/>
      <c r="AY1268" s="6">
        <f>ROUND(AX1268/1000/Update!$B$31*Update!$B$27,0)</f>
        <v>0</v>
      </c>
      <c r="BA1268" s="6"/>
      <c r="BB1268" s="6">
        <f>ROUND(BA1268/1000/Update!$B$31,0)</f>
        <v>0</v>
      </c>
      <c r="BC1268" s="6"/>
      <c r="BD1268" s="29">
        <f t="shared" si="745"/>
        <v>0</v>
      </c>
      <c r="BE1268" s="322"/>
      <c r="BF1268" s="322"/>
      <c r="BG1268" s="322"/>
      <c r="BH1268" s="322"/>
      <c r="BI1268" s="322"/>
      <c r="BJ1268" s="322"/>
      <c r="BK1268" s="29">
        <f t="shared" si="727"/>
        <v>0</v>
      </c>
      <c r="BL1268" s="322"/>
      <c r="BM1268" s="322"/>
      <c r="BN1268" s="322"/>
      <c r="BO1268" s="322"/>
      <c r="BP1268" s="322"/>
      <c r="BQ1268" s="322"/>
      <c r="BR1268" s="322"/>
      <c r="BS1268" s="322"/>
      <c r="BT1268" s="322"/>
      <c r="BU1268" s="322"/>
      <c r="BV1268" s="322"/>
      <c r="BW1268" s="322"/>
      <c r="BX1268" s="322"/>
      <c r="BY1268" s="322"/>
      <c r="BZ1268" s="322"/>
      <c r="CA1268" s="322"/>
      <c r="CB1268" s="322"/>
      <c r="CC1268" s="322"/>
      <c r="CD1268" s="322"/>
      <c r="CE1268" s="322"/>
      <c r="CF1268" s="322"/>
      <c r="CG1268" s="322"/>
      <c r="CH1268" s="322"/>
      <c r="CI1268" s="322"/>
      <c r="CM1268" s="1139">
        <v>0</v>
      </c>
      <c r="CN1268" s="1139">
        <v>0</v>
      </c>
      <c r="CP1268" s="923">
        <f t="shared" si="744"/>
        <v>0</v>
      </c>
      <c r="CZ1268" s="330"/>
    </row>
    <row r="1269" spans="1:104" ht="18.75" customHeight="1" x14ac:dyDescent="0.25">
      <c r="A1269" s="1297">
        <f>MAX($A$6:A1268)+1</f>
        <v>1269</v>
      </c>
      <c r="B1269" s="1295">
        <f>SUMIF(Update!$B$33:$B$106,C1269,Update!$A$33:$A$106)</f>
        <v>13</v>
      </c>
      <c r="C1269" s="696" t="s">
        <v>620</v>
      </c>
      <c r="D1269" s="695"/>
      <c r="E1269" s="696" t="str">
        <f>B1269&amp;" "&amp;C1269</f>
        <v>13 Trade payables, financial and other liabilities</v>
      </c>
      <c r="F1269" s="697"/>
      <c r="G1269" s="697"/>
      <c r="H1269" s="695"/>
      <c r="I1269" s="695"/>
      <c r="J1269" s="698" t="s">
        <v>286</v>
      </c>
      <c r="K1269" s="699">
        <f>SUMIF('alb Note 13.1 Trade payables'!$A:$A,$J1269,'alb Note 13.1 Trade payables'!$B:$B)</f>
        <v>0</v>
      </c>
      <c r="L1269" s="699">
        <f>SUMIF('alb Note 13.1 Trade payables'!$A:$A,$J1269,'alb Note 13.1 Trade payables'!$D:$D)</f>
        <v>0</v>
      </c>
      <c r="M1269" s="695"/>
      <c r="N1269" s="713">
        <f>ROUND(SUM(O1269:S1269)+T1269+SUM(Z1269:AV1269),0)</f>
        <v>0</v>
      </c>
      <c r="O1269" s="695"/>
      <c r="P1269" s="695"/>
      <c r="Q1269" s="695"/>
      <c r="R1269" s="695"/>
      <c r="S1269" s="695">
        <f t="shared" si="752"/>
        <v>0</v>
      </c>
      <c r="T1269" s="713">
        <f t="shared" si="757"/>
        <v>0</v>
      </c>
      <c r="U1269" s="695"/>
      <c r="V1269" s="695"/>
      <c r="W1269" s="695"/>
      <c r="X1269" s="695"/>
      <c r="Y1269" s="695"/>
      <c r="Z1269" s="695"/>
      <c r="AA1269" s="695"/>
      <c r="AB1269" s="695"/>
      <c r="AC1269" s="695"/>
      <c r="AD1269" s="695"/>
      <c r="AE1269" s="695"/>
      <c r="AF1269" s="695"/>
      <c r="AG1269" s="695"/>
      <c r="AH1269" s="695"/>
      <c r="AI1269" s="695"/>
      <c r="AJ1269" s="695"/>
      <c r="AK1269" s="695"/>
      <c r="AL1269" s="695"/>
      <c r="AM1269" s="695"/>
      <c r="AN1269" s="695"/>
      <c r="AO1269" s="695"/>
      <c r="AP1269" s="695"/>
      <c r="AQ1269" s="695"/>
      <c r="AR1269" s="695"/>
      <c r="AS1269" s="695"/>
      <c r="AT1269" s="695"/>
      <c r="AU1269" s="695"/>
      <c r="AV1269" s="695"/>
      <c r="AW1269" s="700"/>
      <c r="AX1269" s="700"/>
      <c r="AY1269" s="700">
        <f>ROUND(AX1269/1000/Update!$B$31*Update!$B$27,0)</f>
        <v>0</v>
      </c>
      <c r="AZ1269" s="700"/>
      <c r="BA1269" s="700"/>
      <c r="BB1269" s="700">
        <f>ROUND(BA1269/1000/Update!$B$31,0)</f>
        <v>0</v>
      </c>
      <c r="BC1269" s="700"/>
      <c r="BD1269" s="721">
        <f t="shared" si="745"/>
        <v>0</v>
      </c>
      <c r="BE1269" s="700"/>
      <c r="BF1269" s="700"/>
      <c r="BG1269" s="700"/>
      <c r="BH1269" s="700"/>
      <c r="BI1269" s="700"/>
      <c r="BJ1269" s="700"/>
      <c r="BK1269" s="721">
        <f t="shared" si="727"/>
        <v>0</v>
      </c>
      <c r="BL1269" s="700"/>
      <c r="BM1269" s="700"/>
      <c r="BN1269" s="700"/>
      <c r="BO1269" s="700"/>
      <c r="BP1269" s="700"/>
      <c r="BQ1269" s="700"/>
      <c r="BR1269" s="700"/>
      <c r="BS1269" s="700"/>
      <c r="BT1269" s="700"/>
      <c r="BU1269" s="700"/>
      <c r="BV1269" s="700"/>
      <c r="BW1269" s="700"/>
      <c r="BX1269" s="700"/>
      <c r="BY1269" s="700"/>
      <c r="BZ1269" s="700"/>
      <c r="CA1269" s="700"/>
      <c r="CB1269" s="700"/>
      <c r="CC1269" s="700"/>
      <c r="CD1269" s="700"/>
      <c r="CE1269" s="700"/>
      <c r="CF1269" s="700"/>
      <c r="CG1269" s="700"/>
      <c r="CH1269" s="700"/>
      <c r="CI1269" s="700"/>
      <c r="CJ1269" s="700"/>
      <c r="CK1269" s="700"/>
      <c r="CM1269" s="700">
        <v>0</v>
      </c>
      <c r="CN1269" s="700">
        <v>0</v>
      </c>
      <c r="CP1269" s="923">
        <f t="shared" si="744"/>
        <v>0</v>
      </c>
      <c r="CZ1269" s="330"/>
    </row>
    <row r="1270" spans="1:104" ht="15" customHeight="1" x14ac:dyDescent="0.25">
      <c r="A1270" s="684">
        <f>MAX($A$6:A1269)+1</f>
        <v>1270</v>
      </c>
      <c r="B1270" s="3">
        <f t="shared" si="730"/>
        <v>13</v>
      </c>
      <c r="C1270" s="11" t="str">
        <f>C1269</f>
        <v>Trade payables, financial and other liabilities</v>
      </c>
      <c r="D1270" s="11"/>
      <c r="E1270" s="13" t="s">
        <v>229</v>
      </c>
      <c r="F1270" s="13"/>
      <c r="G1270" s="26"/>
      <c r="H1270" s="6"/>
      <c r="I1270" s="6"/>
      <c r="J1270" s="1257" t="s">
        <v>286</v>
      </c>
      <c r="K1270" s="251">
        <f>SUMIF('alb Note 13.1 Trade payables'!$A:$A,$J1270,'alb Note 13.1 Trade payables'!$B:$B)</f>
        <v>0</v>
      </c>
      <c r="L1270" s="251">
        <f>SUMIF('alb Note 13.1 Trade payables'!$A:$A,$J1270,'alb Note 13.1 Trade payables'!$E:$E)</f>
        <v>0</v>
      </c>
      <c r="M1270" s="10"/>
      <c r="N1270" s="273">
        <f>ROUND(SUM(O1270:S1270)+T1270+SUM(Z1270:AV1270),0)</f>
        <v>0</v>
      </c>
      <c r="O1270" s="12"/>
      <c r="P1270" s="12"/>
      <c r="Q1270" s="12"/>
      <c r="R1270" s="12"/>
      <c r="S1270" s="6">
        <f t="shared" si="752"/>
        <v>0</v>
      </c>
      <c r="T1270" s="273">
        <f t="shared" si="757"/>
        <v>0</v>
      </c>
      <c r="U1270" s="6">
        <f>SUM(BL1270:BN1270)</f>
        <v>0</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X1270" s="6"/>
      <c r="AY1270" s="6">
        <f>ROUND(AX1270/1000/Update!$B$31*Update!$B$27,0)</f>
        <v>0</v>
      </c>
      <c r="BA1270" s="6"/>
      <c r="BB1270" s="6">
        <f>ROUND(BA1270/1000/Update!$B$31,0)</f>
        <v>0</v>
      </c>
      <c r="BC1270" s="6"/>
      <c r="BD1270" s="29">
        <f t="shared" si="745"/>
        <v>0</v>
      </c>
      <c r="BE1270" s="322"/>
      <c r="BF1270" s="322"/>
      <c r="BG1270" s="322"/>
      <c r="BH1270" s="322"/>
      <c r="BI1270" s="322"/>
      <c r="BJ1270" s="322"/>
      <c r="BK1270" s="29">
        <f t="shared" si="727"/>
        <v>0</v>
      </c>
      <c r="BL1270" s="322"/>
      <c r="BM1270" s="322"/>
      <c r="BN1270" s="322"/>
      <c r="BO1270" s="322"/>
      <c r="BP1270" s="322"/>
      <c r="BQ1270" s="322"/>
      <c r="BR1270" s="322"/>
      <c r="BS1270" s="322"/>
      <c r="BT1270" s="322"/>
      <c r="BU1270" s="322"/>
      <c r="BV1270" s="322"/>
      <c r="BW1270" s="322"/>
      <c r="BX1270" s="322"/>
      <c r="BY1270" s="322"/>
      <c r="BZ1270" s="322"/>
      <c r="CA1270" s="322"/>
      <c r="CB1270" s="322"/>
      <c r="CC1270" s="322"/>
      <c r="CD1270" s="322"/>
      <c r="CE1270" s="322"/>
      <c r="CF1270" s="322"/>
      <c r="CG1270" s="322"/>
      <c r="CH1270" s="322"/>
      <c r="CI1270" s="322"/>
      <c r="CM1270" s="317">
        <v>0</v>
      </c>
      <c r="CN1270" s="317">
        <v>0</v>
      </c>
      <c r="CP1270" s="923">
        <f t="shared" si="744"/>
        <v>0</v>
      </c>
      <c r="CZ1270" s="330"/>
    </row>
    <row r="1271" spans="1:104" ht="15" customHeight="1" x14ac:dyDescent="0.25">
      <c r="A1271" s="684">
        <f>MAX($A$6:A1270)+1</f>
        <v>1271</v>
      </c>
      <c r="B1271" s="3">
        <f t="shared" si="730"/>
        <v>13</v>
      </c>
      <c r="C1271" s="11" t="str">
        <f>C1270</f>
        <v>Trade payables, financial and other liabilities</v>
      </c>
      <c r="D1271" s="11"/>
      <c r="E1271" s="7" t="s">
        <v>248</v>
      </c>
      <c r="F1271" s="7"/>
      <c r="G1271" s="1254" t="s">
        <v>248</v>
      </c>
      <c r="H1271" s="6">
        <v>0</v>
      </c>
      <c r="I1271" s="6">
        <v>0</v>
      </c>
      <c r="J1271" s="1257" t="s">
        <v>248</v>
      </c>
      <c r="K1271" s="278">
        <f>SUMIF('alb Note 13.1 Trade payables'!$A:$A,$J1271,'alb Note 13.1 Trade payables'!$B:$B)</f>
        <v>0</v>
      </c>
      <c r="L1271" s="278">
        <f>SUMIF('alb Note 13.1 Trade payables'!$A:$A,$J1271,'alb Note 13.1 Trade payables'!$E:$E)</f>
        <v>0</v>
      </c>
      <c r="M1271" s="10"/>
      <c r="N1271" s="273">
        <f>ROUND(SUM(O1271:S1271)+SUM(W1271:AV1271),0)</f>
        <v>0</v>
      </c>
      <c r="O1271" s="12"/>
      <c r="P1271" s="12"/>
      <c r="Q1271" s="12"/>
      <c r="R1271" s="12"/>
      <c r="S1271" s="6">
        <f t="shared" si="752"/>
        <v>0</v>
      </c>
      <c r="T1271" s="273">
        <f>ROUND(SUM(U1271:Y1271),0)</f>
        <v>0</v>
      </c>
      <c r="U1271" s="6">
        <f>-SUM(BL1271:BN1271)</f>
        <v>0</v>
      </c>
      <c r="V1271" s="1527">
        <f>IF(-U1266+U1311&lt;=0,(U1266-U1311),0)</f>
        <v>0</v>
      </c>
      <c r="W1271" s="6">
        <f t="shared" ref="W1271:W1306" si="764">+H1271</f>
        <v>0</v>
      </c>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X1271" s="6"/>
      <c r="AY1271" s="6">
        <f>ROUND(AX1271/1000/Update!$B$31*Update!$B$27,0)</f>
        <v>0</v>
      </c>
      <c r="BA1271" s="6"/>
      <c r="BB1271" s="6">
        <f>ROUND(BA1271/1000/Update!$B$31,0)</f>
        <v>0</v>
      </c>
      <c r="BC1271" s="6"/>
      <c r="BD1271" s="273">
        <f t="shared" si="745"/>
        <v>0</v>
      </c>
      <c r="BE1271" s="323"/>
      <c r="BF1271" s="323"/>
      <c r="BG1271" s="1496"/>
      <c r="BI1271" s="323"/>
      <c r="BJ1271" s="1527">
        <f>IF(BK1266-BK1311&lt;=0,(BK1266-BK1311),0)</f>
        <v>0</v>
      </c>
      <c r="BK1271" s="273">
        <f t="shared" ref="BK1271:BK1334" si="765">ROUND(SUM(BO1271:CI1271),0)</f>
        <v>0</v>
      </c>
      <c r="BL1271" s="323"/>
      <c r="BM1271" s="323"/>
      <c r="BN1271" s="323"/>
      <c r="BO1271" s="323"/>
      <c r="BP1271" s="323"/>
      <c r="BQ1271" s="323"/>
      <c r="BR1271" s="323"/>
      <c r="BS1271" s="323"/>
      <c r="BT1271" s="323"/>
      <c r="BU1271" s="323"/>
      <c r="BV1271" s="323"/>
      <c r="BW1271" s="323"/>
      <c r="BX1271" s="323"/>
      <c r="BY1271" s="323"/>
      <c r="BZ1271" s="323"/>
      <c r="CA1271" s="323"/>
      <c r="CB1271" s="323"/>
      <c r="CC1271" s="323"/>
      <c r="CD1271" s="323"/>
      <c r="CE1271" s="323"/>
      <c r="CF1271" s="323"/>
      <c r="CG1271" s="323"/>
      <c r="CH1271" s="323"/>
      <c r="CI1271" s="323"/>
      <c r="CM1271" s="1496">
        <v>-1</v>
      </c>
      <c r="CN1271" s="1496">
        <v>60931</v>
      </c>
      <c r="CP1271" s="923">
        <f t="shared" si="744"/>
        <v>-1</v>
      </c>
      <c r="CZ1271" s="330"/>
    </row>
    <row r="1272" spans="1:104" ht="15" customHeight="1" x14ac:dyDescent="0.25">
      <c r="A1272" s="684">
        <f>MAX($A$6:A1271)+1</f>
        <v>1272</v>
      </c>
      <c r="B1272" s="3">
        <f t="shared" si="730"/>
        <v>13</v>
      </c>
      <c r="C1272" s="11" t="str">
        <f t="shared" ref="C1272:C1312" si="766">C1271</f>
        <v>Trade payables, financial and other liabilities</v>
      </c>
      <c r="D1272" s="11"/>
      <c r="E1272" s="7" t="s">
        <v>623</v>
      </c>
      <c r="F1272" s="7"/>
      <c r="G1272" s="1254" t="s">
        <v>249</v>
      </c>
      <c r="H1272" s="6">
        <v>0</v>
      </c>
      <c r="I1272" s="6">
        <v>0</v>
      </c>
      <c r="J1272" s="1257" t="s">
        <v>623</v>
      </c>
      <c r="K1272" s="278">
        <f>SUMIF('alb Note 13.1 Trade payables'!$A:$A,$J1272,'alb Note 13.1 Trade payables'!$B:$B)</f>
        <v>0</v>
      </c>
      <c r="L1272" s="278">
        <f>SUMIF('alb Note 13.1 Trade payables'!$A:$A,$J1272,'alb Note 13.1 Trade payables'!$E:$E)</f>
        <v>0</v>
      </c>
      <c r="M1272" s="10"/>
      <c r="N1272" s="273">
        <f t="shared" ref="N1272:N1292" si="767">ROUND(SUM(O1272:S1272)+SUM(W1272:AV1272),0)</f>
        <v>0</v>
      </c>
      <c r="O1272" s="12"/>
      <c r="P1272" s="12"/>
      <c r="Q1272" s="12"/>
      <c r="R1272" s="12"/>
      <c r="S1272" s="6">
        <f t="shared" si="752"/>
        <v>0</v>
      </c>
      <c r="T1272" s="273">
        <f>ROUND(SUM(U1272:Y1272),0)</f>
        <v>0</v>
      </c>
      <c r="U1272" s="6">
        <f t="shared" ref="U1272:U1292" si="768">-SUM(BL1272:BN1272)</f>
        <v>0</v>
      </c>
      <c r="V1272" s="6"/>
      <c r="W1272" s="6">
        <f t="shared" si="764"/>
        <v>0</v>
      </c>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X1272" s="6"/>
      <c r="AY1272" s="6">
        <f>ROUND(AX1272/1000/Update!$B$31*Update!$B$27,0)</f>
        <v>0</v>
      </c>
      <c r="BA1272" s="6"/>
      <c r="BB1272" s="6">
        <f>ROUND(BA1272/1000/Update!$B$31,0)</f>
        <v>0</v>
      </c>
      <c r="BC1272" s="6"/>
      <c r="BD1272" s="273">
        <f t="shared" si="745"/>
        <v>0</v>
      </c>
      <c r="BE1272" s="323"/>
      <c r="BF1272" s="323"/>
      <c r="BG1272" s="323"/>
      <c r="BH1272" s="323"/>
      <c r="BI1272" s="323"/>
      <c r="BJ1272" s="323"/>
      <c r="BK1272" s="273">
        <f t="shared" si="765"/>
        <v>0</v>
      </c>
      <c r="BL1272" s="323"/>
      <c r="BM1272" s="323"/>
      <c r="BN1272" s="323"/>
      <c r="BO1272" s="323"/>
      <c r="BP1272" s="323"/>
      <c r="BQ1272" s="323"/>
      <c r="BR1272" s="323"/>
      <c r="BS1272" s="323"/>
      <c r="BT1272" s="323"/>
      <c r="BU1272" s="323"/>
      <c r="BV1272" s="323"/>
      <c r="BW1272" s="323"/>
      <c r="BX1272" s="323"/>
      <c r="BY1272" s="323"/>
      <c r="BZ1272" s="323"/>
      <c r="CA1272" s="323"/>
      <c r="CB1272" s="323"/>
      <c r="CC1272" s="323"/>
      <c r="CD1272" s="323"/>
      <c r="CE1272" s="323"/>
      <c r="CF1272" s="323"/>
      <c r="CG1272" s="323"/>
      <c r="CH1272" s="323"/>
      <c r="CI1272" s="323"/>
      <c r="CM1272" s="1496">
        <v>0</v>
      </c>
      <c r="CN1272" s="1496">
        <v>159</v>
      </c>
      <c r="CP1272" s="923">
        <f t="shared" si="744"/>
        <v>0</v>
      </c>
      <c r="CZ1272" s="330"/>
    </row>
    <row r="1273" spans="1:104" ht="15" customHeight="1" x14ac:dyDescent="0.25">
      <c r="A1273" s="684">
        <f>MAX($A$6:A1272)+1</f>
        <v>1273</v>
      </c>
      <c r="B1273" s="3">
        <f t="shared" si="730"/>
        <v>13</v>
      </c>
      <c r="C1273" s="11" t="str">
        <f t="shared" si="766"/>
        <v>Trade payables, financial and other liabilities</v>
      </c>
      <c r="D1273" s="11"/>
      <c r="E1273" s="7" t="s">
        <v>250</v>
      </c>
      <c r="F1273" s="7"/>
      <c r="G1273" s="1254" t="s">
        <v>250</v>
      </c>
      <c r="H1273" s="6">
        <v>0</v>
      </c>
      <c r="I1273" s="6">
        <v>725</v>
      </c>
      <c r="J1273" s="1257" t="s">
        <v>250</v>
      </c>
      <c r="K1273" s="278">
        <f>SUMIF('alb Note 13.1 Trade payables'!$A:$A,$J1273,'alb Note 13.1 Trade payables'!$B:$B)</f>
        <v>0</v>
      </c>
      <c r="L1273" s="278">
        <f>SUMIF('alb Note 13.1 Trade payables'!$A:$A,$J1273,'alb Note 13.1 Trade payables'!$E:$E)</f>
        <v>0</v>
      </c>
      <c r="M1273" s="10"/>
      <c r="N1273" s="273">
        <f t="shared" si="767"/>
        <v>0</v>
      </c>
      <c r="O1273" s="12"/>
      <c r="P1273" s="12"/>
      <c r="Q1273" s="12"/>
      <c r="R1273" s="12"/>
      <c r="S1273" s="6">
        <f t="shared" si="752"/>
        <v>0</v>
      </c>
      <c r="T1273" s="273">
        <f t="shared" si="757"/>
        <v>0</v>
      </c>
      <c r="U1273" s="6">
        <f t="shared" si="768"/>
        <v>0</v>
      </c>
      <c r="V1273" s="6"/>
      <c r="W1273" s="6">
        <f t="shared" si="764"/>
        <v>0</v>
      </c>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X1273" s="6"/>
      <c r="AY1273" s="6">
        <f>ROUND(AX1273/1000/Update!$B$31*Update!$B$27,0)</f>
        <v>0</v>
      </c>
      <c r="BA1273" s="6"/>
      <c r="BB1273" s="6">
        <f>ROUND(BA1273/1000/Update!$B$31,0)</f>
        <v>0</v>
      </c>
      <c r="BC1273" s="6"/>
      <c r="BD1273" s="273">
        <f t="shared" si="745"/>
        <v>0</v>
      </c>
      <c r="BE1273" s="323"/>
      <c r="BF1273" s="323"/>
      <c r="BG1273" s="323"/>
      <c r="BH1273" s="323"/>
      <c r="BI1273" s="323"/>
      <c r="BJ1273" s="323"/>
      <c r="BK1273" s="273">
        <f t="shared" si="765"/>
        <v>0</v>
      </c>
      <c r="BL1273" s="323"/>
      <c r="BM1273" s="323"/>
      <c r="BN1273" s="323"/>
      <c r="BO1273" s="323"/>
      <c r="BP1273" s="323"/>
      <c r="BQ1273" s="323"/>
      <c r="BR1273" s="323"/>
      <c r="BS1273" s="323"/>
      <c r="BT1273" s="323"/>
      <c r="BU1273" s="323"/>
      <c r="BV1273" s="323"/>
      <c r="BW1273" s="323"/>
      <c r="BX1273" s="323"/>
      <c r="BY1273" s="323"/>
      <c r="BZ1273" s="323"/>
      <c r="CA1273" s="323"/>
      <c r="CB1273" s="323"/>
      <c r="CC1273" s="323"/>
      <c r="CD1273" s="323"/>
      <c r="CE1273" s="323"/>
      <c r="CF1273" s="323"/>
      <c r="CG1273" s="323"/>
      <c r="CH1273" s="323"/>
      <c r="CI1273" s="323"/>
      <c r="CM1273" s="1496">
        <v>-415</v>
      </c>
      <c r="CN1273" s="1496">
        <v>1580</v>
      </c>
      <c r="CP1273" s="923">
        <f t="shared" si="744"/>
        <v>-415</v>
      </c>
      <c r="CZ1273" s="330"/>
    </row>
    <row r="1274" spans="1:104" ht="15" customHeight="1" x14ac:dyDescent="0.25">
      <c r="A1274" s="684">
        <f>MAX($A$6:A1273)+1</f>
        <v>1274</v>
      </c>
      <c r="B1274" s="3">
        <f t="shared" si="730"/>
        <v>13</v>
      </c>
      <c r="C1274" s="11" t="str">
        <f t="shared" si="766"/>
        <v>Trade payables, financial and other liabilities</v>
      </c>
      <c r="D1274" s="11"/>
      <c r="E1274" s="7" t="s">
        <v>250</v>
      </c>
      <c r="F1274" s="7"/>
      <c r="G1274" s="1254" t="s">
        <v>251</v>
      </c>
      <c r="H1274" s="6">
        <v>0</v>
      </c>
      <c r="I1274" s="6">
        <v>0</v>
      </c>
      <c r="J1274" s="1261" t="s">
        <v>286</v>
      </c>
      <c r="K1274" s="251">
        <f>SUMIF('alb Note 13.1 Trade payables'!$A:$A,$J1274,'alb Note 13.1 Trade payables'!$B:$B)</f>
        <v>0</v>
      </c>
      <c r="L1274" s="251">
        <f>SUMIF('alb Note 13.1 Trade payables'!$A:$A,$J1274,'alb Note 13.1 Trade payables'!$E:$E)</f>
        <v>0</v>
      </c>
      <c r="M1274" s="10"/>
      <c r="N1274" s="273">
        <f t="shared" si="767"/>
        <v>0</v>
      </c>
      <c r="O1274" s="12"/>
      <c r="P1274" s="12"/>
      <c r="Q1274" s="12"/>
      <c r="R1274" s="12"/>
      <c r="S1274" s="6">
        <f t="shared" si="752"/>
        <v>0</v>
      </c>
      <c r="T1274" s="273">
        <f t="shared" si="757"/>
        <v>0</v>
      </c>
      <c r="U1274" s="6">
        <f t="shared" si="768"/>
        <v>0</v>
      </c>
      <c r="V1274" s="6"/>
      <c r="W1274" s="6">
        <f t="shared" si="764"/>
        <v>0</v>
      </c>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X1274" s="6"/>
      <c r="AY1274" s="6">
        <f>ROUND(AX1274/1000/Update!$B$31*Update!$B$27,0)</f>
        <v>0</v>
      </c>
      <c r="BA1274" s="6"/>
      <c r="BB1274" s="6">
        <f>ROUND(BA1274/1000/Update!$B$31,0)</f>
        <v>0</v>
      </c>
      <c r="BC1274" s="6"/>
      <c r="BD1274" s="273">
        <f t="shared" si="745"/>
        <v>0</v>
      </c>
      <c r="BE1274" s="317"/>
      <c r="BF1274" s="317"/>
      <c r="BG1274" s="317"/>
      <c r="BH1274" s="317"/>
      <c r="BI1274" s="317"/>
      <c r="BJ1274" s="317"/>
      <c r="BK1274" s="273">
        <f t="shared" si="765"/>
        <v>0</v>
      </c>
      <c r="BL1274" s="323"/>
      <c r="BM1274" s="317"/>
      <c r="BN1274" s="317"/>
      <c r="BO1274" s="317"/>
      <c r="BP1274" s="317"/>
      <c r="BQ1274" s="317"/>
      <c r="BR1274" s="317"/>
      <c r="BS1274" s="317"/>
      <c r="BT1274" s="317"/>
      <c r="BU1274" s="317"/>
      <c r="BV1274" s="317"/>
      <c r="BW1274" s="317"/>
      <c r="BX1274" s="317"/>
      <c r="BY1274" s="317"/>
      <c r="BZ1274" s="317"/>
      <c r="CA1274" s="317"/>
      <c r="CB1274" s="317"/>
      <c r="CC1274" s="317"/>
      <c r="CD1274" s="317"/>
      <c r="CE1274" s="317"/>
      <c r="CF1274" s="317"/>
      <c r="CG1274" s="317"/>
      <c r="CH1274" s="317"/>
      <c r="CI1274" s="317"/>
      <c r="CM1274" s="1496">
        <v>0</v>
      </c>
      <c r="CN1274" s="1496">
        <v>0</v>
      </c>
      <c r="CP1274" s="923">
        <f t="shared" si="744"/>
        <v>0</v>
      </c>
      <c r="CZ1274" s="330"/>
    </row>
    <row r="1275" spans="1:104" ht="15" customHeight="1" x14ac:dyDescent="0.25">
      <c r="A1275" s="684">
        <f>MAX($A$6:A1274)+1</f>
        <v>1275</v>
      </c>
      <c r="B1275" s="3">
        <f t="shared" si="730"/>
        <v>13</v>
      </c>
      <c r="C1275" s="11" t="str">
        <f t="shared" si="766"/>
        <v>Trade payables, financial and other liabilities</v>
      </c>
      <c r="D1275" s="11"/>
      <c r="E1275" s="7" t="s">
        <v>628</v>
      </c>
      <c r="F1275" s="7"/>
      <c r="G1275" s="1254" t="s">
        <v>628</v>
      </c>
      <c r="H1275" s="6">
        <v>0</v>
      </c>
      <c r="I1275" s="6">
        <v>0</v>
      </c>
      <c r="J1275" s="1257" t="s">
        <v>628</v>
      </c>
      <c r="K1275" s="278">
        <f>SUMIF('alb Note 13.1 Trade payables'!$A:$A,$J1275,'alb Note 13.1 Trade payables'!$B:$B)</f>
        <v>0</v>
      </c>
      <c r="L1275" s="278">
        <f>SUMIF('alb Note 13.1 Trade payables'!$A:$A,$J1275,'alb Note 13.1 Trade payables'!$E:$E)</f>
        <v>0</v>
      </c>
      <c r="M1275" s="10"/>
      <c r="N1275" s="273">
        <f t="shared" si="767"/>
        <v>0</v>
      </c>
      <c r="O1275" s="12"/>
      <c r="P1275" s="12"/>
      <c r="Q1275" s="12"/>
      <c r="R1275" s="12"/>
      <c r="S1275" s="6">
        <f t="shared" si="752"/>
        <v>0</v>
      </c>
      <c r="T1275" s="273">
        <f t="shared" si="757"/>
        <v>0</v>
      </c>
      <c r="U1275" s="6">
        <f t="shared" si="768"/>
        <v>0</v>
      </c>
      <c r="V1275" s="6"/>
      <c r="W1275" s="6">
        <f t="shared" si="764"/>
        <v>0</v>
      </c>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X1275" s="6"/>
      <c r="AY1275" s="6">
        <f>ROUND(AX1275/1000/Update!$B$31*Update!$B$27,0)</f>
        <v>0</v>
      </c>
      <c r="BA1275" s="6"/>
      <c r="BB1275" s="6">
        <f>ROUND(BA1275/1000/Update!$B$31,0)</f>
        <v>0</v>
      </c>
      <c r="BC1275" s="6"/>
      <c r="BD1275" s="273">
        <f t="shared" si="745"/>
        <v>0</v>
      </c>
      <c r="BE1275" s="323"/>
      <c r="BF1275" s="323"/>
      <c r="BG1275" s="323"/>
      <c r="BH1275" s="323"/>
      <c r="BI1275" s="323"/>
      <c r="BJ1275" s="323"/>
      <c r="BK1275" s="273">
        <f t="shared" si="765"/>
        <v>0</v>
      </c>
      <c r="BL1275" s="323"/>
      <c r="BM1275" s="323"/>
      <c r="BN1275" s="323"/>
      <c r="BO1275" s="323"/>
      <c r="BP1275" s="323"/>
      <c r="BQ1275" s="323"/>
      <c r="BR1275" s="323"/>
      <c r="BS1275" s="323"/>
      <c r="BT1275" s="323"/>
      <c r="BU1275" s="323"/>
      <c r="BV1275" s="323"/>
      <c r="BW1275" s="323"/>
      <c r="BX1275" s="323"/>
      <c r="BY1275" s="323"/>
      <c r="BZ1275" s="323"/>
      <c r="CA1275" s="323"/>
      <c r="CB1275" s="323"/>
      <c r="CC1275" s="323"/>
      <c r="CD1275" s="323"/>
      <c r="CE1275" s="323"/>
      <c r="CF1275" s="323"/>
      <c r="CG1275" s="323"/>
      <c r="CH1275" s="323"/>
      <c r="CI1275" s="323"/>
      <c r="CM1275" s="1496">
        <v>1</v>
      </c>
      <c r="CN1275" s="1496">
        <v>6037</v>
      </c>
      <c r="CP1275" s="923">
        <f t="shared" si="744"/>
        <v>1</v>
      </c>
      <c r="CZ1275" s="330"/>
    </row>
    <row r="1276" spans="1:104" ht="38.25" customHeight="1" x14ac:dyDescent="0.25">
      <c r="A1276" s="684">
        <f>MAX($A$6:A1275)+1</f>
        <v>1276</v>
      </c>
      <c r="B1276" s="3">
        <f t="shared" si="730"/>
        <v>13</v>
      </c>
      <c r="C1276" s="11" t="str">
        <f t="shared" si="766"/>
        <v>Trade payables, financial and other liabilities</v>
      </c>
      <c r="D1276" s="11"/>
      <c r="E1276" s="7" t="s">
        <v>258</v>
      </c>
      <c r="F1276" s="7"/>
      <c r="G1276" s="1254" t="s">
        <v>258</v>
      </c>
      <c r="H1276" s="6">
        <v>0</v>
      </c>
      <c r="I1276" s="6">
        <v>0</v>
      </c>
      <c r="J1276" s="1261" t="s">
        <v>286</v>
      </c>
      <c r="K1276" s="251">
        <f>SUMIF('alb Note 13.1 Trade payables'!$A:$A,$J1276,'alb Note 13.1 Trade payables'!$B:$B)</f>
        <v>0</v>
      </c>
      <c r="L1276" s="251">
        <f>SUMIF('alb Note 13.1 Trade payables'!$A:$A,$J1276,'alb Note 13.1 Trade payables'!$E:$E)</f>
        <v>0</v>
      </c>
      <c r="M1276" s="10"/>
      <c r="N1276" s="273">
        <f t="shared" si="767"/>
        <v>0</v>
      </c>
      <c r="O1276" s="12"/>
      <c r="P1276" s="12"/>
      <c r="Q1276" s="12"/>
      <c r="R1276" s="12"/>
      <c r="S1276" s="6">
        <f t="shared" si="752"/>
        <v>0</v>
      </c>
      <c r="T1276" s="273">
        <f t="shared" si="757"/>
        <v>0</v>
      </c>
      <c r="U1276" s="6">
        <f t="shared" si="768"/>
        <v>0</v>
      </c>
      <c r="V1276" s="1605"/>
      <c r="W1276" s="6">
        <f t="shared" si="764"/>
        <v>0</v>
      </c>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X1276" s="6"/>
      <c r="AY1276" s="6">
        <f>ROUND(AX1276/1000/Update!$B$31*Update!$B$27,0)</f>
        <v>0</v>
      </c>
      <c r="BA1276" s="6"/>
      <c r="BB1276" s="6">
        <f>ROUND(BA1276/1000/Update!$B$31,0)</f>
        <v>0</v>
      </c>
      <c r="BC1276" s="6"/>
      <c r="BD1276" s="273">
        <f t="shared" si="745"/>
        <v>0</v>
      </c>
      <c r="BE1276" s="317"/>
      <c r="BF1276" s="317"/>
      <c r="BG1276" s="317"/>
      <c r="BH1276" s="317"/>
      <c r="BI1276" s="317"/>
      <c r="BJ1276" s="317"/>
      <c r="BK1276" s="273">
        <f t="shared" si="765"/>
        <v>0</v>
      </c>
      <c r="BL1276" s="323"/>
      <c r="BM1276" s="317"/>
      <c r="BN1276" s="317"/>
      <c r="BO1276" s="317"/>
      <c r="BP1276" s="317"/>
      <c r="BQ1276" s="317"/>
      <c r="BR1276" s="317"/>
      <c r="BS1276" s="317"/>
      <c r="BT1276" s="317"/>
      <c r="BU1276" s="317"/>
      <c r="BV1276" s="317"/>
      <c r="BW1276" s="317"/>
      <c r="BX1276" s="317"/>
      <c r="BY1276" s="317"/>
      <c r="BZ1276" s="317"/>
      <c r="CA1276" s="317"/>
      <c r="CB1276" s="317"/>
      <c r="CC1276" s="317"/>
      <c r="CD1276" s="317"/>
      <c r="CE1276" s="317"/>
      <c r="CF1276" s="317"/>
      <c r="CG1276" s="317"/>
      <c r="CH1276" s="317"/>
      <c r="CI1276" s="317"/>
      <c r="CM1276" s="1496">
        <v>0</v>
      </c>
      <c r="CN1276" s="1496">
        <v>0</v>
      </c>
      <c r="CP1276" s="923">
        <f t="shared" si="744"/>
        <v>0</v>
      </c>
      <c r="CZ1276" s="330"/>
    </row>
    <row r="1277" spans="1:104" ht="30" customHeight="1" x14ac:dyDescent="0.25">
      <c r="A1277" s="684">
        <f>MAX($A$6:A1276)+1</f>
        <v>1277</v>
      </c>
      <c r="B1277" s="3">
        <f t="shared" si="730"/>
        <v>13</v>
      </c>
      <c r="C1277" s="11" t="str">
        <f t="shared" si="766"/>
        <v>Trade payables, financial and other liabilities</v>
      </c>
      <c r="D1277" s="11"/>
      <c r="E1277" s="296" t="s">
        <v>259</v>
      </c>
      <c r="F1277" s="296"/>
      <c r="G1277" s="1254"/>
      <c r="H1277" s="6">
        <v>0</v>
      </c>
      <c r="I1277" s="6">
        <v>0</v>
      </c>
      <c r="J1277" s="1261" t="s">
        <v>286</v>
      </c>
      <c r="K1277" s="251">
        <f>SUMIF('alb Note 13.1 Trade payables'!$A:$A,$J1277,'alb Note 13.1 Trade payables'!$B:$B)</f>
        <v>0</v>
      </c>
      <c r="L1277" s="251">
        <f>SUMIF('alb Note 13.1 Trade payables'!$A:$A,$J1277,'alb Note 13.1 Trade payables'!$E:$E)</f>
        <v>0</v>
      </c>
      <c r="M1277" s="10"/>
      <c r="N1277" s="273">
        <f t="shared" si="767"/>
        <v>0</v>
      </c>
      <c r="O1277" s="12"/>
      <c r="P1277" s="12"/>
      <c r="Q1277" s="12"/>
      <c r="R1277" s="12"/>
      <c r="S1277" s="6">
        <f t="shared" si="752"/>
        <v>0</v>
      </c>
      <c r="T1277" s="273">
        <f t="shared" si="757"/>
        <v>0</v>
      </c>
      <c r="U1277" s="6">
        <f t="shared" si="768"/>
        <v>0</v>
      </c>
      <c r="V1277" s="6"/>
      <c r="W1277" s="6">
        <f t="shared" si="764"/>
        <v>0</v>
      </c>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X1277" s="6"/>
      <c r="AY1277" s="6">
        <f>ROUND(AX1277/1000/Update!$B$31*Update!$B$27,0)</f>
        <v>0</v>
      </c>
      <c r="BA1277" s="6"/>
      <c r="BB1277" s="6">
        <f>ROUND(BA1277/1000/Update!$B$31,0)</f>
        <v>0</v>
      </c>
      <c r="BC1277" s="6"/>
      <c r="BD1277" s="29">
        <f t="shared" si="745"/>
        <v>0</v>
      </c>
      <c r="BE1277" s="317"/>
      <c r="BF1277" s="317"/>
      <c r="BG1277" s="317"/>
      <c r="BH1277" s="317"/>
      <c r="BI1277" s="317"/>
      <c r="BJ1277" s="317"/>
      <c r="BK1277" s="29">
        <f t="shared" si="765"/>
        <v>0</v>
      </c>
      <c r="BL1277" s="323"/>
      <c r="BM1277" s="317"/>
      <c r="BN1277" s="317"/>
      <c r="BO1277" s="317"/>
      <c r="BP1277" s="317"/>
      <c r="BQ1277" s="317"/>
      <c r="BR1277" s="317"/>
      <c r="BS1277" s="317"/>
      <c r="BT1277" s="317"/>
      <c r="BU1277" s="317"/>
      <c r="BV1277" s="317"/>
      <c r="BW1277" s="317"/>
      <c r="BX1277" s="317"/>
      <c r="BY1277" s="317"/>
      <c r="BZ1277" s="317"/>
      <c r="CA1277" s="317"/>
      <c r="CB1277" s="317"/>
      <c r="CC1277" s="317"/>
      <c r="CD1277" s="317"/>
      <c r="CE1277" s="317"/>
      <c r="CF1277" s="317"/>
      <c r="CG1277" s="317"/>
      <c r="CH1277" s="317"/>
      <c r="CI1277" s="317"/>
      <c r="CM1277" s="1496">
        <v>0</v>
      </c>
      <c r="CN1277" s="1496">
        <v>0</v>
      </c>
      <c r="CP1277" s="923">
        <f t="shared" si="744"/>
        <v>0</v>
      </c>
      <c r="CZ1277" s="330"/>
    </row>
    <row r="1278" spans="1:104" ht="15" customHeight="1" x14ac:dyDescent="0.25">
      <c r="A1278" s="684">
        <f>MAX($A$6:A1277)+1</f>
        <v>1278</v>
      </c>
      <c r="B1278" s="3">
        <f t="shared" si="730"/>
        <v>13</v>
      </c>
      <c r="C1278" s="11" t="str">
        <f t="shared" si="766"/>
        <v>Trade payables, financial and other liabilities</v>
      </c>
      <c r="D1278" s="11"/>
      <c r="E1278" s="297" t="s">
        <v>252</v>
      </c>
      <c r="F1278" s="297"/>
      <c r="G1278" s="1254" t="s">
        <v>528</v>
      </c>
      <c r="H1278" s="6">
        <v>0</v>
      </c>
      <c r="I1278" s="6">
        <v>0</v>
      </c>
      <c r="J1278" s="1261" t="s">
        <v>286</v>
      </c>
      <c r="K1278" s="251">
        <f>SUMIF('alb Note 13.1 Trade payables'!$A:$A,$J1278,'alb Note 13.1 Trade payables'!$B:$B)</f>
        <v>0</v>
      </c>
      <c r="L1278" s="251">
        <f>SUMIF('alb Note 13.1 Trade payables'!$A:$A,$J1278,'alb Note 13.1 Trade payables'!$E:$E)</f>
        <v>0</v>
      </c>
      <c r="M1278" s="10"/>
      <c r="N1278" s="273">
        <f t="shared" si="767"/>
        <v>0</v>
      </c>
      <c r="O1278" s="12"/>
      <c r="P1278" s="12"/>
      <c r="Q1278" s="12"/>
      <c r="R1278" s="12"/>
      <c r="S1278" s="6">
        <f t="shared" si="752"/>
        <v>0</v>
      </c>
      <c r="T1278" s="273">
        <f t="shared" si="757"/>
        <v>0</v>
      </c>
      <c r="U1278" s="6">
        <f t="shared" si="768"/>
        <v>0</v>
      </c>
      <c r="V1278" s="6"/>
      <c r="W1278" s="6">
        <f t="shared" si="764"/>
        <v>0</v>
      </c>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X1278" s="6"/>
      <c r="AY1278" s="6">
        <f>ROUND(AX1278/1000/Update!$B$31*Update!$B$27,0)</f>
        <v>0</v>
      </c>
      <c r="BA1278" s="6"/>
      <c r="BB1278" s="6">
        <f>ROUND(BA1278/1000/Update!$B$31,0)</f>
        <v>0</v>
      </c>
      <c r="BC1278" s="6"/>
      <c r="BD1278" s="29">
        <f t="shared" si="745"/>
        <v>0</v>
      </c>
      <c r="BE1278" s="317"/>
      <c r="BF1278" s="317"/>
      <c r="BG1278" s="317"/>
      <c r="BH1278" s="317"/>
      <c r="BI1278" s="317"/>
      <c r="BJ1278" s="317"/>
      <c r="BK1278" s="29">
        <f t="shared" si="765"/>
        <v>0</v>
      </c>
      <c r="BL1278" s="323"/>
      <c r="BM1278" s="317"/>
      <c r="BN1278" s="317"/>
      <c r="BO1278" s="317"/>
      <c r="BP1278" s="317"/>
      <c r="BQ1278" s="317"/>
      <c r="BR1278" s="317"/>
      <c r="BS1278" s="317"/>
      <c r="BT1278" s="317"/>
      <c r="BU1278" s="317"/>
      <c r="BV1278" s="317"/>
      <c r="BW1278" s="317"/>
      <c r="BX1278" s="317"/>
      <c r="BY1278" s="317"/>
      <c r="BZ1278" s="317"/>
      <c r="CA1278" s="317"/>
      <c r="CB1278" s="317"/>
      <c r="CC1278" s="317"/>
      <c r="CD1278" s="317"/>
      <c r="CE1278" s="317"/>
      <c r="CF1278" s="317"/>
      <c r="CG1278" s="317"/>
      <c r="CH1278" s="317"/>
      <c r="CI1278" s="317"/>
      <c r="CM1278" s="1496">
        <v>0</v>
      </c>
      <c r="CN1278" s="1496">
        <v>0</v>
      </c>
      <c r="CP1278" s="923">
        <f t="shared" si="744"/>
        <v>0</v>
      </c>
      <c r="CZ1278" s="330"/>
    </row>
    <row r="1279" spans="1:104" ht="15" customHeight="1" x14ac:dyDescent="0.25">
      <c r="A1279" s="684">
        <f>MAX($A$6:A1278)+1</f>
        <v>1279</v>
      </c>
      <c r="B1279" s="3">
        <f t="shared" si="730"/>
        <v>13</v>
      </c>
      <c r="C1279" s="11" t="str">
        <f t="shared" si="766"/>
        <v>Trade payables, financial and other liabilities</v>
      </c>
      <c r="D1279" s="11"/>
      <c r="E1279" s="297" t="s">
        <v>253</v>
      </c>
      <c r="F1279" s="297"/>
      <c r="G1279" s="1254" t="s">
        <v>529</v>
      </c>
      <c r="H1279" s="6">
        <v>0</v>
      </c>
      <c r="I1279" s="6">
        <v>0</v>
      </c>
      <c r="J1279" s="1261" t="s">
        <v>286</v>
      </c>
      <c r="K1279" s="251">
        <f>SUMIF('alb Note 13.1 Trade payables'!$A:$A,$J1279,'alb Note 13.1 Trade payables'!$B:$B)</f>
        <v>0</v>
      </c>
      <c r="L1279" s="251">
        <f>SUMIF('alb Note 13.1 Trade payables'!$A:$A,$J1279,'alb Note 13.1 Trade payables'!$E:$E)</f>
        <v>0</v>
      </c>
      <c r="M1279" s="10"/>
      <c r="N1279" s="273">
        <f t="shared" si="767"/>
        <v>0</v>
      </c>
      <c r="O1279" s="12"/>
      <c r="P1279" s="12"/>
      <c r="Q1279" s="12"/>
      <c r="R1279" s="12"/>
      <c r="S1279" s="6">
        <f t="shared" si="752"/>
        <v>0</v>
      </c>
      <c r="T1279" s="273">
        <f t="shared" si="757"/>
        <v>0</v>
      </c>
      <c r="U1279" s="6">
        <f t="shared" si="768"/>
        <v>0</v>
      </c>
      <c r="V1279" s="6"/>
      <c r="W1279" s="6">
        <f t="shared" si="764"/>
        <v>0</v>
      </c>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X1279" s="6"/>
      <c r="AY1279" s="6">
        <f>ROUND(AX1279/1000/Update!$B$31*Update!$B$27,0)</f>
        <v>0</v>
      </c>
      <c r="BA1279" s="6"/>
      <c r="BB1279" s="6">
        <f>ROUND(BA1279/1000/Update!$B$31,0)</f>
        <v>0</v>
      </c>
      <c r="BC1279" s="6"/>
      <c r="BD1279" s="29">
        <f t="shared" si="745"/>
        <v>0</v>
      </c>
      <c r="BE1279" s="317"/>
      <c r="BF1279" s="317"/>
      <c r="BG1279" s="317"/>
      <c r="BH1279" s="317"/>
      <c r="BI1279" s="317"/>
      <c r="BJ1279" s="317"/>
      <c r="BK1279" s="29">
        <f t="shared" si="765"/>
        <v>0</v>
      </c>
      <c r="BL1279" s="323"/>
      <c r="BM1279" s="317"/>
      <c r="BN1279" s="317"/>
      <c r="BO1279" s="317"/>
      <c r="BP1279" s="317"/>
      <c r="BQ1279" s="317"/>
      <c r="BR1279" s="317"/>
      <c r="BS1279" s="317"/>
      <c r="BT1279" s="317"/>
      <c r="BU1279" s="317"/>
      <c r="BV1279" s="317"/>
      <c r="BW1279" s="317"/>
      <c r="BX1279" s="317"/>
      <c r="BY1279" s="317"/>
      <c r="BZ1279" s="317"/>
      <c r="CA1279" s="317"/>
      <c r="CB1279" s="317"/>
      <c r="CC1279" s="317"/>
      <c r="CD1279" s="317"/>
      <c r="CE1279" s="317"/>
      <c r="CF1279" s="317"/>
      <c r="CG1279" s="317"/>
      <c r="CH1279" s="317"/>
      <c r="CI1279" s="317"/>
      <c r="CM1279" s="1496">
        <v>0</v>
      </c>
      <c r="CN1279" s="1496">
        <v>0</v>
      </c>
      <c r="CP1279" s="923">
        <f t="shared" si="744"/>
        <v>0</v>
      </c>
      <c r="CZ1279" s="330"/>
    </row>
    <row r="1280" spans="1:104" ht="25.5" customHeight="1" x14ac:dyDescent="0.25">
      <c r="A1280" s="684">
        <f>MAX($A$6:A1279)+1</f>
        <v>1280</v>
      </c>
      <c r="B1280" s="3">
        <f t="shared" si="730"/>
        <v>13</v>
      </c>
      <c r="C1280" s="11" t="str">
        <f t="shared" ref="C1280:C1287" si="769">C1279</f>
        <v>Trade payables, financial and other liabilities</v>
      </c>
      <c r="D1280" s="11"/>
      <c r="E1280" s="7" t="s">
        <v>249</v>
      </c>
      <c r="F1280" s="297"/>
      <c r="G1280" s="1254" t="s">
        <v>623</v>
      </c>
      <c r="H1280" s="6">
        <v>0</v>
      </c>
      <c r="I1280" s="6">
        <v>0</v>
      </c>
      <c r="J1280" s="1261" t="s">
        <v>286</v>
      </c>
      <c r="K1280" s="251">
        <f>SUMIF('alb Note 13.1 Trade payables'!$A:$A,$J1280,'alb Note 13.1 Trade payables'!$B:$B)</f>
        <v>0</v>
      </c>
      <c r="L1280" s="251">
        <f>SUMIF('alb Note 13.1 Trade payables'!$A:$A,$J1280,'alb Note 13.1 Trade payables'!$E:$E)</f>
        <v>0</v>
      </c>
      <c r="M1280" s="10"/>
      <c r="N1280" s="273">
        <f t="shared" si="767"/>
        <v>0</v>
      </c>
      <c r="O1280" s="12"/>
      <c r="P1280" s="12"/>
      <c r="Q1280" s="12"/>
      <c r="R1280" s="12"/>
      <c r="S1280" s="6">
        <f t="shared" si="752"/>
        <v>0</v>
      </c>
      <c r="T1280" s="273">
        <f t="shared" si="757"/>
        <v>0</v>
      </c>
      <c r="U1280" s="6">
        <f t="shared" si="768"/>
        <v>0</v>
      </c>
      <c r="V1280" s="6"/>
      <c r="W1280" s="6">
        <f t="shared" si="764"/>
        <v>0</v>
      </c>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X1280" s="6"/>
      <c r="AY1280" s="6">
        <f>ROUND(AX1280/1000/Update!$B$31*Update!$B$27,0)</f>
        <v>0</v>
      </c>
      <c r="BA1280" s="6"/>
      <c r="BB1280" s="6">
        <f>ROUND(BA1280/1000/Update!$B$31,0)</f>
        <v>0</v>
      </c>
      <c r="BC1280" s="6"/>
      <c r="BD1280" s="273">
        <f t="shared" si="745"/>
        <v>0</v>
      </c>
      <c r="BE1280" s="317"/>
      <c r="BF1280" s="317"/>
      <c r="BG1280" s="317"/>
      <c r="BH1280" s="317"/>
      <c r="BI1280" s="317"/>
      <c r="BJ1280" s="317"/>
      <c r="BK1280" s="273">
        <f t="shared" si="765"/>
        <v>0</v>
      </c>
      <c r="BL1280" s="323"/>
      <c r="BM1280" s="317"/>
      <c r="BN1280" s="317"/>
      <c r="BO1280" s="317"/>
      <c r="BP1280" s="317"/>
      <c r="BQ1280" s="317"/>
      <c r="BR1280" s="317"/>
      <c r="BS1280" s="317"/>
      <c r="BT1280" s="317"/>
      <c r="BU1280" s="317"/>
      <c r="BV1280" s="317"/>
      <c r="BW1280" s="317"/>
      <c r="BX1280" s="317"/>
      <c r="BY1280" s="317"/>
      <c r="BZ1280" s="317"/>
      <c r="CA1280" s="317"/>
      <c r="CB1280" s="317"/>
      <c r="CC1280" s="317"/>
      <c r="CD1280" s="317"/>
      <c r="CE1280" s="317"/>
      <c r="CF1280" s="317"/>
      <c r="CG1280" s="317"/>
      <c r="CH1280" s="317"/>
      <c r="CI1280" s="317"/>
      <c r="CM1280" s="1496">
        <v>0</v>
      </c>
      <c r="CN1280" s="1496">
        <v>0</v>
      </c>
      <c r="CP1280" s="923">
        <f t="shared" si="744"/>
        <v>0</v>
      </c>
      <c r="CZ1280" s="330"/>
    </row>
    <row r="1281" spans="1:104" ht="25.5" customHeight="1" x14ac:dyDescent="0.25">
      <c r="A1281" s="684">
        <f>MAX($A$6:A1280)+1</f>
        <v>1281</v>
      </c>
      <c r="B1281" s="3">
        <f t="shared" ref="B1281:B1342" si="770">B1280</f>
        <v>13</v>
      </c>
      <c r="C1281" s="11" t="str">
        <f t="shared" si="769"/>
        <v>Trade payables, financial and other liabilities</v>
      </c>
      <c r="D1281" s="11"/>
      <c r="E1281" s="356" t="s">
        <v>622</v>
      </c>
      <c r="F1281" s="297"/>
      <c r="G1281" s="1254" t="s">
        <v>622</v>
      </c>
      <c r="H1281" s="6">
        <v>0</v>
      </c>
      <c r="I1281" s="6">
        <v>0</v>
      </c>
      <c r="J1281" s="1257" t="s">
        <v>622</v>
      </c>
      <c r="K1281" s="278">
        <f>SUMIF('alb Note 13.1 Trade payables'!$A:$A,$J1281,'alb Note 13.1 Trade payables'!$B:$B)</f>
        <v>0</v>
      </c>
      <c r="L1281" s="278">
        <f>SUMIF('alb Note 13.1 Trade payables'!$A:$A,$J1281,'alb Note 13.1 Trade payables'!$E:$E)</f>
        <v>0</v>
      </c>
      <c r="M1281" s="10"/>
      <c r="N1281" s="273">
        <f t="shared" si="767"/>
        <v>0</v>
      </c>
      <c r="O1281" s="12"/>
      <c r="P1281" s="12"/>
      <c r="Q1281" s="12"/>
      <c r="R1281" s="12"/>
      <c r="S1281" s="6">
        <f t="shared" si="752"/>
        <v>0</v>
      </c>
      <c r="T1281" s="273">
        <f t="shared" si="757"/>
        <v>0</v>
      </c>
      <c r="U1281" s="6">
        <f t="shared" si="768"/>
        <v>0</v>
      </c>
      <c r="V1281" s="6"/>
      <c r="W1281" s="6">
        <f t="shared" si="764"/>
        <v>0</v>
      </c>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X1281" s="6"/>
      <c r="AY1281" s="6">
        <f>ROUND(AX1281/1000/Update!$B$31*Update!$B$27,0)</f>
        <v>0</v>
      </c>
      <c r="BA1281" s="6"/>
      <c r="BB1281" s="6">
        <f>ROUND(BA1281/1000/Update!$B$31,0)</f>
        <v>0</v>
      </c>
      <c r="BC1281" s="6"/>
      <c r="BD1281" s="273">
        <f t="shared" si="745"/>
        <v>0</v>
      </c>
      <c r="BE1281" s="323"/>
      <c r="BF1281" s="323"/>
      <c r="BG1281" s="323"/>
      <c r="BH1281" s="323"/>
      <c r="BI1281" s="323"/>
      <c r="BJ1281" s="323"/>
      <c r="BK1281" s="273">
        <f t="shared" si="765"/>
        <v>0</v>
      </c>
      <c r="BL1281" s="323"/>
      <c r="BM1281" s="323"/>
      <c r="BN1281" s="323"/>
      <c r="BO1281" s="323"/>
      <c r="BP1281" s="323"/>
      <c r="BQ1281" s="323"/>
      <c r="BR1281" s="323"/>
      <c r="BS1281" s="323"/>
      <c r="BT1281" s="323"/>
      <c r="BU1281" s="323"/>
      <c r="BV1281" s="323"/>
      <c r="BW1281" s="323"/>
      <c r="BX1281" s="323"/>
      <c r="BY1281" s="323"/>
      <c r="BZ1281" s="323"/>
      <c r="CA1281" s="323"/>
      <c r="CB1281" s="323"/>
      <c r="CC1281" s="323"/>
      <c r="CD1281" s="323"/>
      <c r="CE1281" s="323"/>
      <c r="CF1281" s="323"/>
      <c r="CG1281" s="323"/>
      <c r="CH1281" s="323"/>
      <c r="CI1281" s="323"/>
      <c r="CM1281" s="1140">
        <v>0</v>
      </c>
      <c r="CN1281" s="1140">
        <v>0</v>
      </c>
      <c r="CP1281" s="923">
        <f t="shared" si="744"/>
        <v>0</v>
      </c>
      <c r="CZ1281" s="330"/>
    </row>
    <row r="1282" spans="1:104" ht="15" customHeight="1" x14ac:dyDescent="0.25">
      <c r="A1282" s="684">
        <f>MAX($A$6:A1281)+1</f>
        <v>1282</v>
      </c>
      <c r="B1282" s="3">
        <f t="shared" si="770"/>
        <v>13</v>
      </c>
      <c r="C1282" s="11" t="str">
        <f t="shared" si="769"/>
        <v>Trade payables, financial and other liabilities</v>
      </c>
      <c r="D1282" s="11"/>
      <c r="E1282" s="356" t="s">
        <v>250</v>
      </c>
      <c r="F1282" s="297"/>
      <c r="G1282" s="1254" t="s">
        <v>230</v>
      </c>
      <c r="H1282" s="6">
        <v>0</v>
      </c>
      <c r="I1282" s="6">
        <v>0</v>
      </c>
      <c r="J1282" s="1257" t="s">
        <v>778</v>
      </c>
      <c r="K1282" s="278">
        <f>SUMIF('alb Note 13.1 Trade payables'!$A:$A,$J1282,'alb Note 13.1 Trade payables'!$B:$B)</f>
        <v>0</v>
      </c>
      <c r="L1282" s="278">
        <f>SUMIF('alb Note 13.1 Trade payables'!$A:$A,$J1282,'alb Note 13.1 Trade payables'!$E:$E)</f>
        <v>0</v>
      </c>
      <c r="M1282" s="10"/>
      <c r="N1282" s="273">
        <f t="shared" si="767"/>
        <v>0</v>
      </c>
      <c r="O1282" s="12"/>
      <c r="P1282" s="12"/>
      <c r="Q1282" s="12"/>
      <c r="R1282" s="12"/>
      <c r="S1282" s="6">
        <f t="shared" si="752"/>
        <v>0</v>
      </c>
      <c r="T1282" s="273">
        <f t="shared" si="757"/>
        <v>0</v>
      </c>
      <c r="U1282" s="6">
        <f t="shared" si="768"/>
        <v>0</v>
      </c>
      <c r="V1282" s="6"/>
      <c r="W1282" s="6">
        <f t="shared" si="764"/>
        <v>0</v>
      </c>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X1282" s="6"/>
      <c r="AY1282" s="6">
        <f>ROUND(AX1282/1000/Update!$B$31*Update!$B$27,0)</f>
        <v>0</v>
      </c>
      <c r="BA1282" s="6"/>
      <c r="BB1282" s="6">
        <f>ROUND(BA1282/1000/Update!$B$31,0)</f>
        <v>0</v>
      </c>
      <c r="BC1282" s="6"/>
      <c r="BD1282" s="273">
        <f t="shared" si="745"/>
        <v>0</v>
      </c>
      <c r="BE1282" s="323"/>
      <c r="BF1282" s="323"/>
      <c r="BG1282" s="323"/>
      <c r="BH1282" s="323"/>
      <c r="BI1282" s="323"/>
      <c r="BJ1282" s="323"/>
      <c r="BK1282" s="273">
        <f t="shared" si="765"/>
        <v>0</v>
      </c>
      <c r="BL1282" s="323"/>
      <c r="BM1282" s="323"/>
      <c r="BN1282" s="323"/>
      <c r="BO1282" s="323"/>
      <c r="BP1282" s="323"/>
      <c r="BQ1282" s="323"/>
      <c r="BR1282" s="323"/>
      <c r="BS1282" s="323"/>
      <c r="BT1282" s="323"/>
      <c r="BU1282" s="323"/>
      <c r="BV1282" s="323"/>
      <c r="BW1282" s="323"/>
      <c r="BX1282" s="323"/>
      <c r="BY1282" s="323"/>
      <c r="BZ1282" s="323"/>
      <c r="CA1282" s="323"/>
      <c r="CB1282" s="323"/>
      <c r="CC1282" s="323"/>
      <c r="CD1282" s="323"/>
      <c r="CE1282" s="323"/>
      <c r="CF1282" s="323"/>
      <c r="CG1282" s="323"/>
      <c r="CH1282" s="323"/>
      <c r="CI1282" s="323"/>
      <c r="CM1282" s="1140">
        <v>0</v>
      </c>
      <c r="CN1282" s="1140">
        <v>0</v>
      </c>
      <c r="CP1282" s="923">
        <f t="shared" si="744"/>
        <v>0</v>
      </c>
      <c r="CZ1282" s="330"/>
    </row>
    <row r="1283" spans="1:104" ht="15" customHeight="1" x14ac:dyDescent="0.25">
      <c r="A1283" s="684">
        <f>MAX($A$6:A1282)+1</f>
        <v>1283</v>
      </c>
      <c r="B1283" s="3">
        <f t="shared" si="770"/>
        <v>13</v>
      </c>
      <c r="C1283" s="11" t="str">
        <f t="shared" si="769"/>
        <v>Trade payables, financial and other liabilities</v>
      </c>
      <c r="D1283" s="11"/>
      <c r="E1283" s="356" t="s">
        <v>621</v>
      </c>
      <c r="F1283" s="297"/>
      <c r="G1283" s="1254" t="s">
        <v>621</v>
      </c>
      <c r="H1283" s="6">
        <v>0</v>
      </c>
      <c r="I1283" s="6">
        <v>0</v>
      </c>
      <c r="J1283" s="1257" t="s">
        <v>621</v>
      </c>
      <c r="K1283" s="278">
        <f>SUMIF('alb Note 13.1 Trade payables'!$A:$A,$J1283,'alb Note 13.1 Trade payables'!$B:$B)</f>
        <v>0</v>
      </c>
      <c r="L1283" s="278">
        <f>SUMIF('alb Note 13.1 Trade payables'!$A:$A,$J1283,'alb Note 13.1 Trade payables'!$E:$E)</f>
        <v>0</v>
      </c>
      <c r="M1283" s="10"/>
      <c r="N1283" s="273">
        <f t="shared" si="767"/>
        <v>0</v>
      </c>
      <c r="O1283" s="12"/>
      <c r="P1283" s="12"/>
      <c r="Q1283" s="12"/>
      <c r="R1283" s="12"/>
      <c r="S1283" s="6">
        <f t="shared" si="752"/>
        <v>0</v>
      </c>
      <c r="T1283" s="273">
        <f t="shared" si="757"/>
        <v>0</v>
      </c>
      <c r="U1283" s="6">
        <f t="shared" si="768"/>
        <v>0</v>
      </c>
      <c r="V1283" s="6"/>
      <c r="W1283" s="6">
        <f t="shared" si="764"/>
        <v>0</v>
      </c>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X1283" s="6"/>
      <c r="AY1283" s="6">
        <f>ROUND(AX1283/1000/Update!$B$31*Update!$B$27,0)</f>
        <v>0</v>
      </c>
      <c r="BA1283" s="6"/>
      <c r="BB1283" s="6">
        <f>ROUND(BA1283/1000/Update!$B$31,0)</f>
        <v>0</v>
      </c>
      <c r="BC1283" s="6"/>
      <c r="BD1283" s="273">
        <f t="shared" si="745"/>
        <v>0</v>
      </c>
      <c r="BE1283" s="323"/>
      <c r="BF1283" s="323"/>
      <c r="BG1283" s="323"/>
      <c r="BH1283" s="323"/>
      <c r="BI1283" s="323"/>
      <c r="BJ1283" s="323"/>
      <c r="BK1283" s="273">
        <f t="shared" si="765"/>
        <v>0</v>
      </c>
      <c r="BL1283" s="323"/>
      <c r="BM1283" s="323"/>
      <c r="BN1283" s="323"/>
      <c r="BO1283" s="323"/>
      <c r="BP1283" s="323"/>
      <c r="BQ1283" s="323"/>
      <c r="BR1283" s="323"/>
      <c r="BS1283" s="323"/>
      <c r="BT1283" s="323"/>
      <c r="BU1283" s="323"/>
      <c r="BV1283" s="323"/>
      <c r="BW1283" s="323"/>
      <c r="BX1283" s="323"/>
      <c r="BY1283" s="323"/>
      <c r="BZ1283" s="323"/>
      <c r="CA1283" s="323"/>
      <c r="CB1283" s="323"/>
      <c r="CC1283" s="323"/>
      <c r="CD1283" s="323"/>
      <c r="CE1283" s="323"/>
      <c r="CF1283" s="323"/>
      <c r="CG1283" s="323"/>
      <c r="CH1283" s="323"/>
      <c r="CI1283" s="323"/>
      <c r="CM1283" s="1140">
        <v>0</v>
      </c>
      <c r="CN1283" s="1140">
        <v>0</v>
      </c>
      <c r="CP1283" s="923">
        <f t="shared" si="744"/>
        <v>0</v>
      </c>
      <c r="CZ1283" s="330"/>
    </row>
    <row r="1284" spans="1:104" ht="25.5" customHeight="1" x14ac:dyDescent="0.25">
      <c r="A1284" s="684">
        <f>MAX($A$6:A1283)+1</f>
        <v>1284</v>
      </c>
      <c r="B1284" s="3">
        <f t="shared" si="770"/>
        <v>13</v>
      </c>
      <c r="C1284" s="11" t="str">
        <f t="shared" si="769"/>
        <v>Trade payables, financial and other liabilities</v>
      </c>
      <c r="D1284" s="11"/>
      <c r="E1284" s="7" t="s">
        <v>624</v>
      </c>
      <c r="F1284" s="297"/>
      <c r="G1284" s="1254" t="s">
        <v>624</v>
      </c>
      <c r="H1284" s="6">
        <v>0</v>
      </c>
      <c r="I1284" s="6">
        <v>0</v>
      </c>
      <c r="J1284" s="1257" t="s">
        <v>624</v>
      </c>
      <c r="K1284" s="278">
        <f>SUMIF('alb Note 13.1 Trade payables'!$A:$A,$J1284,'alb Note 13.1 Trade payables'!$B:$B)</f>
        <v>0</v>
      </c>
      <c r="L1284" s="278">
        <f>SUMIF('alb Note 13.1 Trade payables'!$A:$A,$J1284,'alb Note 13.1 Trade payables'!$E:$E)</f>
        <v>0</v>
      </c>
      <c r="M1284" s="10"/>
      <c r="N1284" s="273">
        <f t="shared" si="767"/>
        <v>0</v>
      </c>
      <c r="O1284" s="12"/>
      <c r="P1284" s="12"/>
      <c r="Q1284" s="12"/>
      <c r="R1284" s="12"/>
      <c r="S1284" s="6">
        <f t="shared" si="752"/>
        <v>0</v>
      </c>
      <c r="T1284" s="273">
        <f t="shared" si="757"/>
        <v>0</v>
      </c>
      <c r="U1284" s="6">
        <f t="shared" si="768"/>
        <v>0</v>
      </c>
      <c r="V1284" s="6"/>
      <c r="W1284" s="6">
        <f t="shared" si="764"/>
        <v>0</v>
      </c>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X1284" s="6"/>
      <c r="AY1284" s="6">
        <f>ROUND(AX1284/1000/Update!$B$31*Update!$B$27,0)</f>
        <v>0</v>
      </c>
      <c r="BA1284" s="6"/>
      <c r="BB1284" s="6">
        <f>ROUND(BA1284/1000/Update!$B$31,0)</f>
        <v>0</v>
      </c>
      <c r="BC1284" s="6"/>
      <c r="BD1284" s="273">
        <f>ROUND(SUM(BE1284:BK1284),0)</f>
        <v>0</v>
      </c>
      <c r="BE1284" s="323"/>
      <c r="BF1284" s="323"/>
      <c r="BG1284" s="323"/>
      <c r="BH1284" s="323"/>
      <c r="BI1284" s="323"/>
      <c r="BJ1284" s="323"/>
      <c r="BK1284" s="273">
        <f t="shared" si="765"/>
        <v>0</v>
      </c>
      <c r="BL1284" s="323"/>
      <c r="BM1284" s="323"/>
      <c r="BN1284" s="323"/>
      <c r="BO1284" s="323"/>
      <c r="BP1284" s="323"/>
      <c r="BQ1284" s="323"/>
      <c r="BR1284" s="323"/>
      <c r="BS1284" s="323"/>
      <c r="BT1284" s="323"/>
      <c r="BU1284" s="323"/>
      <c r="BV1284" s="323"/>
      <c r="BW1284" s="323"/>
      <c r="BX1284" s="323"/>
      <c r="BY1284" s="323"/>
      <c r="BZ1284" s="323"/>
      <c r="CA1284" s="323"/>
      <c r="CB1284" s="323"/>
      <c r="CC1284" s="323"/>
      <c r="CD1284" s="323"/>
      <c r="CE1284" s="323"/>
      <c r="CF1284" s="323"/>
      <c r="CG1284" s="323"/>
      <c r="CH1284" s="323"/>
      <c r="CI1284" s="323"/>
      <c r="CM1284" s="1140">
        <v>0</v>
      </c>
      <c r="CN1284" s="1140">
        <v>0</v>
      </c>
      <c r="CP1284" s="923">
        <f t="shared" si="744"/>
        <v>0</v>
      </c>
      <c r="CZ1284" s="330"/>
    </row>
    <row r="1285" spans="1:104" ht="15" customHeight="1" x14ac:dyDescent="0.25">
      <c r="A1285" s="684">
        <f>MAX($A$6:A1284)+1</f>
        <v>1285</v>
      </c>
      <c r="B1285" s="3">
        <f t="shared" si="770"/>
        <v>13</v>
      </c>
      <c r="C1285" s="11" t="str">
        <f t="shared" si="769"/>
        <v>Trade payables, financial and other liabilities</v>
      </c>
      <c r="D1285" s="11"/>
      <c r="E1285" s="356" t="s">
        <v>250</v>
      </c>
      <c r="F1285" s="297"/>
      <c r="G1285" s="1254" t="s">
        <v>286</v>
      </c>
      <c r="H1285" s="6">
        <v>0</v>
      </c>
      <c r="I1285" s="6">
        <v>0</v>
      </c>
      <c r="J1285" s="1257" t="s">
        <v>779</v>
      </c>
      <c r="K1285" s="278">
        <f>SUMIF('alb Note 13.1 Trade payables'!$A:$A,$J1285,'alb Note 13.1 Trade payables'!$B:$B)</f>
        <v>0</v>
      </c>
      <c r="L1285" s="278">
        <f>SUMIF('alb Note 13.1 Trade payables'!$A:$A,$J1285,'alb Note 13.1 Trade payables'!$E:$E)</f>
        <v>0</v>
      </c>
      <c r="M1285" s="10"/>
      <c r="N1285" s="273">
        <f t="shared" si="767"/>
        <v>0</v>
      </c>
      <c r="O1285" s="12"/>
      <c r="P1285" s="12"/>
      <c r="Q1285" s="12"/>
      <c r="R1285" s="12"/>
      <c r="S1285" s="6">
        <f t="shared" si="752"/>
        <v>0</v>
      </c>
      <c r="T1285" s="273">
        <f t="shared" si="757"/>
        <v>0</v>
      </c>
      <c r="U1285" s="6">
        <f t="shared" si="768"/>
        <v>0</v>
      </c>
      <c r="V1285" s="6"/>
      <c r="W1285" s="6">
        <f t="shared" si="764"/>
        <v>0</v>
      </c>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X1285" s="6"/>
      <c r="AY1285" s="6">
        <f>ROUND(AX1285/1000/Update!$B$31*Update!$B$27,0)</f>
        <v>0</v>
      </c>
      <c r="BA1285" s="6"/>
      <c r="BB1285" s="6">
        <f>ROUND(BA1285/1000/Update!$B$31,0)</f>
        <v>0</v>
      </c>
      <c r="BC1285" s="6"/>
      <c r="BD1285" s="273">
        <f t="shared" si="745"/>
        <v>0</v>
      </c>
      <c r="BE1285" s="323"/>
      <c r="BF1285" s="323"/>
      <c r="BG1285" s="323"/>
      <c r="BH1285" s="323"/>
      <c r="BI1285" s="323"/>
      <c r="BJ1285" s="323"/>
      <c r="BK1285" s="273">
        <f t="shared" si="765"/>
        <v>0</v>
      </c>
      <c r="BL1285" s="323"/>
      <c r="BM1285" s="323"/>
      <c r="BN1285" s="323"/>
      <c r="BO1285" s="323"/>
      <c r="BP1285" s="323"/>
      <c r="BQ1285" s="323"/>
      <c r="BR1285" s="323"/>
      <c r="BS1285" s="323"/>
      <c r="BT1285" s="323"/>
      <c r="BU1285" s="323"/>
      <c r="BV1285" s="323"/>
      <c r="BW1285" s="323"/>
      <c r="BX1285" s="323"/>
      <c r="BY1285" s="323"/>
      <c r="BZ1285" s="323"/>
      <c r="CA1285" s="323"/>
      <c r="CB1285" s="323"/>
      <c r="CC1285" s="323"/>
      <c r="CD1285" s="323"/>
      <c r="CE1285" s="323"/>
      <c r="CF1285" s="323"/>
      <c r="CG1285" s="323"/>
      <c r="CH1285" s="323"/>
      <c r="CI1285" s="323"/>
      <c r="CM1285" s="1140">
        <v>-20</v>
      </c>
      <c r="CN1285" s="1140">
        <v>7923</v>
      </c>
      <c r="CP1285" s="923">
        <f t="shared" si="744"/>
        <v>-20</v>
      </c>
      <c r="CZ1285" s="330"/>
    </row>
    <row r="1286" spans="1:104" ht="15" customHeight="1" x14ac:dyDescent="0.25">
      <c r="A1286" s="684">
        <f>MAX($A$6:A1285)+1</f>
        <v>1286</v>
      </c>
      <c r="B1286" s="3">
        <f t="shared" si="770"/>
        <v>13</v>
      </c>
      <c r="C1286" s="11" t="str">
        <f t="shared" si="769"/>
        <v>Trade payables, financial and other liabilities</v>
      </c>
      <c r="D1286" s="11"/>
      <c r="E1286" s="356" t="s">
        <v>250</v>
      </c>
      <c r="F1286" s="297"/>
      <c r="G1286" s="1254" t="s">
        <v>272</v>
      </c>
      <c r="H1286" s="6">
        <v>0</v>
      </c>
      <c r="I1286" s="6">
        <v>0</v>
      </c>
      <c r="J1286" s="1257" t="s">
        <v>780</v>
      </c>
      <c r="K1286" s="278">
        <f>SUMIF('alb Note 13.1 Trade payables'!$A:$A,$J1286,'alb Note 13.1 Trade payables'!$B:$B)</f>
        <v>0</v>
      </c>
      <c r="L1286" s="278">
        <f>SUMIF('alb Note 13.1 Trade payables'!$A:$A,$J1286,'alb Note 13.1 Trade payables'!$E:$E)</f>
        <v>0</v>
      </c>
      <c r="M1286" s="10"/>
      <c r="N1286" s="273">
        <f t="shared" si="767"/>
        <v>0</v>
      </c>
      <c r="O1286" s="12"/>
      <c r="P1286" s="12"/>
      <c r="Q1286" s="12"/>
      <c r="R1286" s="12"/>
      <c r="S1286" s="6">
        <f t="shared" si="752"/>
        <v>0</v>
      </c>
      <c r="T1286" s="273">
        <f t="shared" si="757"/>
        <v>0</v>
      </c>
      <c r="U1286" s="6">
        <f t="shared" si="768"/>
        <v>0</v>
      </c>
      <c r="V1286" s="6"/>
      <c r="W1286" s="6">
        <f t="shared" si="764"/>
        <v>0</v>
      </c>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X1286" s="6"/>
      <c r="AY1286" s="6">
        <f>ROUND(AX1286/1000/Update!$B$31*Update!$B$27,0)</f>
        <v>0</v>
      </c>
      <c r="BA1286" s="6"/>
      <c r="BB1286" s="6">
        <f>ROUND(BA1286/1000/Update!$B$31,0)</f>
        <v>0</v>
      </c>
      <c r="BC1286" s="6"/>
      <c r="BD1286" s="273">
        <f t="shared" si="745"/>
        <v>0</v>
      </c>
      <c r="BE1286" s="323"/>
      <c r="BF1286" s="323"/>
      <c r="BG1286" s="323"/>
      <c r="BH1286" s="323"/>
      <c r="BI1286" s="323"/>
      <c r="BJ1286" s="323"/>
      <c r="BK1286" s="273">
        <f t="shared" si="765"/>
        <v>0</v>
      </c>
      <c r="BL1286" s="323"/>
      <c r="BM1286" s="323"/>
      <c r="BN1286" s="323"/>
      <c r="BO1286" s="323"/>
      <c r="BP1286" s="323"/>
      <c r="BQ1286" s="323"/>
      <c r="BR1286" s="323"/>
      <c r="BS1286" s="323"/>
      <c r="BT1286" s="323"/>
      <c r="BU1286" s="323"/>
      <c r="BV1286" s="323"/>
      <c r="BW1286" s="323"/>
      <c r="BX1286" s="323"/>
      <c r="BY1286" s="323"/>
      <c r="BZ1286" s="323"/>
      <c r="CA1286" s="323"/>
      <c r="CB1286" s="323"/>
      <c r="CC1286" s="323"/>
      <c r="CD1286" s="323"/>
      <c r="CE1286" s="323"/>
      <c r="CF1286" s="323"/>
      <c r="CG1286" s="323"/>
      <c r="CH1286" s="323"/>
      <c r="CI1286" s="323"/>
      <c r="CM1286" s="1140">
        <v>0</v>
      </c>
      <c r="CN1286" s="1140">
        <v>0</v>
      </c>
      <c r="CP1286" s="923">
        <f t="shared" si="744"/>
        <v>0</v>
      </c>
      <c r="CZ1286" s="330"/>
    </row>
    <row r="1287" spans="1:104" ht="15" customHeight="1" x14ac:dyDescent="0.25">
      <c r="A1287" s="684">
        <f>MAX($A$6:A1286)+1</f>
        <v>1287</v>
      </c>
      <c r="B1287" s="3">
        <f t="shared" si="770"/>
        <v>13</v>
      </c>
      <c r="C1287" s="11" t="str">
        <f t="shared" si="769"/>
        <v>Trade payables, financial and other liabilities</v>
      </c>
      <c r="D1287" s="11"/>
      <c r="E1287" s="356" t="s">
        <v>250</v>
      </c>
      <c r="F1287" s="297"/>
      <c r="G1287" s="1254"/>
      <c r="H1287" s="6">
        <v>0</v>
      </c>
      <c r="I1287" s="6">
        <v>0</v>
      </c>
      <c r="J1287" s="1257" t="s">
        <v>814</v>
      </c>
      <c r="K1287" s="278">
        <f>SUMIF('alb Note 13.1 Trade payables'!$A:$A,$J1287,'alb Note 13.1 Trade payables'!$B:$B)</f>
        <v>0</v>
      </c>
      <c r="L1287" s="278">
        <f>SUMIF('alb Note 13.1 Trade payables'!$A:$A,$J1287,'alb Note 13.1 Trade payables'!$E:$E)</f>
        <v>0</v>
      </c>
      <c r="M1287" s="10"/>
      <c r="N1287" s="273">
        <f t="shared" si="767"/>
        <v>0</v>
      </c>
      <c r="O1287" s="12"/>
      <c r="P1287" s="12"/>
      <c r="Q1287" s="12"/>
      <c r="R1287" s="12"/>
      <c r="S1287" s="6">
        <f t="shared" si="752"/>
        <v>0</v>
      </c>
      <c r="T1287" s="273">
        <f t="shared" si="757"/>
        <v>0</v>
      </c>
      <c r="U1287" s="6">
        <f t="shared" si="768"/>
        <v>0</v>
      </c>
      <c r="V1287" s="6"/>
      <c r="W1287" s="6">
        <f t="shared" si="764"/>
        <v>0</v>
      </c>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X1287" s="6"/>
      <c r="AY1287" s="6">
        <f>ROUND(AX1287/1000/Update!$B$31*Update!$B$27,0)</f>
        <v>0</v>
      </c>
      <c r="BA1287" s="6"/>
      <c r="BB1287" s="6">
        <f>ROUND(BA1287/1000/Update!$B$31,0)</f>
        <v>0</v>
      </c>
      <c r="BC1287" s="6"/>
      <c r="BD1287" s="273">
        <f t="shared" si="745"/>
        <v>0</v>
      </c>
      <c r="BE1287" s="323"/>
      <c r="BF1287" s="323"/>
      <c r="BG1287" s="323"/>
      <c r="BH1287" s="323"/>
      <c r="BI1287" s="323"/>
      <c r="BJ1287" s="323"/>
      <c r="BK1287" s="273">
        <f t="shared" si="765"/>
        <v>0</v>
      </c>
      <c r="BL1287" s="323"/>
      <c r="BM1287" s="323"/>
      <c r="BN1287" s="323"/>
      <c r="BO1287" s="323"/>
      <c r="BP1287" s="323"/>
      <c r="BQ1287" s="323"/>
      <c r="BR1287" s="323"/>
      <c r="BS1287" s="323"/>
      <c r="BT1287" s="323"/>
      <c r="BU1287" s="323"/>
      <c r="BV1287" s="323"/>
      <c r="BW1287" s="323"/>
      <c r="BX1287" s="323"/>
      <c r="BY1287" s="323"/>
      <c r="BZ1287" s="323"/>
      <c r="CA1287" s="323"/>
      <c r="CB1287" s="323"/>
      <c r="CC1287" s="323"/>
      <c r="CD1287" s="323"/>
      <c r="CE1287" s="323"/>
      <c r="CF1287" s="323"/>
      <c r="CG1287" s="323"/>
      <c r="CH1287" s="323"/>
      <c r="CI1287" s="323"/>
      <c r="CM1287" s="1140">
        <v>0</v>
      </c>
      <c r="CN1287" s="1140">
        <v>0</v>
      </c>
      <c r="CP1287" s="923">
        <f t="shared" si="744"/>
        <v>0</v>
      </c>
      <c r="CZ1287" s="330"/>
    </row>
    <row r="1288" spans="1:104" ht="15" customHeight="1" x14ac:dyDescent="0.25">
      <c r="A1288" s="684">
        <f>MAX($A$6:A1287)+1</f>
        <v>1288</v>
      </c>
      <c r="B1288" s="3">
        <f>B1287</f>
        <v>13</v>
      </c>
      <c r="C1288" s="11" t="str">
        <f>C1287</f>
        <v>Trade payables, financial and other liabilities</v>
      </c>
      <c r="D1288" s="11"/>
      <c r="E1288" s="356" t="s">
        <v>250</v>
      </c>
      <c r="F1288" s="297"/>
      <c r="G1288" s="1254" t="s">
        <v>286</v>
      </c>
      <c r="H1288" s="6">
        <v>0</v>
      </c>
      <c r="I1288" s="6">
        <v>0</v>
      </c>
      <c r="J1288" s="1257" t="s">
        <v>781</v>
      </c>
      <c r="K1288" s="278">
        <f>SUMIF('alb Note 13.1 Trade payables'!$A:$A,$J1288,'alb Note 13.1 Trade payables'!$B:$B)</f>
        <v>0</v>
      </c>
      <c r="L1288" s="278">
        <f>SUMIF('alb Note 13.1 Trade payables'!$A:$A,$J1288,'alb Note 13.1 Trade payables'!$E:$E)</f>
        <v>0</v>
      </c>
      <c r="M1288" s="10"/>
      <c r="N1288" s="273">
        <f t="shared" si="767"/>
        <v>0</v>
      </c>
      <c r="O1288" s="12"/>
      <c r="P1288" s="12"/>
      <c r="Q1288" s="12"/>
      <c r="R1288" s="12"/>
      <c r="S1288" s="6">
        <f t="shared" si="752"/>
        <v>0</v>
      </c>
      <c r="T1288" s="273">
        <f t="shared" si="757"/>
        <v>0</v>
      </c>
      <c r="U1288" s="6">
        <f t="shared" si="768"/>
        <v>0</v>
      </c>
      <c r="V1288" s="6"/>
      <c r="W1288" s="6">
        <f t="shared" si="764"/>
        <v>0</v>
      </c>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X1288" s="6"/>
      <c r="AY1288" s="6">
        <f>ROUND(AX1288/1000/Update!$B$31*Update!$B$27,0)</f>
        <v>0</v>
      </c>
      <c r="BA1288" s="6"/>
      <c r="BB1288" s="6">
        <f>ROUND(BA1288/1000/Update!$B$31,0)</f>
        <v>0</v>
      </c>
      <c r="BC1288" s="6"/>
      <c r="BD1288" s="273">
        <f t="shared" si="745"/>
        <v>0</v>
      </c>
      <c r="BE1288" s="323"/>
      <c r="BF1288" s="323"/>
      <c r="BG1288" s="323"/>
      <c r="BH1288" s="323"/>
      <c r="BI1288" s="323"/>
      <c r="BJ1288" s="323"/>
      <c r="BK1288" s="273">
        <f t="shared" si="765"/>
        <v>0</v>
      </c>
      <c r="BL1288" s="323"/>
      <c r="BM1288" s="323"/>
      <c r="BN1288" s="323"/>
      <c r="BO1288" s="323"/>
      <c r="BP1288" s="323"/>
      <c r="BQ1288" s="323"/>
      <c r="BR1288" s="323"/>
      <c r="BS1288" s="323"/>
      <c r="BT1288" s="323"/>
      <c r="BU1288" s="323"/>
      <c r="BV1288" s="323"/>
      <c r="BW1288" s="323"/>
      <c r="BX1288" s="323"/>
      <c r="BY1288" s="323"/>
      <c r="BZ1288" s="323"/>
      <c r="CA1288" s="323"/>
      <c r="CB1288" s="323"/>
      <c r="CC1288" s="323"/>
      <c r="CD1288" s="323"/>
      <c r="CE1288" s="323"/>
      <c r="CF1288" s="323"/>
      <c r="CG1288" s="323"/>
      <c r="CH1288" s="323"/>
      <c r="CI1288" s="323"/>
      <c r="CM1288" s="1140">
        <v>0</v>
      </c>
      <c r="CN1288" s="1140">
        <v>4352</v>
      </c>
      <c r="CP1288" s="923">
        <f t="shared" ref="CP1288:CP1351" si="771">-V1288+BL1288+BM1288+BN1288+CM1288</f>
        <v>0</v>
      </c>
      <c r="CZ1288" s="330"/>
    </row>
    <row r="1289" spans="1:104" ht="25.5" customHeight="1" x14ac:dyDescent="0.25">
      <c r="A1289" s="684">
        <f>MAX($A$6:A1288)+1</f>
        <v>1289</v>
      </c>
      <c r="B1289" s="3">
        <f t="shared" si="770"/>
        <v>13</v>
      </c>
      <c r="C1289" s="11" t="str">
        <f>C1288</f>
        <v>Trade payables, financial and other liabilities</v>
      </c>
      <c r="D1289" s="11"/>
      <c r="E1289" s="1254" t="s">
        <v>625</v>
      </c>
      <c r="F1289" s="297"/>
      <c r="G1289" s="1254" t="s">
        <v>625</v>
      </c>
      <c r="H1289" s="6">
        <v>0</v>
      </c>
      <c r="I1289" s="6">
        <v>0</v>
      </c>
      <c r="J1289" s="1257" t="s">
        <v>625</v>
      </c>
      <c r="K1289" s="278">
        <f>SUMIF('alb Note 13.1 Trade payables'!$A:$A,$J1289,'alb Note 13.1 Trade payables'!$B:$B)</f>
        <v>0</v>
      </c>
      <c r="L1289" s="278">
        <f>SUMIF('alb Note 13.1 Trade payables'!$A:$A,$J1289,'alb Note 13.1 Trade payables'!$E:$E)</f>
        <v>0</v>
      </c>
      <c r="M1289" s="10"/>
      <c r="N1289" s="273">
        <f t="shared" si="767"/>
        <v>0</v>
      </c>
      <c r="O1289" s="12"/>
      <c r="P1289" s="12"/>
      <c r="Q1289" s="12"/>
      <c r="R1289" s="12"/>
      <c r="S1289" s="6">
        <f t="shared" si="752"/>
        <v>0</v>
      </c>
      <c r="T1289" s="273">
        <f t="shared" si="757"/>
        <v>0</v>
      </c>
      <c r="U1289" s="6">
        <f t="shared" si="768"/>
        <v>0</v>
      </c>
      <c r="V1289" s="6"/>
      <c r="W1289" s="6">
        <f t="shared" si="764"/>
        <v>0</v>
      </c>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X1289" s="6"/>
      <c r="AY1289" s="6">
        <f>ROUND(AX1289/1000/Update!$B$31*Update!$B$27,0)</f>
        <v>0</v>
      </c>
      <c r="BA1289" s="6"/>
      <c r="BB1289" s="6">
        <f>ROUND(BA1289/1000/Update!$B$31,0)</f>
        <v>0</v>
      </c>
      <c r="BC1289" s="6"/>
      <c r="BD1289" s="273">
        <f t="shared" si="745"/>
        <v>0</v>
      </c>
      <c r="BE1289" s="323"/>
      <c r="BF1289" s="323"/>
      <c r="BG1289" s="323"/>
      <c r="BH1289" s="323"/>
      <c r="BI1289" s="323"/>
      <c r="BJ1289" s="323"/>
      <c r="BK1289" s="273">
        <f t="shared" si="765"/>
        <v>0</v>
      </c>
      <c r="BL1289" s="323"/>
      <c r="BM1289" s="323"/>
      <c r="BN1289" s="323"/>
      <c r="BO1289" s="323"/>
      <c r="BP1289" s="323"/>
      <c r="BQ1289" s="323"/>
      <c r="BR1289" s="323"/>
      <c r="BS1289" s="323"/>
      <c r="BT1289" s="323"/>
      <c r="BU1289" s="323"/>
      <c r="BV1289" s="323"/>
      <c r="BW1289" s="323"/>
      <c r="BX1289" s="323"/>
      <c r="BY1289" s="323"/>
      <c r="BZ1289" s="323"/>
      <c r="CA1289" s="323"/>
      <c r="CB1289" s="323"/>
      <c r="CC1289" s="323"/>
      <c r="CD1289" s="323"/>
      <c r="CE1289" s="323"/>
      <c r="CF1289" s="323"/>
      <c r="CG1289" s="323"/>
      <c r="CH1289" s="323"/>
      <c r="CI1289" s="323"/>
      <c r="CM1289" s="1140">
        <v>0</v>
      </c>
      <c r="CN1289" s="1140">
        <v>0</v>
      </c>
      <c r="CP1289" s="923">
        <f t="shared" si="771"/>
        <v>0</v>
      </c>
      <c r="CZ1289" s="330"/>
    </row>
    <row r="1290" spans="1:104" ht="25.5" customHeight="1" x14ac:dyDescent="0.25">
      <c r="A1290" s="684">
        <f>MAX($A$6:A1289)+1</f>
        <v>1290</v>
      </c>
      <c r="B1290" s="3">
        <f t="shared" si="770"/>
        <v>13</v>
      </c>
      <c r="C1290" s="11" t="str">
        <f t="shared" si="766"/>
        <v>Trade payables, financial and other liabilities</v>
      </c>
      <c r="D1290" s="11"/>
      <c r="E1290" s="1254" t="s">
        <v>626</v>
      </c>
      <c r="F1290" s="297"/>
      <c r="G1290" s="1254" t="s">
        <v>626</v>
      </c>
      <c r="H1290" s="6">
        <v>0</v>
      </c>
      <c r="I1290" s="6">
        <v>0</v>
      </c>
      <c r="J1290" s="1257" t="s">
        <v>626</v>
      </c>
      <c r="K1290" s="278">
        <f>SUMIF('alb Note 13.1 Trade payables'!$A:$A,$J1290,'alb Note 13.1 Trade payables'!$B:$B)</f>
        <v>0</v>
      </c>
      <c r="L1290" s="278">
        <f>SUMIF('alb Note 13.1 Trade payables'!$A:$A,$J1290,'alb Note 13.1 Trade payables'!$E:$E)</f>
        <v>0</v>
      </c>
      <c r="M1290" s="10"/>
      <c r="N1290" s="273">
        <f t="shared" si="767"/>
        <v>0</v>
      </c>
      <c r="O1290" s="12"/>
      <c r="P1290" s="12"/>
      <c r="Q1290" s="12"/>
      <c r="R1290" s="12"/>
      <c r="S1290" s="6">
        <f t="shared" si="752"/>
        <v>0</v>
      </c>
      <c r="T1290" s="273">
        <f t="shared" si="757"/>
        <v>0</v>
      </c>
      <c r="U1290" s="6">
        <f t="shared" si="768"/>
        <v>0</v>
      </c>
      <c r="V1290" s="6"/>
      <c r="W1290" s="6">
        <f t="shared" si="764"/>
        <v>0</v>
      </c>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X1290" s="6"/>
      <c r="AY1290" s="6">
        <f>ROUND(AX1290/1000/Update!$B$31*Update!$B$27,0)</f>
        <v>0</v>
      </c>
      <c r="BA1290" s="6"/>
      <c r="BB1290" s="6">
        <f>ROUND(BA1290/1000/Update!$B$31,0)</f>
        <v>0</v>
      </c>
      <c r="BC1290" s="6"/>
      <c r="BD1290" s="273">
        <f t="shared" si="745"/>
        <v>0</v>
      </c>
      <c r="BE1290" s="323"/>
      <c r="BF1290" s="323"/>
      <c r="BG1290" s="323"/>
      <c r="BH1290" s="323"/>
      <c r="BI1290" s="323"/>
      <c r="BJ1290" s="323"/>
      <c r="BK1290" s="273">
        <f t="shared" si="765"/>
        <v>0</v>
      </c>
      <c r="BL1290" s="323"/>
      <c r="BM1290" s="323"/>
      <c r="BN1290" s="323"/>
      <c r="BO1290" s="323"/>
      <c r="BP1290" s="323"/>
      <c r="BQ1290" s="323"/>
      <c r="BR1290" s="323"/>
      <c r="BS1290" s="323"/>
      <c r="BT1290" s="323"/>
      <c r="BU1290" s="323"/>
      <c r="BV1290" s="323"/>
      <c r="BW1290" s="323"/>
      <c r="BX1290" s="323"/>
      <c r="BY1290" s="323"/>
      <c r="BZ1290" s="323"/>
      <c r="CA1290" s="323"/>
      <c r="CB1290" s="323"/>
      <c r="CC1290" s="323"/>
      <c r="CD1290" s="323"/>
      <c r="CE1290" s="323"/>
      <c r="CF1290" s="323"/>
      <c r="CG1290" s="323"/>
      <c r="CH1290" s="323"/>
      <c r="CI1290" s="323"/>
      <c r="CM1290" s="1140">
        <v>0</v>
      </c>
      <c r="CN1290" s="1140">
        <v>0</v>
      </c>
      <c r="CP1290" s="923">
        <f t="shared" si="771"/>
        <v>0</v>
      </c>
      <c r="CZ1290" s="330"/>
    </row>
    <row r="1291" spans="1:104" ht="15" customHeight="1" x14ac:dyDescent="0.25">
      <c r="A1291" s="684">
        <f>MAX($A$6:A1290)+1</f>
        <v>1291</v>
      </c>
      <c r="B1291" s="3">
        <f t="shared" si="770"/>
        <v>13</v>
      </c>
      <c r="C1291" s="11" t="str">
        <f t="shared" si="766"/>
        <v>Trade payables, financial and other liabilities</v>
      </c>
      <c r="D1291" s="11"/>
      <c r="E1291" s="356" t="s">
        <v>629</v>
      </c>
      <c r="F1291" s="297"/>
      <c r="G1291" s="1254" t="s">
        <v>629</v>
      </c>
      <c r="H1291" s="6">
        <v>0</v>
      </c>
      <c r="I1291" s="6">
        <v>0</v>
      </c>
      <c r="J1291" s="1257" t="s">
        <v>629</v>
      </c>
      <c r="K1291" s="278">
        <f>SUMIF('alb Note 13.1 Trade payables'!$A:$A,$J1291,'alb Note 13.1 Trade payables'!$B:$B)</f>
        <v>0</v>
      </c>
      <c r="L1291" s="278">
        <f>SUMIF('alb Note 13.1 Trade payables'!$A:$A,$J1291,'alb Note 13.1 Trade payables'!$E:$E)</f>
        <v>0</v>
      </c>
      <c r="M1291" s="10"/>
      <c r="N1291" s="273">
        <f t="shared" si="767"/>
        <v>0</v>
      </c>
      <c r="O1291" s="12"/>
      <c r="P1291" s="12"/>
      <c r="Q1291" s="12"/>
      <c r="R1291" s="12"/>
      <c r="S1291" s="6">
        <f t="shared" si="752"/>
        <v>0</v>
      </c>
      <c r="T1291" s="273">
        <f t="shared" si="757"/>
        <v>0</v>
      </c>
      <c r="U1291" s="6">
        <f t="shared" si="768"/>
        <v>0</v>
      </c>
      <c r="V1291" s="6"/>
      <c r="W1291" s="6">
        <f t="shared" si="764"/>
        <v>0</v>
      </c>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X1291" s="6"/>
      <c r="AY1291" s="6">
        <f>ROUND(AX1291/1000/Update!$B$31*Update!$B$27,0)</f>
        <v>0</v>
      </c>
      <c r="BA1291" s="6"/>
      <c r="BB1291" s="6">
        <f>ROUND(BA1291/1000/Update!$B$31,0)</f>
        <v>0</v>
      </c>
      <c r="BC1291" s="6"/>
      <c r="BD1291" s="273">
        <f t="shared" si="745"/>
        <v>0</v>
      </c>
      <c r="BE1291" s="323"/>
      <c r="BF1291" s="323"/>
      <c r="BG1291" s="323"/>
      <c r="BH1291" s="323"/>
      <c r="BI1291" s="323"/>
      <c r="BJ1291" s="323"/>
      <c r="BK1291" s="273">
        <f t="shared" si="765"/>
        <v>0</v>
      </c>
      <c r="BL1291" s="323"/>
      <c r="BM1291" s="323"/>
      <c r="BN1291" s="323"/>
      <c r="BO1291" s="323"/>
      <c r="BP1291" s="323"/>
      <c r="BQ1291" s="323"/>
      <c r="BR1291" s="323"/>
      <c r="BS1291" s="323"/>
      <c r="BT1291" s="323"/>
      <c r="BU1291" s="323"/>
      <c r="BV1291" s="323"/>
      <c r="BW1291" s="323"/>
      <c r="BX1291" s="323"/>
      <c r="BY1291" s="323"/>
      <c r="BZ1291" s="323"/>
      <c r="CA1291" s="323"/>
      <c r="CB1291" s="323"/>
      <c r="CC1291" s="323"/>
      <c r="CD1291" s="323"/>
      <c r="CE1291" s="323"/>
      <c r="CF1291" s="323"/>
      <c r="CG1291" s="323"/>
      <c r="CH1291" s="323"/>
      <c r="CI1291" s="323"/>
      <c r="CM1291" s="1140">
        <v>0</v>
      </c>
      <c r="CN1291" s="1140">
        <v>0</v>
      </c>
      <c r="CP1291" s="923">
        <f t="shared" si="771"/>
        <v>0</v>
      </c>
      <c r="CZ1291" s="330"/>
    </row>
    <row r="1292" spans="1:104" ht="15" customHeight="1" x14ac:dyDescent="0.25">
      <c r="A1292" s="684">
        <f>MAX($A$6:A1291)+1</f>
        <v>1292</v>
      </c>
      <c r="B1292" s="3">
        <f t="shared" si="770"/>
        <v>13</v>
      </c>
      <c r="C1292" s="11" t="str">
        <f>C1279</f>
        <v>Trade payables, financial and other liabilities</v>
      </c>
      <c r="D1292" s="11"/>
      <c r="E1292" s="356" t="s">
        <v>1074</v>
      </c>
      <c r="F1292" s="297"/>
      <c r="G1292" s="1254" t="s">
        <v>1074</v>
      </c>
      <c r="H1292" s="6">
        <v>0</v>
      </c>
      <c r="I1292" s="6">
        <v>0</v>
      </c>
      <c r="J1292" s="1257" t="s">
        <v>1074</v>
      </c>
      <c r="K1292" s="278">
        <f>SUMIF('alb Note 13.1 Trade payables'!$A:$A,$J1292,'alb Note 13.1 Trade payables'!$B:$B)</f>
        <v>0</v>
      </c>
      <c r="L1292" s="278">
        <f>SUMIF('alb Note 13.1 Trade payables'!$A:$A,$J1292,'alb Note 13.1 Trade payables'!$E:$E)</f>
        <v>0</v>
      </c>
      <c r="M1292" s="10"/>
      <c r="N1292" s="273">
        <f t="shared" si="767"/>
        <v>0</v>
      </c>
      <c r="O1292" s="12"/>
      <c r="P1292" s="12"/>
      <c r="Q1292" s="12"/>
      <c r="R1292" s="12"/>
      <c r="S1292" s="6">
        <f t="shared" si="752"/>
        <v>0</v>
      </c>
      <c r="T1292" s="273">
        <f t="shared" si="757"/>
        <v>0</v>
      </c>
      <c r="U1292" s="6">
        <f t="shared" si="768"/>
        <v>0</v>
      </c>
      <c r="V1292" s="6"/>
      <c r="W1292" s="6">
        <f t="shared" si="764"/>
        <v>0</v>
      </c>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X1292" s="6"/>
      <c r="AY1292" s="6">
        <f>ROUND(AX1292/1000/Update!$B$31*Update!$B$27,0)</f>
        <v>0</v>
      </c>
      <c r="BA1292" s="6"/>
      <c r="BB1292" s="6">
        <f>ROUND(BA1292/1000/Update!$B$31,0)</f>
        <v>0</v>
      </c>
      <c r="BC1292" s="6"/>
      <c r="BD1292" s="273">
        <f t="shared" si="745"/>
        <v>0</v>
      </c>
      <c r="BE1292" s="323"/>
      <c r="BF1292" s="323"/>
      <c r="BG1292" s="323"/>
      <c r="BH1292" s="323"/>
      <c r="BI1292" s="323"/>
      <c r="BJ1292" s="323"/>
      <c r="BK1292" s="273">
        <f t="shared" si="765"/>
        <v>0</v>
      </c>
      <c r="BL1292" s="323"/>
      <c r="BM1292" s="323"/>
      <c r="BN1292" s="323"/>
      <c r="BO1292" s="323"/>
      <c r="BP1292" s="323"/>
      <c r="BQ1292" s="323"/>
      <c r="BR1292" s="323"/>
      <c r="BS1292" s="323"/>
      <c r="BT1292" s="323"/>
      <c r="BU1292" s="323"/>
      <c r="BV1292" s="323"/>
      <c r="BW1292" s="323"/>
      <c r="BX1292" s="323"/>
      <c r="BY1292" s="323"/>
      <c r="BZ1292" s="323"/>
      <c r="CA1292" s="323"/>
      <c r="CB1292" s="323"/>
      <c r="CC1292" s="323"/>
      <c r="CD1292" s="323"/>
      <c r="CE1292" s="323"/>
      <c r="CF1292" s="323"/>
      <c r="CG1292" s="323"/>
      <c r="CH1292" s="323"/>
      <c r="CI1292" s="323"/>
      <c r="CM1292" s="1140">
        <v>0</v>
      </c>
      <c r="CN1292" s="1140">
        <v>0</v>
      </c>
      <c r="CP1292" s="923">
        <f t="shared" si="771"/>
        <v>0</v>
      </c>
      <c r="CZ1292" s="330"/>
    </row>
    <row r="1293" spans="1:104" ht="15" customHeight="1" x14ac:dyDescent="0.25">
      <c r="A1293" s="701">
        <f>MAX($A$6:A1292)+1</f>
        <v>1293</v>
      </c>
      <c r="B1293" s="1291">
        <f t="shared" si="770"/>
        <v>13</v>
      </c>
      <c r="C1293" s="18" t="str">
        <f t="shared" si="766"/>
        <v>Trade payables, financial and other liabilities</v>
      </c>
      <c r="D1293" s="18"/>
      <c r="E1293" s="19" t="s">
        <v>254</v>
      </c>
      <c r="F1293" s="19"/>
      <c r="G1293" s="28"/>
      <c r="H1293" s="14">
        <f>SUM(H1269:H1292)</f>
        <v>0</v>
      </c>
      <c r="I1293" s="14">
        <f>SUM(I1269:I1292)</f>
        <v>725</v>
      </c>
      <c r="J1293" s="1258" t="s">
        <v>286</v>
      </c>
      <c r="K1293" s="256">
        <f>SUM(K1269:K1292)</f>
        <v>0</v>
      </c>
      <c r="L1293" s="256">
        <f>SUM(L1269:L1292)</f>
        <v>0</v>
      </c>
      <c r="M1293" s="21"/>
      <c r="N1293" s="14">
        <f>ROUND(SUM(O1293:S1293)+SUM(W1293:AV1293),0)</f>
        <v>0</v>
      </c>
      <c r="O1293" s="14">
        <f t="shared" ref="O1293:V1293" si="772">SUM(O1269:O1292)</f>
        <v>0</v>
      </c>
      <c r="P1293" s="14">
        <f t="shared" si="772"/>
        <v>0</v>
      </c>
      <c r="Q1293" s="14">
        <f t="shared" si="772"/>
        <v>0</v>
      </c>
      <c r="R1293" s="14">
        <f t="shared" si="772"/>
        <v>0</v>
      </c>
      <c r="S1293" s="14">
        <f t="shared" si="752"/>
        <v>0</v>
      </c>
      <c r="T1293" s="14">
        <f>SUM(T1269:T1292)</f>
        <v>0</v>
      </c>
      <c r="U1293" s="14">
        <f>SUM(U1269:U1292)</f>
        <v>0</v>
      </c>
      <c r="V1293" s="14">
        <f t="shared" si="772"/>
        <v>0</v>
      </c>
      <c r="W1293" s="14">
        <f>SUM(W1269:W1292)</f>
        <v>0</v>
      </c>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2"/>
      <c r="AX1293" s="14">
        <f>SUM(AX1269:AX1292)</f>
        <v>0</v>
      </c>
      <c r="AY1293" s="14">
        <f>ROUND(AX1293/1000/Update!$B$31*Update!$B$27,0)</f>
        <v>0</v>
      </c>
      <c r="AZ1293" s="2"/>
      <c r="BA1293" s="14">
        <f>SUM(BA1269:BA1292)</f>
        <v>0</v>
      </c>
      <c r="BB1293" s="14">
        <f>ROUND(BA1293/1000/Update!$B$31,0)</f>
        <v>0</v>
      </c>
      <c r="BC1293" s="14"/>
      <c r="BD1293" s="14">
        <f t="shared" si="745"/>
        <v>0</v>
      </c>
      <c r="BE1293" s="318">
        <f t="shared" ref="BE1293:BJ1293" si="773">SUM(BE1269:BE1292)</f>
        <v>0</v>
      </c>
      <c r="BF1293" s="318">
        <f t="shared" si="773"/>
        <v>0</v>
      </c>
      <c r="BG1293" s="318">
        <f t="shared" si="773"/>
        <v>0</v>
      </c>
      <c r="BH1293" s="318">
        <f t="shared" si="773"/>
        <v>0</v>
      </c>
      <c r="BI1293" s="318">
        <f t="shared" si="773"/>
        <v>0</v>
      </c>
      <c r="BJ1293" s="318">
        <f t="shared" si="773"/>
        <v>0</v>
      </c>
      <c r="BK1293" s="14">
        <f>ROUND(SUM(BO1293:CI1293),0)</f>
        <v>0</v>
      </c>
      <c r="BL1293" s="318"/>
      <c r="BM1293" s="318"/>
      <c r="BN1293" s="318"/>
      <c r="BO1293" s="318"/>
      <c r="BP1293" s="318"/>
      <c r="BQ1293" s="318"/>
      <c r="BR1293" s="318"/>
      <c r="BS1293" s="318"/>
      <c r="BT1293" s="318"/>
      <c r="BU1293" s="318"/>
      <c r="BV1293" s="318"/>
      <c r="BW1293" s="318"/>
      <c r="BX1293" s="318"/>
      <c r="BY1293" s="318"/>
      <c r="BZ1293" s="318"/>
      <c r="CA1293" s="318"/>
      <c r="CB1293" s="318"/>
      <c r="CC1293" s="318"/>
      <c r="CD1293" s="318"/>
      <c r="CE1293" s="318"/>
      <c r="CF1293" s="318"/>
      <c r="CG1293" s="318"/>
      <c r="CH1293" s="318"/>
      <c r="CI1293" s="318"/>
      <c r="CJ1293" s="2"/>
      <c r="CK1293" s="2"/>
      <c r="CM1293" s="1140">
        <v>-435</v>
      </c>
      <c r="CN1293" s="1140">
        <v>80982</v>
      </c>
      <c r="CP1293" s="923">
        <f t="shared" si="771"/>
        <v>-435</v>
      </c>
      <c r="CZ1293" s="330"/>
    </row>
    <row r="1294" spans="1:104" ht="15" customHeight="1" x14ac:dyDescent="0.25">
      <c r="A1294" s="684">
        <f>MAX($A$6:A1293)+1</f>
        <v>1294</v>
      </c>
      <c r="B1294" s="3">
        <f t="shared" si="770"/>
        <v>13</v>
      </c>
      <c r="C1294" s="11" t="str">
        <f t="shared" si="766"/>
        <v>Trade payables, financial and other liabilities</v>
      </c>
      <c r="D1294" s="11"/>
      <c r="E1294" s="7" t="s">
        <v>2368</v>
      </c>
      <c r="F1294" s="7"/>
      <c r="G1294" s="1254" t="s">
        <v>2368</v>
      </c>
      <c r="H1294" s="6">
        <v>0</v>
      </c>
      <c r="I1294" s="6">
        <v>0</v>
      </c>
      <c r="J1294" s="1257" t="s">
        <v>2368</v>
      </c>
      <c r="K1294" s="278">
        <f>SUMIF('alb Note 13.1 Trade payables'!A$11:A$53,$J1294,'alb Note 13.1 Trade payables'!$B$11:$B$53)</f>
        <v>0</v>
      </c>
      <c r="L1294" s="278">
        <f>SUMIF('alb Note 13.1 Trade payables'!$A:$A,$J1294,'alb Note 13.1 Trade payables'!$E:$E)</f>
        <v>0</v>
      </c>
      <c r="M1294" s="10"/>
      <c r="N1294" s="273">
        <f>ROUND(SUM(O1294:S1294)+SUM(W1294:AV1294),0)</f>
        <v>0</v>
      </c>
      <c r="O1294" s="12"/>
      <c r="P1294" s="12"/>
      <c r="Q1294" s="12"/>
      <c r="R1294" s="12"/>
      <c r="S1294" s="6">
        <f t="shared" si="752"/>
        <v>0</v>
      </c>
      <c r="T1294" s="273">
        <f>ROUND(SUM(U1294:Y1294),0)</f>
        <v>0</v>
      </c>
      <c r="U1294" s="6">
        <f>-SUM(BL1294:BN1294)</f>
        <v>0</v>
      </c>
      <c r="V1294" s="6"/>
      <c r="W1294" s="6">
        <f t="shared" si="764"/>
        <v>0</v>
      </c>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X1294" s="6"/>
      <c r="AY1294" s="6">
        <f>ROUND(AX1294/1000/Update!$B$31*Update!$B$27,0)</f>
        <v>0</v>
      </c>
      <c r="BA1294" s="6"/>
      <c r="BB1294" s="6">
        <f>ROUND(BA1294/1000/Update!$B$31,0)</f>
        <v>0</v>
      </c>
      <c r="BC1294" s="6"/>
      <c r="BD1294" s="29">
        <f t="shared" si="745"/>
        <v>0</v>
      </c>
      <c r="BE1294" s="323"/>
      <c r="BF1294" s="323"/>
      <c r="BG1294" s="323"/>
      <c r="BH1294" s="323"/>
      <c r="BI1294" s="323"/>
      <c r="BJ1294" s="323"/>
      <c r="BK1294" s="29">
        <f t="shared" si="765"/>
        <v>0</v>
      </c>
      <c r="BL1294" s="323"/>
      <c r="BM1294" s="323"/>
      <c r="BN1294" s="323"/>
      <c r="BO1294" s="323"/>
      <c r="BP1294" s="323"/>
      <c r="BQ1294" s="323"/>
      <c r="BR1294" s="323"/>
      <c r="BS1294" s="323"/>
      <c r="BT1294" s="323"/>
      <c r="BU1294" s="323"/>
      <c r="BV1294" s="323"/>
      <c r="BW1294" s="323"/>
      <c r="BX1294" s="323"/>
      <c r="BY1294" s="323"/>
      <c r="BZ1294" s="323"/>
      <c r="CA1294" s="323"/>
      <c r="CB1294" s="323"/>
      <c r="CC1294" s="323"/>
      <c r="CD1294" s="323"/>
      <c r="CE1294" s="323"/>
      <c r="CF1294" s="323"/>
      <c r="CG1294" s="323"/>
      <c r="CH1294" s="323"/>
      <c r="CI1294" s="323"/>
      <c r="CM1294" s="1140">
        <v>1</v>
      </c>
      <c r="CN1294" s="1140">
        <v>0</v>
      </c>
      <c r="CP1294" s="923">
        <f t="shared" si="771"/>
        <v>1</v>
      </c>
      <c r="CZ1294" s="330"/>
    </row>
    <row r="1295" spans="1:104" ht="51" customHeight="1" x14ac:dyDescent="0.25">
      <c r="A1295" s="684">
        <f>MAX($A$6:A1294)+1</f>
        <v>1295</v>
      </c>
      <c r="B1295" s="3">
        <f t="shared" si="770"/>
        <v>13</v>
      </c>
      <c r="C1295" s="11" t="str">
        <f t="shared" si="766"/>
        <v>Trade payables, financial and other liabilities</v>
      </c>
      <c r="D1295" s="11"/>
      <c r="E1295" s="7" t="s">
        <v>2369</v>
      </c>
      <c r="F1295" s="7"/>
      <c r="G1295" s="1254" t="s">
        <v>2369</v>
      </c>
      <c r="H1295" s="6">
        <v>0</v>
      </c>
      <c r="I1295" s="6">
        <v>0</v>
      </c>
      <c r="J1295" s="1254" t="s">
        <v>2369</v>
      </c>
      <c r="K1295" s="278">
        <f>SUMIF('alb Note 13.1 Trade payables'!A$11:A$53,$J1295,'alb Note 13.1 Trade payables'!$B$11:$B$53)</f>
        <v>0</v>
      </c>
      <c r="L1295" s="278">
        <f>SUMIF('alb Note 13.1 Trade payables'!$A:$A,$J1295,'alb Note 13.1 Trade payables'!$E:$E)</f>
        <v>0</v>
      </c>
      <c r="M1295" s="10"/>
      <c r="N1295" s="273">
        <f>ROUND(SUM(O1295:S1295)+SUM(W1295:AV1295),0)</f>
        <v>0</v>
      </c>
      <c r="O1295" s="12"/>
      <c r="P1295" s="12"/>
      <c r="Q1295" s="12"/>
      <c r="R1295" s="12"/>
      <c r="S1295" s="6">
        <f t="shared" si="752"/>
        <v>0</v>
      </c>
      <c r="T1295" s="273">
        <f>ROUND(SUM(U1295:Y1295),0)</f>
        <v>0</v>
      </c>
      <c r="U1295" s="6">
        <f>-SUM(BL1295:BN1295)</f>
        <v>0</v>
      </c>
      <c r="V1295" s="6"/>
      <c r="W1295" s="6">
        <f t="shared" si="764"/>
        <v>0</v>
      </c>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X1295" s="6"/>
      <c r="AY1295" s="6">
        <f>ROUND(AX1295/1000/Update!$B$31*Update!$B$27,0)</f>
        <v>0</v>
      </c>
      <c r="BA1295" s="6"/>
      <c r="BB1295" s="6">
        <f>ROUND(BA1295/1000/Update!$B$31,0)</f>
        <v>0</v>
      </c>
      <c r="BC1295" s="6"/>
      <c r="BD1295" s="29">
        <f t="shared" si="745"/>
        <v>0</v>
      </c>
      <c r="BE1295" s="323"/>
      <c r="BF1295" s="323"/>
      <c r="BG1295" s="323"/>
      <c r="BH1295" s="323"/>
      <c r="BI1295" s="323"/>
      <c r="BJ1295" s="323"/>
      <c r="BK1295" s="29">
        <f t="shared" si="765"/>
        <v>0</v>
      </c>
      <c r="BL1295" s="323"/>
      <c r="BM1295" s="323"/>
      <c r="BN1295" s="323"/>
      <c r="BO1295" s="323"/>
      <c r="BP1295" s="323"/>
      <c r="BQ1295" s="323"/>
      <c r="BR1295" s="323"/>
      <c r="BS1295" s="323"/>
      <c r="BT1295" s="323"/>
      <c r="BU1295" s="323"/>
      <c r="BV1295" s="323"/>
      <c r="BW1295" s="323"/>
      <c r="BX1295" s="323"/>
      <c r="BY1295" s="323"/>
      <c r="BZ1295" s="323"/>
      <c r="CA1295" s="323"/>
      <c r="CB1295" s="323"/>
      <c r="CC1295" s="323"/>
      <c r="CD1295" s="323"/>
      <c r="CE1295" s="323"/>
      <c r="CF1295" s="323"/>
      <c r="CG1295" s="323"/>
      <c r="CH1295" s="323"/>
      <c r="CI1295" s="323"/>
      <c r="CM1295" s="1140">
        <v>0</v>
      </c>
      <c r="CN1295" s="1140">
        <v>0</v>
      </c>
      <c r="CP1295" s="923">
        <f t="shared" si="771"/>
        <v>0</v>
      </c>
      <c r="CZ1295" s="330"/>
    </row>
    <row r="1296" spans="1:104" ht="15" customHeight="1" x14ac:dyDescent="0.25">
      <c r="A1296" s="684">
        <f>MAX($A$6:A1295)+1</f>
        <v>1296</v>
      </c>
      <c r="B1296" s="3">
        <f t="shared" si="770"/>
        <v>13</v>
      </c>
      <c r="C1296" s="11" t="str">
        <f t="shared" si="766"/>
        <v>Trade payables, financial and other liabilities</v>
      </c>
      <c r="D1296" s="11"/>
      <c r="E1296" s="7" t="s">
        <v>782</v>
      </c>
      <c r="F1296" s="7"/>
      <c r="G1296" s="1254" t="s">
        <v>286</v>
      </c>
      <c r="H1296" s="6">
        <v>0</v>
      </c>
      <c r="I1296" s="6">
        <v>0</v>
      </c>
      <c r="J1296" s="1257" t="s">
        <v>782</v>
      </c>
      <c r="K1296" s="278">
        <f>SUMIF('alb Note 13.1 Trade payables'!A$11:A$53,$J1296,'alb Note 13.1 Trade payables'!$B$11:$B$53)</f>
        <v>0</v>
      </c>
      <c r="L1296" s="278">
        <f>SUMIF('alb Note 13.1 Trade payables'!$A:$A,$J1296,'alb Note 13.1 Trade payables'!$E:$E)</f>
        <v>0</v>
      </c>
      <c r="M1296" s="10"/>
      <c r="N1296" s="273">
        <f>ROUND(SUM(O1296:S1296)+SUM(W1296:AV1296),0)</f>
        <v>0</v>
      </c>
      <c r="O1296" s="12"/>
      <c r="P1296" s="12"/>
      <c r="Q1296" s="12"/>
      <c r="R1296" s="12"/>
      <c r="S1296" s="6">
        <f t="shared" si="752"/>
        <v>0</v>
      </c>
      <c r="T1296" s="273">
        <f>ROUND(SUM(U1296:Y1296),0)</f>
        <v>0</v>
      </c>
      <c r="U1296" s="6">
        <f>-SUM(BL1296:BN1296)</f>
        <v>0</v>
      </c>
      <c r="V1296" s="6"/>
      <c r="W1296" s="6">
        <f t="shared" si="764"/>
        <v>0</v>
      </c>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X1296" s="6"/>
      <c r="AY1296" s="6">
        <f>ROUND(AX1296/1000/Update!$B$31*Update!$B$27,0)</f>
        <v>0</v>
      </c>
      <c r="BA1296" s="6"/>
      <c r="BB1296" s="6">
        <f>ROUND(BA1296/1000/Update!$B$31,0)</f>
        <v>0</v>
      </c>
      <c r="BC1296" s="6"/>
      <c r="BD1296" s="29">
        <f t="shared" si="745"/>
        <v>0</v>
      </c>
      <c r="BE1296" s="323"/>
      <c r="BF1296" s="323"/>
      <c r="BG1296" s="323"/>
      <c r="BH1296" s="323"/>
      <c r="BI1296" s="323"/>
      <c r="BJ1296" s="323"/>
      <c r="BK1296" s="29">
        <f t="shared" si="765"/>
        <v>0</v>
      </c>
      <c r="BL1296" s="323"/>
      <c r="BM1296" s="323"/>
      <c r="BN1296" s="323"/>
      <c r="BO1296" s="323"/>
      <c r="BP1296" s="323"/>
      <c r="BQ1296" s="323"/>
      <c r="BR1296" s="323"/>
      <c r="BS1296" s="323"/>
      <c r="BT1296" s="323"/>
      <c r="BU1296" s="323"/>
      <c r="BV1296" s="323"/>
      <c r="BW1296" s="323"/>
      <c r="BX1296" s="323"/>
      <c r="BY1296" s="323"/>
      <c r="BZ1296" s="323"/>
      <c r="CA1296" s="323"/>
      <c r="CB1296" s="323"/>
      <c r="CC1296" s="323"/>
      <c r="CD1296" s="323"/>
      <c r="CE1296" s="323"/>
      <c r="CF1296" s="323"/>
      <c r="CG1296" s="323"/>
      <c r="CH1296" s="323"/>
      <c r="CI1296" s="323"/>
      <c r="CM1296" s="1140">
        <v>0</v>
      </c>
      <c r="CN1296" s="1140">
        <v>0</v>
      </c>
      <c r="CP1296" s="923">
        <f t="shared" si="771"/>
        <v>0</v>
      </c>
      <c r="CZ1296" s="330"/>
    </row>
    <row r="1297" spans="1:104" ht="15" customHeight="1" x14ac:dyDescent="0.25">
      <c r="A1297" s="684">
        <f>MAX($A$6:A1296)+1</f>
        <v>1297</v>
      </c>
      <c r="B1297" s="3">
        <f t="shared" si="770"/>
        <v>13</v>
      </c>
      <c r="C1297" s="11" t="str">
        <f>C1285</f>
        <v>Trade payables, financial and other liabilities</v>
      </c>
      <c r="D1297" s="11"/>
      <c r="E1297" s="7" t="s">
        <v>1057</v>
      </c>
      <c r="F1297" s="7"/>
      <c r="G1297" s="1254" t="s">
        <v>286</v>
      </c>
      <c r="H1297" s="6">
        <v>0</v>
      </c>
      <c r="I1297" s="6">
        <v>0</v>
      </c>
      <c r="J1297" s="1257" t="s">
        <v>777</v>
      </c>
      <c r="K1297" s="278">
        <f>SUMIF('alb Note 13.1 Trade payables'!$A:$A,$J1297,'alb Note 13.1 Trade payables'!$B:$B)</f>
        <v>0</v>
      </c>
      <c r="L1297" s="278">
        <f>SUMIF('alb Note 13.1 Trade payables'!$A:$A,$J1297,'alb Note 13.1 Trade payables'!$E:$E)</f>
        <v>0</v>
      </c>
      <c r="M1297" s="10"/>
      <c r="N1297" s="273">
        <f>ROUND(SUM(O1297:S1297)+SUM(W1297:AV1297),0)</f>
        <v>0</v>
      </c>
      <c r="O1297" s="12"/>
      <c r="P1297" s="12"/>
      <c r="Q1297" s="12"/>
      <c r="R1297" s="12"/>
      <c r="S1297" s="6">
        <f t="shared" si="752"/>
        <v>0</v>
      </c>
      <c r="T1297" s="273">
        <f>ROUND(SUM(U1297:Y1297),0)</f>
        <v>0</v>
      </c>
      <c r="U1297" s="6">
        <f>-SUM(BL1297:BN1297)</f>
        <v>0</v>
      </c>
      <c r="V1297" s="6"/>
      <c r="W1297" s="6">
        <f t="shared" si="764"/>
        <v>0</v>
      </c>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X1297" s="6"/>
      <c r="AY1297" s="6">
        <f>ROUND(AX1297/1000/Update!$B$31*Update!$B$27,0)</f>
        <v>0</v>
      </c>
      <c r="BA1297" s="6"/>
      <c r="BB1297" s="6">
        <f>ROUND(BA1297/1000/Update!$B$31,0)</f>
        <v>0</v>
      </c>
      <c r="BC1297" s="6"/>
      <c r="BD1297" s="273">
        <f t="shared" si="745"/>
        <v>0</v>
      </c>
      <c r="BE1297" s="323"/>
      <c r="BF1297" s="323"/>
      <c r="BG1297" s="323"/>
      <c r="BH1297" s="323"/>
      <c r="BI1297" s="323"/>
      <c r="BJ1297" s="323"/>
      <c r="BK1297" s="273">
        <f t="shared" si="765"/>
        <v>0</v>
      </c>
      <c r="BL1297" s="323"/>
      <c r="BM1297" s="323"/>
      <c r="BN1297" s="323"/>
      <c r="BO1297" s="323"/>
      <c r="BP1297" s="323"/>
      <c r="BQ1297" s="323"/>
      <c r="BR1297" s="323"/>
      <c r="BS1297" s="323"/>
      <c r="BT1297" s="323"/>
      <c r="BU1297" s="323"/>
      <c r="BV1297" s="323"/>
      <c r="BW1297" s="323"/>
      <c r="BX1297" s="323"/>
      <c r="BY1297" s="323"/>
      <c r="BZ1297" s="323"/>
      <c r="CA1297" s="323"/>
      <c r="CB1297" s="323"/>
      <c r="CC1297" s="323"/>
      <c r="CD1297" s="323"/>
      <c r="CE1297" s="323"/>
      <c r="CF1297" s="323"/>
      <c r="CG1297" s="323"/>
      <c r="CH1297" s="323"/>
      <c r="CI1297" s="323"/>
      <c r="CM1297" s="1140">
        <v>0</v>
      </c>
      <c r="CN1297" s="1140">
        <v>0</v>
      </c>
      <c r="CP1297" s="923">
        <f t="shared" si="771"/>
        <v>0</v>
      </c>
      <c r="CZ1297" s="330"/>
    </row>
    <row r="1298" spans="1:104" ht="15" customHeight="1" x14ac:dyDescent="0.25">
      <c r="A1298" s="701">
        <f>MAX($A$6:A1297)+1</f>
        <v>1298</v>
      </c>
      <c r="B1298" s="1291">
        <f t="shared" si="770"/>
        <v>13</v>
      </c>
      <c r="C1298" s="18" t="str">
        <f t="shared" si="766"/>
        <v>Trade payables, financial and other liabilities</v>
      </c>
      <c r="D1298" s="18"/>
      <c r="E1298" s="19" t="s">
        <v>255</v>
      </c>
      <c r="F1298" s="19"/>
      <c r="G1298" s="1278"/>
      <c r="H1298" s="14">
        <f>SUM(H1294:H1297)</f>
        <v>0</v>
      </c>
      <c r="I1298" s="14">
        <f>SUM(I1294:I1297)</f>
        <v>0</v>
      </c>
      <c r="J1298" s="1258" t="s">
        <v>286</v>
      </c>
      <c r="K1298" s="256">
        <f>SUM(K1294:K1297)</f>
        <v>0</v>
      </c>
      <c r="L1298" s="256">
        <f>SUM(L1294:L1297)</f>
        <v>0</v>
      </c>
      <c r="M1298" s="21"/>
      <c r="N1298" s="14">
        <f t="shared" ref="N1298:N1323" si="774">ROUND(SUM(O1298:S1298)+T1298+SUM(Z1298:AV1298),0)</f>
        <v>0</v>
      </c>
      <c r="O1298" s="14">
        <f t="shared" ref="O1298:V1298" si="775">SUM(O1294:O1297)</f>
        <v>0</v>
      </c>
      <c r="P1298" s="14">
        <f t="shared" si="775"/>
        <v>0</v>
      </c>
      <c r="Q1298" s="14">
        <f t="shared" si="775"/>
        <v>0</v>
      </c>
      <c r="R1298" s="14">
        <f t="shared" si="775"/>
        <v>0</v>
      </c>
      <c r="S1298" s="14">
        <f t="shared" si="752"/>
        <v>0</v>
      </c>
      <c r="T1298" s="14">
        <f t="shared" si="775"/>
        <v>0</v>
      </c>
      <c r="U1298" s="14">
        <f>SUM(U1294:U1297)</f>
        <v>0</v>
      </c>
      <c r="V1298" s="14">
        <f t="shared" si="775"/>
        <v>0</v>
      </c>
      <c r="W1298" s="14">
        <f>SUM(W1294:W1297)</f>
        <v>0</v>
      </c>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2"/>
      <c r="AX1298" s="14">
        <f>SUM(AX1294:AX1297)</f>
        <v>0</v>
      </c>
      <c r="AY1298" s="14">
        <f>ROUND(AX1298/1000/Update!$B$31*Update!$B$27,0)</f>
        <v>0</v>
      </c>
      <c r="AZ1298" s="2"/>
      <c r="BA1298" s="14">
        <f>SUM(BA1294:BA1297)</f>
        <v>0</v>
      </c>
      <c r="BB1298" s="14">
        <f>ROUND(BA1298/1000/Update!$B$31,0)</f>
        <v>0</v>
      </c>
      <c r="BC1298" s="14"/>
      <c r="BD1298" s="14">
        <f t="shared" si="745"/>
        <v>0</v>
      </c>
      <c r="BE1298" s="318">
        <f t="shared" ref="BE1298:BJ1298" si="776">SUM(BE1294:BE1297)</f>
        <v>0</v>
      </c>
      <c r="BF1298" s="318">
        <f t="shared" si="776"/>
        <v>0</v>
      </c>
      <c r="BG1298" s="318">
        <f t="shared" si="776"/>
        <v>0</v>
      </c>
      <c r="BH1298" s="318">
        <f t="shared" si="776"/>
        <v>0</v>
      </c>
      <c r="BI1298" s="318">
        <f t="shared" si="776"/>
        <v>0</v>
      </c>
      <c r="BJ1298" s="318">
        <f t="shared" si="776"/>
        <v>0</v>
      </c>
      <c r="BK1298" s="14">
        <f t="shared" si="765"/>
        <v>0</v>
      </c>
      <c r="BL1298" s="318"/>
      <c r="BM1298" s="318"/>
      <c r="BN1298" s="318"/>
      <c r="BO1298" s="318"/>
      <c r="BP1298" s="318"/>
      <c r="BQ1298" s="318"/>
      <c r="BR1298" s="318"/>
      <c r="BS1298" s="318"/>
      <c r="BT1298" s="318"/>
      <c r="BU1298" s="318"/>
      <c r="BV1298" s="318"/>
      <c r="BW1298" s="318"/>
      <c r="BX1298" s="318"/>
      <c r="BY1298" s="318"/>
      <c r="BZ1298" s="318"/>
      <c r="CA1298" s="318"/>
      <c r="CB1298" s="318"/>
      <c r="CC1298" s="318"/>
      <c r="CD1298" s="318"/>
      <c r="CE1298" s="318"/>
      <c r="CF1298" s="318"/>
      <c r="CG1298" s="318"/>
      <c r="CH1298" s="318"/>
      <c r="CI1298" s="318"/>
      <c r="CJ1298" s="2"/>
      <c r="CK1298" s="2"/>
      <c r="CM1298" s="1140">
        <v>1</v>
      </c>
      <c r="CN1298" s="1140">
        <v>0</v>
      </c>
      <c r="CP1298" s="923">
        <f t="shared" si="771"/>
        <v>1</v>
      </c>
      <c r="CZ1298" s="330"/>
    </row>
    <row r="1299" spans="1:104" ht="30" customHeight="1" x14ac:dyDescent="0.25">
      <c r="A1299" s="684">
        <f>MAX($A$6:A1298)+1</f>
        <v>1299</v>
      </c>
      <c r="B1299" s="3">
        <f t="shared" si="770"/>
        <v>13</v>
      </c>
      <c r="C1299" s="11" t="str">
        <f>C1298</f>
        <v>Trade payables, financial and other liabilities</v>
      </c>
      <c r="D1299" s="11"/>
      <c r="E1299" s="13" t="s">
        <v>241</v>
      </c>
      <c r="F1299" s="13"/>
      <c r="G1299" s="1254" t="s">
        <v>286</v>
      </c>
      <c r="H1299" s="6">
        <v>0</v>
      </c>
      <c r="I1299" s="6">
        <v>0</v>
      </c>
      <c r="J1299" s="1257" t="s">
        <v>286</v>
      </c>
      <c r="K1299" s="251">
        <f>SUMIF('alb Note 13.1 Trade payables'!A$11:A$53,$J1299,'alb Note 13.1 Trade payables'!$B$11:$B$53)</f>
        <v>0</v>
      </c>
      <c r="L1299" s="278">
        <f>SUMIF('alb Note 13.1 Trade payables'!$A:$A,$J1299,'alb Note 13.1 Trade payables'!$E:$E)</f>
        <v>0</v>
      </c>
      <c r="M1299" s="10"/>
      <c r="N1299" s="273">
        <f>ROUND(SUM(O1299:S1299)+SUM(W1299:AV1299),0)</f>
        <v>0</v>
      </c>
      <c r="O1299" s="12"/>
      <c r="P1299" s="12"/>
      <c r="Q1299" s="12"/>
      <c r="R1299" s="12"/>
      <c r="S1299" s="6">
        <f t="shared" si="752"/>
        <v>0</v>
      </c>
      <c r="T1299" s="273">
        <f>ROUND(SUM(U1299:Y1299),0)</f>
        <v>0</v>
      </c>
      <c r="U1299" s="6">
        <f>-SUM(BL1299:BN1299)</f>
        <v>0</v>
      </c>
      <c r="V1299" s="6"/>
      <c r="W1299" s="6">
        <f t="shared" si="764"/>
        <v>0</v>
      </c>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X1299" s="6"/>
      <c r="AY1299" s="6">
        <f>ROUND(AX1299/1000/Update!$B$31*Update!$B$27,0)</f>
        <v>0</v>
      </c>
      <c r="BA1299" s="6"/>
      <c r="BB1299" s="6">
        <f>ROUND(BA1299/1000/Update!$B$31,0)</f>
        <v>0</v>
      </c>
      <c r="BC1299" s="6"/>
      <c r="BD1299" s="29">
        <f t="shared" si="745"/>
        <v>0</v>
      </c>
      <c r="BE1299" s="317"/>
      <c r="BF1299" s="317"/>
      <c r="BG1299" s="317"/>
      <c r="BH1299" s="317"/>
      <c r="BI1299" s="317"/>
      <c r="BJ1299" s="317"/>
      <c r="BK1299" s="29">
        <f t="shared" si="765"/>
        <v>0</v>
      </c>
      <c r="BL1299" s="317"/>
      <c r="BM1299" s="317"/>
      <c r="BN1299" s="317"/>
      <c r="BO1299" s="317"/>
      <c r="BP1299" s="317"/>
      <c r="BQ1299" s="317"/>
      <c r="BR1299" s="317"/>
      <c r="BS1299" s="317"/>
      <c r="BT1299" s="317"/>
      <c r="BU1299" s="317"/>
      <c r="BV1299" s="317"/>
      <c r="BW1299" s="317"/>
      <c r="BX1299" s="317"/>
      <c r="BY1299" s="317"/>
      <c r="BZ1299" s="317"/>
      <c r="CA1299" s="317"/>
      <c r="CB1299" s="317"/>
      <c r="CC1299" s="317"/>
      <c r="CD1299" s="317"/>
      <c r="CE1299" s="317"/>
      <c r="CF1299" s="317"/>
      <c r="CG1299" s="317"/>
      <c r="CH1299" s="317"/>
      <c r="CI1299" s="317"/>
      <c r="CM1299" s="1139">
        <v>0</v>
      </c>
      <c r="CN1299" s="1139">
        <v>0</v>
      </c>
      <c r="CP1299" s="923">
        <f t="shared" si="771"/>
        <v>0</v>
      </c>
      <c r="CZ1299" s="330"/>
    </row>
    <row r="1300" spans="1:104" ht="30" customHeight="1" x14ac:dyDescent="0.25">
      <c r="A1300" s="684">
        <f>MAX($A$6:A1299)+1</f>
        <v>1300</v>
      </c>
      <c r="B1300" s="3">
        <f t="shared" si="770"/>
        <v>13</v>
      </c>
      <c r="C1300" s="11" t="str">
        <f t="shared" si="766"/>
        <v>Trade payables, financial and other liabilities</v>
      </c>
      <c r="D1300" s="11"/>
      <c r="E1300" s="7" t="s">
        <v>256</v>
      </c>
      <c r="F1300" s="7"/>
      <c r="G1300" s="1254" t="s">
        <v>256</v>
      </c>
      <c r="H1300" s="6">
        <v>0</v>
      </c>
      <c r="I1300" s="6">
        <v>0</v>
      </c>
      <c r="J1300" s="1254" t="s">
        <v>783</v>
      </c>
      <c r="K1300" s="251">
        <f>SUMIF('alb Note 13.1 Trade payables'!A$11:A$53,$J1300,'alb Note 13.1 Trade payables'!$B$11:$B$53)</f>
        <v>0</v>
      </c>
      <c r="L1300" s="278">
        <f>SUMIF('alb Note 13.1 Trade payables'!$A:$A,$J1300,'alb Note 13.1 Trade payables'!$E:$E)</f>
        <v>0</v>
      </c>
      <c r="M1300" s="10"/>
      <c r="N1300" s="273">
        <f>ROUND(SUM(O1300:S1300)+SUM(W1300:AV1300),0)</f>
        <v>0</v>
      </c>
      <c r="O1300" s="12"/>
      <c r="P1300" s="12"/>
      <c r="Q1300" s="12"/>
      <c r="R1300" s="12"/>
      <c r="S1300" s="6">
        <f t="shared" si="752"/>
        <v>0</v>
      </c>
      <c r="T1300" s="273">
        <f>ROUND(SUM(U1300:Y1300),0)</f>
        <v>0</v>
      </c>
      <c r="U1300" s="6">
        <f>-SUM(BL1300:BN1300)</f>
        <v>0</v>
      </c>
      <c r="V1300" s="6"/>
      <c r="W1300" s="6">
        <f t="shared" si="764"/>
        <v>0</v>
      </c>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X1300" s="6"/>
      <c r="AY1300" s="6">
        <f>ROUND(AX1300/1000/Update!$B$31*Update!$B$27,0)</f>
        <v>0</v>
      </c>
      <c r="BA1300" s="6"/>
      <c r="BB1300" s="6">
        <f>ROUND(BA1300/1000/Update!$B$31,0)</f>
        <v>0</v>
      </c>
      <c r="BC1300" s="6"/>
      <c r="BD1300" s="29">
        <f t="shared" si="745"/>
        <v>0</v>
      </c>
      <c r="BE1300" s="317"/>
      <c r="BF1300" s="317"/>
      <c r="BG1300" s="317"/>
      <c r="BH1300" s="317"/>
      <c r="BI1300" s="317"/>
      <c r="BJ1300" s="317"/>
      <c r="BK1300" s="29">
        <f t="shared" si="765"/>
        <v>0</v>
      </c>
      <c r="BL1300" s="317"/>
      <c r="BM1300" s="317"/>
      <c r="BN1300" s="317"/>
      <c r="BO1300" s="317"/>
      <c r="BP1300" s="317"/>
      <c r="BQ1300" s="317"/>
      <c r="BR1300" s="317"/>
      <c r="BS1300" s="317"/>
      <c r="BT1300" s="317"/>
      <c r="BU1300" s="317"/>
      <c r="BV1300" s="317"/>
      <c r="BW1300" s="317"/>
      <c r="BX1300" s="317"/>
      <c r="BY1300" s="317"/>
      <c r="BZ1300" s="317"/>
      <c r="CA1300" s="317"/>
      <c r="CB1300" s="317"/>
      <c r="CC1300" s="317"/>
      <c r="CD1300" s="317"/>
      <c r="CE1300" s="317"/>
      <c r="CF1300" s="317"/>
      <c r="CG1300" s="317"/>
      <c r="CH1300" s="317"/>
      <c r="CI1300" s="317"/>
      <c r="CM1300" s="1139">
        <v>0</v>
      </c>
      <c r="CN1300" s="1139">
        <v>0</v>
      </c>
      <c r="CP1300" s="923">
        <f t="shared" si="771"/>
        <v>0</v>
      </c>
      <c r="CZ1300" s="330"/>
    </row>
    <row r="1301" spans="1:104" ht="30" customHeight="1" x14ac:dyDescent="0.25">
      <c r="A1301" s="684">
        <f>MAX($A$6:A1300)+1</f>
        <v>1301</v>
      </c>
      <c r="B1301" s="3">
        <f t="shared" si="770"/>
        <v>13</v>
      </c>
      <c r="C1301" s="11" t="str">
        <f t="shared" si="766"/>
        <v>Trade payables, financial and other liabilities</v>
      </c>
      <c r="D1301" s="11"/>
      <c r="E1301" s="7" t="s">
        <v>256</v>
      </c>
      <c r="F1301" s="7"/>
      <c r="G1301" s="1254"/>
      <c r="H1301" s="6">
        <v>0</v>
      </c>
      <c r="I1301" s="6">
        <v>0</v>
      </c>
      <c r="J1301" s="1257" t="s">
        <v>881</v>
      </c>
      <c r="K1301" s="251">
        <f>SUMIF('alb Note 13.1 Trade payables'!A$11:A$53,$J1301,'alb Note 13.1 Trade payables'!$B$11:$B$53)</f>
        <v>0</v>
      </c>
      <c r="L1301" s="278">
        <f>SUMIF('alb Note 13.1 Trade payables'!$A:$A,$J1301,'alb Note 13.1 Trade payables'!$E:$E)</f>
        <v>0</v>
      </c>
      <c r="M1301" s="10"/>
      <c r="N1301" s="273">
        <f>ROUND(SUM(O1301:S1301)+SUM(W1301:AV1301),0)</f>
        <v>0</v>
      </c>
      <c r="O1301" s="12"/>
      <c r="P1301" s="12"/>
      <c r="Q1301" s="12"/>
      <c r="R1301" s="12"/>
      <c r="S1301" s="6">
        <f t="shared" si="752"/>
        <v>0</v>
      </c>
      <c r="T1301" s="273">
        <f>ROUND(SUM(U1301:Y1301),0)</f>
        <v>0</v>
      </c>
      <c r="U1301" s="6">
        <f>-SUM(BL1301:BN1301)</f>
        <v>0</v>
      </c>
      <c r="V1301" s="6"/>
      <c r="W1301" s="6">
        <f t="shared" si="764"/>
        <v>0</v>
      </c>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X1301" s="6"/>
      <c r="AY1301" s="6">
        <f>ROUND(AX1301/1000/Update!$B$31*Update!$B$27,0)</f>
        <v>0</v>
      </c>
      <c r="BA1301" s="6"/>
      <c r="BB1301" s="6">
        <f>ROUND(BA1301/1000/Update!$B$31,0)</f>
        <v>0</v>
      </c>
      <c r="BC1301" s="6"/>
      <c r="BD1301" s="29">
        <f t="shared" si="745"/>
        <v>0</v>
      </c>
      <c r="BE1301" s="317"/>
      <c r="BF1301" s="317"/>
      <c r="BG1301" s="317"/>
      <c r="BH1301" s="317"/>
      <c r="BI1301" s="317"/>
      <c r="BJ1301" s="317"/>
      <c r="BK1301" s="29">
        <f t="shared" si="765"/>
        <v>0</v>
      </c>
      <c r="BL1301" s="317"/>
      <c r="BM1301" s="317"/>
      <c r="BN1301" s="317"/>
      <c r="BO1301" s="317"/>
      <c r="BP1301" s="317"/>
      <c r="BQ1301" s="317"/>
      <c r="BR1301" s="317"/>
      <c r="BS1301" s="317"/>
      <c r="BT1301" s="317"/>
      <c r="BU1301" s="317"/>
      <c r="BV1301" s="317"/>
      <c r="BW1301" s="317"/>
      <c r="BX1301" s="317"/>
      <c r="BY1301" s="317"/>
      <c r="BZ1301" s="317"/>
      <c r="CA1301" s="317"/>
      <c r="CB1301" s="317"/>
      <c r="CC1301" s="317"/>
      <c r="CD1301" s="317"/>
      <c r="CE1301" s="317"/>
      <c r="CF1301" s="317"/>
      <c r="CG1301" s="317"/>
      <c r="CH1301" s="317"/>
      <c r="CI1301" s="317"/>
      <c r="CM1301" s="1139">
        <v>0</v>
      </c>
      <c r="CN1301" s="1139">
        <v>0</v>
      </c>
      <c r="CP1301" s="923">
        <f t="shared" si="771"/>
        <v>0</v>
      </c>
      <c r="CZ1301" s="330"/>
    </row>
    <row r="1302" spans="1:104" ht="30" customHeight="1" x14ac:dyDescent="0.25">
      <c r="A1302" s="684">
        <f>MAX($A$6:A1301)+1</f>
        <v>1302</v>
      </c>
      <c r="B1302" s="3">
        <f t="shared" si="770"/>
        <v>13</v>
      </c>
      <c r="C1302" s="11" t="str">
        <f>C1300</f>
        <v>Trade payables, financial and other liabilities</v>
      </c>
      <c r="D1302" s="11"/>
      <c r="E1302" s="356" t="s">
        <v>256</v>
      </c>
      <c r="F1302" s="7"/>
      <c r="G1302" s="1254"/>
      <c r="H1302" s="6">
        <v>0</v>
      </c>
      <c r="I1302" s="6">
        <v>0</v>
      </c>
      <c r="J1302" s="1257" t="s">
        <v>880</v>
      </c>
      <c r="K1302" s="251">
        <f>SUMIF('alb Note 13.1 Trade payables'!A$11:A$53,$J1302,'alb Note 13.1 Trade payables'!$B$11:$B$53)</f>
        <v>0</v>
      </c>
      <c r="L1302" s="278">
        <f>SUMIF('alb Note 13.1 Trade payables'!$A:$A,$J1302,'alb Note 13.1 Trade payables'!$E:$E)</f>
        <v>0</v>
      </c>
      <c r="M1302" s="10"/>
      <c r="N1302" s="273">
        <f>ROUND(SUM(O1302:S1302)+SUM(W1302:AV1302),0)</f>
        <v>0</v>
      </c>
      <c r="O1302" s="12"/>
      <c r="P1302" s="12"/>
      <c r="Q1302" s="12"/>
      <c r="R1302" s="12"/>
      <c r="S1302" s="6">
        <f t="shared" si="752"/>
        <v>0</v>
      </c>
      <c r="T1302" s="273">
        <f>ROUND(SUM(U1302:Y1302),0)</f>
        <v>0</v>
      </c>
      <c r="U1302" s="6">
        <f>-SUM(BL1302:BN1302)</f>
        <v>0</v>
      </c>
      <c r="V1302" s="6"/>
      <c r="W1302" s="6">
        <f t="shared" si="764"/>
        <v>0</v>
      </c>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X1302" s="6"/>
      <c r="AY1302" s="6">
        <f>ROUND(AX1302/1000/Update!$B$31*Update!$B$27,0)</f>
        <v>0</v>
      </c>
      <c r="BA1302" s="6"/>
      <c r="BB1302" s="6">
        <f>ROUND(BA1302/1000/Update!$B$31,0)</f>
        <v>0</v>
      </c>
      <c r="BC1302" s="6"/>
      <c r="BD1302" s="29">
        <f t="shared" si="745"/>
        <v>0</v>
      </c>
      <c r="BE1302" s="317"/>
      <c r="BF1302" s="317"/>
      <c r="BG1302" s="317"/>
      <c r="BH1302" s="317"/>
      <c r="BI1302" s="317"/>
      <c r="BJ1302" s="317"/>
      <c r="BK1302" s="29">
        <f t="shared" si="765"/>
        <v>0</v>
      </c>
      <c r="BL1302" s="317"/>
      <c r="BM1302" s="317"/>
      <c r="BN1302" s="317"/>
      <c r="BO1302" s="317"/>
      <c r="BP1302" s="317"/>
      <c r="BQ1302" s="317"/>
      <c r="BR1302" s="317"/>
      <c r="BS1302" s="317"/>
      <c r="BT1302" s="317"/>
      <c r="BU1302" s="317"/>
      <c r="BV1302" s="317"/>
      <c r="BW1302" s="317"/>
      <c r="BX1302" s="317"/>
      <c r="BY1302" s="317"/>
      <c r="BZ1302" s="317"/>
      <c r="CA1302" s="317"/>
      <c r="CB1302" s="317"/>
      <c r="CC1302" s="317"/>
      <c r="CD1302" s="317"/>
      <c r="CE1302" s="317"/>
      <c r="CF1302" s="317"/>
      <c r="CG1302" s="317"/>
      <c r="CH1302" s="317"/>
      <c r="CI1302" s="317"/>
      <c r="CM1302" s="1139">
        <v>0</v>
      </c>
      <c r="CN1302" s="1139">
        <v>0</v>
      </c>
      <c r="CP1302" s="923">
        <f t="shared" si="771"/>
        <v>0</v>
      </c>
      <c r="CZ1302" s="330"/>
    </row>
    <row r="1303" spans="1:104" ht="15" customHeight="1" x14ac:dyDescent="0.25">
      <c r="A1303" s="701">
        <f>MAX($A$6:A1302)+1</f>
        <v>1303</v>
      </c>
      <c r="B1303" s="1291">
        <f t="shared" si="770"/>
        <v>13</v>
      </c>
      <c r="C1303" s="18" t="str">
        <f t="shared" si="766"/>
        <v>Trade payables, financial and other liabilities</v>
      </c>
      <c r="D1303" s="18"/>
      <c r="E1303" s="19" t="s">
        <v>257</v>
      </c>
      <c r="F1303" s="19"/>
      <c r="G1303" s="1278"/>
      <c r="H1303" s="14">
        <f>SUM(H1299:H1302)</f>
        <v>0</v>
      </c>
      <c r="I1303" s="14">
        <f>SUM(I1299:I1302)</f>
        <v>0</v>
      </c>
      <c r="J1303" s="1258" t="s">
        <v>286</v>
      </c>
      <c r="K1303" s="256">
        <f>SUM(K1299:K1302)</f>
        <v>0</v>
      </c>
      <c r="L1303" s="256">
        <f>SUM(L1299:L1302)</f>
        <v>0</v>
      </c>
      <c r="M1303" s="21"/>
      <c r="N1303" s="14">
        <f t="shared" si="774"/>
        <v>0</v>
      </c>
      <c r="O1303" s="14">
        <f t="shared" ref="O1303:V1303" si="777">SUM(O1299:O1302)</f>
        <v>0</v>
      </c>
      <c r="P1303" s="14">
        <f t="shared" si="777"/>
        <v>0</v>
      </c>
      <c r="Q1303" s="14">
        <f t="shared" si="777"/>
        <v>0</v>
      </c>
      <c r="R1303" s="14">
        <f t="shared" si="777"/>
        <v>0</v>
      </c>
      <c r="S1303" s="14">
        <f t="shared" si="752"/>
        <v>0</v>
      </c>
      <c r="T1303" s="14">
        <f t="shared" si="777"/>
        <v>0</v>
      </c>
      <c r="U1303" s="14">
        <f>SUM(U1299:U1302)</f>
        <v>0</v>
      </c>
      <c r="V1303" s="14">
        <f t="shared" si="777"/>
        <v>0</v>
      </c>
      <c r="W1303" s="14">
        <f>SUM(W1299:W1302)</f>
        <v>0</v>
      </c>
      <c r="X1303" s="14"/>
      <c r="Y1303" s="14"/>
      <c r="Z1303" s="14"/>
      <c r="AA1303" s="14"/>
      <c r="AB1303" s="14"/>
      <c r="AC1303" s="14"/>
      <c r="AD1303" s="14"/>
      <c r="AE1303" s="14"/>
      <c r="AF1303" s="14"/>
      <c r="AG1303" s="14"/>
      <c r="AH1303" s="14"/>
      <c r="AI1303" s="14"/>
      <c r="AJ1303" s="14"/>
      <c r="AK1303" s="14"/>
      <c r="AL1303" s="14"/>
      <c r="AM1303" s="14"/>
      <c r="AN1303" s="14"/>
      <c r="AO1303" s="14"/>
      <c r="AP1303" s="14"/>
      <c r="AQ1303" s="14"/>
      <c r="AR1303" s="14"/>
      <c r="AS1303" s="14"/>
      <c r="AT1303" s="14"/>
      <c r="AU1303" s="14"/>
      <c r="AV1303" s="14"/>
      <c r="AW1303" s="2"/>
      <c r="AX1303" s="14">
        <f>SUM(AX1299:AX1302)</f>
        <v>0</v>
      </c>
      <c r="AY1303" s="14">
        <f>ROUND(AX1303/1000/Update!$B$31*Update!$B$27,0)</f>
        <v>0</v>
      </c>
      <c r="AZ1303" s="2"/>
      <c r="BA1303" s="14">
        <f>SUM(BA1299:BA1302)</f>
        <v>0</v>
      </c>
      <c r="BB1303" s="14">
        <f>ROUND(BA1303/1000/Update!$B$31,0)</f>
        <v>0</v>
      </c>
      <c r="BC1303" s="14"/>
      <c r="BD1303" s="14">
        <f t="shared" si="745"/>
        <v>0</v>
      </c>
      <c r="BE1303" s="318">
        <f t="shared" ref="BE1303:BJ1303" si="778">SUM(BE1299:BE1302)</f>
        <v>0</v>
      </c>
      <c r="BF1303" s="318">
        <f t="shared" si="778"/>
        <v>0</v>
      </c>
      <c r="BG1303" s="318">
        <f t="shared" si="778"/>
        <v>0</v>
      </c>
      <c r="BH1303" s="318">
        <f t="shared" si="778"/>
        <v>0</v>
      </c>
      <c r="BI1303" s="318">
        <f t="shared" si="778"/>
        <v>0</v>
      </c>
      <c r="BJ1303" s="318">
        <f t="shared" si="778"/>
        <v>0</v>
      </c>
      <c r="BK1303" s="14">
        <f t="shared" si="765"/>
        <v>0</v>
      </c>
      <c r="BL1303" s="318"/>
      <c r="BM1303" s="318"/>
      <c r="BN1303" s="318"/>
      <c r="BO1303" s="318"/>
      <c r="BP1303" s="318"/>
      <c r="BQ1303" s="318"/>
      <c r="BR1303" s="318"/>
      <c r="BS1303" s="318"/>
      <c r="BT1303" s="318"/>
      <c r="BU1303" s="318"/>
      <c r="BV1303" s="318"/>
      <c r="BW1303" s="318"/>
      <c r="BX1303" s="318"/>
      <c r="BY1303" s="318"/>
      <c r="BZ1303" s="318"/>
      <c r="CA1303" s="318"/>
      <c r="CB1303" s="318"/>
      <c r="CC1303" s="318"/>
      <c r="CD1303" s="318"/>
      <c r="CE1303" s="318"/>
      <c r="CF1303" s="318"/>
      <c r="CG1303" s="318"/>
      <c r="CH1303" s="318"/>
      <c r="CI1303" s="318"/>
      <c r="CJ1303" s="2"/>
      <c r="CK1303" s="2"/>
      <c r="CM1303" s="1140">
        <v>0</v>
      </c>
      <c r="CN1303" s="1140">
        <v>0</v>
      </c>
      <c r="CP1303" s="923">
        <f t="shared" si="771"/>
        <v>0</v>
      </c>
      <c r="CZ1303" s="330"/>
    </row>
    <row r="1304" spans="1:104" ht="15" customHeight="1" x14ac:dyDescent="0.25">
      <c r="A1304" s="684">
        <f>MAX($A$6:A1303)+1</f>
        <v>1304</v>
      </c>
      <c r="B1304" s="3">
        <f t="shared" si="770"/>
        <v>13</v>
      </c>
      <c r="C1304" s="11" t="str">
        <f t="shared" si="766"/>
        <v>Trade payables, financial and other liabilities</v>
      </c>
      <c r="D1304" s="11"/>
      <c r="E1304" s="7" t="s">
        <v>260</v>
      </c>
      <c r="F1304" s="7"/>
      <c r="G1304" s="1254" t="s">
        <v>260</v>
      </c>
      <c r="H1304" s="6">
        <v>0</v>
      </c>
      <c r="I1304" s="6">
        <v>0</v>
      </c>
      <c r="J1304" s="1257" t="s">
        <v>260</v>
      </c>
      <c r="K1304" s="251">
        <f>SUMIF('alb Note 13.1 Trade payables'!A$11:A$53,$J1304,'alb Note 13.1 Trade payables'!$B$11:$B$53)</f>
        <v>0</v>
      </c>
      <c r="L1304" s="278">
        <f>SUMIF('alb Note 13.1 Trade payables'!$A:$A,$J1304,'alb Note 13.1 Trade payables'!$E:$E)</f>
        <v>0</v>
      </c>
      <c r="M1304" s="10"/>
      <c r="N1304" s="273">
        <f>ROUND(SUM(O1304:S1304)+SUM(W1304:AV1304),0)</f>
        <v>0</v>
      </c>
      <c r="O1304" s="12"/>
      <c r="P1304" s="12"/>
      <c r="Q1304" s="12"/>
      <c r="R1304" s="12"/>
      <c r="S1304" s="6">
        <f t="shared" si="752"/>
        <v>0</v>
      </c>
      <c r="T1304" s="273">
        <f>ROUND(SUM(U1304:Y1304),0)</f>
        <v>0</v>
      </c>
      <c r="U1304" s="6">
        <f>-SUM(BL1304:BN1304)</f>
        <v>0</v>
      </c>
      <c r="V1304" s="6"/>
      <c r="W1304" s="6">
        <f t="shared" si="764"/>
        <v>0</v>
      </c>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X1304" s="6"/>
      <c r="AY1304" s="6">
        <f>ROUND(AX1304/1000/Update!$B$31*Update!$B$27,0)</f>
        <v>0</v>
      </c>
      <c r="BA1304" s="6"/>
      <c r="BB1304" s="6">
        <f>ROUND(BA1304/1000/Update!$B$31,0)</f>
        <v>0</v>
      </c>
      <c r="BC1304" s="6"/>
      <c r="BD1304" s="29">
        <f t="shared" si="745"/>
        <v>0</v>
      </c>
      <c r="BE1304" s="317"/>
      <c r="BF1304" s="317"/>
      <c r="BG1304" s="317"/>
      <c r="BH1304" s="317"/>
      <c r="BI1304" s="317"/>
      <c r="BJ1304" s="317"/>
      <c r="BK1304" s="29">
        <f t="shared" si="765"/>
        <v>0</v>
      </c>
      <c r="BL1304" s="317"/>
      <c r="BM1304" s="317"/>
      <c r="BN1304" s="317"/>
      <c r="BO1304" s="317"/>
      <c r="BP1304" s="317"/>
      <c r="BQ1304" s="317"/>
      <c r="BR1304" s="317"/>
      <c r="BS1304" s="317"/>
      <c r="BT1304" s="317"/>
      <c r="BU1304" s="317"/>
      <c r="BV1304" s="317"/>
      <c r="BW1304" s="317"/>
      <c r="BX1304" s="317"/>
      <c r="BY1304" s="317"/>
      <c r="BZ1304" s="317"/>
      <c r="CA1304" s="317"/>
      <c r="CB1304" s="317"/>
      <c r="CC1304" s="317"/>
      <c r="CD1304" s="317"/>
      <c r="CE1304" s="317"/>
      <c r="CF1304" s="317"/>
      <c r="CG1304" s="317"/>
      <c r="CH1304" s="317"/>
      <c r="CI1304" s="317"/>
      <c r="CM1304" s="1139">
        <v>0</v>
      </c>
      <c r="CN1304" s="1139">
        <v>0</v>
      </c>
      <c r="CP1304" s="923">
        <f t="shared" si="771"/>
        <v>0</v>
      </c>
      <c r="CZ1304" s="330"/>
    </row>
    <row r="1305" spans="1:104" ht="51" customHeight="1" x14ac:dyDescent="0.25">
      <c r="A1305" s="684">
        <f>MAX($A$6:A1304)+1</f>
        <v>1305</v>
      </c>
      <c r="B1305" s="3">
        <f t="shared" si="770"/>
        <v>13</v>
      </c>
      <c r="C1305" s="11" t="str">
        <f t="shared" si="766"/>
        <v>Trade payables, financial and other liabilities</v>
      </c>
      <c r="D1305" s="11"/>
      <c r="E1305" s="7" t="s">
        <v>2370</v>
      </c>
      <c r="F1305" s="7"/>
      <c r="G1305" s="1254" t="s">
        <v>2370</v>
      </c>
      <c r="H1305" s="6">
        <v>0</v>
      </c>
      <c r="I1305" s="6">
        <v>0</v>
      </c>
      <c r="J1305" s="1254" t="s">
        <v>2370</v>
      </c>
      <c r="K1305" s="251">
        <f>SUMIF('alb Note 13.1 Trade payables'!A$11:A$53,$J1305,'alb Note 13.1 Trade payables'!$B$11:$B$53)</f>
        <v>0</v>
      </c>
      <c r="L1305" s="278">
        <f>SUMIF('alb Note 13.1 Trade payables'!$A:$A,$J1305,'alb Note 13.1 Trade payables'!$E:$E)</f>
        <v>0</v>
      </c>
      <c r="M1305" s="10"/>
      <c r="N1305" s="273">
        <f>ROUND(SUM(O1305:S1305)+SUM(W1305:AV1305),0)</f>
        <v>0</v>
      </c>
      <c r="O1305" s="12"/>
      <c r="P1305" s="12"/>
      <c r="Q1305" s="12"/>
      <c r="R1305" s="12"/>
      <c r="S1305" s="6">
        <f t="shared" si="752"/>
        <v>0</v>
      </c>
      <c r="T1305" s="273">
        <f>ROUND(SUM(U1305:Y1305),0)</f>
        <v>0</v>
      </c>
      <c r="U1305" s="6">
        <f>-SUM(BL1305:BN1305)</f>
        <v>0</v>
      </c>
      <c r="V1305" s="6"/>
      <c r="W1305" s="6">
        <f t="shared" si="764"/>
        <v>0</v>
      </c>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X1305" s="6"/>
      <c r="AY1305" s="6">
        <f>ROUND(AX1305/1000/Update!$B$31*Update!$B$27,0)</f>
        <v>0</v>
      </c>
      <c r="BA1305" s="6"/>
      <c r="BB1305" s="6">
        <f>ROUND(BA1305/1000/Update!$B$31,0)</f>
        <v>0</v>
      </c>
      <c r="BC1305" s="6"/>
      <c r="BD1305" s="29">
        <f t="shared" si="745"/>
        <v>0</v>
      </c>
      <c r="BE1305" s="317"/>
      <c r="BF1305" s="317"/>
      <c r="BG1305" s="317"/>
      <c r="BH1305" s="317"/>
      <c r="BI1305" s="317"/>
      <c r="BJ1305" s="317"/>
      <c r="BK1305" s="29">
        <f t="shared" si="765"/>
        <v>0</v>
      </c>
      <c r="BL1305" s="317"/>
      <c r="BM1305" s="317"/>
      <c r="BN1305" s="317"/>
      <c r="BO1305" s="317"/>
      <c r="BP1305" s="317"/>
      <c r="BQ1305" s="317"/>
      <c r="BR1305" s="317"/>
      <c r="BS1305" s="317"/>
      <c r="BT1305" s="317"/>
      <c r="BU1305" s="317"/>
      <c r="BV1305" s="317"/>
      <c r="BW1305" s="317"/>
      <c r="BX1305" s="317"/>
      <c r="BY1305" s="317"/>
      <c r="BZ1305" s="317"/>
      <c r="CA1305" s="317"/>
      <c r="CB1305" s="317"/>
      <c r="CC1305" s="317"/>
      <c r="CD1305" s="317"/>
      <c r="CE1305" s="317"/>
      <c r="CF1305" s="317"/>
      <c r="CG1305" s="317"/>
      <c r="CH1305" s="317"/>
      <c r="CI1305" s="317"/>
      <c r="CM1305" s="1139">
        <v>0</v>
      </c>
      <c r="CN1305" s="1139">
        <v>0</v>
      </c>
      <c r="CP1305" s="923">
        <f t="shared" si="771"/>
        <v>0</v>
      </c>
      <c r="CZ1305" s="330"/>
    </row>
    <row r="1306" spans="1:104" ht="15" customHeight="1" x14ac:dyDescent="0.25">
      <c r="A1306" s="684">
        <f>MAX($A$6:A1305)+1</f>
        <v>1306</v>
      </c>
      <c r="B1306" s="3">
        <f>B1305</f>
        <v>13</v>
      </c>
      <c r="C1306" s="11" t="str">
        <f>C1305</f>
        <v>Trade payables, financial and other liabilities</v>
      </c>
      <c r="D1306" s="11"/>
      <c r="E1306" s="7" t="s">
        <v>261</v>
      </c>
      <c r="F1306" s="7"/>
      <c r="G1306" s="1254" t="s">
        <v>261</v>
      </c>
      <c r="H1306" s="6">
        <v>0</v>
      </c>
      <c r="I1306" s="6">
        <v>0</v>
      </c>
      <c r="J1306" s="1257" t="s">
        <v>784</v>
      </c>
      <c r="K1306" s="251">
        <f>SUMIF('alb Note 13.1 Trade payables'!A$11:A$53,$J1306,'alb Note 13.1 Trade payables'!$B$11:$B$53)</f>
        <v>0</v>
      </c>
      <c r="L1306" s="278">
        <f>SUMIF('alb Note 13.1 Trade payables'!$A:$A,$J1306,'alb Note 13.1 Trade payables'!$E:$E)</f>
        <v>0</v>
      </c>
      <c r="M1306" s="10"/>
      <c r="N1306" s="273">
        <f>ROUND(SUM(O1306:S1306)+SUM(W1306:AV1306),0)</f>
        <v>0</v>
      </c>
      <c r="O1306" s="12"/>
      <c r="P1306" s="12"/>
      <c r="Q1306" s="12"/>
      <c r="R1306" s="12"/>
      <c r="S1306" s="6">
        <f t="shared" si="752"/>
        <v>0</v>
      </c>
      <c r="T1306" s="273">
        <f>ROUND(SUM(U1306:Y1306),0)</f>
        <v>0</v>
      </c>
      <c r="U1306" s="6">
        <f>-SUM(BL1306:BN1306)</f>
        <v>0</v>
      </c>
      <c r="V1306" s="6"/>
      <c r="W1306" s="6">
        <f t="shared" si="764"/>
        <v>0</v>
      </c>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X1306" s="6"/>
      <c r="AY1306" s="6">
        <f>ROUND(AX1306/1000/Update!$B$31*Update!$B$27,0)</f>
        <v>0</v>
      </c>
      <c r="BA1306" s="6"/>
      <c r="BB1306" s="6">
        <f>ROUND(BA1306/1000/Update!$B$31,0)</f>
        <v>0</v>
      </c>
      <c r="BC1306" s="6"/>
      <c r="BD1306" s="29">
        <f t="shared" si="745"/>
        <v>0</v>
      </c>
      <c r="BE1306" s="317"/>
      <c r="BF1306" s="317"/>
      <c r="BG1306" s="317"/>
      <c r="BH1306" s="317"/>
      <c r="BI1306" s="317"/>
      <c r="BJ1306" s="317"/>
      <c r="BK1306" s="29">
        <f t="shared" si="765"/>
        <v>0</v>
      </c>
      <c r="BL1306" s="317"/>
      <c r="BM1306" s="317"/>
      <c r="BN1306" s="317"/>
      <c r="BO1306" s="317"/>
      <c r="BP1306" s="317"/>
      <c r="BQ1306" s="317"/>
      <c r="BR1306" s="317"/>
      <c r="BS1306" s="317"/>
      <c r="BT1306" s="317"/>
      <c r="BU1306" s="317"/>
      <c r="BV1306" s="317"/>
      <c r="BW1306" s="317"/>
      <c r="BX1306" s="317"/>
      <c r="BY1306" s="317"/>
      <c r="BZ1306" s="317"/>
      <c r="CA1306" s="317"/>
      <c r="CB1306" s="317"/>
      <c r="CC1306" s="317"/>
      <c r="CD1306" s="317"/>
      <c r="CE1306" s="317"/>
      <c r="CF1306" s="317"/>
      <c r="CG1306" s="317"/>
      <c r="CH1306" s="317"/>
      <c r="CI1306" s="317"/>
      <c r="CM1306" s="1139">
        <v>0</v>
      </c>
      <c r="CN1306" s="1139">
        <v>0</v>
      </c>
      <c r="CP1306" s="923">
        <f t="shared" si="771"/>
        <v>0</v>
      </c>
      <c r="CZ1306" s="330"/>
    </row>
    <row r="1307" spans="1:104" ht="15" customHeight="1" x14ac:dyDescent="0.25">
      <c r="A1307" s="701">
        <f>MAX($A$6:A1306)+1</f>
        <v>1307</v>
      </c>
      <c r="B1307" s="1291">
        <f t="shared" si="770"/>
        <v>13</v>
      </c>
      <c r="C1307" s="18" t="str">
        <f>C1306</f>
        <v>Trade payables, financial and other liabilities</v>
      </c>
      <c r="D1307" s="18"/>
      <c r="E1307" s="19" t="s">
        <v>262</v>
      </c>
      <c r="F1307" s="19"/>
      <c r="G1307" s="28"/>
      <c r="H1307" s="256">
        <f>SUM(H1304:H1306)</f>
        <v>0</v>
      </c>
      <c r="I1307" s="256">
        <f>SUM(I1304:I1306)</f>
        <v>0</v>
      </c>
      <c r="J1307" s="1258" t="s">
        <v>286</v>
      </c>
      <c r="K1307" s="256">
        <f>SUM(K1304:K1306)</f>
        <v>0</v>
      </c>
      <c r="L1307" s="256">
        <f>SUM(L1304:L1306)</f>
        <v>0</v>
      </c>
      <c r="M1307" s="21"/>
      <c r="N1307" s="14">
        <f t="shared" si="774"/>
        <v>0</v>
      </c>
      <c r="O1307" s="14">
        <f t="shared" ref="O1307:T1307" si="779">SUM(O1304:O1306)</f>
        <v>0</v>
      </c>
      <c r="P1307" s="14">
        <f t="shared" si="779"/>
        <v>0</v>
      </c>
      <c r="Q1307" s="14">
        <f t="shared" si="779"/>
        <v>0</v>
      </c>
      <c r="R1307" s="14">
        <f t="shared" si="779"/>
        <v>0</v>
      </c>
      <c r="S1307" s="14">
        <f t="shared" si="752"/>
        <v>0</v>
      </c>
      <c r="T1307" s="14">
        <f t="shared" si="779"/>
        <v>0</v>
      </c>
      <c r="U1307" s="14">
        <f>SUM(U1304:U1306)</f>
        <v>0</v>
      </c>
      <c r="V1307" s="14">
        <f>SUM(V1304:V1306)</f>
        <v>0</v>
      </c>
      <c r="W1307" s="14">
        <f>SUM(W1304:W1306)</f>
        <v>0</v>
      </c>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c r="AS1307" s="14"/>
      <c r="AT1307" s="14"/>
      <c r="AU1307" s="14"/>
      <c r="AV1307" s="14"/>
      <c r="AW1307" s="2"/>
      <c r="AX1307" s="14">
        <f>SUM(AX1304:AX1306)</f>
        <v>0</v>
      </c>
      <c r="AY1307" s="14">
        <f>ROUND(AX1307/1000/Update!$B$31*Update!$B$27,0)</f>
        <v>0</v>
      </c>
      <c r="AZ1307" s="2"/>
      <c r="BA1307" s="14">
        <f>SUM(BA1304:BA1306)</f>
        <v>0</v>
      </c>
      <c r="BB1307" s="14">
        <f>ROUND(BA1307/1000/Update!$B$31,0)</f>
        <v>0</v>
      </c>
      <c r="BC1307" s="14"/>
      <c r="BD1307" s="14">
        <f t="shared" si="745"/>
        <v>0</v>
      </c>
      <c r="BE1307" s="318">
        <f t="shared" ref="BE1307:BJ1307" si="780">SUM(BE1304:BE1306)</f>
        <v>0</v>
      </c>
      <c r="BF1307" s="318">
        <f t="shared" si="780"/>
        <v>0</v>
      </c>
      <c r="BG1307" s="318">
        <f t="shared" si="780"/>
        <v>0</v>
      </c>
      <c r="BH1307" s="318">
        <f t="shared" si="780"/>
        <v>0</v>
      </c>
      <c r="BI1307" s="318">
        <f t="shared" si="780"/>
        <v>0</v>
      </c>
      <c r="BJ1307" s="318">
        <f t="shared" si="780"/>
        <v>0</v>
      </c>
      <c r="BK1307" s="14">
        <f t="shared" si="765"/>
        <v>0</v>
      </c>
      <c r="BL1307" s="318"/>
      <c r="BM1307" s="318"/>
      <c r="BN1307" s="318"/>
      <c r="BO1307" s="318"/>
      <c r="BP1307" s="318"/>
      <c r="BQ1307" s="318"/>
      <c r="BR1307" s="318"/>
      <c r="BS1307" s="318"/>
      <c r="BT1307" s="318"/>
      <c r="BU1307" s="318"/>
      <c r="BV1307" s="318"/>
      <c r="BW1307" s="318"/>
      <c r="BX1307" s="318"/>
      <c r="BY1307" s="318"/>
      <c r="BZ1307" s="318"/>
      <c r="CA1307" s="318"/>
      <c r="CB1307" s="318"/>
      <c r="CC1307" s="318"/>
      <c r="CD1307" s="318"/>
      <c r="CE1307" s="318"/>
      <c r="CF1307" s="318"/>
      <c r="CG1307" s="318"/>
      <c r="CH1307" s="318"/>
      <c r="CI1307" s="318"/>
      <c r="CJ1307" s="2"/>
      <c r="CK1307" s="2"/>
      <c r="CM1307" s="1140">
        <v>0</v>
      </c>
      <c r="CN1307" s="1140">
        <v>0</v>
      </c>
      <c r="CP1307" s="923">
        <f t="shared" si="771"/>
        <v>0</v>
      </c>
      <c r="CZ1307" s="330"/>
    </row>
    <row r="1308" spans="1:104" ht="15" customHeight="1" x14ac:dyDescent="0.25">
      <c r="A1308" s="684">
        <f>MAX($A$6:A1307)+1</f>
        <v>1308</v>
      </c>
      <c r="B1308" s="3">
        <f t="shared" si="770"/>
        <v>13</v>
      </c>
      <c r="C1308" s="11" t="str">
        <f t="shared" si="766"/>
        <v>Trade payables, financial and other liabilities</v>
      </c>
      <c r="D1308" s="11"/>
      <c r="E1308" s="7"/>
      <c r="F1308" s="7"/>
      <c r="G1308" s="26"/>
      <c r="H1308" s="6"/>
      <c r="I1308" s="6"/>
      <c r="J1308" s="1257" t="s">
        <v>286</v>
      </c>
      <c r="K1308" s="251">
        <v>0</v>
      </c>
      <c r="L1308" s="278">
        <f>SUMIF('alb Note 13.1 Trade payables'!$A:$A,$J1308,'alb Note 13.1 Trade payables'!$E:$E)</f>
        <v>0</v>
      </c>
      <c r="M1308" s="10"/>
      <c r="N1308" s="273">
        <f>ROUND(SUM(O1308:S1308)+SUM(W1308:AV1308),0)</f>
        <v>0</v>
      </c>
      <c r="O1308" s="12"/>
      <c r="P1308" s="12"/>
      <c r="Q1308" s="12"/>
      <c r="R1308" s="12"/>
      <c r="S1308" s="6">
        <f t="shared" si="752"/>
        <v>0</v>
      </c>
      <c r="T1308" s="273">
        <f>ROUND(SUM(U1308:Y1308),0)</f>
        <v>0</v>
      </c>
      <c r="U1308" s="6">
        <f>-SUM(BL1308:BN1308)</f>
        <v>0</v>
      </c>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X1308" s="6"/>
      <c r="AY1308" s="6">
        <f>ROUND(AX1308/1000/Update!$B$31*Update!$B$27,0)</f>
        <v>0</v>
      </c>
      <c r="BA1308" s="6"/>
      <c r="BB1308" s="6">
        <f>ROUND(BA1308/1000/Update!$B$31,0)</f>
        <v>0</v>
      </c>
      <c r="BC1308" s="6"/>
      <c r="BD1308" s="29">
        <f t="shared" si="745"/>
        <v>0</v>
      </c>
      <c r="BE1308" s="317"/>
      <c r="BF1308" s="317"/>
      <c r="BG1308" s="317"/>
      <c r="BH1308" s="317"/>
      <c r="BI1308" s="317"/>
      <c r="BJ1308" s="317"/>
      <c r="BK1308" s="29">
        <f t="shared" si="765"/>
        <v>0</v>
      </c>
      <c r="BL1308" s="317"/>
      <c r="BM1308" s="317"/>
      <c r="BN1308" s="317"/>
      <c r="BO1308" s="317"/>
      <c r="BP1308" s="317"/>
      <c r="BQ1308" s="317"/>
      <c r="BR1308" s="317"/>
      <c r="BS1308" s="317"/>
      <c r="BT1308" s="317"/>
      <c r="BU1308" s="317"/>
      <c r="BV1308" s="317"/>
      <c r="BW1308" s="317"/>
      <c r="BX1308" s="317"/>
      <c r="BY1308" s="317"/>
      <c r="BZ1308" s="317"/>
      <c r="CA1308" s="317"/>
      <c r="CB1308" s="317"/>
      <c r="CC1308" s="317"/>
      <c r="CD1308" s="317"/>
      <c r="CE1308" s="317"/>
      <c r="CF1308" s="317"/>
      <c r="CG1308" s="317"/>
      <c r="CH1308" s="317"/>
      <c r="CI1308" s="317"/>
      <c r="CM1308" s="1139">
        <v>0</v>
      </c>
      <c r="CN1308" s="1139">
        <v>0</v>
      </c>
      <c r="CP1308" s="923">
        <f t="shared" si="771"/>
        <v>0</v>
      </c>
      <c r="CZ1308" s="330"/>
    </row>
    <row r="1309" spans="1:104" ht="30" customHeight="1" x14ac:dyDescent="0.25">
      <c r="A1309" s="701">
        <f>MAX($A$6:A1308)+1</f>
        <v>1309</v>
      </c>
      <c r="B1309" s="1291">
        <f t="shared" si="770"/>
        <v>13</v>
      </c>
      <c r="C1309" s="18" t="str">
        <f t="shared" si="766"/>
        <v>Trade payables, financial and other liabilities</v>
      </c>
      <c r="D1309" s="18"/>
      <c r="E1309" s="19" t="s">
        <v>263</v>
      </c>
      <c r="F1309" s="19"/>
      <c r="G1309" s="28"/>
      <c r="H1309" s="14">
        <f>H1298+H1293</f>
        <v>0</v>
      </c>
      <c r="I1309" s="14">
        <f>I1298+I1293</f>
        <v>725</v>
      </c>
      <c r="J1309" s="1258" t="s">
        <v>286</v>
      </c>
      <c r="K1309" s="256">
        <f>K1298+K1293</f>
        <v>0</v>
      </c>
      <c r="L1309" s="256">
        <f>L1298+L1293</f>
        <v>0</v>
      </c>
      <c r="M1309" s="21"/>
      <c r="N1309" s="14">
        <f>ROUND(SUM(O1309:S1309)+SUM(W1309:AV1309),0)</f>
        <v>0</v>
      </c>
      <c r="O1309" s="256">
        <f t="shared" ref="O1309:V1309" si="781">O1298+O1293</f>
        <v>0</v>
      </c>
      <c r="P1309" s="256">
        <f t="shared" si="781"/>
        <v>0</v>
      </c>
      <c r="Q1309" s="256">
        <f t="shared" si="781"/>
        <v>0</v>
      </c>
      <c r="R1309" s="256">
        <f t="shared" si="781"/>
        <v>0</v>
      </c>
      <c r="S1309" s="256">
        <f t="shared" si="752"/>
        <v>0</v>
      </c>
      <c r="T1309" s="14">
        <f t="shared" si="781"/>
        <v>0</v>
      </c>
      <c r="U1309" s="256">
        <f>U1298+U1293</f>
        <v>0</v>
      </c>
      <c r="V1309" s="256">
        <f t="shared" si="781"/>
        <v>0</v>
      </c>
      <c r="W1309" s="256">
        <f>W1298+W1293</f>
        <v>0</v>
      </c>
      <c r="X1309" s="256"/>
      <c r="Y1309" s="256"/>
      <c r="Z1309" s="256"/>
      <c r="AA1309" s="256"/>
      <c r="AB1309" s="256"/>
      <c r="AC1309" s="256"/>
      <c r="AD1309" s="256"/>
      <c r="AE1309" s="256"/>
      <c r="AF1309" s="256"/>
      <c r="AG1309" s="256"/>
      <c r="AH1309" s="256"/>
      <c r="AI1309" s="256"/>
      <c r="AJ1309" s="256"/>
      <c r="AK1309" s="256"/>
      <c r="AL1309" s="256"/>
      <c r="AM1309" s="256"/>
      <c r="AN1309" s="256"/>
      <c r="AO1309" s="256"/>
      <c r="AP1309" s="256"/>
      <c r="AQ1309" s="256"/>
      <c r="AR1309" s="256"/>
      <c r="AS1309" s="256"/>
      <c r="AT1309" s="256"/>
      <c r="AU1309" s="256"/>
      <c r="AV1309" s="256"/>
      <c r="AW1309" s="2"/>
      <c r="AX1309" s="256">
        <f>AX1298+AX1293</f>
        <v>0</v>
      </c>
      <c r="AY1309" s="14">
        <f>ROUND(AX1309/1000/Update!$B$31*Update!$B$27,0)</f>
        <v>0</v>
      </c>
      <c r="AZ1309" s="2"/>
      <c r="BA1309" s="256">
        <f>BA1298+BA1293</f>
        <v>0</v>
      </c>
      <c r="BB1309" s="14">
        <f>ROUND(BA1309/1000/Update!$B$31,0)</f>
        <v>0</v>
      </c>
      <c r="BC1309" s="14"/>
      <c r="BD1309" s="14">
        <f t="shared" si="745"/>
        <v>0</v>
      </c>
      <c r="BE1309" s="318">
        <f t="shared" ref="BE1309:BJ1309" si="782">BE1298+BE1293</f>
        <v>0</v>
      </c>
      <c r="BF1309" s="318">
        <f t="shared" si="782"/>
        <v>0</v>
      </c>
      <c r="BG1309" s="318">
        <f t="shared" si="782"/>
        <v>0</v>
      </c>
      <c r="BH1309" s="318">
        <f t="shared" si="782"/>
        <v>0</v>
      </c>
      <c r="BI1309" s="318">
        <f t="shared" si="782"/>
        <v>0</v>
      </c>
      <c r="BJ1309" s="318">
        <f t="shared" si="782"/>
        <v>0</v>
      </c>
      <c r="BK1309" s="14">
        <f t="shared" si="765"/>
        <v>0</v>
      </c>
      <c r="BL1309" s="318"/>
      <c r="BM1309" s="318"/>
      <c r="BN1309" s="318"/>
      <c r="BO1309" s="318"/>
      <c r="BP1309" s="318"/>
      <c r="BQ1309" s="318"/>
      <c r="BR1309" s="318"/>
      <c r="BS1309" s="318"/>
      <c r="BT1309" s="318"/>
      <c r="BU1309" s="318"/>
      <c r="BV1309" s="318"/>
      <c r="BW1309" s="318"/>
      <c r="BX1309" s="318"/>
      <c r="BY1309" s="318"/>
      <c r="BZ1309" s="318"/>
      <c r="CA1309" s="318"/>
      <c r="CB1309" s="318"/>
      <c r="CC1309" s="318"/>
      <c r="CD1309" s="318"/>
      <c r="CE1309" s="318"/>
      <c r="CF1309" s="318"/>
      <c r="CG1309" s="318"/>
      <c r="CH1309" s="318"/>
      <c r="CI1309" s="318"/>
      <c r="CJ1309" s="2"/>
      <c r="CK1309" s="2"/>
      <c r="CM1309" s="1140">
        <v>-434</v>
      </c>
      <c r="CN1309" s="1140">
        <v>80982</v>
      </c>
      <c r="CP1309" s="923">
        <f t="shared" si="771"/>
        <v>-434</v>
      </c>
      <c r="CZ1309" s="330"/>
    </row>
    <row r="1310" spans="1:104" ht="15" customHeight="1" x14ac:dyDescent="0.25">
      <c r="A1310" s="701">
        <f>MAX($A$6:A1309)+1</f>
        <v>1310</v>
      </c>
      <c r="B1310" s="1291">
        <f t="shared" si="770"/>
        <v>13</v>
      </c>
      <c r="C1310" s="18" t="str">
        <f t="shared" si="766"/>
        <v>Trade payables, financial and other liabilities</v>
      </c>
      <c r="D1310" s="18"/>
      <c r="E1310" s="22" t="s">
        <v>264</v>
      </c>
      <c r="F1310" s="22"/>
      <c r="G1310" s="28"/>
      <c r="H1310" s="14">
        <f>H1307+H1303</f>
        <v>0</v>
      </c>
      <c r="I1310" s="14">
        <f>I1307+I1303</f>
        <v>0</v>
      </c>
      <c r="J1310" s="1258" t="s">
        <v>286</v>
      </c>
      <c r="K1310" s="256">
        <f>K1307+K1303</f>
        <v>0</v>
      </c>
      <c r="L1310" s="256">
        <f>L1307+L1303</f>
        <v>0</v>
      </c>
      <c r="M1310" s="21"/>
      <c r="N1310" s="14">
        <f>ROUND(SUM(O1310:S1310)+SUM(W1310:AV1310),0)</f>
        <v>0</v>
      </c>
      <c r="O1310" s="14">
        <f t="shared" ref="O1310:U1310" si="783">O1307+O1303</f>
        <v>0</v>
      </c>
      <c r="P1310" s="14">
        <f t="shared" si="783"/>
        <v>0</v>
      </c>
      <c r="Q1310" s="14">
        <f t="shared" si="783"/>
        <v>0</v>
      </c>
      <c r="R1310" s="14">
        <f t="shared" si="783"/>
        <v>0</v>
      </c>
      <c r="S1310" s="14">
        <f t="shared" si="752"/>
        <v>0</v>
      </c>
      <c r="T1310" s="14">
        <f t="shared" si="783"/>
        <v>0</v>
      </c>
      <c r="U1310" s="256">
        <f t="shared" si="783"/>
        <v>0</v>
      </c>
      <c r="V1310" s="256">
        <f>V1307+V1303</f>
        <v>0</v>
      </c>
      <c r="W1310" s="256">
        <f>W1307+W1303</f>
        <v>0</v>
      </c>
      <c r="X1310" s="256"/>
      <c r="Y1310" s="256"/>
      <c r="Z1310" s="256"/>
      <c r="AA1310" s="256"/>
      <c r="AB1310" s="256"/>
      <c r="AC1310" s="256"/>
      <c r="AD1310" s="256"/>
      <c r="AE1310" s="256"/>
      <c r="AF1310" s="256"/>
      <c r="AG1310" s="256"/>
      <c r="AH1310" s="256"/>
      <c r="AI1310" s="256"/>
      <c r="AJ1310" s="256"/>
      <c r="AK1310" s="256"/>
      <c r="AL1310" s="256"/>
      <c r="AM1310" s="256"/>
      <c r="AN1310" s="256"/>
      <c r="AO1310" s="256"/>
      <c r="AP1310" s="256"/>
      <c r="AQ1310" s="256"/>
      <c r="AR1310" s="256"/>
      <c r="AS1310" s="256"/>
      <c r="AT1310" s="256"/>
      <c r="AU1310" s="256"/>
      <c r="AV1310" s="256"/>
      <c r="AW1310" s="2"/>
      <c r="AX1310" s="14">
        <f>AX1307+AX1303</f>
        <v>0</v>
      </c>
      <c r="AY1310" s="14">
        <f>ROUND(AX1310/1000/Update!$B$31*Update!$B$27,0)</f>
        <v>0</v>
      </c>
      <c r="AZ1310" s="2"/>
      <c r="BA1310" s="14">
        <f>BA1307+BA1303</f>
        <v>0</v>
      </c>
      <c r="BB1310" s="14">
        <f>ROUND(BA1310/1000/Update!$B$31,0)</f>
        <v>0</v>
      </c>
      <c r="BC1310" s="14"/>
      <c r="BD1310" s="14">
        <f t="shared" ref="BD1310:BD1373" si="784">ROUND(SUM(BE1310:BK1310),0)</f>
        <v>0</v>
      </c>
      <c r="BE1310" s="318">
        <f t="shared" ref="BE1310:BJ1310" si="785">BE1307+BE1303</f>
        <v>0</v>
      </c>
      <c r="BF1310" s="318">
        <f t="shared" si="785"/>
        <v>0</v>
      </c>
      <c r="BG1310" s="318">
        <f t="shared" si="785"/>
        <v>0</v>
      </c>
      <c r="BH1310" s="318">
        <f t="shared" si="785"/>
        <v>0</v>
      </c>
      <c r="BI1310" s="318">
        <f t="shared" si="785"/>
        <v>0</v>
      </c>
      <c r="BJ1310" s="318">
        <f t="shared" si="785"/>
        <v>0</v>
      </c>
      <c r="BK1310" s="14">
        <f t="shared" si="765"/>
        <v>0</v>
      </c>
      <c r="BL1310" s="318"/>
      <c r="BM1310" s="318"/>
      <c r="BN1310" s="318"/>
      <c r="BO1310" s="318"/>
      <c r="BP1310" s="318"/>
      <c r="BQ1310" s="318"/>
      <c r="BR1310" s="318"/>
      <c r="BS1310" s="318"/>
      <c r="BT1310" s="318"/>
      <c r="BU1310" s="318"/>
      <c r="BV1310" s="318"/>
      <c r="BW1310" s="318"/>
      <c r="BX1310" s="318"/>
      <c r="BY1310" s="318"/>
      <c r="BZ1310" s="318"/>
      <c r="CA1310" s="318"/>
      <c r="CB1310" s="318"/>
      <c r="CC1310" s="318"/>
      <c r="CD1310" s="318"/>
      <c r="CE1310" s="318"/>
      <c r="CF1310" s="318"/>
      <c r="CG1310" s="318"/>
      <c r="CH1310" s="318"/>
      <c r="CI1310" s="318"/>
      <c r="CJ1310" s="2"/>
      <c r="CK1310" s="2"/>
      <c r="CM1310" s="1140">
        <v>0</v>
      </c>
      <c r="CN1310" s="1140">
        <v>0</v>
      </c>
      <c r="CP1310" s="923">
        <f t="shared" si="771"/>
        <v>0</v>
      </c>
      <c r="CZ1310" s="330"/>
    </row>
    <row r="1311" spans="1:104" ht="15" customHeight="1" x14ac:dyDescent="0.25">
      <c r="A1311" s="701">
        <f>MAX($A$6:A1310)+1</f>
        <v>1311</v>
      </c>
      <c r="B1311" s="1291">
        <f t="shared" si="770"/>
        <v>13</v>
      </c>
      <c r="C1311" s="18" t="str">
        <f t="shared" si="766"/>
        <v>Trade payables, financial and other liabilities</v>
      </c>
      <c r="D1311" s="18"/>
      <c r="E1311" s="22" t="s">
        <v>265</v>
      </c>
      <c r="F1311" s="22"/>
      <c r="G1311" s="28"/>
      <c r="H1311" s="14">
        <f>H1310+H1309</f>
        <v>0</v>
      </c>
      <c r="I1311" s="14">
        <f>I1310+I1309</f>
        <v>725</v>
      </c>
      <c r="J1311" s="1258" t="s">
        <v>286</v>
      </c>
      <c r="K1311" s="256">
        <f>K1310+K1309</f>
        <v>0</v>
      </c>
      <c r="L1311" s="256">
        <f>L1310+L1309</f>
        <v>0</v>
      </c>
      <c r="M1311" s="21"/>
      <c r="N1311" s="14">
        <f>ROUND(SUM(O1311:S1311)+SUM(W1311:AV1311),0)</f>
        <v>0</v>
      </c>
      <c r="O1311" s="14">
        <f t="shared" ref="O1311:V1311" si="786">O1310+O1309</f>
        <v>0</v>
      </c>
      <c r="P1311" s="14">
        <f t="shared" si="786"/>
        <v>0</v>
      </c>
      <c r="Q1311" s="14">
        <f t="shared" si="786"/>
        <v>0</v>
      </c>
      <c r="R1311" s="14">
        <f t="shared" si="786"/>
        <v>0</v>
      </c>
      <c r="S1311" s="14">
        <f t="shared" si="752"/>
        <v>0</v>
      </c>
      <c r="T1311" s="14">
        <f t="shared" si="786"/>
        <v>0</v>
      </c>
      <c r="U1311" s="14">
        <f>U1310+U1309</f>
        <v>0</v>
      </c>
      <c r="V1311" s="14">
        <f t="shared" si="786"/>
        <v>0</v>
      </c>
      <c r="W1311" s="14">
        <f>W1310+W1309</f>
        <v>0</v>
      </c>
      <c r="X1311" s="14"/>
      <c r="Y1311" s="14"/>
      <c r="Z1311" s="14"/>
      <c r="AA1311" s="14"/>
      <c r="AB1311" s="14"/>
      <c r="AC1311" s="14"/>
      <c r="AD1311" s="14"/>
      <c r="AE1311" s="14"/>
      <c r="AF1311" s="14"/>
      <c r="AG1311" s="14"/>
      <c r="AH1311" s="14"/>
      <c r="AI1311" s="14"/>
      <c r="AJ1311" s="14"/>
      <c r="AK1311" s="14"/>
      <c r="AL1311" s="14"/>
      <c r="AM1311" s="14"/>
      <c r="AN1311" s="14"/>
      <c r="AO1311" s="14"/>
      <c r="AP1311" s="14"/>
      <c r="AQ1311" s="14"/>
      <c r="AR1311" s="14"/>
      <c r="AS1311" s="14"/>
      <c r="AT1311" s="14"/>
      <c r="AU1311" s="14"/>
      <c r="AV1311" s="14"/>
      <c r="AW1311" s="2"/>
      <c r="AX1311" s="14">
        <f>AX1310+AX1309</f>
        <v>0</v>
      </c>
      <c r="AY1311" s="14">
        <f>ROUND(AX1311/1000/Update!$B$31*Update!$B$27,0)</f>
        <v>0</v>
      </c>
      <c r="AZ1311" s="2"/>
      <c r="BA1311" s="14">
        <f>BA1310+BA1309</f>
        <v>0</v>
      </c>
      <c r="BB1311" s="14">
        <f>ROUND(BA1311/1000/Update!$B$31,0)</f>
        <v>0</v>
      </c>
      <c r="BC1311" s="14"/>
      <c r="BD1311" s="14">
        <f t="shared" si="784"/>
        <v>0</v>
      </c>
      <c r="BE1311" s="318">
        <f t="shared" ref="BE1311:BJ1311" si="787">BE1310+BE1309</f>
        <v>0</v>
      </c>
      <c r="BF1311" s="318">
        <f t="shared" si="787"/>
        <v>0</v>
      </c>
      <c r="BG1311" s="318">
        <f t="shared" si="787"/>
        <v>0</v>
      </c>
      <c r="BH1311" s="318">
        <f t="shared" si="787"/>
        <v>0</v>
      </c>
      <c r="BI1311" s="318">
        <f t="shared" si="787"/>
        <v>0</v>
      </c>
      <c r="BJ1311" s="318">
        <f t="shared" si="787"/>
        <v>0</v>
      </c>
      <c r="BK1311" s="14">
        <f t="shared" si="765"/>
        <v>0</v>
      </c>
      <c r="BL1311" s="318"/>
      <c r="BM1311" s="318"/>
      <c r="BN1311" s="318"/>
      <c r="BO1311" s="318"/>
      <c r="BP1311" s="318"/>
      <c r="BQ1311" s="318"/>
      <c r="BR1311" s="318"/>
      <c r="BS1311" s="318"/>
      <c r="BT1311" s="318"/>
      <c r="BU1311" s="318"/>
      <c r="BV1311" s="318"/>
      <c r="BW1311" s="318"/>
      <c r="BX1311" s="318"/>
      <c r="BY1311" s="318"/>
      <c r="BZ1311" s="318"/>
      <c r="CA1311" s="318"/>
      <c r="CB1311" s="318"/>
      <c r="CC1311" s="318"/>
      <c r="CD1311" s="318"/>
      <c r="CE1311" s="318"/>
      <c r="CF1311" s="318"/>
      <c r="CG1311" s="318"/>
      <c r="CH1311" s="318"/>
      <c r="CI1311" s="318"/>
      <c r="CJ1311" s="2"/>
      <c r="CK1311" s="2"/>
      <c r="CM1311" s="1140">
        <v>-434</v>
      </c>
      <c r="CN1311" s="1140">
        <v>80982</v>
      </c>
      <c r="CP1311" s="923">
        <f t="shared" si="771"/>
        <v>-434</v>
      </c>
      <c r="CZ1311" s="330"/>
    </row>
    <row r="1312" spans="1:104" ht="15" customHeight="1" x14ac:dyDescent="0.25">
      <c r="A1312" s="684">
        <f>MAX($A$6:A1311)+1</f>
        <v>1312</v>
      </c>
      <c r="B1312" s="3">
        <f t="shared" si="770"/>
        <v>13</v>
      </c>
      <c r="C1312" s="11" t="str">
        <f t="shared" si="766"/>
        <v>Trade payables, financial and other liabilities</v>
      </c>
      <c r="D1312" s="11"/>
      <c r="E1312" s="7"/>
      <c r="F1312" s="7"/>
      <c r="G1312" s="26"/>
      <c r="H1312" s="26"/>
      <c r="I1312" s="26"/>
      <c r="J1312" s="1257" t="s">
        <v>286</v>
      </c>
      <c r="K1312" s="251">
        <v>0</v>
      </c>
      <c r="L1312" s="278">
        <f>SUMIF('alb Note 13.1 Trade payables'!$A:$A,$J1312,'alb Note 13.1 Trade payables'!$E:$E)</f>
        <v>0</v>
      </c>
      <c r="M1312" s="10"/>
      <c r="N1312" s="273">
        <f t="shared" si="774"/>
        <v>0</v>
      </c>
      <c r="O1312" s="12"/>
      <c r="P1312" s="12"/>
      <c r="Q1312" s="12"/>
      <c r="R1312" s="12"/>
      <c r="S1312" s="6">
        <f t="shared" si="752"/>
        <v>0</v>
      </c>
      <c r="T1312" s="273">
        <f>T1309-T1293-T1298</f>
        <v>0</v>
      </c>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X1312" s="6"/>
      <c r="AY1312" s="6">
        <f>ROUND(AX1312/1000/Update!$B$31*Update!$B$27,0)</f>
        <v>0</v>
      </c>
      <c r="BA1312" s="6"/>
      <c r="BB1312" s="6">
        <f>ROUND(BA1312/1000/Update!$B$31,0)</f>
        <v>0</v>
      </c>
      <c r="BC1312" s="6"/>
      <c r="BD1312" s="29">
        <f t="shared" si="784"/>
        <v>0</v>
      </c>
      <c r="BE1312" s="317"/>
      <c r="BF1312" s="317"/>
      <c r="BG1312" s="317"/>
      <c r="BH1312" s="317"/>
      <c r="BI1312" s="317"/>
      <c r="BJ1312" s="317"/>
      <c r="BK1312" s="29">
        <f t="shared" si="765"/>
        <v>0</v>
      </c>
      <c r="BL1312" s="317"/>
      <c r="BM1312" s="317"/>
      <c r="BN1312" s="317"/>
      <c r="BO1312" s="317"/>
      <c r="BP1312" s="317"/>
      <c r="BQ1312" s="317"/>
      <c r="BR1312" s="317"/>
      <c r="BS1312" s="317"/>
      <c r="BT1312" s="317"/>
      <c r="BU1312" s="317"/>
      <c r="BV1312" s="317"/>
      <c r="BW1312" s="317"/>
      <c r="BX1312" s="317"/>
      <c r="BY1312" s="317"/>
      <c r="BZ1312" s="317"/>
      <c r="CA1312" s="317"/>
      <c r="CB1312" s="317"/>
      <c r="CC1312" s="317"/>
      <c r="CD1312" s="317"/>
      <c r="CE1312" s="317"/>
      <c r="CF1312" s="317"/>
      <c r="CG1312" s="317"/>
      <c r="CH1312" s="317"/>
      <c r="CI1312" s="317"/>
      <c r="CM1312" s="1139">
        <v>0</v>
      </c>
      <c r="CN1312" s="1139">
        <v>0</v>
      </c>
      <c r="CP1312" s="923">
        <f t="shared" si="771"/>
        <v>0</v>
      </c>
      <c r="CZ1312" s="330"/>
    </row>
    <row r="1313" spans="1:104" ht="18.75" customHeight="1" x14ac:dyDescent="0.25">
      <c r="A1313" s="1297">
        <f>MAX($A$6:A1312)+1</f>
        <v>1313</v>
      </c>
      <c r="B1313" s="1295">
        <f>SUMIF(Update!$B$33:$B$106,C1313,Update!$A$33:$A$106)</f>
        <v>14</v>
      </c>
      <c r="C1313" s="696" t="s">
        <v>845</v>
      </c>
      <c r="D1313" s="695"/>
      <c r="E1313" s="696" t="str">
        <f>B1313&amp;" "&amp;C1313</f>
        <v>14 Consolidated Provisions for liabilities and charges</v>
      </c>
      <c r="F1313" s="697"/>
      <c r="G1313" s="697"/>
      <c r="H1313" s="695"/>
      <c r="I1313" s="695"/>
      <c r="J1313" s="698" t="s">
        <v>286</v>
      </c>
      <c r="K1313" s="699">
        <f>SUMIF('alb Note 14 - Provisions CY'!$A:$A,$J1313,'alb Note 14 - Provisions CY'!$AD:$AD)</f>
        <v>0</v>
      </c>
      <c r="L1313" s="699">
        <f>SUMIF('alb Note 14 - Provisions CY'!$A:$A,$J1313,'alb Note 14 - Provisions CY'!$AD:$AD)</f>
        <v>0</v>
      </c>
      <c r="M1313" s="695"/>
      <c r="N1313" s="713">
        <f t="shared" si="774"/>
        <v>0</v>
      </c>
      <c r="O1313" s="695"/>
      <c r="P1313" s="695"/>
      <c r="Q1313" s="695"/>
      <c r="R1313" s="695"/>
      <c r="S1313" s="695">
        <f t="shared" ref="S1313:S1362" si="788">-IF(ISNUMBER(BD1313),BD1313,0)</f>
        <v>0</v>
      </c>
      <c r="T1313" s="713">
        <f t="shared" ref="T1313:T1320" si="789">ROUND(SUM(U1313:Y1313),0)</f>
        <v>0</v>
      </c>
      <c r="U1313" s="695"/>
      <c r="V1313" s="695"/>
      <c r="W1313" s="695"/>
      <c r="X1313" s="695"/>
      <c r="Y1313" s="695"/>
      <c r="Z1313" s="695"/>
      <c r="AA1313" s="695"/>
      <c r="AB1313" s="695"/>
      <c r="AC1313" s="695"/>
      <c r="AD1313" s="695"/>
      <c r="AE1313" s="695"/>
      <c r="AF1313" s="695"/>
      <c r="AG1313" s="695"/>
      <c r="AH1313" s="695"/>
      <c r="AI1313" s="695"/>
      <c r="AJ1313" s="695"/>
      <c r="AK1313" s="695"/>
      <c r="AL1313" s="695"/>
      <c r="AM1313" s="695"/>
      <c r="AN1313" s="695"/>
      <c r="AO1313" s="695"/>
      <c r="AP1313" s="695"/>
      <c r="AQ1313" s="695"/>
      <c r="AR1313" s="695"/>
      <c r="AS1313" s="695"/>
      <c r="AT1313" s="695"/>
      <c r="AU1313" s="695"/>
      <c r="AV1313" s="695"/>
      <c r="AW1313" s="700"/>
      <c r="AX1313" s="700"/>
      <c r="AY1313" s="700">
        <f>ROUND(AX1313/1000/Update!$B$31*Update!$B$27,0)</f>
        <v>0</v>
      </c>
      <c r="AZ1313" s="700"/>
      <c r="BA1313" s="700"/>
      <c r="BB1313" s="700">
        <f>ROUND(BA1313/1000/Update!$B$31,0)</f>
        <v>0</v>
      </c>
      <c r="BC1313" s="700"/>
      <c r="BD1313" s="721">
        <f t="shared" si="784"/>
        <v>0</v>
      </c>
      <c r="BE1313" s="700"/>
      <c r="BF1313" s="700"/>
      <c r="BG1313" s="700"/>
      <c r="BH1313" s="700"/>
      <c r="BI1313" s="700"/>
      <c r="BJ1313" s="700"/>
      <c r="BK1313" s="721">
        <f t="shared" si="765"/>
        <v>0</v>
      </c>
      <c r="BL1313" s="700"/>
      <c r="BM1313" s="700"/>
      <c r="BN1313" s="700"/>
      <c r="BO1313" s="700"/>
      <c r="BP1313" s="700"/>
      <c r="BQ1313" s="700"/>
      <c r="BR1313" s="700"/>
      <c r="BS1313" s="700"/>
      <c r="BT1313" s="700"/>
      <c r="BU1313" s="700"/>
      <c r="BV1313" s="700"/>
      <c r="BW1313" s="700"/>
      <c r="BX1313" s="700"/>
      <c r="BY1313" s="700"/>
      <c r="BZ1313" s="700"/>
      <c r="CA1313" s="700"/>
      <c r="CB1313" s="700"/>
      <c r="CC1313" s="700"/>
      <c r="CD1313" s="700"/>
      <c r="CE1313" s="700"/>
      <c r="CF1313" s="700"/>
      <c r="CG1313" s="700"/>
      <c r="CH1313" s="700"/>
      <c r="CI1313" s="700"/>
      <c r="CJ1313" s="700"/>
      <c r="CK1313" s="700"/>
      <c r="CM1313" s="700">
        <v>0</v>
      </c>
      <c r="CN1313" s="700">
        <v>0</v>
      </c>
      <c r="CP1313" s="923">
        <f t="shared" si="771"/>
        <v>0</v>
      </c>
      <c r="CZ1313" s="330"/>
    </row>
    <row r="1314" spans="1:104" ht="15" customHeight="1" x14ac:dyDescent="0.25">
      <c r="A1314" s="684">
        <f>MAX($A$6:A1313)+1</f>
        <v>1314</v>
      </c>
      <c r="B1314" s="3">
        <f>B1313</f>
        <v>14</v>
      </c>
      <c r="C1314" s="11" t="str">
        <f>C1313</f>
        <v>Consolidated Provisions for liabilities and charges</v>
      </c>
      <c r="D1314" s="11"/>
      <c r="E1314" s="16" t="str">
        <f>B1314&amp;" "&amp;C1314</f>
        <v>14 Consolidated Provisions for liabilities and charges</v>
      </c>
      <c r="F1314" s="16"/>
      <c r="G1314" s="26"/>
      <c r="H1314" s="6"/>
      <c r="I1314" s="1190"/>
      <c r="J1314" s="1257" t="s">
        <v>286</v>
      </c>
      <c r="K1314" s="251">
        <f>SUMIF('alb Note 14 - Provisions CY'!$A:$A,$J1314,'alb Note 14 - Provisions CY'!$E:$E)</f>
        <v>0</v>
      </c>
      <c r="L1314" s="266"/>
      <c r="M1314" s="10"/>
      <c r="N1314" s="273">
        <f t="shared" si="774"/>
        <v>0</v>
      </c>
      <c r="O1314" s="12"/>
      <c r="P1314" s="12"/>
      <c r="Q1314" s="12"/>
      <c r="R1314" s="12"/>
      <c r="S1314" s="6">
        <f t="shared" si="788"/>
        <v>0</v>
      </c>
      <c r="T1314" s="273">
        <f t="shared" si="789"/>
        <v>0</v>
      </c>
      <c r="U1314" s="6">
        <f t="shared" ref="U1314:U1320" si="790">SUM(BL1314:BN1314)</f>
        <v>0</v>
      </c>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X1314" s="6"/>
      <c r="AY1314" s="6">
        <f>ROUND(AX1314/1000/Update!$B$31*Update!$B$27,0)</f>
        <v>0</v>
      </c>
      <c r="BA1314" s="6"/>
      <c r="BB1314" s="6">
        <f>ROUND(BA1314/1000/Update!$B$31,0)</f>
        <v>0</v>
      </c>
      <c r="BC1314" s="6"/>
      <c r="BD1314" s="29">
        <f t="shared" si="784"/>
        <v>0</v>
      </c>
      <c r="BE1314" s="317"/>
      <c r="BF1314" s="317"/>
      <c r="BG1314" s="317"/>
      <c r="BH1314" s="317"/>
      <c r="BI1314" s="317"/>
      <c r="BJ1314" s="317"/>
      <c r="BK1314" s="29">
        <f t="shared" si="765"/>
        <v>0</v>
      </c>
      <c r="BL1314" s="317"/>
      <c r="BM1314" s="317"/>
      <c r="BN1314" s="317"/>
      <c r="BO1314" s="317"/>
      <c r="BP1314" s="317"/>
      <c r="BQ1314" s="317"/>
      <c r="BR1314" s="317"/>
      <c r="BS1314" s="317"/>
      <c r="BT1314" s="317"/>
      <c r="BU1314" s="317"/>
      <c r="BV1314" s="317"/>
      <c r="BW1314" s="317"/>
      <c r="BX1314" s="317"/>
      <c r="BY1314" s="317"/>
      <c r="BZ1314" s="317"/>
      <c r="CA1314" s="317"/>
      <c r="CB1314" s="317"/>
      <c r="CC1314" s="317"/>
      <c r="CD1314" s="317"/>
      <c r="CE1314" s="317"/>
      <c r="CF1314" s="317"/>
      <c r="CG1314" s="317"/>
      <c r="CH1314" s="317"/>
      <c r="CI1314" s="317"/>
      <c r="CM1314" s="1139">
        <f t="shared" ref="CM1314:CM1352" si="791">+U1314+V1314</f>
        <v>0</v>
      </c>
      <c r="CN1314" s="1139">
        <v>0</v>
      </c>
      <c r="CP1314" s="923">
        <f t="shared" si="771"/>
        <v>0</v>
      </c>
      <c r="CZ1314" s="330"/>
    </row>
    <row r="1315" spans="1:104" ht="15" customHeight="1" x14ac:dyDescent="0.25">
      <c r="A1315" s="684">
        <f>MAX($A$6:A1314)+1</f>
        <v>1315</v>
      </c>
      <c r="B1315" s="3">
        <f>B1314</f>
        <v>14</v>
      </c>
      <c r="C1315" s="11" t="str">
        <f>C1314</f>
        <v>Consolidated Provisions for liabilities and charges</v>
      </c>
      <c r="D1315" s="11" t="s">
        <v>271</v>
      </c>
      <c r="E1315" s="7" t="str">
        <f>"Balance at"&amp;Update!$B$20</f>
        <v>Balance at 1 April 2025</v>
      </c>
      <c r="F1315" s="15"/>
      <c r="G1315" s="1254" t="str">
        <f>$E1315</f>
        <v>Balance at 1 April 2025</v>
      </c>
      <c r="H1315" s="6">
        <v>0</v>
      </c>
      <c r="I1315" s="1190"/>
      <c r="J1315" s="1257" t="str">
        <f>$E1315</f>
        <v>Balance at 1 April 2025</v>
      </c>
      <c r="K1315" s="251">
        <f>SUMIF('alb Note 14 - Provisions CY'!$A:$A,$J1315,'alb Note 14 - Provisions CY'!$E:$E)</f>
        <v>0</v>
      </c>
      <c r="L1315" s="266"/>
      <c r="M1315" s="10"/>
      <c r="N1315" s="273">
        <f t="shared" si="774"/>
        <v>0</v>
      </c>
      <c r="O1315" s="12"/>
      <c r="P1315" s="12"/>
      <c r="Q1315" s="12"/>
      <c r="R1315" s="12"/>
      <c r="S1315" s="6">
        <f t="shared" si="788"/>
        <v>0</v>
      </c>
      <c r="T1315" s="273">
        <f t="shared" si="789"/>
        <v>0</v>
      </c>
      <c r="U1315" s="6">
        <f t="shared" si="790"/>
        <v>0</v>
      </c>
      <c r="V1315" s="6"/>
      <c r="W1315" s="6">
        <f t="shared" ref="W1315:W1369" si="792">+H1315</f>
        <v>0</v>
      </c>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X1315" s="6"/>
      <c r="AY1315" s="6">
        <f>ROUND(AX1315/1000/Update!$B$31*Update!$B$27,0)</f>
        <v>0</v>
      </c>
      <c r="BA1315" s="6"/>
      <c r="BB1315" s="6">
        <f>ROUND(BA1315/1000/Update!$B$31,0)</f>
        <v>0</v>
      </c>
      <c r="BC1315" s="6"/>
      <c r="BD1315" s="29">
        <f t="shared" si="784"/>
        <v>0</v>
      </c>
      <c r="BE1315" s="317"/>
      <c r="BF1315" s="317"/>
      <c r="BG1315" s="317"/>
      <c r="BH1315" s="317"/>
      <c r="BI1315" s="317"/>
      <c r="BJ1315" s="317"/>
      <c r="BK1315" s="29">
        <f t="shared" si="765"/>
        <v>0</v>
      </c>
      <c r="BL1315" s="317"/>
      <c r="BM1315" s="317"/>
      <c r="BN1315" s="317"/>
      <c r="BO1315" s="317"/>
      <c r="BP1315" s="317"/>
      <c r="BQ1315" s="317"/>
      <c r="BR1315" s="317"/>
      <c r="BS1315" s="317"/>
      <c r="BT1315" s="317"/>
      <c r="BU1315" s="317"/>
      <c r="BV1315" s="317"/>
      <c r="BW1315" s="317"/>
      <c r="BX1315" s="317"/>
      <c r="BY1315" s="317"/>
      <c r="BZ1315" s="317"/>
      <c r="CA1315" s="317"/>
      <c r="CB1315" s="317"/>
      <c r="CC1315" s="317"/>
      <c r="CD1315" s="317"/>
      <c r="CE1315" s="317"/>
      <c r="CF1315" s="317"/>
      <c r="CG1315" s="317"/>
      <c r="CH1315" s="317"/>
      <c r="CI1315" s="317"/>
      <c r="CM1315" s="1139">
        <f t="shared" si="791"/>
        <v>0</v>
      </c>
      <c r="CN1315" s="1139">
        <v>0</v>
      </c>
      <c r="CP1315" s="923">
        <f t="shared" si="771"/>
        <v>0</v>
      </c>
      <c r="CZ1315" s="330"/>
    </row>
    <row r="1316" spans="1:104" ht="15" customHeight="1" x14ac:dyDescent="0.25">
      <c r="A1316" s="684">
        <f>MAX($A$6:A1315)+1</f>
        <v>1316</v>
      </c>
      <c r="B1316" s="3">
        <f t="shared" si="770"/>
        <v>14</v>
      </c>
      <c r="C1316" s="11" t="str">
        <f t="shared" ref="C1316:C1410" si="793">C1315</f>
        <v>Consolidated Provisions for liabilities and charges</v>
      </c>
      <c r="D1316" s="11" t="s">
        <v>271</v>
      </c>
      <c r="E1316" s="7" t="s">
        <v>2495</v>
      </c>
      <c r="F1316" s="7"/>
      <c r="G1316" s="7" t="s">
        <v>2495</v>
      </c>
      <c r="H1316" s="6">
        <v>0</v>
      </c>
      <c r="I1316" s="1190"/>
      <c r="J1316" s="1254" t="s">
        <v>2495</v>
      </c>
      <c r="K1316" s="251">
        <f>SUMIF('alb Note 14 - Provisions CY'!$A:$A,$J1316,'alb Note 14 - Provisions CY'!$E:$E)</f>
        <v>0</v>
      </c>
      <c r="L1316" s="266"/>
      <c r="M1316" s="10"/>
      <c r="N1316" s="273">
        <f t="shared" si="774"/>
        <v>0</v>
      </c>
      <c r="O1316" s="12"/>
      <c r="P1316" s="12"/>
      <c r="Q1316" s="12"/>
      <c r="R1316" s="12"/>
      <c r="S1316" s="6">
        <f t="shared" si="788"/>
        <v>0</v>
      </c>
      <c r="T1316" s="273">
        <f t="shared" si="789"/>
        <v>0</v>
      </c>
      <c r="U1316" s="6">
        <f t="shared" si="790"/>
        <v>0</v>
      </c>
      <c r="V1316" s="6"/>
      <c r="W1316" s="6">
        <f t="shared" si="792"/>
        <v>0</v>
      </c>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X1316" s="6"/>
      <c r="AY1316" s="6">
        <f>ROUND(AX1316/1000/Update!$B$31*Update!$B$27,0)</f>
        <v>0</v>
      </c>
      <c r="BA1316" s="6"/>
      <c r="BB1316" s="6">
        <f>ROUND(BA1316/1000/Update!$B$31,0)</f>
        <v>0</v>
      </c>
      <c r="BC1316" s="6"/>
      <c r="BD1316" s="29">
        <f t="shared" si="784"/>
        <v>0</v>
      </c>
      <c r="BE1316" s="317"/>
      <c r="BF1316" s="317"/>
      <c r="BG1316" s="317"/>
      <c r="BH1316" s="317"/>
      <c r="BI1316" s="317"/>
      <c r="BJ1316" s="317"/>
      <c r="BK1316" s="29">
        <f t="shared" si="765"/>
        <v>0</v>
      </c>
      <c r="BL1316" s="317"/>
      <c r="BM1316" s="317"/>
      <c r="BN1316" s="317"/>
      <c r="BO1316" s="317"/>
      <c r="BP1316" s="317"/>
      <c r="BQ1316" s="317"/>
      <c r="BR1316" s="317"/>
      <c r="BS1316" s="317"/>
      <c r="BT1316" s="317"/>
      <c r="BU1316" s="317"/>
      <c r="BV1316" s="317"/>
      <c r="BW1316" s="317"/>
      <c r="BX1316" s="317"/>
      <c r="BY1316" s="317"/>
      <c r="BZ1316" s="317"/>
      <c r="CA1316" s="317"/>
      <c r="CB1316" s="317"/>
      <c r="CC1316" s="317"/>
      <c r="CD1316" s="317"/>
      <c r="CE1316" s="317"/>
      <c r="CF1316" s="317"/>
      <c r="CG1316" s="317"/>
      <c r="CH1316" s="317"/>
      <c r="CI1316" s="317"/>
      <c r="CM1316" s="1139">
        <f t="shared" si="791"/>
        <v>0</v>
      </c>
      <c r="CN1316" s="1139">
        <v>0</v>
      </c>
      <c r="CP1316" s="923">
        <f t="shared" si="771"/>
        <v>0</v>
      </c>
      <c r="CZ1316" s="330"/>
    </row>
    <row r="1317" spans="1:104" ht="15" customHeight="1" x14ac:dyDescent="0.25">
      <c r="A1317" s="684">
        <f>MAX($A$6:A1316)+1</f>
        <v>1317</v>
      </c>
      <c r="B1317" s="3">
        <f t="shared" si="770"/>
        <v>14</v>
      </c>
      <c r="C1317" s="11" t="str">
        <f t="shared" si="793"/>
        <v>Consolidated Provisions for liabilities and charges</v>
      </c>
      <c r="D1317" s="11" t="s">
        <v>271</v>
      </c>
      <c r="E1317" s="7" t="s">
        <v>267</v>
      </c>
      <c r="F1317" s="7"/>
      <c r="G1317" s="1254" t="s">
        <v>267</v>
      </c>
      <c r="H1317" s="6">
        <v>0</v>
      </c>
      <c r="I1317" s="1190"/>
      <c r="J1317" s="1257" t="s">
        <v>791</v>
      </c>
      <c r="K1317" s="251">
        <f>SUMIF('alb Note 14 - Provisions CY'!$A:$A,$J1317,'alb Note 14 - Provisions CY'!$E:$E)</f>
        <v>0</v>
      </c>
      <c r="L1317" s="266"/>
      <c r="M1317" s="10"/>
      <c r="N1317" s="273">
        <f t="shared" si="774"/>
        <v>0</v>
      </c>
      <c r="O1317" s="12"/>
      <c r="P1317" s="12"/>
      <c r="Q1317" s="12"/>
      <c r="R1317" s="12"/>
      <c r="S1317" s="6">
        <f t="shared" si="788"/>
        <v>0</v>
      </c>
      <c r="T1317" s="273">
        <f t="shared" si="789"/>
        <v>0</v>
      </c>
      <c r="U1317" s="6">
        <f t="shared" si="790"/>
        <v>0</v>
      </c>
      <c r="V1317" s="6"/>
      <c r="W1317" s="6">
        <f t="shared" si="792"/>
        <v>0</v>
      </c>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X1317" s="6"/>
      <c r="AY1317" s="6">
        <f>ROUND(AX1317/1000/Update!$B$31*Update!$B$27,0)</f>
        <v>0</v>
      </c>
      <c r="BA1317" s="6"/>
      <c r="BB1317" s="6">
        <f>ROUND(BA1317/1000/Update!$B$31,0)</f>
        <v>0</v>
      </c>
      <c r="BC1317" s="6"/>
      <c r="BD1317" s="29">
        <f t="shared" si="784"/>
        <v>0</v>
      </c>
      <c r="BE1317" s="317"/>
      <c r="BF1317" s="317"/>
      <c r="BG1317" s="317"/>
      <c r="BH1317" s="317"/>
      <c r="BI1317" s="317"/>
      <c r="BJ1317" s="317"/>
      <c r="BK1317" s="29">
        <f t="shared" si="765"/>
        <v>0</v>
      </c>
      <c r="BL1317" s="317"/>
      <c r="BM1317" s="317"/>
      <c r="BN1317" s="317"/>
      <c r="BO1317" s="317"/>
      <c r="BP1317" s="317"/>
      <c r="BQ1317" s="317"/>
      <c r="BR1317" s="317"/>
      <c r="BS1317" s="317"/>
      <c r="BT1317" s="317"/>
      <c r="BU1317" s="317"/>
      <c r="BV1317" s="317"/>
      <c r="BW1317" s="317"/>
      <c r="BX1317" s="317"/>
      <c r="BY1317" s="317"/>
      <c r="BZ1317" s="317"/>
      <c r="CA1317" s="317"/>
      <c r="CB1317" s="317"/>
      <c r="CC1317" s="317"/>
      <c r="CD1317" s="317"/>
      <c r="CE1317" s="317"/>
      <c r="CF1317" s="317"/>
      <c r="CG1317" s="317"/>
      <c r="CH1317" s="317"/>
      <c r="CI1317" s="317"/>
      <c r="CM1317" s="1139">
        <f t="shared" si="791"/>
        <v>0</v>
      </c>
      <c r="CN1317" s="1139">
        <v>0</v>
      </c>
      <c r="CP1317" s="923">
        <f t="shared" si="771"/>
        <v>0</v>
      </c>
      <c r="CZ1317" s="330"/>
    </row>
    <row r="1318" spans="1:104" ht="25.5" customHeight="1" x14ac:dyDescent="0.25">
      <c r="A1318" s="684">
        <f>MAX($A$6:A1317)+1</f>
        <v>1318</v>
      </c>
      <c r="B1318" s="3">
        <f t="shared" si="770"/>
        <v>14</v>
      </c>
      <c r="C1318" s="11" t="str">
        <f t="shared" si="793"/>
        <v>Consolidated Provisions for liabilities and charges</v>
      </c>
      <c r="D1318" s="11" t="s">
        <v>271</v>
      </c>
      <c r="E1318" s="7" t="s">
        <v>268</v>
      </c>
      <c r="F1318" s="7"/>
      <c r="G1318" s="1254" t="s">
        <v>268</v>
      </c>
      <c r="H1318" s="6">
        <v>0</v>
      </c>
      <c r="I1318" s="1190"/>
      <c r="J1318" s="1257" t="s">
        <v>792</v>
      </c>
      <c r="K1318" s="251">
        <f>SUMIF('alb Note 14 - Provisions CY'!$A:$A,$J1318,'alb Note 14 - Provisions CY'!$E:$E)</f>
        <v>0</v>
      </c>
      <c r="L1318" s="266"/>
      <c r="M1318" s="10"/>
      <c r="N1318" s="273">
        <f t="shared" si="774"/>
        <v>0</v>
      </c>
      <c r="O1318" s="12"/>
      <c r="P1318" s="12"/>
      <c r="Q1318" s="12"/>
      <c r="R1318" s="12"/>
      <c r="S1318" s="6">
        <f t="shared" si="788"/>
        <v>0</v>
      </c>
      <c r="T1318" s="273">
        <f t="shared" si="789"/>
        <v>0</v>
      </c>
      <c r="U1318" s="6">
        <f t="shared" si="790"/>
        <v>0</v>
      </c>
      <c r="V1318" s="6"/>
      <c r="W1318" s="6">
        <f t="shared" si="792"/>
        <v>0</v>
      </c>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X1318" s="6"/>
      <c r="AY1318" s="6">
        <f>ROUND(AX1318/1000/Update!$B$31*Update!$B$27,0)</f>
        <v>0</v>
      </c>
      <c r="BA1318" s="6"/>
      <c r="BB1318" s="6">
        <f>ROUND(BA1318/1000/Update!$B$31,0)</f>
        <v>0</v>
      </c>
      <c r="BC1318" s="6"/>
      <c r="BD1318" s="29">
        <f t="shared" si="784"/>
        <v>0</v>
      </c>
      <c r="BE1318" s="317"/>
      <c r="BF1318" s="317"/>
      <c r="BG1318" s="317"/>
      <c r="BH1318" s="317"/>
      <c r="BI1318" s="317"/>
      <c r="BJ1318" s="317"/>
      <c r="BK1318" s="29">
        <f t="shared" si="765"/>
        <v>0</v>
      </c>
      <c r="BL1318" s="317"/>
      <c r="BM1318" s="317"/>
      <c r="BN1318" s="317"/>
      <c r="BO1318" s="317"/>
      <c r="BP1318" s="317"/>
      <c r="BQ1318" s="317"/>
      <c r="BR1318" s="317"/>
      <c r="BS1318" s="317"/>
      <c r="BT1318" s="317"/>
      <c r="BU1318" s="317"/>
      <c r="BV1318" s="317"/>
      <c r="BW1318" s="317"/>
      <c r="BX1318" s="317"/>
      <c r="BY1318" s="317"/>
      <c r="BZ1318" s="317"/>
      <c r="CA1318" s="317"/>
      <c r="CB1318" s="317"/>
      <c r="CC1318" s="317"/>
      <c r="CD1318" s="317"/>
      <c r="CE1318" s="317"/>
      <c r="CF1318" s="317"/>
      <c r="CG1318" s="317"/>
      <c r="CH1318" s="317"/>
      <c r="CI1318" s="317"/>
      <c r="CM1318" s="1139">
        <f t="shared" si="791"/>
        <v>0</v>
      </c>
      <c r="CN1318" s="1139">
        <v>0</v>
      </c>
      <c r="CP1318" s="923">
        <f t="shared" si="771"/>
        <v>0</v>
      </c>
      <c r="CZ1318" s="330"/>
    </row>
    <row r="1319" spans="1:104" ht="15" customHeight="1" x14ac:dyDescent="0.25">
      <c r="A1319" s="684">
        <f>MAX($A$6:A1318)+1</f>
        <v>1319</v>
      </c>
      <c r="B1319" s="3">
        <f t="shared" si="770"/>
        <v>14</v>
      </c>
      <c r="C1319" s="11" t="str">
        <f t="shared" si="793"/>
        <v>Consolidated Provisions for liabilities and charges</v>
      </c>
      <c r="D1319" s="11" t="s">
        <v>271</v>
      </c>
      <c r="E1319" s="7" t="s">
        <v>269</v>
      </c>
      <c r="F1319" s="7"/>
      <c r="G1319" s="1254" t="s">
        <v>269</v>
      </c>
      <c r="H1319" s="6">
        <v>0</v>
      </c>
      <c r="I1319" s="1190"/>
      <c r="J1319" s="1257" t="s">
        <v>793</v>
      </c>
      <c r="K1319" s="251">
        <f>SUMIF('alb Note 14 - Provisions CY'!$A:$A,$J1319,'alb Note 14 - Provisions CY'!$E:$E)</f>
        <v>0</v>
      </c>
      <c r="L1319" s="266"/>
      <c r="M1319" s="10"/>
      <c r="N1319" s="273">
        <f t="shared" si="774"/>
        <v>0</v>
      </c>
      <c r="O1319" s="12"/>
      <c r="P1319" s="12"/>
      <c r="Q1319" s="12"/>
      <c r="R1319" s="12"/>
      <c r="S1319" s="6">
        <f t="shared" si="788"/>
        <v>0</v>
      </c>
      <c r="T1319" s="273">
        <f t="shared" si="789"/>
        <v>0</v>
      </c>
      <c r="U1319" s="6">
        <f t="shared" si="790"/>
        <v>0</v>
      </c>
      <c r="V1319" s="6"/>
      <c r="W1319" s="6">
        <f t="shared" si="792"/>
        <v>0</v>
      </c>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X1319" s="6"/>
      <c r="AY1319" s="6">
        <f>ROUND(AX1319/1000/Update!$B$31*Update!$B$27,0)</f>
        <v>0</v>
      </c>
      <c r="BA1319" s="6"/>
      <c r="BB1319" s="6">
        <f>ROUND(BA1319/1000/Update!$B$31,0)</f>
        <v>0</v>
      </c>
      <c r="BC1319" s="6"/>
      <c r="BD1319" s="29">
        <f t="shared" si="784"/>
        <v>0</v>
      </c>
      <c r="BE1319" s="317"/>
      <c r="BF1319" s="317"/>
      <c r="BG1319" s="317"/>
      <c r="BH1319" s="317"/>
      <c r="BI1319" s="317"/>
      <c r="BJ1319" s="317"/>
      <c r="BK1319" s="29">
        <f t="shared" si="765"/>
        <v>0</v>
      </c>
      <c r="BL1319" s="317"/>
      <c r="BM1319" s="317"/>
      <c r="BN1319" s="317"/>
      <c r="BO1319" s="317"/>
      <c r="BP1319" s="317"/>
      <c r="BQ1319" s="317"/>
      <c r="BR1319" s="317"/>
      <c r="BS1319" s="317"/>
      <c r="BT1319" s="317"/>
      <c r="BU1319" s="317"/>
      <c r="BV1319" s="317"/>
      <c r="BW1319" s="317"/>
      <c r="BX1319" s="317"/>
      <c r="BY1319" s="317"/>
      <c r="BZ1319" s="317"/>
      <c r="CA1319" s="317"/>
      <c r="CB1319" s="317"/>
      <c r="CC1319" s="317"/>
      <c r="CD1319" s="317"/>
      <c r="CE1319" s="317"/>
      <c r="CF1319" s="317"/>
      <c r="CG1319" s="317"/>
      <c r="CH1319" s="317"/>
      <c r="CI1319" s="317"/>
      <c r="CM1319" s="1139">
        <f t="shared" si="791"/>
        <v>0</v>
      </c>
      <c r="CN1319" s="1139">
        <v>0</v>
      </c>
      <c r="CP1319" s="923">
        <f t="shared" si="771"/>
        <v>0</v>
      </c>
      <c r="CZ1319" s="330"/>
    </row>
    <row r="1320" spans="1:104" ht="25.5" customHeight="1" x14ac:dyDescent="0.25">
      <c r="A1320" s="684">
        <f>MAX($A$6:A1319)+1</f>
        <v>1320</v>
      </c>
      <c r="B1320" s="3">
        <f t="shared" si="770"/>
        <v>14</v>
      </c>
      <c r="C1320" s="11" t="str">
        <f t="shared" si="793"/>
        <v>Consolidated Provisions for liabilities and charges</v>
      </c>
      <c r="D1320" s="11" t="s">
        <v>271</v>
      </c>
      <c r="E1320" s="7" t="s">
        <v>270</v>
      </c>
      <c r="F1320" s="7"/>
      <c r="G1320" s="1254" t="s">
        <v>270</v>
      </c>
      <c r="H1320" s="6">
        <v>0</v>
      </c>
      <c r="I1320" s="1190"/>
      <c r="J1320" s="1257" t="s">
        <v>794</v>
      </c>
      <c r="K1320" s="251">
        <f>SUMIF('alb Note 14 - Provisions CY'!$A:$A,$J1320,'alb Note 14 - Provisions CY'!$E:$E)</f>
        <v>0</v>
      </c>
      <c r="L1320" s="266"/>
      <c r="M1320" s="10"/>
      <c r="N1320" s="273">
        <f t="shared" si="774"/>
        <v>0</v>
      </c>
      <c r="O1320" s="12"/>
      <c r="P1320" s="12"/>
      <c r="Q1320" s="12"/>
      <c r="R1320" s="12"/>
      <c r="S1320" s="6">
        <f t="shared" si="788"/>
        <v>0</v>
      </c>
      <c r="T1320" s="273">
        <f t="shared" si="789"/>
        <v>0</v>
      </c>
      <c r="U1320" s="6">
        <f t="shared" si="790"/>
        <v>0</v>
      </c>
      <c r="V1320" s="6"/>
      <c r="W1320" s="6">
        <f t="shared" si="792"/>
        <v>0</v>
      </c>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X1320" s="6"/>
      <c r="AY1320" s="6">
        <f>ROUND(AX1320/1000/Update!$B$31*Update!$B$27,0)</f>
        <v>0</v>
      </c>
      <c r="BA1320" s="6"/>
      <c r="BB1320" s="6">
        <f>ROUND(BA1320/1000/Update!$B$31,0)</f>
        <v>0</v>
      </c>
      <c r="BC1320" s="6"/>
      <c r="BD1320" s="29">
        <f t="shared" si="784"/>
        <v>0</v>
      </c>
      <c r="BE1320" s="317"/>
      <c r="BF1320" s="317"/>
      <c r="BG1320" s="317"/>
      <c r="BH1320" s="317"/>
      <c r="BI1320" s="317"/>
      <c r="BJ1320" s="317"/>
      <c r="BK1320" s="29">
        <f t="shared" si="765"/>
        <v>0</v>
      </c>
      <c r="BL1320" s="317"/>
      <c r="BM1320" s="317"/>
      <c r="BN1320" s="317"/>
      <c r="BO1320" s="317"/>
      <c r="BP1320" s="317"/>
      <c r="BQ1320" s="317"/>
      <c r="BR1320" s="317"/>
      <c r="BS1320" s="317"/>
      <c r="BT1320" s="317"/>
      <c r="BU1320" s="317"/>
      <c r="BV1320" s="317"/>
      <c r="BW1320" s="317"/>
      <c r="BX1320" s="317"/>
      <c r="BY1320" s="317"/>
      <c r="BZ1320" s="317"/>
      <c r="CA1320" s="317"/>
      <c r="CB1320" s="317"/>
      <c r="CC1320" s="317"/>
      <c r="CD1320" s="317"/>
      <c r="CE1320" s="317"/>
      <c r="CF1320" s="317"/>
      <c r="CG1320" s="317"/>
      <c r="CH1320" s="317"/>
      <c r="CI1320" s="317"/>
      <c r="CM1320" s="1139">
        <f t="shared" si="791"/>
        <v>0</v>
      </c>
      <c r="CN1320" s="1139">
        <v>0</v>
      </c>
      <c r="CP1320" s="923">
        <f t="shared" si="771"/>
        <v>0</v>
      </c>
      <c r="CZ1320" s="330"/>
    </row>
    <row r="1321" spans="1:104" ht="15" customHeight="1" x14ac:dyDescent="0.25">
      <c r="A1321" s="701">
        <f>MAX($A$6:A1320)+1</f>
        <v>1321</v>
      </c>
      <c r="B1321" s="1291">
        <f t="shared" si="770"/>
        <v>14</v>
      </c>
      <c r="C1321" s="18" t="str">
        <f t="shared" si="793"/>
        <v>Consolidated Provisions for liabilities and charges</v>
      </c>
      <c r="D1321" s="19" t="s">
        <v>271</v>
      </c>
      <c r="E1321" s="19" t="s">
        <v>274</v>
      </c>
      <c r="F1321" s="19"/>
      <c r="G1321" s="28"/>
      <c r="H1321" s="14">
        <f>SUM(H1315:H1320)</f>
        <v>0</v>
      </c>
      <c r="I1321" s="14"/>
      <c r="J1321" s="1258" t="s">
        <v>286</v>
      </c>
      <c r="K1321" s="256">
        <f>SUM(K1315:K1320)</f>
        <v>0</v>
      </c>
      <c r="L1321" s="256">
        <f>SUM(L1315:L1320)</f>
        <v>0</v>
      </c>
      <c r="M1321" s="21"/>
      <c r="N1321" s="14">
        <f t="shared" si="774"/>
        <v>0</v>
      </c>
      <c r="O1321" s="14">
        <f t="shared" ref="O1321:V1321" si="794">SUM(O1315:O1320)</f>
        <v>0</v>
      </c>
      <c r="P1321" s="14">
        <f t="shared" si="794"/>
        <v>0</v>
      </c>
      <c r="Q1321" s="14">
        <f t="shared" si="794"/>
        <v>0</v>
      </c>
      <c r="R1321" s="14">
        <f t="shared" si="794"/>
        <v>0</v>
      </c>
      <c r="S1321" s="14">
        <f t="shared" si="788"/>
        <v>0</v>
      </c>
      <c r="T1321" s="14">
        <f t="shared" si="794"/>
        <v>0</v>
      </c>
      <c r="U1321" s="14">
        <f>SUM(U1315:U1320)</f>
        <v>0</v>
      </c>
      <c r="V1321" s="14">
        <f t="shared" si="794"/>
        <v>0</v>
      </c>
      <c r="W1321" s="14">
        <f>SUM(W1315:W1320)</f>
        <v>0</v>
      </c>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2"/>
      <c r="AX1321" s="14">
        <f>SUM(AX1315:AX1320)</f>
        <v>0</v>
      </c>
      <c r="AY1321" s="14">
        <f>ROUND(AX1321/1000/Update!$B$31*Update!$B$27,0)</f>
        <v>0</v>
      </c>
      <c r="AZ1321" s="2"/>
      <c r="BA1321" s="14">
        <f>SUM(BA1315:BA1320)</f>
        <v>0</v>
      </c>
      <c r="BB1321" s="14">
        <f>ROUND(BA1321/1000/Update!$B$31,0)</f>
        <v>0</v>
      </c>
      <c r="BC1321" s="14"/>
      <c r="BD1321" s="14">
        <f t="shared" si="784"/>
        <v>0</v>
      </c>
      <c r="BE1321" s="318">
        <f t="shared" ref="BE1321:BJ1321" si="795">SUM(BE1315:BE1320)</f>
        <v>0</v>
      </c>
      <c r="BF1321" s="318">
        <f t="shared" si="795"/>
        <v>0</v>
      </c>
      <c r="BG1321" s="318">
        <f t="shared" si="795"/>
        <v>0</v>
      </c>
      <c r="BH1321" s="318">
        <f t="shared" si="795"/>
        <v>0</v>
      </c>
      <c r="BI1321" s="318">
        <f t="shared" si="795"/>
        <v>0</v>
      </c>
      <c r="BJ1321" s="318">
        <f t="shared" si="795"/>
        <v>0</v>
      </c>
      <c r="BK1321" s="14">
        <f t="shared" si="765"/>
        <v>0</v>
      </c>
      <c r="BL1321" s="318"/>
      <c r="BM1321" s="318"/>
      <c r="BN1321" s="318"/>
      <c r="BO1321" s="318"/>
      <c r="BP1321" s="318"/>
      <c r="BQ1321" s="318"/>
      <c r="BR1321" s="318"/>
      <c r="BS1321" s="318"/>
      <c r="BT1321" s="318"/>
      <c r="BU1321" s="318"/>
      <c r="BV1321" s="318"/>
      <c r="BW1321" s="318"/>
      <c r="BX1321" s="318"/>
      <c r="BY1321" s="318"/>
      <c r="BZ1321" s="318"/>
      <c r="CA1321" s="318"/>
      <c r="CB1321" s="318"/>
      <c r="CC1321" s="318"/>
      <c r="CD1321" s="318"/>
      <c r="CE1321" s="318"/>
      <c r="CF1321" s="318"/>
      <c r="CG1321" s="318"/>
      <c r="CH1321" s="318"/>
      <c r="CI1321" s="318"/>
      <c r="CJ1321" s="2"/>
      <c r="CK1321" s="2"/>
      <c r="CM1321" s="1140">
        <f t="shared" si="791"/>
        <v>0</v>
      </c>
      <c r="CN1321" s="1140">
        <v>0</v>
      </c>
      <c r="CP1321" s="923">
        <f t="shared" si="771"/>
        <v>0</v>
      </c>
      <c r="CZ1321" s="330"/>
    </row>
    <row r="1322" spans="1:104" ht="15" customHeight="1" x14ac:dyDescent="0.25">
      <c r="A1322" s="684">
        <f>MAX($A$6:A1321)+1</f>
        <v>1322</v>
      </c>
      <c r="B1322" s="3">
        <f t="shared" si="770"/>
        <v>14</v>
      </c>
      <c r="C1322" s="11" t="str">
        <f>C1321</f>
        <v>Consolidated Provisions for liabilities and charges</v>
      </c>
      <c r="D1322" s="11" t="s">
        <v>272</v>
      </c>
      <c r="E1322" s="7" t="str">
        <f>"Balance at"&amp;Update!$B$20</f>
        <v>Balance at 1 April 2025</v>
      </c>
      <c r="F1322" s="15"/>
      <c r="G1322" s="1254" t="str">
        <f>$E1322</f>
        <v>Balance at 1 April 2025</v>
      </c>
      <c r="H1322" s="6">
        <v>0</v>
      </c>
      <c r="I1322" s="6">
        <v>0</v>
      </c>
      <c r="J1322" s="1257" t="str">
        <f>$E1322</f>
        <v>Balance at 1 April 2025</v>
      </c>
      <c r="K1322" s="251">
        <f>SUMIF('alb Note 14 - Provisions CY'!$A:$A,$J1322,'alb Note 14 - Provisions CY'!$D:$D)</f>
        <v>0</v>
      </c>
      <c r="L1322" s="251">
        <f>SUMIF('alb Note 14 - Provisions CY'!$A:$A,$J1322,'alb Note 14 - Provisions CY'!$L:$L)</f>
        <v>0</v>
      </c>
      <c r="M1322" s="10"/>
      <c r="N1322" s="273">
        <f t="shared" si="774"/>
        <v>0</v>
      </c>
      <c r="O1322" s="12"/>
      <c r="P1322" s="12"/>
      <c r="Q1322" s="12"/>
      <c r="R1322" s="12"/>
      <c r="S1322" s="6">
        <f t="shared" si="788"/>
        <v>0</v>
      </c>
      <c r="T1322" s="273">
        <f t="shared" ref="T1322:T1327" si="796">ROUND(SUM(U1322:Y1322),0)</f>
        <v>0</v>
      </c>
      <c r="U1322" s="6">
        <f t="shared" ref="U1322:U1327" si="797">SUM(BL1322:BN1322)</f>
        <v>0</v>
      </c>
      <c r="V1322" s="6"/>
      <c r="W1322" s="6">
        <f t="shared" si="792"/>
        <v>0</v>
      </c>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X1322" s="6"/>
      <c r="AY1322" s="6">
        <f>ROUND(AX1322/1000/Update!$B$31*Update!$B$27,0)</f>
        <v>0</v>
      </c>
      <c r="BA1322" s="6"/>
      <c r="BB1322" s="6">
        <f>ROUND(BA1322/1000/Update!$B$31,0)</f>
        <v>0</v>
      </c>
      <c r="BC1322" s="6"/>
      <c r="BD1322" s="29">
        <f t="shared" si="784"/>
        <v>0</v>
      </c>
      <c r="BE1322" s="322"/>
      <c r="BF1322" s="322"/>
      <c r="BG1322" s="322"/>
      <c r="BH1322" s="322"/>
      <c r="BI1322" s="322"/>
      <c r="BJ1322" s="322"/>
      <c r="BK1322" s="29">
        <f t="shared" si="765"/>
        <v>0</v>
      </c>
      <c r="BL1322" s="322"/>
      <c r="BM1322" s="322"/>
      <c r="BN1322" s="322"/>
      <c r="BO1322" s="322"/>
      <c r="BP1322" s="322"/>
      <c r="BQ1322" s="322"/>
      <c r="BR1322" s="322"/>
      <c r="BS1322" s="322"/>
      <c r="BT1322" s="322"/>
      <c r="BU1322" s="322"/>
      <c r="BV1322" s="322"/>
      <c r="BW1322" s="322"/>
      <c r="BX1322" s="322"/>
      <c r="BY1322" s="322"/>
      <c r="BZ1322" s="322"/>
      <c r="CA1322" s="322"/>
      <c r="CB1322" s="322"/>
      <c r="CC1322" s="322"/>
      <c r="CD1322" s="322"/>
      <c r="CE1322" s="322"/>
      <c r="CF1322" s="322"/>
      <c r="CG1322" s="322"/>
      <c r="CH1322" s="322"/>
      <c r="CI1322" s="322"/>
      <c r="CM1322" s="1139">
        <f t="shared" si="791"/>
        <v>0</v>
      </c>
      <c r="CN1322" s="1139">
        <v>0</v>
      </c>
      <c r="CP1322" s="923">
        <f t="shared" si="771"/>
        <v>0</v>
      </c>
      <c r="CZ1322" s="330"/>
    </row>
    <row r="1323" spans="1:104" ht="15" customHeight="1" x14ac:dyDescent="0.25">
      <c r="A1323" s="684">
        <f>MAX($A$6:A1322)+1</f>
        <v>1323</v>
      </c>
      <c r="B1323" s="3">
        <f t="shared" si="770"/>
        <v>14</v>
      </c>
      <c r="C1323" s="11" t="str">
        <f t="shared" si="793"/>
        <v>Consolidated Provisions for liabilities and charges</v>
      </c>
      <c r="D1323" s="11" t="s">
        <v>272</v>
      </c>
      <c r="E1323" s="7" t="s">
        <v>2495</v>
      </c>
      <c r="F1323" s="7"/>
      <c r="G1323" s="7" t="s">
        <v>2495</v>
      </c>
      <c r="H1323" s="6">
        <v>0</v>
      </c>
      <c r="I1323" s="6">
        <v>0</v>
      </c>
      <c r="J1323" s="1257" t="s">
        <v>2495</v>
      </c>
      <c r="K1323" s="251">
        <f>SUMIF('alb Note 14 - Provisions CY'!$A:$A,$J1323,'alb Note 14 - Provisions CY'!$D:$D)</f>
        <v>0</v>
      </c>
      <c r="L1323" s="251">
        <f>SUMIF('alb Note 14 - Provisions CY'!$A:$A,$J1323,'alb Note 14 - Provisions CY'!$L:$L)</f>
        <v>0</v>
      </c>
      <c r="M1323" s="10"/>
      <c r="N1323" s="273">
        <f t="shared" si="774"/>
        <v>0</v>
      </c>
      <c r="O1323" s="12"/>
      <c r="P1323" s="12"/>
      <c r="Q1323" s="12"/>
      <c r="R1323" s="12"/>
      <c r="S1323" s="6">
        <f t="shared" si="788"/>
        <v>0</v>
      </c>
      <c r="T1323" s="273">
        <f t="shared" si="796"/>
        <v>0</v>
      </c>
      <c r="U1323" s="6">
        <f t="shared" si="797"/>
        <v>0</v>
      </c>
      <c r="V1323" s="6"/>
      <c r="W1323" s="6">
        <f t="shared" si="792"/>
        <v>0</v>
      </c>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X1323" s="6"/>
      <c r="AY1323" s="6">
        <f>ROUND(AX1323/1000/Update!$B$31*Update!$B$27,0)</f>
        <v>0</v>
      </c>
      <c r="BA1323" s="6"/>
      <c r="BB1323" s="6">
        <f>ROUND(BA1323/1000/Update!$B$31,0)</f>
        <v>0</v>
      </c>
      <c r="BC1323" s="6"/>
      <c r="BD1323" s="29">
        <f t="shared" si="784"/>
        <v>0</v>
      </c>
      <c r="BE1323" s="322"/>
      <c r="BF1323" s="322"/>
      <c r="BG1323" s="322"/>
      <c r="BH1323" s="322"/>
      <c r="BI1323" s="322"/>
      <c r="BJ1323" s="322"/>
      <c r="BK1323" s="29">
        <f t="shared" si="765"/>
        <v>0</v>
      </c>
      <c r="BL1323" s="322"/>
      <c r="BM1323" s="322"/>
      <c r="BN1323" s="322"/>
      <c r="BO1323" s="322"/>
      <c r="BP1323" s="322"/>
      <c r="BQ1323" s="322"/>
      <c r="BR1323" s="322"/>
      <c r="BS1323" s="322"/>
      <c r="BT1323" s="322"/>
      <c r="BU1323" s="322"/>
      <c r="BV1323" s="322"/>
      <c r="BW1323" s="322"/>
      <c r="BX1323" s="322"/>
      <c r="BY1323" s="322"/>
      <c r="BZ1323" s="322"/>
      <c r="CA1323" s="322"/>
      <c r="CB1323" s="322"/>
      <c r="CC1323" s="322"/>
      <c r="CD1323" s="322"/>
      <c r="CE1323" s="322"/>
      <c r="CF1323" s="322"/>
      <c r="CG1323" s="322"/>
      <c r="CH1323" s="322"/>
      <c r="CI1323" s="322"/>
      <c r="CM1323" s="1139">
        <f t="shared" si="791"/>
        <v>0</v>
      </c>
      <c r="CN1323" s="1139">
        <v>0</v>
      </c>
      <c r="CP1323" s="923">
        <f t="shared" si="771"/>
        <v>0</v>
      </c>
      <c r="CZ1323" s="330"/>
    </row>
    <row r="1324" spans="1:104" ht="15" customHeight="1" x14ac:dyDescent="0.25">
      <c r="A1324" s="684">
        <f>MAX($A$6:A1323)+1</f>
        <v>1324</v>
      </c>
      <c r="B1324" s="3">
        <f t="shared" si="770"/>
        <v>14</v>
      </c>
      <c r="C1324" s="11" t="str">
        <f t="shared" si="793"/>
        <v>Consolidated Provisions for liabilities and charges</v>
      </c>
      <c r="D1324" s="11" t="s">
        <v>272</v>
      </c>
      <c r="E1324" s="7" t="s">
        <v>267</v>
      </c>
      <c r="F1324" s="7"/>
      <c r="G1324" s="1254" t="s">
        <v>267</v>
      </c>
      <c r="H1324" s="6">
        <v>0</v>
      </c>
      <c r="I1324" s="6">
        <v>0</v>
      </c>
      <c r="J1324" s="1257" t="s">
        <v>791</v>
      </c>
      <c r="K1324" s="251">
        <f>SUMIF('alb Note 14 - Provisions CY'!$A:$A,$J1324,'alb Note 14 - Provisions CY'!$D:$D)</f>
        <v>0</v>
      </c>
      <c r="L1324" s="251">
        <f>SUMIF('alb Note 14 - Provisions CY'!$A:$A,$J1324,'alb Note 14 - Provisions CY'!$L:$L)</f>
        <v>0</v>
      </c>
      <c r="M1324" s="10"/>
      <c r="N1324" s="273">
        <f t="shared" ref="N1324:N1387" si="798">ROUND(SUM(O1324:S1324)+T1324+SUM(Z1324:AV1324),0)</f>
        <v>0</v>
      </c>
      <c r="O1324" s="12"/>
      <c r="P1324" s="12"/>
      <c r="Q1324" s="12"/>
      <c r="R1324" s="12"/>
      <c r="S1324" s="6">
        <f t="shared" si="788"/>
        <v>0</v>
      </c>
      <c r="T1324" s="273">
        <f t="shared" si="796"/>
        <v>0</v>
      </c>
      <c r="U1324" s="6">
        <f t="shared" si="797"/>
        <v>0</v>
      </c>
      <c r="V1324" s="6"/>
      <c r="W1324" s="6">
        <f t="shared" si="792"/>
        <v>0</v>
      </c>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X1324" s="6"/>
      <c r="AY1324" s="6">
        <f>ROUND(AX1324/1000/Update!$B$31*Update!$B$27,0)</f>
        <v>0</v>
      </c>
      <c r="BA1324" s="6"/>
      <c r="BB1324" s="6">
        <f>ROUND(BA1324/1000/Update!$B$31,0)</f>
        <v>0</v>
      </c>
      <c r="BC1324" s="6"/>
      <c r="BD1324" s="29">
        <f t="shared" si="784"/>
        <v>0</v>
      </c>
      <c r="BE1324" s="322"/>
      <c r="BF1324" s="322"/>
      <c r="BG1324" s="322"/>
      <c r="BH1324" s="322"/>
      <c r="BI1324" s="322"/>
      <c r="BJ1324" s="322"/>
      <c r="BK1324" s="29">
        <f t="shared" si="765"/>
        <v>0</v>
      </c>
      <c r="BL1324" s="322"/>
      <c r="BM1324" s="322"/>
      <c r="BN1324" s="322"/>
      <c r="BO1324" s="322"/>
      <c r="BP1324" s="322"/>
      <c r="BQ1324" s="322"/>
      <c r="BR1324" s="322"/>
      <c r="BS1324" s="322"/>
      <c r="BT1324" s="322"/>
      <c r="BU1324" s="322"/>
      <c r="BV1324" s="322"/>
      <c r="BW1324" s="322"/>
      <c r="BX1324" s="322"/>
      <c r="BY1324" s="322"/>
      <c r="BZ1324" s="322"/>
      <c r="CA1324" s="322"/>
      <c r="CB1324" s="322"/>
      <c r="CC1324" s="322"/>
      <c r="CD1324" s="322"/>
      <c r="CE1324" s="322"/>
      <c r="CF1324" s="322"/>
      <c r="CG1324" s="322"/>
      <c r="CH1324" s="322"/>
      <c r="CI1324" s="322"/>
      <c r="CM1324" s="1139">
        <f t="shared" si="791"/>
        <v>0</v>
      </c>
      <c r="CN1324" s="1139">
        <v>0</v>
      </c>
      <c r="CP1324" s="923">
        <f t="shared" si="771"/>
        <v>0</v>
      </c>
      <c r="CZ1324" s="330"/>
    </row>
    <row r="1325" spans="1:104" ht="25.5" customHeight="1" x14ac:dyDescent="0.25">
      <c r="A1325" s="684">
        <f>MAX($A$6:A1324)+1</f>
        <v>1325</v>
      </c>
      <c r="B1325" s="3">
        <f t="shared" si="770"/>
        <v>14</v>
      </c>
      <c r="C1325" s="11" t="str">
        <f t="shared" si="793"/>
        <v>Consolidated Provisions for liabilities and charges</v>
      </c>
      <c r="D1325" s="11" t="s">
        <v>272</v>
      </c>
      <c r="E1325" s="7" t="s">
        <v>268</v>
      </c>
      <c r="F1325" s="7"/>
      <c r="G1325" s="1254" t="s">
        <v>268</v>
      </c>
      <c r="H1325" s="6">
        <v>0</v>
      </c>
      <c r="I1325" s="6">
        <v>0</v>
      </c>
      <c r="J1325" s="1257" t="s">
        <v>792</v>
      </c>
      <c r="K1325" s="251">
        <f>SUMIF('alb Note 14 - Provisions CY'!$A:$A,$J1325,'alb Note 14 - Provisions CY'!$D:$D)</f>
        <v>0</v>
      </c>
      <c r="L1325" s="251">
        <f>SUMIF('alb Note 14 - Provisions CY'!$A:$A,$J1325,'alb Note 14 - Provisions CY'!$L:$L)</f>
        <v>0</v>
      </c>
      <c r="M1325" s="10"/>
      <c r="N1325" s="273">
        <f t="shared" si="798"/>
        <v>0</v>
      </c>
      <c r="O1325" s="12"/>
      <c r="P1325" s="12"/>
      <c r="Q1325" s="12"/>
      <c r="R1325" s="12"/>
      <c r="S1325" s="6">
        <f t="shared" si="788"/>
        <v>0</v>
      </c>
      <c r="T1325" s="273">
        <f t="shared" si="796"/>
        <v>0</v>
      </c>
      <c r="U1325" s="6">
        <f t="shared" si="797"/>
        <v>0</v>
      </c>
      <c r="V1325" s="6"/>
      <c r="W1325" s="6">
        <f t="shared" si="792"/>
        <v>0</v>
      </c>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X1325" s="6"/>
      <c r="AY1325" s="6">
        <f>ROUND(AX1325/1000/Update!$B$31*Update!$B$27,0)</f>
        <v>0</v>
      </c>
      <c r="BA1325" s="6"/>
      <c r="BB1325" s="6">
        <f>ROUND(BA1325/1000/Update!$B$31,0)</f>
        <v>0</v>
      </c>
      <c r="BC1325" s="6"/>
      <c r="BD1325" s="29">
        <f t="shared" si="784"/>
        <v>0</v>
      </c>
      <c r="BE1325" s="322"/>
      <c r="BF1325" s="322"/>
      <c r="BG1325" s="322"/>
      <c r="BH1325" s="322"/>
      <c r="BI1325" s="322"/>
      <c r="BJ1325" s="322"/>
      <c r="BK1325" s="29">
        <f t="shared" si="765"/>
        <v>0</v>
      </c>
      <c r="BL1325" s="322"/>
      <c r="BM1325" s="322"/>
      <c r="BN1325" s="322"/>
      <c r="BO1325" s="322"/>
      <c r="BP1325" s="322"/>
      <c r="BQ1325" s="322"/>
      <c r="BR1325" s="322"/>
      <c r="BS1325" s="322"/>
      <c r="BT1325" s="322"/>
      <c r="BU1325" s="322"/>
      <c r="BV1325" s="322"/>
      <c r="BW1325" s="322"/>
      <c r="BX1325" s="322"/>
      <c r="BY1325" s="322"/>
      <c r="BZ1325" s="322"/>
      <c r="CA1325" s="322"/>
      <c r="CB1325" s="322"/>
      <c r="CC1325" s="322"/>
      <c r="CD1325" s="322"/>
      <c r="CE1325" s="322"/>
      <c r="CF1325" s="322"/>
      <c r="CG1325" s="322"/>
      <c r="CH1325" s="322"/>
      <c r="CI1325" s="322"/>
      <c r="CM1325" s="1139">
        <f t="shared" si="791"/>
        <v>0</v>
      </c>
      <c r="CN1325" s="1139">
        <v>0</v>
      </c>
      <c r="CP1325" s="923">
        <f t="shared" si="771"/>
        <v>0</v>
      </c>
      <c r="CZ1325" s="330"/>
    </row>
    <row r="1326" spans="1:104" ht="15" customHeight="1" x14ac:dyDescent="0.25">
      <c r="A1326" s="684">
        <f>MAX($A$6:A1325)+1</f>
        <v>1326</v>
      </c>
      <c r="B1326" s="3">
        <f t="shared" si="770"/>
        <v>14</v>
      </c>
      <c r="C1326" s="11" t="str">
        <f t="shared" si="793"/>
        <v>Consolidated Provisions for liabilities and charges</v>
      </c>
      <c r="D1326" s="11" t="s">
        <v>272</v>
      </c>
      <c r="E1326" s="7" t="s">
        <v>269</v>
      </c>
      <c r="F1326" s="7"/>
      <c r="G1326" s="1254" t="s">
        <v>269</v>
      </c>
      <c r="H1326" s="6">
        <v>0</v>
      </c>
      <c r="I1326" s="6">
        <v>0</v>
      </c>
      <c r="J1326" s="1257" t="s">
        <v>793</v>
      </c>
      <c r="K1326" s="251">
        <f>SUMIF('alb Note 14 - Provisions CY'!$A:$A,$J1326,'alb Note 14 - Provisions CY'!$D:$D)</f>
        <v>0</v>
      </c>
      <c r="L1326" s="251">
        <f>SUMIF('alb Note 14 - Provisions CY'!$A:$A,$J1326,'alb Note 14 - Provisions CY'!$L:$L)</f>
        <v>0</v>
      </c>
      <c r="M1326" s="10"/>
      <c r="N1326" s="273">
        <f t="shared" si="798"/>
        <v>0</v>
      </c>
      <c r="O1326" s="12"/>
      <c r="P1326" s="12"/>
      <c r="Q1326" s="12"/>
      <c r="R1326" s="12"/>
      <c r="S1326" s="6">
        <f t="shared" si="788"/>
        <v>0</v>
      </c>
      <c r="T1326" s="273">
        <f t="shared" si="796"/>
        <v>0</v>
      </c>
      <c r="U1326" s="6">
        <f t="shared" si="797"/>
        <v>0</v>
      </c>
      <c r="V1326" s="6"/>
      <c r="W1326" s="6">
        <f t="shared" si="792"/>
        <v>0</v>
      </c>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X1326" s="6"/>
      <c r="AY1326" s="6">
        <f>ROUND(AX1326/1000/Update!$B$31*Update!$B$27,0)</f>
        <v>0</v>
      </c>
      <c r="BA1326" s="6"/>
      <c r="BB1326" s="6">
        <f>ROUND(BA1326/1000/Update!$B$31,0)</f>
        <v>0</v>
      </c>
      <c r="BC1326" s="6"/>
      <c r="BD1326" s="29">
        <f t="shared" si="784"/>
        <v>0</v>
      </c>
      <c r="BE1326" s="322"/>
      <c r="BF1326" s="322"/>
      <c r="BG1326" s="322"/>
      <c r="BH1326" s="322"/>
      <c r="BI1326" s="322"/>
      <c r="BJ1326" s="322"/>
      <c r="BK1326" s="29">
        <f t="shared" si="765"/>
        <v>0</v>
      </c>
      <c r="BL1326" s="322"/>
      <c r="BM1326" s="322"/>
      <c r="BN1326" s="322"/>
      <c r="BO1326" s="322"/>
      <c r="BP1326" s="322"/>
      <c r="BQ1326" s="322"/>
      <c r="BR1326" s="322"/>
      <c r="BS1326" s="322"/>
      <c r="BT1326" s="322"/>
      <c r="BU1326" s="322"/>
      <c r="BV1326" s="322"/>
      <c r="BW1326" s="322"/>
      <c r="BX1326" s="322"/>
      <c r="BY1326" s="322"/>
      <c r="BZ1326" s="322"/>
      <c r="CA1326" s="322"/>
      <c r="CB1326" s="322"/>
      <c r="CC1326" s="322"/>
      <c r="CD1326" s="322"/>
      <c r="CE1326" s="322"/>
      <c r="CF1326" s="322"/>
      <c r="CG1326" s="322"/>
      <c r="CH1326" s="322"/>
      <c r="CI1326" s="322"/>
      <c r="CM1326" s="1139">
        <f t="shared" si="791"/>
        <v>0</v>
      </c>
      <c r="CN1326" s="1139">
        <v>0</v>
      </c>
      <c r="CP1326" s="923">
        <f t="shared" si="771"/>
        <v>0</v>
      </c>
      <c r="CZ1326" s="330"/>
    </row>
    <row r="1327" spans="1:104" ht="25.5" customHeight="1" x14ac:dyDescent="0.25">
      <c r="A1327" s="684">
        <f>MAX($A$6:A1326)+1</f>
        <v>1327</v>
      </c>
      <c r="B1327" s="3">
        <f t="shared" si="770"/>
        <v>14</v>
      </c>
      <c r="C1327" s="11" t="str">
        <f t="shared" si="793"/>
        <v>Consolidated Provisions for liabilities and charges</v>
      </c>
      <c r="D1327" s="11" t="s">
        <v>272</v>
      </c>
      <c r="E1327" s="7" t="s">
        <v>270</v>
      </c>
      <c r="F1327" s="7"/>
      <c r="G1327" s="1254" t="s">
        <v>270</v>
      </c>
      <c r="H1327" s="6">
        <v>0</v>
      </c>
      <c r="I1327" s="6">
        <v>0</v>
      </c>
      <c r="J1327" s="1257" t="s">
        <v>794</v>
      </c>
      <c r="K1327" s="251">
        <f>SUMIF('alb Note 14 - Provisions CY'!$A:$A,$J1327,'alb Note 14 - Provisions CY'!$D:$D)</f>
        <v>0</v>
      </c>
      <c r="L1327" s="251">
        <f>SUMIF('alb Note 14 - Provisions CY'!$A:$A,$J1327,'alb Note 14 - Provisions CY'!$L:$L)</f>
        <v>0</v>
      </c>
      <c r="M1327" s="10"/>
      <c r="N1327" s="273">
        <f t="shared" si="798"/>
        <v>0</v>
      </c>
      <c r="O1327" s="12"/>
      <c r="P1327" s="12"/>
      <c r="Q1327" s="12"/>
      <c r="R1327" s="12"/>
      <c r="S1327" s="6">
        <f t="shared" si="788"/>
        <v>0</v>
      </c>
      <c r="T1327" s="273">
        <f t="shared" si="796"/>
        <v>0</v>
      </c>
      <c r="U1327" s="6">
        <f t="shared" si="797"/>
        <v>0</v>
      </c>
      <c r="V1327" s="6"/>
      <c r="W1327" s="6">
        <f t="shared" si="792"/>
        <v>0</v>
      </c>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X1327" s="6"/>
      <c r="AY1327" s="6">
        <f>ROUND(AX1327/1000/Update!$B$31*Update!$B$27,0)</f>
        <v>0</v>
      </c>
      <c r="BA1327" s="6"/>
      <c r="BB1327" s="6">
        <f>ROUND(BA1327/1000/Update!$B$31,0)</f>
        <v>0</v>
      </c>
      <c r="BC1327" s="6"/>
      <c r="BD1327" s="29">
        <f t="shared" si="784"/>
        <v>0</v>
      </c>
      <c r="BE1327" s="322"/>
      <c r="BF1327" s="322"/>
      <c r="BG1327" s="322"/>
      <c r="BH1327" s="322"/>
      <c r="BI1327" s="322"/>
      <c r="BJ1327" s="322"/>
      <c r="BK1327" s="29">
        <f t="shared" si="765"/>
        <v>0</v>
      </c>
      <c r="BL1327" s="322"/>
      <c r="BM1327" s="322"/>
      <c r="BN1327" s="322"/>
      <c r="BO1327" s="322"/>
      <c r="BP1327" s="322"/>
      <c r="BQ1327" s="322"/>
      <c r="BR1327" s="322"/>
      <c r="BS1327" s="322"/>
      <c r="BT1327" s="322"/>
      <c r="BU1327" s="322"/>
      <c r="BV1327" s="322"/>
      <c r="BW1327" s="322"/>
      <c r="BX1327" s="322"/>
      <c r="BY1327" s="322"/>
      <c r="BZ1327" s="322"/>
      <c r="CA1327" s="322"/>
      <c r="CB1327" s="322"/>
      <c r="CC1327" s="322"/>
      <c r="CD1327" s="322"/>
      <c r="CE1327" s="322"/>
      <c r="CF1327" s="322"/>
      <c r="CG1327" s="322"/>
      <c r="CH1327" s="322"/>
      <c r="CI1327" s="322"/>
      <c r="CM1327" s="1139">
        <f t="shared" si="791"/>
        <v>0</v>
      </c>
      <c r="CN1327" s="1139">
        <v>0</v>
      </c>
      <c r="CP1327" s="923">
        <f t="shared" si="771"/>
        <v>0</v>
      </c>
      <c r="CZ1327" s="330"/>
    </row>
    <row r="1328" spans="1:104" ht="15" customHeight="1" x14ac:dyDescent="0.25">
      <c r="A1328" s="701">
        <f>MAX($A$6:A1327)+1</f>
        <v>1328</v>
      </c>
      <c r="B1328" s="1291">
        <f t="shared" si="770"/>
        <v>14</v>
      </c>
      <c r="C1328" s="18" t="str">
        <f t="shared" si="793"/>
        <v>Consolidated Provisions for liabilities and charges</v>
      </c>
      <c r="D1328" s="19" t="s">
        <v>272</v>
      </c>
      <c r="E1328" s="19" t="s">
        <v>274</v>
      </c>
      <c r="F1328" s="19"/>
      <c r="G1328" s="28"/>
      <c r="H1328" s="14">
        <f>SUM(H1322:H1327)</f>
        <v>0</v>
      </c>
      <c r="I1328" s="14">
        <f>SUM(I1322:I1327)</f>
        <v>0</v>
      </c>
      <c r="J1328" s="1258" t="s">
        <v>286</v>
      </c>
      <c r="K1328" s="256">
        <f>SUM(K1322:K1327)</f>
        <v>0</v>
      </c>
      <c r="L1328" s="256">
        <f>SUM(L1322:L1327)</f>
        <v>0</v>
      </c>
      <c r="M1328" s="21"/>
      <c r="N1328" s="14">
        <f t="shared" si="798"/>
        <v>0</v>
      </c>
      <c r="O1328" s="14">
        <f t="shared" ref="O1328:W1328" si="799">SUM(O1322:O1327)</f>
        <v>0</v>
      </c>
      <c r="P1328" s="14">
        <f t="shared" si="799"/>
        <v>0</v>
      </c>
      <c r="Q1328" s="14">
        <f t="shared" si="799"/>
        <v>0</v>
      </c>
      <c r="R1328" s="14">
        <f t="shared" si="799"/>
        <v>0</v>
      </c>
      <c r="S1328" s="14">
        <f t="shared" si="788"/>
        <v>0</v>
      </c>
      <c r="T1328" s="14">
        <f t="shared" si="799"/>
        <v>0</v>
      </c>
      <c r="U1328" s="14">
        <f t="shared" si="799"/>
        <v>0</v>
      </c>
      <c r="V1328" s="14">
        <f t="shared" si="799"/>
        <v>0</v>
      </c>
      <c r="W1328" s="14">
        <f t="shared" si="799"/>
        <v>0</v>
      </c>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2"/>
      <c r="AX1328" s="14">
        <f>SUM(AX1322:AX1327)</f>
        <v>0</v>
      </c>
      <c r="AY1328" s="14">
        <f>ROUND(AX1328/1000/Update!$B$31*Update!$B$27,0)</f>
        <v>0</v>
      </c>
      <c r="AZ1328" s="2"/>
      <c r="BA1328" s="14">
        <f>SUM(BA1322:BA1327)</f>
        <v>0</v>
      </c>
      <c r="BB1328" s="14">
        <f>ROUND(BA1328/1000/Update!$B$31,0)</f>
        <v>0</v>
      </c>
      <c r="BC1328" s="14"/>
      <c r="BD1328" s="14">
        <f t="shared" si="784"/>
        <v>0</v>
      </c>
      <c r="BE1328" s="318">
        <f t="shared" ref="BE1328:BJ1328" si="800">SUM(BE1322:BE1327)</f>
        <v>0</v>
      </c>
      <c r="BF1328" s="318">
        <f t="shared" si="800"/>
        <v>0</v>
      </c>
      <c r="BG1328" s="318">
        <f t="shared" si="800"/>
        <v>0</v>
      </c>
      <c r="BH1328" s="318">
        <f t="shared" si="800"/>
        <v>0</v>
      </c>
      <c r="BI1328" s="318">
        <f t="shared" si="800"/>
        <v>0</v>
      </c>
      <c r="BJ1328" s="318">
        <f t="shared" si="800"/>
        <v>0</v>
      </c>
      <c r="BK1328" s="14">
        <f t="shared" si="765"/>
        <v>0</v>
      </c>
      <c r="BL1328" s="318"/>
      <c r="BM1328" s="318"/>
      <c r="BN1328" s="318"/>
      <c r="BO1328" s="318"/>
      <c r="BP1328" s="318"/>
      <c r="BQ1328" s="318"/>
      <c r="BR1328" s="318"/>
      <c r="BS1328" s="318"/>
      <c r="BT1328" s="318"/>
      <c r="BU1328" s="318"/>
      <c r="BV1328" s="318"/>
      <c r="BW1328" s="318"/>
      <c r="BX1328" s="318"/>
      <c r="BY1328" s="318"/>
      <c r="BZ1328" s="318"/>
      <c r="CA1328" s="318"/>
      <c r="CB1328" s="318"/>
      <c r="CC1328" s="318"/>
      <c r="CD1328" s="318"/>
      <c r="CE1328" s="318"/>
      <c r="CF1328" s="318"/>
      <c r="CG1328" s="318"/>
      <c r="CH1328" s="318"/>
      <c r="CI1328" s="318"/>
      <c r="CJ1328" s="2"/>
      <c r="CK1328" s="2"/>
      <c r="CM1328" s="1140">
        <f t="shared" si="791"/>
        <v>0</v>
      </c>
      <c r="CN1328" s="1140">
        <v>0</v>
      </c>
      <c r="CP1328" s="923">
        <f t="shared" si="771"/>
        <v>0</v>
      </c>
      <c r="CZ1328" s="330"/>
    </row>
    <row r="1329" spans="1:104" ht="15" customHeight="1" x14ac:dyDescent="0.25">
      <c r="A1329" s="684">
        <f>MAX($A$6:A1328)+1</f>
        <v>1329</v>
      </c>
      <c r="B1329" s="3">
        <f t="shared" si="770"/>
        <v>14</v>
      </c>
      <c r="C1329" s="11" t="str">
        <f>C1328</f>
        <v>Consolidated Provisions for liabilities and charges</v>
      </c>
      <c r="D1329" s="11" t="s">
        <v>2830</v>
      </c>
      <c r="E1329" s="7" t="str">
        <f>"Balance at"&amp;Update!$B$20</f>
        <v>Balance at 1 April 2025</v>
      </c>
      <c r="F1329" s="15"/>
      <c r="G1329" s="1254" t="str">
        <f>$E1329</f>
        <v>Balance at 1 April 2025</v>
      </c>
      <c r="H1329" s="6">
        <v>0</v>
      </c>
      <c r="I1329" s="1190"/>
      <c r="J1329" s="1257" t="str">
        <f>$E1329</f>
        <v>Balance at 1 April 2025</v>
      </c>
      <c r="K1329" s="251">
        <f>SUMIF('alb Note 14 - Provisions CY'!$A:$A,$J1329,'alb Note 14 - Provisions CY'!$F:$F)</f>
        <v>0</v>
      </c>
      <c r="L1329" s="266"/>
      <c r="M1329" s="10"/>
      <c r="N1329" s="273">
        <f>ROUND(SUM(O1329:S1329)+T1329+SUM(Z1329:AV1329),0)</f>
        <v>0</v>
      </c>
      <c r="O1329" s="12"/>
      <c r="P1329" s="12"/>
      <c r="Q1329" s="12"/>
      <c r="R1329" s="12"/>
      <c r="S1329" s="6">
        <f t="shared" si="788"/>
        <v>0</v>
      </c>
      <c r="T1329" s="273">
        <f t="shared" ref="T1329:T1341" si="801">ROUND(SUM(U1329:Y1329),0)</f>
        <v>0</v>
      </c>
      <c r="U1329" s="6">
        <f t="shared" ref="U1329:U1334" si="802">SUM(BL1329:BN1329)</f>
        <v>0</v>
      </c>
      <c r="V1329" s="6"/>
      <c r="W1329" s="6">
        <f t="shared" si="792"/>
        <v>0</v>
      </c>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X1329" s="6"/>
      <c r="AY1329" s="6">
        <f>ROUND(AX1329/1000/Update!$B$31*Update!$B$27,0)</f>
        <v>0</v>
      </c>
      <c r="BA1329" s="6"/>
      <c r="BB1329" s="6">
        <f>ROUND(BA1329/1000/Update!$B$31,0)</f>
        <v>0</v>
      </c>
      <c r="BC1329" s="6"/>
      <c r="BD1329" s="29">
        <f t="shared" si="784"/>
        <v>0</v>
      </c>
      <c r="BE1329" s="322"/>
      <c r="BF1329" s="322"/>
      <c r="BG1329" s="322"/>
      <c r="BH1329" s="322"/>
      <c r="BI1329" s="322"/>
      <c r="BJ1329" s="322"/>
      <c r="BK1329" s="29">
        <f t="shared" si="765"/>
        <v>0</v>
      </c>
      <c r="BL1329" s="322"/>
      <c r="BM1329" s="322"/>
      <c r="BN1329" s="322"/>
      <c r="BO1329" s="322"/>
      <c r="BP1329" s="322"/>
      <c r="BQ1329" s="322"/>
      <c r="BR1329" s="322"/>
      <c r="BS1329" s="322"/>
      <c r="BT1329" s="322"/>
      <c r="BU1329" s="322"/>
      <c r="BV1329" s="322"/>
      <c r="BW1329" s="322"/>
      <c r="BX1329" s="322"/>
      <c r="BY1329" s="322"/>
      <c r="BZ1329" s="322"/>
      <c r="CA1329" s="322"/>
      <c r="CB1329" s="322"/>
      <c r="CC1329" s="322"/>
      <c r="CD1329" s="322"/>
      <c r="CE1329" s="322"/>
      <c r="CF1329" s="322"/>
      <c r="CG1329" s="322"/>
      <c r="CH1329" s="322"/>
      <c r="CI1329" s="322"/>
      <c r="CM1329" s="1139">
        <f t="shared" si="791"/>
        <v>0</v>
      </c>
      <c r="CN1329" s="1139">
        <v>0</v>
      </c>
      <c r="CP1329" s="923">
        <f t="shared" si="771"/>
        <v>0</v>
      </c>
      <c r="CZ1329" s="330"/>
    </row>
    <row r="1330" spans="1:104" ht="15" customHeight="1" x14ac:dyDescent="0.25">
      <c r="A1330" s="684">
        <f>MAX($A$6:A1329)+1</f>
        <v>1330</v>
      </c>
      <c r="B1330" s="3">
        <f t="shared" si="770"/>
        <v>14</v>
      </c>
      <c r="C1330" s="11" t="str">
        <f t="shared" si="793"/>
        <v>Consolidated Provisions for liabilities and charges</v>
      </c>
      <c r="D1330" s="11" t="s">
        <v>2830</v>
      </c>
      <c r="E1330" s="7" t="s">
        <v>2495</v>
      </c>
      <c r="F1330" s="7"/>
      <c r="G1330" s="1254" t="s">
        <v>2495</v>
      </c>
      <c r="H1330" s="6">
        <v>0</v>
      </c>
      <c r="I1330" s="1190"/>
      <c r="J1330" s="1257" t="s">
        <v>2495</v>
      </c>
      <c r="K1330" s="251">
        <f>SUMIF('alb Note 14 - Provisions CY'!$A:$A,$J1330,'alb Note 14 - Provisions CY'!$F:$F)</f>
        <v>0</v>
      </c>
      <c r="L1330" s="266"/>
      <c r="M1330" s="10"/>
      <c r="N1330" s="273">
        <f t="shared" si="798"/>
        <v>0</v>
      </c>
      <c r="O1330" s="12"/>
      <c r="P1330" s="12"/>
      <c r="Q1330" s="12"/>
      <c r="R1330" s="12"/>
      <c r="S1330" s="6">
        <f t="shared" si="788"/>
        <v>0</v>
      </c>
      <c r="T1330" s="273">
        <f t="shared" si="801"/>
        <v>0</v>
      </c>
      <c r="U1330" s="6">
        <f t="shared" si="802"/>
        <v>0</v>
      </c>
      <c r="V1330" s="6"/>
      <c r="W1330" s="6">
        <f t="shared" si="792"/>
        <v>0</v>
      </c>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X1330" s="6"/>
      <c r="AY1330" s="6">
        <f>ROUND(AX1330/1000/Update!$B$31*Update!$B$27,0)</f>
        <v>0</v>
      </c>
      <c r="BA1330" s="6"/>
      <c r="BB1330" s="6">
        <f>ROUND(BA1330/1000/Update!$B$31,0)</f>
        <v>0</v>
      </c>
      <c r="BC1330" s="6"/>
      <c r="BD1330" s="29">
        <f t="shared" si="784"/>
        <v>0</v>
      </c>
      <c r="BE1330" s="322"/>
      <c r="BF1330" s="322"/>
      <c r="BG1330" s="322"/>
      <c r="BH1330" s="322"/>
      <c r="BI1330" s="322"/>
      <c r="BJ1330" s="322"/>
      <c r="BK1330" s="29">
        <f t="shared" si="765"/>
        <v>0</v>
      </c>
      <c r="BL1330" s="322"/>
      <c r="BM1330" s="322"/>
      <c r="BN1330" s="322"/>
      <c r="BO1330" s="322"/>
      <c r="BP1330" s="322"/>
      <c r="BQ1330" s="322"/>
      <c r="BR1330" s="322"/>
      <c r="BS1330" s="322"/>
      <c r="BT1330" s="322"/>
      <c r="BU1330" s="322"/>
      <c r="BV1330" s="322"/>
      <c r="BW1330" s="322"/>
      <c r="BX1330" s="322"/>
      <c r="BY1330" s="322"/>
      <c r="BZ1330" s="322"/>
      <c r="CA1330" s="322"/>
      <c r="CB1330" s="322"/>
      <c r="CC1330" s="322"/>
      <c r="CD1330" s="322"/>
      <c r="CE1330" s="322"/>
      <c r="CF1330" s="322"/>
      <c r="CG1330" s="322"/>
      <c r="CH1330" s="322"/>
      <c r="CI1330" s="322"/>
      <c r="CM1330" s="1139">
        <f t="shared" si="791"/>
        <v>0</v>
      </c>
      <c r="CN1330" s="1139">
        <v>0</v>
      </c>
      <c r="CP1330" s="923">
        <f t="shared" si="771"/>
        <v>0</v>
      </c>
      <c r="CZ1330" s="330"/>
    </row>
    <row r="1331" spans="1:104" ht="15" customHeight="1" x14ac:dyDescent="0.25">
      <c r="A1331" s="684">
        <f>MAX($A$6:A1330)+1</f>
        <v>1331</v>
      </c>
      <c r="B1331" s="3">
        <f t="shared" si="770"/>
        <v>14</v>
      </c>
      <c r="C1331" s="11" t="str">
        <f t="shared" si="793"/>
        <v>Consolidated Provisions for liabilities and charges</v>
      </c>
      <c r="D1331" s="11" t="s">
        <v>2830</v>
      </c>
      <c r="E1331" s="7" t="s">
        <v>267</v>
      </c>
      <c r="F1331" s="7"/>
      <c r="G1331" s="1254" t="s">
        <v>267</v>
      </c>
      <c r="H1331" s="6">
        <v>0</v>
      </c>
      <c r="I1331" s="1190"/>
      <c r="J1331" s="1257" t="s">
        <v>791</v>
      </c>
      <c r="K1331" s="251">
        <f>SUMIF('alb Note 14 - Provisions CY'!$A:$A,$J1331,'alb Note 14 - Provisions CY'!$F:$F)</f>
        <v>0</v>
      </c>
      <c r="L1331" s="266"/>
      <c r="M1331" s="10"/>
      <c r="N1331" s="273">
        <f t="shared" si="798"/>
        <v>0</v>
      </c>
      <c r="O1331" s="12"/>
      <c r="P1331" s="12"/>
      <c r="Q1331" s="12"/>
      <c r="R1331" s="12"/>
      <c r="S1331" s="6">
        <f t="shared" si="788"/>
        <v>0</v>
      </c>
      <c r="T1331" s="273">
        <f t="shared" si="801"/>
        <v>0</v>
      </c>
      <c r="U1331" s="6">
        <f t="shared" si="802"/>
        <v>0</v>
      </c>
      <c r="V1331" s="6"/>
      <c r="W1331" s="6">
        <f t="shared" si="792"/>
        <v>0</v>
      </c>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X1331" s="6"/>
      <c r="AY1331" s="6">
        <f>ROUND(AX1331/1000/Update!$B$31*Update!$B$27,0)</f>
        <v>0</v>
      </c>
      <c r="BA1331" s="6"/>
      <c r="BB1331" s="6">
        <f>ROUND(BA1331/1000/Update!$B$31,0)</f>
        <v>0</v>
      </c>
      <c r="BC1331" s="6"/>
      <c r="BD1331" s="29">
        <f t="shared" si="784"/>
        <v>0</v>
      </c>
      <c r="BE1331" s="322"/>
      <c r="BF1331" s="322"/>
      <c r="BG1331" s="322"/>
      <c r="BH1331" s="322"/>
      <c r="BI1331" s="322"/>
      <c r="BJ1331" s="322"/>
      <c r="BK1331" s="29">
        <f t="shared" si="765"/>
        <v>0</v>
      </c>
      <c r="BL1331" s="322"/>
      <c r="BM1331" s="322"/>
      <c r="BN1331" s="322"/>
      <c r="BO1331" s="322"/>
      <c r="BP1331" s="322"/>
      <c r="BQ1331" s="322"/>
      <c r="BR1331" s="322"/>
      <c r="BS1331" s="322"/>
      <c r="BT1331" s="322"/>
      <c r="BU1331" s="322"/>
      <c r="BV1331" s="322"/>
      <c r="BW1331" s="322"/>
      <c r="BX1331" s="322"/>
      <c r="BY1331" s="322"/>
      <c r="BZ1331" s="322"/>
      <c r="CA1331" s="322"/>
      <c r="CB1331" s="322"/>
      <c r="CC1331" s="322"/>
      <c r="CD1331" s="322"/>
      <c r="CE1331" s="322"/>
      <c r="CF1331" s="322"/>
      <c r="CG1331" s="322"/>
      <c r="CH1331" s="322"/>
      <c r="CI1331" s="322"/>
      <c r="CM1331" s="1139">
        <f t="shared" si="791"/>
        <v>0</v>
      </c>
      <c r="CN1331" s="1139">
        <v>0</v>
      </c>
      <c r="CP1331" s="923">
        <f t="shared" si="771"/>
        <v>0</v>
      </c>
      <c r="CZ1331" s="330"/>
    </row>
    <row r="1332" spans="1:104" ht="25.5" customHeight="1" x14ac:dyDescent="0.25">
      <c r="A1332" s="684">
        <f>MAX($A$6:A1331)+1</f>
        <v>1332</v>
      </c>
      <c r="B1332" s="3">
        <f t="shared" si="770"/>
        <v>14</v>
      </c>
      <c r="C1332" s="11" t="str">
        <f t="shared" si="793"/>
        <v>Consolidated Provisions for liabilities and charges</v>
      </c>
      <c r="D1332" s="11" t="s">
        <v>2830</v>
      </c>
      <c r="E1332" s="7" t="s">
        <v>268</v>
      </c>
      <c r="F1332" s="7"/>
      <c r="G1332" s="1254" t="s">
        <v>268</v>
      </c>
      <c r="H1332" s="6">
        <v>0</v>
      </c>
      <c r="I1332" s="1190"/>
      <c r="J1332" s="1257" t="s">
        <v>792</v>
      </c>
      <c r="K1332" s="251">
        <f>SUMIF('alb Note 14 - Provisions CY'!$A:$A,$J1332,'alb Note 14 - Provisions CY'!$F:$F)</f>
        <v>0</v>
      </c>
      <c r="L1332" s="266"/>
      <c r="M1332" s="10"/>
      <c r="N1332" s="273">
        <f t="shared" si="798"/>
        <v>0</v>
      </c>
      <c r="O1332" s="12"/>
      <c r="P1332" s="12"/>
      <c r="Q1332" s="12"/>
      <c r="R1332" s="12"/>
      <c r="S1332" s="6">
        <f t="shared" si="788"/>
        <v>0</v>
      </c>
      <c r="T1332" s="273">
        <f t="shared" si="801"/>
        <v>0</v>
      </c>
      <c r="U1332" s="6">
        <f t="shared" si="802"/>
        <v>0</v>
      </c>
      <c r="V1332" s="6"/>
      <c r="W1332" s="6">
        <f t="shared" si="792"/>
        <v>0</v>
      </c>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X1332" s="6"/>
      <c r="AY1332" s="6">
        <f>ROUND(AX1332/1000/Update!$B$31*Update!$B$27,0)</f>
        <v>0</v>
      </c>
      <c r="BA1332" s="6"/>
      <c r="BB1332" s="6">
        <f>ROUND(BA1332/1000/Update!$B$31,0)</f>
        <v>0</v>
      </c>
      <c r="BC1332" s="6"/>
      <c r="BD1332" s="29">
        <f t="shared" si="784"/>
        <v>0</v>
      </c>
      <c r="BE1332" s="322"/>
      <c r="BF1332" s="322"/>
      <c r="BG1332" s="322"/>
      <c r="BH1332" s="322"/>
      <c r="BI1332" s="322"/>
      <c r="BJ1332" s="322"/>
      <c r="BK1332" s="29">
        <f t="shared" si="765"/>
        <v>0</v>
      </c>
      <c r="BL1332" s="322"/>
      <c r="BM1332" s="322"/>
      <c r="BN1332" s="322"/>
      <c r="BO1332" s="322"/>
      <c r="BP1332" s="322"/>
      <c r="BQ1332" s="322"/>
      <c r="BR1332" s="322"/>
      <c r="BS1332" s="322"/>
      <c r="BT1332" s="322"/>
      <c r="BU1332" s="322"/>
      <c r="BV1332" s="322"/>
      <c r="BW1332" s="322"/>
      <c r="BX1332" s="322"/>
      <c r="BY1332" s="322"/>
      <c r="BZ1332" s="322"/>
      <c r="CA1332" s="322"/>
      <c r="CB1332" s="322"/>
      <c r="CC1332" s="322"/>
      <c r="CD1332" s="322"/>
      <c r="CE1332" s="322"/>
      <c r="CF1332" s="322"/>
      <c r="CG1332" s="322"/>
      <c r="CH1332" s="322"/>
      <c r="CI1332" s="322"/>
      <c r="CM1332" s="1139">
        <f t="shared" si="791"/>
        <v>0</v>
      </c>
      <c r="CN1332" s="1139">
        <v>0</v>
      </c>
      <c r="CP1332" s="923">
        <f t="shared" si="771"/>
        <v>0</v>
      </c>
      <c r="CZ1332" s="330"/>
    </row>
    <row r="1333" spans="1:104" ht="15" customHeight="1" x14ac:dyDescent="0.25">
      <c r="A1333" s="684">
        <f>MAX($A$6:A1332)+1</f>
        <v>1333</v>
      </c>
      <c r="B1333" s="3">
        <f t="shared" si="770"/>
        <v>14</v>
      </c>
      <c r="C1333" s="11" t="str">
        <f t="shared" si="793"/>
        <v>Consolidated Provisions for liabilities and charges</v>
      </c>
      <c r="D1333" s="11" t="s">
        <v>2830</v>
      </c>
      <c r="E1333" s="7" t="s">
        <v>269</v>
      </c>
      <c r="F1333" s="7"/>
      <c r="G1333" s="1254" t="s">
        <v>269</v>
      </c>
      <c r="H1333" s="6">
        <v>0</v>
      </c>
      <c r="I1333" s="1190"/>
      <c r="J1333" s="1257" t="s">
        <v>793</v>
      </c>
      <c r="K1333" s="251">
        <f>SUMIF('alb Note 14 - Provisions CY'!$A:$A,$J1333,'alb Note 14 - Provisions CY'!$F:$F)</f>
        <v>0</v>
      </c>
      <c r="L1333" s="266"/>
      <c r="M1333" s="10"/>
      <c r="N1333" s="273">
        <f t="shared" si="798"/>
        <v>0</v>
      </c>
      <c r="O1333" s="12"/>
      <c r="P1333" s="12"/>
      <c r="Q1333" s="12"/>
      <c r="R1333" s="12"/>
      <c r="S1333" s="6">
        <f t="shared" si="788"/>
        <v>0</v>
      </c>
      <c r="T1333" s="273">
        <f t="shared" si="801"/>
        <v>0</v>
      </c>
      <c r="U1333" s="6">
        <f t="shared" si="802"/>
        <v>0</v>
      </c>
      <c r="V1333" s="6"/>
      <c r="W1333" s="6">
        <f t="shared" si="792"/>
        <v>0</v>
      </c>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X1333" s="6"/>
      <c r="AY1333" s="6">
        <f>ROUND(AX1333/1000/Update!$B$31*Update!$B$27,0)</f>
        <v>0</v>
      </c>
      <c r="BA1333" s="6"/>
      <c r="BB1333" s="6">
        <f>ROUND(BA1333/1000/Update!$B$31,0)</f>
        <v>0</v>
      </c>
      <c r="BC1333" s="6"/>
      <c r="BD1333" s="29">
        <f t="shared" si="784"/>
        <v>0</v>
      </c>
      <c r="BE1333" s="322"/>
      <c r="BF1333" s="322"/>
      <c r="BG1333" s="322"/>
      <c r="BH1333" s="322"/>
      <c r="BI1333" s="322"/>
      <c r="BJ1333" s="322"/>
      <c r="BK1333" s="29">
        <f t="shared" si="765"/>
        <v>0</v>
      </c>
      <c r="BL1333" s="322"/>
      <c r="BM1333" s="322"/>
      <c r="BN1333" s="322"/>
      <c r="BO1333" s="322"/>
      <c r="BP1333" s="322"/>
      <c r="BQ1333" s="322"/>
      <c r="BR1333" s="322"/>
      <c r="BS1333" s="322"/>
      <c r="BT1333" s="322"/>
      <c r="BU1333" s="322"/>
      <c r="BV1333" s="322"/>
      <c r="BW1333" s="322"/>
      <c r="BX1333" s="322"/>
      <c r="BY1333" s="322"/>
      <c r="BZ1333" s="322"/>
      <c r="CA1333" s="322"/>
      <c r="CB1333" s="322"/>
      <c r="CC1333" s="322"/>
      <c r="CD1333" s="322"/>
      <c r="CE1333" s="322"/>
      <c r="CF1333" s="322"/>
      <c r="CG1333" s="322"/>
      <c r="CH1333" s="322"/>
      <c r="CI1333" s="322"/>
      <c r="CM1333" s="1139">
        <f t="shared" si="791"/>
        <v>0</v>
      </c>
      <c r="CN1333" s="1139">
        <v>0</v>
      </c>
      <c r="CP1333" s="923">
        <f t="shared" si="771"/>
        <v>0</v>
      </c>
      <c r="CZ1333" s="330"/>
    </row>
    <row r="1334" spans="1:104" ht="25.5" customHeight="1" x14ac:dyDescent="0.25">
      <c r="A1334" s="684">
        <f>MAX($A$6:A1333)+1</f>
        <v>1334</v>
      </c>
      <c r="B1334" s="3">
        <f t="shared" si="770"/>
        <v>14</v>
      </c>
      <c r="C1334" s="11" t="str">
        <f t="shared" si="793"/>
        <v>Consolidated Provisions for liabilities and charges</v>
      </c>
      <c r="D1334" s="11" t="s">
        <v>2830</v>
      </c>
      <c r="E1334" s="7" t="s">
        <v>270</v>
      </c>
      <c r="F1334" s="7"/>
      <c r="G1334" s="1254" t="s">
        <v>270</v>
      </c>
      <c r="H1334" s="6">
        <v>0</v>
      </c>
      <c r="I1334" s="1190"/>
      <c r="J1334" s="1257" t="s">
        <v>794</v>
      </c>
      <c r="K1334" s="251">
        <f>SUMIF('alb Note 14 - Provisions CY'!$A:$A,$J1334,'alb Note 14 - Provisions CY'!$F:$F)</f>
        <v>0</v>
      </c>
      <c r="L1334" s="266"/>
      <c r="M1334" s="10"/>
      <c r="N1334" s="273">
        <f t="shared" si="798"/>
        <v>0</v>
      </c>
      <c r="O1334" s="12"/>
      <c r="P1334" s="12"/>
      <c r="Q1334" s="12"/>
      <c r="R1334" s="12"/>
      <c r="S1334" s="6">
        <f t="shared" si="788"/>
        <v>0</v>
      </c>
      <c r="T1334" s="273">
        <f t="shared" si="801"/>
        <v>0</v>
      </c>
      <c r="U1334" s="6">
        <f t="shared" si="802"/>
        <v>0</v>
      </c>
      <c r="V1334" s="6"/>
      <c r="W1334" s="6">
        <f t="shared" si="792"/>
        <v>0</v>
      </c>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X1334" s="6"/>
      <c r="AY1334" s="6">
        <f>ROUND(AX1334/1000/Update!$B$31*Update!$B$27,0)</f>
        <v>0</v>
      </c>
      <c r="BA1334" s="6"/>
      <c r="BB1334" s="6">
        <f>ROUND(BA1334/1000/Update!$B$31,0)</f>
        <v>0</v>
      </c>
      <c r="BC1334" s="6"/>
      <c r="BD1334" s="29">
        <f t="shared" si="784"/>
        <v>0</v>
      </c>
      <c r="BE1334" s="322"/>
      <c r="BF1334" s="322"/>
      <c r="BG1334" s="322"/>
      <c r="BH1334" s="322"/>
      <c r="BI1334" s="322"/>
      <c r="BJ1334" s="322"/>
      <c r="BK1334" s="29">
        <f t="shared" si="765"/>
        <v>0</v>
      </c>
      <c r="BL1334" s="322"/>
      <c r="BM1334" s="322"/>
      <c r="BN1334" s="322"/>
      <c r="BO1334" s="322"/>
      <c r="BP1334" s="322"/>
      <c r="BQ1334" s="322"/>
      <c r="BR1334" s="322"/>
      <c r="BS1334" s="322"/>
      <c r="BT1334" s="322"/>
      <c r="BU1334" s="322"/>
      <c r="BV1334" s="322"/>
      <c r="BW1334" s="322"/>
      <c r="BX1334" s="322"/>
      <c r="BY1334" s="322"/>
      <c r="BZ1334" s="322"/>
      <c r="CA1334" s="322"/>
      <c r="CB1334" s="322"/>
      <c r="CC1334" s="322"/>
      <c r="CD1334" s="322"/>
      <c r="CE1334" s="322"/>
      <c r="CF1334" s="322"/>
      <c r="CG1334" s="322"/>
      <c r="CH1334" s="322"/>
      <c r="CI1334" s="322"/>
      <c r="CM1334" s="1139">
        <f t="shared" si="791"/>
        <v>0</v>
      </c>
      <c r="CN1334" s="1139">
        <v>0</v>
      </c>
      <c r="CP1334" s="923">
        <f t="shared" si="771"/>
        <v>0</v>
      </c>
      <c r="CZ1334" s="330"/>
    </row>
    <row r="1335" spans="1:104" ht="15" customHeight="1" x14ac:dyDescent="0.25">
      <c r="A1335" s="701">
        <f>MAX($A$6:A1334)+1</f>
        <v>1335</v>
      </c>
      <c r="B1335" s="1291">
        <f t="shared" si="770"/>
        <v>14</v>
      </c>
      <c r="C1335" s="18" t="str">
        <f t="shared" si="793"/>
        <v>Consolidated Provisions for liabilities and charges</v>
      </c>
      <c r="D1335" s="19" t="s">
        <v>2830</v>
      </c>
      <c r="E1335" s="19" t="s">
        <v>274</v>
      </c>
      <c r="F1335" s="19"/>
      <c r="G1335" s="28"/>
      <c r="H1335" s="14">
        <f>SUM(H1329:H1334)</f>
        <v>0</v>
      </c>
      <c r="I1335" s="14"/>
      <c r="J1335" s="1258" t="s">
        <v>286</v>
      </c>
      <c r="K1335" s="256">
        <f>SUM(K1329:K1334)</f>
        <v>0</v>
      </c>
      <c r="L1335" s="256">
        <f>SUM(L1329:L1334)</f>
        <v>0</v>
      </c>
      <c r="M1335" s="21"/>
      <c r="N1335" s="14">
        <f>ROUND(SUM(O1335:S1335)+T1335+SUM(Z1335:AV1335),0)</f>
        <v>0</v>
      </c>
      <c r="O1335" s="14"/>
      <c r="P1335" s="14"/>
      <c r="Q1335" s="14"/>
      <c r="R1335" s="14"/>
      <c r="S1335" s="14">
        <f t="shared" si="788"/>
        <v>0</v>
      </c>
      <c r="T1335" s="14">
        <f t="shared" si="801"/>
        <v>0</v>
      </c>
      <c r="U1335" s="14">
        <f>SUM(U1329:U1334)</f>
        <v>0</v>
      </c>
      <c r="V1335" s="14">
        <f>SUM(V1329:V1334)</f>
        <v>0</v>
      </c>
      <c r="W1335" s="14">
        <f>SUM(W1329:W1334)</f>
        <v>0</v>
      </c>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2"/>
      <c r="AX1335" s="14"/>
      <c r="AY1335" s="14">
        <f>ROUND(AX1335/1000/Update!$B$31*Update!$B$27,0)</f>
        <v>0</v>
      </c>
      <c r="AZ1335" s="2"/>
      <c r="BA1335" s="14"/>
      <c r="BB1335" s="14">
        <f>ROUND(BA1335/1000/Update!$B$31,0)</f>
        <v>0</v>
      </c>
      <c r="BC1335" s="14"/>
      <c r="BD1335" s="14">
        <f t="shared" si="784"/>
        <v>0</v>
      </c>
      <c r="BE1335" s="318"/>
      <c r="BF1335" s="318"/>
      <c r="BG1335" s="318"/>
      <c r="BH1335" s="318"/>
      <c r="BI1335" s="318"/>
      <c r="BJ1335" s="318"/>
      <c r="BK1335" s="14">
        <f t="shared" ref="BK1335:BK1398" si="803">ROUND(SUM(BO1335:CI1335),0)</f>
        <v>0</v>
      </c>
      <c r="BL1335" s="318"/>
      <c r="BM1335" s="318"/>
      <c r="BN1335" s="318"/>
      <c r="BO1335" s="318"/>
      <c r="BP1335" s="318"/>
      <c r="BQ1335" s="318"/>
      <c r="BR1335" s="318"/>
      <c r="BS1335" s="318"/>
      <c r="BT1335" s="318"/>
      <c r="BU1335" s="318"/>
      <c r="BV1335" s="318"/>
      <c r="BW1335" s="318"/>
      <c r="BX1335" s="318"/>
      <c r="BY1335" s="318"/>
      <c r="BZ1335" s="318"/>
      <c r="CA1335" s="318"/>
      <c r="CB1335" s="318"/>
      <c r="CC1335" s="318"/>
      <c r="CD1335" s="318"/>
      <c r="CE1335" s="318"/>
      <c r="CF1335" s="318"/>
      <c r="CG1335" s="318"/>
      <c r="CH1335" s="318"/>
      <c r="CI1335" s="318"/>
      <c r="CJ1335" s="2"/>
      <c r="CK1335" s="2"/>
      <c r="CM1335" s="1140">
        <f t="shared" si="791"/>
        <v>0</v>
      </c>
      <c r="CN1335" s="1140">
        <v>0</v>
      </c>
      <c r="CP1335" s="923">
        <f t="shared" si="771"/>
        <v>0</v>
      </c>
      <c r="CZ1335" s="330"/>
    </row>
    <row r="1336" spans="1:104" ht="15" customHeight="1" x14ac:dyDescent="0.25">
      <c r="A1336" s="684">
        <f>MAX($A$6:A1335)+1</f>
        <v>1336</v>
      </c>
      <c r="B1336" s="3">
        <f t="shared" si="770"/>
        <v>14</v>
      </c>
      <c r="C1336" s="11" t="str">
        <f>C1335</f>
        <v>Consolidated Provisions for liabilities and charges</v>
      </c>
      <c r="D1336" s="11" t="s">
        <v>273</v>
      </c>
      <c r="E1336" s="7" t="str">
        <f>"Balance at"&amp;Update!$B$20</f>
        <v>Balance at 1 April 2025</v>
      </c>
      <c r="F1336" s="15"/>
      <c r="G1336" s="1254" t="str">
        <f>$E1336</f>
        <v>Balance at 1 April 2025</v>
      </c>
      <c r="H1336" s="6">
        <v>0</v>
      </c>
      <c r="I1336" s="1190"/>
      <c r="J1336" s="1257" t="str">
        <f>$E1336</f>
        <v>Balance at 1 April 2025</v>
      </c>
      <c r="K1336" s="266"/>
      <c r="L1336" s="266"/>
      <c r="M1336" s="10"/>
      <c r="N1336" s="273">
        <f t="shared" si="798"/>
        <v>0</v>
      </c>
      <c r="O1336" s="12"/>
      <c r="P1336" s="12"/>
      <c r="Q1336" s="12"/>
      <c r="R1336" s="12"/>
      <c r="S1336" s="6">
        <f t="shared" si="788"/>
        <v>0</v>
      </c>
      <c r="T1336" s="273">
        <f t="shared" si="801"/>
        <v>0</v>
      </c>
      <c r="U1336" s="6">
        <f t="shared" ref="U1336:U1341" si="804">SUM(BL1336:BN1336)</f>
        <v>0</v>
      </c>
      <c r="V1336" s="6"/>
      <c r="W1336" s="6">
        <f t="shared" si="792"/>
        <v>0</v>
      </c>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X1336" s="6"/>
      <c r="AY1336" s="6">
        <f>ROUND(AX1336/1000/Update!$B$31*Update!$B$27,0)</f>
        <v>0</v>
      </c>
      <c r="BA1336" s="6"/>
      <c r="BB1336" s="6">
        <f>ROUND(BA1336/1000/Update!$B$31,0)</f>
        <v>0</v>
      </c>
      <c r="BC1336" s="6"/>
      <c r="BD1336" s="29">
        <f t="shared" si="784"/>
        <v>0</v>
      </c>
      <c r="BE1336" s="322"/>
      <c r="BF1336" s="322"/>
      <c r="BG1336" s="322"/>
      <c r="BH1336" s="322"/>
      <c r="BI1336" s="322"/>
      <c r="BJ1336" s="322"/>
      <c r="BK1336" s="29">
        <f t="shared" si="803"/>
        <v>0</v>
      </c>
      <c r="BL1336" s="322"/>
      <c r="BM1336" s="322"/>
      <c r="BN1336" s="322"/>
      <c r="BO1336" s="322"/>
      <c r="BP1336" s="322"/>
      <c r="BQ1336" s="322"/>
      <c r="BR1336" s="322"/>
      <c r="BS1336" s="322"/>
      <c r="BT1336" s="322"/>
      <c r="BU1336" s="322"/>
      <c r="BV1336" s="322"/>
      <c r="BW1336" s="322"/>
      <c r="BX1336" s="322"/>
      <c r="BY1336" s="322"/>
      <c r="BZ1336" s="322"/>
      <c r="CA1336" s="322"/>
      <c r="CB1336" s="322"/>
      <c r="CC1336" s="322"/>
      <c r="CD1336" s="322"/>
      <c r="CE1336" s="322"/>
      <c r="CF1336" s="322"/>
      <c r="CG1336" s="322"/>
      <c r="CH1336" s="322"/>
      <c r="CI1336" s="322"/>
      <c r="CM1336" s="1139">
        <f t="shared" si="791"/>
        <v>0</v>
      </c>
      <c r="CN1336" s="1139">
        <v>0</v>
      </c>
      <c r="CP1336" s="923">
        <f t="shared" si="771"/>
        <v>0</v>
      </c>
      <c r="CZ1336" s="330"/>
    </row>
    <row r="1337" spans="1:104" ht="15" customHeight="1" x14ac:dyDescent="0.25">
      <c r="A1337" s="684">
        <f>MAX($A$6:A1336)+1</f>
        <v>1337</v>
      </c>
      <c r="B1337" s="3">
        <f t="shared" si="770"/>
        <v>14</v>
      </c>
      <c r="C1337" s="11" t="str">
        <f t="shared" si="793"/>
        <v>Consolidated Provisions for liabilities and charges</v>
      </c>
      <c r="D1337" s="11" t="s">
        <v>273</v>
      </c>
      <c r="E1337" s="7" t="s">
        <v>2495</v>
      </c>
      <c r="F1337" s="7"/>
      <c r="G1337" s="1254" t="s">
        <v>2495</v>
      </c>
      <c r="H1337" s="6">
        <v>0</v>
      </c>
      <c r="I1337" s="1190"/>
      <c r="J1337" s="1254" t="s">
        <v>2495</v>
      </c>
      <c r="K1337" s="266"/>
      <c r="L1337" s="266"/>
      <c r="M1337" s="10"/>
      <c r="N1337" s="273">
        <f t="shared" si="798"/>
        <v>0</v>
      </c>
      <c r="O1337" s="12"/>
      <c r="P1337" s="12"/>
      <c r="Q1337" s="12"/>
      <c r="R1337" s="12"/>
      <c r="S1337" s="6">
        <f t="shared" si="788"/>
        <v>0</v>
      </c>
      <c r="T1337" s="273">
        <f t="shared" si="801"/>
        <v>0</v>
      </c>
      <c r="U1337" s="6">
        <f t="shared" si="804"/>
        <v>0</v>
      </c>
      <c r="V1337" s="6"/>
      <c r="W1337" s="6">
        <f t="shared" si="792"/>
        <v>0</v>
      </c>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X1337" s="6"/>
      <c r="AY1337" s="6">
        <f>ROUND(AX1337/1000/Update!$B$31*Update!$B$27,0)</f>
        <v>0</v>
      </c>
      <c r="BA1337" s="6"/>
      <c r="BB1337" s="6">
        <f>ROUND(BA1337/1000/Update!$B$31,0)</f>
        <v>0</v>
      </c>
      <c r="BC1337" s="6"/>
      <c r="BD1337" s="29">
        <f t="shared" si="784"/>
        <v>0</v>
      </c>
      <c r="BE1337" s="322"/>
      <c r="BF1337" s="322"/>
      <c r="BG1337" s="322"/>
      <c r="BH1337" s="322"/>
      <c r="BI1337" s="322"/>
      <c r="BJ1337" s="322"/>
      <c r="BK1337" s="29">
        <f t="shared" si="803"/>
        <v>0</v>
      </c>
      <c r="BL1337" s="322"/>
      <c r="BM1337" s="322"/>
      <c r="BN1337" s="322"/>
      <c r="BO1337" s="322"/>
      <c r="BP1337" s="322"/>
      <c r="BQ1337" s="322"/>
      <c r="BR1337" s="322"/>
      <c r="BS1337" s="322"/>
      <c r="BT1337" s="322"/>
      <c r="BU1337" s="322"/>
      <c r="BV1337" s="322"/>
      <c r="BW1337" s="322"/>
      <c r="BX1337" s="322"/>
      <c r="BY1337" s="322"/>
      <c r="BZ1337" s="322"/>
      <c r="CA1337" s="322"/>
      <c r="CB1337" s="322"/>
      <c r="CC1337" s="322"/>
      <c r="CD1337" s="322"/>
      <c r="CE1337" s="322"/>
      <c r="CF1337" s="322"/>
      <c r="CG1337" s="322"/>
      <c r="CH1337" s="322"/>
      <c r="CI1337" s="322"/>
      <c r="CM1337" s="1139">
        <f t="shared" si="791"/>
        <v>0</v>
      </c>
      <c r="CN1337" s="1139">
        <v>0</v>
      </c>
      <c r="CP1337" s="923">
        <f t="shared" si="771"/>
        <v>0</v>
      </c>
      <c r="CZ1337" s="330"/>
    </row>
    <row r="1338" spans="1:104" ht="15" customHeight="1" x14ac:dyDescent="0.25">
      <c r="A1338" s="684">
        <f>MAX($A$6:A1337)+1</f>
        <v>1338</v>
      </c>
      <c r="B1338" s="3">
        <f t="shared" si="770"/>
        <v>14</v>
      </c>
      <c r="C1338" s="11" t="str">
        <f t="shared" si="793"/>
        <v>Consolidated Provisions for liabilities and charges</v>
      </c>
      <c r="D1338" s="11" t="s">
        <v>273</v>
      </c>
      <c r="E1338" s="7" t="s">
        <v>267</v>
      </c>
      <c r="F1338" s="7"/>
      <c r="G1338" s="1254" t="s">
        <v>267</v>
      </c>
      <c r="H1338" s="6">
        <v>0</v>
      </c>
      <c r="I1338" s="1190"/>
      <c r="J1338" s="1257" t="s">
        <v>286</v>
      </c>
      <c r="K1338" s="266"/>
      <c r="L1338" s="266"/>
      <c r="M1338" s="10"/>
      <c r="N1338" s="273">
        <f t="shared" si="798"/>
        <v>0</v>
      </c>
      <c r="O1338" s="12"/>
      <c r="P1338" s="12"/>
      <c r="Q1338" s="12"/>
      <c r="R1338" s="12"/>
      <c r="S1338" s="6">
        <f t="shared" si="788"/>
        <v>0</v>
      </c>
      <c r="T1338" s="273">
        <f t="shared" si="801"/>
        <v>0</v>
      </c>
      <c r="U1338" s="6">
        <f t="shared" si="804"/>
        <v>0</v>
      </c>
      <c r="V1338" s="6"/>
      <c r="W1338" s="6">
        <f t="shared" si="792"/>
        <v>0</v>
      </c>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X1338" s="6"/>
      <c r="AY1338" s="6">
        <f>ROUND(AX1338/1000/Update!$B$31*Update!$B$27,0)</f>
        <v>0</v>
      </c>
      <c r="BA1338" s="6"/>
      <c r="BB1338" s="6">
        <f>ROUND(BA1338/1000/Update!$B$31,0)</f>
        <v>0</v>
      </c>
      <c r="BC1338" s="6"/>
      <c r="BD1338" s="29">
        <f t="shared" si="784"/>
        <v>0</v>
      </c>
      <c r="BE1338" s="322"/>
      <c r="BF1338" s="322"/>
      <c r="BG1338" s="322"/>
      <c r="BH1338" s="322"/>
      <c r="BI1338" s="322"/>
      <c r="BJ1338" s="322"/>
      <c r="BK1338" s="29">
        <f t="shared" si="803"/>
        <v>0</v>
      </c>
      <c r="BL1338" s="322"/>
      <c r="BM1338" s="322"/>
      <c r="BN1338" s="322"/>
      <c r="BO1338" s="322"/>
      <c r="BP1338" s="322"/>
      <c r="BQ1338" s="322"/>
      <c r="BR1338" s="322"/>
      <c r="BS1338" s="322"/>
      <c r="BT1338" s="322"/>
      <c r="BU1338" s="322"/>
      <c r="BV1338" s="322"/>
      <c r="BW1338" s="322"/>
      <c r="BX1338" s="322"/>
      <c r="BY1338" s="322"/>
      <c r="BZ1338" s="322"/>
      <c r="CA1338" s="322"/>
      <c r="CB1338" s="322"/>
      <c r="CC1338" s="322"/>
      <c r="CD1338" s="322"/>
      <c r="CE1338" s="322"/>
      <c r="CF1338" s="322"/>
      <c r="CG1338" s="322"/>
      <c r="CH1338" s="322"/>
      <c r="CI1338" s="322"/>
      <c r="CM1338" s="1139">
        <f t="shared" si="791"/>
        <v>0</v>
      </c>
      <c r="CN1338" s="1139">
        <v>0</v>
      </c>
      <c r="CP1338" s="923">
        <f t="shared" si="771"/>
        <v>0</v>
      </c>
      <c r="CZ1338" s="330"/>
    </row>
    <row r="1339" spans="1:104" ht="25.5" customHeight="1" x14ac:dyDescent="0.25">
      <c r="A1339" s="684">
        <f>MAX($A$6:A1338)+1</f>
        <v>1339</v>
      </c>
      <c r="B1339" s="3">
        <f t="shared" si="770"/>
        <v>14</v>
      </c>
      <c r="C1339" s="11" t="str">
        <f t="shared" si="793"/>
        <v>Consolidated Provisions for liabilities and charges</v>
      </c>
      <c r="D1339" s="11" t="s">
        <v>273</v>
      </c>
      <c r="E1339" s="7" t="s">
        <v>268</v>
      </c>
      <c r="F1339" s="7"/>
      <c r="G1339" s="1254" t="s">
        <v>268</v>
      </c>
      <c r="H1339" s="6">
        <v>0</v>
      </c>
      <c r="I1339" s="1190"/>
      <c r="J1339" s="1257" t="s">
        <v>286</v>
      </c>
      <c r="K1339" s="266"/>
      <c r="L1339" s="266"/>
      <c r="M1339" s="10"/>
      <c r="N1339" s="273">
        <f t="shared" si="798"/>
        <v>0</v>
      </c>
      <c r="O1339" s="12"/>
      <c r="P1339" s="12"/>
      <c r="Q1339" s="12"/>
      <c r="R1339" s="12"/>
      <c r="S1339" s="6">
        <f t="shared" si="788"/>
        <v>0</v>
      </c>
      <c r="T1339" s="273">
        <f t="shared" si="801"/>
        <v>0</v>
      </c>
      <c r="U1339" s="6">
        <f t="shared" si="804"/>
        <v>0</v>
      </c>
      <c r="V1339" s="6"/>
      <c r="W1339" s="6">
        <f t="shared" si="792"/>
        <v>0</v>
      </c>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X1339" s="6"/>
      <c r="AY1339" s="6">
        <f>ROUND(AX1339/1000/Update!$B$31*Update!$B$27,0)</f>
        <v>0</v>
      </c>
      <c r="BA1339" s="6"/>
      <c r="BB1339" s="6">
        <f>ROUND(BA1339/1000/Update!$B$31,0)</f>
        <v>0</v>
      </c>
      <c r="BC1339" s="6"/>
      <c r="BD1339" s="29">
        <f t="shared" si="784"/>
        <v>0</v>
      </c>
      <c r="BE1339" s="322"/>
      <c r="BF1339" s="322"/>
      <c r="BG1339" s="322"/>
      <c r="BH1339" s="322"/>
      <c r="BI1339" s="322"/>
      <c r="BJ1339" s="322"/>
      <c r="BK1339" s="29">
        <f t="shared" si="803"/>
        <v>0</v>
      </c>
      <c r="BL1339" s="322"/>
      <c r="BM1339" s="322"/>
      <c r="BN1339" s="322"/>
      <c r="BO1339" s="322"/>
      <c r="BP1339" s="322"/>
      <c r="BQ1339" s="322"/>
      <c r="BR1339" s="322"/>
      <c r="BS1339" s="322"/>
      <c r="BT1339" s="322"/>
      <c r="BU1339" s="322"/>
      <c r="BV1339" s="322"/>
      <c r="BW1339" s="322"/>
      <c r="BX1339" s="322"/>
      <c r="BY1339" s="322"/>
      <c r="BZ1339" s="322"/>
      <c r="CA1339" s="322"/>
      <c r="CB1339" s="322"/>
      <c r="CC1339" s="322"/>
      <c r="CD1339" s="322"/>
      <c r="CE1339" s="322"/>
      <c r="CF1339" s="322"/>
      <c r="CG1339" s="322"/>
      <c r="CH1339" s="322"/>
      <c r="CI1339" s="322"/>
      <c r="CM1339" s="1139">
        <f t="shared" si="791"/>
        <v>0</v>
      </c>
      <c r="CN1339" s="1139">
        <v>0</v>
      </c>
      <c r="CP1339" s="923">
        <f t="shared" si="771"/>
        <v>0</v>
      </c>
      <c r="CZ1339" s="330"/>
    </row>
    <row r="1340" spans="1:104" ht="15" customHeight="1" x14ac:dyDescent="0.25">
      <c r="A1340" s="684">
        <f>MAX($A$6:A1339)+1</f>
        <v>1340</v>
      </c>
      <c r="B1340" s="3">
        <f t="shared" si="770"/>
        <v>14</v>
      </c>
      <c r="C1340" s="11" t="str">
        <f t="shared" si="793"/>
        <v>Consolidated Provisions for liabilities and charges</v>
      </c>
      <c r="D1340" s="11" t="s">
        <v>273</v>
      </c>
      <c r="E1340" s="7" t="s">
        <v>269</v>
      </c>
      <c r="F1340" s="7"/>
      <c r="G1340" s="1254" t="s">
        <v>269</v>
      </c>
      <c r="H1340" s="6">
        <v>0</v>
      </c>
      <c r="I1340" s="1190"/>
      <c r="J1340" s="1257" t="s">
        <v>286</v>
      </c>
      <c r="K1340" s="266"/>
      <c r="L1340" s="266"/>
      <c r="M1340" s="10"/>
      <c r="N1340" s="273">
        <f t="shared" si="798"/>
        <v>0</v>
      </c>
      <c r="O1340" s="12"/>
      <c r="P1340" s="12"/>
      <c r="Q1340" s="12"/>
      <c r="R1340" s="12"/>
      <c r="S1340" s="6">
        <f t="shared" si="788"/>
        <v>0</v>
      </c>
      <c r="T1340" s="273">
        <f t="shared" si="801"/>
        <v>0</v>
      </c>
      <c r="U1340" s="6">
        <f t="shared" si="804"/>
        <v>0</v>
      </c>
      <c r="V1340" s="6"/>
      <c r="W1340" s="6">
        <f t="shared" si="792"/>
        <v>0</v>
      </c>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X1340" s="6"/>
      <c r="AY1340" s="6">
        <f>ROUND(AX1340/1000/Update!$B$31*Update!$B$27,0)</f>
        <v>0</v>
      </c>
      <c r="BA1340" s="6"/>
      <c r="BB1340" s="6">
        <f>ROUND(BA1340/1000/Update!$B$31,0)</f>
        <v>0</v>
      </c>
      <c r="BC1340" s="6"/>
      <c r="BD1340" s="29">
        <f t="shared" si="784"/>
        <v>0</v>
      </c>
      <c r="BE1340" s="322"/>
      <c r="BF1340" s="322"/>
      <c r="BG1340" s="322"/>
      <c r="BH1340" s="322"/>
      <c r="BI1340" s="322"/>
      <c r="BJ1340" s="322"/>
      <c r="BK1340" s="29">
        <f t="shared" si="803"/>
        <v>0</v>
      </c>
      <c r="BL1340" s="322"/>
      <c r="BM1340" s="322"/>
      <c r="BN1340" s="322"/>
      <c r="BO1340" s="322"/>
      <c r="BP1340" s="322"/>
      <c r="BQ1340" s="322"/>
      <c r="BR1340" s="322"/>
      <c r="BS1340" s="322"/>
      <c r="BT1340" s="322"/>
      <c r="BU1340" s="322"/>
      <c r="BV1340" s="322"/>
      <c r="BW1340" s="322"/>
      <c r="BX1340" s="322"/>
      <c r="BY1340" s="322"/>
      <c r="BZ1340" s="322"/>
      <c r="CA1340" s="322"/>
      <c r="CB1340" s="322"/>
      <c r="CC1340" s="322"/>
      <c r="CD1340" s="322"/>
      <c r="CE1340" s="322"/>
      <c r="CF1340" s="322"/>
      <c r="CG1340" s="322"/>
      <c r="CH1340" s="322"/>
      <c r="CI1340" s="322"/>
      <c r="CM1340" s="1139">
        <f t="shared" si="791"/>
        <v>0</v>
      </c>
      <c r="CN1340" s="1139">
        <v>0</v>
      </c>
      <c r="CP1340" s="923">
        <f t="shared" si="771"/>
        <v>0</v>
      </c>
      <c r="CZ1340" s="330"/>
    </row>
    <row r="1341" spans="1:104" ht="25.5" customHeight="1" x14ac:dyDescent="0.25">
      <c r="A1341" s="684">
        <f>MAX($A$6:A1340)+1</f>
        <v>1341</v>
      </c>
      <c r="B1341" s="3">
        <f t="shared" si="770"/>
        <v>14</v>
      </c>
      <c r="C1341" s="11" t="str">
        <f t="shared" si="793"/>
        <v>Consolidated Provisions for liabilities and charges</v>
      </c>
      <c r="D1341" s="11" t="s">
        <v>273</v>
      </c>
      <c r="E1341" s="7" t="s">
        <v>270</v>
      </c>
      <c r="F1341" s="7"/>
      <c r="G1341" s="1254" t="s">
        <v>270</v>
      </c>
      <c r="H1341" s="6">
        <v>0</v>
      </c>
      <c r="I1341" s="1190"/>
      <c r="J1341" s="1257" t="s">
        <v>286</v>
      </c>
      <c r="K1341" s="266"/>
      <c r="L1341" s="266"/>
      <c r="M1341" s="10"/>
      <c r="N1341" s="273">
        <f t="shared" si="798"/>
        <v>0</v>
      </c>
      <c r="O1341" s="12"/>
      <c r="P1341" s="12"/>
      <c r="Q1341" s="12"/>
      <c r="R1341" s="12"/>
      <c r="S1341" s="6">
        <f t="shared" si="788"/>
        <v>0</v>
      </c>
      <c r="T1341" s="273">
        <f t="shared" si="801"/>
        <v>0</v>
      </c>
      <c r="U1341" s="6">
        <f t="shared" si="804"/>
        <v>0</v>
      </c>
      <c r="V1341" s="6"/>
      <c r="W1341" s="6">
        <f t="shared" si="792"/>
        <v>0</v>
      </c>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X1341" s="6"/>
      <c r="AY1341" s="6">
        <f>ROUND(AX1341/1000/Update!$B$31*Update!$B$27,0)</f>
        <v>0</v>
      </c>
      <c r="BA1341" s="6"/>
      <c r="BB1341" s="6">
        <f>ROUND(BA1341/1000/Update!$B$31,0)</f>
        <v>0</v>
      </c>
      <c r="BC1341" s="6"/>
      <c r="BD1341" s="29">
        <f t="shared" si="784"/>
        <v>0</v>
      </c>
      <c r="BE1341" s="322"/>
      <c r="BF1341" s="322"/>
      <c r="BG1341" s="322"/>
      <c r="BH1341" s="322"/>
      <c r="BI1341" s="322"/>
      <c r="BJ1341" s="322"/>
      <c r="BK1341" s="29">
        <f t="shared" si="803"/>
        <v>0</v>
      </c>
      <c r="BL1341" s="322"/>
      <c r="BM1341" s="322"/>
      <c r="BN1341" s="322"/>
      <c r="BO1341" s="322"/>
      <c r="BP1341" s="322"/>
      <c r="BQ1341" s="322"/>
      <c r="BR1341" s="322"/>
      <c r="BS1341" s="322"/>
      <c r="BT1341" s="322"/>
      <c r="BU1341" s="322"/>
      <c r="BV1341" s="322"/>
      <c r="BW1341" s="322"/>
      <c r="BX1341" s="322"/>
      <c r="BY1341" s="322"/>
      <c r="BZ1341" s="322"/>
      <c r="CA1341" s="322"/>
      <c r="CB1341" s="322"/>
      <c r="CC1341" s="322"/>
      <c r="CD1341" s="322"/>
      <c r="CE1341" s="322"/>
      <c r="CF1341" s="322"/>
      <c r="CG1341" s="322"/>
      <c r="CH1341" s="322"/>
      <c r="CI1341" s="322"/>
      <c r="CM1341" s="1139">
        <f t="shared" si="791"/>
        <v>0</v>
      </c>
      <c r="CN1341" s="1139">
        <v>0</v>
      </c>
      <c r="CP1341" s="923">
        <f t="shared" si="771"/>
        <v>0</v>
      </c>
      <c r="CZ1341" s="330"/>
    </row>
    <row r="1342" spans="1:104" ht="15" customHeight="1" x14ac:dyDescent="0.25">
      <c r="A1342" s="701">
        <f>MAX($A$6:A1341)+1</f>
        <v>1342</v>
      </c>
      <c r="B1342" s="1291">
        <f t="shared" si="770"/>
        <v>14</v>
      </c>
      <c r="C1342" s="18" t="str">
        <f t="shared" si="793"/>
        <v>Consolidated Provisions for liabilities and charges</v>
      </c>
      <c r="D1342" s="19" t="s">
        <v>273</v>
      </c>
      <c r="E1342" s="19" t="s">
        <v>274</v>
      </c>
      <c r="F1342" s="19"/>
      <c r="G1342" s="28"/>
      <c r="H1342" s="14">
        <f>SUM(H1336:H1341)</f>
        <v>0</v>
      </c>
      <c r="I1342" s="14"/>
      <c r="J1342" s="1258" t="s">
        <v>286</v>
      </c>
      <c r="K1342" s="256">
        <f>SUM(K1336:K1341)</f>
        <v>0</v>
      </c>
      <c r="L1342" s="256">
        <f>SUM(L1336:L1341)</f>
        <v>0</v>
      </c>
      <c r="M1342" s="21"/>
      <c r="N1342" s="14">
        <f t="shared" si="798"/>
        <v>0</v>
      </c>
      <c r="O1342" s="14">
        <f t="shared" ref="O1342:W1342" si="805">SUM(O1336:O1341)</f>
        <v>0</v>
      </c>
      <c r="P1342" s="14">
        <f t="shared" si="805"/>
        <v>0</v>
      </c>
      <c r="Q1342" s="14">
        <f t="shared" si="805"/>
        <v>0</v>
      </c>
      <c r="R1342" s="14">
        <f t="shared" si="805"/>
        <v>0</v>
      </c>
      <c r="S1342" s="14">
        <f t="shared" si="788"/>
        <v>0</v>
      </c>
      <c r="T1342" s="14">
        <f t="shared" si="805"/>
        <v>0</v>
      </c>
      <c r="U1342" s="14">
        <f t="shared" si="805"/>
        <v>0</v>
      </c>
      <c r="V1342" s="14">
        <f t="shared" si="805"/>
        <v>0</v>
      </c>
      <c r="W1342" s="14">
        <f t="shared" si="805"/>
        <v>0</v>
      </c>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2"/>
      <c r="AX1342" s="14">
        <f>SUM(AX1336:AX1341)</f>
        <v>0</v>
      </c>
      <c r="AY1342" s="14">
        <f>ROUND(AX1342/1000/Update!$B$31*Update!$B$27,0)</f>
        <v>0</v>
      </c>
      <c r="AZ1342" s="2"/>
      <c r="BA1342" s="14">
        <f>SUM(BA1336:BA1341)</f>
        <v>0</v>
      </c>
      <c r="BB1342" s="14">
        <f>ROUND(BA1342/1000/Update!$B$31,0)</f>
        <v>0</v>
      </c>
      <c r="BC1342" s="14"/>
      <c r="BD1342" s="14">
        <f t="shared" si="784"/>
        <v>0</v>
      </c>
      <c r="BE1342" s="318">
        <f t="shared" ref="BE1342:BJ1342" si="806">SUM(BE1336:BE1341)</f>
        <v>0</v>
      </c>
      <c r="BF1342" s="318">
        <f t="shared" si="806"/>
        <v>0</v>
      </c>
      <c r="BG1342" s="318">
        <f t="shared" si="806"/>
        <v>0</v>
      </c>
      <c r="BH1342" s="318">
        <f t="shared" si="806"/>
        <v>0</v>
      </c>
      <c r="BI1342" s="318">
        <f t="shared" si="806"/>
        <v>0</v>
      </c>
      <c r="BJ1342" s="318">
        <f t="shared" si="806"/>
        <v>0</v>
      </c>
      <c r="BK1342" s="14">
        <f t="shared" si="803"/>
        <v>0</v>
      </c>
      <c r="BL1342" s="318"/>
      <c r="BM1342" s="318"/>
      <c r="BN1342" s="318"/>
      <c r="BO1342" s="318"/>
      <c r="BP1342" s="318"/>
      <c r="BQ1342" s="318"/>
      <c r="BR1342" s="318"/>
      <c r="BS1342" s="318"/>
      <c r="BT1342" s="318"/>
      <c r="BU1342" s="318"/>
      <c r="BV1342" s="318"/>
      <c r="BW1342" s="318"/>
      <c r="BX1342" s="318"/>
      <c r="BY1342" s="318"/>
      <c r="BZ1342" s="318"/>
      <c r="CA1342" s="318"/>
      <c r="CB1342" s="318"/>
      <c r="CC1342" s="318"/>
      <c r="CD1342" s="318"/>
      <c r="CE1342" s="318"/>
      <c r="CF1342" s="318"/>
      <c r="CG1342" s="318"/>
      <c r="CH1342" s="318"/>
      <c r="CI1342" s="318"/>
      <c r="CJ1342" s="2"/>
      <c r="CK1342" s="2"/>
      <c r="CM1342" s="1140">
        <f t="shared" si="791"/>
        <v>0</v>
      </c>
      <c r="CN1342" s="1140">
        <v>0</v>
      </c>
      <c r="CP1342" s="923">
        <f t="shared" si="771"/>
        <v>0</v>
      </c>
      <c r="CZ1342" s="330"/>
    </row>
    <row r="1343" spans="1:104" ht="15" customHeight="1" x14ac:dyDescent="0.25">
      <c r="A1343" s="684">
        <f>MAX($A$6:A1342)+1</f>
        <v>1343</v>
      </c>
      <c r="B1343" s="3">
        <f>B1342</f>
        <v>14</v>
      </c>
      <c r="C1343" s="11" t="str">
        <f>C1342</f>
        <v>Consolidated Provisions for liabilities and charges</v>
      </c>
      <c r="D1343" s="11" t="s">
        <v>1065</v>
      </c>
      <c r="E1343" s="7" t="str">
        <f>"Balance at"&amp;Update!$B$20</f>
        <v>Balance at 1 April 2025</v>
      </c>
      <c r="F1343" s="15"/>
      <c r="G1343" s="1254" t="str">
        <f>$E1343</f>
        <v>Balance at 1 April 2025</v>
      </c>
      <c r="H1343" s="6">
        <v>0</v>
      </c>
      <c r="I1343" s="1190"/>
      <c r="J1343" s="1257" t="str">
        <f>$E1343</f>
        <v>Balance at 1 April 2025</v>
      </c>
      <c r="K1343" s="251">
        <f>SUMIF('alb Note 14 - Provisions CY'!$A:$A,$J1343,'alb Note 14 - Provisions CY'!$G:$G)</f>
        <v>0</v>
      </c>
      <c r="L1343" s="266"/>
      <c r="M1343" s="10"/>
      <c r="N1343" s="273">
        <f t="shared" si="798"/>
        <v>0</v>
      </c>
      <c r="O1343" s="12"/>
      <c r="P1343" s="12"/>
      <c r="Q1343" s="12"/>
      <c r="R1343" s="12"/>
      <c r="S1343" s="6">
        <f t="shared" si="788"/>
        <v>0</v>
      </c>
      <c r="T1343" s="273">
        <f t="shared" ref="T1343:T1348" si="807">ROUND(SUM(U1343:Y1343),0)</f>
        <v>0</v>
      </c>
      <c r="U1343" s="6">
        <f t="shared" ref="U1343:U1348" si="808">SUM(BL1343:BN1343)</f>
        <v>0</v>
      </c>
      <c r="V1343" s="6"/>
      <c r="W1343" s="6">
        <f t="shared" si="792"/>
        <v>0</v>
      </c>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X1343" s="6"/>
      <c r="AY1343" s="6">
        <f>ROUND(AX1343/1000/Update!$B$31*Update!$B$27,0)</f>
        <v>0</v>
      </c>
      <c r="BA1343" s="6"/>
      <c r="BB1343" s="6">
        <f>ROUND(BA1343/1000/Update!$B$31,0)</f>
        <v>0</v>
      </c>
      <c r="BC1343" s="6"/>
      <c r="BD1343" s="29">
        <f t="shared" si="784"/>
        <v>0</v>
      </c>
      <c r="BE1343" s="322"/>
      <c r="BF1343" s="322"/>
      <c r="BG1343" s="322"/>
      <c r="BH1343" s="322"/>
      <c r="BI1343" s="322"/>
      <c r="BJ1343" s="322"/>
      <c r="BK1343" s="29">
        <f t="shared" si="803"/>
        <v>0</v>
      </c>
      <c r="BL1343" s="322"/>
      <c r="BM1343" s="322"/>
      <c r="BN1343" s="322"/>
      <c r="BO1343" s="322"/>
      <c r="BP1343" s="322"/>
      <c r="BQ1343" s="322"/>
      <c r="BR1343" s="322"/>
      <c r="BS1343" s="322"/>
      <c r="BT1343" s="322"/>
      <c r="BU1343" s="322"/>
      <c r="BV1343" s="322"/>
      <c r="BW1343" s="322"/>
      <c r="BX1343" s="322"/>
      <c r="BY1343" s="322"/>
      <c r="BZ1343" s="322"/>
      <c r="CA1343" s="322"/>
      <c r="CB1343" s="322"/>
      <c r="CC1343" s="322"/>
      <c r="CD1343" s="322"/>
      <c r="CE1343" s="322"/>
      <c r="CF1343" s="322"/>
      <c r="CG1343" s="322"/>
      <c r="CH1343" s="322"/>
      <c r="CI1343" s="322"/>
      <c r="CM1343" s="1139">
        <v>1</v>
      </c>
      <c r="CN1343" s="1139">
        <v>0</v>
      </c>
      <c r="CP1343" s="923">
        <f t="shared" si="771"/>
        <v>1</v>
      </c>
      <c r="CZ1343" s="330"/>
    </row>
    <row r="1344" spans="1:104" ht="15" customHeight="1" x14ac:dyDescent="0.25">
      <c r="A1344" s="684">
        <f>MAX($A$6:A1343)+1</f>
        <v>1344</v>
      </c>
      <c r="B1344" s="3">
        <f t="shared" ref="B1344:B1356" si="809">B1343</f>
        <v>14</v>
      </c>
      <c r="C1344" s="11" t="str">
        <f t="shared" si="793"/>
        <v>Consolidated Provisions for liabilities and charges</v>
      </c>
      <c r="D1344" s="11" t="s">
        <v>1065</v>
      </c>
      <c r="E1344" s="7" t="s">
        <v>2495</v>
      </c>
      <c r="F1344" s="7"/>
      <c r="G1344" s="1254" t="s">
        <v>2495</v>
      </c>
      <c r="H1344" s="6">
        <v>0</v>
      </c>
      <c r="I1344" s="1190"/>
      <c r="J1344" s="1254" t="s">
        <v>2495</v>
      </c>
      <c r="K1344" s="251">
        <f>SUMIF('alb Note 14 - Provisions CY'!$A:$A,$J1344,'alb Note 14 - Provisions CY'!$G:$G)</f>
        <v>0</v>
      </c>
      <c r="L1344" s="266"/>
      <c r="M1344" s="10"/>
      <c r="N1344" s="273">
        <f t="shared" si="798"/>
        <v>0</v>
      </c>
      <c r="O1344" s="12"/>
      <c r="P1344" s="12"/>
      <c r="Q1344" s="12"/>
      <c r="R1344" s="12"/>
      <c r="S1344" s="6">
        <f t="shared" si="788"/>
        <v>0</v>
      </c>
      <c r="T1344" s="273">
        <f t="shared" si="807"/>
        <v>0</v>
      </c>
      <c r="U1344" s="6">
        <f t="shared" si="808"/>
        <v>0</v>
      </c>
      <c r="V1344" s="6"/>
      <c r="W1344" s="6">
        <f t="shared" si="792"/>
        <v>0</v>
      </c>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X1344" s="6"/>
      <c r="AY1344" s="6">
        <f>ROUND(AX1344/1000/Update!$B$31*Update!$B$27,0)</f>
        <v>0</v>
      </c>
      <c r="BA1344" s="6"/>
      <c r="BB1344" s="6">
        <f>ROUND(BA1344/1000/Update!$B$31,0)</f>
        <v>0</v>
      </c>
      <c r="BC1344" s="6"/>
      <c r="BD1344" s="29">
        <f t="shared" si="784"/>
        <v>0</v>
      </c>
      <c r="BE1344" s="322"/>
      <c r="BF1344" s="322"/>
      <c r="BG1344" s="322"/>
      <c r="BH1344" s="322"/>
      <c r="BI1344" s="322"/>
      <c r="BJ1344" s="322"/>
      <c r="BK1344" s="29">
        <f t="shared" si="803"/>
        <v>0</v>
      </c>
      <c r="BL1344" s="322"/>
      <c r="BM1344" s="322"/>
      <c r="BN1344" s="322"/>
      <c r="BO1344" s="322"/>
      <c r="BP1344" s="322"/>
      <c r="BQ1344" s="322"/>
      <c r="BR1344" s="322"/>
      <c r="BS1344" s="322"/>
      <c r="BT1344" s="322"/>
      <c r="BU1344" s="322"/>
      <c r="BV1344" s="322"/>
      <c r="BW1344" s="322"/>
      <c r="BX1344" s="322"/>
      <c r="BY1344" s="322"/>
      <c r="BZ1344" s="322"/>
      <c r="CA1344" s="322"/>
      <c r="CB1344" s="322"/>
      <c r="CC1344" s="322"/>
      <c r="CD1344" s="322"/>
      <c r="CE1344" s="322"/>
      <c r="CF1344" s="322"/>
      <c r="CG1344" s="322"/>
      <c r="CH1344" s="322"/>
      <c r="CI1344" s="322"/>
      <c r="CM1344" s="1139">
        <v>-1</v>
      </c>
      <c r="CN1344" s="1139">
        <v>0</v>
      </c>
      <c r="CP1344" s="923">
        <f t="shared" si="771"/>
        <v>-1</v>
      </c>
      <c r="CZ1344" s="330"/>
    </row>
    <row r="1345" spans="1:104" ht="15" customHeight="1" x14ac:dyDescent="0.25">
      <c r="A1345" s="684">
        <f>MAX($A$6:A1344)+1</f>
        <v>1345</v>
      </c>
      <c r="B1345" s="3">
        <f t="shared" si="809"/>
        <v>14</v>
      </c>
      <c r="C1345" s="11" t="str">
        <f t="shared" si="793"/>
        <v>Consolidated Provisions for liabilities and charges</v>
      </c>
      <c r="D1345" s="11" t="s">
        <v>1065</v>
      </c>
      <c r="E1345" s="7" t="s">
        <v>267</v>
      </c>
      <c r="F1345" s="7"/>
      <c r="G1345" s="1254" t="s">
        <v>267</v>
      </c>
      <c r="H1345" s="6">
        <v>0</v>
      </c>
      <c r="I1345" s="1190"/>
      <c r="J1345" s="1257" t="s">
        <v>791</v>
      </c>
      <c r="K1345" s="251">
        <f>SUMIF('alb Note 14 - Provisions CY'!$A:$A,$J1345,'alb Note 14 - Provisions CY'!$G:$G)</f>
        <v>0</v>
      </c>
      <c r="L1345" s="266"/>
      <c r="M1345" s="10"/>
      <c r="N1345" s="273">
        <f t="shared" si="798"/>
        <v>0</v>
      </c>
      <c r="O1345" s="12"/>
      <c r="P1345" s="12"/>
      <c r="Q1345" s="12"/>
      <c r="R1345" s="12"/>
      <c r="S1345" s="6">
        <f t="shared" si="788"/>
        <v>0</v>
      </c>
      <c r="T1345" s="273">
        <f t="shared" si="807"/>
        <v>0</v>
      </c>
      <c r="U1345" s="6">
        <f t="shared" si="808"/>
        <v>0</v>
      </c>
      <c r="V1345" s="6"/>
      <c r="W1345" s="6">
        <f t="shared" si="792"/>
        <v>0</v>
      </c>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X1345" s="6"/>
      <c r="AY1345" s="6">
        <f>ROUND(AX1345/1000/Update!$B$31*Update!$B$27,0)</f>
        <v>0</v>
      </c>
      <c r="BA1345" s="6"/>
      <c r="BB1345" s="6">
        <f>ROUND(BA1345/1000/Update!$B$31,0)</f>
        <v>0</v>
      </c>
      <c r="BC1345" s="6"/>
      <c r="BD1345" s="29">
        <f t="shared" si="784"/>
        <v>0</v>
      </c>
      <c r="BE1345" s="322"/>
      <c r="BF1345" s="322"/>
      <c r="BG1345" s="322"/>
      <c r="BH1345" s="322"/>
      <c r="BI1345" s="322"/>
      <c r="BJ1345" s="322"/>
      <c r="BK1345" s="29">
        <f t="shared" si="803"/>
        <v>0</v>
      </c>
      <c r="BL1345" s="322"/>
      <c r="BM1345" s="322"/>
      <c r="BN1345" s="322"/>
      <c r="BO1345" s="322"/>
      <c r="BP1345" s="322"/>
      <c r="BQ1345" s="322"/>
      <c r="BR1345" s="322"/>
      <c r="BS1345" s="322"/>
      <c r="BT1345" s="322"/>
      <c r="BU1345" s="322"/>
      <c r="BV1345" s="322"/>
      <c r="BW1345" s="322"/>
      <c r="BX1345" s="322"/>
      <c r="BY1345" s="322"/>
      <c r="BZ1345" s="322"/>
      <c r="CA1345" s="322"/>
      <c r="CB1345" s="322"/>
      <c r="CC1345" s="322"/>
      <c r="CD1345" s="322"/>
      <c r="CE1345" s="322"/>
      <c r="CF1345" s="322"/>
      <c r="CG1345" s="322"/>
      <c r="CH1345" s="322"/>
      <c r="CI1345" s="322"/>
      <c r="CM1345" s="1139">
        <f t="shared" si="791"/>
        <v>0</v>
      </c>
      <c r="CN1345" s="1139">
        <v>0</v>
      </c>
      <c r="CP1345" s="923">
        <f t="shared" si="771"/>
        <v>0</v>
      </c>
      <c r="CZ1345" s="330"/>
    </row>
    <row r="1346" spans="1:104" ht="25.5" customHeight="1" x14ac:dyDescent="0.25">
      <c r="A1346" s="684">
        <f>MAX($A$6:A1345)+1</f>
        <v>1346</v>
      </c>
      <c r="B1346" s="3">
        <f t="shared" si="809"/>
        <v>14</v>
      </c>
      <c r="C1346" s="11" t="str">
        <f t="shared" si="793"/>
        <v>Consolidated Provisions for liabilities and charges</v>
      </c>
      <c r="D1346" s="11" t="s">
        <v>1065</v>
      </c>
      <c r="E1346" s="7" t="s">
        <v>268</v>
      </c>
      <c r="F1346" s="7"/>
      <c r="G1346" s="1254" t="s">
        <v>268</v>
      </c>
      <c r="H1346" s="6">
        <v>0</v>
      </c>
      <c r="I1346" s="1190"/>
      <c r="J1346" s="1257" t="s">
        <v>792</v>
      </c>
      <c r="K1346" s="251">
        <f>SUMIF('alb Note 14 - Provisions CY'!$A:$A,$J1346,'alb Note 14 - Provisions CY'!$G:$G)</f>
        <v>0</v>
      </c>
      <c r="L1346" s="266"/>
      <c r="M1346" s="10"/>
      <c r="N1346" s="273">
        <f t="shared" si="798"/>
        <v>0</v>
      </c>
      <c r="O1346" s="12"/>
      <c r="P1346" s="12"/>
      <c r="Q1346" s="12"/>
      <c r="R1346" s="12"/>
      <c r="S1346" s="6">
        <f t="shared" si="788"/>
        <v>0</v>
      </c>
      <c r="T1346" s="273">
        <f t="shared" si="807"/>
        <v>0</v>
      </c>
      <c r="U1346" s="6">
        <f t="shared" si="808"/>
        <v>0</v>
      </c>
      <c r="V1346" s="6"/>
      <c r="W1346" s="6">
        <f t="shared" si="792"/>
        <v>0</v>
      </c>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X1346" s="6"/>
      <c r="AY1346" s="6">
        <f>ROUND(AX1346/1000/Update!$B$31*Update!$B$27,0)</f>
        <v>0</v>
      </c>
      <c r="BA1346" s="6"/>
      <c r="BB1346" s="6">
        <f>ROUND(BA1346/1000/Update!$B$31,0)</f>
        <v>0</v>
      </c>
      <c r="BC1346" s="6"/>
      <c r="BD1346" s="29">
        <f t="shared" si="784"/>
        <v>0</v>
      </c>
      <c r="BE1346" s="322"/>
      <c r="BF1346" s="322"/>
      <c r="BG1346" s="322"/>
      <c r="BH1346" s="322"/>
      <c r="BI1346" s="322"/>
      <c r="BJ1346" s="322"/>
      <c r="BK1346" s="29">
        <f t="shared" si="803"/>
        <v>0</v>
      </c>
      <c r="BL1346" s="322"/>
      <c r="BM1346" s="322"/>
      <c r="BN1346" s="322"/>
      <c r="BO1346" s="322"/>
      <c r="BP1346" s="322"/>
      <c r="BQ1346" s="322"/>
      <c r="BR1346" s="322"/>
      <c r="BS1346" s="322"/>
      <c r="BT1346" s="322"/>
      <c r="BU1346" s="322"/>
      <c r="BV1346" s="322"/>
      <c r="BW1346" s="322"/>
      <c r="BX1346" s="322"/>
      <c r="BY1346" s="322"/>
      <c r="BZ1346" s="322"/>
      <c r="CA1346" s="322"/>
      <c r="CB1346" s="322"/>
      <c r="CC1346" s="322"/>
      <c r="CD1346" s="322"/>
      <c r="CE1346" s="322"/>
      <c r="CF1346" s="322"/>
      <c r="CG1346" s="322"/>
      <c r="CH1346" s="322"/>
      <c r="CI1346" s="322"/>
      <c r="CM1346" s="1139">
        <f t="shared" si="791"/>
        <v>0</v>
      </c>
      <c r="CN1346" s="1139">
        <v>0</v>
      </c>
      <c r="CP1346" s="923">
        <f t="shared" si="771"/>
        <v>0</v>
      </c>
      <c r="CZ1346" s="330"/>
    </row>
    <row r="1347" spans="1:104" ht="15" customHeight="1" x14ac:dyDescent="0.25">
      <c r="A1347" s="684">
        <f>MAX($A$6:A1346)+1</f>
        <v>1347</v>
      </c>
      <c r="B1347" s="3">
        <f t="shared" si="809"/>
        <v>14</v>
      </c>
      <c r="C1347" s="11" t="str">
        <f t="shared" si="793"/>
        <v>Consolidated Provisions for liabilities and charges</v>
      </c>
      <c r="D1347" s="11" t="s">
        <v>1065</v>
      </c>
      <c r="E1347" s="7" t="s">
        <v>269</v>
      </c>
      <c r="F1347" s="7"/>
      <c r="G1347" s="1254" t="s">
        <v>269</v>
      </c>
      <c r="H1347" s="6">
        <v>0</v>
      </c>
      <c r="I1347" s="1190"/>
      <c r="J1347" s="1257" t="s">
        <v>793</v>
      </c>
      <c r="K1347" s="251">
        <f>SUMIF('alb Note 14 - Provisions CY'!$A:$A,$J1347,'alb Note 14 - Provisions CY'!$G:$G)</f>
        <v>0</v>
      </c>
      <c r="L1347" s="266"/>
      <c r="M1347" s="10"/>
      <c r="N1347" s="273">
        <f t="shared" si="798"/>
        <v>0</v>
      </c>
      <c r="O1347" s="12"/>
      <c r="P1347" s="12"/>
      <c r="Q1347" s="12"/>
      <c r="R1347" s="12"/>
      <c r="S1347" s="6">
        <f t="shared" si="788"/>
        <v>0</v>
      </c>
      <c r="T1347" s="273">
        <f t="shared" si="807"/>
        <v>0</v>
      </c>
      <c r="U1347" s="6">
        <f t="shared" si="808"/>
        <v>0</v>
      </c>
      <c r="V1347" s="6"/>
      <c r="W1347" s="6">
        <f t="shared" si="792"/>
        <v>0</v>
      </c>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X1347" s="6"/>
      <c r="AY1347" s="6">
        <f>ROUND(AX1347/1000/Update!$B$31*Update!$B$27,0)</f>
        <v>0</v>
      </c>
      <c r="BA1347" s="6"/>
      <c r="BB1347" s="6">
        <f>ROUND(BA1347/1000/Update!$B$31,0)</f>
        <v>0</v>
      </c>
      <c r="BC1347" s="6"/>
      <c r="BD1347" s="29">
        <f t="shared" si="784"/>
        <v>0</v>
      </c>
      <c r="BE1347" s="322"/>
      <c r="BF1347" s="322"/>
      <c r="BG1347" s="322"/>
      <c r="BH1347" s="322"/>
      <c r="BI1347" s="322"/>
      <c r="BJ1347" s="322"/>
      <c r="BK1347" s="29">
        <f t="shared" si="803"/>
        <v>0</v>
      </c>
      <c r="BL1347" s="322"/>
      <c r="BM1347" s="322"/>
      <c r="BN1347" s="322"/>
      <c r="BO1347" s="322"/>
      <c r="BP1347" s="322"/>
      <c r="BQ1347" s="322"/>
      <c r="BR1347" s="322"/>
      <c r="BS1347" s="322"/>
      <c r="BT1347" s="322"/>
      <c r="BU1347" s="322"/>
      <c r="BV1347" s="322"/>
      <c r="BW1347" s="322"/>
      <c r="BX1347" s="322"/>
      <c r="BY1347" s="322"/>
      <c r="BZ1347" s="322"/>
      <c r="CA1347" s="322"/>
      <c r="CB1347" s="322"/>
      <c r="CC1347" s="322"/>
      <c r="CD1347" s="322"/>
      <c r="CE1347" s="322"/>
      <c r="CF1347" s="322"/>
      <c r="CG1347" s="322"/>
      <c r="CH1347" s="322"/>
      <c r="CI1347" s="322"/>
      <c r="CM1347" s="1139">
        <f t="shared" si="791"/>
        <v>0</v>
      </c>
      <c r="CN1347" s="1139">
        <v>0</v>
      </c>
      <c r="CP1347" s="923">
        <f t="shared" si="771"/>
        <v>0</v>
      </c>
      <c r="CZ1347" s="330"/>
    </row>
    <row r="1348" spans="1:104" ht="25.5" customHeight="1" x14ac:dyDescent="0.25">
      <c r="A1348" s="684">
        <f>MAX($A$6:A1347)+1</f>
        <v>1348</v>
      </c>
      <c r="B1348" s="3">
        <f t="shared" si="809"/>
        <v>14</v>
      </c>
      <c r="C1348" s="11" t="str">
        <f t="shared" si="793"/>
        <v>Consolidated Provisions for liabilities and charges</v>
      </c>
      <c r="D1348" s="11" t="s">
        <v>1065</v>
      </c>
      <c r="E1348" s="7" t="s">
        <v>270</v>
      </c>
      <c r="F1348" s="7"/>
      <c r="G1348" s="1254" t="s">
        <v>270</v>
      </c>
      <c r="H1348" s="6">
        <v>0</v>
      </c>
      <c r="I1348" s="1190"/>
      <c r="J1348" s="1257" t="s">
        <v>794</v>
      </c>
      <c r="K1348" s="251">
        <f>SUMIF('alb Note 14 - Provisions CY'!$A:$A,$J1348,'alb Note 14 - Provisions CY'!$G:$G)</f>
        <v>0</v>
      </c>
      <c r="L1348" s="266"/>
      <c r="M1348" s="10"/>
      <c r="N1348" s="273">
        <f t="shared" si="798"/>
        <v>0</v>
      </c>
      <c r="O1348" s="12"/>
      <c r="P1348" s="12"/>
      <c r="Q1348" s="12"/>
      <c r="R1348" s="12"/>
      <c r="S1348" s="6">
        <f t="shared" si="788"/>
        <v>0</v>
      </c>
      <c r="T1348" s="273">
        <f t="shared" si="807"/>
        <v>0</v>
      </c>
      <c r="U1348" s="6">
        <f t="shared" si="808"/>
        <v>0</v>
      </c>
      <c r="V1348" s="6"/>
      <c r="W1348" s="6">
        <f t="shared" si="792"/>
        <v>0</v>
      </c>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X1348" s="6"/>
      <c r="AY1348" s="6">
        <f>ROUND(AX1348/1000/Update!$B$31*Update!$B$27,0)</f>
        <v>0</v>
      </c>
      <c r="BA1348" s="6"/>
      <c r="BB1348" s="6">
        <f>ROUND(BA1348/1000/Update!$B$31,0)</f>
        <v>0</v>
      </c>
      <c r="BC1348" s="6"/>
      <c r="BD1348" s="29">
        <f t="shared" si="784"/>
        <v>0</v>
      </c>
      <c r="BE1348" s="322"/>
      <c r="BF1348" s="322"/>
      <c r="BG1348" s="322"/>
      <c r="BH1348" s="322"/>
      <c r="BI1348" s="322"/>
      <c r="BJ1348" s="322"/>
      <c r="BK1348" s="29">
        <f t="shared" si="803"/>
        <v>0</v>
      </c>
      <c r="BL1348" s="322"/>
      <c r="BM1348" s="322"/>
      <c r="BN1348" s="322"/>
      <c r="BO1348" s="322"/>
      <c r="BP1348" s="322"/>
      <c r="BQ1348" s="322"/>
      <c r="BR1348" s="322"/>
      <c r="BS1348" s="322"/>
      <c r="BT1348" s="322"/>
      <c r="BU1348" s="322"/>
      <c r="BV1348" s="322"/>
      <c r="BW1348" s="322"/>
      <c r="BX1348" s="322"/>
      <c r="BY1348" s="322"/>
      <c r="BZ1348" s="322"/>
      <c r="CA1348" s="322"/>
      <c r="CB1348" s="322"/>
      <c r="CC1348" s="322"/>
      <c r="CD1348" s="322"/>
      <c r="CE1348" s="322"/>
      <c r="CF1348" s="322"/>
      <c r="CG1348" s="322"/>
      <c r="CH1348" s="322"/>
      <c r="CI1348" s="322"/>
      <c r="CM1348" s="1139">
        <f t="shared" si="791"/>
        <v>0</v>
      </c>
      <c r="CN1348" s="1139">
        <v>0</v>
      </c>
      <c r="CP1348" s="923">
        <f t="shared" si="771"/>
        <v>0</v>
      </c>
      <c r="CZ1348" s="330"/>
    </row>
    <row r="1349" spans="1:104" ht="15" customHeight="1" x14ac:dyDescent="0.25">
      <c r="A1349" s="701">
        <f>MAX($A$6:A1348)+1</f>
        <v>1349</v>
      </c>
      <c r="B1349" s="1291">
        <f t="shared" si="809"/>
        <v>14</v>
      </c>
      <c r="C1349" s="18" t="str">
        <f t="shared" si="793"/>
        <v>Consolidated Provisions for liabilities and charges</v>
      </c>
      <c r="D1349" s="19" t="s">
        <v>1065</v>
      </c>
      <c r="E1349" s="19" t="s">
        <v>274</v>
      </c>
      <c r="F1349" s="19"/>
      <c r="G1349" s="28"/>
      <c r="H1349" s="14">
        <f>SUM(H1343:H1348)</f>
        <v>0</v>
      </c>
      <c r="I1349" s="14"/>
      <c r="J1349" s="1258" t="s">
        <v>286</v>
      </c>
      <c r="K1349" s="256">
        <f>SUM(K1343:K1348)</f>
        <v>0</v>
      </c>
      <c r="L1349" s="256">
        <f>SUM(L1343:L1348)</f>
        <v>0</v>
      </c>
      <c r="M1349" s="21"/>
      <c r="N1349" s="14">
        <f t="shared" si="798"/>
        <v>0</v>
      </c>
      <c r="O1349" s="14">
        <f t="shared" ref="O1349:V1349" si="810">SUM(O1343:O1348)</f>
        <v>0</v>
      </c>
      <c r="P1349" s="14">
        <f t="shared" si="810"/>
        <v>0</v>
      </c>
      <c r="Q1349" s="14">
        <f t="shared" si="810"/>
        <v>0</v>
      </c>
      <c r="R1349" s="14">
        <f t="shared" si="810"/>
        <v>0</v>
      </c>
      <c r="S1349" s="14">
        <f t="shared" si="788"/>
        <v>0</v>
      </c>
      <c r="T1349" s="14">
        <f t="shared" si="810"/>
        <v>0</v>
      </c>
      <c r="U1349" s="14">
        <f>SUM(U1343:U1348)</f>
        <v>0</v>
      </c>
      <c r="V1349" s="14">
        <f t="shared" si="810"/>
        <v>0</v>
      </c>
      <c r="W1349" s="14">
        <f>SUM(W1343:W1348)</f>
        <v>0</v>
      </c>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2"/>
      <c r="AX1349" s="14">
        <f>SUM(AX1343:AX1348)</f>
        <v>0</v>
      </c>
      <c r="AY1349" s="14">
        <f>ROUND(AX1349/1000/Update!$B$31*Update!$B$27,0)</f>
        <v>0</v>
      </c>
      <c r="AZ1349" s="2"/>
      <c r="BA1349" s="14">
        <f>SUM(BA1343:BA1348)</f>
        <v>0</v>
      </c>
      <c r="BB1349" s="14">
        <f>ROUND(BA1349/1000/Update!$B$31,0)</f>
        <v>0</v>
      </c>
      <c r="BC1349" s="14"/>
      <c r="BD1349" s="14">
        <f t="shared" si="784"/>
        <v>0</v>
      </c>
      <c r="BE1349" s="318">
        <f t="shared" ref="BE1349:BJ1349" si="811">SUM(BE1343:BE1348)</f>
        <v>0</v>
      </c>
      <c r="BF1349" s="318">
        <f t="shared" si="811"/>
        <v>0</v>
      </c>
      <c r="BG1349" s="318">
        <f t="shared" si="811"/>
        <v>0</v>
      </c>
      <c r="BH1349" s="318">
        <f t="shared" si="811"/>
        <v>0</v>
      </c>
      <c r="BI1349" s="318">
        <f t="shared" si="811"/>
        <v>0</v>
      </c>
      <c r="BJ1349" s="318">
        <f t="shared" si="811"/>
        <v>0</v>
      </c>
      <c r="BK1349" s="14">
        <f t="shared" si="803"/>
        <v>0</v>
      </c>
      <c r="BL1349" s="318"/>
      <c r="BM1349" s="318"/>
      <c r="BN1349" s="318"/>
      <c r="BO1349" s="318"/>
      <c r="BP1349" s="318"/>
      <c r="BQ1349" s="318"/>
      <c r="BR1349" s="318"/>
      <c r="BS1349" s="318"/>
      <c r="BT1349" s="318"/>
      <c r="BU1349" s="318"/>
      <c r="BV1349" s="318"/>
      <c r="BW1349" s="318"/>
      <c r="BX1349" s="318"/>
      <c r="BY1349" s="318"/>
      <c r="BZ1349" s="318"/>
      <c r="CA1349" s="318"/>
      <c r="CB1349" s="318"/>
      <c r="CC1349" s="318"/>
      <c r="CD1349" s="318"/>
      <c r="CE1349" s="318"/>
      <c r="CF1349" s="318"/>
      <c r="CG1349" s="318"/>
      <c r="CH1349" s="318"/>
      <c r="CI1349" s="318"/>
      <c r="CJ1349" s="2"/>
      <c r="CK1349" s="2"/>
      <c r="CM1349" s="1140">
        <f t="shared" si="791"/>
        <v>0</v>
      </c>
      <c r="CN1349" s="1140">
        <v>0</v>
      </c>
      <c r="CP1349" s="923">
        <f t="shared" si="771"/>
        <v>0</v>
      </c>
      <c r="CZ1349" s="330"/>
    </row>
    <row r="1350" spans="1:104" ht="15" customHeight="1" x14ac:dyDescent="0.25">
      <c r="A1350" s="684">
        <f>MAX($A$6:A1349)+1</f>
        <v>1350</v>
      </c>
      <c r="B1350" s="3">
        <f t="shared" si="809"/>
        <v>14</v>
      </c>
      <c r="C1350" s="11" t="str">
        <f>C1349</f>
        <v>Consolidated Provisions for liabilities and charges</v>
      </c>
      <c r="D1350" s="11" t="s">
        <v>938</v>
      </c>
      <c r="E1350" s="7" t="str">
        <f>"Balance at"&amp;Update!$B$20</f>
        <v>Balance at 1 April 2025</v>
      </c>
      <c r="F1350" s="15"/>
      <c r="G1350" s="1254" t="s">
        <v>286</v>
      </c>
      <c r="H1350" s="6"/>
      <c r="I1350" s="1190"/>
      <c r="J1350" s="1257" t="str">
        <f>$E1350</f>
        <v>Balance at 1 April 2025</v>
      </c>
      <c r="K1350" s="251">
        <f>SUMIF('alb Note 14 - Provisions CY'!$A:$A,$J1350,'alb Note 14 - Provisions CY'!$I:$I)</f>
        <v>0</v>
      </c>
      <c r="L1350" s="266"/>
      <c r="M1350" s="10"/>
      <c r="N1350" s="273">
        <f t="shared" si="798"/>
        <v>0</v>
      </c>
      <c r="O1350" s="12"/>
      <c r="P1350" s="12"/>
      <c r="Q1350" s="12"/>
      <c r="R1350" s="12"/>
      <c r="S1350" s="6">
        <f t="shared" si="788"/>
        <v>0</v>
      </c>
      <c r="T1350" s="273">
        <f t="shared" ref="T1350:T1355" si="812">ROUND(SUM(U1350:Y1350),0)</f>
        <v>0</v>
      </c>
      <c r="U1350" s="6">
        <f t="shared" ref="U1350:U1355" si="813">SUM(BL1350:BN1350)</f>
        <v>0</v>
      </c>
      <c r="V1350" s="6"/>
      <c r="W1350" s="6">
        <f t="shared" si="792"/>
        <v>0</v>
      </c>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X1350" s="6"/>
      <c r="AY1350" s="6">
        <f>ROUND(AX1350/1000/Update!$B$31*Update!$B$27,0)</f>
        <v>0</v>
      </c>
      <c r="BA1350" s="6"/>
      <c r="BB1350" s="6">
        <f>ROUND(BA1350/1000/Update!$B$31,0)</f>
        <v>0</v>
      </c>
      <c r="BC1350" s="6"/>
      <c r="BD1350" s="29">
        <f t="shared" si="784"/>
        <v>0</v>
      </c>
      <c r="BE1350" s="322"/>
      <c r="BF1350" s="322"/>
      <c r="BG1350" s="322"/>
      <c r="BH1350" s="322"/>
      <c r="BI1350" s="322"/>
      <c r="BJ1350" s="322"/>
      <c r="BK1350" s="29">
        <f t="shared" si="803"/>
        <v>0</v>
      </c>
      <c r="BL1350" s="322"/>
      <c r="BM1350" s="322"/>
      <c r="BN1350" s="322"/>
      <c r="BO1350" s="322"/>
      <c r="BP1350" s="322"/>
      <c r="BQ1350" s="322"/>
      <c r="BR1350" s="322"/>
      <c r="BS1350" s="322"/>
      <c r="BT1350" s="322"/>
      <c r="BU1350" s="322"/>
      <c r="BV1350" s="322"/>
      <c r="BW1350" s="322"/>
      <c r="BX1350" s="322"/>
      <c r="BY1350" s="322"/>
      <c r="BZ1350" s="322"/>
      <c r="CA1350" s="322"/>
      <c r="CB1350" s="322"/>
      <c r="CC1350" s="322"/>
      <c r="CD1350" s="322"/>
      <c r="CE1350" s="322"/>
      <c r="CF1350" s="322"/>
      <c r="CG1350" s="322"/>
      <c r="CH1350" s="322"/>
      <c r="CI1350" s="322"/>
      <c r="CM1350" s="1139">
        <f t="shared" si="791"/>
        <v>0</v>
      </c>
      <c r="CN1350" s="1139">
        <v>0</v>
      </c>
      <c r="CP1350" s="923">
        <f t="shared" si="771"/>
        <v>0</v>
      </c>
      <c r="CZ1350" s="330"/>
    </row>
    <row r="1351" spans="1:104" ht="15" customHeight="1" x14ac:dyDescent="0.25">
      <c r="A1351" s="684">
        <f>MAX($A$6:A1350)+1</f>
        <v>1351</v>
      </c>
      <c r="B1351" s="3">
        <f t="shared" si="809"/>
        <v>14</v>
      </c>
      <c r="C1351" s="11" t="str">
        <f t="shared" si="793"/>
        <v>Consolidated Provisions for liabilities and charges</v>
      </c>
      <c r="D1351" s="11" t="s">
        <v>938</v>
      </c>
      <c r="E1351" s="7" t="s">
        <v>2495</v>
      </c>
      <c r="F1351" s="7"/>
      <c r="G1351" s="1254" t="s">
        <v>2495</v>
      </c>
      <c r="H1351" s="6"/>
      <c r="I1351" s="1190"/>
      <c r="J1351" s="1254" t="s">
        <v>2495</v>
      </c>
      <c r="K1351" s="251">
        <f>SUMIF('alb Note 14 - Provisions CY'!$A:$A,$J1351,'alb Note 14 - Provisions CY'!$I:$I)</f>
        <v>0</v>
      </c>
      <c r="L1351" s="266"/>
      <c r="M1351" s="10"/>
      <c r="N1351" s="273">
        <f t="shared" si="798"/>
        <v>0</v>
      </c>
      <c r="O1351" s="12"/>
      <c r="P1351" s="12"/>
      <c r="Q1351" s="12"/>
      <c r="R1351" s="12"/>
      <c r="S1351" s="6">
        <f t="shared" si="788"/>
        <v>0</v>
      </c>
      <c r="T1351" s="273">
        <f t="shared" si="812"/>
        <v>0</v>
      </c>
      <c r="U1351" s="6">
        <f t="shared" si="813"/>
        <v>0</v>
      </c>
      <c r="V1351" s="6"/>
      <c r="W1351" s="6">
        <f t="shared" si="792"/>
        <v>0</v>
      </c>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X1351" s="6"/>
      <c r="AY1351" s="6">
        <f>ROUND(AX1351/1000/Update!$B$31*Update!$B$27,0)</f>
        <v>0</v>
      </c>
      <c r="BA1351" s="6"/>
      <c r="BB1351" s="6">
        <f>ROUND(BA1351/1000/Update!$B$31,0)</f>
        <v>0</v>
      </c>
      <c r="BC1351" s="6"/>
      <c r="BD1351" s="29">
        <f t="shared" si="784"/>
        <v>0</v>
      </c>
      <c r="BE1351" s="322"/>
      <c r="BF1351" s="322"/>
      <c r="BG1351" s="322"/>
      <c r="BH1351" s="322"/>
      <c r="BI1351" s="322"/>
      <c r="BJ1351" s="322"/>
      <c r="BK1351" s="29">
        <f t="shared" si="803"/>
        <v>0</v>
      </c>
      <c r="BL1351" s="322"/>
      <c r="BM1351" s="322"/>
      <c r="BN1351" s="322"/>
      <c r="BO1351" s="322"/>
      <c r="BP1351" s="322"/>
      <c r="BQ1351" s="322"/>
      <c r="BR1351" s="322"/>
      <c r="BS1351" s="322"/>
      <c r="BT1351" s="322"/>
      <c r="BU1351" s="322"/>
      <c r="BV1351" s="322"/>
      <c r="BW1351" s="322"/>
      <c r="BX1351" s="322"/>
      <c r="BY1351" s="322"/>
      <c r="BZ1351" s="322"/>
      <c r="CA1351" s="322"/>
      <c r="CB1351" s="322"/>
      <c r="CC1351" s="322"/>
      <c r="CD1351" s="322"/>
      <c r="CE1351" s="322"/>
      <c r="CF1351" s="322"/>
      <c r="CG1351" s="322"/>
      <c r="CH1351" s="322"/>
      <c r="CI1351" s="322"/>
      <c r="CM1351" s="1139">
        <f t="shared" si="791"/>
        <v>0</v>
      </c>
      <c r="CN1351" s="1139">
        <v>0</v>
      </c>
      <c r="CP1351" s="923">
        <f t="shared" si="771"/>
        <v>0</v>
      </c>
      <c r="CZ1351" s="330"/>
    </row>
    <row r="1352" spans="1:104" ht="15" customHeight="1" x14ac:dyDescent="0.25">
      <c r="A1352" s="684">
        <f>MAX($A$6:A1351)+1</f>
        <v>1352</v>
      </c>
      <c r="B1352" s="3">
        <f t="shared" si="809"/>
        <v>14</v>
      </c>
      <c r="C1352" s="11" t="str">
        <f t="shared" si="793"/>
        <v>Consolidated Provisions for liabilities and charges</v>
      </c>
      <c r="D1352" s="11" t="s">
        <v>938</v>
      </c>
      <c r="E1352" s="7" t="s">
        <v>267</v>
      </c>
      <c r="F1352" s="7"/>
      <c r="G1352" s="1254" t="s">
        <v>286</v>
      </c>
      <c r="H1352" s="6"/>
      <c r="I1352" s="1190"/>
      <c r="J1352" s="1257" t="s">
        <v>791</v>
      </c>
      <c r="K1352" s="251">
        <f>SUMIF('alb Note 14 - Provisions CY'!$A:$A,$J1352,'alb Note 14 - Provisions CY'!$I:$I)</f>
        <v>0</v>
      </c>
      <c r="L1352" s="266"/>
      <c r="M1352" s="10"/>
      <c r="N1352" s="273">
        <f t="shared" si="798"/>
        <v>0</v>
      </c>
      <c r="O1352" s="12"/>
      <c r="P1352" s="12"/>
      <c r="Q1352" s="12"/>
      <c r="R1352" s="12"/>
      <c r="S1352" s="6">
        <f t="shared" si="788"/>
        <v>0</v>
      </c>
      <c r="T1352" s="273">
        <f t="shared" si="812"/>
        <v>0</v>
      </c>
      <c r="U1352" s="6">
        <f t="shared" si="813"/>
        <v>0</v>
      </c>
      <c r="V1352" s="6"/>
      <c r="W1352" s="6">
        <f t="shared" si="792"/>
        <v>0</v>
      </c>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X1352" s="6"/>
      <c r="AY1352" s="6">
        <f>ROUND(AX1352/1000/Update!$B$31*Update!$B$27,0)</f>
        <v>0</v>
      </c>
      <c r="BA1352" s="6"/>
      <c r="BB1352" s="6">
        <f>ROUND(BA1352/1000/Update!$B$31,0)</f>
        <v>0</v>
      </c>
      <c r="BC1352" s="6"/>
      <c r="BD1352" s="29">
        <f t="shared" si="784"/>
        <v>0</v>
      </c>
      <c r="BE1352" s="322"/>
      <c r="BF1352" s="322"/>
      <c r="BG1352" s="322"/>
      <c r="BH1352" s="322"/>
      <c r="BI1352" s="322"/>
      <c r="BJ1352" s="322"/>
      <c r="BK1352" s="29">
        <f t="shared" si="803"/>
        <v>0</v>
      </c>
      <c r="BL1352" s="322"/>
      <c r="BM1352" s="322"/>
      <c r="BN1352" s="322"/>
      <c r="BO1352" s="322"/>
      <c r="BP1352" s="322"/>
      <c r="BQ1352" s="322"/>
      <c r="BR1352" s="322"/>
      <c r="BS1352" s="322"/>
      <c r="BT1352" s="322"/>
      <c r="BU1352" s="322"/>
      <c r="BV1352" s="322"/>
      <c r="BW1352" s="322"/>
      <c r="BX1352" s="322"/>
      <c r="BY1352" s="322"/>
      <c r="BZ1352" s="322"/>
      <c r="CA1352" s="322"/>
      <c r="CB1352" s="322"/>
      <c r="CC1352" s="322"/>
      <c r="CD1352" s="322"/>
      <c r="CE1352" s="322"/>
      <c r="CF1352" s="322"/>
      <c r="CG1352" s="322"/>
      <c r="CH1352" s="322"/>
      <c r="CI1352" s="322"/>
      <c r="CM1352" s="1139">
        <f t="shared" si="791"/>
        <v>0</v>
      </c>
      <c r="CN1352" s="1139">
        <v>0</v>
      </c>
      <c r="CP1352" s="923">
        <f t="shared" ref="CP1352:CP1415" si="814">-V1352+BL1352+BM1352+BN1352+CM1352</f>
        <v>0</v>
      </c>
      <c r="CZ1352" s="330"/>
    </row>
    <row r="1353" spans="1:104" ht="15" customHeight="1" x14ac:dyDescent="0.25">
      <c r="A1353" s="684">
        <f>MAX($A$6:A1352)+1</f>
        <v>1353</v>
      </c>
      <c r="B1353" s="3">
        <f t="shared" si="809"/>
        <v>14</v>
      </c>
      <c r="C1353" s="11" t="str">
        <f t="shared" si="793"/>
        <v>Consolidated Provisions for liabilities and charges</v>
      </c>
      <c r="D1353" s="11" t="s">
        <v>938</v>
      </c>
      <c r="E1353" s="7" t="s">
        <v>268</v>
      </c>
      <c r="F1353" s="7"/>
      <c r="G1353" s="1254" t="s">
        <v>286</v>
      </c>
      <c r="H1353" s="6"/>
      <c r="I1353" s="1190"/>
      <c r="J1353" s="1257" t="s">
        <v>792</v>
      </c>
      <c r="K1353" s="251">
        <f>SUMIF('alb Note 14 - Provisions CY'!$A:$A,$J1353,'alb Note 14 - Provisions CY'!$I:$I)</f>
        <v>0</v>
      </c>
      <c r="L1353" s="266"/>
      <c r="M1353" s="10"/>
      <c r="N1353" s="273">
        <f t="shared" si="798"/>
        <v>0</v>
      </c>
      <c r="O1353" s="12"/>
      <c r="P1353" s="12"/>
      <c r="Q1353" s="12"/>
      <c r="R1353" s="12"/>
      <c r="S1353" s="6">
        <f t="shared" si="788"/>
        <v>0</v>
      </c>
      <c r="T1353" s="273">
        <f t="shared" si="812"/>
        <v>0</v>
      </c>
      <c r="U1353" s="6">
        <f t="shared" si="813"/>
        <v>0</v>
      </c>
      <c r="V1353" s="6"/>
      <c r="W1353" s="6">
        <f t="shared" si="792"/>
        <v>0</v>
      </c>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X1353" s="6"/>
      <c r="AY1353" s="6">
        <f>ROUND(AX1353/1000/Update!$B$31*Update!$B$27,0)</f>
        <v>0</v>
      </c>
      <c r="BA1353" s="6"/>
      <c r="BB1353" s="6">
        <f>ROUND(BA1353/1000/Update!$B$31,0)</f>
        <v>0</v>
      </c>
      <c r="BC1353" s="6"/>
      <c r="BD1353" s="29">
        <f t="shared" si="784"/>
        <v>0</v>
      </c>
      <c r="BE1353" s="322"/>
      <c r="BF1353" s="322"/>
      <c r="BG1353" s="322"/>
      <c r="BH1353" s="322"/>
      <c r="BI1353" s="322"/>
      <c r="BJ1353" s="322"/>
      <c r="BK1353" s="29">
        <f t="shared" si="803"/>
        <v>0</v>
      </c>
      <c r="BL1353" s="322"/>
      <c r="BM1353" s="322"/>
      <c r="BN1353" s="322"/>
      <c r="BO1353" s="322"/>
      <c r="BP1353" s="322"/>
      <c r="BQ1353" s="322"/>
      <c r="BR1353" s="322"/>
      <c r="BS1353" s="322"/>
      <c r="BT1353" s="322"/>
      <c r="BU1353" s="322"/>
      <c r="BV1353" s="322"/>
      <c r="BW1353" s="322"/>
      <c r="BX1353" s="322"/>
      <c r="BY1353" s="322"/>
      <c r="BZ1353" s="322"/>
      <c r="CA1353" s="322"/>
      <c r="CB1353" s="322"/>
      <c r="CC1353" s="322"/>
      <c r="CD1353" s="322"/>
      <c r="CE1353" s="322"/>
      <c r="CF1353" s="322"/>
      <c r="CG1353" s="322"/>
      <c r="CH1353" s="322"/>
      <c r="CI1353" s="322"/>
      <c r="CM1353" s="1139">
        <f t="shared" ref="CM1353:CM1416" si="815">+U1353+V1353</f>
        <v>0</v>
      </c>
      <c r="CN1353" s="1139">
        <v>0</v>
      </c>
      <c r="CP1353" s="923">
        <f t="shared" si="814"/>
        <v>0</v>
      </c>
      <c r="CZ1353" s="330"/>
    </row>
    <row r="1354" spans="1:104" ht="15" customHeight="1" x14ac:dyDescent="0.25">
      <c r="A1354" s="684">
        <f>MAX($A$6:A1353)+1</f>
        <v>1354</v>
      </c>
      <c r="B1354" s="3">
        <f t="shared" si="809"/>
        <v>14</v>
      </c>
      <c r="C1354" s="11" t="str">
        <f t="shared" si="793"/>
        <v>Consolidated Provisions for liabilities and charges</v>
      </c>
      <c r="D1354" s="11" t="s">
        <v>938</v>
      </c>
      <c r="E1354" s="7" t="s">
        <v>269</v>
      </c>
      <c r="F1354" s="7"/>
      <c r="G1354" s="1254" t="s">
        <v>286</v>
      </c>
      <c r="H1354" s="6"/>
      <c r="I1354" s="1190"/>
      <c r="J1354" s="1257" t="s">
        <v>793</v>
      </c>
      <c r="K1354" s="251">
        <f>SUMIF('alb Note 14 - Provisions CY'!$A:$A,$J1354,'alb Note 14 - Provisions CY'!$I:$I)</f>
        <v>0</v>
      </c>
      <c r="L1354" s="266"/>
      <c r="M1354" s="10"/>
      <c r="N1354" s="273">
        <f t="shared" si="798"/>
        <v>0</v>
      </c>
      <c r="O1354" s="12"/>
      <c r="P1354" s="12"/>
      <c r="Q1354" s="12"/>
      <c r="R1354" s="12"/>
      <c r="S1354" s="6">
        <f t="shared" si="788"/>
        <v>0</v>
      </c>
      <c r="T1354" s="273">
        <f t="shared" si="812"/>
        <v>0</v>
      </c>
      <c r="U1354" s="6">
        <f t="shared" si="813"/>
        <v>0</v>
      </c>
      <c r="V1354" s="6"/>
      <c r="W1354" s="6">
        <f t="shared" si="792"/>
        <v>0</v>
      </c>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X1354" s="6"/>
      <c r="AY1354" s="6">
        <f>ROUND(AX1354/1000/Update!$B$31*Update!$B$27,0)</f>
        <v>0</v>
      </c>
      <c r="BA1354" s="6"/>
      <c r="BB1354" s="6">
        <f>ROUND(BA1354/1000/Update!$B$31,0)</f>
        <v>0</v>
      </c>
      <c r="BC1354" s="6"/>
      <c r="BD1354" s="29">
        <f t="shared" si="784"/>
        <v>0</v>
      </c>
      <c r="BE1354" s="322"/>
      <c r="BF1354" s="322"/>
      <c r="BG1354" s="322"/>
      <c r="BH1354" s="322"/>
      <c r="BI1354" s="322"/>
      <c r="BJ1354" s="322"/>
      <c r="BK1354" s="29">
        <f t="shared" si="803"/>
        <v>0</v>
      </c>
      <c r="BL1354" s="322"/>
      <c r="BM1354" s="322"/>
      <c r="BN1354" s="322"/>
      <c r="BO1354" s="322"/>
      <c r="BP1354" s="322"/>
      <c r="BQ1354" s="322"/>
      <c r="BR1354" s="322"/>
      <c r="BS1354" s="322"/>
      <c r="BT1354" s="322"/>
      <c r="BU1354" s="322"/>
      <c r="BV1354" s="322"/>
      <c r="BW1354" s="322"/>
      <c r="BX1354" s="322"/>
      <c r="BY1354" s="322"/>
      <c r="BZ1354" s="322"/>
      <c r="CA1354" s="322"/>
      <c r="CB1354" s="322"/>
      <c r="CC1354" s="322"/>
      <c r="CD1354" s="322"/>
      <c r="CE1354" s="322"/>
      <c r="CF1354" s="322"/>
      <c r="CG1354" s="322"/>
      <c r="CH1354" s="322"/>
      <c r="CI1354" s="322"/>
      <c r="CM1354" s="1139">
        <f t="shared" si="815"/>
        <v>0</v>
      </c>
      <c r="CN1354" s="1139">
        <v>0</v>
      </c>
      <c r="CP1354" s="923">
        <f t="shared" si="814"/>
        <v>0</v>
      </c>
      <c r="CZ1354" s="330"/>
    </row>
    <row r="1355" spans="1:104" ht="15" customHeight="1" x14ac:dyDescent="0.25">
      <c r="A1355" s="684">
        <f>MAX($A$6:A1354)+1</f>
        <v>1355</v>
      </c>
      <c r="B1355" s="3">
        <f t="shared" si="809"/>
        <v>14</v>
      </c>
      <c r="C1355" s="11" t="str">
        <f t="shared" si="793"/>
        <v>Consolidated Provisions for liabilities and charges</v>
      </c>
      <c r="D1355" s="11" t="s">
        <v>938</v>
      </c>
      <c r="E1355" s="7" t="s">
        <v>270</v>
      </c>
      <c r="F1355" s="7"/>
      <c r="G1355" s="1254" t="s">
        <v>286</v>
      </c>
      <c r="H1355" s="6"/>
      <c r="I1355" s="1190"/>
      <c r="J1355" s="1257" t="s">
        <v>794</v>
      </c>
      <c r="K1355" s="251">
        <f>SUMIF('alb Note 14 - Provisions CY'!$A:$A,$J1355,'alb Note 14 - Provisions CY'!$I:$I)</f>
        <v>0</v>
      </c>
      <c r="L1355" s="266"/>
      <c r="M1355" s="10"/>
      <c r="N1355" s="273">
        <f t="shared" si="798"/>
        <v>0</v>
      </c>
      <c r="O1355" s="12"/>
      <c r="P1355" s="12"/>
      <c r="Q1355" s="12"/>
      <c r="R1355" s="12"/>
      <c r="S1355" s="6">
        <f t="shared" si="788"/>
        <v>0</v>
      </c>
      <c r="T1355" s="273">
        <f t="shared" si="812"/>
        <v>0</v>
      </c>
      <c r="U1355" s="6">
        <f t="shared" si="813"/>
        <v>0</v>
      </c>
      <c r="V1355" s="6"/>
      <c r="W1355" s="6">
        <f t="shared" si="792"/>
        <v>0</v>
      </c>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X1355" s="6"/>
      <c r="AY1355" s="6">
        <f>ROUND(AX1355/1000/Update!$B$31*Update!$B$27,0)</f>
        <v>0</v>
      </c>
      <c r="BA1355" s="6"/>
      <c r="BB1355" s="6">
        <f>ROUND(BA1355/1000/Update!$B$31,0)</f>
        <v>0</v>
      </c>
      <c r="BC1355" s="6"/>
      <c r="BD1355" s="29">
        <f t="shared" si="784"/>
        <v>0</v>
      </c>
      <c r="BE1355" s="322"/>
      <c r="BF1355" s="322"/>
      <c r="BG1355" s="322"/>
      <c r="BH1355" s="322"/>
      <c r="BI1355" s="322"/>
      <c r="BJ1355" s="322"/>
      <c r="BK1355" s="29">
        <f t="shared" si="803"/>
        <v>0</v>
      </c>
      <c r="BL1355" s="322"/>
      <c r="BM1355" s="322"/>
      <c r="BN1355" s="322"/>
      <c r="BO1355" s="322"/>
      <c r="BP1355" s="322"/>
      <c r="BQ1355" s="322"/>
      <c r="BR1355" s="322"/>
      <c r="BS1355" s="322"/>
      <c r="BT1355" s="322"/>
      <c r="BU1355" s="322"/>
      <c r="BV1355" s="322"/>
      <c r="BW1355" s="322"/>
      <c r="BX1355" s="322"/>
      <c r="BY1355" s="322"/>
      <c r="BZ1355" s="322"/>
      <c r="CA1355" s="322"/>
      <c r="CB1355" s="322"/>
      <c r="CC1355" s="322"/>
      <c r="CD1355" s="322"/>
      <c r="CE1355" s="322"/>
      <c r="CF1355" s="322"/>
      <c r="CG1355" s="322"/>
      <c r="CH1355" s="322"/>
      <c r="CI1355" s="322"/>
      <c r="CM1355" s="1139">
        <f t="shared" si="815"/>
        <v>0</v>
      </c>
      <c r="CN1355" s="1139">
        <v>0</v>
      </c>
      <c r="CP1355" s="923">
        <f t="shared" si="814"/>
        <v>0</v>
      </c>
      <c r="CZ1355" s="330"/>
    </row>
    <row r="1356" spans="1:104" ht="15" customHeight="1" x14ac:dyDescent="0.25">
      <c r="A1356" s="701">
        <f>MAX($A$6:A1355)+1</f>
        <v>1356</v>
      </c>
      <c r="B1356" s="1291">
        <f t="shared" si="809"/>
        <v>14</v>
      </c>
      <c r="C1356" s="18" t="str">
        <f t="shared" si="793"/>
        <v>Consolidated Provisions for liabilities and charges</v>
      </c>
      <c r="D1356" s="19" t="s">
        <v>938</v>
      </c>
      <c r="E1356" s="19" t="s">
        <v>274</v>
      </c>
      <c r="F1356" s="19"/>
      <c r="G1356" s="1278"/>
      <c r="H1356" s="14">
        <f>SUM(H1350:H1355)</f>
        <v>0</v>
      </c>
      <c r="I1356" s="14"/>
      <c r="J1356" s="1258" t="s">
        <v>286</v>
      </c>
      <c r="K1356" s="256">
        <f>SUM(K1350:K1355)</f>
        <v>0</v>
      </c>
      <c r="L1356" s="256">
        <f>SUM(L1350:L1355)</f>
        <v>0</v>
      </c>
      <c r="M1356" s="21"/>
      <c r="N1356" s="14">
        <f t="shared" si="798"/>
        <v>0</v>
      </c>
      <c r="O1356" s="14">
        <f t="shared" ref="O1356:T1356" si="816">SUM(O1350:O1355)</f>
        <v>0</v>
      </c>
      <c r="P1356" s="14">
        <f t="shared" si="816"/>
        <v>0</v>
      </c>
      <c r="Q1356" s="14">
        <f t="shared" si="816"/>
        <v>0</v>
      </c>
      <c r="R1356" s="14">
        <f t="shared" si="816"/>
        <v>0</v>
      </c>
      <c r="S1356" s="14">
        <f t="shared" si="788"/>
        <v>0</v>
      </c>
      <c r="T1356" s="14">
        <f t="shared" si="816"/>
        <v>0</v>
      </c>
      <c r="U1356" s="14">
        <f>SUM(U1350:U1355)</f>
        <v>0</v>
      </c>
      <c r="V1356" s="14">
        <f>SUM(V1350:V1355)</f>
        <v>0</v>
      </c>
      <c r="W1356" s="14">
        <f>SUM(W1350:W1355)</f>
        <v>0</v>
      </c>
      <c r="X1356" s="14"/>
      <c r="Y1356" s="14"/>
      <c r="Z1356" s="14"/>
      <c r="AA1356" s="14"/>
      <c r="AB1356" s="14"/>
      <c r="AC1356" s="14"/>
      <c r="AD1356" s="14"/>
      <c r="AE1356" s="14"/>
      <c r="AF1356" s="14"/>
      <c r="AG1356" s="14"/>
      <c r="AH1356" s="14"/>
      <c r="AI1356" s="14"/>
      <c r="AJ1356" s="14"/>
      <c r="AK1356" s="14"/>
      <c r="AL1356" s="14"/>
      <c r="AM1356" s="14"/>
      <c r="AN1356" s="14"/>
      <c r="AO1356" s="14"/>
      <c r="AP1356" s="14"/>
      <c r="AQ1356" s="14"/>
      <c r="AR1356" s="14"/>
      <c r="AS1356" s="14"/>
      <c r="AT1356" s="14"/>
      <c r="AU1356" s="14"/>
      <c r="AV1356" s="14"/>
      <c r="AW1356" s="2"/>
      <c r="AX1356" s="14">
        <f>SUM(AX1350:AX1355)</f>
        <v>0</v>
      </c>
      <c r="AY1356" s="14">
        <f>ROUND(AX1356/1000/Update!$B$31*Update!$B$27,0)</f>
        <v>0</v>
      </c>
      <c r="AZ1356" s="2"/>
      <c r="BA1356" s="14">
        <f>SUM(BA1350:BA1355)</f>
        <v>0</v>
      </c>
      <c r="BB1356" s="14">
        <f>ROUND(BA1356/1000/Update!$B$31,0)</f>
        <v>0</v>
      </c>
      <c r="BC1356" s="14"/>
      <c r="BD1356" s="14">
        <f t="shared" si="784"/>
        <v>0</v>
      </c>
      <c r="BE1356" s="318">
        <f t="shared" ref="BE1356:BJ1356" si="817">SUM(BE1350:BE1355)</f>
        <v>0</v>
      </c>
      <c r="BF1356" s="318">
        <f t="shared" si="817"/>
        <v>0</v>
      </c>
      <c r="BG1356" s="318">
        <f t="shared" si="817"/>
        <v>0</v>
      </c>
      <c r="BH1356" s="318">
        <f t="shared" si="817"/>
        <v>0</v>
      </c>
      <c r="BI1356" s="318">
        <f t="shared" si="817"/>
        <v>0</v>
      </c>
      <c r="BJ1356" s="318">
        <f t="shared" si="817"/>
        <v>0</v>
      </c>
      <c r="BK1356" s="14">
        <f t="shared" si="803"/>
        <v>0</v>
      </c>
      <c r="BL1356" s="318"/>
      <c r="BM1356" s="318"/>
      <c r="BN1356" s="318"/>
      <c r="BO1356" s="318"/>
      <c r="BP1356" s="318"/>
      <c r="BQ1356" s="318"/>
      <c r="BR1356" s="318"/>
      <c r="BS1356" s="318"/>
      <c r="BT1356" s="318"/>
      <c r="BU1356" s="318"/>
      <c r="BV1356" s="318"/>
      <c r="BW1356" s="318"/>
      <c r="BX1356" s="318"/>
      <c r="BY1356" s="318"/>
      <c r="BZ1356" s="318"/>
      <c r="CA1356" s="318"/>
      <c r="CB1356" s="318"/>
      <c r="CC1356" s="318"/>
      <c r="CD1356" s="318"/>
      <c r="CE1356" s="318"/>
      <c r="CF1356" s="318"/>
      <c r="CG1356" s="318"/>
      <c r="CH1356" s="318"/>
      <c r="CI1356" s="318"/>
      <c r="CJ1356" s="2"/>
      <c r="CK1356" s="2"/>
      <c r="CM1356" s="1140">
        <f t="shared" si="815"/>
        <v>0</v>
      </c>
      <c r="CN1356" s="1140">
        <v>0</v>
      </c>
      <c r="CP1356" s="923">
        <f t="shared" si="814"/>
        <v>0</v>
      </c>
      <c r="CZ1356" s="330"/>
    </row>
    <row r="1357" spans="1:104" ht="15" customHeight="1" x14ac:dyDescent="0.25">
      <c r="A1357" s="684">
        <f>MAX($A$6:A1356)+1</f>
        <v>1357</v>
      </c>
      <c r="B1357" s="3">
        <f>B1349</f>
        <v>14</v>
      </c>
      <c r="C1357" s="11" t="str">
        <f>C1349</f>
        <v>Consolidated Provisions for liabilities and charges</v>
      </c>
      <c r="D1357" s="11" t="s">
        <v>831</v>
      </c>
      <c r="E1357" s="7" t="str">
        <f>"Balance at"&amp;Update!$B$20</f>
        <v>Balance at 1 April 2025</v>
      </c>
      <c r="F1357" s="15"/>
      <c r="G1357" s="1254" t="s">
        <v>286</v>
      </c>
      <c r="H1357" s="6"/>
      <c r="I1357" s="1190"/>
      <c r="J1357" s="1257" t="str">
        <f>$E1357</f>
        <v>Balance at 1 April 2025</v>
      </c>
      <c r="K1357" s="251">
        <f>SUMIF('alb Note 14 - Provisions CY'!$A:$A,$J1357,'alb Note 14 - Provisions CY'!$B:$B)</f>
        <v>0</v>
      </c>
      <c r="L1357" s="266"/>
      <c r="M1357" s="10"/>
      <c r="N1357" s="273">
        <f t="shared" si="798"/>
        <v>0</v>
      </c>
      <c r="O1357" s="12"/>
      <c r="P1357" s="12"/>
      <c r="Q1357" s="12"/>
      <c r="R1357" s="12"/>
      <c r="S1357" s="6">
        <f t="shared" si="788"/>
        <v>0</v>
      </c>
      <c r="T1357" s="273">
        <f t="shared" ref="T1357:T1362" si="818">ROUND(SUM(U1357:Y1357),0)</f>
        <v>0</v>
      </c>
      <c r="U1357" s="6">
        <f t="shared" ref="U1357:U1362" si="819">SUM(BL1357:BN1357)</f>
        <v>0</v>
      </c>
      <c r="V1357" s="6"/>
      <c r="W1357" s="6">
        <f t="shared" si="792"/>
        <v>0</v>
      </c>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X1357" s="6"/>
      <c r="AY1357" s="6">
        <f>ROUND(AX1357/1000/Update!$B$31*Update!$B$27,0)</f>
        <v>0</v>
      </c>
      <c r="BA1357" s="6"/>
      <c r="BB1357" s="6">
        <f>ROUND(BA1357/1000/Update!$B$31,0)</f>
        <v>0</v>
      </c>
      <c r="BC1357" s="6"/>
      <c r="BD1357" s="29">
        <f t="shared" si="784"/>
        <v>0</v>
      </c>
      <c r="BE1357" s="322"/>
      <c r="BF1357" s="322"/>
      <c r="BG1357" s="322"/>
      <c r="BH1357" s="322"/>
      <c r="BI1357" s="322"/>
      <c r="BJ1357" s="322"/>
      <c r="BK1357" s="29">
        <f t="shared" si="803"/>
        <v>0</v>
      </c>
      <c r="BL1357" s="322"/>
      <c r="BM1357" s="322"/>
      <c r="BN1357" s="322"/>
      <c r="BO1357" s="322"/>
      <c r="BP1357" s="322"/>
      <c r="BQ1357" s="322"/>
      <c r="BR1357" s="322"/>
      <c r="BS1357" s="322"/>
      <c r="BT1357" s="322"/>
      <c r="BU1357" s="322"/>
      <c r="BV1357" s="322"/>
      <c r="BW1357" s="322"/>
      <c r="BX1357" s="322"/>
      <c r="BY1357" s="322"/>
      <c r="BZ1357" s="322"/>
      <c r="CA1357" s="322"/>
      <c r="CB1357" s="322"/>
      <c r="CC1357" s="322"/>
      <c r="CD1357" s="322"/>
      <c r="CE1357" s="322"/>
      <c r="CF1357" s="322"/>
      <c r="CG1357" s="322"/>
      <c r="CH1357" s="322"/>
      <c r="CI1357" s="322"/>
      <c r="CM1357" s="1139">
        <f t="shared" si="815"/>
        <v>0</v>
      </c>
      <c r="CN1357" s="1139">
        <v>0</v>
      </c>
      <c r="CP1357" s="923">
        <f t="shared" si="814"/>
        <v>0</v>
      </c>
      <c r="CZ1357" s="330"/>
    </row>
    <row r="1358" spans="1:104" ht="15" customHeight="1" x14ac:dyDescent="0.25">
      <c r="A1358" s="684">
        <f>MAX($A$6:A1357)+1</f>
        <v>1358</v>
      </c>
      <c r="B1358" s="3">
        <f t="shared" ref="B1358:B1370" si="820">B1357</f>
        <v>14</v>
      </c>
      <c r="C1358" s="11" t="str">
        <f t="shared" si="793"/>
        <v>Consolidated Provisions for liabilities and charges</v>
      </c>
      <c r="D1358" s="11" t="s">
        <v>831</v>
      </c>
      <c r="E1358" s="7" t="s">
        <v>2495</v>
      </c>
      <c r="F1358" s="7"/>
      <c r="G1358" s="7" t="s">
        <v>2495</v>
      </c>
      <c r="H1358" s="6"/>
      <c r="I1358" s="1190"/>
      <c r="J1358" s="1254" t="s">
        <v>2495</v>
      </c>
      <c r="K1358" s="251">
        <f>SUMIF('alb Note 14 - Provisions CY'!$A:$A,$J1358,'alb Note 14 - Provisions CY'!$B:$B)</f>
        <v>0</v>
      </c>
      <c r="L1358" s="266"/>
      <c r="M1358" s="10"/>
      <c r="N1358" s="273">
        <f t="shared" si="798"/>
        <v>0</v>
      </c>
      <c r="O1358" s="12"/>
      <c r="P1358" s="12"/>
      <c r="Q1358" s="12"/>
      <c r="R1358" s="12"/>
      <c r="S1358" s="6">
        <f t="shared" si="788"/>
        <v>0</v>
      </c>
      <c r="T1358" s="273">
        <f t="shared" si="818"/>
        <v>0</v>
      </c>
      <c r="U1358" s="6">
        <f t="shared" si="819"/>
        <v>0</v>
      </c>
      <c r="V1358" s="6"/>
      <c r="W1358" s="6">
        <f t="shared" si="792"/>
        <v>0</v>
      </c>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X1358" s="6"/>
      <c r="AY1358" s="6">
        <f>ROUND(AX1358/1000/Update!$B$31*Update!$B$27,0)</f>
        <v>0</v>
      </c>
      <c r="BA1358" s="6"/>
      <c r="BB1358" s="6">
        <f>ROUND(BA1358/1000/Update!$B$31,0)</f>
        <v>0</v>
      </c>
      <c r="BC1358" s="6"/>
      <c r="BD1358" s="29">
        <f t="shared" si="784"/>
        <v>0</v>
      </c>
      <c r="BE1358" s="322"/>
      <c r="BF1358" s="322"/>
      <c r="BG1358" s="322"/>
      <c r="BH1358" s="322"/>
      <c r="BI1358" s="322"/>
      <c r="BJ1358" s="322"/>
      <c r="BK1358" s="29">
        <f t="shared" si="803"/>
        <v>0</v>
      </c>
      <c r="BL1358" s="322"/>
      <c r="BM1358" s="322"/>
      <c r="BN1358" s="322"/>
      <c r="BO1358" s="322"/>
      <c r="BP1358" s="322"/>
      <c r="BQ1358" s="322"/>
      <c r="BR1358" s="322"/>
      <c r="BS1358" s="322"/>
      <c r="BT1358" s="322"/>
      <c r="BU1358" s="322"/>
      <c r="BV1358" s="322"/>
      <c r="BW1358" s="322"/>
      <c r="BX1358" s="322"/>
      <c r="BY1358" s="322"/>
      <c r="BZ1358" s="322"/>
      <c r="CA1358" s="322"/>
      <c r="CB1358" s="322"/>
      <c r="CC1358" s="322"/>
      <c r="CD1358" s="322"/>
      <c r="CE1358" s="322"/>
      <c r="CF1358" s="322"/>
      <c r="CG1358" s="322"/>
      <c r="CH1358" s="322"/>
      <c r="CI1358" s="322"/>
      <c r="CM1358" s="1139">
        <f t="shared" si="815"/>
        <v>0</v>
      </c>
      <c r="CN1358" s="1139">
        <v>0</v>
      </c>
      <c r="CP1358" s="923">
        <f t="shared" si="814"/>
        <v>0</v>
      </c>
      <c r="CZ1358" s="330"/>
    </row>
    <row r="1359" spans="1:104" ht="15" customHeight="1" x14ac:dyDescent="0.25">
      <c r="A1359" s="684">
        <f>MAX($A$6:A1358)+1</f>
        <v>1359</v>
      </c>
      <c r="B1359" s="3">
        <f t="shared" si="820"/>
        <v>14</v>
      </c>
      <c r="C1359" s="11" t="str">
        <f t="shared" si="793"/>
        <v>Consolidated Provisions for liabilities and charges</v>
      </c>
      <c r="D1359" s="11" t="s">
        <v>831</v>
      </c>
      <c r="E1359" s="7" t="s">
        <v>267</v>
      </c>
      <c r="F1359" s="7"/>
      <c r="G1359" s="1254" t="s">
        <v>286</v>
      </c>
      <c r="H1359" s="6"/>
      <c r="I1359" s="1190"/>
      <c r="J1359" s="1257" t="s">
        <v>791</v>
      </c>
      <c r="K1359" s="251">
        <f>SUMIF('alb Note 14 - Provisions CY'!$A:$A,$J1359,'alb Note 14 - Provisions CY'!$B:$B)</f>
        <v>0</v>
      </c>
      <c r="L1359" s="266"/>
      <c r="M1359" s="10"/>
      <c r="N1359" s="273">
        <f t="shared" si="798"/>
        <v>0</v>
      </c>
      <c r="O1359" s="12"/>
      <c r="P1359" s="12"/>
      <c r="Q1359" s="12"/>
      <c r="R1359" s="12"/>
      <c r="S1359" s="6">
        <f t="shared" si="788"/>
        <v>0</v>
      </c>
      <c r="T1359" s="273">
        <f t="shared" si="818"/>
        <v>0</v>
      </c>
      <c r="U1359" s="6">
        <f t="shared" si="819"/>
        <v>0</v>
      </c>
      <c r="V1359" s="6"/>
      <c r="W1359" s="6">
        <f t="shared" si="792"/>
        <v>0</v>
      </c>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X1359" s="6"/>
      <c r="AY1359" s="6">
        <f>ROUND(AX1359/1000/Update!$B$31*Update!$B$27,0)</f>
        <v>0</v>
      </c>
      <c r="BA1359" s="6"/>
      <c r="BB1359" s="6">
        <f>ROUND(BA1359/1000/Update!$B$31,0)</f>
        <v>0</v>
      </c>
      <c r="BC1359" s="6"/>
      <c r="BD1359" s="29">
        <f t="shared" si="784"/>
        <v>0</v>
      </c>
      <c r="BE1359" s="322"/>
      <c r="BF1359" s="322"/>
      <c r="BG1359" s="322"/>
      <c r="BH1359" s="322"/>
      <c r="BI1359" s="322"/>
      <c r="BJ1359" s="322"/>
      <c r="BK1359" s="29">
        <f t="shared" si="803"/>
        <v>0</v>
      </c>
      <c r="BL1359" s="322"/>
      <c r="BM1359" s="322"/>
      <c r="BN1359" s="322"/>
      <c r="BO1359" s="322"/>
      <c r="BP1359" s="322"/>
      <c r="BQ1359" s="322"/>
      <c r="BR1359" s="322"/>
      <c r="BS1359" s="322"/>
      <c r="BT1359" s="322"/>
      <c r="BU1359" s="322"/>
      <c r="BV1359" s="322"/>
      <c r="BW1359" s="322"/>
      <c r="BX1359" s="322"/>
      <c r="BY1359" s="322"/>
      <c r="BZ1359" s="322"/>
      <c r="CA1359" s="322"/>
      <c r="CB1359" s="322"/>
      <c r="CC1359" s="322"/>
      <c r="CD1359" s="322"/>
      <c r="CE1359" s="322"/>
      <c r="CF1359" s="322"/>
      <c r="CG1359" s="322"/>
      <c r="CH1359" s="322"/>
      <c r="CI1359" s="322"/>
      <c r="CM1359" s="1139">
        <f t="shared" si="815"/>
        <v>0</v>
      </c>
      <c r="CN1359" s="1139">
        <v>0</v>
      </c>
      <c r="CP1359" s="923">
        <f t="shared" si="814"/>
        <v>0</v>
      </c>
      <c r="CZ1359" s="330"/>
    </row>
    <row r="1360" spans="1:104" ht="15" customHeight="1" x14ac:dyDescent="0.25">
      <c r="A1360" s="684">
        <f>MAX($A$6:A1359)+1</f>
        <v>1360</v>
      </c>
      <c r="B1360" s="3">
        <f t="shared" si="820"/>
        <v>14</v>
      </c>
      <c r="C1360" s="11" t="str">
        <f t="shared" si="793"/>
        <v>Consolidated Provisions for liabilities and charges</v>
      </c>
      <c r="D1360" s="11" t="s">
        <v>831</v>
      </c>
      <c r="E1360" s="7" t="s">
        <v>268</v>
      </c>
      <c r="F1360" s="7"/>
      <c r="G1360" s="1254" t="s">
        <v>286</v>
      </c>
      <c r="H1360" s="6"/>
      <c r="I1360" s="1190"/>
      <c r="J1360" s="1257" t="s">
        <v>792</v>
      </c>
      <c r="K1360" s="251">
        <f>SUMIF('alb Note 14 - Provisions CY'!$A:$A,$J1360,'alb Note 14 - Provisions CY'!$B:$B)</f>
        <v>0</v>
      </c>
      <c r="L1360" s="266"/>
      <c r="M1360" s="10"/>
      <c r="N1360" s="273">
        <f t="shared" si="798"/>
        <v>0</v>
      </c>
      <c r="O1360" s="12"/>
      <c r="P1360" s="12"/>
      <c r="Q1360" s="12"/>
      <c r="R1360" s="12"/>
      <c r="S1360" s="6">
        <f t="shared" si="788"/>
        <v>0</v>
      </c>
      <c r="T1360" s="273">
        <f t="shared" si="818"/>
        <v>0</v>
      </c>
      <c r="U1360" s="6">
        <f t="shared" si="819"/>
        <v>0</v>
      </c>
      <c r="V1360" s="6"/>
      <c r="W1360" s="6">
        <f t="shared" si="792"/>
        <v>0</v>
      </c>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X1360" s="6"/>
      <c r="AY1360" s="6">
        <f>ROUND(AX1360/1000/Update!$B$31*Update!$B$27,0)</f>
        <v>0</v>
      </c>
      <c r="BA1360" s="6"/>
      <c r="BB1360" s="6">
        <f>ROUND(BA1360/1000/Update!$B$31,0)</f>
        <v>0</v>
      </c>
      <c r="BC1360" s="6"/>
      <c r="BD1360" s="29">
        <f t="shared" si="784"/>
        <v>0</v>
      </c>
      <c r="BE1360" s="322"/>
      <c r="BF1360" s="322"/>
      <c r="BG1360" s="322"/>
      <c r="BH1360" s="322"/>
      <c r="BI1360" s="322"/>
      <c r="BJ1360" s="322"/>
      <c r="BK1360" s="29">
        <f t="shared" si="803"/>
        <v>0</v>
      </c>
      <c r="BL1360" s="322"/>
      <c r="BM1360" s="322"/>
      <c r="BN1360" s="322"/>
      <c r="BO1360" s="322"/>
      <c r="BP1360" s="322"/>
      <c r="BQ1360" s="322"/>
      <c r="BR1360" s="322"/>
      <c r="BS1360" s="322"/>
      <c r="BT1360" s="322"/>
      <c r="BU1360" s="322"/>
      <c r="BV1360" s="322"/>
      <c r="BW1360" s="322"/>
      <c r="BX1360" s="322"/>
      <c r="BY1360" s="322"/>
      <c r="BZ1360" s="322"/>
      <c r="CA1360" s="322"/>
      <c r="CB1360" s="322"/>
      <c r="CC1360" s="322"/>
      <c r="CD1360" s="322"/>
      <c r="CE1360" s="322"/>
      <c r="CF1360" s="322"/>
      <c r="CG1360" s="322"/>
      <c r="CH1360" s="322"/>
      <c r="CI1360" s="322"/>
      <c r="CM1360" s="1139">
        <f t="shared" si="815"/>
        <v>0</v>
      </c>
      <c r="CN1360" s="1139">
        <v>0</v>
      </c>
      <c r="CP1360" s="923">
        <f t="shared" si="814"/>
        <v>0</v>
      </c>
      <c r="CZ1360" s="330"/>
    </row>
    <row r="1361" spans="1:104" ht="15" customHeight="1" x14ac:dyDescent="0.25">
      <c r="A1361" s="684">
        <f>MAX($A$6:A1360)+1</f>
        <v>1361</v>
      </c>
      <c r="B1361" s="3">
        <f t="shared" si="820"/>
        <v>14</v>
      </c>
      <c r="C1361" s="11" t="str">
        <f t="shared" si="793"/>
        <v>Consolidated Provisions for liabilities and charges</v>
      </c>
      <c r="D1361" s="11" t="s">
        <v>831</v>
      </c>
      <c r="E1361" s="7" t="s">
        <v>269</v>
      </c>
      <c r="F1361" s="7"/>
      <c r="G1361" s="1254" t="s">
        <v>286</v>
      </c>
      <c r="H1361" s="6"/>
      <c r="I1361" s="1190"/>
      <c r="J1361" s="1257" t="s">
        <v>793</v>
      </c>
      <c r="K1361" s="251">
        <f>SUMIF('alb Note 14 - Provisions CY'!$A:$A,$J1361,'alb Note 14 - Provisions CY'!$B:$B)</f>
        <v>0</v>
      </c>
      <c r="L1361" s="266"/>
      <c r="M1361" s="10"/>
      <c r="N1361" s="273">
        <f t="shared" si="798"/>
        <v>0</v>
      </c>
      <c r="O1361" s="12"/>
      <c r="P1361" s="12"/>
      <c r="Q1361" s="12"/>
      <c r="R1361" s="12"/>
      <c r="S1361" s="6">
        <f t="shared" si="788"/>
        <v>0</v>
      </c>
      <c r="T1361" s="273">
        <f t="shared" si="818"/>
        <v>0</v>
      </c>
      <c r="U1361" s="6">
        <f t="shared" si="819"/>
        <v>0</v>
      </c>
      <c r="V1361" s="6"/>
      <c r="W1361" s="6">
        <f t="shared" si="792"/>
        <v>0</v>
      </c>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X1361" s="6"/>
      <c r="AY1361" s="6">
        <f>ROUND(AX1361/1000/Update!$B$31*Update!$B$27,0)</f>
        <v>0</v>
      </c>
      <c r="BA1361" s="6"/>
      <c r="BB1361" s="6">
        <f>ROUND(BA1361/1000/Update!$B$31,0)</f>
        <v>0</v>
      </c>
      <c r="BC1361" s="6"/>
      <c r="BD1361" s="29">
        <f t="shared" si="784"/>
        <v>0</v>
      </c>
      <c r="BE1361" s="322"/>
      <c r="BF1361" s="322"/>
      <c r="BG1361" s="322"/>
      <c r="BH1361" s="322"/>
      <c r="BI1361" s="322"/>
      <c r="BJ1361" s="322"/>
      <c r="BK1361" s="29">
        <f t="shared" si="803"/>
        <v>0</v>
      </c>
      <c r="BL1361" s="322"/>
      <c r="BM1361" s="322"/>
      <c r="BN1361" s="322"/>
      <c r="BO1361" s="322"/>
      <c r="BP1361" s="322"/>
      <c r="BQ1361" s="322"/>
      <c r="BR1361" s="322"/>
      <c r="BS1361" s="322"/>
      <c r="BT1361" s="322"/>
      <c r="BU1361" s="322"/>
      <c r="BV1361" s="322"/>
      <c r="BW1361" s="322"/>
      <c r="BX1361" s="322"/>
      <c r="BY1361" s="322"/>
      <c r="BZ1361" s="322"/>
      <c r="CA1361" s="322"/>
      <c r="CB1361" s="322"/>
      <c r="CC1361" s="322"/>
      <c r="CD1361" s="322"/>
      <c r="CE1361" s="322"/>
      <c r="CF1361" s="322"/>
      <c r="CG1361" s="322"/>
      <c r="CH1361" s="322"/>
      <c r="CI1361" s="322"/>
      <c r="CM1361" s="1139">
        <f t="shared" si="815"/>
        <v>0</v>
      </c>
      <c r="CN1361" s="1139">
        <v>0</v>
      </c>
      <c r="CP1361" s="923">
        <f t="shared" si="814"/>
        <v>0</v>
      </c>
      <c r="CZ1361" s="330"/>
    </row>
    <row r="1362" spans="1:104" ht="15" customHeight="1" x14ac:dyDescent="0.25">
      <c r="A1362" s="684">
        <f>MAX($A$6:A1361)+1</f>
        <v>1362</v>
      </c>
      <c r="B1362" s="3">
        <f t="shared" si="820"/>
        <v>14</v>
      </c>
      <c r="C1362" s="11" t="str">
        <f t="shared" si="793"/>
        <v>Consolidated Provisions for liabilities and charges</v>
      </c>
      <c r="D1362" s="11" t="s">
        <v>831</v>
      </c>
      <c r="E1362" s="7" t="s">
        <v>270</v>
      </c>
      <c r="F1362" s="7"/>
      <c r="G1362" s="1254" t="s">
        <v>286</v>
      </c>
      <c r="H1362" s="6"/>
      <c r="I1362" s="1190"/>
      <c r="J1362" s="1257" t="s">
        <v>794</v>
      </c>
      <c r="K1362" s="251">
        <f>SUMIF('alb Note 14 - Provisions CY'!$A:$A,$J1362,'alb Note 14 - Provisions CY'!$B:$B)</f>
        <v>0</v>
      </c>
      <c r="L1362" s="266"/>
      <c r="M1362" s="10"/>
      <c r="N1362" s="273">
        <f t="shared" si="798"/>
        <v>0</v>
      </c>
      <c r="O1362" s="12"/>
      <c r="P1362" s="12"/>
      <c r="Q1362" s="12"/>
      <c r="R1362" s="12"/>
      <c r="S1362" s="6">
        <f t="shared" si="788"/>
        <v>0</v>
      </c>
      <c r="T1362" s="273">
        <f t="shared" si="818"/>
        <v>0</v>
      </c>
      <c r="U1362" s="6">
        <f t="shared" si="819"/>
        <v>0</v>
      </c>
      <c r="V1362" s="6"/>
      <c r="W1362" s="6">
        <f t="shared" si="792"/>
        <v>0</v>
      </c>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X1362" s="6"/>
      <c r="AY1362" s="6">
        <f>ROUND(AX1362/1000/Update!$B$31*Update!$B$27,0)</f>
        <v>0</v>
      </c>
      <c r="BA1362" s="6"/>
      <c r="BB1362" s="6">
        <f>ROUND(BA1362/1000/Update!$B$31,0)</f>
        <v>0</v>
      </c>
      <c r="BC1362" s="6"/>
      <c r="BD1362" s="29">
        <f t="shared" si="784"/>
        <v>0</v>
      </c>
      <c r="BE1362" s="322"/>
      <c r="BF1362" s="322"/>
      <c r="BG1362" s="322"/>
      <c r="BH1362" s="322"/>
      <c r="BI1362" s="322"/>
      <c r="BJ1362" s="322"/>
      <c r="BK1362" s="29">
        <f t="shared" si="803"/>
        <v>0</v>
      </c>
      <c r="BL1362" s="322"/>
      <c r="BM1362" s="322"/>
      <c r="BN1362" s="322"/>
      <c r="BO1362" s="322"/>
      <c r="BP1362" s="322"/>
      <c r="BQ1362" s="322"/>
      <c r="BR1362" s="322"/>
      <c r="BS1362" s="322"/>
      <c r="BT1362" s="322"/>
      <c r="BU1362" s="322"/>
      <c r="BV1362" s="322"/>
      <c r="BW1362" s="322"/>
      <c r="BX1362" s="322"/>
      <c r="BY1362" s="322"/>
      <c r="BZ1362" s="322"/>
      <c r="CA1362" s="322"/>
      <c r="CB1362" s="322"/>
      <c r="CC1362" s="322"/>
      <c r="CD1362" s="322"/>
      <c r="CE1362" s="322"/>
      <c r="CF1362" s="322"/>
      <c r="CG1362" s="322"/>
      <c r="CH1362" s="322"/>
      <c r="CI1362" s="322"/>
      <c r="CM1362" s="1139">
        <f t="shared" si="815"/>
        <v>0</v>
      </c>
      <c r="CN1362" s="1139">
        <v>0</v>
      </c>
      <c r="CP1362" s="923">
        <f t="shared" si="814"/>
        <v>0</v>
      </c>
      <c r="CZ1362" s="330"/>
    </row>
    <row r="1363" spans="1:104" ht="15" customHeight="1" x14ac:dyDescent="0.25">
      <c r="A1363" s="701">
        <f>MAX($A$6:A1362)+1</f>
        <v>1363</v>
      </c>
      <c r="B1363" s="1291">
        <f t="shared" si="820"/>
        <v>14</v>
      </c>
      <c r="C1363" s="18" t="str">
        <f t="shared" si="793"/>
        <v>Consolidated Provisions for liabilities and charges</v>
      </c>
      <c r="D1363" s="19" t="s">
        <v>831</v>
      </c>
      <c r="E1363" s="19" t="s">
        <v>274</v>
      </c>
      <c r="F1363" s="19"/>
      <c r="G1363" s="1278"/>
      <c r="H1363" s="14"/>
      <c r="I1363" s="14"/>
      <c r="J1363" s="1258" t="s">
        <v>286</v>
      </c>
      <c r="K1363" s="256">
        <f>SUM(K1357:K1362)</f>
        <v>0</v>
      </c>
      <c r="L1363" s="256">
        <f>SUM(L1357:L1362)</f>
        <v>0</v>
      </c>
      <c r="M1363" s="14">
        <f>SUM(M1357:M1362)</f>
        <v>0</v>
      </c>
      <c r="N1363" s="14">
        <f t="shared" si="798"/>
        <v>0</v>
      </c>
      <c r="O1363" s="14">
        <f t="shared" ref="O1363:W1363" si="821">SUM(O1357:O1362)</f>
        <v>0</v>
      </c>
      <c r="P1363" s="14">
        <f t="shared" si="821"/>
        <v>0</v>
      </c>
      <c r="Q1363" s="14">
        <f t="shared" si="821"/>
        <v>0</v>
      </c>
      <c r="R1363" s="14">
        <f t="shared" si="821"/>
        <v>0</v>
      </c>
      <c r="S1363" s="14">
        <f t="shared" ref="S1363:S1410" si="822">-IF(ISNUMBER(BD1363),BD1363,0)</f>
        <v>0</v>
      </c>
      <c r="T1363" s="14">
        <f t="shared" si="821"/>
        <v>0</v>
      </c>
      <c r="U1363" s="14">
        <f t="shared" si="821"/>
        <v>0</v>
      </c>
      <c r="V1363" s="14">
        <f t="shared" si="821"/>
        <v>0</v>
      </c>
      <c r="W1363" s="14">
        <f t="shared" si="821"/>
        <v>0</v>
      </c>
      <c r="X1363" s="14"/>
      <c r="Y1363" s="14"/>
      <c r="Z1363" s="14"/>
      <c r="AA1363" s="14"/>
      <c r="AB1363" s="14"/>
      <c r="AC1363" s="14"/>
      <c r="AD1363" s="14"/>
      <c r="AE1363" s="14"/>
      <c r="AF1363" s="14"/>
      <c r="AG1363" s="14"/>
      <c r="AH1363" s="14"/>
      <c r="AI1363" s="14"/>
      <c r="AJ1363" s="14"/>
      <c r="AK1363" s="14"/>
      <c r="AL1363" s="14"/>
      <c r="AM1363" s="14"/>
      <c r="AN1363" s="14"/>
      <c r="AO1363" s="14"/>
      <c r="AP1363" s="14"/>
      <c r="AQ1363" s="14"/>
      <c r="AR1363" s="14"/>
      <c r="AS1363" s="14"/>
      <c r="AT1363" s="14"/>
      <c r="AU1363" s="14"/>
      <c r="AV1363" s="14"/>
      <c r="AW1363" s="2"/>
      <c r="AX1363" s="14">
        <f>SUM(AX1357:AX1362)</f>
        <v>0</v>
      </c>
      <c r="AY1363" s="14">
        <f>ROUND(AX1363/1000/Update!$B$31*Update!$B$27,0)</f>
        <v>0</v>
      </c>
      <c r="AZ1363" s="2"/>
      <c r="BA1363" s="14">
        <f>SUM(BA1357:BA1362)</f>
        <v>0</v>
      </c>
      <c r="BB1363" s="14">
        <f>ROUND(BA1363/1000/Update!$B$31,0)</f>
        <v>0</v>
      </c>
      <c r="BC1363" s="14"/>
      <c r="BD1363" s="14">
        <f t="shared" si="784"/>
        <v>0</v>
      </c>
      <c r="BE1363" s="318">
        <f t="shared" ref="BE1363:BJ1363" si="823">SUM(BE1357:BE1362)</f>
        <v>0</v>
      </c>
      <c r="BF1363" s="318">
        <f t="shared" si="823"/>
        <v>0</v>
      </c>
      <c r="BG1363" s="318">
        <f t="shared" si="823"/>
        <v>0</v>
      </c>
      <c r="BH1363" s="318">
        <f t="shared" si="823"/>
        <v>0</v>
      </c>
      <c r="BI1363" s="318">
        <f t="shared" si="823"/>
        <v>0</v>
      </c>
      <c r="BJ1363" s="318">
        <f t="shared" si="823"/>
        <v>0</v>
      </c>
      <c r="BK1363" s="14">
        <f t="shared" si="803"/>
        <v>0</v>
      </c>
      <c r="BL1363" s="318"/>
      <c r="BM1363" s="318"/>
      <c r="BN1363" s="318"/>
      <c r="BO1363" s="318"/>
      <c r="BP1363" s="318"/>
      <c r="BQ1363" s="318"/>
      <c r="BR1363" s="318"/>
      <c r="BS1363" s="318"/>
      <c r="BT1363" s="318"/>
      <c r="BU1363" s="318"/>
      <c r="BV1363" s="318"/>
      <c r="BW1363" s="318"/>
      <c r="BX1363" s="318"/>
      <c r="BY1363" s="318"/>
      <c r="BZ1363" s="318"/>
      <c r="CA1363" s="318"/>
      <c r="CB1363" s="318"/>
      <c r="CC1363" s="318"/>
      <c r="CD1363" s="318"/>
      <c r="CE1363" s="318"/>
      <c r="CF1363" s="318"/>
      <c r="CG1363" s="318"/>
      <c r="CH1363" s="318"/>
      <c r="CI1363" s="318"/>
      <c r="CJ1363" s="2"/>
      <c r="CK1363" s="2"/>
      <c r="CM1363" s="1140">
        <f t="shared" si="815"/>
        <v>0</v>
      </c>
      <c r="CN1363" s="1140">
        <v>0</v>
      </c>
      <c r="CP1363" s="923">
        <f t="shared" si="814"/>
        <v>0</v>
      </c>
      <c r="CZ1363" s="330"/>
    </row>
    <row r="1364" spans="1:104" ht="15" customHeight="1" x14ac:dyDescent="0.25">
      <c r="A1364" s="684">
        <f>MAX($A$6:A1363)+1</f>
        <v>1364</v>
      </c>
      <c r="B1364" s="3">
        <f t="shared" si="820"/>
        <v>14</v>
      </c>
      <c r="C1364" s="11" t="str">
        <f>C1363</f>
        <v>Consolidated Provisions for liabilities and charges</v>
      </c>
      <c r="D1364" s="11" t="s">
        <v>832</v>
      </c>
      <c r="E1364" s="7" t="str">
        <f>"Balance at"&amp;Update!$B$20</f>
        <v>Balance at 1 April 2025</v>
      </c>
      <c r="F1364" s="7"/>
      <c r="G1364" s="1254" t="s">
        <v>286</v>
      </c>
      <c r="H1364" s="6"/>
      <c r="I1364" s="1190"/>
      <c r="J1364" s="1257" t="str">
        <f>$E1364</f>
        <v>Balance at 1 April 2025</v>
      </c>
      <c r="K1364" s="251">
        <f>SUMIF('alb Note 14 - Provisions CY'!$A:$A,$J1364,'alb Note 14 - Provisions CY'!$C:$C)</f>
        <v>0</v>
      </c>
      <c r="L1364" s="266"/>
      <c r="M1364" s="10"/>
      <c r="N1364" s="273">
        <f>ROUND(SUM(O1364:S1364)+T1364+SUM(Z1364:AV1364),0)</f>
        <v>0</v>
      </c>
      <c r="O1364" s="12"/>
      <c r="P1364" s="12"/>
      <c r="Q1364" s="12"/>
      <c r="R1364" s="12"/>
      <c r="S1364" s="6">
        <f t="shared" si="822"/>
        <v>0</v>
      </c>
      <c r="T1364" s="273">
        <f t="shared" ref="T1364:T1369" si="824">ROUND(SUM(U1364:Y1364),0)</f>
        <v>0</v>
      </c>
      <c r="U1364" s="6">
        <f t="shared" ref="U1364:U1369" si="825">SUM(BL1364:BN1364)</f>
        <v>0</v>
      </c>
      <c r="V1364" s="6"/>
      <c r="W1364" s="6">
        <f t="shared" si="792"/>
        <v>0</v>
      </c>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X1364" s="6"/>
      <c r="AY1364" s="6">
        <f>ROUND(AX1364/1000/Update!$B$31*Update!$B$27,0)</f>
        <v>0</v>
      </c>
      <c r="BA1364" s="6"/>
      <c r="BB1364" s="6">
        <f>ROUND(BA1364/1000/Update!$B$31,0)</f>
        <v>0</v>
      </c>
      <c r="BC1364" s="6"/>
      <c r="BD1364" s="29">
        <f t="shared" si="784"/>
        <v>0</v>
      </c>
      <c r="BE1364" s="322"/>
      <c r="BF1364" s="322"/>
      <c r="BG1364" s="322"/>
      <c r="BH1364" s="322"/>
      <c r="BI1364" s="322"/>
      <c r="BJ1364" s="322"/>
      <c r="BK1364" s="29">
        <f t="shared" si="803"/>
        <v>0</v>
      </c>
      <c r="BL1364" s="322"/>
      <c r="BM1364" s="322"/>
      <c r="BN1364" s="322"/>
      <c r="BO1364" s="322"/>
      <c r="BP1364" s="322"/>
      <c r="BQ1364" s="322"/>
      <c r="BR1364" s="322"/>
      <c r="BS1364" s="322"/>
      <c r="BT1364" s="322"/>
      <c r="BU1364" s="322"/>
      <c r="BV1364" s="322"/>
      <c r="BW1364" s="322"/>
      <c r="BX1364" s="322"/>
      <c r="BY1364" s="322"/>
      <c r="BZ1364" s="322"/>
      <c r="CA1364" s="322"/>
      <c r="CB1364" s="322"/>
      <c r="CC1364" s="322"/>
      <c r="CD1364" s="322"/>
      <c r="CE1364" s="322"/>
      <c r="CF1364" s="322"/>
      <c r="CG1364" s="322"/>
      <c r="CH1364" s="322"/>
      <c r="CI1364" s="322"/>
      <c r="CM1364" s="1139">
        <f t="shared" si="815"/>
        <v>0</v>
      </c>
      <c r="CN1364" s="1139">
        <v>0</v>
      </c>
      <c r="CP1364" s="923">
        <f t="shared" si="814"/>
        <v>0</v>
      </c>
      <c r="CZ1364" s="330"/>
    </row>
    <row r="1365" spans="1:104" ht="15" customHeight="1" x14ac:dyDescent="0.25">
      <c r="A1365" s="684">
        <f>MAX($A$6:A1364)+1</f>
        <v>1365</v>
      </c>
      <c r="B1365" s="3">
        <f t="shared" si="820"/>
        <v>14</v>
      </c>
      <c r="C1365" s="11" t="str">
        <f t="shared" si="793"/>
        <v>Consolidated Provisions for liabilities and charges</v>
      </c>
      <c r="D1365" s="11" t="s">
        <v>832</v>
      </c>
      <c r="E1365" s="7" t="s">
        <v>2495</v>
      </c>
      <c r="F1365" s="7"/>
      <c r="G1365" s="7" t="s">
        <v>2495</v>
      </c>
      <c r="H1365" s="6"/>
      <c r="I1365" s="1190"/>
      <c r="J1365" s="1254" t="s">
        <v>2495</v>
      </c>
      <c r="K1365" s="251">
        <f>SUMIF('alb Note 14 - Provisions CY'!$A:$A,$J1365,'alb Note 14 - Provisions CY'!$C:$C)</f>
        <v>0</v>
      </c>
      <c r="L1365" s="266"/>
      <c r="M1365" s="10"/>
      <c r="N1365" s="273">
        <f t="shared" si="798"/>
        <v>0</v>
      </c>
      <c r="O1365" s="12"/>
      <c r="P1365" s="12"/>
      <c r="Q1365" s="12"/>
      <c r="R1365" s="12"/>
      <c r="S1365" s="6">
        <f t="shared" si="822"/>
        <v>0</v>
      </c>
      <c r="T1365" s="273">
        <f t="shared" si="824"/>
        <v>0</v>
      </c>
      <c r="U1365" s="6">
        <f t="shared" si="825"/>
        <v>0</v>
      </c>
      <c r="V1365" s="6"/>
      <c r="W1365" s="6">
        <f t="shared" si="792"/>
        <v>0</v>
      </c>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X1365" s="6"/>
      <c r="AY1365" s="6">
        <f>ROUND(AX1365/1000/Update!$B$31*Update!$B$27,0)</f>
        <v>0</v>
      </c>
      <c r="BA1365" s="6"/>
      <c r="BB1365" s="6">
        <f>ROUND(BA1365/1000/Update!$B$31,0)</f>
        <v>0</v>
      </c>
      <c r="BC1365" s="6"/>
      <c r="BD1365" s="29">
        <f t="shared" si="784"/>
        <v>0</v>
      </c>
      <c r="BE1365" s="322"/>
      <c r="BF1365" s="322"/>
      <c r="BG1365" s="322"/>
      <c r="BH1365" s="322"/>
      <c r="BI1365" s="322"/>
      <c r="BJ1365" s="322"/>
      <c r="BK1365" s="29">
        <f t="shared" si="803"/>
        <v>0</v>
      </c>
      <c r="BL1365" s="322"/>
      <c r="BM1365" s="322"/>
      <c r="BN1365" s="322"/>
      <c r="BO1365" s="322"/>
      <c r="BP1365" s="322"/>
      <c r="BQ1365" s="322"/>
      <c r="BR1365" s="322"/>
      <c r="BS1365" s="322"/>
      <c r="BT1365" s="322"/>
      <c r="BU1365" s="322"/>
      <c r="BV1365" s="322"/>
      <c r="BW1365" s="322"/>
      <c r="BX1365" s="322"/>
      <c r="BY1365" s="322"/>
      <c r="BZ1365" s="322"/>
      <c r="CA1365" s="322"/>
      <c r="CB1365" s="322"/>
      <c r="CC1365" s="322"/>
      <c r="CD1365" s="322"/>
      <c r="CE1365" s="322"/>
      <c r="CF1365" s="322"/>
      <c r="CG1365" s="322"/>
      <c r="CH1365" s="322"/>
      <c r="CI1365" s="322"/>
      <c r="CM1365" s="1139">
        <f t="shared" si="815"/>
        <v>0</v>
      </c>
      <c r="CN1365" s="1139">
        <v>0</v>
      </c>
      <c r="CP1365" s="923">
        <f t="shared" si="814"/>
        <v>0</v>
      </c>
      <c r="CZ1365" s="330"/>
    </row>
    <row r="1366" spans="1:104" ht="15" customHeight="1" x14ac:dyDescent="0.25">
      <c r="A1366" s="684">
        <f>MAX($A$6:A1365)+1</f>
        <v>1366</v>
      </c>
      <c r="B1366" s="3">
        <f t="shared" si="820"/>
        <v>14</v>
      </c>
      <c r="C1366" s="11" t="str">
        <f t="shared" si="793"/>
        <v>Consolidated Provisions for liabilities and charges</v>
      </c>
      <c r="D1366" s="11" t="s">
        <v>832</v>
      </c>
      <c r="E1366" s="7" t="s">
        <v>267</v>
      </c>
      <c r="F1366" s="7"/>
      <c r="G1366" s="1254" t="s">
        <v>286</v>
      </c>
      <c r="H1366" s="6"/>
      <c r="I1366" s="1190"/>
      <c r="J1366" s="1257" t="s">
        <v>791</v>
      </c>
      <c r="K1366" s="251">
        <f>SUMIF('alb Note 14 - Provisions CY'!$A:$A,$J1366,'alb Note 14 - Provisions CY'!$C:$C)</f>
        <v>0</v>
      </c>
      <c r="L1366" s="266"/>
      <c r="M1366" s="10"/>
      <c r="N1366" s="273">
        <f t="shared" si="798"/>
        <v>0</v>
      </c>
      <c r="O1366" s="12"/>
      <c r="P1366" s="12"/>
      <c r="Q1366" s="12"/>
      <c r="R1366" s="12"/>
      <c r="S1366" s="6">
        <f t="shared" si="822"/>
        <v>0</v>
      </c>
      <c r="T1366" s="273">
        <f t="shared" si="824"/>
        <v>0</v>
      </c>
      <c r="U1366" s="6">
        <f t="shared" si="825"/>
        <v>0</v>
      </c>
      <c r="V1366" s="6"/>
      <c r="W1366" s="6">
        <f t="shared" si="792"/>
        <v>0</v>
      </c>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X1366" s="6"/>
      <c r="AY1366" s="6">
        <f>ROUND(AX1366/1000/Update!$B$31*Update!$B$27,0)</f>
        <v>0</v>
      </c>
      <c r="BA1366" s="6"/>
      <c r="BB1366" s="6">
        <f>ROUND(BA1366/1000/Update!$B$31,0)</f>
        <v>0</v>
      </c>
      <c r="BC1366" s="6"/>
      <c r="BD1366" s="29">
        <f t="shared" si="784"/>
        <v>0</v>
      </c>
      <c r="BE1366" s="322"/>
      <c r="BF1366" s="322"/>
      <c r="BG1366" s="322"/>
      <c r="BH1366" s="322"/>
      <c r="BI1366" s="322"/>
      <c r="BJ1366" s="322"/>
      <c r="BK1366" s="29">
        <f t="shared" si="803"/>
        <v>0</v>
      </c>
      <c r="BL1366" s="322"/>
      <c r="BM1366" s="322"/>
      <c r="BN1366" s="322"/>
      <c r="BO1366" s="322"/>
      <c r="BP1366" s="322"/>
      <c r="BQ1366" s="322"/>
      <c r="BR1366" s="322"/>
      <c r="BS1366" s="322"/>
      <c r="BT1366" s="322"/>
      <c r="BU1366" s="322"/>
      <c r="BV1366" s="322"/>
      <c r="BW1366" s="322"/>
      <c r="BX1366" s="322"/>
      <c r="BY1366" s="322"/>
      <c r="BZ1366" s="322"/>
      <c r="CA1366" s="322"/>
      <c r="CB1366" s="322"/>
      <c r="CC1366" s="322"/>
      <c r="CD1366" s="322"/>
      <c r="CE1366" s="322"/>
      <c r="CF1366" s="322"/>
      <c r="CG1366" s="322"/>
      <c r="CH1366" s="322"/>
      <c r="CI1366" s="322"/>
      <c r="CM1366" s="1139">
        <f t="shared" si="815"/>
        <v>0</v>
      </c>
      <c r="CN1366" s="1139">
        <v>0</v>
      </c>
      <c r="CP1366" s="923">
        <f t="shared" si="814"/>
        <v>0</v>
      </c>
      <c r="CZ1366" s="330"/>
    </row>
    <row r="1367" spans="1:104" ht="15" customHeight="1" x14ac:dyDescent="0.25">
      <c r="A1367" s="684">
        <f>MAX($A$6:A1366)+1</f>
        <v>1367</v>
      </c>
      <c r="B1367" s="3">
        <f t="shared" si="820"/>
        <v>14</v>
      </c>
      <c r="C1367" s="11" t="str">
        <f t="shared" si="793"/>
        <v>Consolidated Provisions for liabilities and charges</v>
      </c>
      <c r="D1367" s="11" t="s">
        <v>832</v>
      </c>
      <c r="E1367" s="7" t="s">
        <v>268</v>
      </c>
      <c r="F1367" s="7"/>
      <c r="G1367" s="1254" t="s">
        <v>286</v>
      </c>
      <c r="H1367" s="6"/>
      <c r="I1367" s="1190"/>
      <c r="J1367" s="1257" t="s">
        <v>792</v>
      </c>
      <c r="K1367" s="251">
        <f>SUMIF('alb Note 14 - Provisions CY'!$A:$A,$J1367,'alb Note 14 - Provisions CY'!$C:$C)</f>
        <v>0</v>
      </c>
      <c r="L1367" s="266"/>
      <c r="M1367" s="10"/>
      <c r="N1367" s="273">
        <f t="shared" si="798"/>
        <v>0</v>
      </c>
      <c r="O1367" s="12"/>
      <c r="P1367" s="12"/>
      <c r="Q1367" s="12"/>
      <c r="R1367" s="12"/>
      <c r="S1367" s="6">
        <f t="shared" si="822"/>
        <v>0</v>
      </c>
      <c r="T1367" s="273">
        <f t="shared" si="824"/>
        <v>0</v>
      </c>
      <c r="U1367" s="6">
        <f t="shared" si="825"/>
        <v>0</v>
      </c>
      <c r="V1367" s="6"/>
      <c r="W1367" s="6">
        <f t="shared" si="792"/>
        <v>0</v>
      </c>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X1367" s="6"/>
      <c r="AY1367" s="6">
        <f>ROUND(AX1367/1000/Update!$B$31*Update!$B$27,0)</f>
        <v>0</v>
      </c>
      <c r="BA1367" s="6"/>
      <c r="BB1367" s="6">
        <f>ROUND(BA1367/1000/Update!$B$31,0)</f>
        <v>0</v>
      </c>
      <c r="BC1367" s="6"/>
      <c r="BD1367" s="29">
        <f t="shared" si="784"/>
        <v>0</v>
      </c>
      <c r="BE1367" s="322"/>
      <c r="BF1367" s="322"/>
      <c r="BG1367" s="322"/>
      <c r="BH1367" s="322"/>
      <c r="BI1367" s="322"/>
      <c r="BJ1367" s="322"/>
      <c r="BK1367" s="29">
        <f t="shared" si="803"/>
        <v>0</v>
      </c>
      <c r="BL1367" s="322"/>
      <c r="BM1367" s="322"/>
      <c r="BN1367" s="322"/>
      <c r="BO1367" s="322"/>
      <c r="BP1367" s="322"/>
      <c r="BQ1367" s="322"/>
      <c r="BR1367" s="322"/>
      <c r="BS1367" s="322"/>
      <c r="BT1367" s="322"/>
      <c r="BU1367" s="322"/>
      <c r="BV1367" s="322"/>
      <c r="BW1367" s="322"/>
      <c r="BX1367" s="322"/>
      <c r="BY1367" s="322"/>
      <c r="BZ1367" s="322"/>
      <c r="CA1367" s="322"/>
      <c r="CB1367" s="322"/>
      <c r="CC1367" s="322"/>
      <c r="CD1367" s="322"/>
      <c r="CE1367" s="322"/>
      <c r="CF1367" s="322"/>
      <c r="CG1367" s="322"/>
      <c r="CH1367" s="322"/>
      <c r="CI1367" s="322"/>
      <c r="CM1367" s="1139">
        <f t="shared" si="815"/>
        <v>0</v>
      </c>
      <c r="CN1367" s="1139">
        <v>0</v>
      </c>
      <c r="CP1367" s="923">
        <f t="shared" si="814"/>
        <v>0</v>
      </c>
      <c r="CZ1367" s="330"/>
    </row>
    <row r="1368" spans="1:104" ht="15" customHeight="1" x14ac:dyDescent="0.25">
      <c r="A1368" s="684">
        <f>MAX($A$6:A1367)+1</f>
        <v>1368</v>
      </c>
      <c r="B1368" s="3">
        <f t="shared" si="820"/>
        <v>14</v>
      </c>
      <c r="C1368" s="11" t="str">
        <f t="shared" si="793"/>
        <v>Consolidated Provisions for liabilities and charges</v>
      </c>
      <c r="D1368" s="11" t="s">
        <v>832</v>
      </c>
      <c r="E1368" s="7" t="s">
        <v>269</v>
      </c>
      <c r="F1368" s="7"/>
      <c r="G1368" s="1254" t="s">
        <v>286</v>
      </c>
      <c r="H1368" s="6"/>
      <c r="I1368" s="1190"/>
      <c r="J1368" s="1257" t="s">
        <v>793</v>
      </c>
      <c r="K1368" s="251">
        <f>SUMIF('alb Note 14 - Provisions CY'!$A:$A,$J1368,'alb Note 14 - Provisions CY'!$C:$C)</f>
        <v>0</v>
      </c>
      <c r="L1368" s="266"/>
      <c r="M1368" s="10"/>
      <c r="N1368" s="273">
        <f t="shared" si="798"/>
        <v>0</v>
      </c>
      <c r="O1368" s="12"/>
      <c r="P1368" s="12"/>
      <c r="Q1368" s="12"/>
      <c r="R1368" s="12"/>
      <c r="S1368" s="6">
        <f t="shared" si="822"/>
        <v>0</v>
      </c>
      <c r="T1368" s="273">
        <f t="shared" si="824"/>
        <v>0</v>
      </c>
      <c r="U1368" s="6">
        <f t="shared" si="825"/>
        <v>0</v>
      </c>
      <c r="V1368" s="6"/>
      <c r="W1368" s="6">
        <f t="shared" si="792"/>
        <v>0</v>
      </c>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X1368" s="6"/>
      <c r="AY1368" s="6">
        <f>ROUND(AX1368/1000/Update!$B$31*Update!$B$27,0)</f>
        <v>0</v>
      </c>
      <c r="BA1368" s="6"/>
      <c r="BB1368" s="6">
        <f>ROUND(BA1368/1000/Update!$B$31,0)</f>
        <v>0</v>
      </c>
      <c r="BC1368" s="6"/>
      <c r="BD1368" s="29">
        <f t="shared" si="784"/>
        <v>0</v>
      </c>
      <c r="BE1368" s="322"/>
      <c r="BF1368" s="322"/>
      <c r="BG1368" s="322"/>
      <c r="BH1368" s="322"/>
      <c r="BI1368" s="322"/>
      <c r="BJ1368" s="322"/>
      <c r="BK1368" s="29">
        <f t="shared" si="803"/>
        <v>0</v>
      </c>
      <c r="BL1368" s="322"/>
      <c r="BM1368" s="322"/>
      <c r="BN1368" s="322"/>
      <c r="BO1368" s="322"/>
      <c r="BP1368" s="322"/>
      <c r="BQ1368" s="322"/>
      <c r="BR1368" s="322"/>
      <c r="BS1368" s="322"/>
      <c r="BT1368" s="322"/>
      <c r="BU1368" s="322"/>
      <c r="BV1368" s="322"/>
      <c r="BW1368" s="322"/>
      <c r="BX1368" s="322"/>
      <c r="BY1368" s="322"/>
      <c r="BZ1368" s="322"/>
      <c r="CA1368" s="322"/>
      <c r="CB1368" s="322"/>
      <c r="CC1368" s="322"/>
      <c r="CD1368" s="322"/>
      <c r="CE1368" s="322"/>
      <c r="CF1368" s="322"/>
      <c r="CG1368" s="322"/>
      <c r="CH1368" s="322"/>
      <c r="CI1368" s="322"/>
      <c r="CM1368" s="1139">
        <f t="shared" si="815"/>
        <v>0</v>
      </c>
      <c r="CN1368" s="1139">
        <v>0</v>
      </c>
      <c r="CP1368" s="923">
        <f t="shared" si="814"/>
        <v>0</v>
      </c>
      <c r="CZ1368" s="330"/>
    </row>
    <row r="1369" spans="1:104" ht="15" customHeight="1" x14ac:dyDescent="0.25">
      <c r="A1369" s="684">
        <f>MAX($A$6:A1368)+1</f>
        <v>1369</v>
      </c>
      <c r="B1369" s="3">
        <f t="shared" si="820"/>
        <v>14</v>
      </c>
      <c r="C1369" s="11" t="str">
        <f t="shared" si="793"/>
        <v>Consolidated Provisions for liabilities and charges</v>
      </c>
      <c r="D1369" s="11" t="s">
        <v>832</v>
      </c>
      <c r="E1369" s="7" t="s">
        <v>270</v>
      </c>
      <c r="F1369" s="7"/>
      <c r="G1369" s="1254" t="s">
        <v>286</v>
      </c>
      <c r="H1369" s="6"/>
      <c r="I1369" s="1190"/>
      <c r="J1369" s="1257" t="s">
        <v>794</v>
      </c>
      <c r="K1369" s="251">
        <f>SUMIF('alb Note 14 - Provisions CY'!$A:$A,$J1369,'alb Note 14 - Provisions CY'!$C:$C)</f>
        <v>0</v>
      </c>
      <c r="L1369" s="266"/>
      <c r="M1369" s="10"/>
      <c r="N1369" s="273">
        <f t="shared" si="798"/>
        <v>0</v>
      </c>
      <c r="O1369" s="12"/>
      <c r="P1369" s="12"/>
      <c r="Q1369" s="12"/>
      <c r="R1369" s="12"/>
      <c r="S1369" s="6">
        <f t="shared" si="822"/>
        <v>0</v>
      </c>
      <c r="T1369" s="273">
        <f t="shared" si="824"/>
        <v>0</v>
      </c>
      <c r="U1369" s="6">
        <f t="shared" si="825"/>
        <v>0</v>
      </c>
      <c r="V1369" s="6"/>
      <c r="W1369" s="6">
        <f t="shared" si="792"/>
        <v>0</v>
      </c>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X1369" s="6"/>
      <c r="AY1369" s="6">
        <f>ROUND(AX1369/1000/Update!$B$31*Update!$B$27,0)</f>
        <v>0</v>
      </c>
      <c r="BA1369" s="6"/>
      <c r="BB1369" s="6">
        <f>ROUND(BA1369/1000/Update!$B$31,0)</f>
        <v>0</v>
      </c>
      <c r="BC1369" s="6"/>
      <c r="BD1369" s="29">
        <f t="shared" si="784"/>
        <v>0</v>
      </c>
      <c r="BE1369" s="322"/>
      <c r="BF1369" s="322"/>
      <c r="BG1369" s="322"/>
      <c r="BH1369" s="322"/>
      <c r="BI1369" s="322"/>
      <c r="BJ1369" s="322"/>
      <c r="BK1369" s="29">
        <f t="shared" si="803"/>
        <v>0</v>
      </c>
      <c r="BL1369" s="322"/>
      <c r="BM1369" s="322"/>
      <c r="BN1369" s="322"/>
      <c r="BO1369" s="322"/>
      <c r="BP1369" s="322"/>
      <c r="BQ1369" s="322"/>
      <c r="BR1369" s="322"/>
      <c r="BS1369" s="322"/>
      <c r="BT1369" s="322"/>
      <c r="BU1369" s="322"/>
      <c r="BV1369" s="322"/>
      <c r="BW1369" s="322"/>
      <c r="BX1369" s="322"/>
      <c r="BY1369" s="322"/>
      <c r="BZ1369" s="322"/>
      <c r="CA1369" s="322"/>
      <c r="CB1369" s="322"/>
      <c r="CC1369" s="322"/>
      <c r="CD1369" s="322"/>
      <c r="CE1369" s="322"/>
      <c r="CF1369" s="322"/>
      <c r="CG1369" s="322"/>
      <c r="CH1369" s="322"/>
      <c r="CI1369" s="322"/>
      <c r="CM1369" s="1139">
        <f t="shared" si="815"/>
        <v>0</v>
      </c>
      <c r="CN1369" s="1139">
        <v>0</v>
      </c>
      <c r="CP1369" s="923">
        <f t="shared" si="814"/>
        <v>0</v>
      </c>
      <c r="CZ1369" s="330"/>
    </row>
    <row r="1370" spans="1:104" ht="15" customHeight="1" x14ac:dyDescent="0.25">
      <c r="A1370" s="701">
        <f>MAX($A$6:A1369)+1</f>
        <v>1370</v>
      </c>
      <c r="B1370" s="1291">
        <f t="shared" si="820"/>
        <v>14</v>
      </c>
      <c r="C1370" s="18" t="str">
        <f t="shared" si="793"/>
        <v>Consolidated Provisions for liabilities and charges</v>
      </c>
      <c r="D1370" s="19" t="s">
        <v>832</v>
      </c>
      <c r="E1370" s="19" t="s">
        <v>274</v>
      </c>
      <c r="F1370" s="19"/>
      <c r="G1370" s="1278"/>
      <c r="H1370" s="14"/>
      <c r="I1370" s="14"/>
      <c r="J1370" s="1258" t="s">
        <v>286</v>
      </c>
      <c r="K1370" s="256">
        <f>SUM(K1364:K1369)</f>
        <v>0</v>
      </c>
      <c r="L1370" s="256">
        <f>SUM(L1364:L1369)</f>
        <v>0</v>
      </c>
      <c r="M1370" s="14">
        <f>SUM(M1364:M1369)</f>
        <v>0</v>
      </c>
      <c r="N1370" s="14">
        <f t="shared" si="798"/>
        <v>0</v>
      </c>
      <c r="O1370" s="14">
        <f t="shared" ref="O1370:W1370" si="826">SUM(O1364:O1369)</f>
        <v>0</v>
      </c>
      <c r="P1370" s="14">
        <f t="shared" si="826"/>
        <v>0</v>
      </c>
      <c r="Q1370" s="14">
        <f t="shared" si="826"/>
        <v>0</v>
      </c>
      <c r="R1370" s="14">
        <f t="shared" si="826"/>
        <v>0</v>
      </c>
      <c r="S1370" s="14">
        <f t="shared" si="822"/>
        <v>0</v>
      </c>
      <c r="T1370" s="14">
        <f t="shared" si="826"/>
        <v>0</v>
      </c>
      <c r="U1370" s="14">
        <f t="shared" si="826"/>
        <v>0</v>
      </c>
      <c r="V1370" s="14">
        <f t="shared" si="826"/>
        <v>0</v>
      </c>
      <c r="W1370" s="14">
        <f t="shared" si="826"/>
        <v>0</v>
      </c>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2"/>
      <c r="AX1370" s="14">
        <f>SUM(AX1364:AX1369)</f>
        <v>0</v>
      </c>
      <c r="AY1370" s="14">
        <f>ROUND(AX1370/1000/Update!$B$31*Update!$B$27,0)</f>
        <v>0</v>
      </c>
      <c r="AZ1370" s="2"/>
      <c r="BA1370" s="14">
        <f>SUM(BA1364:BA1369)</f>
        <v>0</v>
      </c>
      <c r="BB1370" s="14">
        <f>ROUND(BA1370/1000/Update!$B$31,0)</f>
        <v>0</v>
      </c>
      <c r="BC1370" s="14"/>
      <c r="BD1370" s="14">
        <f t="shared" si="784"/>
        <v>0</v>
      </c>
      <c r="BE1370" s="318">
        <f t="shared" ref="BE1370:BJ1370" si="827">SUM(BE1364:BE1369)</f>
        <v>0</v>
      </c>
      <c r="BF1370" s="318">
        <f t="shared" si="827"/>
        <v>0</v>
      </c>
      <c r="BG1370" s="318">
        <f t="shared" si="827"/>
        <v>0</v>
      </c>
      <c r="BH1370" s="318">
        <f t="shared" si="827"/>
        <v>0</v>
      </c>
      <c r="BI1370" s="318">
        <f t="shared" si="827"/>
        <v>0</v>
      </c>
      <c r="BJ1370" s="318">
        <f t="shared" si="827"/>
        <v>0</v>
      </c>
      <c r="BK1370" s="14">
        <f t="shared" si="803"/>
        <v>0</v>
      </c>
      <c r="BL1370" s="318"/>
      <c r="BM1370" s="318"/>
      <c r="BN1370" s="318"/>
      <c r="BO1370" s="318"/>
      <c r="BP1370" s="318"/>
      <c r="BQ1370" s="318"/>
      <c r="BR1370" s="318"/>
      <c r="BS1370" s="318"/>
      <c r="BT1370" s="318"/>
      <c r="BU1370" s="318"/>
      <c r="BV1370" s="318"/>
      <c r="BW1370" s="318"/>
      <c r="BX1370" s="318"/>
      <c r="BY1370" s="318"/>
      <c r="BZ1370" s="318"/>
      <c r="CA1370" s="318"/>
      <c r="CB1370" s="318"/>
      <c r="CC1370" s="318"/>
      <c r="CD1370" s="318"/>
      <c r="CE1370" s="318"/>
      <c r="CF1370" s="318"/>
      <c r="CG1370" s="318"/>
      <c r="CH1370" s="318"/>
      <c r="CI1370" s="318"/>
      <c r="CJ1370" s="2"/>
      <c r="CK1370" s="2"/>
      <c r="CM1370" s="1140">
        <f t="shared" si="815"/>
        <v>0</v>
      </c>
      <c r="CN1370" s="1140">
        <v>0</v>
      </c>
      <c r="CP1370" s="923">
        <f t="shared" si="814"/>
        <v>0</v>
      </c>
      <c r="CZ1370" s="330"/>
    </row>
    <row r="1371" spans="1:104" ht="15" customHeight="1" x14ac:dyDescent="0.25">
      <c r="A1371" s="684">
        <f>MAX($A$6:A1370)+1</f>
        <v>1371</v>
      </c>
      <c r="B1371" s="3">
        <f>B1349</f>
        <v>14</v>
      </c>
      <c r="C1371" s="11" t="str">
        <f>C1349</f>
        <v>Consolidated Provisions for liabilities and charges</v>
      </c>
      <c r="D1371" s="11" t="s">
        <v>271</v>
      </c>
      <c r="E1371" s="16" t="s">
        <v>221</v>
      </c>
      <c r="F1371" s="16"/>
      <c r="G1371" s="1254"/>
      <c r="H1371" s="6"/>
      <c r="I1371" s="1190"/>
      <c r="J1371" s="1261" t="s">
        <v>286</v>
      </c>
      <c r="K1371" s="251">
        <f>SUMIF('alb Note 14 - Provisions CY'!$A:$A,$J1371,'alb Note 14 - Provisions CY'!$E:$E)</f>
        <v>0</v>
      </c>
      <c r="L1371" s="266"/>
      <c r="M1371" s="10"/>
      <c r="N1371" s="273">
        <f t="shared" si="798"/>
        <v>0</v>
      </c>
      <c r="O1371" s="12"/>
      <c r="P1371" s="12"/>
      <c r="Q1371" s="12"/>
      <c r="R1371" s="12"/>
      <c r="S1371" s="6">
        <f t="shared" si="822"/>
        <v>0</v>
      </c>
      <c r="T1371" s="273">
        <f>ROUND(SUM(U1371:Y1371),0)</f>
        <v>0</v>
      </c>
      <c r="U1371" s="6">
        <f>SUM(BL1371:BN1371)</f>
        <v>0</v>
      </c>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X1371" s="6"/>
      <c r="AY1371" s="6">
        <f>ROUND(AX1371/1000/Update!$B$31*Update!$B$27,0)</f>
        <v>0</v>
      </c>
      <c r="BA1371" s="6"/>
      <c r="BB1371" s="6">
        <f>ROUND(BA1371/1000/Update!$B$31,0)</f>
        <v>0</v>
      </c>
      <c r="BC1371" s="6"/>
      <c r="BD1371" s="29">
        <f t="shared" si="784"/>
        <v>0</v>
      </c>
      <c r="BE1371" s="317"/>
      <c r="BF1371" s="317"/>
      <c r="BG1371" s="317"/>
      <c r="BH1371" s="317"/>
      <c r="BI1371" s="317"/>
      <c r="BJ1371" s="317"/>
      <c r="BK1371" s="29">
        <f t="shared" si="803"/>
        <v>0</v>
      </c>
      <c r="BL1371" s="317"/>
      <c r="BM1371" s="317"/>
      <c r="BN1371" s="317"/>
      <c r="BO1371" s="317"/>
      <c r="BP1371" s="317"/>
      <c r="BQ1371" s="317"/>
      <c r="BR1371" s="317"/>
      <c r="BS1371" s="317"/>
      <c r="BT1371" s="317"/>
      <c r="BU1371" s="317"/>
      <c r="BV1371" s="317"/>
      <c r="BW1371" s="317"/>
      <c r="BX1371" s="317"/>
      <c r="BY1371" s="317"/>
      <c r="BZ1371" s="317"/>
      <c r="CA1371" s="317"/>
      <c r="CB1371" s="317"/>
      <c r="CC1371" s="317"/>
      <c r="CD1371" s="317"/>
      <c r="CE1371" s="317"/>
      <c r="CF1371" s="317"/>
      <c r="CG1371" s="317"/>
      <c r="CH1371" s="317"/>
      <c r="CI1371" s="317"/>
      <c r="CM1371" s="1139">
        <f t="shared" si="815"/>
        <v>0</v>
      </c>
      <c r="CN1371" s="1139">
        <v>0</v>
      </c>
      <c r="CP1371" s="923">
        <f t="shared" si="814"/>
        <v>0</v>
      </c>
      <c r="CZ1371" s="330"/>
    </row>
    <row r="1372" spans="1:104" ht="15" customHeight="1" x14ac:dyDescent="0.25">
      <c r="A1372" s="684">
        <f>MAX($A$6:A1371)+1</f>
        <v>1372</v>
      </c>
      <c r="B1372" s="3">
        <f t="shared" ref="B1372:B1400" si="828">B1371</f>
        <v>14</v>
      </c>
      <c r="C1372" s="11" t="str">
        <f t="shared" si="793"/>
        <v>Consolidated Provisions for liabilities and charges</v>
      </c>
      <c r="D1372" s="11" t="s">
        <v>271</v>
      </c>
      <c r="E1372" s="7" t="s">
        <v>216</v>
      </c>
      <c r="F1372" s="7"/>
      <c r="G1372" s="1254" t="s">
        <v>216</v>
      </c>
      <c r="H1372" s="6">
        <v>0</v>
      </c>
      <c r="I1372" s="1190"/>
      <c r="J1372" s="1257" t="s">
        <v>795</v>
      </c>
      <c r="K1372" s="251">
        <f>SUMIF('alb Note 14 - Provisions CY'!$A:$A,$J1372,'alb Note 14 - Provisions CY'!$E:$E)</f>
        <v>0</v>
      </c>
      <c r="L1372" s="266"/>
      <c r="M1372" s="10"/>
      <c r="N1372" s="273">
        <f t="shared" si="798"/>
        <v>0</v>
      </c>
      <c r="O1372" s="12"/>
      <c r="P1372" s="12"/>
      <c r="Q1372" s="12"/>
      <c r="R1372" s="12"/>
      <c r="S1372" s="6">
        <f t="shared" si="822"/>
        <v>0</v>
      </c>
      <c r="T1372" s="273">
        <f>ROUND(SUM(U1372:Y1372),0)</f>
        <v>0</v>
      </c>
      <c r="U1372" s="6">
        <f>SUM(BL1372:BN1372)</f>
        <v>0</v>
      </c>
      <c r="V1372" s="6"/>
      <c r="W1372" s="6">
        <f>+H1372</f>
        <v>0</v>
      </c>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X1372" s="6"/>
      <c r="AY1372" s="6">
        <f>ROUND(AX1372/1000/Update!$B$31*Update!$B$27,0)</f>
        <v>0</v>
      </c>
      <c r="BA1372" s="6"/>
      <c r="BB1372" s="6">
        <f>ROUND(BA1372/1000/Update!$B$31,0)</f>
        <v>0</v>
      </c>
      <c r="BC1372" s="6"/>
      <c r="BD1372" s="29">
        <f t="shared" si="784"/>
        <v>0</v>
      </c>
      <c r="BE1372" s="317"/>
      <c r="BF1372" s="317"/>
      <c r="BG1372" s="317"/>
      <c r="BH1372" s="317"/>
      <c r="BI1372" s="317"/>
      <c r="BJ1372" s="317"/>
      <c r="BK1372" s="29">
        <f t="shared" si="803"/>
        <v>0</v>
      </c>
      <c r="BL1372" s="317"/>
      <c r="BM1372" s="317"/>
      <c r="BN1372" s="317"/>
      <c r="BO1372" s="317"/>
      <c r="BP1372" s="317"/>
      <c r="BQ1372" s="317"/>
      <c r="BR1372" s="317"/>
      <c r="BS1372" s="317"/>
      <c r="BT1372" s="317"/>
      <c r="BU1372" s="317"/>
      <c r="BV1372" s="317"/>
      <c r="BW1372" s="317"/>
      <c r="BX1372" s="317"/>
      <c r="BY1372" s="317"/>
      <c r="BZ1372" s="317"/>
      <c r="CA1372" s="317"/>
      <c r="CB1372" s="317"/>
      <c r="CC1372" s="317"/>
      <c r="CD1372" s="317"/>
      <c r="CE1372" s="317"/>
      <c r="CF1372" s="317"/>
      <c r="CG1372" s="317"/>
      <c r="CH1372" s="317"/>
      <c r="CI1372" s="317"/>
      <c r="CM1372" s="1139">
        <f t="shared" si="815"/>
        <v>0</v>
      </c>
      <c r="CN1372" s="1139">
        <v>0</v>
      </c>
      <c r="CP1372" s="923">
        <f t="shared" si="814"/>
        <v>0</v>
      </c>
      <c r="CZ1372" s="330"/>
    </row>
    <row r="1373" spans="1:104" ht="30" customHeight="1" x14ac:dyDescent="0.25">
      <c r="A1373" s="684">
        <f>MAX($A$6:A1372)+1</f>
        <v>1373</v>
      </c>
      <c r="B1373" s="3">
        <f t="shared" si="828"/>
        <v>14</v>
      </c>
      <c r="C1373" s="11" t="str">
        <f t="shared" si="793"/>
        <v>Consolidated Provisions for liabilities and charges</v>
      </c>
      <c r="D1373" s="11" t="s">
        <v>271</v>
      </c>
      <c r="E1373" s="7" t="s">
        <v>218</v>
      </c>
      <c r="F1373" s="7"/>
      <c r="G1373" s="1254" t="s">
        <v>218</v>
      </c>
      <c r="H1373" s="6">
        <v>0</v>
      </c>
      <c r="I1373" s="1190"/>
      <c r="J1373" s="1257" t="s">
        <v>796</v>
      </c>
      <c r="K1373" s="251">
        <f>SUMIF('alb Note 14 - Provisions CY'!$A:$A,$J1373,'alb Note 14 - Provisions CY'!$E:$E)</f>
        <v>0</v>
      </c>
      <c r="L1373" s="266"/>
      <c r="M1373" s="10"/>
      <c r="N1373" s="273">
        <f t="shared" si="798"/>
        <v>0</v>
      </c>
      <c r="O1373" s="12"/>
      <c r="P1373" s="12"/>
      <c r="Q1373" s="12"/>
      <c r="R1373" s="12"/>
      <c r="S1373" s="6">
        <f t="shared" si="822"/>
        <v>0</v>
      </c>
      <c r="T1373" s="273">
        <f>ROUND(SUM(U1373:Y1373),0)</f>
        <v>0</v>
      </c>
      <c r="U1373" s="6">
        <f>SUM(BL1373:BN1373)</f>
        <v>0</v>
      </c>
      <c r="V1373" s="6"/>
      <c r="W1373" s="6">
        <f>+H1373</f>
        <v>0</v>
      </c>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X1373" s="6"/>
      <c r="AY1373" s="6">
        <f>ROUND(AX1373/1000/Update!$B$31*Update!$B$27,0)</f>
        <v>0</v>
      </c>
      <c r="BA1373" s="6"/>
      <c r="BB1373" s="6">
        <f>ROUND(BA1373/1000/Update!$B$31,0)</f>
        <v>0</v>
      </c>
      <c r="BC1373" s="6"/>
      <c r="BD1373" s="29">
        <f t="shared" si="784"/>
        <v>0</v>
      </c>
      <c r="BE1373" s="317"/>
      <c r="BF1373" s="317"/>
      <c r="BG1373" s="317"/>
      <c r="BH1373" s="317"/>
      <c r="BI1373" s="317"/>
      <c r="BJ1373" s="317"/>
      <c r="BK1373" s="29">
        <f t="shared" si="803"/>
        <v>0</v>
      </c>
      <c r="BL1373" s="317"/>
      <c r="BM1373" s="317"/>
      <c r="BN1373" s="317"/>
      <c r="BO1373" s="317"/>
      <c r="BP1373" s="317"/>
      <c r="BQ1373" s="317"/>
      <c r="BR1373" s="317"/>
      <c r="BS1373" s="317"/>
      <c r="BT1373" s="317"/>
      <c r="BU1373" s="317"/>
      <c r="BV1373" s="317"/>
      <c r="BW1373" s="317"/>
      <c r="BX1373" s="317"/>
      <c r="BY1373" s="317"/>
      <c r="BZ1373" s="317"/>
      <c r="CA1373" s="317"/>
      <c r="CB1373" s="317"/>
      <c r="CC1373" s="317"/>
      <c r="CD1373" s="317"/>
      <c r="CE1373" s="317"/>
      <c r="CF1373" s="317"/>
      <c r="CG1373" s="317"/>
      <c r="CH1373" s="317"/>
      <c r="CI1373" s="317"/>
      <c r="CM1373" s="1139">
        <f t="shared" si="815"/>
        <v>0</v>
      </c>
      <c r="CN1373" s="1139">
        <v>0</v>
      </c>
      <c r="CP1373" s="923">
        <f t="shared" si="814"/>
        <v>0</v>
      </c>
      <c r="CZ1373" s="330"/>
    </row>
    <row r="1374" spans="1:104" ht="15" customHeight="1" x14ac:dyDescent="0.25">
      <c r="A1374" s="684">
        <f>MAX($A$6:A1373)+1</f>
        <v>1374</v>
      </c>
      <c r="B1374" s="3">
        <f t="shared" si="828"/>
        <v>14</v>
      </c>
      <c r="C1374" s="11" t="str">
        <f t="shared" si="793"/>
        <v>Consolidated Provisions for liabilities and charges</v>
      </c>
      <c r="D1374" s="11" t="s">
        <v>271</v>
      </c>
      <c r="E1374" s="7" t="s">
        <v>217</v>
      </c>
      <c r="F1374" s="7"/>
      <c r="G1374" s="1254" t="s">
        <v>217</v>
      </c>
      <c r="H1374" s="6">
        <v>0</v>
      </c>
      <c r="I1374" s="1190"/>
      <c r="J1374" s="1257" t="s">
        <v>797</v>
      </c>
      <c r="K1374" s="251">
        <f>SUMIF('alb Note 14 - Provisions CY'!$A:$A,$J1374,'alb Note 14 - Provisions CY'!$E:$E)</f>
        <v>0</v>
      </c>
      <c r="L1374" s="266"/>
      <c r="M1374" s="10"/>
      <c r="N1374" s="273">
        <f t="shared" si="798"/>
        <v>0</v>
      </c>
      <c r="O1374" s="12"/>
      <c r="P1374" s="12"/>
      <c r="Q1374" s="12"/>
      <c r="R1374" s="12"/>
      <c r="S1374" s="6">
        <f t="shared" si="822"/>
        <v>0</v>
      </c>
      <c r="T1374" s="273">
        <f>ROUND(SUM(U1374:Y1374),0)</f>
        <v>0</v>
      </c>
      <c r="U1374" s="6">
        <f>SUM(BL1374:BN1374)</f>
        <v>0</v>
      </c>
      <c r="V1374" s="6"/>
      <c r="W1374" s="6">
        <f>+H1374</f>
        <v>0</v>
      </c>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X1374" s="6"/>
      <c r="AY1374" s="6">
        <f>ROUND(AX1374/1000/Update!$B$31*Update!$B$27,0)</f>
        <v>0</v>
      </c>
      <c r="BA1374" s="6"/>
      <c r="BB1374" s="6">
        <f>ROUND(BA1374/1000/Update!$B$31,0)</f>
        <v>0</v>
      </c>
      <c r="BC1374" s="6"/>
      <c r="BD1374" s="29">
        <f t="shared" ref="BD1374:BD1410" si="829">ROUND(SUM(BE1374:BK1374),0)</f>
        <v>0</v>
      </c>
      <c r="BE1374" s="317"/>
      <c r="BF1374" s="317"/>
      <c r="BG1374" s="317"/>
      <c r="BH1374" s="317"/>
      <c r="BI1374" s="317"/>
      <c r="BJ1374" s="317"/>
      <c r="BK1374" s="29">
        <f t="shared" si="803"/>
        <v>0</v>
      </c>
      <c r="BL1374" s="317"/>
      <c r="BM1374" s="317"/>
      <c r="BN1374" s="317"/>
      <c r="BO1374" s="317"/>
      <c r="BP1374" s="317"/>
      <c r="BQ1374" s="317"/>
      <c r="BR1374" s="317"/>
      <c r="BS1374" s="317"/>
      <c r="BT1374" s="317"/>
      <c r="BU1374" s="317"/>
      <c r="BV1374" s="317"/>
      <c r="BW1374" s="317"/>
      <c r="BX1374" s="317"/>
      <c r="BY1374" s="317"/>
      <c r="BZ1374" s="317"/>
      <c r="CA1374" s="317"/>
      <c r="CB1374" s="317"/>
      <c r="CC1374" s="317"/>
      <c r="CD1374" s="317"/>
      <c r="CE1374" s="317"/>
      <c r="CF1374" s="317"/>
      <c r="CG1374" s="317"/>
      <c r="CH1374" s="317"/>
      <c r="CI1374" s="317"/>
      <c r="CM1374" s="1139">
        <f t="shared" si="815"/>
        <v>0</v>
      </c>
      <c r="CN1374" s="1139">
        <v>0</v>
      </c>
      <c r="CP1374" s="923">
        <f t="shared" si="814"/>
        <v>0</v>
      </c>
      <c r="CZ1374" s="330"/>
    </row>
    <row r="1375" spans="1:104" ht="15" customHeight="1" x14ac:dyDescent="0.25">
      <c r="A1375" s="701">
        <f>MAX($A$6:A1374)+1</f>
        <v>1375</v>
      </c>
      <c r="B1375" s="1291">
        <f t="shared" si="828"/>
        <v>14</v>
      </c>
      <c r="C1375" s="18" t="str">
        <f t="shared" si="793"/>
        <v>Consolidated Provisions for liabilities and charges</v>
      </c>
      <c r="D1375" s="19" t="s">
        <v>271</v>
      </c>
      <c r="E1375" s="19" t="s">
        <v>274</v>
      </c>
      <c r="F1375" s="19"/>
      <c r="G1375" s="1278"/>
      <c r="H1375" s="14">
        <f>SUM(H1372:H1374)</f>
        <v>0</v>
      </c>
      <c r="I1375" s="14"/>
      <c r="J1375" s="1258" t="s">
        <v>286</v>
      </c>
      <c r="K1375" s="256">
        <f>SUM(K1372:K1374)</f>
        <v>0</v>
      </c>
      <c r="L1375" s="256">
        <f>SUM(L1372:L1374)</f>
        <v>0</v>
      </c>
      <c r="M1375" s="21"/>
      <c r="N1375" s="14">
        <f t="shared" si="798"/>
        <v>0</v>
      </c>
      <c r="O1375" s="14">
        <f t="shared" ref="O1375:W1375" si="830">SUM(O1372:O1374)</f>
        <v>0</v>
      </c>
      <c r="P1375" s="14">
        <f t="shared" si="830"/>
        <v>0</v>
      </c>
      <c r="Q1375" s="14">
        <f t="shared" si="830"/>
        <v>0</v>
      </c>
      <c r="R1375" s="14">
        <f t="shared" si="830"/>
        <v>0</v>
      </c>
      <c r="S1375" s="14">
        <f t="shared" si="822"/>
        <v>0</v>
      </c>
      <c r="T1375" s="14">
        <f t="shared" si="830"/>
        <v>0</v>
      </c>
      <c r="U1375" s="14">
        <f t="shared" si="830"/>
        <v>0</v>
      </c>
      <c r="V1375" s="14">
        <f t="shared" si="830"/>
        <v>0</v>
      </c>
      <c r="W1375" s="14">
        <f t="shared" si="830"/>
        <v>0</v>
      </c>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2"/>
      <c r="AX1375" s="14">
        <f>SUM(AX1372:AX1374)</f>
        <v>0</v>
      </c>
      <c r="AY1375" s="14">
        <f>ROUND(AX1375/1000/Update!$B$31*Update!$B$27,0)</f>
        <v>0</v>
      </c>
      <c r="AZ1375" s="2"/>
      <c r="BA1375" s="14">
        <f>SUM(BA1372:BA1374)</f>
        <v>0</v>
      </c>
      <c r="BB1375" s="14">
        <f>ROUND(BA1375/1000/Update!$B$31,0)</f>
        <v>0</v>
      </c>
      <c r="BC1375" s="14"/>
      <c r="BD1375" s="14">
        <f t="shared" si="829"/>
        <v>0</v>
      </c>
      <c r="BE1375" s="318"/>
      <c r="BF1375" s="318"/>
      <c r="BG1375" s="318"/>
      <c r="BH1375" s="318"/>
      <c r="BI1375" s="318"/>
      <c r="BJ1375" s="318"/>
      <c r="BK1375" s="14">
        <f t="shared" si="803"/>
        <v>0</v>
      </c>
      <c r="BL1375" s="318"/>
      <c r="BM1375" s="318"/>
      <c r="BN1375" s="318"/>
      <c r="BO1375" s="318"/>
      <c r="BP1375" s="318"/>
      <c r="BQ1375" s="318"/>
      <c r="BR1375" s="318"/>
      <c r="BS1375" s="318"/>
      <c r="BT1375" s="318"/>
      <c r="BU1375" s="318"/>
      <c r="BV1375" s="318"/>
      <c r="BW1375" s="318"/>
      <c r="BX1375" s="318"/>
      <c r="BY1375" s="318"/>
      <c r="BZ1375" s="318"/>
      <c r="CA1375" s="318"/>
      <c r="CB1375" s="318"/>
      <c r="CC1375" s="318"/>
      <c r="CD1375" s="318"/>
      <c r="CE1375" s="318"/>
      <c r="CF1375" s="318"/>
      <c r="CG1375" s="318"/>
      <c r="CH1375" s="318"/>
      <c r="CI1375" s="318"/>
      <c r="CJ1375" s="2"/>
      <c r="CK1375" s="2"/>
      <c r="CM1375" s="1140">
        <f t="shared" si="815"/>
        <v>0</v>
      </c>
      <c r="CN1375" s="1140">
        <v>0</v>
      </c>
      <c r="CP1375" s="923">
        <f t="shared" si="814"/>
        <v>0</v>
      </c>
      <c r="CZ1375" s="330"/>
    </row>
    <row r="1376" spans="1:104" ht="15" customHeight="1" x14ac:dyDescent="0.25">
      <c r="A1376" s="684">
        <f>MAX($A$6:A1375)+1</f>
        <v>1376</v>
      </c>
      <c r="B1376" s="3">
        <f t="shared" si="828"/>
        <v>14</v>
      </c>
      <c r="C1376" s="11" t="str">
        <f>C1375</f>
        <v>Consolidated Provisions for liabilities and charges</v>
      </c>
      <c r="D1376" s="11" t="s">
        <v>272</v>
      </c>
      <c r="E1376" s="16" t="s">
        <v>221</v>
      </c>
      <c r="F1376" s="16"/>
      <c r="G1376" s="1254"/>
      <c r="H1376" s="6"/>
      <c r="I1376" s="6"/>
      <c r="J1376" s="1261" t="s">
        <v>286</v>
      </c>
      <c r="K1376" s="251">
        <f>SUMIF('alb Note 14 - Provisions CY'!$A:$A,$J1376,'alb Note 14 - Provisions CY'!$D:$D)</f>
        <v>0</v>
      </c>
      <c r="L1376" s="251">
        <f>SUMIF('alb Note 14 - Provisions CY'!$A:$A,$J1376,'alb Note 14 - Provisions CY'!$L:$L)</f>
        <v>0</v>
      </c>
      <c r="M1376" s="10"/>
      <c r="N1376" s="273">
        <f t="shared" si="798"/>
        <v>0</v>
      </c>
      <c r="O1376" s="12"/>
      <c r="P1376" s="12"/>
      <c r="Q1376" s="12"/>
      <c r="R1376" s="12"/>
      <c r="S1376" s="6">
        <f t="shared" si="822"/>
        <v>0</v>
      </c>
      <c r="T1376" s="273">
        <f>ROUND(SUM(U1376:Y1376),0)</f>
        <v>0</v>
      </c>
      <c r="U1376" s="6">
        <f>SUM(BL1376:BN1376)</f>
        <v>0</v>
      </c>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X1376" s="6"/>
      <c r="AY1376" s="6">
        <f>ROUND(AX1376/1000/Update!$B$31*Update!$B$27,0)</f>
        <v>0</v>
      </c>
      <c r="BA1376" s="6"/>
      <c r="BB1376" s="6">
        <f>ROUND(BA1376/1000/Update!$B$31,0)</f>
        <v>0</v>
      </c>
      <c r="BC1376" s="6"/>
      <c r="BD1376" s="29">
        <f t="shared" si="829"/>
        <v>0</v>
      </c>
      <c r="BE1376" s="322"/>
      <c r="BF1376" s="322"/>
      <c r="BG1376" s="322"/>
      <c r="BH1376" s="322"/>
      <c r="BI1376" s="322"/>
      <c r="BJ1376" s="322"/>
      <c r="BK1376" s="29">
        <f t="shared" si="803"/>
        <v>0</v>
      </c>
      <c r="BL1376" s="322"/>
      <c r="BM1376" s="322"/>
      <c r="BN1376" s="322"/>
      <c r="BO1376" s="322"/>
      <c r="BP1376" s="322"/>
      <c r="BQ1376" s="322"/>
      <c r="BR1376" s="322"/>
      <c r="BS1376" s="322"/>
      <c r="BT1376" s="322"/>
      <c r="BU1376" s="322"/>
      <c r="BV1376" s="322"/>
      <c r="BW1376" s="322"/>
      <c r="BX1376" s="322"/>
      <c r="BY1376" s="322"/>
      <c r="BZ1376" s="322"/>
      <c r="CA1376" s="322"/>
      <c r="CB1376" s="322"/>
      <c r="CC1376" s="322"/>
      <c r="CD1376" s="322"/>
      <c r="CE1376" s="322"/>
      <c r="CF1376" s="322"/>
      <c r="CG1376" s="322"/>
      <c r="CH1376" s="322"/>
      <c r="CI1376" s="322"/>
      <c r="CM1376" s="1139">
        <f t="shared" si="815"/>
        <v>0</v>
      </c>
      <c r="CN1376" s="1139">
        <v>0</v>
      </c>
      <c r="CP1376" s="923">
        <f t="shared" si="814"/>
        <v>0</v>
      </c>
      <c r="CZ1376" s="330"/>
    </row>
    <row r="1377" spans="1:104" ht="15" customHeight="1" x14ac:dyDescent="0.25">
      <c r="A1377" s="684">
        <f>MAX($A$6:A1376)+1</f>
        <v>1377</v>
      </c>
      <c r="B1377" s="3">
        <f t="shared" si="828"/>
        <v>14</v>
      </c>
      <c r="C1377" s="11" t="str">
        <f>C1376</f>
        <v>Consolidated Provisions for liabilities and charges</v>
      </c>
      <c r="D1377" s="11" t="s">
        <v>272</v>
      </c>
      <c r="E1377" s="7" t="s">
        <v>216</v>
      </c>
      <c r="F1377" s="7"/>
      <c r="G1377" s="1254" t="s">
        <v>216</v>
      </c>
      <c r="H1377" s="6">
        <v>0</v>
      </c>
      <c r="I1377" s="6">
        <v>0</v>
      </c>
      <c r="J1377" s="1257" t="s">
        <v>795</v>
      </c>
      <c r="K1377" s="251">
        <f>SUMIF('alb Note 14 - Provisions CY'!$A:$A,$J1377,'alb Note 14 - Provisions CY'!$D:$D)</f>
        <v>0</v>
      </c>
      <c r="L1377" s="251">
        <f>SUMIF('alb Note 14 - Provisions CY'!$A:$A,$J1377,'alb Note 14 - Provisions CY'!$L:$L)</f>
        <v>0</v>
      </c>
      <c r="M1377" s="10"/>
      <c r="N1377" s="273">
        <f t="shared" si="798"/>
        <v>0</v>
      </c>
      <c r="O1377" s="12"/>
      <c r="P1377" s="12"/>
      <c r="Q1377" s="12"/>
      <c r="R1377" s="12"/>
      <c r="S1377" s="6">
        <f t="shared" si="822"/>
        <v>0</v>
      </c>
      <c r="T1377" s="273">
        <f>ROUND(SUM(U1377:Y1377),0)</f>
        <v>0</v>
      </c>
      <c r="U1377" s="6">
        <f>SUM(BL1377:BN1377)</f>
        <v>0</v>
      </c>
      <c r="V1377" s="6">
        <f>-V66</f>
        <v>0</v>
      </c>
      <c r="W1377" s="6">
        <f>+H1377</f>
        <v>0</v>
      </c>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X1377" s="6"/>
      <c r="AY1377" s="6">
        <f>ROUND(AX1377/1000/Update!$B$31*Update!$B$27,0)</f>
        <v>0</v>
      </c>
      <c r="BA1377" s="6"/>
      <c r="BB1377" s="6">
        <f>ROUND(BA1377/1000/Update!$B$31,0)</f>
        <v>0</v>
      </c>
      <c r="BC1377" s="6"/>
      <c r="BD1377" s="29">
        <f t="shared" si="829"/>
        <v>0</v>
      </c>
      <c r="BE1377" s="322"/>
      <c r="BF1377" s="322"/>
      <c r="BG1377" s="322"/>
      <c r="BH1377" s="322"/>
      <c r="BI1377" s="322"/>
      <c r="BJ1377" s="322"/>
      <c r="BK1377" s="29">
        <f t="shared" si="803"/>
        <v>0</v>
      </c>
      <c r="BL1377" s="322"/>
      <c r="BM1377" s="322"/>
      <c r="BN1377" s="322"/>
      <c r="BO1377" s="322"/>
      <c r="BP1377" s="322"/>
      <c r="BQ1377" s="322"/>
      <c r="BR1377" s="322"/>
      <c r="BS1377" s="322"/>
      <c r="BT1377" s="322"/>
      <c r="BU1377" s="322"/>
      <c r="BV1377" s="322"/>
      <c r="BW1377" s="322"/>
      <c r="BX1377" s="322"/>
      <c r="BY1377" s="322"/>
      <c r="BZ1377" s="322"/>
      <c r="CA1377" s="322"/>
      <c r="CB1377" s="322"/>
      <c r="CC1377" s="322"/>
      <c r="CD1377" s="322"/>
      <c r="CE1377" s="322"/>
      <c r="CF1377" s="322"/>
      <c r="CG1377" s="322"/>
      <c r="CH1377" s="322"/>
      <c r="CI1377" s="322"/>
      <c r="CM1377" s="1139">
        <f t="shared" si="815"/>
        <v>0</v>
      </c>
      <c r="CN1377" s="1139">
        <v>0</v>
      </c>
      <c r="CP1377" s="923">
        <f t="shared" si="814"/>
        <v>0</v>
      </c>
      <c r="CZ1377" s="330"/>
    </row>
    <row r="1378" spans="1:104" ht="30" customHeight="1" x14ac:dyDescent="0.25">
      <c r="A1378" s="684">
        <f>MAX($A$6:A1377)+1</f>
        <v>1378</v>
      </c>
      <c r="B1378" s="3">
        <f t="shared" si="828"/>
        <v>14</v>
      </c>
      <c r="C1378" s="11" t="str">
        <f t="shared" si="793"/>
        <v>Consolidated Provisions for liabilities and charges</v>
      </c>
      <c r="D1378" s="11" t="s">
        <v>272</v>
      </c>
      <c r="E1378" s="7" t="s">
        <v>218</v>
      </c>
      <c r="F1378" s="7"/>
      <c r="G1378" s="1254" t="s">
        <v>218</v>
      </c>
      <c r="H1378" s="6">
        <v>0</v>
      </c>
      <c r="I1378" s="6">
        <v>0</v>
      </c>
      <c r="J1378" s="1257" t="s">
        <v>796</v>
      </c>
      <c r="K1378" s="251">
        <f>SUMIF('alb Note 14 - Provisions CY'!$A:$A,$J1378,'alb Note 14 - Provisions CY'!$D:$D)</f>
        <v>0</v>
      </c>
      <c r="L1378" s="251">
        <f>SUMIF('alb Note 14 - Provisions CY'!$A:$A,$J1378,'alb Note 14 - Provisions CY'!$L:$L)</f>
        <v>0</v>
      </c>
      <c r="M1378" s="10"/>
      <c r="N1378" s="273">
        <f t="shared" si="798"/>
        <v>0</v>
      </c>
      <c r="O1378" s="12"/>
      <c r="P1378" s="12"/>
      <c r="Q1378" s="12"/>
      <c r="R1378" s="12"/>
      <c r="S1378" s="6">
        <f t="shared" si="822"/>
        <v>0</v>
      </c>
      <c r="T1378" s="273">
        <f>ROUND(SUM(U1378:Y1378),0)</f>
        <v>0</v>
      </c>
      <c r="U1378" s="6">
        <f>SUM(BL1378:BN1378)</f>
        <v>0</v>
      </c>
      <c r="V1378" s="6">
        <f>-V1377</f>
        <v>0</v>
      </c>
      <c r="W1378" s="6">
        <f>+H1378</f>
        <v>0</v>
      </c>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X1378" s="6"/>
      <c r="AY1378" s="6">
        <f>ROUND(AX1378/1000/Update!$B$31*Update!$B$27,0)</f>
        <v>0</v>
      </c>
      <c r="BA1378" s="6"/>
      <c r="BB1378" s="6">
        <f>ROUND(BA1378/1000/Update!$B$31,0)</f>
        <v>0</v>
      </c>
      <c r="BC1378" s="6"/>
      <c r="BD1378" s="29">
        <f t="shared" si="829"/>
        <v>0</v>
      </c>
      <c r="BE1378" s="322"/>
      <c r="BF1378" s="322"/>
      <c r="BG1378" s="322"/>
      <c r="BH1378" s="322"/>
      <c r="BI1378" s="322"/>
      <c r="BJ1378" s="322"/>
      <c r="BK1378" s="29">
        <f t="shared" si="803"/>
        <v>0</v>
      </c>
      <c r="BL1378" s="322"/>
      <c r="BM1378" s="322"/>
      <c r="BN1378" s="322"/>
      <c r="BO1378" s="322"/>
      <c r="BP1378" s="322"/>
      <c r="BQ1378" s="322"/>
      <c r="BR1378" s="322"/>
      <c r="BS1378" s="322"/>
      <c r="BT1378" s="322"/>
      <c r="BU1378" s="322"/>
      <c r="BV1378" s="322"/>
      <c r="BW1378" s="322"/>
      <c r="BX1378" s="322"/>
      <c r="BY1378" s="322"/>
      <c r="BZ1378" s="322"/>
      <c r="CA1378" s="322"/>
      <c r="CB1378" s="322"/>
      <c r="CC1378" s="322"/>
      <c r="CD1378" s="322"/>
      <c r="CE1378" s="322"/>
      <c r="CF1378" s="322"/>
      <c r="CG1378" s="322"/>
      <c r="CH1378" s="322"/>
      <c r="CI1378" s="322"/>
      <c r="CM1378" s="1139">
        <f t="shared" si="815"/>
        <v>0</v>
      </c>
      <c r="CN1378" s="1139">
        <v>0</v>
      </c>
      <c r="CP1378" s="923">
        <f t="shared" si="814"/>
        <v>0</v>
      </c>
      <c r="CZ1378" s="330"/>
    </row>
    <row r="1379" spans="1:104" ht="15" customHeight="1" x14ac:dyDescent="0.25">
      <c r="A1379" s="684">
        <f>MAX($A$6:A1378)+1</f>
        <v>1379</v>
      </c>
      <c r="B1379" s="3">
        <f t="shared" si="828"/>
        <v>14</v>
      </c>
      <c r="C1379" s="11" t="str">
        <f t="shared" si="793"/>
        <v>Consolidated Provisions for liabilities and charges</v>
      </c>
      <c r="D1379" s="11" t="s">
        <v>272</v>
      </c>
      <c r="E1379" s="7" t="s">
        <v>217</v>
      </c>
      <c r="F1379" s="7"/>
      <c r="G1379" s="1254" t="s">
        <v>217</v>
      </c>
      <c r="H1379" s="6">
        <v>0</v>
      </c>
      <c r="I1379" s="6">
        <v>0</v>
      </c>
      <c r="J1379" s="1257" t="s">
        <v>797</v>
      </c>
      <c r="K1379" s="251">
        <f>SUMIF('alb Note 14 - Provisions CY'!$A:$A,$J1379,'alb Note 14 - Provisions CY'!$D:$D)</f>
        <v>0</v>
      </c>
      <c r="L1379" s="251">
        <f>SUMIF('alb Note 14 - Provisions CY'!$A:$A,$J1379,'alb Note 14 - Provisions CY'!$L:$L)</f>
        <v>0</v>
      </c>
      <c r="M1379" s="10"/>
      <c r="N1379" s="273">
        <f t="shared" si="798"/>
        <v>0</v>
      </c>
      <c r="O1379" s="12"/>
      <c r="P1379" s="12"/>
      <c r="Q1379" s="12"/>
      <c r="R1379" s="12"/>
      <c r="S1379" s="6">
        <f t="shared" si="822"/>
        <v>0</v>
      </c>
      <c r="T1379" s="273">
        <f>ROUND(SUM(U1379:Y1379),0)</f>
        <v>0</v>
      </c>
      <c r="U1379" s="6">
        <f>SUM(BL1379:BN1379)</f>
        <v>0</v>
      </c>
      <c r="V1379" s="6"/>
      <c r="W1379" s="6">
        <f>+H1379</f>
        <v>0</v>
      </c>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X1379" s="6"/>
      <c r="AY1379" s="6">
        <f>ROUND(AX1379/1000/Update!$B$31*Update!$B$27,0)</f>
        <v>0</v>
      </c>
      <c r="BA1379" s="6"/>
      <c r="BB1379" s="6">
        <f>ROUND(BA1379/1000/Update!$B$31,0)</f>
        <v>0</v>
      </c>
      <c r="BC1379" s="6"/>
      <c r="BD1379" s="29">
        <f t="shared" si="829"/>
        <v>0</v>
      </c>
      <c r="BE1379" s="322"/>
      <c r="BF1379" s="322"/>
      <c r="BG1379" s="322"/>
      <c r="BH1379" s="322"/>
      <c r="BI1379" s="322"/>
      <c r="BJ1379" s="322"/>
      <c r="BK1379" s="29">
        <f t="shared" si="803"/>
        <v>0</v>
      </c>
      <c r="BL1379" s="322"/>
      <c r="BM1379" s="322"/>
      <c r="BN1379" s="322"/>
      <c r="BO1379" s="322"/>
      <c r="BP1379" s="322"/>
      <c r="BQ1379" s="322"/>
      <c r="BR1379" s="322"/>
      <c r="BS1379" s="322"/>
      <c r="BT1379" s="322"/>
      <c r="BU1379" s="322"/>
      <c r="BV1379" s="322"/>
      <c r="BW1379" s="322"/>
      <c r="BX1379" s="322"/>
      <c r="BY1379" s="322"/>
      <c r="BZ1379" s="322"/>
      <c r="CA1379" s="322"/>
      <c r="CB1379" s="322"/>
      <c r="CC1379" s="322"/>
      <c r="CD1379" s="322"/>
      <c r="CE1379" s="322"/>
      <c r="CF1379" s="322"/>
      <c r="CG1379" s="322"/>
      <c r="CH1379" s="322"/>
      <c r="CI1379" s="322"/>
      <c r="CM1379" s="1139">
        <f t="shared" si="815"/>
        <v>0</v>
      </c>
      <c r="CN1379" s="1139">
        <v>0</v>
      </c>
      <c r="CP1379" s="923">
        <f t="shared" si="814"/>
        <v>0</v>
      </c>
      <c r="CZ1379" s="330"/>
    </row>
    <row r="1380" spans="1:104" ht="15" customHeight="1" x14ac:dyDescent="0.25">
      <c r="A1380" s="701">
        <f>MAX($A$6:A1379)+1</f>
        <v>1380</v>
      </c>
      <c r="B1380" s="1291">
        <f t="shared" si="828"/>
        <v>14</v>
      </c>
      <c r="C1380" s="18" t="str">
        <f t="shared" si="793"/>
        <v>Consolidated Provisions for liabilities and charges</v>
      </c>
      <c r="D1380" s="19" t="s">
        <v>272</v>
      </c>
      <c r="E1380" s="19" t="s">
        <v>274</v>
      </c>
      <c r="F1380" s="19"/>
      <c r="G1380" s="1278"/>
      <c r="H1380" s="14">
        <f>SUM(H1377:H1379)</f>
        <v>0</v>
      </c>
      <c r="I1380" s="14">
        <f>SUM(I1377:I1379)</f>
        <v>0</v>
      </c>
      <c r="J1380" s="1258" t="s">
        <v>286</v>
      </c>
      <c r="K1380" s="256">
        <f>SUM(K1377:K1379)</f>
        <v>0</v>
      </c>
      <c r="L1380" s="256">
        <f>SUM(L1377:L1379)</f>
        <v>0</v>
      </c>
      <c r="M1380" s="21"/>
      <c r="N1380" s="14">
        <f t="shared" si="798"/>
        <v>0</v>
      </c>
      <c r="O1380" s="14">
        <f t="shared" ref="O1380:W1380" si="831">SUM(O1377:O1379)</f>
        <v>0</v>
      </c>
      <c r="P1380" s="14">
        <f t="shared" si="831"/>
        <v>0</v>
      </c>
      <c r="Q1380" s="14">
        <f t="shared" si="831"/>
        <v>0</v>
      </c>
      <c r="R1380" s="14">
        <f t="shared" si="831"/>
        <v>0</v>
      </c>
      <c r="S1380" s="14">
        <f t="shared" si="822"/>
        <v>0</v>
      </c>
      <c r="T1380" s="14">
        <f t="shared" si="831"/>
        <v>0</v>
      </c>
      <c r="U1380" s="14">
        <f t="shared" si="831"/>
        <v>0</v>
      </c>
      <c r="V1380" s="14">
        <f t="shared" si="831"/>
        <v>0</v>
      </c>
      <c r="W1380" s="14">
        <f t="shared" si="831"/>
        <v>0</v>
      </c>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2"/>
      <c r="AX1380" s="14">
        <f>SUM(AX1377:AX1379)</f>
        <v>0</v>
      </c>
      <c r="AY1380" s="14">
        <f>ROUND(AX1380/1000/Update!$B$31*Update!$B$27,0)</f>
        <v>0</v>
      </c>
      <c r="AZ1380" s="2"/>
      <c r="BA1380" s="14">
        <f>SUM(BA1377:BA1379)</f>
        <v>0</v>
      </c>
      <c r="BB1380" s="14">
        <f>ROUND(BA1380/1000/Update!$B$31,0)</f>
        <v>0</v>
      </c>
      <c r="BC1380" s="14"/>
      <c r="BD1380" s="14">
        <f t="shared" si="829"/>
        <v>0</v>
      </c>
      <c r="BE1380" s="318">
        <f t="shared" ref="BE1380:BJ1380" si="832">SUM(BE1377:BE1379)</f>
        <v>0</v>
      </c>
      <c r="BF1380" s="318">
        <f t="shared" si="832"/>
        <v>0</v>
      </c>
      <c r="BG1380" s="318">
        <f t="shared" si="832"/>
        <v>0</v>
      </c>
      <c r="BH1380" s="318">
        <f t="shared" si="832"/>
        <v>0</v>
      </c>
      <c r="BI1380" s="318">
        <f t="shared" si="832"/>
        <v>0</v>
      </c>
      <c r="BJ1380" s="318">
        <f t="shared" si="832"/>
        <v>0</v>
      </c>
      <c r="BK1380" s="14">
        <f t="shared" si="803"/>
        <v>0</v>
      </c>
      <c r="BL1380" s="318"/>
      <c r="BM1380" s="318"/>
      <c r="BN1380" s="318"/>
      <c r="BO1380" s="318"/>
      <c r="BP1380" s="318"/>
      <c r="BQ1380" s="318"/>
      <c r="BR1380" s="318"/>
      <c r="BS1380" s="318"/>
      <c r="BT1380" s="318"/>
      <c r="BU1380" s="318"/>
      <c r="BV1380" s="318"/>
      <c r="BW1380" s="318"/>
      <c r="BX1380" s="318"/>
      <c r="BY1380" s="318"/>
      <c r="BZ1380" s="318"/>
      <c r="CA1380" s="318"/>
      <c r="CB1380" s="318"/>
      <c r="CC1380" s="318"/>
      <c r="CD1380" s="318"/>
      <c r="CE1380" s="318"/>
      <c r="CF1380" s="318"/>
      <c r="CG1380" s="318"/>
      <c r="CH1380" s="318"/>
      <c r="CI1380" s="318"/>
      <c r="CJ1380" s="2"/>
      <c r="CK1380" s="2"/>
      <c r="CM1380" s="1140">
        <f t="shared" si="815"/>
        <v>0</v>
      </c>
      <c r="CN1380" s="1140">
        <v>0</v>
      </c>
      <c r="CP1380" s="923">
        <f t="shared" si="814"/>
        <v>0</v>
      </c>
      <c r="CZ1380" s="330"/>
    </row>
    <row r="1381" spans="1:104" ht="15" customHeight="1" x14ac:dyDescent="0.25">
      <c r="A1381" s="684">
        <f>MAX($A$6:A1380)+1</f>
        <v>1381</v>
      </c>
      <c r="B1381" s="3">
        <f t="shared" si="828"/>
        <v>14</v>
      </c>
      <c r="C1381" s="11" t="str">
        <f t="shared" si="793"/>
        <v>Consolidated Provisions for liabilities and charges</v>
      </c>
      <c r="D1381" s="11" t="s">
        <v>2830</v>
      </c>
      <c r="E1381" s="16" t="s">
        <v>221</v>
      </c>
      <c r="F1381" s="16"/>
      <c r="G1381" s="1254"/>
      <c r="H1381" s="6"/>
      <c r="I1381" s="1190"/>
      <c r="J1381" s="1261" t="s">
        <v>286</v>
      </c>
      <c r="K1381" s="251">
        <f>SUMIF('alb Note 14 - Provisions CY'!$A:$A,$J1381,'alb Note 14 - Provisions CY'!$F:$F)</f>
        <v>0</v>
      </c>
      <c r="L1381" s="266"/>
      <c r="M1381" s="10"/>
      <c r="N1381" s="273">
        <f t="shared" si="798"/>
        <v>0</v>
      </c>
      <c r="O1381" s="12"/>
      <c r="P1381" s="12"/>
      <c r="Q1381" s="12"/>
      <c r="R1381" s="12"/>
      <c r="S1381" s="6">
        <f t="shared" si="822"/>
        <v>0</v>
      </c>
      <c r="T1381" s="273">
        <f>ROUND(SUM(U1381:Y1381),0)</f>
        <v>0</v>
      </c>
      <c r="U1381" s="6">
        <f>SUM(BL1381:BN1381)</f>
        <v>0</v>
      </c>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X1381" s="6"/>
      <c r="AY1381" s="6">
        <f>ROUND(AX1381/1000/Update!$B$31*Update!$B$27,0)</f>
        <v>0</v>
      </c>
      <c r="BA1381" s="6"/>
      <c r="BB1381" s="6">
        <f>ROUND(BA1381/1000/Update!$B$31,0)</f>
        <v>0</v>
      </c>
      <c r="BC1381" s="6"/>
      <c r="BD1381" s="29">
        <f t="shared" si="829"/>
        <v>0</v>
      </c>
      <c r="BE1381" s="322"/>
      <c r="BF1381" s="322"/>
      <c r="BG1381" s="322"/>
      <c r="BH1381" s="322"/>
      <c r="BI1381" s="322"/>
      <c r="BJ1381" s="322"/>
      <c r="BK1381" s="29">
        <f t="shared" si="803"/>
        <v>0</v>
      </c>
      <c r="BL1381" s="322"/>
      <c r="BM1381" s="322"/>
      <c r="BN1381" s="322"/>
      <c r="BO1381" s="322"/>
      <c r="BP1381" s="322"/>
      <c r="BQ1381" s="322"/>
      <c r="BR1381" s="322"/>
      <c r="BS1381" s="322"/>
      <c r="BT1381" s="322"/>
      <c r="BU1381" s="322"/>
      <c r="BV1381" s="322"/>
      <c r="BW1381" s="322"/>
      <c r="BX1381" s="322"/>
      <c r="BY1381" s="322"/>
      <c r="BZ1381" s="322"/>
      <c r="CA1381" s="322"/>
      <c r="CB1381" s="322"/>
      <c r="CC1381" s="322"/>
      <c r="CD1381" s="322"/>
      <c r="CE1381" s="322"/>
      <c r="CF1381" s="322"/>
      <c r="CG1381" s="322"/>
      <c r="CH1381" s="322"/>
      <c r="CI1381" s="322"/>
      <c r="CM1381" s="1139">
        <f t="shared" si="815"/>
        <v>0</v>
      </c>
      <c r="CN1381" s="1139">
        <v>0</v>
      </c>
      <c r="CP1381" s="923">
        <f t="shared" si="814"/>
        <v>0</v>
      </c>
      <c r="CZ1381" s="330"/>
    </row>
    <row r="1382" spans="1:104" ht="15" customHeight="1" x14ac:dyDescent="0.25">
      <c r="A1382" s="684">
        <f>MAX($A$6:A1381)+1</f>
        <v>1382</v>
      </c>
      <c r="B1382" s="3">
        <f t="shared" si="828"/>
        <v>14</v>
      </c>
      <c r="C1382" s="11" t="str">
        <f t="shared" si="793"/>
        <v>Consolidated Provisions for liabilities and charges</v>
      </c>
      <c r="D1382" s="11" t="s">
        <v>2830</v>
      </c>
      <c r="E1382" s="7" t="s">
        <v>216</v>
      </c>
      <c r="F1382" s="7"/>
      <c r="G1382" s="1254" t="s">
        <v>216</v>
      </c>
      <c r="H1382" s="6">
        <v>0</v>
      </c>
      <c r="I1382" s="1190"/>
      <c r="J1382" s="1257" t="s">
        <v>795</v>
      </c>
      <c r="K1382" s="251">
        <f>SUMIF('alb Note 14 - Provisions CY'!$A:$A,$J1382,'alb Note 14 - Provisions CY'!$F:$F)</f>
        <v>0</v>
      </c>
      <c r="L1382" s="266"/>
      <c r="M1382" s="10"/>
      <c r="N1382" s="273">
        <f t="shared" si="798"/>
        <v>0</v>
      </c>
      <c r="O1382" s="12"/>
      <c r="P1382" s="12"/>
      <c r="Q1382" s="12"/>
      <c r="R1382" s="12"/>
      <c r="S1382" s="6">
        <f t="shared" si="822"/>
        <v>0</v>
      </c>
      <c r="T1382" s="273">
        <f>ROUND(SUM(U1382:Y1382),0)</f>
        <v>0</v>
      </c>
      <c r="U1382" s="6">
        <f>SUM(BL1382:BN1382)</f>
        <v>0</v>
      </c>
      <c r="V1382" s="6"/>
      <c r="W1382" s="6">
        <f>+H1382</f>
        <v>0</v>
      </c>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X1382" s="6"/>
      <c r="AY1382" s="6">
        <f>ROUND(AX1382/1000/Update!$B$31*Update!$B$27,0)</f>
        <v>0</v>
      </c>
      <c r="BA1382" s="6"/>
      <c r="BB1382" s="6">
        <f>ROUND(BA1382/1000/Update!$B$31,0)</f>
        <v>0</v>
      </c>
      <c r="BC1382" s="6"/>
      <c r="BD1382" s="29">
        <f t="shared" si="829"/>
        <v>0</v>
      </c>
      <c r="BE1382" s="322"/>
      <c r="BF1382" s="322"/>
      <c r="BG1382" s="322"/>
      <c r="BH1382" s="322"/>
      <c r="BI1382" s="322"/>
      <c r="BJ1382" s="322"/>
      <c r="BK1382" s="29">
        <f t="shared" si="803"/>
        <v>0</v>
      </c>
      <c r="BL1382" s="322"/>
      <c r="BM1382" s="322"/>
      <c r="BN1382" s="322"/>
      <c r="BO1382" s="322"/>
      <c r="BP1382" s="322"/>
      <c r="BQ1382" s="322"/>
      <c r="BR1382" s="322"/>
      <c r="BS1382" s="322"/>
      <c r="BT1382" s="322"/>
      <c r="BU1382" s="322"/>
      <c r="BV1382" s="322"/>
      <c r="BW1382" s="322"/>
      <c r="BX1382" s="322"/>
      <c r="BY1382" s="322"/>
      <c r="BZ1382" s="322"/>
      <c r="CA1382" s="322"/>
      <c r="CB1382" s="322"/>
      <c r="CC1382" s="322"/>
      <c r="CD1382" s="322"/>
      <c r="CE1382" s="322"/>
      <c r="CF1382" s="322"/>
      <c r="CG1382" s="322"/>
      <c r="CH1382" s="322"/>
      <c r="CI1382" s="322"/>
      <c r="CM1382" s="1139">
        <f t="shared" si="815"/>
        <v>0</v>
      </c>
      <c r="CN1382" s="1139">
        <v>0</v>
      </c>
      <c r="CP1382" s="923">
        <f t="shared" si="814"/>
        <v>0</v>
      </c>
      <c r="CZ1382" s="330"/>
    </row>
    <row r="1383" spans="1:104" ht="30" customHeight="1" x14ac:dyDescent="0.25">
      <c r="A1383" s="684">
        <f>MAX($A$6:A1382)+1</f>
        <v>1383</v>
      </c>
      <c r="B1383" s="3">
        <f t="shared" si="828"/>
        <v>14</v>
      </c>
      <c r="C1383" s="11" t="str">
        <f t="shared" si="793"/>
        <v>Consolidated Provisions for liabilities and charges</v>
      </c>
      <c r="D1383" s="11" t="s">
        <v>2830</v>
      </c>
      <c r="E1383" s="7" t="s">
        <v>218</v>
      </c>
      <c r="F1383" s="7"/>
      <c r="G1383" s="1254" t="s">
        <v>218</v>
      </c>
      <c r="H1383" s="6">
        <v>0</v>
      </c>
      <c r="I1383" s="1190"/>
      <c r="J1383" s="1257" t="s">
        <v>796</v>
      </c>
      <c r="K1383" s="251">
        <f>SUMIF('alb Note 14 - Provisions CY'!$A:$A,$J1383,'alb Note 14 - Provisions CY'!$F:$F)</f>
        <v>0</v>
      </c>
      <c r="L1383" s="266"/>
      <c r="M1383" s="10"/>
      <c r="N1383" s="273">
        <f t="shared" si="798"/>
        <v>0</v>
      </c>
      <c r="O1383" s="12"/>
      <c r="P1383" s="12"/>
      <c r="Q1383" s="12"/>
      <c r="R1383" s="12"/>
      <c r="S1383" s="6">
        <f t="shared" si="822"/>
        <v>0</v>
      </c>
      <c r="T1383" s="273">
        <f>ROUND(SUM(U1383:Y1383),0)</f>
        <v>0</v>
      </c>
      <c r="U1383" s="6">
        <f>SUM(BL1383:BN1383)</f>
        <v>0</v>
      </c>
      <c r="V1383" s="6"/>
      <c r="W1383" s="6">
        <f>+H1383</f>
        <v>0</v>
      </c>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X1383" s="6"/>
      <c r="AY1383" s="6">
        <f>ROUND(AX1383/1000/Update!$B$31*Update!$B$27,0)</f>
        <v>0</v>
      </c>
      <c r="BA1383" s="6"/>
      <c r="BB1383" s="6">
        <f>ROUND(BA1383/1000/Update!$B$31,0)</f>
        <v>0</v>
      </c>
      <c r="BC1383" s="6"/>
      <c r="BD1383" s="29">
        <f t="shared" si="829"/>
        <v>0</v>
      </c>
      <c r="BE1383" s="322"/>
      <c r="BF1383" s="322"/>
      <c r="BG1383" s="322"/>
      <c r="BH1383" s="322"/>
      <c r="BI1383" s="322"/>
      <c r="BJ1383" s="322"/>
      <c r="BK1383" s="29">
        <f t="shared" si="803"/>
        <v>0</v>
      </c>
      <c r="BL1383" s="322"/>
      <c r="BM1383" s="322"/>
      <c r="BN1383" s="322"/>
      <c r="BO1383" s="322"/>
      <c r="BP1383" s="322"/>
      <c r="BQ1383" s="322"/>
      <c r="BR1383" s="322"/>
      <c r="BS1383" s="322"/>
      <c r="BT1383" s="322"/>
      <c r="BU1383" s="322"/>
      <c r="BV1383" s="322"/>
      <c r="BW1383" s="322"/>
      <c r="BX1383" s="322"/>
      <c r="BY1383" s="322"/>
      <c r="BZ1383" s="322"/>
      <c r="CA1383" s="322"/>
      <c r="CB1383" s="322"/>
      <c r="CC1383" s="322"/>
      <c r="CD1383" s="322"/>
      <c r="CE1383" s="322"/>
      <c r="CF1383" s="322"/>
      <c r="CG1383" s="322"/>
      <c r="CH1383" s="322"/>
      <c r="CI1383" s="322"/>
      <c r="CM1383" s="1139">
        <f t="shared" si="815"/>
        <v>0</v>
      </c>
      <c r="CN1383" s="1139">
        <v>0</v>
      </c>
      <c r="CP1383" s="923">
        <f t="shared" si="814"/>
        <v>0</v>
      </c>
      <c r="CZ1383" s="330"/>
    </row>
    <row r="1384" spans="1:104" ht="15" customHeight="1" x14ac:dyDescent="0.25">
      <c r="A1384" s="684">
        <f>MAX($A$6:A1383)+1</f>
        <v>1384</v>
      </c>
      <c r="B1384" s="3">
        <f t="shared" si="828"/>
        <v>14</v>
      </c>
      <c r="C1384" s="11" t="str">
        <f t="shared" si="793"/>
        <v>Consolidated Provisions for liabilities and charges</v>
      </c>
      <c r="D1384" s="11" t="s">
        <v>2830</v>
      </c>
      <c r="E1384" s="7" t="s">
        <v>217</v>
      </c>
      <c r="F1384" s="7"/>
      <c r="G1384" s="1254" t="s">
        <v>217</v>
      </c>
      <c r="H1384" s="6">
        <v>0</v>
      </c>
      <c r="I1384" s="1190"/>
      <c r="J1384" s="1257" t="s">
        <v>797</v>
      </c>
      <c r="K1384" s="251">
        <f>SUMIF('alb Note 14 - Provisions CY'!$A:$A,$J1384,'alb Note 14 - Provisions CY'!$F:$F)</f>
        <v>0</v>
      </c>
      <c r="L1384" s="266"/>
      <c r="M1384" s="10"/>
      <c r="N1384" s="273">
        <f t="shared" si="798"/>
        <v>0</v>
      </c>
      <c r="O1384" s="12"/>
      <c r="P1384" s="12"/>
      <c r="Q1384" s="12"/>
      <c r="R1384" s="12"/>
      <c r="S1384" s="6">
        <f t="shared" si="822"/>
        <v>0</v>
      </c>
      <c r="T1384" s="273">
        <f>ROUND(SUM(U1384:Y1384),0)</f>
        <v>0</v>
      </c>
      <c r="U1384" s="6">
        <f>SUM(BL1384:BN1384)</f>
        <v>0</v>
      </c>
      <c r="V1384" s="6"/>
      <c r="W1384" s="6">
        <f>+H1384</f>
        <v>0</v>
      </c>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X1384" s="6"/>
      <c r="AY1384" s="6">
        <f>ROUND(AX1384/1000/Update!$B$31*Update!$B$27,0)</f>
        <v>0</v>
      </c>
      <c r="BA1384" s="6"/>
      <c r="BB1384" s="6">
        <f>ROUND(BA1384/1000/Update!$B$31,0)</f>
        <v>0</v>
      </c>
      <c r="BC1384" s="6"/>
      <c r="BD1384" s="29">
        <f t="shared" si="829"/>
        <v>0</v>
      </c>
      <c r="BE1384" s="322"/>
      <c r="BF1384" s="322"/>
      <c r="BG1384" s="322"/>
      <c r="BH1384" s="322"/>
      <c r="BI1384" s="322"/>
      <c r="BJ1384" s="322"/>
      <c r="BK1384" s="29">
        <f t="shared" si="803"/>
        <v>0</v>
      </c>
      <c r="BL1384" s="322"/>
      <c r="BM1384" s="322"/>
      <c r="BN1384" s="322"/>
      <c r="BO1384" s="322"/>
      <c r="BP1384" s="322"/>
      <c r="BQ1384" s="322"/>
      <c r="BR1384" s="322"/>
      <c r="BS1384" s="322"/>
      <c r="BT1384" s="322"/>
      <c r="BU1384" s="322"/>
      <c r="BV1384" s="322"/>
      <c r="BW1384" s="322"/>
      <c r="BX1384" s="322"/>
      <c r="BY1384" s="322"/>
      <c r="BZ1384" s="322"/>
      <c r="CA1384" s="322"/>
      <c r="CB1384" s="322"/>
      <c r="CC1384" s="322"/>
      <c r="CD1384" s="322"/>
      <c r="CE1384" s="322"/>
      <c r="CF1384" s="322"/>
      <c r="CG1384" s="322"/>
      <c r="CH1384" s="322"/>
      <c r="CI1384" s="322"/>
      <c r="CM1384" s="1139">
        <f t="shared" si="815"/>
        <v>0</v>
      </c>
      <c r="CN1384" s="1139">
        <v>0</v>
      </c>
      <c r="CP1384" s="923">
        <f t="shared" si="814"/>
        <v>0</v>
      </c>
      <c r="CZ1384" s="330"/>
    </row>
    <row r="1385" spans="1:104" ht="15" customHeight="1" x14ac:dyDescent="0.25">
      <c r="A1385" s="701">
        <f>MAX($A$6:A1384)+1</f>
        <v>1385</v>
      </c>
      <c r="B1385" s="1291">
        <f t="shared" si="828"/>
        <v>14</v>
      </c>
      <c r="C1385" s="18" t="str">
        <f t="shared" si="793"/>
        <v>Consolidated Provisions for liabilities and charges</v>
      </c>
      <c r="D1385" s="19" t="s">
        <v>2830</v>
      </c>
      <c r="E1385" s="19" t="s">
        <v>274</v>
      </c>
      <c r="F1385" s="19"/>
      <c r="G1385" s="1278"/>
      <c r="H1385" s="14">
        <f>SUM(H1382:H1384)</f>
        <v>0</v>
      </c>
      <c r="I1385" s="14"/>
      <c r="J1385" s="1258" t="s">
        <v>286</v>
      </c>
      <c r="K1385" s="256">
        <f>SUM(K1382:K1384)</f>
        <v>0</v>
      </c>
      <c r="L1385" s="256">
        <f>SUM(L1382:L1384)</f>
        <v>0</v>
      </c>
      <c r="M1385" s="21"/>
      <c r="N1385" s="14">
        <f t="shared" si="798"/>
        <v>0</v>
      </c>
      <c r="O1385" s="14">
        <f t="shared" ref="O1385:W1385" si="833">SUM(O1382:O1384)</f>
        <v>0</v>
      </c>
      <c r="P1385" s="14">
        <f t="shared" si="833"/>
        <v>0</v>
      </c>
      <c r="Q1385" s="14">
        <f t="shared" si="833"/>
        <v>0</v>
      </c>
      <c r="R1385" s="14">
        <f t="shared" si="833"/>
        <v>0</v>
      </c>
      <c r="S1385" s="14">
        <f t="shared" si="822"/>
        <v>0</v>
      </c>
      <c r="T1385" s="14">
        <f t="shared" si="833"/>
        <v>0</v>
      </c>
      <c r="U1385" s="14">
        <f t="shared" si="833"/>
        <v>0</v>
      </c>
      <c r="V1385" s="14">
        <f t="shared" si="833"/>
        <v>0</v>
      </c>
      <c r="W1385" s="14">
        <f t="shared" si="833"/>
        <v>0</v>
      </c>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c r="AS1385" s="14"/>
      <c r="AT1385" s="14"/>
      <c r="AU1385" s="14"/>
      <c r="AV1385" s="14"/>
      <c r="AW1385" s="2"/>
      <c r="AX1385" s="14">
        <f>SUM(AX1382:AX1384)</f>
        <v>0</v>
      </c>
      <c r="AY1385" s="14">
        <f>ROUND(AX1385/1000/Update!$B$31*Update!$B$27,0)</f>
        <v>0</v>
      </c>
      <c r="AZ1385" s="2"/>
      <c r="BA1385" s="14">
        <f>SUM(BA1382:BA1384)</f>
        <v>0</v>
      </c>
      <c r="BB1385" s="14">
        <f>ROUND(BA1385/1000/Update!$B$31,0)</f>
        <v>0</v>
      </c>
      <c r="BC1385" s="14"/>
      <c r="BD1385" s="14">
        <f t="shared" si="829"/>
        <v>0</v>
      </c>
      <c r="BE1385" s="318">
        <f t="shared" ref="BE1385:BJ1385" si="834">SUM(BE1382:BE1384)</f>
        <v>0</v>
      </c>
      <c r="BF1385" s="318">
        <f t="shared" si="834"/>
        <v>0</v>
      </c>
      <c r="BG1385" s="318">
        <f t="shared" si="834"/>
        <v>0</v>
      </c>
      <c r="BH1385" s="318">
        <f t="shared" si="834"/>
        <v>0</v>
      </c>
      <c r="BI1385" s="318">
        <f t="shared" si="834"/>
        <v>0</v>
      </c>
      <c r="BJ1385" s="318">
        <f t="shared" si="834"/>
        <v>0</v>
      </c>
      <c r="BK1385" s="14">
        <f t="shared" si="803"/>
        <v>0</v>
      </c>
      <c r="BL1385" s="318"/>
      <c r="BM1385" s="318"/>
      <c r="BN1385" s="318"/>
      <c r="BO1385" s="318"/>
      <c r="BP1385" s="318"/>
      <c r="BQ1385" s="318"/>
      <c r="BR1385" s="318"/>
      <c r="BS1385" s="318"/>
      <c r="BT1385" s="318"/>
      <c r="BU1385" s="318"/>
      <c r="BV1385" s="318"/>
      <c r="BW1385" s="318"/>
      <c r="BX1385" s="318"/>
      <c r="BY1385" s="318"/>
      <c r="BZ1385" s="318"/>
      <c r="CA1385" s="318"/>
      <c r="CB1385" s="318"/>
      <c r="CC1385" s="318"/>
      <c r="CD1385" s="318"/>
      <c r="CE1385" s="318"/>
      <c r="CF1385" s="318"/>
      <c r="CG1385" s="318"/>
      <c r="CH1385" s="318"/>
      <c r="CI1385" s="318"/>
      <c r="CJ1385" s="2"/>
      <c r="CK1385" s="2"/>
      <c r="CM1385" s="1140">
        <f t="shared" si="815"/>
        <v>0</v>
      </c>
      <c r="CN1385" s="1140">
        <v>0</v>
      </c>
      <c r="CP1385" s="923">
        <f t="shared" si="814"/>
        <v>0</v>
      </c>
      <c r="CZ1385" s="330"/>
    </row>
    <row r="1386" spans="1:104" ht="15" customHeight="1" x14ac:dyDescent="0.25">
      <c r="A1386" s="684">
        <f>MAX($A$6:A1385)+1</f>
        <v>1386</v>
      </c>
      <c r="B1386" s="3">
        <f t="shared" si="828"/>
        <v>14</v>
      </c>
      <c r="C1386" s="11" t="str">
        <f>C1380</f>
        <v>Consolidated Provisions for liabilities and charges</v>
      </c>
      <c r="D1386" s="11" t="s">
        <v>273</v>
      </c>
      <c r="E1386" s="16" t="s">
        <v>221</v>
      </c>
      <c r="F1386" s="16"/>
      <c r="G1386" s="1254"/>
      <c r="H1386" s="6"/>
      <c r="I1386" s="1190"/>
      <c r="J1386" s="1261" t="s">
        <v>286</v>
      </c>
      <c r="K1386" s="266"/>
      <c r="L1386" s="266"/>
      <c r="M1386" s="10"/>
      <c r="N1386" s="273">
        <f t="shared" si="798"/>
        <v>0</v>
      </c>
      <c r="O1386" s="12"/>
      <c r="P1386" s="12"/>
      <c r="Q1386" s="12"/>
      <c r="R1386" s="12"/>
      <c r="S1386" s="6">
        <f t="shared" si="822"/>
        <v>0</v>
      </c>
      <c r="T1386" s="273">
        <f>ROUND(SUM(U1386:Y1386),0)</f>
        <v>0</v>
      </c>
      <c r="U1386" s="6">
        <f>SUM(BL1386:BN1386)</f>
        <v>0</v>
      </c>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X1386" s="6"/>
      <c r="AY1386" s="6">
        <f>ROUND(AX1386/1000/Update!$B$31*Update!$B$27,0)</f>
        <v>0</v>
      </c>
      <c r="BA1386" s="6"/>
      <c r="BB1386" s="6">
        <f>ROUND(BA1386/1000/Update!$B$31,0)</f>
        <v>0</v>
      </c>
      <c r="BC1386" s="6"/>
      <c r="BD1386" s="29">
        <f t="shared" si="829"/>
        <v>0</v>
      </c>
      <c r="BE1386" s="322"/>
      <c r="BF1386" s="322"/>
      <c r="BG1386" s="322"/>
      <c r="BH1386" s="322"/>
      <c r="BI1386" s="322"/>
      <c r="BJ1386" s="322"/>
      <c r="BK1386" s="29">
        <f t="shared" si="803"/>
        <v>0</v>
      </c>
      <c r="BL1386" s="322"/>
      <c r="BM1386" s="322"/>
      <c r="BN1386" s="322"/>
      <c r="BO1386" s="322"/>
      <c r="BP1386" s="322"/>
      <c r="BQ1386" s="322"/>
      <c r="BR1386" s="322"/>
      <c r="BS1386" s="322"/>
      <c r="BT1386" s="322"/>
      <c r="BU1386" s="322"/>
      <c r="BV1386" s="322"/>
      <c r="BW1386" s="322"/>
      <c r="BX1386" s="322"/>
      <c r="BY1386" s="322"/>
      <c r="BZ1386" s="322"/>
      <c r="CA1386" s="322"/>
      <c r="CB1386" s="322"/>
      <c r="CC1386" s="322"/>
      <c r="CD1386" s="322"/>
      <c r="CE1386" s="322"/>
      <c r="CF1386" s="322"/>
      <c r="CG1386" s="322"/>
      <c r="CH1386" s="322"/>
      <c r="CI1386" s="322"/>
      <c r="CM1386" s="1139">
        <f t="shared" si="815"/>
        <v>0</v>
      </c>
      <c r="CN1386" s="1139">
        <v>0</v>
      </c>
      <c r="CP1386" s="923">
        <f t="shared" si="814"/>
        <v>0</v>
      </c>
      <c r="CZ1386" s="330"/>
    </row>
    <row r="1387" spans="1:104" ht="15" customHeight="1" x14ac:dyDescent="0.25">
      <c r="A1387" s="684">
        <f>MAX($A$6:A1386)+1</f>
        <v>1387</v>
      </c>
      <c r="B1387" s="3">
        <f t="shared" si="828"/>
        <v>14</v>
      </c>
      <c r="C1387" s="11" t="str">
        <f>C1381</f>
        <v>Consolidated Provisions for liabilities and charges</v>
      </c>
      <c r="D1387" s="11" t="s">
        <v>273</v>
      </c>
      <c r="E1387" s="7" t="s">
        <v>216</v>
      </c>
      <c r="F1387" s="7"/>
      <c r="G1387" s="1254" t="s">
        <v>216</v>
      </c>
      <c r="H1387" s="6">
        <v>0</v>
      </c>
      <c r="I1387" s="1190"/>
      <c r="J1387" s="1261" t="s">
        <v>286</v>
      </c>
      <c r="K1387" s="266"/>
      <c r="L1387" s="266"/>
      <c r="M1387" s="10"/>
      <c r="N1387" s="273">
        <f t="shared" si="798"/>
        <v>0</v>
      </c>
      <c r="O1387" s="12"/>
      <c r="P1387" s="12"/>
      <c r="Q1387" s="12"/>
      <c r="R1387" s="12"/>
      <c r="S1387" s="6">
        <f t="shared" si="822"/>
        <v>0</v>
      </c>
      <c r="T1387" s="273">
        <f>ROUND(SUM(U1387:Y1387),0)</f>
        <v>0</v>
      </c>
      <c r="U1387" s="6">
        <f>SUM(BL1387:BN1387)</f>
        <v>0</v>
      </c>
      <c r="V1387" s="6"/>
      <c r="W1387" s="6">
        <f>+H1387</f>
        <v>0</v>
      </c>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X1387" s="6"/>
      <c r="AY1387" s="6">
        <f>ROUND(AX1387/1000/Update!$B$31*Update!$B$27,0)</f>
        <v>0</v>
      </c>
      <c r="BA1387" s="6"/>
      <c r="BB1387" s="6">
        <f>ROUND(BA1387/1000/Update!$B$31,0)</f>
        <v>0</v>
      </c>
      <c r="BC1387" s="6"/>
      <c r="BD1387" s="29">
        <f t="shared" si="829"/>
        <v>0</v>
      </c>
      <c r="BE1387" s="322"/>
      <c r="BF1387" s="322"/>
      <c r="BG1387" s="322"/>
      <c r="BH1387" s="322"/>
      <c r="BI1387" s="322"/>
      <c r="BJ1387" s="322"/>
      <c r="BK1387" s="29">
        <f t="shared" si="803"/>
        <v>0</v>
      </c>
      <c r="BL1387" s="322"/>
      <c r="BM1387" s="322"/>
      <c r="BN1387" s="322"/>
      <c r="BO1387" s="322"/>
      <c r="BP1387" s="322"/>
      <c r="BQ1387" s="322"/>
      <c r="BR1387" s="322"/>
      <c r="BS1387" s="322"/>
      <c r="BT1387" s="322"/>
      <c r="BU1387" s="322"/>
      <c r="BV1387" s="322"/>
      <c r="BW1387" s="322"/>
      <c r="BX1387" s="322"/>
      <c r="BY1387" s="322"/>
      <c r="BZ1387" s="322"/>
      <c r="CA1387" s="322"/>
      <c r="CB1387" s="322"/>
      <c r="CC1387" s="322"/>
      <c r="CD1387" s="322"/>
      <c r="CE1387" s="322"/>
      <c r="CF1387" s="322"/>
      <c r="CG1387" s="322"/>
      <c r="CH1387" s="322"/>
      <c r="CI1387" s="322"/>
      <c r="CM1387" s="1139">
        <f t="shared" si="815"/>
        <v>0</v>
      </c>
      <c r="CN1387" s="1139">
        <v>0</v>
      </c>
      <c r="CP1387" s="923">
        <f t="shared" si="814"/>
        <v>0</v>
      </c>
      <c r="CZ1387" s="330"/>
    </row>
    <row r="1388" spans="1:104" ht="30" customHeight="1" x14ac:dyDescent="0.25">
      <c r="A1388" s="684">
        <f>MAX($A$6:A1387)+1</f>
        <v>1388</v>
      </c>
      <c r="B1388" s="3">
        <f t="shared" si="828"/>
        <v>14</v>
      </c>
      <c r="C1388" s="11" t="str">
        <f t="shared" si="793"/>
        <v>Consolidated Provisions for liabilities and charges</v>
      </c>
      <c r="D1388" s="11" t="s">
        <v>273</v>
      </c>
      <c r="E1388" s="7" t="s">
        <v>218</v>
      </c>
      <c r="F1388" s="7"/>
      <c r="G1388" s="1254" t="s">
        <v>218</v>
      </c>
      <c r="H1388" s="6">
        <v>0</v>
      </c>
      <c r="I1388" s="1190"/>
      <c r="J1388" s="1261" t="s">
        <v>286</v>
      </c>
      <c r="K1388" s="266"/>
      <c r="L1388" s="266"/>
      <c r="M1388" s="10"/>
      <c r="N1388" s="273">
        <f t="shared" ref="N1388:N1410" si="835">ROUND(SUM(O1388:S1388)+T1388+SUM(Z1388:AV1388),0)</f>
        <v>0</v>
      </c>
      <c r="O1388" s="12"/>
      <c r="P1388" s="12"/>
      <c r="Q1388" s="12"/>
      <c r="R1388" s="12"/>
      <c r="S1388" s="6">
        <f t="shared" si="822"/>
        <v>0</v>
      </c>
      <c r="T1388" s="273">
        <f>ROUND(SUM(U1388:Y1388),0)</f>
        <v>0</v>
      </c>
      <c r="U1388" s="6">
        <f>SUM(BL1388:BN1388)</f>
        <v>0</v>
      </c>
      <c r="V1388" s="6"/>
      <c r="W1388" s="6">
        <f>+H1388</f>
        <v>0</v>
      </c>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X1388" s="6"/>
      <c r="AY1388" s="6">
        <f>ROUND(AX1388/1000/Update!$B$31*Update!$B$27,0)</f>
        <v>0</v>
      </c>
      <c r="BA1388" s="6"/>
      <c r="BB1388" s="6">
        <f>ROUND(BA1388/1000/Update!$B$31,0)</f>
        <v>0</v>
      </c>
      <c r="BC1388" s="6"/>
      <c r="BD1388" s="29">
        <f t="shared" si="829"/>
        <v>0</v>
      </c>
      <c r="BE1388" s="322"/>
      <c r="BF1388" s="322"/>
      <c r="BG1388" s="322"/>
      <c r="BH1388" s="322"/>
      <c r="BI1388" s="322"/>
      <c r="BJ1388" s="322"/>
      <c r="BK1388" s="29">
        <f t="shared" si="803"/>
        <v>0</v>
      </c>
      <c r="BL1388" s="322"/>
      <c r="BM1388" s="322"/>
      <c r="BN1388" s="322"/>
      <c r="BO1388" s="322"/>
      <c r="BP1388" s="322"/>
      <c r="BQ1388" s="322"/>
      <c r="BR1388" s="322"/>
      <c r="BS1388" s="322"/>
      <c r="BT1388" s="322"/>
      <c r="BU1388" s="322"/>
      <c r="BV1388" s="322"/>
      <c r="BW1388" s="322"/>
      <c r="BX1388" s="322"/>
      <c r="BY1388" s="322"/>
      <c r="BZ1388" s="322"/>
      <c r="CA1388" s="322"/>
      <c r="CB1388" s="322"/>
      <c r="CC1388" s="322"/>
      <c r="CD1388" s="322"/>
      <c r="CE1388" s="322"/>
      <c r="CF1388" s="322"/>
      <c r="CG1388" s="322"/>
      <c r="CH1388" s="322"/>
      <c r="CI1388" s="322"/>
      <c r="CM1388" s="1139">
        <f t="shared" si="815"/>
        <v>0</v>
      </c>
      <c r="CN1388" s="1139">
        <v>0</v>
      </c>
      <c r="CP1388" s="923">
        <f t="shared" si="814"/>
        <v>0</v>
      </c>
      <c r="CZ1388" s="330"/>
    </row>
    <row r="1389" spans="1:104" ht="15" customHeight="1" x14ac:dyDescent="0.25">
      <c r="A1389" s="684">
        <f>MAX($A$6:A1388)+1</f>
        <v>1389</v>
      </c>
      <c r="B1389" s="3">
        <f t="shared" si="828"/>
        <v>14</v>
      </c>
      <c r="C1389" s="11" t="str">
        <f t="shared" si="793"/>
        <v>Consolidated Provisions for liabilities and charges</v>
      </c>
      <c r="D1389" s="11" t="s">
        <v>273</v>
      </c>
      <c r="E1389" s="7" t="s">
        <v>217</v>
      </c>
      <c r="F1389" s="7"/>
      <c r="G1389" s="1254" t="s">
        <v>217</v>
      </c>
      <c r="H1389" s="6">
        <v>0</v>
      </c>
      <c r="I1389" s="1190"/>
      <c r="J1389" s="1261" t="s">
        <v>286</v>
      </c>
      <c r="K1389" s="266"/>
      <c r="L1389" s="266"/>
      <c r="M1389" s="10"/>
      <c r="N1389" s="273">
        <f t="shared" si="835"/>
        <v>0</v>
      </c>
      <c r="O1389" s="12"/>
      <c r="P1389" s="12"/>
      <c r="Q1389" s="12"/>
      <c r="R1389" s="12"/>
      <c r="S1389" s="6">
        <f t="shared" si="822"/>
        <v>0</v>
      </c>
      <c r="T1389" s="273">
        <f>ROUND(SUM(U1389:Y1389),0)</f>
        <v>0</v>
      </c>
      <c r="U1389" s="6">
        <f>SUM(BL1389:BN1389)</f>
        <v>0</v>
      </c>
      <c r="V1389" s="6"/>
      <c r="W1389" s="6">
        <f>+H1389</f>
        <v>0</v>
      </c>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X1389" s="6"/>
      <c r="AY1389" s="6">
        <f>ROUND(AX1389/1000/Update!$B$31*Update!$B$27,0)</f>
        <v>0</v>
      </c>
      <c r="BA1389" s="6"/>
      <c r="BB1389" s="6">
        <f>ROUND(BA1389/1000/Update!$B$31,0)</f>
        <v>0</v>
      </c>
      <c r="BC1389" s="6"/>
      <c r="BD1389" s="29">
        <f t="shared" si="829"/>
        <v>0</v>
      </c>
      <c r="BE1389" s="322"/>
      <c r="BF1389" s="322"/>
      <c r="BG1389" s="322"/>
      <c r="BH1389" s="322"/>
      <c r="BI1389" s="322"/>
      <c r="BJ1389" s="322"/>
      <c r="BK1389" s="29">
        <f t="shared" si="803"/>
        <v>0</v>
      </c>
      <c r="BL1389" s="322"/>
      <c r="BM1389" s="322"/>
      <c r="BN1389" s="322"/>
      <c r="BO1389" s="322"/>
      <c r="BP1389" s="322"/>
      <c r="BQ1389" s="322"/>
      <c r="BR1389" s="322"/>
      <c r="BS1389" s="322"/>
      <c r="BT1389" s="322"/>
      <c r="BU1389" s="322"/>
      <c r="BV1389" s="322"/>
      <c r="BW1389" s="322"/>
      <c r="BX1389" s="322"/>
      <c r="BY1389" s="322"/>
      <c r="BZ1389" s="322"/>
      <c r="CA1389" s="322"/>
      <c r="CB1389" s="322"/>
      <c r="CC1389" s="322"/>
      <c r="CD1389" s="322"/>
      <c r="CE1389" s="322"/>
      <c r="CF1389" s="322"/>
      <c r="CG1389" s="322"/>
      <c r="CH1389" s="322"/>
      <c r="CI1389" s="322"/>
      <c r="CM1389" s="1139">
        <f t="shared" si="815"/>
        <v>0</v>
      </c>
      <c r="CN1389" s="1139">
        <v>0</v>
      </c>
      <c r="CP1389" s="923">
        <f t="shared" si="814"/>
        <v>0</v>
      </c>
      <c r="CZ1389" s="330"/>
    </row>
    <row r="1390" spans="1:104" ht="15" customHeight="1" x14ac:dyDescent="0.25">
      <c r="A1390" s="701">
        <f>MAX($A$6:A1389)+1</f>
        <v>1390</v>
      </c>
      <c r="B1390" s="1291">
        <f t="shared" si="828"/>
        <v>14</v>
      </c>
      <c r="C1390" s="18" t="str">
        <f t="shared" si="793"/>
        <v>Consolidated Provisions for liabilities and charges</v>
      </c>
      <c r="D1390" s="19" t="s">
        <v>273</v>
      </c>
      <c r="E1390" s="19" t="s">
        <v>274</v>
      </c>
      <c r="F1390" s="19"/>
      <c r="G1390" s="1278"/>
      <c r="H1390" s="14">
        <f>SUM(H1387:H1389)</f>
        <v>0</v>
      </c>
      <c r="I1390" s="14"/>
      <c r="J1390" s="1258" t="s">
        <v>286</v>
      </c>
      <c r="K1390" s="256">
        <f>SUM(K1387:K1389)</f>
        <v>0</v>
      </c>
      <c r="L1390" s="256">
        <f>SUM(L1387:L1389)</f>
        <v>0</v>
      </c>
      <c r="M1390" s="21"/>
      <c r="N1390" s="14">
        <f t="shared" si="835"/>
        <v>0</v>
      </c>
      <c r="O1390" s="14">
        <f t="shared" ref="O1390:W1390" si="836">SUM(O1387:O1389)</f>
        <v>0</v>
      </c>
      <c r="P1390" s="14">
        <f t="shared" si="836"/>
        <v>0</v>
      </c>
      <c r="Q1390" s="14">
        <f t="shared" si="836"/>
        <v>0</v>
      </c>
      <c r="R1390" s="14">
        <f t="shared" si="836"/>
        <v>0</v>
      </c>
      <c r="S1390" s="14">
        <f t="shared" si="822"/>
        <v>0</v>
      </c>
      <c r="T1390" s="14">
        <f t="shared" si="836"/>
        <v>0</v>
      </c>
      <c r="U1390" s="14">
        <f t="shared" si="836"/>
        <v>0</v>
      </c>
      <c r="V1390" s="14">
        <f t="shared" si="836"/>
        <v>0</v>
      </c>
      <c r="W1390" s="14">
        <f t="shared" si="836"/>
        <v>0</v>
      </c>
      <c r="X1390" s="14"/>
      <c r="Y1390" s="14"/>
      <c r="Z1390" s="14"/>
      <c r="AA1390" s="14"/>
      <c r="AB1390" s="14"/>
      <c r="AC1390" s="14"/>
      <c r="AD1390" s="14"/>
      <c r="AE1390" s="14"/>
      <c r="AF1390" s="14"/>
      <c r="AG1390" s="14"/>
      <c r="AH1390" s="14"/>
      <c r="AI1390" s="14"/>
      <c r="AJ1390" s="14"/>
      <c r="AK1390" s="14"/>
      <c r="AL1390" s="14"/>
      <c r="AM1390" s="14"/>
      <c r="AN1390" s="14"/>
      <c r="AO1390" s="14"/>
      <c r="AP1390" s="14"/>
      <c r="AQ1390" s="14"/>
      <c r="AR1390" s="14"/>
      <c r="AS1390" s="14"/>
      <c r="AT1390" s="14"/>
      <c r="AU1390" s="14"/>
      <c r="AV1390" s="14"/>
      <c r="AW1390" s="2"/>
      <c r="AX1390" s="14">
        <f>SUM(AX1387:AX1389)</f>
        <v>0</v>
      </c>
      <c r="AY1390" s="14">
        <f>ROUND(AX1390/1000/Update!$B$31*Update!$B$27,0)</f>
        <v>0</v>
      </c>
      <c r="AZ1390" s="2"/>
      <c r="BA1390" s="14">
        <f>SUM(BA1387:BA1389)</f>
        <v>0</v>
      </c>
      <c r="BB1390" s="14">
        <f>ROUND(BA1390/1000/Update!$B$31,0)</f>
        <v>0</v>
      </c>
      <c r="BC1390" s="14"/>
      <c r="BD1390" s="14">
        <f t="shared" si="829"/>
        <v>0</v>
      </c>
      <c r="BE1390" s="318">
        <f t="shared" ref="BE1390:BJ1390" si="837">SUM(BE1387:BE1389)</f>
        <v>0</v>
      </c>
      <c r="BF1390" s="318">
        <f t="shared" si="837"/>
        <v>0</v>
      </c>
      <c r="BG1390" s="318">
        <f t="shared" si="837"/>
        <v>0</v>
      </c>
      <c r="BH1390" s="318">
        <f t="shared" si="837"/>
        <v>0</v>
      </c>
      <c r="BI1390" s="318">
        <f t="shared" si="837"/>
        <v>0</v>
      </c>
      <c r="BJ1390" s="318">
        <f t="shared" si="837"/>
        <v>0</v>
      </c>
      <c r="BK1390" s="14">
        <f t="shared" si="803"/>
        <v>0</v>
      </c>
      <c r="BL1390" s="318"/>
      <c r="BM1390" s="318"/>
      <c r="BN1390" s="318"/>
      <c r="BO1390" s="318"/>
      <c r="BP1390" s="318"/>
      <c r="BQ1390" s="318"/>
      <c r="BR1390" s="318"/>
      <c r="BS1390" s="318"/>
      <c r="BT1390" s="318"/>
      <c r="BU1390" s="318"/>
      <c r="BV1390" s="318"/>
      <c r="BW1390" s="318"/>
      <c r="BX1390" s="318"/>
      <c r="BY1390" s="318"/>
      <c r="BZ1390" s="318"/>
      <c r="CA1390" s="318"/>
      <c r="CB1390" s="318"/>
      <c r="CC1390" s="318"/>
      <c r="CD1390" s="318"/>
      <c r="CE1390" s="318"/>
      <c r="CF1390" s="318"/>
      <c r="CG1390" s="318"/>
      <c r="CH1390" s="318"/>
      <c r="CI1390" s="318"/>
      <c r="CJ1390" s="2"/>
      <c r="CK1390" s="2"/>
      <c r="CM1390" s="1140">
        <f t="shared" si="815"/>
        <v>0</v>
      </c>
      <c r="CN1390" s="1140">
        <v>0</v>
      </c>
      <c r="CP1390" s="923">
        <f t="shared" si="814"/>
        <v>0</v>
      </c>
      <c r="CZ1390" s="330"/>
    </row>
    <row r="1391" spans="1:104" ht="15" customHeight="1" x14ac:dyDescent="0.25">
      <c r="A1391" s="684">
        <f>MAX($A$6:A1390)+1</f>
        <v>1391</v>
      </c>
      <c r="B1391" s="3">
        <f t="shared" si="828"/>
        <v>14</v>
      </c>
      <c r="C1391" s="11" t="str">
        <f t="shared" si="793"/>
        <v>Consolidated Provisions for liabilities and charges</v>
      </c>
      <c r="D1391" s="11" t="s">
        <v>1065</v>
      </c>
      <c r="E1391" s="16" t="s">
        <v>221</v>
      </c>
      <c r="F1391" s="16"/>
      <c r="G1391" s="1254"/>
      <c r="H1391" s="6"/>
      <c r="I1391" s="1190"/>
      <c r="J1391" s="1261" t="s">
        <v>286</v>
      </c>
      <c r="K1391" s="251">
        <f>SUMIF('alb Note 14 - Provisions CY'!$A:$A,$J1391,'alb Note 14 - Provisions CY'!$G:$G)</f>
        <v>0</v>
      </c>
      <c r="L1391" s="266"/>
      <c r="M1391" s="10"/>
      <c r="N1391" s="273">
        <f t="shared" si="835"/>
        <v>0</v>
      </c>
      <c r="O1391" s="12"/>
      <c r="P1391" s="12"/>
      <c r="Q1391" s="12"/>
      <c r="R1391" s="12"/>
      <c r="S1391" s="6">
        <f t="shared" si="822"/>
        <v>0</v>
      </c>
      <c r="T1391" s="273">
        <f>ROUND(SUM(U1391:Y1391),0)</f>
        <v>0</v>
      </c>
      <c r="U1391" s="6">
        <f>SUM(BL1391:BN1391)</f>
        <v>0</v>
      </c>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X1391" s="6"/>
      <c r="AY1391" s="6">
        <f>ROUND(AX1391/1000/Update!$B$31*Update!$B$27,0)</f>
        <v>0</v>
      </c>
      <c r="BA1391" s="6"/>
      <c r="BB1391" s="6">
        <f>ROUND(BA1391/1000/Update!$B$31,0)</f>
        <v>0</v>
      </c>
      <c r="BC1391" s="6"/>
      <c r="BD1391" s="29">
        <f t="shared" si="829"/>
        <v>0</v>
      </c>
      <c r="BE1391" s="322"/>
      <c r="BF1391" s="322"/>
      <c r="BG1391" s="322"/>
      <c r="BH1391" s="322"/>
      <c r="BI1391" s="322"/>
      <c r="BJ1391" s="322"/>
      <c r="BK1391" s="29">
        <f t="shared" si="803"/>
        <v>0</v>
      </c>
      <c r="BL1391" s="322"/>
      <c r="BM1391" s="322"/>
      <c r="BN1391" s="322"/>
      <c r="BO1391" s="322"/>
      <c r="BP1391" s="322"/>
      <c r="BQ1391" s="322"/>
      <c r="BR1391" s="322"/>
      <c r="BS1391" s="322"/>
      <c r="BT1391" s="322"/>
      <c r="BU1391" s="322"/>
      <c r="BV1391" s="322"/>
      <c r="BW1391" s="322"/>
      <c r="BX1391" s="322"/>
      <c r="BY1391" s="322"/>
      <c r="BZ1391" s="322"/>
      <c r="CA1391" s="322"/>
      <c r="CB1391" s="322"/>
      <c r="CC1391" s="322"/>
      <c r="CD1391" s="322"/>
      <c r="CE1391" s="322"/>
      <c r="CF1391" s="322"/>
      <c r="CG1391" s="322"/>
      <c r="CH1391" s="322"/>
      <c r="CI1391" s="322"/>
      <c r="CM1391" s="1139">
        <f t="shared" si="815"/>
        <v>0</v>
      </c>
      <c r="CN1391" s="1139">
        <v>0</v>
      </c>
      <c r="CP1391" s="923">
        <f t="shared" si="814"/>
        <v>0</v>
      </c>
      <c r="CZ1391" s="330"/>
    </row>
    <row r="1392" spans="1:104" ht="15" customHeight="1" x14ac:dyDescent="0.25">
      <c r="A1392" s="684">
        <f>MAX($A$6:A1391)+1</f>
        <v>1392</v>
      </c>
      <c r="B1392" s="3">
        <f t="shared" si="828"/>
        <v>14</v>
      </c>
      <c r="C1392" s="11" t="str">
        <f t="shared" si="793"/>
        <v>Consolidated Provisions for liabilities and charges</v>
      </c>
      <c r="D1392" s="11" t="s">
        <v>1065</v>
      </c>
      <c r="E1392" s="7" t="s">
        <v>216</v>
      </c>
      <c r="F1392" s="7"/>
      <c r="G1392" s="1254" t="s">
        <v>216</v>
      </c>
      <c r="H1392" s="6">
        <v>0</v>
      </c>
      <c r="I1392" s="1190"/>
      <c r="J1392" s="1257" t="s">
        <v>795</v>
      </c>
      <c r="K1392" s="251">
        <f>SUMIF('alb Note 14 - Provisions CY'!$A:$A,$J1392,'alb Note 14 - Provisions CY'!$G:$G)</f>
        <v>0</v>
      </c>
      <c r="L1392" s="266"/>
      <c r="M1392" s="10"/>
      <c r="N1392" s="273">
        <f t="shared" si="835"/>
        <v>0</v>
      </c>
      <c r="O1392" s="12"/>
      <c r="P1392" s="12"/>
      <c r="Q1392" s="12"/>
      <c r="R1392" s="12"/>
      <c r="S1392" s="6">
        <f t="shared" si="822"/>
        <v>0</v>
      </c>
      <c r="T1392" s="273">
        <f>ROUND(SUM(U1392:Y1392),0)</f>
        <v>0</v>
      </c>
      <c r="U1392" s="6">
        <f>SUM(BL1392:BN1392)</f>
        <v>0</v>
      </c>
      <c r="V1392" s="6"/>
      <c r="W1392" s="6">
        <f>+H1392</f>
        <v>0</v>
      </c>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X1392" s="6"/>
      <c r="AY1392" s="6">
        <f>ROUND(AX1392/1000/Update!$B$31*Update!$B$27,0)</f>
        <v>0</v>
      </c>
      <c r="BA1392" s="6"/>
      <c r="BB1392" s="6">
        <f>ROUND(BA1392/1000/Update!$B$31,0)</f>
        <v>0</v>
      </c>
      <c r="BC1392" s="6"/>
      <c r="BD1392" s="29">
        <f t="shared" si="829"/>
        <v>0</v>
      </c>
      <c r="BE1392" s="322"/>
      <c r="BF1392" s="322"/>
      <c r="BG1392" s="322"/>
      <c r="BH1392" s="322"/>
      <c r="BI1392" s="322"/>
      <c r="BJ1392" s="322"/>
      <c r="BK1392" s="29">
        <f t="shared" si="803"/>
        <v>0</v>
      </c>
      <c r="BL1392" s="322"/>
      <c r="BM1392" s="322"/>
      <c r="BN1392" s="322"/>
      <c r="BO1392" s="322"/>
      <c r="BP1392" s="322"/>
      <c r="BQ1392" s="322"/>
      <c r="BR1392" s="322"/>
      <c r="BS1392" s="322"/>
      <c r="BT1392" s="322"/>
      <c r="BU1392" s="322"/>
      <c r="BV1392" s="322"/>
      <c r="BW1392" s="322"/>
      <c r="BX1392" s="322"/>
      <c r="BY1392" s="322"/>
      <c r="BZ1392" s="322"/>
      <c r="CA1392" s="322"/>
      <c r="CB1392" s="322"/>
      <c r="CC1392" s="322"/>
      <c r="CD1392" s="322"/>
      <c r="CE1392" s="322"/>
      <c r="CF1392" s="322"/>
      <c r="CG1392" s="322"/>
      <c r="CH1392" s="322"/>
      <c r="CI1392" s="322"/>
      <c r="CM1392" s="1139">
        <f t="shared" si="815"/>
        <v>0</v>
      </c>
      <c r="CN1392" s="1139">
        <v>0</v>
      </c>
      <c r="CP1392" s="923">
        <f t="shared" si="814"/>
        <v>0</v>
      </c>
      <c r="CZ1392" s="330"/>
    </row>
    <row r="1393" spans="1:104" ht="30" customHeight="1" x14ac:dyDescent="0.25">
      <c r="A1393" s="684">
        <f>MAX($A$6:A1392)+1</f>
        <v>1393</v>
      </c>
      <c r="B1393" s="3">
        <f t="shared" si="828"/>
        <v>14</v>
      </c>
      <c r="C1393" s="11" t="str">
        <f t="shared" si="793"/>
        <v>Consolidated Provisions for liabilities and charges</v>
      </c>
      <c r="D1393" s="11" t="s">
        <v>1065</v>
      </c>
      <c r="E1393" s="7" t="s">
        <v>218</v>
      </c>
      <c r="F1393" s="7"/>
      <c r="G1393" s="1254" t="s">
        <v>218</v>
      </c>
      <c r="H1393" s="6">
        <v>0</v>
      </c>
      <c r="I1393" s="1190"/>
      <c r="J1393" s="1257" t="s">
        <v>796</v>
      </c>
      <c r="K1393" s="251">
        <f>SUMIF('alb Note 14 - Provisions CY'!$A:$A,$J1393,'alb Note 14 - Provisions CY'!$G:$G)</f>
        <v>0</v>
      </c>
      <c r="L1393" s="266"/>
      <c r="M1393" s="10"/>
      <c r="N1393" s="273">
        <f t="shared" si="835"/>
        <v>0</v>
      </c>
      <c r="O1393" s="12"/>
      <c r="P1393" s="12"/>
      <c r="Q1393" s="12"/>
      <c r="R1393" s="12"/>
      <c r="S1393" s="6">
        <f t="shared" si="822"/>
        <v>0</v>
      </c>
      <c r="T1393" s="273">
        <f>ROUND(SUM(U1393:Y1393),0)</f>
        <v>0</v>
      </c>
      <c r="U1393" s="6">
        <f>SUM(BL1393:BN1393)</f>
        <v>0</v>
      </c>
      <c r="V1393" s="6"/>
      <c r="W1393" s="6">
        <f>+H1393</f>
        <v>0</v>
      </c>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X1393" s="6"/>
      <c r="AY1393" s="6">
        <f>ROUND(AX1393/1000/Update!$B$31*Update!$B$27,0)</f>
        <v>0</v>
      </c>
      <c r="BA1393" s="6"/>
      <c r="BB1393" s="6">
        <f>ROUND(BA1393/1000/Update!$B$31,0)</f>
        <v>0</v>
      </c>
      <c r="BC1393" s="6"/>
      <c r="BD1393" s="29">
        <f t="shared" si="829"/>
        <v>0</v>
      </c>
      <c r="BE1393" s="322"/>
      <c r="BF1393" s="322"/>
      <c r="BG1393" s="322"/>
      <c r="BH1393" s="322"/>
      <c r="BI1393" s="322"/>
      <c r="BJ1393" s="322"/>
      <c r="BK1393" s="29">
        <f t="shared" si="803"/>
        <v>0</v>
      </c>
      <c r="BL1393" s="322"/>
      <c r="BM1393" s="322"/>
      <c r="BN1393" s="322"/>
      <c r="BO1393" s="322"/>
      <c r="BP1393" s="322"/>
      <c r="BQ1393" s="322"/>
      <c r="BR1393" s="322"/>
      <c r="BS1393" s="322"/>
      <c r="BT1393" s="322"/>
      <c r="BU1393" s="322"/>
      <c r="BV1393" s="322"/>
      <c r="BW1393" s="322"/>
      <c r="BX1393" s="322"/>
      <c r="BY1393" s="322"/>
      <c r="BZ1393" s="322"/>
      <c r="CA1393" s="322"/>
      <c r="CB1393" s="322"/>
      <c r="CC1393" s="322"/>
      <c r="CD1393" s="322"/>
      <c r="CE1393" s="322"/>
      <c r="CF1393" s="322"/>
      <c r="CG1393" s="322"/>
      <c r="CH1393" s="322"/>
      <c r="CI1393" s="322"/>
      <c r="CM1393" s="1139">
        <f t="shared" si="815"/>
        <v>0</v>
      </c>
      <c r="CN1393" s="1139">
        <v>0</v>
      </c>
      <c r="CP1393" s="923">
        <f t="shared" si="814"/>
        <v>0</v>
      </c>
      <c r="CZ1393" s="330"/>
    </row>
    <row r="1394" spans="1:104" ht="15" customHeight="1" x14ac:dyDescent="0.25">
      <c r="A1394" s="684">
        <f>MAX($A$6:A1393)+1</f>
        <v>1394</v>
      </c>
      <c r="B1394" s="3">
        <f t="shared" si="828"/>
        <v>14</v>
      </c>
      <c r="C1394" s="11" t="str">
        <f t="shared" si="793"/>
        <v>Consolidated Provisions for liabilities and charges</v>
      </c>
      <c r="D1394" s="11" t="s">
        <v>1065</v>
      </c>
      <c r="E1394" s="7" t="s">
        <v>217</v>
      </c>
      <c r="F1394" s="7"/>
      <c r="G1394" s="1254" t="s">
        <v>217</v>
      </c>
      <c r="H1394" s="6">
        <v>0</v>
      </c>
      <c r="I1394" s="1190"/>
      <c r="J1394" s="1257" t="s">
        <v>797</v>
      </c>
      <c r="K1394" s="251">
        <f>SUMIF('alb Note 14 - Provisions CY'!$A:$A,$J1394,'alb Note 14 - Provisions CY'!$G:$G)</f>
        <v>0</v>
      </c>
      <c r="L1394" s="266"/>
      <c r="M1394" s="10"/>
      <c r="N1394" s="273">
        <f t="shared" si="835"/>
        <v>0</v>
      </c>
      <c r="O1394" s="12"/>
      <c r="P1394" s="12"/>
      <c r="Q1394" s="12"/>
      <c r="R1394" s="12"/>
      <c r="S1394" s="6">
        <f t="shared" si="822"/>
        <v>0</v>
      </c>
      <c r="T1394" s="273">
        <f>ROUND(SUM(U1394:Y1394),0)</f>
        <v>0</v>
      </c>
      <c r="U1394" s="6">
        <f>SUM(BL1394:BN1394)</f>
        <v>0</v>
      </c>
      <c r="V1394" s="6"/>
      <c r="W1394" s="6">
        <f>+H1394</f>
        <v>0</v>
      </c>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X1394" s="6"/>
      <c r="AY1394" s="6">
        <f>ROUND(AX1394/1000/Update!$B$31*Update!$B$27,0)</f>
        <v>0</v>
      </c>
      <c r="BA1394" s="6"/>
      <c r="BB1394" s="6">
        <f>ROUND(BA1394/1000/Update!$B$31,0)</f>
        <v>0</v>
      </c>
      <c r="BC1394" s="6"/>
      <c r="BD1394" s="29">
        <f t="shared" si="829"/>
        <v>0</v>
      </c>
      <c r="BE1394" s="322"/>
      <c r="BF1394" s="322"/>
      <c r="BG1394" s="322"/>
      <c r="BH1394" s="322"/>
      <c r="BI1394" s="322"/>
      <c r="BJ1394" s="322"/>
      <c r="BK1394" s="29">
        <f t="shared" si="803"/>
        <v>0</v>
      </c>
      <c r="BL1394" s="322"/>
      <c r="BM1394" s="322"/>
      <c r="BN1394" s="322"/>
      <c r="BO1394" s="322"/>
      <c r="BP1394" s="322"/>
      <c r="BQ1394" s="322"/>
      <c r="BR1394" s="322"/>
      <c r="BS1394" s="322"/>
      <c r="BT1394" s="322"/>
      <c r="BU1394" s="322"/>
      <c r="BV1394" s="322"/>
      <c r="BW1394" s="322"/>
      <c r="BX1394" s="322"/>
      <c r="BY1394" s="322"/>
      <c r="BZ1394" s="322"/>
      <c r="CA1394" s="322"/>
      <c r="CB1394" s="322"/>
      <c r="CC1394" s="322"/>
      <c r="CD1394" s="322"/>
      <c r="CE1394" s="322"/>
      <c r="CF1394" s="322"/>
      <c r="CG1394" s="322"/>
      <c r="CH1394" s="322"/>
      <c r="CI1394" s="322"/>
      <c r="CM1394" s="1139">
        <f t="shared" si="815"/>
        <v>0</v>
      </c>
      <c r="CN1394" s="1139">
        <v>0</v>
      </c>
      <c r="CP1394" s="923">
        <f t="shared" si="814"/>
        <v>0</v>
      </c>
      <c r="CZ1394" s="330"/>
    </row>
    <row r="1395" spans="1:104" ht="15" customHeight="1" x14ac:dyDescent="0.25">
      <c r="A1395" s="701">
        <f>MAX($A$6:A1394)+1</f>
        <v>1395</v>
      </c>
      <c r="B1395" s="1291">
        <f t="shared" si="828"/>
        <v>14</v>
      </c>
      <c r="C1395" s="18" t="str">
        <f t="shared" si="793"/>
        <v>Consolidated Provisions for liabilities and charges</v>
      </c>
      <c r="D1395" s="19" t="s">
        <v>1065</v>
      </c>
      <c r="E1395" s="19" t="s">
        <v>274</v>
      </c>
      <c r="F1395" s="19"/>
      <c r="G1395" s="1278"/>
      <c r="H1395" s="14">
        <f>SUM(H1392:H1394)</f>
        <v>0</v>
      </c>
      <c r="I1395" s="14"/>
      <c r="J1395" s="1258" t="s">
        <v>286</v>
      </c>
      <c r="K1395" s="256">
        <f>SUM(K1392:K1394)</f>
        <v>0</v>
      </c>
      <c r="L1395" s="256">
        <f>SUM(L1392:L1394)</f>
        <v>0</v>
      </c>
      <c r="M1395" s="21"/>
      <c r="N1395" s="14">
        <f t="shared" si="835"/>
        <v>0</v>
      </c>
      <c r="O1395" s="14">
        <f t="shared" ref="O1395:W1395" si="838">SUM(O1392:O1394)</f>
        <v>0</v>
      </c>
      <c r="P1395" s="14">
        <f t="shared" si="838"/>
        <v>0</v>
      </c>
      <c r="Q1395" s="14">
        <f t="shared" si="838"/>
        <v>0</v>
      </c>
      <c r="R1395" s="14">
        <f t="shared" si="838"/>
        <v>0</v>
      </c>
      <c r="S1395" s="14">
        <f t="shared" si="822"/>
        <v>0</v>
      </c>
      <c r="T1395" s="14">
        <f t="shared" si="838"/>
        <v>0</v>
      </c>
      <c r="U1395" s="14">
        <f t="shared" si="838"/>
        <v>0</v>
      </c>
      <c r="V1395" s="14">
        <f t="shared" si="838"/>
        <v>0</v>
      </c>
      <c r="W1395" s="14">
        <f t="shared" si="838"/>
        <v>0</v>
      </c>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2"/>
      <c r="AX1395" s="14">
        <f>SUM(AX1392:AX1394)</f>
        <v>0</v>
      </c>
      <c r="AY1395" s="14">
        <f>ROUND(AX1395/1000/Update!$B$31*Update!$B$27,0)</f>
        <v>0</v>
      </c>
      <c r="AZ1395" s="2"/>
      <c r="BA1395" s="14">
        <f>SUM(BA1392:BA1394)</f>
        <v>0</v>
      </c>
      <c r="BB1395" s="14">
        <f>ROUND(BA1395/1000/Update!$B$31,0)</f>
        <v>0</v>
      </c>
      <c r="BC1395" s="14"/>
      <c r="BD1395" s="14">
        <f t="shared" si="829"/>
        <v>0</v>
      </c>
      <c r="BE1395" s="318">
        <f t="shared" ref="BE1395:BJ1395" si="839">SUM(BE1392:BE1394)</f>
        <v>0</v>
      </c>
      <c r="BF1395" s="318">
        <f t="shared" si="839"/>
        <v>0</v>
      </c>
      <c r="BG1395" s="318">
        <f t="shared" si="839"/>
        <v>0</v>
      </c>
      <c r="BH1395" s="318">
        <f t="shared" si="839"/>
        <v>0</v>
      </c>
      <c r="BI1395" s="318">
        <f t="shared" si="839"/>
        <v>0</v>
      </c>
      <c r="BJ1395" s="318">
        <f t="shared" si="839"/>
        <v>0</v>
      </c>
      <c r="BK1395" s="14">
        <f t="shared" si="803"/>
        <v>0</v>
      </c>
      <c r="BL1395" s="318"/>
      <c r="BM1395" s="318"/>
      <c r="BN1395" s="318"/>
      <c r="BO1395" s="318"/>
      <c r="BP1395" s="318"/>
      <c r="BQ1395" s="318"/>
      <c r="BR1395" s="318"/>
      <c r="BS1395" s="318"/>
      <c r="BT1395" s="318"/>
      <c r="BU1395" s="318"/>
      <c r="BV1395" s="318"/>
      <c r="BW1395" s="318"/>
      <c r="BX1395" s="318"/>
      <c r="BY1395" s="318"/>
      <c r="BZ1395" s="318"/>
      <c r="CA1395" s="318"/>
      <c r="CB1395" s="318"/>
      <c r="CC1395" s="318"/>
      <c r="CD1395" s="318"/>
      <c r="CE1395" s="318"/>
      <c r="CF1395" s="318"/>
      <c r="CG1395" s="318"/>
      <c r="CH1395" s="318"/>
      <c r="CI1395" s="318"/>
      <c r="CJ1395" s="2"/>
      <c r="CK1395" s="2"/>
      <c r="CM1395" s="1140">
        <f t="shared" si="815"/>
        <v>0</v>
      </c>
      <c r="CN1395" s="1140">
        <v>0</v>
      </c>
      <c r="CP1395" s="923">
        <f t="shared" si="814"/>
        <v>0</v>
      </c>
      <c r="CZ1395" s="330"/>
    </row>
    <row r="1396" spans="1:104" ht="15" customHeight="1" x14ac:dyDescent="0.25">
      <c r="A1396" s="684">
        <f>MAX($A$6:A1395)+1</f>
        <v>1396</v>
      </c>
      <c r="B1396" s="3">
        <f t="shared" si="828"/>
        <v>14</v>
      </c>
      <c r="C1396" s="11" t="str">
        <f t="shared" si="793"/>
        <v>Consolidated Provisions for liabilities and charges</v>
      </c>
      <c r="D1396" s="11" t="s">
        <v>938</v>
      </c>
      <c r="E1396" s="16" t="s">
        <v>221</v>
      </c>
      <c r="F1396" s="16"/>
      <c r="G1396" s="1254" t="s">
        <v>286</v>
      </c>
      <c r="H1396" s="6"/>
      <c r="I1396" s="1190"/>
      <c r="J1396" s="1261" t="s">
        <v>286</v>
      </c>
      <c r="K1396" s="251">
        <f>SUMIF('alb Note 14 - Provisions CY'!$A:$A,$J1396,'alb Note 14 - Provisions CY'!$I:$I)</f>
        <v>0</v>
      </c>
      <c r="L1396" s="266"/>
      <c r="M1396" s="10"/>
      <c r="N1396" s="273">
        <f t="shared" si="835"/>
        <v>0</v>
      </c>
      <c r="O1396" s="12"/>
      <c r="P1396" s="12"/>
      <c r="Q1396" s="12"/>
      <c r="R1396" s="12"/>
      <c r="S1396" s="6">
        <f t="shared" si="822"/>
        <v>0</v>
      </c>
      <c r="T1396" s="273">
        <f>ROUND(SUM(U1396:Y1396),0)</f>
        <v>0</v>
      </c>
      <c r="U1396" s="6">
        <f>SUM(BL1396:BN1396)</f>
        <v>0</v>
      </c>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X1396" s="6"/>
      <c r="AY1396" s="6">
        <f>ROUND(AX1396/1000/Update!$B$31*Update!$B$27,0)</f>
        <v>0</v>
      </c>
      <c r="BA1396" s="6"/>
      <c r="BB1396" s="6">
        <f>ROUND(BA1396/1000/Update!$B$31,0)</f>
        <v>0</v>
      </c>
      <c r="BC1396" s="6"/>
      <c r="BD1396" s="29">
        <f t="shared" si="829"/>
        <v>0</v>
      </c>
      <c r="BE1396" s="322"/>
      <c r="BF1396" s="322"/>
      <c r="BG1396" s="322"/>
      <c r="BH1396" s="322"/>
      <c r="BI1396" s="322"/>
      <c r="BJ1396" s="322"/>
      <c r="BK1396" s="29">
        <f t="shared" si="803"/>
        <v>0</v>
      </c>
      <c r="BL1396" s="322"/>
      <c r="BM1396" s="322"/>
      <c r="BN1396" s="322"/>
      <c r="BO1396" s="322"/>
      <c r="BP1396" s="322"/>
      <c r="BQ1396" s="322"/>
      <c r="BR1396" s="322"/>
      <c r="BS1396" s="322"/>
      <c r="BT1396" s="322"/>
      <c r="BU1396" s="322"/>
      <c r="BV1396" s="322"/>
      <c r="BW1396" s="322"/>
      <c r="BX1396" s="322"/>
      <c r="BY1396" s="322"/>
      <c r="BZ1396" s="322"/>
      <c r="CA1396" s="322"/>
      <c r="CB1396" s="322"/>
      <c r="CC1396" s="322"/>
      <c r="CD1396" s="322"/>
      <c r="CE1396" s="322"/>
      <c r="CF1396" s="322"/>
      <c r="CG1396" s="322"/>
      <c r="CH1396" s="322"/>
      <c r="CI1396" s="322"/>
      <c r="CM1396" s="1139">
        <f t="shared" si="815"/>
        <v>0</v>
      </c>
      <c r="CN1396" s="1139">
        <v>0</v>
      </c>
      <c r="CP1396" s="923">
        <f t="shared" si="814"/>
        <v>0</v>
      </c>
      <c r="CZ1396" s="330"/>
    </row>
    <row r="1397" spans="1:104" ht="15" customHeight="1" x14ac:dyDescent="0.25">
      <c r="A1397" s="684">
        <f>MAX($A$6:A1396)+1</f>
        <v>1397</v>
      </c>
      <c r="B1397" s="3">
        <f t="shared" si="828"/>
        <v>14</v>
      </c>
      <c r="C1397" s="11" t="str">
        <f t="shared" si="793"/>
        <v>Consolidated Provisions for liabilities and charges</v>
      </c>
      <c r="D1397" s="11" t="s">
        <v>938</v>
      </c>
      <c r="E1397" s="7" t="s">
        <v>216</v>
      </c>
      <c r="F1397" s="7"/>
      <c r="G1397" s="1254" t="s">
        <v>286</v>
      </c>
      <c r="H1397" s="6"/>
      <c r="I1397" s="1190"/>
      <c r="J1397" s="1257" t="s">
        <v>795</v>
      </c>
      <c r="K1397" s="251">
        <f>SUMIF('alb Note 14 - Provisions CY'!$A:$A,$J1397,'alb Note 14 - Provisions CY'!$I:$I)</f>
        <v>0</v>
      </c>
      <c r="L1397" s="266"/>
      <c r="M1397" s="10"/>
      <c r="N1397" s="273">
        <f t="shared" si="835"/>
        <v>0</v>
      </c>
      <c r="O1397" s="12"/>
      <c r="P1397" s="12"/>
      <c r="Q1397" s="12"/>
      <c r="R1397" s="12"/>
      <c r="S1397" s="6">
        <f t="shared" si="822"/>
        <v>0</v>
      </c>
      <c r="T1397" s="273">
        <f>ROUND(SUM(U1397:Y1397),0)</f>
        <v>0</v>
      </c>
      <c r="U1397" s="6">
        <f>SUM(BL1397:BN1397)</f>
        <v>0</v>
      </c>
      <c r="V1397" s="6"/>
      <c r="W1397" s="6">
        <f>+H1397</f>
        <v>0</v>
      </c>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X1397" s="6"/>
      <c r="AY1397" s="6">
        <f>ROUND(AX1397/1000/Update!$B$31*Update!$B$27,0)</f>
        <v>0</v>
      </c>
      <c r="BA1397" s="6"/>
      <c r="BB1397" s="6">
        <f>ROUND(BA1397/1000/Update!$B$31,0)</f>
        <v>0</v>
      </c>
      <c r="BC1397" s="6"/>
      <c r="BD1397" s="29">
        <f t="shared" si="829"/>
        <v>0</v>
      </c>
      <c r="BE1397" s="322"/>
      <c r="BF1397" s="322"/>
      <c r="BG1397" s="322"/>
      <c r="BH1397" s="322"/>
      <c r="BI1397" s="322"/>
      <c r="BJ1397" s="322"/>
      <c r="BK1397" s="29">
        <f t="shared" si="803"/>
        <v>0</v>
      </c>
      <c r="BL1397" s="322"/>
      <c r="BM1397" s="322"/>
      <c r="BN1397" s="322"/>
      <c r="BO1397" s="322"/>
      <c r="BP1397" s="322"/>
      <c r="BQ1397" s="322"/>
      <c r="BR1397" s="322"/>
      <c r="BS1397" s="322"/>
      <c r="BT1397" s="322"/>
      <c r="BU1397" s="322"/>
      <c r="BV1397" s="322"/>
      <c r="BW1397" s="322"/>
      <c r="BX1397" s="322"/>
      <c r="BY1397" s="322"/>
      <c r="BZ1397" s="322"/>
      <c r="CA1397" s="322"/>
      <c r="CB1397" s="322"/>
      <c r="CC1397" s="322"/>
      <c r="CD1397" s="322"/>
      <c r="CE1397" s="322"/>
      <c r="CF1397" s="322"/>
      <c r="CG1397" s="322"/>
      <c r="CH1397" s="322"/>
      <c r="CI1397" s="322"/>
      <c r="CM1397" s="1139">
        <f t="shared" si="815"/>
        <v>0</v>
      </c>
      <c r="CN1397" s="1139">
        <v>0</v>
      </c>
      <c r="CP1397" s="923">
        <f t="shared" si="814"/>
        <v>0</v>
      </c>
      <c r="CZ1397" s="330"/>
    </row>
    <row r="1398" spans="1:104" ht="30" customHeight="1" x14ac:dyDescent="0.25">
      <c r="A1398" s="684">
        <f>MAX($A$6:A1397)+1</f>
        <v>1398</v>
      </c>
      <c r="B1398" s="3">
        <f t="shared" si="828"/>
        <v>14</v>
      </c>
      <c r="C1398" s="11" t="str">
        <f t="shared" si="793"/>
        <v>Consolidated Provisions for liabilities and charges</v>
      </c>
      <c r="D1398" s="11" t="s">
        <v>938</v>
      </c>
      <c r="E1398" s="7" t="s">
        <v>218</v>
      </c>
      <c r="F1398" s="7"/>
      <c r="G1398" s="1254" t="s">
        <v>286</v>
      </c>
      <c r="H1398" s="6"/>
      <c r="I1398" s="1190"/>
      <c r="J1398" s="1257" t="s">
        <v>796</v>
      </c>
      <c r="K1398" s="251">
        <f>SUMIF('alb Note 14 - Provisions CY'!$A:$A,$J1398,'alb Note 14 - Provisions CY'!$I:$I)</f>
        <v>0</v>
      </c>
      <c r="L1398" s="266"/>
      <c r="M1398" s="10"/>
      <c r="N1398" s="273">
        <f t="shared" si="835"/>
        <v>0</v>
      </c>
      <c r="O1398" s="12"/>
      <c r="P1398" s="12"/>
      <c r="Q1398" s="12"/>
      <c r="R1398" s="12"/>
      <c r="S1398" s="6">
        <f t="shared" si="822"/>
        <v>0</v>
      </c>
      <c r="T1398" s="273">
        <f>ROUND(SUM(U1398:Y1398),0)</f>
        <v>0</v>
      </c>
      <c r="U1398" s="6">
        <f>SUM(BL1398:BN1398)</f>
        <v>0</v>
      </c>
      <c r="V1398" s="6"/>
      <c r="W1398" s="6">
        <f>+H1398</f>
        <v>0</v>
      </c>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X1398" s="6"/>
      <c r="AY1398" s="6">
        <f>ROUND(AX1398/1000/Update!$B$31*Update!$B$27,0)</f>
        <v>0</v>
      </c>
      <c r="BA1398" s="6"/>
      <c r="BB1398" s="6">
        <f>ROUND(BA1398/1000/Update!$B$31,0)</f>
        <v>0</v>
      </c>
      <c r="BC1398" s="6"/>
      <c r="BD1398" s="29">
        <f t="shared" si="829"/>
        <v>0</v>
      </c>
      <c r="BE1398" s="322"/>
      <c r="BF1398" s="322"/>
      <c r="BG1398" s="322"/>
      <c r="BH1398" s="322"/>
      <c r="BI1398" s="322"/>
      <c r="BJ1398" s="322"/>
      <c r="BK1398" s="29">
        <f t="shared" si="803"/>
        <v>0</v>
      </c>
      <c r="BL1398" s="322"/>
      <c r="BM1398" s="322"/>
      <c r="BN1398" s="322"/>
      <c r="BO1398" s="322"/>
      <c r="BP1398" s="322"/>
      <c r="BQ1398" s="322"/>
      <c r="BR1398" s="322"/>
      <c r="BS1398" s="322"/>
      <c r="BT1398" s="322"/>
      <c r="BU1398" s="322"/>
      <c r="BV1398" s="322"/>
      <c r="BW1398" s="322"/>
      <c r="BX1398" s="322"/>
      <c r="BY1398" s="322"/>
      <c r="BZ1398" s="322"/>
      <c r="CA1398" s="322"/>
      <c r="CB1398" s="322"/>
      <c r="CC1398" s="322"/>
      <c r="CD1398" s="322"/>
      <c r="CE1398" s="322"/>
      <c r="CF1398" s="322"/>
      <c r="CG1398" s="322"/>
      <c r="CH1398" s="322"/>
      <c r="CI1398" s="322"/>
      <c r="CM1398" s="1139">
        <f t="shared" si="815"/>
        <v>0</v>
      </c>
      <c r="CN1398" s="1139">
        <v>0</v>
      </c>
      <c r="CP1398" s="923">
        <f t="shared" si="814"/>
        <v>0</v>
      </c>
      <c r="CZ1398" s="330"/>
    </row>
    <row r="1399" spans="1:104" ht="15" customHeight="1" x14ac:dyDescent="0.25">
      <c r="A1399" s="684">
        <f>MAX($A$6:A1398)+1</f>
        <v>1399</v>
      </c>
      <c r="B1399" s="3">
        <f t="shared" si="828"/>
        <v>14</v>
      </c>
      <c r="C1399" s="11" t="str">
        <f t="shared" si="793"/>
        <v>Consolidated Provisions for liabilities and charges</v>
      </c>
      <c r="D1399" s="11" t="s">
        <v>938</v>
      </c>
      <c r="E1399" s="7" t="s">
        <v>217</v>
      </c>
      <c r="F1399" s="7"/>
      <c r="G1399" s="1254" t="s">
        <v>286</v>
      </c>
      <c r="H1399" s="6"/>
      <c r="I1399" s="1190"/>
      <c r="J1399" s="1257" t="s">
        <v>797</v>
      </c>
      <c r="K1399" s="251">
        <f>SUMIF('alb Note 14 - Provisions CY'!$A:$A,$J1399,'alb Note 14 - Provisions CY'!$I:$I)</f>
        <v>0</v>
      </c>
      <c r="L1399" s="266"/>
      <c r="M1399" s="10"/>
      <c r="N1399" s="273">
        <f t="shared" si="835"/>
        <v>0</v>
      </c>
      <c r="O1399" s="12"/>
      <c r="P1399" s="12"/>
      <c r="Q1399" s="12"/>
      <c r="R1399" s="12"/>
      <c r="S1399" s="6">
        <f t="shared" si="822"/>
        <v>0</v>
      </c>
      <c r="T1399" s="273">
        <f>ROUND(SUM(U1399:Y1399),0)</f>
        <v>0</v>
      </c>
      <c r="U1399" s="6">
        <f>SUM(BL1399:BN1399)</f>
        <v>0</v>
      </c>
      <c r="V1399" s="6"/>
      <c r="W1399" s="6">
        <f>+H1399</f>
        <v>0</v>
      </c>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X1399" s="6"/>
      <c r="AY1399" s="6">
        <f>ROUND(AX1399/1000/Update!$B$31*Update!$B$27,0)</f>
        <v>0</v>
      </c>
      <c r="BA1399" s="6"/>
      <c r="BB1399" s="6">
        <f>ROUND(BA1399/1000/Update!$B$31,0)</f>
        <v>0</v>
      </c>
      <c r="BC1399" s="6"/>
      <c r="BD1399" s="29">
        <f t="shared" si="829"/>
        <v>0</v>
      </c>
      <c r="BE1399" s="322"/>
      <c r="BF1399" s="322"/>
      <c r="BG1399" s="322"/>
      <c r="BH1399" s="322"/>
      <c r="BI1399" s="322"/>
      <c r="BJ1399" s="322"/>
      <c r="BK1399" s="29">
        <f t="shared" ref="BK1399:BK1462" si="840">ROUND(SUM(BO1399:CI1399),0)</f>
        <v>0</v>
      </c>
      <c r="BL1399" s="322"/>
      <c r="BM1399" s="322"/>
      <c r="BN1399" s="322"/>
      <c r="BO1399" s="322"/>
      <c r="BP1399" s="322"/>
      <c r="BQ1399" s="322"/>
      <c r="BR1399" s="322"/>
      <c r="BS1399" s="322"/>
      <c r="BT1399" s="322"/>
      <c r="BU1399" s="322"/>
      <c r="BV1399" s="322"/>
      <c r="BW1399" s="322"/>
      <c r="BX1399" s="322"/>
      <c r="BY1399" s="322"/>
      <c r="BZ1399" s="322"/>
      <c r="CA1399" s="322"/>
      <c r="CB1399" s="322"/>
      <c r="CC1399" s="322"/>
      <c r="CD1399" s="322"/>
      <c r="CE1399" s="322"/>
      <c r="CF1399" s="322"/>
      <c r="CG1399" s="322"/>
      <c r="CH1399" s="322"/>
      <c r="CI1399" s="322"/>
      <c r="CM1399" s="1139">
        <f t="shared" si="815"/>
        <v>0</v>
      </c>
      <c r="CN1399" s="1139">
        <v>0</v>
      </c>
      <c r="CP1399" s="923">
        <f t="shared" si="814"/>
        <v>0</v>
      </c>
      <c r="CZ1399" s="330"/>
    </row>
    <row r="1400" spans="1:104" ht="15" customHeight="1" x14ac:dyDescent="0.25">
      <c r="A1400" s="701">
        <f>MAX($A$6:A1399)+1</f>
        <v>1400</v>
      </c>
      <c r="B1400" s="1291">
        <f t="shared" si="828"/>
        <v>14</v>
      </c>
      <c r="C1400" s="18" t="str">
        <f t="shared" si="793"/>
        <v>Consolidated Provisions for liabilities and charges</v>
      </c>
      <c r="D1400" s="19" t="s">
        <v>938</v>
      </c>
      <c r="E1400" s="19" t="s">
        <v>274</v>
      </c>
      <c r="F1400" s="19"/>
      <c r="G1400" s="1278"/>
      <c r="H1400" s="14">
        <f>SUM(H1397:H1399)</f>
        <v>0</v>
      </c>
      <c r="I1400" s="14"/>
      <c r="J1400" s="1258" t="s">
        <v>286</v>
      </c>
      <c r="K1400" s="256">
        <f>SUM(K1397:K1399)</f>
        <v>0</v>
      </c>
      <c r="L1400" s="256">
        <f>SUM(L1397:L1399)</f>
        <v>0</v>
      </c>
      <c r="M1400" s="21"/>
      <c r="N1400" s="14">
        <f t="shared" si="835"/>
        <v>0</v>
      </c>
      <c r="O1400" s="14">
        <f t="shared" ref="O1400:T1400" si="841">SUM(O1397:O1399)</f>
        <v>0</v>
      </c>
      <c r="P1400" s="14">
        <f t="shared" si="841"/>
        <v>0</v>
      </c>
      <c r="Q1400" s="14">
        <f t="shared" si="841"/>
        <v>0</v>
      </c>
      <c r="R1400" s="14">
        <f t="shared" si="841"/>
        <v>0</v>
      </c>
      <c r="S1400" s="14">
        <f t="shared" si="822"/>
        <v>0</v>
      </c>
      <c r="T1400" s="14">
        <f t="shared" si="841"/>
        <v>0</v>
      </c>
      <c r="U1400" s="14">
        <f>SUM(U1397:U1399)</f>
        <v>0</v>
      </c>
      <c r="V1400" s="14">
        <f>SUM(V1397:V1399)</f>
        <v>0</v>
      </c>
      <c r="W1400" s="14">
        <f>SUM(W1397:W1399)</f>
        <v>0</v>
      </c>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c r="AS1400" s="14"/>
      <c r="AT1400" s="14"/>
      <c r="AU1400" s="14"/>
      <c r="AV1400" s="14"/>
      <c r="AW1400" s="2"/>
      <c r="AX1400" s="14">
        <f>SUM(AX1397:AX1399)</f>
        <v>0</v>
      </c>
      <c r="AY1400" s="14">
        <f>ROUND(AX1400/1000/Update!$B$31*Update!$B$27,0)</f>
        <v>0</v>
      </c>
      <c r="AZ1400" s="2"/>
      <c r="BA1400" s="14">
        <f>SUM(BA1397:BA1399)</f>
        <v>0</v>
      </c>
      <c r="BB1400" s="14">
        <f>ROUND(BA1400/1000/Update!$B$31,0)</f>
        <v>0</v>
      </c>
      <c r="BC1400" s="14"/>
      <c r="BD1400" s="14">
        <f t="shared" si="829"/>
        <v>0</v>
      </c>
      <c r="BE1400" s="318">
        <f t="shared" ref="BE1400:BJ1400" si="842">SUM(BE1397:BE1399)</f>
        <v>0</v>
      </c>
      <c r="BF1400" s="318">
        <f t="shared" si="842"/>
        <v>0</v>
      </c>
      <c r="BG1400" s="318">
        <f t="shared" si="842"/>
        <v>0</v>
      </c>
      <c r="BH1400" s="318">
        <f t="shared" si="842"/>
        <v>0</v>
      </c>
      <c r="BI1400" s="318">
        <f t="shared" si="842"/>
        <v>0</v>
      </c>
      <c r="BJ1400" s="318">
        <f t="shared" si="842"/>
        <v>0</v>
      </c>
      <c r="BK1400" s="14">
        <f t="shared" si="840"/>
        <v>0</v>
      </c>
      <c r="BL1400" s="318"/>
      <c r="BM1400" s="318"/>
      <c r="BN1400" s="318"/>
      <c r="BO1400" s="318"/>
      <c r="BP1400" s="318"/>
      <c r="BQ1400" s="318"/>
      <c r="BR1400" s="318"/>
      <c r="BS1400" s="318"/>
      <c r="BT1400" s="318"/>
      <c r="BU1400" s="318"/>
      <c r="BV1400" s="318"/>
      <c r="BW1400" s="318"/>
      <c r="BX1400" s="318"/>
      <c r="BY1400" s="318"/>
      <c r="BZ1400" s="318"/>
      <c r="CA1400" s="318"/>
      <c r="CB1400" s="318"/>
      <c r="CC1400" s="318"/>
      <c r="CD1400" s="318"/>
      <c r="CE1400" s="318"/>
      <c r="CF1400" s="318"/>
      <c r="CG1400" s="318"/>
      <c r="CH1400" s="318"/>
      <c r="CI1400" s="318"/>
      <c r="CJ1400" s="2"/>
      <c r="CK1400" s="2"/>
      <c r="CM1400" s="1140">
        <f t="shared" si="815"/>
        <v>0</v>
      </c>
      <c r="CN1400" s="1140">
        <v>0</v>
      </c>
      <c r="CP1400" s="923">
        <f t="shared" si="814"/>
        <v>0</v>
      </c>
      <c r="CZ1400" s="330"/>
    </row>
    <row r="1401" spans="1:104" ht="15" customHeight="1" x14ac:dyDescent="0.25">
      <c r="A1401" s="684">
        <f>MAX($A$6:A1400)+1</f>
        <v>1401</v>
      </c>
      <c r="B1401" s="3">
        <f>B1395</f>
        <v>14</v>
      </c>
      <c r="C1401" s="11" t="str">
        <f>C1395</f>
        <v>Consolidated Provisions for liabilities and charges</v>
      </c>
      <c r="D1401" s="11" t="s">
        <v>831</v>
      </c>
      <c r="E1401" s="16" t="s">
        <v>221</v>
      </c>
      <c r="F1401" s="16"/>
      <c r="G1401" s="1254" t="s">
        <v>286</v>
      </c>
      <c r="H1401" s="6"/>
      <c r="I1401" s="1190"/>
      <c r="J1401" s="1261" t="s">
        <v>286</v>
      </c>
      <c r="K1401" s="251">
        <f>SUMIF('alb Note 14 - Provisions CY'!$A:$A,$J1401,'alb Note 14 - Provisions CY'!$B:$B)</f>
        <v>0</v>
      </c>
      <c r="L1401" s="266"/>
      <c r="M1401" s="10"/>
      <c r="N1401" s="273">
        <f t="shared" si="835"/>
        <v>0</v>
      </c>
      <c r="O1401" s="12"/>
      <c r="P1401" s="12"/>
      <c r="Q1401" s="12"/>
      <c r="R1401" s="12"/>
      <c r="S1401" s="6">
        <f t="shared" si="822"/>
        <v>0</v>
      </c>
      <c r="T1401" s="273">
        <f>ROUND(SUM(U1401:Y1401),0)</f>
        <v>0</v>
      </c>
      <c r="U1401" s="6">
        <f>SUM(BL1401:BN1401)</f>
        <v>0</v>
      </c>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X1401" s="6"/>
      <c r="AY1401" s="6">
        <f>ROUND(AX1401/1000/Update!$B$31*Update!$B$27,0)</f>
        <v>0</v>
      </c>
      <c r="BA1401" s="6"/>
      <c r="BB1401" s="6">
        <f>ROUND(BA1401/1000/Update!$B$31,0)</f>
        <v>0</v>
      </c>
      <c r="BC1401" s="6"/>
      <c r="BD1401" s="29">
        <f t="shared" si="829"/>
        <v>0</v>
      </c>
      <c r="BE1401" s="322"/>
      <c r="BF1401" s="322"/>
      <c r="BG1401" s="322"/>
      <c r="BH1401" s="322"/>
      <c r="BI1401" s="322"/>
      <c r="BJ1401" s="322"/>
      <c r="BK1401" s="29">
        <f t="shared" si="840"/>
        <v>0</v>
      </c>
      <c r="BL1401" s="322"/>
      <c r="BM1401" s="322"/>
      <c r="BN1401" s="322"/>
      <c r="BO1401" s="322"/>
      <c r="BP1401" s="322"/>
      <c r="BQ1401" s="322"/>
      <c r="BR1401" s="322"/>
      <c r="BS1401" s="322"/>
      <c r="BT1401" s="322"/>
      <c r="BU1401" s="322"/>
      <c r="BV1401" s="322"/>
      <c r="BW1401" s="322"/>
      <c r="BX1401" s="322"/>
      <c r="BY1401" s="322"/>
      <c r="BZ1401" s="322"/>
      <c r="CA1401" s="322"/>
      <c r="CB1401" s="322"/>
      <c r="CC1401" s="322"/>
      <c r="CD1401" s="322"/>
      <c r="CE1401" s="322"/>
      <c r="CF1401" s="322"/>
      <c r="CG1401" s="322"/>
      <c r="CH1401" s="322"/>
      <c r="CI1401" s="322"/>
      <c r="CM1401" s="1139">
        <f t="shared" si="815"/>
        <v>0</v>
      </c>
      <c r="CN1401" s="1139">
        <v>0</v>
      </c>
      <c r="CP1401" s="923">
        <f t="shared" si="814"/>
        <v>0</v>
      </c>
      <c r="CZ1401" s="330"/>
    </row>
    <row r="1402" spans="1:104" ht="15" customHeight="1" x14ac:dyDescent="0.25">
      <c r="A1402" s="684">
        <f>MAX($A$6:A1401)+1</f>
        <v>1402</v>
      </c>
      <c r="B1402" s="3">
        <f t="shared" ref="B1402:B1410" si="843">B1401</f>
        <v>14</v>
      </c>
      <c r="C1402" s="11" t="str">
        <f t="shared" si="793"/>
        <v>Consolidated Provisions for liabilities and charges</v>
      </c>
      <c r="D1402" s="11" t="str">
        <f>D1401</f>
        <v>Pensions relating to former directors</v>
      </c>
      <c r="E1402" s="7" t="s">
        <v>216</v>
      </c>
      <c r="F1402" s="7"/>
      <c r="G1402" s="1254" t="s">
        <v>286</v>
      </c>
      <c r="H1402" s="6"/>
      <c r="I1402" s="1190"/>
      <c r="J1402" s="1257" t="s">
        <v>795</v>
      </c>
      <c r="K1402" s="251">
        <f>SUMIF('alb Note 14 - Provisions CY'!$A:$A,$J1402,'alb Note 14 - Provisions CY'!$B:$B)</f>
        <v>0</v>
      </c>
      <c r="L1402" s="266"/>
      <c r="M1402" s="10"/>
      <c r="N1402" s="273">
        <f t="shared" si="835"/>
        <v>0</v>
      </c>
      <c r="O1402" s="12"/>
      <c r="P1402" s="12"/>
      <c r="Q1402" s="12"/>
      <c r="R1402" s="12"/>
      <c r="S1402" s="6">
        <f t="shared" si="822"/>
        <v>0</v>
      </c>
      <c r="T1402" s="273">
        <f>ROUND(SUM(U1402:Y1402),0)</f>
        <v>0</v>
      </c>
      <c r="U1402" s="6">
        <f>SUM(BL1402:BN1402)</f>
        <v>0</v>
      </c>
      <c r="V1402" s="6"/>
      <c r="W1402" s="6">
        <f>+H1402</f>
        <v>0</v>
      </c>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X1402" s="6"/>
      <c r="AY1402" s="6">
        <f>ROUND(AX1402/1000/Update!$B$31*Update!$B$27,0)</f>
        <v>0</v>
      </c>
      <c r="BA1402" s="6"/>
      <c r="BB1402" s="6">
        <f>ROUND(BA1402/1000/Update!$B$31,0)</f>
        <v>0</v>
      </c>
      <c r="BC1402" s="6"/>
      <c r="BD1402" s="29">
        <f t="shared" si="829"/>
        <v>0</v>
      </c>
      <c r="BE1402" s="322"/>
      <c r="BF1402" s="322"/>
      <c r="BG1402" s="322"/>
      <c r="BH1402" s="322"/>
      <c r="BI1402" s="322"/>
      <c r="BJ1402" s="322"/>
      <c r="BK1402" s="29">
        <f t="shared" si="840"/>
        <v>0</v>
      </c>
      <c r="BL1402" s="322"/>
      <c r="BM1402" s="322"/>
      <c r="BN1402" s="322"/>
      <c r="BO1402" s="322"/>
      <c r="BP1402" s="322"/>
      <c r="BQ1402" s="322"/>
      <c r="BR1402" s="322"/>
      <c r="BS1402" s="322"/>
      <c r="BT1402" s="322"/>
      <c r="BU1402" s="322"/>
      <c r="BV1402" s="322"/>
      <c r="BW1402" s="322"/>
      <c r="BX1402" s="322"/>
      <c r="BY1402" s="322"/>
      <c r="BZ1402" s="322"/>
      <c r="CA1402" s="322"/>
      <c r="CB1402" s="322"/>
      <c r="CC1402" s="322"/>
      <c r="CD1402" s="322"/>
      <c r="CE1402" s="322"/>
      <c r="CF1402" s="322"/>
      <c r="CG1402" s="322"/>
      <c r="CH1402" s="322"/>
      <c r="CI1402" s="322"/>
      <c r="CM1402" s="1139">
        <f t="shared" si="815"/>
        <v>0</v>
      </c>
      <c r="CN1402" s="1139">
        <v>0</v>
      </c>
      <c r="CP1402" s="923">
        <f t="shared" si="814"/>
        <v>0</v>
      </c>
      <c r="CZ1402" s="330"/>
    </row>
    <row r="1403" spans="1:104" ht="30" customHeight="1" x14ac:dyDescent="0.25">
      <c r="A1403" s="684">
        <f>MAX($A$6:A1402)+1</f>
        <v>1403</v>
      </c>
      <c r="B1403" s="3">
        <f t="shared" si="843"/>
        <v>14</v>
      </c>
      <c r="C1403" s="11" t="str">
        <f t="shared" si="793"/>
        <v>Consolidated Provisions for liabilities and charges</v>
      </c>
      <c r="D1403" s="11" t="str">
        <f>D1402</f>
        <v>Pensions relating to former directors</v>
      </c>
      <c r="E1403" s="7" t="s">
        <v>218</v>
      </c>
      <c r="F1403" s="7"/>
      <c r="G1403" s="1254" t="s">
        <v>286</v>
      </c>
      <c r="H1403" s="6"/>
      <c r="I1403" s="1190"/>
      <c r="J1403" s="1257" t="s">
        <v>796</v>
      </c>
      <c r="K1403" s="251">
        <f>SUMIF('alb Note 14 - Provisions CY'!$A:$A,$J1403,'alb Note 14 - Provisions CY'!$B:$B)</f>
        <v>0</v>
      </c>
      <c r="L1403" s="266"/>
      <c r="M1403" s="10"/>
      <c r="N1403" s="273">
        <f t="shared" si="835"/>
        <v>0</v>
      </c>
      <c r="O1403" s="12"/>
      <c r="P1403" s="12"/>
      <c r="Q1403" s="12"/>
      <c r="R1403" s="12"/>
      <c r="S1403" s="6">
        <f t="shared" si="822"/>
        <v>0</v>
      </c>
      <c r="T1403" s="273">
        <f>ROUND(SUM(U1403:Y1403),0)</f>
        <v>0</v>
      </c>
      <c r="U1403" s="6">
        <f>SUM(BL1403:BN1403)</f>
        <v>0</v>
      </c>
      <c r="V1403" s="6"/>
      <c r="W1403" s="6">
        <f>+H1403</f>
        <v>0</v>
      </c>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X1403" s="6"/>
      <c r="AY1403" s="6">
        <f>ROUND(AX1403/1000/Update!$B$31*Update!$B$27,0)</f>
        <v>0</v>
      </c>
      <c r="BA1403" s="6"/>
      <c r="BB1403" s="6">
        <f>ROUND(BA1403/1000/Update!$B$31,0)</f>
        <v>0</v>
      </c>
      <c r="BC1403" s="6"/>
      <c r="BD1403" s="29">
        <f t="shared" si="829"/>
        <v>0</v>
      </c>
      <c r="BE1403" s="322"/>
      <c r="BF1403" s="322"/>
      <c r="BG1403" s="322"/>
      <c r="BH1403" s="322"/>
      <c r="BI1403" s="322"/>
      <c r="BJ1403" s="322"/>
      <c r="BK1403" s="29">
        <f t="shared" si="840"/>
        <v>0</v>
      </c>
      <c r="BL1403" s="322"/>
      <c r="BM1403" s="322"/>
      <c r="BN1403" s="322"/>
      <c r="BO1403" s="322"/>
      <c r="BP1403" s="322"/>
      <c r="BQ1403" s="322"/>
      <c r="BR1403" s="322"/>
      <c r="BS1403" s="322"/>
      <c r="BT1403" s="322"/>
      <c r="BU1403" s="322"/>
      <c r="BV1403" s="322"/>
      <c r="BW1403" s="322"/>
      <c r="BX1403" s="322"/>
      <c r="BY1403" s="322"/>
      <c r="BZ1403" s="322"/>
      <c r="CA1403" s="322"/>
      <c r="CB1403" s="322"/>
      <c r="CC1403" s="322"/>
      <c r="CD1403" s="322"/>
      <c r="CE1403" s="322"/>
      <c r="CF1403" s="322"/>
      <c r="CG1403" s="322"/>
      <c r="CH1403" s="322"/>
      <c r="CI1403" s="322"/>
      <c r="CM1403" s="1139">
        <f t="shared" si="815"/>
        <v>0</v>
      </c>
      <c r="CN1403" s="1139">
        <v>0</v>
      </c>
      <c r="CP1403" s="923">
        <f t="shared" si="814"/>
        <v>0</v>
      </c>
      <c r="CZ1403" s="330"/>
    </row>
    <row r="1404" spans="1:104" ht="15" customHeight="1" x14ac:dyDescent="0.25">
      <c r="A1404" s="684">
        <f>MAX($A$6:A1403)+1</f>
        <v>1404</v>
      </c>
      <c r="B1404" s="3">
        <f t="shared" si="843"/>
        <v>14</v>
      </c>
      <c r="C1404" s="11" t="str">
        <f t="shared" si="793"/>
        <v>Consolidated Provisions for liabilities and charges</v>
      </c>
      <c r="D1404" s="11" t="str">
        <f>D1403</f>
        <v>Pensions relating to former directors</v>
      </c>
      <c r="E1404" s="7" t="s">
        <v>217</v>
      </c>
      <c r="F1404" s="7"/>
      <c r="G1404" s="1254" t="s">
        <v>286</v>
      </c>
      <c r="H1404" s="6"/>
      <c r="I1404" s="1190"/>
      <c r="J1404" s="1257" t="s">
        <v>797</v>
      </c>
      <c r="K1404" s="251">
        <f>SUMIF('alb Note 14 - Provisions CY'!$A:$A,$J1404,'alb Note 14 - Provisions CY'!$B:$B)</f>
        <v>0</v>
      </c>
      <c r="L1404" s="266"/>
      <c r="M1404" s="10"/>
      <c r="N1404" s="273">
        <f t="shared" si="835"/>
        <v>0</v>
      </c>
      <c r="O1404" s="12"/>
      <c r="P1404" s="12"/>
      <c r="Q1404" s="12"/>
      <c r="R1404" s="12"/>
      <c r="S1404" s="6">
        <f t="shared" si="822"/>
        <v>0</v>
      </c>
      <c r="T1404" s="273">
        <f>ROUND(SUM(U1404:Y1404),0)</f>
        <v>0</v>
      </c>
      <c r="U1404" s="6">
        <f>SUM(BL1404:BN1404)</f>
        <v>0</v>
      </c>
      <c r="V1404" s="6"/>
      <c r="W1404" s="6">
        <f>+H1404</f>
        <v>0</v>
      </c>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X1404" s="6"/>
      <c r="AY1404" s="6">
        <f>ROUND(AX1404/1000/Update!$B$31*Update!$B$27,0)</f>
        <v>0</v>
      </c>
      <c r="BA1404" s="6"/>
      <c r="BB1404" s="6">
        <f>ROUND(BA1404/1000/Update!$B$31,0)</f>
        <v>0</v>
      </c>
      <c r="BC1404" s="6"/>
      <c r="BD1404" s="29">
        <f t="shared" si="829"/>
        <v>0</v>
      </c>
      <c r="BE1404" s="322"/>
      <c r="BF1404" s="322"/>
      <c r="BG1404" s="322"/>
      <c r="BH1404" s="322"/>
      <c r="BI1404" s="322"/>
      <c r="BJ1404" s="322"/>
      <c r="BK1404" s="29">
        <f t="shared" si="840"/>
        <v>0</v>
      </c>
      <c r="BL1404" s="322"/>
      <c r="BM1404" s="322"/>
      <c r="BN1404" s="322"/>
      <c r="BO1404" s="322"/>
      <c r="BP1404" s="322"/>
      <c r="BQ1404" s="322"/>
      <c r="BR1404" s="322"/>
      <c r="BS1404" s="322"/>
      <c r="BT1404" s="322"/>
      <c r="BU1404" s="322"/>
      <c r="BV1404" s="322"/>
      <c r="BW1404" s="322"/>
      <c r="BX1404" s="322"/>
      <c r="BY1404" s="322"/>
      <c r="BZ1404" s="322"/>
      <c r="CA1404" s="322"/>
      <c r="CB1404" s="322"/>
      <c r="CC1404" s="322"/>
      <c r="CD1404" s="322"/>
      <c r="CE1404" s="322"/>
      <c r="CF1404" s="322"/>
      <c r="CG1404" s="322"/>
      <c r="CH1404" s="322"/>
      <c r="CI1404" s="322"/>
      <c r="CM1404" s="1139">
        <f t="shared" si="815"/>
        <v>0</v>
      </c>
      <c r="CN1404" s="1139">
        <v>0</v>
      </c>
      <c r="CP1404" s="923">
        <f t="shared" si="814"/>
        <v>0</v>
      </c>
      <c r="CZ1404" s="330"/>
    </row>
    <row r="1405" spans="1:104" ht="15" customHeight="1" x14ac:dyDescent="0.25">
      <c r="A1405" s="701">
        <f>MAX($A$6:A1404)+1</f>
        <v>1405</v>
      </c>
      <c r="B1405" s="1291">
        <f t="shared" si="843"/>
        <v>14</v>
      </c>
      <c r="C1405" s="18" t="str">
        <f t="shared" si="793"/>
        <v>Consolidated Provisions for liabilities and charges</v>
      </c>
      <c r="D1405" s="19" t="str">
        <f>D1404</f>
        <v>Pensions relating to former directors</v>
      </c>
      <c r="E1405" s="19" t="s">
        <v>274</v>
      </c>
      <c r="F1405" s="19"/>
      <c r="G1405" s="1278"/>
      <c r="H1405" s="14"/>
      <c r="I1405" s="14"/>
      <c r="J1405" s="1258" t="s">
        <v>286</v>
      </c>
      <c r="K1405" s="256">
        <f>SUM(K1401:K1404)</f>
        <v>0</v>
      </c>
      <c r="L1405" s="256">
        <f>SUM(L1401:L1404)</f>
        <v>0</v>
      </c>
      <c r="M1405" s="14">
        <f>SUM(M1401:M1404)</f>
        <v>0</v>
      </c>
      <c r="N1405" s="14">
        <f t="shared" si="835"/>
        <v>0</v>
      </c>
      <c r="O1405" s="14">
        <f t="shared" ref="O1405:W1405" si="844">SUM(O1401:O1404)</f>
        <v>0</v>
      </c>
      <c r="P1405" s="14">
        <f t="shared" si="844"/>
        <v>0</v>
      </c>
      <c r="Q1405" s="14">
        <f t="shared" si="844"/>
        <v>0</v>
      </c>
      <c r="R1405" s="14">
        <f t="shared" si="844"/>
        <v>0</v>
      </c>
      <c r="S1405" s="14">
        <f t="shared" si="822"/>
        <v>0</v>
      </c>
      <c r="T1405" s="14">
        <f t="shared" si="844"/>
        <v>0</v>
      </c>
      <c r="U1405" s="14">
        <f t="shared" si="844"/>
        <v>0</v>
      </c>
      <c r="V1405" s="14">
        <f t="shared" si="844"/>
        <v>0</v>
      </c>
      <c r="W1405" s="14">
        <f t="shared" si="844"/>
        <v>0</v>
      </c>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2"/>
      <c r="AX1405" s="14">
        <f>SUM(AX1401:AX1404)</f>
        <v>0</v>
      </c>
      <c r="AY1405" s="14">
        <f>ROUND(AX1405/1000/Update!$B$31*Update!$B$27,0)</f>
        <v>0</v>
      </c>
      <c r="AZ1405" s="2"/>
      <c r="BA1405" s="14">
        <f>SUM(BA1401:BA1404)</f>
        <v>0</v>
      </c>
      <c r="BB1405" s="14">
        <f>ROUND(BA1405/1000/Update!$B$31,0)</f>
        <v>0</v>
      </c>
      <c r="BC1405" s="14"/>
      <c r="BD1405" s="14">
        <f t="shared" si="829"/>
        <v>0</v>
      </c>
      <c r="BE1405" s="318">
        <f t="shared" ref="BE1405:BJ1405" si="845">SUM(BE1401:BE1404)</f>
        <v>0</v>
      </c>
      <c r="BF1405" s="318">
        <f t="shared" si="845"/>
        <v>0</v>
      </c>
      <c r="BG1405" s="318">
        <f t="shared" si="845"/>
        <v>0</v>
      </c>
      <c r="BH1405" s="318">
        <f t="shared" si="845"/>
        <v>0</v>
      </c>
      <c r="BI1405" s="318">
        <f t="shared" si="845"/>
        <v>0</v>
      </c>
      <c r="BJ1405" s="318">
        <f t="shared" si="845"/>
        <v>0</v>
      </c>
      <c r="BK1405" s="14">
        <f t="shared" si="840"/>
        <v>0</v>
      </c>
      <c r="BL1405" s="318"/>
      <c r="BM1405" s="318"/>
      <c r="BN1405" s="318"/>
      <c r="BO1405" s="318"/>
      <c r="BP1405" s="318"/>
      <c r="BQ1405" s="318"/>
      <c r="BR1405" s="318"/>
      <c r="BS1405" s="318"/>
      <c r="BT1405" s="318"/>
      <c r="BU1405" s="318"/>
      <c r="BV1405" s="318"/>
      <c r="BW1405" s="318"/>
      <c r="BX1405" s="318"/>
      <c r="BY1405" s="318"/>
      <c r="BZ1405" s="318"/>
      <c r="CA1405" s="318"/>
      <c r="CB1405" s="318"/>
      <c r="CC1405" s="318"/>
      <c r="CD1405" s="318"/>
      <c r="CE1405" s="318"/>
      <c r="CF1405" s="318"/>
      <c r="CG1405" s="318"/>
      <c r="CH1405" s="318"/>
      <c r="CI1405" s="318"/>
      <c r="CJ1405" s="2"/>
      <c r="CK1405" s="2"/>
      <c r="CM1405" s="1140">
        <f t="shared" si="815"/>
        <v>0</v>
      </c>
      <c r="CN1405" s="1140">
        <v>0</v>
      </c>
      <c r="CP1405" s="923">
        <f t="shared" si="814"/>
        <v>0</v>
      </c>
      <c r="CZ1405" s="330"/>
    </row>
    <row r="1406" spans="1:104" ht="15" customHeight="1" x14ac:dyDescent="0.25">
      <c r="A1406" s="684">
        <f>MAX($A$6:A1405)+1</f>
        <v>1406</v>
      </c>
      <c r="B1406" s="3">
        <f t="shared" si="843"/>
        <v>14</v>
      </c>
      <c r="C1406" s="11" t="str">
        <f t="shared" si="793"/>
        <v>Consolidated Provisions for liabilities and charges</v>
      </c>
      <c r="D1406" s="11" t="s">
        <v>832</v>
      </c>
      <c r="E1406" s="16" t="s">
        <v>221</v>
      </c>
      <c r="F1406" s="16"/>
      <c r="G1406" s="1254" t="s">
        <v>286</v>
      </c>
      <c r="H1406" s="6"/>
      <c r="I1406" s="1190"/>
      <c r="J1406" s="1261" t="s">
        <v>286</v>
      </c>
      <c r="K1406" s="251">
        <f>SUMIF('alb Note 14 - Provisions CY'!$A:$A,$J1406,'alb Note 14 - Provisions CY'!$C:$C)</f>
        <v>0</v>
      </c>
      <c r="L1406" s="266"/>
      <c r="M1406" s="10"/>
      <c r="N1406" s="273">
        <f t="shared" si="835"/>
        <v>0</v>
      </c>
      <c r="O1406" s="12"/>
      <c r="P1406" s="12"/>
      <c r="Q1406" s="12"/>
      <c r="R1406" s="12"/>
      <c r="S1406" s="6">
        <f t="shared" si="822"/>
        <v>0</v>
      </c>
      <c r="T1406" s="273">
        <f>ROUND(SUM(U1406:Y1406),0)</f>
        <v>0</v>
      </c>
      <c r="U1406" s="6">
        <f>SUM(BL1406:BN1406)</f>
        <v>0</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X1406" s="6"/>
      <c r="AY1406" s="6">
        <f>ROUND(AX1406/1000/Update!$B$31*Update!$B$27,0)</f>
        <v>0</v>
      </c>
      <c r="BA1406" s="6"/>
      <c r="BB1406" s="6">
        <f>ROUND(BA1406/1000/Update!$B$31,0)</f>
        <v>0</v>
      </c>
      <c r="BC1406" s="6"/>
      <c r="BD1406" s="29">
        <f t="shared" si="829"/>
        <v>0</v>
      </c>
      <c r="BE1406" s="322"/>
      <c r="BF1406" s="322"/>
      <c r="BG1406" s="322"/>
      <c r="BH1406" s="322"/>
      <c r="BI1406" s="322"/>
      <c r="BJ1406" s="322"/>
      <c r="BK1406" s="29">
        <f t="shared" si="840"/>
        <v>0</v>
      </c>
      <c r="BL1406" s="322"/>
      <c r="BM1406" s="322"/>
      <c r="BN1406" s="322"/>
      <c r="BO1406" s="322"/>
      <c r="BP1406" s="322"/>
      <c r="BQ1406" s="322"/>
      <c r="BR1406" s="322"/>
      <c r="BS1406" s="322"/>
      <c r="BT1406" s="322"/>
      <c r="BU1406" s="322"/>
      <c r="BV1406" s="322"/>
      <c r="BW1406" s="322"/>
      <c r="BX1406" s="322"/>
      <c r="BY1406" s="322"/>
      <c r="BZ1406" s="322"/>
      <c r="CA1406" s="322"/>
      <c r="CB1406" s="322"/>
      <c r="CC1406" s="322"/>
      <c r="CD1406" s="322"/>
      <c r="CE1406" s="322"/>
      <c r="CF1406" s="322"/>
      <c r="CG1406" s="322"/>
      <c r="CH1406" s="322"/>
      <c r="CI1406" s="322"/>
      <c r="CM1406" s="1139">
        <f t="shared" si="815"/>
        <v>0</v>
      </c>
      <c r="CN1406" s="1139">
        <v>0</v>
      </c>
      <c r="CP1406" s="923">
        <f t="shared" si="814"/>
        <v>0</v>
      </c>
      <c r="CZ1406" s="330"/>
    </row>
    <row r="1407" spans="1:104" ht="15" customHeight="1" x14ac:dyDescent="0.25">
      <c r="A1407" s="684">
        <f>MAX($A$6:A1406)+1</f>
        <v>1407</v>
      </c>
      <c r="B1407" s="3">
        <f t="shared" si="843"/>
        <v>14</v>
      </c>
      <c r="C1407" s="11" t="str">
        <f t="shared" si="793"/>
        <v>Consolidated Provisions for liabilities and charges</v>
      </c>
      <c r="D1407" s="11" t="str">
        <f>D1406</f>
        <v>Pensions relating to other staff</v>
      </c>
      <c r="E1407" s="7" t="s">
        <v>216</v>
      </c>
      <c r="F1407" s="7"/>
      <c r="G1407" s="1254" t="s">
        <v>286</v>
      </c>
      <c r="H1407" s="6"/>
      <c r="I1407" s="1190"/>
      <c r="J1407" s="1257" t="s">
        <v>795</v>
      </c>
      <c r="K1407" s="251">
        <f>SUMIF('alb Note 14 - Provisions CY'!$A:$A,$J1407,'alb Note 14 - Provisions CY'!$C:$C)</f>
        <v>0</v>
      </c>
      <c r="L1407" s="266"/>
      <c r="M1407" s="10"/>
      <c r="N1407" s="273">
        <f t="shared" si="835"/>
        <v>0</v>
      </c>
      <c r="O1407" s="12"/>
      <c r="P1407" s="12"/>
      <c r="Q1407" s="12"/>
      <c r="R1407" s="12"/>
      <c r="S1407" s="6">
        <f t="shared" si="822"/>
        <v>0</v>
      </c>
      <c r="T1407" s="273">
        <f>ROUND(SUM(U1407:Y1407),0)</f>
        <v>0</v>
      </c>
      <c r="U1407" s="6">
        <f>SUM(BL1407:BN1407)</f>
        <v>0</v>
      </c>
      <c r="V1407" s="6"/>
      <c r="W1407" s="6">
        <f>+H1407</f>
        <v>0</v>
      </c>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X1407" s="6"/>
      <c r="AY1407" s="6">
        <f>ROUND(AX1407/1000/Update!$B$31*Update!$B$27,0)</f>
        <v>0</v>
      </c>
      <c r="BA1407" s="6"/>
      <c r="BB1407" s="6">
        <f>ROUND(BA1407/1000/Update!$B$31,0)</f>
        <v>0</v>
      </c>
      <c r="BC1407" s="6"/>
      <c r="BD1407" s="29">
        <f t="shared" si="829"/>
        <v>0</v>
      </c>
      <c r="BE1407" s="322"/>
      <c r="BF1407" s="322"/>
      <c r="BG1407" s="322"/>
      <c r="BH1407" s="322"/>
      <c r="BI1407" s="322"/>
      <c r="BJ1407" s="322"/>
      <c r="BK1407" s="29">
        <f t="shared" si="840"/>
        <v>0</v>
      </c>
      <c r="BL1407" s="322"/>
      <c r="BM1407" s="322"/>
      <c r="BN1407" s="322"/>
      <c r="BO1407" s="322"/>
      <c r="BP1407" s="322"/>
      <c r="BQ1407" s="322"/>
      <c r="BR1407" s="322"/>
      <c r="BS1407" s="322"/>
      <c r="BT1407" s="322"/>
      <c r="BU1407" s="322"/>
      <c r="BV1407" s="322"/>
      <c r="BW1407" s="322"/>
      <c r="BX1407" s="322"/>
      <c r="BY1407" s="322"/>
      <c r="BZ1407" s="322"/>
      <c r="CA1407" s="322"/>
      <c r="CB1407" s="322"/>
      <c r="CC1407" s="322"/>
      <c r="CD1407" s="322"/>
      <c r="CE1407" s="322"/>
      <c r="CF1407" s="322"/>
      <c r="CG1407" s="322"/>
      <c r="CH1407" s="322"/>
      <c r="CI1407" s="322"/>
      <c r="CM1407" s="1139">
        <f t="shared" si="815"/>
        <v>0</v>
      </c>
      <c r="CN1407" s="1139">
        <v>0</v>
      </c>
      <c r="CP1407" s="923">
        <f t="shared" si="814"/>
        <v>0</v>
      </c>
      <c r="CZ1407" s="330"/>
    </row>
    <row r="1408" spans="1:104" ht="30" customHeight="1" x14ac:dyDescent="0.25">
      <c r="A1408" s="684">
        <f>MAX($A$6:A1407)+1</f>
        <v>1408</v>
      </c>
      <c r="B1408" s="3">
        <f t="shared" si="843"/>
        <v>14</v>
      </c>
      <c r="C1408" s="11" t="str">
        <f t="shared" si="793"/>
        <v>Consolidated Provisions for liabilities and charges</v>
      </c>
      <c r="D1408" s="11" t="str">
        <f>D1407</f>
        <v>Pensions relating to other staff</v>
      </c>
      <c r="E1408" s="7" t="s">
        <v>218</v>
      </c>
      <c r="F1408" s="7"/>
      <c r="G1408" s="1254" t="s">
        <v>286</v>
      </c>
      <c r="H1408" s="6"/>
      <c r="I1408" s="1190"/>
      <c r="J1408" s="1257" t="s">
        <v>796</v>
      </c>
      <c r="K1408" s="251">
        <f>SUMIF('alb Note 14 - Provisions CY'!$A:$A,$J1408,'alb Note 14 - Provisions CY'!$C:$C)</f>
        <v>0</v>
      </c>
      <c r="L1408" s="266"/>
      <c r="M1408" s="10"/>
      <c r="N1408" s="273">
        <f t="shared" si="835"/>
        <v>0</v>
      </c>
      <c r="O1408" s="12"/>
      <c r="P1408" s="12"/>
      <c r="Q1408" s="12"/>
      <c r="R1408" s="12"/>
      <c r="S1408" s="6">
        <f t="shared" si="822"/>
        <v>0</v>
      </c>
      <c r="T1408" s="273">
        <f>ROUND(SUM(U1408:Y1408),0)</f>
        <v>0</v>
      </c>
      <c r="U1408" s="6">
        <f>SUM(BL1408:BN1408)</f>
        <v>0</v>
      </c>
      <c r="V1408" s="6"/>
      <c r="W1408" s="6">
        <f>+H1408</f>
        <v>0</v>
      </c>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X1408" s="6"/>
      <c r="AY1408" s="6">
        <f>ROUND(AX1408/1000/Update!$B$31*Update!$B$27,0)</f>
        <v>0</v>
      </c>
      <c r="BA1408" s="6"/>
      <c r="BB1408" s="6">
        <f>ROUND(BA1408/1000/Update!$B$31,0)</f>
        <v>0</v>
      </c>
      <c r="BC1408" s="6"/>
      <c r="BD1408" s="29">
        <f t="shared" si="829"/>
        <v>0</v>
      </c>
      <c r="BE1408" s="322"/>
      <c r="BF1408" s="322"/>
      <c r="BG1408" s="322"/>
      <c r="BH1408" s="322"/>
      <c r="BI1408" s="322"/>
      <c r="BJ1408" s="322"/>
      <c r="BK1408" s="29">
        <f t="shared" si="840"/>
        <v>0</v>
      </c>
      <c r="BL1408" s="322"/>
      <c r="BM1408" s="322"/>
      <c r="BN1408" s="322"/>
      <c r="BO1408" s="322"/>
      <c r="BP1408" s="322"/>
      <c r="BQ1408" s="322"/>
      <c r="BR1408" s="322"/>
      <c r="BS1408" s="322"/>
      <c r="BT1408" s="322"/>
      <c r="BU1408" s="322"/>
      <c r="BV1408" s="322"/>
      <c r="BW1408" s="322"/>
      <c r="BX1408" s="322"/>
      <c r="BY1408" s="322"/>
      <c r="BZ1408" s="322"/>
      <c r="CA1408" s="322"/>
      <c r="CB1408" s="322"/>
      <c r="CC1408" s="322"/>
      <c r="CD1408" s="322"/>
      <c r="CE1408" s="322"/>
      <c r="CF1408" s="322"/>
      <c r="CG1408" s="322"/>
      <c r="CH1408" s="322"/>
      <c r="CI1408" s="322"/>
      <c r="CM1408" s="1139">
        <f t="shared" si="815"/>
        <v>0</v>
      </c>
      <c r="CN1408" s="1139">
        <v>0</v>
      </c>
      <c r="CP1408" s="923">
        <f t="shared" si="814"/>
        <v>0</v>
      </c>
      <c r="CZ1408" s="330"/>
    </row>
    <row r="1409" spans="1:104" ht="15" customHeight="1" x14ac:dyDescent="0.25">
      <c r="A1409" s="684">
        <f>MAX($A$6:A1408)+1</f>
        <v>1409</v>
      </c>
      <c r="B1409" s="3">
        <f t="shared" si="843"/>
        <v>14</v>
      </c>
      <c r="C1409" s="11" t="str">
        <f t="shared" si="793"/>
        <v>Consolidated Provisions for liabilities and charges</v>
      </c>
      <c r="D1409" s="11" t="str">
        <f>D1408</f>
        <v>Pensions relating to other staff</v>
      </c>
      <c r="E1409" s="7" t="s">
        <v>217</v>
      </c>
      <c r="F1409" s="7"/>
      <c r="G1409" s="1254" t="s">
        <v>286</v>
      </c>
      <c r="H1409" s="6"/>
      <c r="I1409" s="1190"/>
      <c r="J1409" s="1257" t="s">
        <v>797</v>
      </c>
      <c r="K1409" s="251">
        <f>SUMIF('alb Note 14 - Provisions CY'!$A:$A,$J1409,'alb Note 14 - Provisions CY'!$C:$C)</f>
        <v>0</v>
      </c>
      <c r="L1409" s="266"/>
      <c r="M1409" s="10"/>
      <c r="N1409" s="273">
        <f t="shared" si="835"/>
        <v>0</v>
      </c>
      <c r="O1409" s="12"/>
      <c r="P1409" s="12"/>
      <c r="Q1409" s="12"/>
      <c r="R1409" s="12"/>
      <c r="S1409" s="6">
        <f t="shared" si="822"/>
        <v>0</v>
      </c>
      <c r="T1409" s="273">
        <f>ROUND(SUM(U1409:Y1409),0)</f>
        <v>0</v>
      </c>
      <c r="U1409" s="6">
        <f>SUM(BL1409:BN1409)</f>
        <v>0</v>
      </c>
      <c r="V1409" s="6"/>
      <c r="W1409" s="6">
        <f>+H1409</f>
        <v>0</v>
      </c>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X1409" s="6"/>
      <c r="AY1409" s="6">
        <f>ROUND(AX1409/1000/Update!$B$31*Update!$B$27,0)</f>
        <v>0</v>
      </c>
      <c r="BA1409" s="6"/>
      <c r="BB1409" s="6">
        <f>ROUND(BA1409/1000/Update!$B$31,0)</f>
        <v>0</v>
      </c>
      <c r="BC1409" s="6"/>
      <c r="BD1409" s="29">
        <f t="shared" si="829"/>
        <v>0</v>
      </c>
      <c r="BE1409" s="322"/>
      <c r="BF1409" s="322"/>
      <c r="BG1409" s="322"/>
      <c r="BH1409" s="322"/>
      <c r="BI1409" s="322"/>
      <c r="BJ1409" s="322"/>
      <c r="BK1409" s="29">
        <f t="shared" si="840"/>
        <v>0</v>
      </c>
      <c r="BL1409" s="322"/>
      <c r="BM1409" s="322"/>
      <c r="BN1409" s="322"/>
      <c r="BO1409" s="322"/>
      <c r="BP1409" s="322"/>
      <c r="BQ1409" s="322"/>
      <c r="BR1409" s="322"/>
      <c r="BS1409" s="322"/>
      <c r="BT1409" s="322"/>
      <c r="BU1409" s="322"/>
      <c r="BV1409" s="322"/>
      <c r="BW1409" s="322"/>
      <c r="BX1409" s="322"/>
      <c r="BY1409" s="322"/>
      <c r="BZ1409" s="322"/>
      <c r="CA1409" s="322"/>
      <c r="CB1409" s="322"/>
      <c r="CC1409" s="322"/>
      <c r="CD1409" s="322"/>
      <c r="CE1409" s="322"/>
      <c r="CF1409" s="322"/>
      <c r="CG1409" s="322"/>
      <c r="CH1409" s="322"/>
      <c r="CI1409" s="322"/>
      <c r="CM1409" s="1139">
        <f t="shared" si="815"/>
        <v>0</v>
      </c>
      <c r="CN1409" s="1139">
        <v>0</v>
      </c>
      <c r="CP1409" s="923">
        <f t="shared" si="814"/>
        <v>0</v>
      </c>
      <c r="CZ1409" s="330"/>
    </row>
    <row r="1410" spans="1:104" ht="15" customHeight="1" x14ac:dyDescent="0.25">
      <c r="A1410" s="701">
        <f>MAX($A$6:A1409)+1</f>
        <v>1410</v>
      </c>
      <c r="B1410" s="1291">
        <f t="shared" si="843"/>
        <v>14</v>
      </c>
      <c r="C1410" s="18" t="str">
        <f t="shared" si="793"/>
        <v>Consolidated Provisions for liabilities and charges</v>
      </c>
      <c r="D1410" s="19" t="str">
        <f>D1409</f>
        <v>Pensions relating to other staff</v>
      </c>
      <c r="E1410" s="19" t="s">
        <v>274</v>
      </c>
      <c r="F1410" s="19"/>
      <c r="G1410" s="28"/>
      <c r="H1410" s="14"/>
      <c r="I1410" s="14"/>
      <c r="J1410" s="1258" t="s">
        <v>286</v>
      </c>
      <c r="K1410" s="256">
        <f>SUM(K1406:K1409)</f>
        <v>0</v>
      </c>
      <c r="L1410" s="256">
        <f>SUM(L1406:L1409)</f>
        <v>0</v>
      </c>
      <c r="M1410" s="14">
        <f>SUM(M1406:M1409)</f>
        <v>0</v>
      </c>
      <c r="N1410" s="14">
        <f t="shared" si="835"/>
        <v>0</v>
      </c>
      <c r="O1410" s="14">
        <f t="shared" ref="O1410:W1410" si="846">SUM(O1406:O1409)</f>
        <v>0</v>
      </c>
      <c r="P1410" s="14">
        <f t="shared" si="846"/>
        <v>0</v>
      </c>
      <c r="Q1410" s="14">
        <f t="shared" si="846"/>
        <v>0</v>
      </c>
      <c r="R1410" s="14">
        <f t="shared" si="846"/>
        <v>0</v>
      </c>
      <c r="S1410" s="14">
        <f t="shared" si="822"/>
        <v>0</v>
      </c>
      <c r="T1410" s="14">
        <f t="shared" si="846"/>
        <v>0</v>
      </c>
      <c r="U1410" s="14">
        <f t="shared" si="846"/>
        <v>0</v>
      </c>
      <c r="V1410" s="14">
        <f t="shared" si="846"/>
        <v>0</v>
      </c>
      <c r="W1410" s="14">
        <f t="shared" si="846"/>
        <v>0</v>
      </c>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2"/>
      <c r="AX1410" s="14">
        <f>SUM(AX1406:AX1409)</f>
        <v>0</v>
      </c>
      <c r="AY1410" s="14">
        <f>ROUND(AX1410/1000/Update!$B$31*Update!$B$27,0)</f>
        <v>0</v>
      </c>
      <c r="AZ1410" s="2"/>
      <c r="BA1410" s="14">
        <f>SUM(BA1406:BA1409)</f>
        <v>0</v>
      </c>
      <c r="BB1410" s="14">
        <f>ROUND(BA1410/1000/Update!$B$31,0)</f>
        <v>0</v>
      </c>
      <c r="BC1410" s="14"/>
      <c r="BD1410" s="14">
        <f t="shared" si="829"/>
        <v>0</v>
      </c>
      <c r="BE1410" s="318">
        <f t="shared" ref="BE1410:BJ1410" si="847">SUM(BE1406:BE1409)</f>
        <v>0</v>
      </c>
      <c r="BF1410" s="318">
        <f t="shared" si="847"/>
        <v>0</v>
      </c>
      <c r="BG1410" s="318">
        <f t="shared" si="847"/>
        <v>0</v>
      </c>
      <c r="BH1410" s="318">
        <f t="shared" si="847"/>
        <v>0</v>
      </c>
      <c r="BI1410" s="318">
        <f t="shared" si="847"/>
        <v>0</v>
      </c>
      <c r="BJ1410" s="318">
        <f t="shared" si="847"/>
        <v>0</v>
      </c>
      <c r="BK1410" s="14">
        <f t="shared" si="840"/>
        <v>0</v>
      </c>
      <c r="BL1410" s="318"/>
      <c r="BM1410" s="318"/>
      <c r="BN1410" s="318"/>
      <c r="BO1410" s="318"/>
      <c r="BP1410" s="318"/>
      <c r="BQ1410" s="318"/>
      <c r="BR1410" s="318"/>
      <c r="BS1410" s="318"/>
      <c r="BT1410" s="318"/>
      <c r="BU1410" s="318"/>
      <c r="BV1410" s="318"/>
      <c r="BW1410" s="318"/>
      <c r="BX1410" s="318"/>
      <c r="BY1410" s="318"/>
      <c r="BZ1410" s="318"/>
      <c r="CA1410" s="318"/>
      <c r="CB1410" s="318"/>
      <c r="CC1410" s="318"/>
      <c r="CD1410" s="318"/>
      <c r="CE1410" s="318"/>
      <c r="CF1410" s="318"/>
      <c r="CG1410" s="318"/>
      <c r="CH1410" s="318"/>
      <c r="CI1410" s="318"/>
      <c r="CJ1410" s="2"/>
      <c r="CK1410" s="2"/>
      <c r="CM1410" s="1140">
        <f t="shared" si="815"/>
        <v>0</v>
      </c>
      <c r="CN1410" s="1140">
        <v>0</v>
      </c>
      <c r="CP1410" s="923">
        <f t="shared" si="814"/>
        <v>0</v>
      </c>
      <c r="CZ1410" s="330"/>
    </row>
    <row r="1411" spans="1:104" ht="18.75" customHeight="1" x14ac:dyDescent="0.25">
      <c r="A1411" s="1297">
        <f>MAX($A$6:A1410)+1</f>
        <v>1411</v>
      </c>
      <c r="B1411" s="1295">
        <f>SUMIF(Update!$B$33:$B$106,C1411,Update!$A$33:$A$106)</f>
        <v>14.499999999999998</v>
      </c>
      <c r="C1411" s="696" t="s">
        <v>2034</v>
      </c>
      <c r="D1411" s="695"/>
      <c r="E1411" s="696" t="s">
        <v>900</v>
      </c>
      <c r="F1411" s="697"/>
      <c r="G1411" s="697"/>
      <c r="H1411" s="695"/>
      <c r="I1411" s="695"/>
      <c r="J1411" s="698" t="s">
        <v>893</v>
      </c>
      <c r="K1411" s="699"/>
      <c r="L1411" s="699"/>
      <c r="M1411" s="695"/>
      <c r="N1411" s="713">
        <f t="shared" ref="N1411:N1421" si="848">ROUND(SUM(O1411:AU1411)-T1411,0)</f>
        <v>0</v>
      </c>
      <c r="O1411" s="695"/>
      <c r="P1411" s="695"/>
      <c r="Q1411" s="695"/>
      <c r="R1411" s="695"/>
      <c r="S1411" s="695">
        <f t="shared" ref="S1411:S1474" si="849">-IF(ISNUMBER(BD1411),BD1411,0)</f>
        <v>0</v>
      </c>
      <c r="T1411" s="713">
        <f t="shared" ref="T1411:T1421" si="850">ROUND(SUM(U1411:Y1411),0)</f>
        <v>0</v>
      </c>
      <c r="U1411" s="695"/>
      <c r="V1411" s="695"/>
      <c r="W1411" s="695"/>
      <c r="X1411" s="695"/>
      <c r="Y1411" s="695"/>
      <c r="Z1411" s="695"/>
      <c r="AA1411" s="695"/>
      <c r="AB1411" s="695"/>
      <c r="AC1411" s="695"/>
      <c r="AD1411" s="695"/>
      <c r="AE1411" s="695"/>
      <c r="AF1411" s="695"/>
      <c r="AG1411" s="695"/>
      <c r="AH1411" s="695"/>
      <c r="AI1411" s="695"/>
      <c r="AJ1411" s="695"/>
      <c r="AK1411" s="695"/>
      <c r="AL1411" s="695"/>
      <c r="AM1411" s="695"/>
      <c r="AN1411" s="695"/>
      <c r="AO1411" s="695"/>
      <c r="AP1411" s="695"/>
      <c r="AQ1411" s="695"/>
      <c r="AR1411" s="695"/>
      <c r="AS1411" s="695"/>
      <c r="AT1411" s="695"/>
      <c r="AU1411" s="695"/>
      <c r="AV1411" s="695"/>
      <c r="AW1411" s="700"/>
      <c r="AX1411" s="700"/>
      <c r="AY1411" s="700">
        <f>ROUND(AX1411/1000/Update!$B$31*Update!$B$27,0)</f>
        <v>0</v>
      </c>
      <c r="AZ1411" s="700"/>
      <c r="BA1411" s="700"/>
      <c r="BB1411" s="700">
        <f>ROUND(BA1411/1000/Update!$B$31,0)</f>
        <v>0</v>
      </c>
      <c r="BC1411" s="700"/>
      <c r="BD1411" s="721">
        <f t="shared" ref="BD1411:BD1426" si="851">ROUND(SUM(BE1411:BK1411),0)</f>
        <v>0</v>
      </c>
      <c r="BE1411" s="700"/>
      <c r="BF1411" s="700"/>
      <c r="BG1411" s="700"/>
      <c r="BH1411" s="700"/>
      <c r="BI1411" s="700"/>
      <c r="BJ1411" s="700"/>
      <c r="BK1411" s="721">
        <f t="shared" si="840"/>
        <v>0</v>
      </c>
      <c r="BL1411" s="700"/>
      <c r="BM1411" s="700"/>
      <c r="BN1411" s="700"/>
      <c r="BO1411" s="700"/>
      <c r="BP1411" s="700"/>
      <c r="BQ1411" s="700"/>
      <c r="BR1411" s="700"/>
      <c r="BS1411" s="700"/>
      <c r="BT1411" s="700"/>
      <c r="BU1411" s="700"/>
      <c r="BV1411" s="700"/>
      <c r="BW1411" s="700"/>
      <c r="BX1411" s="700"/>
      <c r="BY1411" s="700"/>
      <c r="BZ1411" s="700"/>
      <c r="CA1411" s="700"/>
      <c r="CB1411" s="700"/>
      <c r="CC1411" s="700"/>
      <c r="CD1411" s="700"/>
      <c r="CE1411" s="700"/>
      <c r="CF1411" s="700"/>
      <c r="CG1411" s="700"/>
      <c r="CH1411" s="700"/>
      <c r="CI1411" s="700"/>
      <c r="CJ1411" s="700"/>
      <c r="CK1411" s="700"/>
      <c r="CM1411" s="700">
        <f t="shared" si="815"/>
        <v>0</v>
      </c>
      <c r="CN1411" s="700">
        <v>0</v>
      </c>
      <c r="CP1411" s="923">
        <f t="shared" si="814"/>
        <v>0</v>
      </c>
      <c r="CZ1411" s="330"/>
    </row>
    <row r="1412" spans="1:104" ht="15" customHeight="1" x14ac:dyDescent="0.25">
      <c r="A1412" s="684">
        <f>MAX($A$6:A1411)+1</f>
        <v>1412</v>
      </c>
      <c r="B1412" s="1060">
        <f>B1411</f>
        <v>14.499999999999998</v>
      </c>
      <c r="C1412" s="11" t="str">
        <f>C1411</f>
        <v>NILGOSC Scheme liability</v>
      </c>
      <c r="F1412" s="1282"/>
      <c r="G1412" s="1254" t="s">
        <v>286</v>
      </c>
      <c r="J1412" s="1257" t="s">
        <v>939</v>
      </c>
      <c r="K1412" s="313"/>
      <c r="L1412" s="315"/>
      <c r="N1412" s="273">
        <f t="shared" si="848"/>
        <v>0</v>
      </c>
      <c r="S1412" s="6">
        <f t="shared" si="849"/>
        <v>0</v>
      </c>
      <c r="T1412" s="273">
        <f t="shared" si="850"/>
        <v>0</v>
      </c>
      <c r="BD1412" s="5">
        <f t="shared" si="851"/>
        <v>0</v>
      </c>
      <c r="BE1412" s="325"/>
      <c r="BF1412" s="325"/>
      <c r="BG1412" s="325"/>
      <c r="BH1412" s="325"/>
      <c r="BI1412" s="325"/>
      <c r="BJ1412" s="325"/>
      <c r="BK1412" s="5">
        <f t="shared" si="840"/>
        <v>0</v>
      </c>
      <c r="BL1412" s="325"/>
      <c r="BM1412" s="325"/>
      <c r="BN1412" s="325"/>
      <c r="BO1412" s="325"/>
      <c r="BP1412" s="325"/>
      <c r="BQ1412" s="325"/>
      <c r="BR1412" s="325"/>
      <c r="BS1412" s="325"/>
      <c r="BT1412" s="325"/>
      <c r="BU1412" s="325"/>
      <c r="BV1412" s="325"/>
      <c r="BW1412" s="325"/>
      <c r="BX1412" s="325"/>
      <c r="BY1412" s="325"/>
      <c r="BZ1412" s="325"/>
      <c r="CA1412" s="325"/>
      <c r="CB1412" s="325"/>
      <c r="CC1412" s="325"/>
      <c r="CD1412" s="325"/>
      <c r="CE1412" s="325"/>
      <c r="CF1412" s="325"/>
      <c r="CG1412" s="325"/>
      <c r="CH1412" s="325"/>
      <c r="CI1412" s="325"/>
      <c r="CM1412" s="325">
        <f t="shared" si="815"/>
        <v>0</v>
      </c>
      <c r="CN1412" s="325">
        <v>0</v>
      </c>
      <c r="CP1412" s="923">
        <f t="shared" si="814"/>
        <v>0</v>
      </c>
      <c r="CZ1412" s="330"/>
    </row>
    <row r="1413" spans="1:104" ht="15" customHeight="1" x14ac:dyDescent="0.25">
      <c r="A1413" s="684">
        <f>MAX($A$6:A1412)+1</f>
        <v>1413</v>
      </c>
      <c r="B1413" s="1060">
        <f t="shared" ref="B1413:B1473" si="852">B1412</f>
        <v>14.499999999999998</v>
      </c>
      <c r="C1413" s="11" t="str">
        <f t="shared" ref="C1413:C1473" si="853">C1412</f>
        <v>NILGOSC Scheme liability</v>
      </c>
      <c r="F1413" s="1282"/>
      <c r="G1413" s="1254" t="s">
        <v>286</v>
      </c>
      <c r="J1413" s="1257" t="s">
        <v>940</v>
      </c>
      <c r="K1413" s="313"/>
      <c r="L1413" s="315"/>
      <c r="N1413" s="273">
        <f t="shared" si="848"/>
        <v>0</v>
      </c>
      <c r="S1413" s="6">
        <f t="shared" si="849"/>
        <v>0</v>
      </c>
      <c r="T1413" s="273">
        <f t="shared" si="850"/>
        <v>0</v>
      </c>
      <c r="BD1413" s="5">
        <f t="shared" si="851"/>
        <v>0</v>
      </c>
      <c r="BE1413" s="325"/>
      <c r="BF1413" s="325"/>
      <c r="BG1413" s="325"/>
      <c r="BH1413" s="325"/>
      <c r="BI1413" s="325"/>
      <c r="BJ1413" s="325"/>
      <c r="BK1413" s="5">
        <f t="shared" si="840"/>
        <v>0</v>
      </c>
      <c r="BL1413" s="325"/>
      <c r="BM1413" s="325"/>
      <c r="BN1413" s="325"/>
      <c r="BO1413" s="325"/>
      <c r="BP1413" s="325"/>
      <c r="BQ1413" s="325"/>
      <c r="BR1413" s="325"/>
      <c r="BS1413" s="325"/>
      <c r="BT1413" s="325"/>
      <c r="BU1413" s="325"/>
      <c r="BV1413" s="325"/>
      <c r="BW1413" s="325"/>
      <c r="BX1413" s="325"/>
      <c r="BY1413" s="325"/>
      <c r="BZ1413" s="325"/>
      <c r="CA1413" s="325"/>
      <c r="CB1413" s="325"/>
      <c r="CC1413" s="325"/>
      <c r="CD1413" s="325"/>
      <c r="CE1413" s="325"/>
      <c r="CF1413" s="325"/>
      <c r="CG1413" s="325"/>
      <c r="CH1413" s="325"/>
      <c r="CI1413" s="325"/>
      <c r="CM1413" s="325">
        <f t="shared" si="815"/>
        <v>0</v>
      </c>
      <c r="CN1413" s="325">
        <v>0</v>
      </c>
      <c r="CP1413" s="923">
        <f t="shared" si="814"/>
        <v>0</v>
      </c>
      <c r="CZ1413" s="330"/>
    </row>
    <row r="1414" spans="1:104" ht="15" customHeight="1" x14ac:dyDescent="0.25">
      <c r="A1414" s="684">
        <f>MAX($A$6:A1413)+1</f>
        <v>1414</v>
      </c>
      <c r="B1414" s="1060">
        <f t="shared" si="852"/>
        <v>14.499999999999998</v>
      </c>
      <c r="C1414" s="11" t="str">
        <f t="shared" si="853"/>
        <v>NILGOSC Scheme liability</v>
      </c>
      <c r="F1414" s="1282"/>
      <c r="G1414" s="1254" t="s">
        <v>286</v>
      </c>
      <c r="J1414" s="1257" t="s">
        <v>941</v>
      </c>
      <c r="K1414" s="313"/>
      <c r="L1414" s="315"/>
      <c r="N1414" s="273">
        <f t="shared" si="848"/>
        <v>0</v>
      </c>
      <c r="S1414" s="6">
        <f t="shared" si="849"/>
        <v>0</v>
      </c>
      <c r="T1414" s="273">
        <f t="shared" si="850"/>
        <v>0</v>
      </c>
      <c r="BD1414" s="5">
        <f t="shared" si="851"/>
        <v>0</v>
      </c>
      <c r="BE1414" s="325"/>
      <c r="BF1414" s="325"/>
      <c r="BG1414" s="325"/>
      <c r="BH1414" s="325"/>
      <c r="BI1414" s="325"/>
      <c r="BJ1414" s="325"/>
      <c r="BK1414" s="5">
        <f t="shared" si="840"/>
        <v>0</v>
      </c>
      <c r="BL1414" s="325"/>
      <c r="BM1414" s="325"/>
      <c r="BN1414" s="325"/>
      <c r="BO1414" s="325"/>
      <c r="BP1414" s="325"/>
      <c r="BQ1414" s="325"/>
      <c r="BR1414" s="325"/>
      <c r="BS1414" s="325"/>
      <c r="BT1414" s="325"/>
      <c r="BU1414" s="325"/>
      <c r="BV1414" s="325"/>
      <c r="BW1414" s="325"/>
      <c r="BX1414" s="325"/>
      <c r="BY1414" s="325"/>
      <c r="BZ1414" s="325"/>
      <c r="CA1414" s="325"/>
      <c r="CB1414" s="325"/>
      <c r="CC1414" s="325"/>
      <c r="CD1414" s="325"/>
      <c r="CE1414" s="325"/>
      <c r="CF1414" s="325"/>
      <c r="CG1414" s="325"/>
      <c r="CH1414" s="325"/>
      <c r="CI1414" s="325"/>
      <c r="CM1414" s="325">
        <f t="shared" si="815"/>
        <v>0</v>
      </c>
      <c r="CN1414" s="325">
        <v>0</v>
      </c>
      <c r="CP1414" s="923">
        <f t="shared" si="814"/>
        <v>0</v>
      </c>
      <c r="CZ1414" s="330"/>
    </row>
    <row r="1415" spans="1:104" ht="15" customHeight="1" x14ac:dyDescent="0.25">
      <c r="A1415" s="684">
        <f>MAX($A$6:A1414)+1</f>
        <v>1415</v>
      </c>
      <c r="B1415" s="1060">
        <f t="shared" si="852"/>
        <v>14.499999999999998</v>
      </c>
      <c r="C1415" s="11" t="str">
        <f t="shared" si="853"/>
        <v>NILGOSC Scheme liability</v>
      </c>
      <c r="F1415" s="1282"/>
      <c r="G1415" s="1254" t="s">
        <v>286</v>
      </c>
      <c r="J1415" s="1257" t="s">
        <v>942</v>
      </c>
      <c r="K1415" s="313"/>
      <c r="L1415" s="315"/>
      <c r="N1415" s="273">
        <f t="shared" si="848"/>
        <v>0</v>
      </c>
      <c r="S1415" s="6">
        <f t="shared" si="849"/>
        <v>0</v>
      </c>
      <c r="T1415" s="273">
        <f t="shared" si="850"/>
        <v>0</v>
      </c>
      <c r="BD1415" s="5">
        <f t="shared" si="851"/>
        <v>0</v>
      </c>
      <c r="BE1415" s="325"/>
      <c r="BF1415" s="325"/>
      <c r="BG1415" s="325"/>
      <c r="BH1415" s="325"/>
      <c r="BI1415" s="325"/>
      <c r="BJ1415" s="325"/>
      <c r="BK1415" s="5">
        <f t="shared" si="840"/>
        <v>0</v>
      </c>
      <c r="BL1415" s="325"/>
      <c r="BM1415" s="325"/>
      <c r="BN1415" s="325"/>
      <c r="BO1415" s="325"/>
      <c r="BP1415" s="325"/>
      <c r="BQ1415" s="325"/>
      <c r="BR1415" s="325"/>
      <c r="BS1415" s="325"/>
      <c r="BT1415" s="325"/>
      <c r="BU1415" s="325"/>
      <c r="BV1415" s="325"/>
      <c r="BW1415" s="325"/>
      <c r="BX1415" s="325"/>
      <c r="BY1415" s="325"/>
      <c r="BZ1415" s="325"/>
      <c r="CA1415" s="325"/>
      <c r="CB1415" s="325"/>
      <c r="CC1415" s="325"/>
      <c r="CD1415" s="325"/>
      <c r="CE1415" s="325"/>
      <c r="CF1415" s="325"/>
      <c r="CG1415" s="325"/>
      <c r="CH1415" s="325"/>
      <c r="CI1415" s="325"/>
      <c r="CM1415" s="325">
        <f t="shared" si="815"/>
        <v>0</v>
      </c>
      <c r="CN1415" s="325">
        <v>0</v>
      </c>
      <c r="CP1415" s="923">
        <f t="shared" si="814"/>
        <v>0</v>
      </c>
      <c r="CZ1415" s="330"/>
    </row>
    <row r="1416" spans="1:104" ht="15" customHeight="1" x14ac:dyDescent="0.25">
      <c r="A1416" s="684">
        <f>MAX($A$6:A1415)+1</f>
        <v>1416</v>
      </c>
      <c r="B1416" s="1060">
        <f t="shared" si="852"/>
        <v>14.499999999999998</v>
      </c>
      <c r="C1416" s="11" t="str">
        <f t="shared" si="853"/>
        <v>NILGOSC Scheme liability</v>
      </c>
      <c r="F1416" s="1282"/>
      <c r="G1416" s="1254" t="s">
        <v>286</v>
      </c>
      <c r="J1416" s="1257" t="s">
        <v>943</v>
      </c>
      <c r="K1416" s="313"/>
      <c r="L1416" s="315"/>
      <c r="N1416" s="273">
        <f t="shared" si="848"/>
        <v>0</v>
      </c>
      <c r="S1416" s="6">
        <f t="shared" si="849"/>
        <v>0</v>
      </c>
      <c r="T1416" s="273">
        <f t="shared" si="850"/>
        <v>0</v>
      </c>
      <c r="BD1416" s="5">
        <f t="shared" si="851"/>
        <v>0</v>
      </c>
      <c r="BE1416" s="325"/>
      <c r="BF1416" s="325"/>
      <c r="BG1416" s="325"/>
      <c r="BH1416" s="325"/>
      <c r="BI1416" s="325"/>
      <c r="BJ1416" s="325"/>
      <c r="BK1416" s="5">
        <f t="shared" si="840"/>
        <v>0</v>
      </c>
      <c r="BL1416" s="325"/>
      <c r="BM1416" s="325"/>
      <c r="BN1416" s="325"/>
      <c r="BO1416" s="325"/>
      <c r="BP1416" s="325"/>
      <c r="BQ1416" s="325"/>
      <c r="BR1416" s="325"/>
      <c r="BS1416" s="325"/>
      <c r="BT1416" s="325"/>
      <c r="BU1416" s="325"/>
      <c r="BV1416" s="325"/>
      <c r="BW1416" s="325"/>
      <c r="BX1416" s="325"/>
      <c r="BY1416" s="325"/>
      <c r="BZ1416" s="325"/>
      <c r="CA1416" s="325"/>
      <c r="CB1416" s="325"/>
      <c r="CC1416" s="325"/>
      <c r="CD1416" s="325"/>
      <c r="CE1416" s="325"/>
      <c r="CF1416" s="325"/>
      <c r="CG1416" s="325"/>
      <c r="CH1416" s="325"/>
      <c r="CI1416" s="325"/>
      <c r="CM1416" s="325">
        <f t="shared" si="815"/>
        <v>0</v>
      </c>
      <c r="CN1416" s="325">
        <v>0</v>
      </c>
      <c r="CP1416" s="923">
        <f t="shared" ref="CP1416:CP1479" si="854">-V1416+BL1416+BM1416+BN1416+CM1416</f>
        <v>0</v>
      </c>
      <c r="CZ1416" s="330"/>
    </row>
    <row r="1417" spans="1:104" ht="15" customHeight="1" x14ac:dyDescent="0.25">
      <c r="A1417" s="684">
        <f>MAX($A$6:A1416)+1</f>
        <v>1417</v>
      </c>
      <c r="B1417" s="1060">
        <f t="shared" si="852"/>
        <v>14.499999999999998</v>
      </c>
      <c r="C1417" s="11" t="str">
        <f t="shared" si="853"/>
        <v>NILGOSC Scheme liability</v>
      </c>
      <c r="F1417" s="1282"/>
      <c r="G1417" s="1254" t="s">
        <v>286</v>
      </c>
      <c r="J1417" s="1257" t="s">
        <v>944</v>
      </c>
      <c r="K1417" s="1245"/>
      <c r="L1417" s="315"/>
      <c r="N1417" s="273">
        <f t="shared" si="848"/>
        <v>0</v>
      </c>
      <c r="S1417" s="6">
        <f t="shared" si="849"/>
        <v>0</v>
      </c>
      <c r="T1417" s="273">
        <f t="shared" si="850"/>
        <v>0</v>
      </c>
      <c r="BD1417" s="5">
        <f t="shared" si="851"/>
        <v>0</v>
      </c>
      <c r="BE1417" s="325"/>
      <c r="BF1417" s="325"/>
      <c r="BG1417" s="325"/>
      <c r="BH1417" s="325"/>
      <c r="BI1417" s="325"/>
      <c r="BJ1417" s="325"/>
      <c r="BK1417" s="5">
        <f t="shared" si="840"/>
        <v>0</v>
      </c>
      <c r="BL1417" s="325"/>
      <c r="BM1417" s="325"/>
      <c r="BN1417" s="325"/>
      <c r="BO1417" s="325"/>
      <c r="BP1417" s="325"/>
      <c r="BQ1417" s="325"/>
      <c r="BR1417" s="325"/>
      <c r="BS1417" s="325"/>
      <c r="BT1417" s="325"/>
      <c r="BU1417" s="325"/>
      <c r="BV1417" s="325"/>
      <c r="BW1417" s="325"/>
      <c r="BX1417" s="325"/>
      <c r="BY1417" s="325"/>
      <c r="BZ1417" s="325"/>
      <c r="CA1417" s="325"/>
      <c r="CB1417" s="325"/>
      <c r="CC1417" s="325"/>
      <c r="CD1417" s="325"/>
      <c r="CE1417" s="325"/>
      <c r="CF1417" s="325"/>
      <c r="CG1417" s="325"/>
      <c r="CH1417" s="325"/>
      <c r="CI1417" s="325"/>
      <c r="CM1417" s="325">
        <f t="shared" ref="CM1417:CM1480" si="855">+U1417+V1417</f>
        <v>0</v>
      </c>
      <c r="CN1417" s="325">
        <v>0</v>
      </c>
      <c r="CP1417" s="923">
        <f t="shared" si="854"/>
        <v>0</v>
      </c>
      <c r="CZ1417" s="330"/>
    </row>
    <row r="1418" spans="1:104" ht="15" customHeight="1" x14ac:dyDescent="0.25">
      <c r="A1418" s="684">
        <f>MAX($A$6:A1417)+1</f>
        <v>1418</v>
      </c>
      <c r="B1418" s="1060">
        <f t="shared" si="852"/>
        <v>14.499999999999998</v>
      </c>
      <c r="C1418" s="11" t="str">
        <f t="shared" si="853"/>
        <v>NILGOSC Scheme liability</v>
      </c>
      <c r="F1418" s="1282"/>
      <c r="G1418" s="1254" t="s">
        <v>286</v>
      </c>
      <c r="J1418" s="1257" t="s">
        <v>945</v>
      </c>
      <c r="K1418" s="1246"/>
      <c r="L1418" s="315"/>
      <c r="N1418" s="273">
        <f t="shared" si="848"/>
        <v>0</v>
      </c>
      <c r="S1418" s="6">
        <f t="shared" si="849"/>
        <v>0</v>
      </c>
      <c r="T1418" s="273">
        <f t="shared" si="850"/>
        <v>0</v>
      </c>
      <c r="BD1418" s="5">
        <f t="shared" si="851"/>
        <v>0</v>
      </c>
      <c r="BE1418" s="325"/>
      <c r="BF1418" s="325"/>
      <c r="BG1418" s="325"/>
      <c r="BH1418" s="325"/>
      <c r="BI1418" s="325"/>
      <c r="BJ1418" s="325"/>
      <c r="BK1418" s="5">
        <f t="shared" si="840"/>
        <v>0</v>
      </c>
      <c r="BL1418" s="325"/>
      <c r="BM1418" s="325"/>
      <c r="BN1418" s="325"/>
      <c r="BO1418" s="325"/>
      <c r="BP1418" s="325"/>
      <c r="BQ1418" s="325"/>
      <c r="BR1418" s="325"/>
      <c r="BS1418" s="325"/>
      <c r="BT1418" s="325"/>
      <c r="BU1418" s="325"/>
      <c r="BV1418" s="325"/>
      <c r="BW1418" s="325"/>
      <c r="BX1418" s="325"/>
      <c r="BY1418" s="325"/>
      <c r="BZ1418" s="325"/>
      <c r="CA1418" s="325"/>
      <c r="CB1418" s="325"/>
      <c r="CC1418" s="325"/>
      <c r="CD1418" s="325"/>
      <c r="CE1418" s="325"/>
      <c r="CF1418" s="325"/>
      <c r="CG1418" s="325"/>
      <c r="CH1418" s="325"/>
      <c r="CI1418" s="325"/>
      <c r="CM1418" s="325">
        <f t="shared" si="855"/>
        <v>0</v>
      </c>
      <c r="CN1418" s="325">
        <v>0</v>
      </c>
      <c r="CP1418" s="923">
        <f t="shared" si="854"/>
        <v>0</v>
      </c>
      <c r="CZ1418" s="330"/>
    </row>
    <row r="1419" spans="1:104" ht="15" customHeight="1" x14ac:dyDescent="0.25">
      <c r="A1419" s="684">
        <f>MAX($A$6:A1418)+1</f>
        <v>1419</v>
      </c>
      <c r="B1419" s="1060">
        <f t="shared" si="852"/>
        <v>14.499999999999998</v>
      </c>
      <c r="C1419" s="11" t="str">
        <f t="shared" si="853"/>
        <v>NILGOSC Scheme liability</v>
      </c>
      <c r="F1419" s="1282"/>
      <c r="G1419" s="1254" t="s">
        <v>286</v>
      </c>
      <c r="J1419" s="1257" t="s">
        <v>946</v>
      </c>
      <c r="K1419" s="1246"/>
      <c r="L1419" s="315"/>
      <c r="N1419" s="273">
        <f t="shared" si="848"/>
        <v>0</v>
      </c>
      <c r="S1419" s="6">
        <f t="shared" si="849"/>
        <v>0</v>
      </c>
      <c r="T1419" s="273">
        <f t="shared" si="850"/>
        <v>0</v>
      </c>
      <c r="BD1419" s="5">
        <f t="shared" si="851"/>
        <v>0</v>
      </c>
      <c r="BE1419" s="325"/>
      <c r="BF1419" s="325"/>
      <c r="BG1419" s="325"/>
      <c r="BH1419" s="325"/>
      <c r="BI1419" s="325"/>
      <c r="BJ1419" s="325"/>
      <c r="BK1419" s="5">
        <f t="shared" si="840"/>
        <v>0</v>
      </c>
      <c r="BL1419" s="325"/>
      <c r="BM1419" s="325"/>
      <c r="BN1419" s="325"/>
      <c r="BO1419" s="325"/>
      <c r="BP1419" s="325"/>
      <c r="BQ1419" s="325"/>
      <c r="BR1419" s="325"/>
      <c r="BS1419" s="325"/>
      <c r="BT1419" s="325"/>
      <c r="BU1419" s="325"/>
      <c r="BV1419" s="325"/>
      <c r="BW1419" s="325"/>
      <c r="BX1419" s="325"/>
      <c r="BY1419" s="325"/>
      <c r="BZ1419" s="325"/>
      <c r="CA1419" s="325"/>
      <c r="CB1419" s="325"/>
      <c r="CC1419" s="325"/>
      <c r="CD1419" s="325"/>
      <c r="CE1419" s="325"/>
      <c r="CF1419" s="325"/>
      <c r="CG1419" s="325"/>
      <c r="CH1419" s="325"/>
      <c r="CI1419" s="325"/>
      <c r="CM1419" s="325">
        <f t="shared" si="855"/>
        <v>0</v>
      </c>
      <c r="CN1419" s="325">
        <v>0</v>
      </c>
      <c r="CP1419" s="923">
        <f t="shared" si="854"/>
        <v>0</v>
      </c>
      <c r="CZ1419" s="330"/>
    </row>
    <row r="1420" spans="1:104" ht="15" customHeight="1" x14ac:dyDescent="0.25">
      <c r="A1420" s="684">
        <f>MAX($A$6:A1419)+1</f>
        <v>1420</v>
      </c>
      <c r="B1420" s="1060">
        <f t="shared" si="852"/>
        <v>14.499999999999998</v>
      </c>
      <c r="C1420" s="11" t="str">
        <f t="shared" si="853"/>
        <v>NILGOSC Scheme liability</v>
      </c>
      <c r="F1420" s="1282"/>
      <c r="G1420" s="1254" t="s">
        <v>286</v>
      </c>
      <c r="J1420" s="1257" t="s">
        <v>945</v>
      </c>
      <c r="K1420" s="1246"/>
      <c r="L1420" s="315"/>
      <c r="N1420" s="273">
        <f t="shared" si="848"/>
        <v>0</v>
      </c>
      <c r="S1420" s="6">
        <f t="shared" si="849"/>
        <v>0</v>
      </c>
      <c r="T1420" s="273">
        <f t="shared" si="850"/>
        <v>0</v>
      </c>
      <c r="BD1420" s="5">
        <f t="shared" si="851"/>
        <v>0</v>
      </c>
      <c r="BE1420" s="325"/>
      <c r="BF1420" s="325"/>
      <c r="BG1420" s="325"/>
      <c r="BH1420" s="325"/>
      <c r="BI1420" s="325"/>
      <c r="BJ1420" s="325"/>
      <c r="BK1420" s="5">
        <f t="shared" si="840"/>
        <v>0</v>
      </c>
      <c r="BL1420" s="325"/>
      <c r="BM1420" s="325"/>
      <c r="BN1420" s="325"/>
      <c r="BO1420" s="325"/>
      <c r="BP1420" s="325"/>
      <c r="BQ1420" s="325"/>
      <c r="BR1420" s="325"/>
      <c r="BS1420" s="325"/>
      <c r="BT1420" s="325"/>
      <c r="BU1420" s="325"/>
      <c r="BV1420" s="325"/>
      <c r="BW1420" s="325"/>
      <c r="BX1420" s="325"/>
      <c r="BY1420" s="325"/>
      <c r="BZ1420" s="325"/>
      <c r="CA1420" s="325"/>
      <c r="CB1420" s="325"/>
      <c r="CC1420" s="325"/>
      <c r="CD1420" s="325"/>
      <c r="CE1420" s="325"/>
      <c r="CF1420" s="325"/>
      <c r="CG1420" s="325"/>
      <c r="CH1420" s="325"/>
      <c r="CI1420" s="325"/>
      <c r="CM1420" s="325">
        <f t="shared" si="855"/>
        <v>0</v>
      </c>
      <c r="CN1420" s="325">
        <v>0</v>
      </c>
      <c r="CP1420" s="923">
        <f t="shared" si="854"/>
        <v>0</v>
      </c>
      <c r="CZ1420" s="330"/>
    </row>
    <row r="1421" spans="1:104" ht="15" customHeight="1" x14ac:dyDescent="0.25">
      <c r="A1421" s="684">
        <f>MAX($A$6:A1420)+1</f>
        <v>1421</v>
      </c>
      <c r="B1421" s="1060">
        <f t="shared" si="852"/>
        <v>14.499999999999998</v>
      </c>
      <c r="C1421" s="11" t="str">
        <f t="shared" si="853"/>
        <v>NILGOSC Scheme liability</v>
      </c>
      <c r="F1421" s="1282"/>
      <c r="G1421" s="1254" t="s">
        <v>286</v>
      </c>
      <c r="J1421" s="1257" t="s">
        <v>946</v>
      </c>
      <c r="K1421" s="1246"/>
      <c r="L1421" s="315"/>
      <c r="N1421" s="273">
        <f t="shared" si="848"/>
        <v>0</v>
      </c>
      <c r="S1421" s="6">
        <f t="shared" si="849"/>
        <v>0</v>
      </c>
      <c r="T1421" s="273">
        <f t="shared" si="850"/>
        <v>0</v>
      </c>
      <c r="BD1421" s="5">
        <f t="shared" si="851"/>
        <v>0</v>
      </c>
      <c r="BE1421" s="325"/>
      <c r="BF1421" s="325"/>
      <c r="BG1421" s="325"/>
      <c r="BH1421" s="325"/>
      <c r="BI1421" s="325"/>
      <c r="BJ1421" s="325"/>
      <c r="BK1421" s="5">
        <f t="shared" si="840"/>
        <v>0</v>
      </c>
      <c r="BL1421" s="325"/>
      <c r="BM1421" s="325"/>
      <c r="BN1421" s="325"/>
      <c r="BO1421" s="325"/>
      <c r="BP1421" s="325"/>
      <c r="BQ1421" s="325"/>
      <c r="BR1421" s="325"/>
      <c r="BS1421" s="325"/>
      <c r="BT1421" s="325"/>
      <c r="BU1421" s="325"/>
      <c r="BV1421" s="325"/>
      <c r="BW1421" s="325"/>
      <c r="BX1421" s="325"/>
      <c r="BY1421" s="325"/>
      <c r="BZ1421" s="325"/>
      <c r="CA1421" s="325"/>
      <c r="CB1421" s="325"/>
      <c r="CC1421" s="325"/>
      <c r="CD1421" s="325"/>
      <c r="CE1421" s="325"/>
      <c r="CF1421" s="325"/>
      <c r="CG1421" s="325"/>
      <c r="CH1421" s="325"/>
      <c r="CI1421" s="325"/>
      <c r="CM1421" s="325">
        <f t="shared" si="855"/>
        <v>0</v>
      </c>
      <c r="CN1421" s="325">
        <v>0</v>
      </c>
      <c r="CP1421" s="923">
        <f t="shared" si="854"/>
        <v>0</v>
      </c>
      <c r="CZ1421" s="330"/>
    </row>
    <row r="1422" spans="1:104" ht="15" customHeight="1" x14ac:dyDescent="0.25">
      <c r="A1422" s="684">
        <f>MAX($A$6:A1421)+1</f>
        <v>1422</v>
      </c>
      <c r="B1422" s="1060">
        <f t="shared" si="852"/>
        <v>14.499999999999998</v>
      </c>
      <c r="C1422" s="11" t="str">
        <f t="shared" si="853"/>
        <v>NILGOSC Scheme liability</v>
      </c>
      <c r="F1422" s="1282"/>
      <c r="G1422" s="1254" t="s">
        <v>286</v>
      </c>
      <c r="J1422" s="1257" t="s">
        <v>947</v>
      </c>
      <c r="K1422" s="313"/>
      <c r="L1422" s="315"/>
      <c r="N1422" s="273">
        <f t="shared" ref="N1422:N1453" si="856">ROUND(SUM(O1422:AU1422)-T1422,0)</f>
        <v>0</v>
      </c>
      <c r="S1422" s="6">
        <f t="shared" si="849"/>
        <v>0</v>
      </c>
      <c r="T1422" s="273">
        <f t="shared" ref="T1422:T1453" si="857">ROUND(SUM(U1422:Y1422),0)</f>
        <v>0</v>
      </c>
      <c r="BD1422" s="5">
        <f t="shared" si="851"/>
        <v>0</v>
      </c>
      <c r="BE1422" s="325"/>
      <c r="BF1422" s="325"/>
      <c r="BG1422" s="325"/>
      <c r="BH1422" s="325"/>
      <c r="BI1422" s="325"/>
      <c r="BJ1422" s="325"/>
      <c r="BK1422" s="5">
        <f t="shared" si="840"/>
        <v>0</v>
      </c>
      <c r="BL1422" s="325"/>
      <c r="BM1422" s="325"/>
      <c r="BN1422" s="325"/>
      <c r="BO1422" s="325"/>
      <c r="BP1422" s="325"/>
      <c r="BQ1422" s="325"/>
      <c r="BR1422" s="325"/>
      <c r="BS1422" s="325"/>
      <c r="BT1422" s="325"/>
      <c r="BU1422" s="325"/>
      <c r="BV1422" s="325"/>
      <c r="BW1422" s="325"/>
      <c r="BX1422" s="325"/>
      <c r="BY1422" s="325"/>
      <c r="BZ1422" s="325"/>
      <c r="CA1422" s="325"/>
      <c r="CB1422" s="325"/>
      <c r="CC1422" s="325"/>
      <c r="CD1422" s="325"/>
      <c r="CE1422" s="325"/>
      <c r="CF1422" s="325"/>
      <c r="CG1422" s="325"/>
      <c r="CH1422" s="325"/>
      <c r="CI1422" s="325"/>
      <c r="CM1422" s="325">
        <f t="shared" si="855"/>
        <v>0</v>
      </c>
      <c r="CN1422" s="325">
        <v>0</v>
      </c>
      <c r="CP1422" s="923">
        <f t="shared" si="854"/>
        <v>0</v>
      </c>
      <c r="CZ1422" s="330"/>
    </row>
    <row r="1423" spans="1:104" ht="15" customHeight="1" x14ac:dyDescent="0.25">
      <c r="A1423" s="684">
        <f>MAX($A$6:A1422)+1</f>
        <v>1423</v>
      </c>
      <c r="B1423" s="1060">
        <f t="shared" si="852"/>
        <v>14.499999999999998</v>
      </c>
      <c r="C1423" s="11" t="str">
        <f t="shared" si="853"/>
        <v>NILGOSC Scheme liability</v>
      </c>
      <c r="F1423" s="1282"/>
      <c r="G1423" s="1254" t="s">
        <v>286</v>
      </c>
      <c r="J1423" s="1257" t="s">
        <v>948</v>
      </c>
      <c r="K1423" s="313"/>
      <c r="L1423" s="315"/>
      <c r="N1423" s="273">
        <f t="shared" si="856"/>
        <v>0</v>
      </c>
      <c r="S1423" s="6">
        <f t="shared" si="849"/>
        <v>0</v>
      </c>
      <c r="T1423" s="273">
        <f t="shared" si="857"/>
        <v>0</v>
      </c>
      <c r="BD1423" s="5">
        <f t="shared" si="851"/>
        <v>0</v>
      </c>
      <c r="BE1423" s="325"/>
      <c r="BF1423" s="325"/>
      <c r="BG1423" s="325"/>
      <c r="BH1423" s="325"/>
      <c r="BI1423" s="325"/>
      <c r="BJ1423" s="325"/>
      <c r="BK1423" s="5">
        <f t="shared" si="840"/>
        <v>0</v>
      </c>
      <c r="BL1423" s="325"/>
      <c r="BM1423" s="325"/>
      <c r="BN1423" s="325"/>
      <c r="BO1423" s="325"/>
      <c r="BP1423" s="325"/>
      <c r="BQ1423" s="325"/>
      <c r="BR1423" s="325"/>
      <c r="BS1423" s="325"/>
      <c r="BT1423" s="325"/>
      <c r="BU1423" s="325"/>
      <c r="BV1423" s="325"/>
      <c r="BW1423" s="325"/>
      <c r="BX1423" s="325"/>
      <c r="BY1423" s="325"/>
      <c r="BZ1423" s="325"/>
      <c r="CA1423" s="325"/>
      <c r="CB1423" s="325"/>
      <c r="CC1423" s="325"/>
      <c r="CD1423" s="325"/>
      <c r="CE1423" s="325"/>
      <c r="CF1423" s="325"/>
      <c r="CG1423" s="325"/>
      <c r="CH1423" s="325"/>
      <c r="CI1423" s="325"/>
      <c r="CM1423" s="325">
        <f t="shared" si="855"/>
        <v>0</v>
      </c>
      <c r="CN1423" s="325">
        <v>0</v>
      </c>
      <c r="CP1423" s="923">
        <f t="shared" si="854"/>
        <v>0</v>
      </c>
      <c r="CZ1423" s="330"/>
    </row>
    <row r="1424" spans="1:104" ht="15" customHeight="1" x14ac:dyDescent="0.25">
      <c r="A1424" s="684">
        <f>MAX($A$6:A1423)+1</f>
        <v>1424</v>
      </c>
      <c r="B1424" s="1060">
        <f t="shared" si="852"/>
        <v>14.499999999999998</v>
      </c>
      <c r="C1424" s="11" t="str">
        <f t="shared" si="853"/>
        <v>NILGOSC Scheme liability</v>
      </c>
      <c r="F1424" s="1282"/>
      <c r="G1424" s="1254" t="s">
        <v>286</v>
      </c>
      <c r="J1424" s="1257" t="s">
        <v>949</v>
      </c>
      <c r="K1424" s="313"/>
      <c r="L1424" s="315"/>
      <c r="N1424" s="273">
        <f t="shared" si="856"/>
        <v>0</v>
      </c>
      <c r="S1424" s="6">
        <f t="shared" si="849"/>
        <v>0</v>
      </c>
      <c r="T1424" s="273">
        <f t="shared" si="857"/>
        <v>0</v>
      </c>
      <c r="BD1424" s="5">
        <f t="shared" si="851"/>
        <v>0</v>
      </c>
      <c r="BE1424" s="325"/>
      <c r="BF1424" s="325"/>
      <c r="BG1424" s="325"/>
      <c r="BH1424" s="325"/>
      <c r="BI1424" s="325"/>
      <c r="BJ1424" s="325"/>
      <c r="BK1424" s="5">
        <f t="shared" si="840"/>
        <v>0</v>
      </c>
      <c r="BL1424" s="325"/>
      <c r="BM1424" s="325"/>
      <c r="BN1424" s="325"/>
      <c r="BO1424" s="325"/>
      <c r="BP1424" s="325"/>
      <c r="BQ1424" s="325"/>
      <c r="BR1424" s="325"/>
      <c r="BS1424" s="325"/>
      <c r="BT1424" s="325"/>
      <c r="BU1424" s="325"/>
      <c r="BV1424" s="325"/>
      <c r="BW1424" s="325"/>
      <c r="BX1424" s="325"/>
      <c r="BY1424" s="325"/>
      <c r="BZ1424" s="325"/>
      <c r="CA1424" s="325"/>
      <c r="CB1424" s="325"/>
      <c r="CC1424" s="325"/>
      <c r="CD1424" s="325"/>
      <c r="CE1424" s="325"/>
      <c r="CF1424" s="325"/>
      <c r="CG1424" s="325"/>
      <c r="CH1424" s="325"/>
      <c r="CI1424" s="325"/>
      <c r="CM1424" s="325">
        <f t="shared" si="855"/>
        <v>0</v>
      </c>
      <c r="CN1424" s="325">
        <v>0</v>
      </c>
      <c r="CP1424" s="923">
        <f t="shared" si="854"/>
        <v>0</v>
      </c>
      <c r="CZ1424" s="330"/>
    </row>
    <row r="1425" spans="1:104" ht="15" customHeight="1" x14ac:dyDescent="0.25">
      <c r="A1425" s="684">
        <f>MAX($A$6:A1424)+1</f>
        <v>1425</v>
      </c>
      <c r="B1425" s="1060">
        <f t="shared" si="852"/>
        <v>14.499999999999998</v>
      </c>
      <c r="C1425" s="11" t="str">
        <f t="shared" si="853"/>
        <v>NILGOSC Scheme liability</v>
      </c>
      <c r="F1425" s="1282"/>
      <c r="G1425" s="1254" t="s">
        <v>286</v>
      </c>
      <c r="J1425" s="1257" t="s">
        <v>950</v>
      </c>
      <c r="K1425" s="313"/>
      <c r="L1425" s="315"/>
      <c r="N1425" s="273">
        <f t="shared" si="856"/>
        <v>0</v>
      </c>
      <c r="S1425" s="6">
        <f t="shared" si="849"/>
        <v>0</v>
      </c>
      <c r="T1425" s="273">
        <f t="shared" si="857"/>
        <v>0</v>
      </c>
      <c r="BD1425" s="5">
        <f t="shared" si="851"/>
        <v>0</v>
      </c>
      <c r="BE1425" s="325"/>
      <c r="BF1425" s="325"/>
      <c r="BG1425" s="325"/>
      <c r="BH1425" s="325"/>
      <c r="BI1425" s="325"/>
      <c r="BJ1425" s="325"/>
      <c r="BK1425" s="5">
        <f t="shared" si="840"/>
        <v>0</v>
      </c>
      <c r="BL1425" s="325"/>
      <c r="BM1425" s="325"/>
      <c r="BN1425" s="325"/>
      <c r="BO1425" s="325"/>
      <c r="BP1425" s="325"/>
      <c r="BQ1425" s="325"/>
      <c r="BR1425" s="325"/>
      <c r="BS1425" s="325"/>
      <c r="BT1425" s="325"/>
      <c r="BU1425" s="325"/>
      <c r="BV1425" s="325"/>
      <c r="BW1425" s="325"/>
      <c r="BX1425" s="325"/>
      <c r="BY1425" s="325"/>
      <c r="BZ1425" s="325"/>
      <c r="CA1425" s="325"/>
      <c r="CB1425" s="325"/>
      <c r="CC1425" s="325"/>
      <c r="CD1425" s="325"/>
      <c r="CE1425" s="325"/>
      <c r="CF1425" s="325"/>
      <c r="CG1425" s="325"/>
      <c r="CH1425" s="325"/>
      <c r="CI1425" s="325"/>
      <c r="CM1425" s="325">
        <f t="shared" si="855"/>
        <v>0</v>
      </c>
      <c r="CN1425" s="325">
        <v>0</v>
      </c>
      <c r="CP1425" s="923">
        <f t="shared" si="854"/>
        <v>0</v>
      </c>
      <c r="CZ1425" s="330"/>
    </row>
    <row r="1426" spans="1:104" ht="15" customHeight="1" x14ac:dyDescent="0.25">
      <c r="A1426" s="684">
        <f>MAX($A$6:A1425)+1</f>
        <v>1426</v>
      </c>
      <c r="B1426" s="1060">
        <f t="shared" si="852"/>
        <v>14.499999999999998</v>
      </c>
      <c r="C1426" s="11" t="str">
        <f t="shared" si="853"/>
        <v>NILGOSC Scheme liability</v>
      </c>
      <c r="F1426" s="1282"/>
      <c r="G1426" s="1254" t="s">
        <v>286</v>
      </c>
      <c r="J1426" s="1257" t="s">
        <v>951</v>
      </c>
      <c r="K1426" s="313"/>
      <c r="L1426" s="315"/>
      <c r="N1426" s="273">
        <f t="shared" si="856"/>
        <v>0</v>
      </c>
      <c r="S1426" s="6">
        <f t="shared" si="849"/>
        <v>0</v>
      </c>
      <c r="T1426" s="273">
        <f t="shared" si="857"/>
        <v>0</v>
      </c>
      <c r="BD1426" s="5">
        <f t="shared" si="851"/>
        <v>0</v>
      </c>
      <c r="BE1426" s="325"/>
      <c r="BF1426" s="325"/>
      <c r="BG1426" s="325"/>
      <c r="BH1426" s="325"/>
      <c r="BI1426" s="325"/>
      <c r="BJ1426" s="325"/>
      <c r="BK1426" s="5">
        <f t="shared" si="840"/>
        <v>0</v>
      </c>
      <c r="BL1426" s="325"/>
      <c r="BM1426" s="325"/>
      <c r="BN1426" s="325"/>
      <c r="BO1426" s="325"/>
      <c r="BP1426" s="325"/>
      <c r="BQ1426" s="325"/>
      <c r="BR1426" s="325"/>
      <c r="BS1426" s="325"/>
      <c r="BT1426" s="325"/>
      <c r="BU1426" s="325"/>
      <c r="BV1426" s="325"/>
      <c r="BW1426" s="325"/>
      <c r="BX1426" s="325"/>
      <c r="BY1426" s="325"/>
      <c r="BZ1426" s="325"/>
      <c r="CA1426" s="325"/>
      <c r="CB1426" s="325"/>
      <c r="CC1426" s="325"/>
      <c r="CD1426" s="325"/>
      <c r="CE1426" s="325"/>
      <c r="CF1426" s="325"/>
      <c r="CG1426" s="325"/>
      <c r="CH1426" s="325"/>
      <c r="CI1426" s="325"/>
      <c r="CM1426" s="325">
        <f t="shared" si="855"/>
        <v>0</v>
      </c>
      <c r="CN1426" s="325">
        <v>0</v>
      </c>
      <c r="CP1426" s="923">
        <f t="shared" si="854"/>
        <v>0</v>
      </c>
      <c r="CZ1426" s="330"/>
    </row>
    <row r="1427" spans="1:104" ht="15" customHeight="1" x14ac:dyDescent="0.25">
      <c r="A1427" s="684">
        <f>MAX($A$6:A1426)+1</f>
        <v>1427</v>
      </c>
      <c r="B1427" s="1060">
        <f t="shared" si="852"/>
        <v>14.499999999999998</v>
      </c>
      <c r="C1427" s="11" t="str">
        <f t="shared" si="853"/>
        <v>NILGOSC Scheme liability</v>
      </c>
      <c r="F1427" s="1282"/>
      <c r="G1427" s="1254" t="s">
        <v>286</v>
      </c>
      <c r="J1427" s="1257" t="s">
        <v>947</v>
      </c>
      <c r="K1427" s="1246"/>
      <c r="L1427" s="315"/>
      <c r="N1427" s="273">
        <f t="shared" si="856"/>
        <v>0</v>
      </c>
      <c r="S1427" s="6">
        <f t="shared" si="849"/>
        <v>0</v>
      </c>
      <c r="T1427" s="273">
        <f t="shared" si="857"/>
        <v>0</v>
      </c>
      <c r="BD1427" s="5">
        <f t="shared" ref="BD1427:BD1446" si="858">ROUND(SUM(BE1427:BK1427),0)</f>
        <v>0</v>
      </c>
      <c r="BE1427" s="325"/>
      <c r="BF1427" s="325"/>
      <c r="BG1427" s="325"/>
      <c r="BH1427" s="325"/>
      <c r="BI1427" s="325"/>
      <c r="BJ1427" s="325"/>
      <c r="BK1427" s="5">
        <f t="shared" si="840"/>
        <v>0</v>
      </c>
      <c r="BL1427" s="325"/>
      <c r="BM1427" s="325"/>
      <c r="BN1427" s="325"/>
      <c r="BO1427" s="325"/>
      <c r="BP1427" s="325"/>
      <c r="BQ1427" s="325"/>
      <c r="BR1427" s="325"/>
      <c r="BS1427" s="325"/>
      <c r="BT1427" s="325"/>
      <c r="BU1427" s="325"/>
      <c r="BV1427" s="325"/>
      <c r="BW1427" s="325"/>
      <c r="BX1427" s="325"/>
      <c r="BY1427" s="325"/>
      <c r="BZ1427" s="325"/>
      <c r="CA1427" s="325"/>
      <c r="CB1427" s="325"/>
      <c r="CC1427" s="325"/>
      <c r="CD1427" s="325"/>
      <c r="CE1427" s="325"/>
      <c r="CF1427" s="325"/>
      <c r="CG1427" s="325"/>
      <c r="CH1427" s="325"/>
      <c r="CI1427" s="325"/>
      <c r="CM1427" s="325">
        <f t="shared" si="855"/>
        <v>0</v>
      </c>
      <c r="CN1427" s="325">
        <v>0</v>
      </c>
      <c r="CP1427" s="923">
        <f t="shared" si="854"/>
        <v>0</v>
      </c>
      <c r="CZ1427" s="330"/>
    </row>
    <row r="1428" spans="1:104" ht="15" customHeight="1" x14ac:dyDescent="0.25">
      <c r="A1428" s="684">
        <f>MAX($A$6:A1427)+1</f>
        <v>1428</v>
      </c>
      <c r="B1428" s="1060">
        <f t="shared" si="852"/>
        <v>14.499999999999998</v>
      </c>
      <c r="C1428" s="11" t="str">
        <f t="shared" si="853"/>
        <v>NILGOSC Scheme liability</v>
      </c>
      <c r="F1428" s="1282"/>
      <c r="G1428" s="1254" t="s">
        <v>286</v>
      </c>
      <c r="J1428" s="1257" t="s">
        <v>948</v>
      </c>
      <c r="K1428" s="1246"/>
      <c r="L1428" s="315"/>
      <c r="N1428" s="273">
        <f t="shared" si="856"/>
        <v>0</v>
      </c>
      <c r="S1428" s="6">
        <f t="shared" si="849"/>
        <v>0</v>
      </c>
      <c r="T1428" s="273">
        <f t="shared" si="857"/>
        <v>0</v>
      </c>
      <c r="BD1428" s="5">
        <f t="shared" si="858"/>
        <v>0</v>
      </c>
      <c r="BE1428" s="325"/>
      <c r="BF1428" s="325"/>
      <c r="BG1428" s="325"/>
      <c r="BH1428" s="325"/>
      <c r="BI1428" s="325"/>
      <c r="BJ1428" s="325"/>
      <c r="BK1428" s="5">
        <f t="shared" si="840"/>
        <v>0</v>
      </c>
      <c r="BL1428" s="325"/>
      <c r="BM1428" s="325"/>
      <c r="BN1428" s="325"/>
      <c r="BO1428" s="325"/>
      <c r="BP1428" s="325"/>
      <c r="BQ1428" s="325"/>
      <c r="BR1428" s="325"/>
      <c r="BS1428" s="325"/>
      <c r="BT1428" s="325"/>
      <c r="BU1428" s="325"/>
      <c r="BV1428" s="325"/>
      <c r="BW1428" s="325"/>
      <c r="BX1428" s="325"/>
      <c r="BY1428" s="325"/>
      <c r="BZ1428" s="325"/>
      <c r="CA1428" s="325"/>
      <c r="CB1428" s="325"/>
      <c r="CC1428" s="325"/>
      <c r="CD1428" s="325"/>
      <c r="CE1428" s="325"/>
      <c r="CF1428" s="325"/>
      <c r="CG1428" s="325"/>
      <c r="CH1428" s="325"/>
      <c r="CI1428" s="325"/>
      <c r="CM1428" s="325">
        <f t="shared" si="855"/>
        <v>0</v>
      </c>
      <c r="CN1428" s="325">
        <v>0</v>
      </c>
      <c r="CP1428" s="923">
        <f t="shared" si="854"/>
        <v>0</v>
      </c>
      <c r="CZ1428" s="330"/>
    </row>
    <row r="1429" spans="1:104" ht="15" customHeight="1" x14ac:dyDescent="0.25">
      <c r="A1429" s="684">
        <f>MAX($A$6:A1428)+1</f>
        <v>1429</v>
      </c>
      <c r="B1429" s="1060">
        <f t="shared" si="852"/>
        <v>14.499999999999998</v>
      </c>
      <c r="C1429" s="11" t="str">
        <f t="shared" si="853"/>
        <v>NILGOSC Scheme liability</v>
      </c>
      <c r="F1429" s="1282"/>
      <c r="G1429" s="1254" t="s">
        <v>286</v>
      </c>
      <c r="J1429" s="1257" t="s">
        <v>949</v>
      </c>
      <c r="K1429" s="1246"/>
      <c r="L1429" s="315"/>
      <c r="N1429" s="273">
        <f t="shared" si="856"/>
        <v>0</v>
      </c>
      <c r="S1429" s="6">
        <f t="shared" si="849"/>
        <v>0</v>
      </c>
      <c r="T1429" s="273">
        <f t="shared" si="857"/>
        <v>0</v>
      </c>
      <c r="BD1429" s="5">
        <f t="shared" si="858"/>
        <v>0</v>
      </c>
      <c r="BE1429" s="325"/>
      <c r="BF1429" s="325"/>
      <c r="BG1429" s="325"/>
      <c r="BH1429" s="325"/>
      <c r="BI1429" s="325"/>
      <c r="BJ1429" s="325"/>
      <c r="BK1429" s="5">
        <f t="shared" si="840"/>
        <v>0</v>
      </c>
      <c r="BL1429" s="325"/>
      <c r="BM1429" s="325"/>
      <c r="BN1429" s="325"/>
      <c r="BO1429" s="325"/>
      <c r="BP1429" s="325"/>
      <c r="BQ1429" s="325"/>
      <c r="BR1429" s="325"/>
      <c r="BS1429" s="325"/>
      <c r="BT1429" s="325"/>
      <c r="BU1429" s="325"/>
      <c r="BV1429" s="325"/>
      <c r="BW1429" s="325"/>
      <c r="BX1429" s="325"/>
      <c r="BY1429" s="325"/>
      <c r="BZ1429" s="325"/>
      <c r="CA1429" s="325"/>
      <c r="CB1429" s="325"/>
      <c r="CC1429" s="325"/>
      <c r="CD1429" s="325"/>
      <c r="CE1429" s="325"/>
      <c r="CF1429" s="325"/>
      <c r="CG1429" s="325"/>
      <c r="CH1429" s="325"/>
      <c r="CI1429" s="325"/>
      <c r="CM1429" s="325">
        <f t="shared" si="855"/>
        <v>0</v>
      </c>
      <c r="CN1429" s="325">
        <v>0</v>
      </c>
      <c r="CP1429" s="923">
        <f t="shared" si="854"/>
        <v>0</v>
      </c>
      <c r="CZ1429" s="330"/>
    </row>
    <row r="1430" spans="1:104" ht="15" customHeight="1" x14ac:dyDescent="0.25">
      <c r="A1430" s="684">
        <f>MAX($A$6:A1429)+1</f>
        <v>1430</v>
      </c>
      <c r="B1430" s="1060">
        <f t="shared" si="852"/>
        <v>14.499999999999998</v>
      </c>
      <c r="C1430" s="11" t="str">
        <f t="shared" si="853"/>
        <v>NILGOSC Scheme liability</v>
      </c>
      <c r="F1430" s="1282"/>
      <c r="G1430" s="1254" t="s">
        <v>286</v>
      </c>
      <c r="J1430" s="1257" t="s">
        <v>950</v>
      </c>
      <c r="K1430" s="1246"/>
      <c r="L1430" s="315"/>
      <c r="N1430" s="273">
        <f t="shared" si="856"/>
        <v>0</v>
      </c>
      <c r="S1430" s="6">
        <f t="shared" si="849"/>
        <v>0</v>
      </c>
      <c r="T1430" s="273">
        <f t="shared" si="857"/>
        <v>0</v>
      </c>
      <c r="BD1430" s="5">
        <f t="shared" si="858"/>
        <v>0</v>
      </c>
      <c r="BE1430" s="325"/>
      <c r="BF1430" s="325"/>
      <c r="BG1430" s="325"/>
      <c r="BH1430" s="325"/>
      <c r="BI1430" s="325"/>
      <c r="BJ1430" s="325"/>
      <c r="BK1430" s="5">
        <f t="shared" si="840"/>
        <v>0</v>
      </c>
      <c r="BL1430" s="325"/>
      <c r="BM1430" s="325"/>
      <c r="BN1430" s="325"/>
      <c r="BO1430" s="325"/>
      <c r="BP1430" s="325"/>
      <c r="BQ1430" s="325"/>
      <c r="BR1430" s="325"/>
      <c r="BS1430" s="325"/>
      <c r="BT1430" s="325"/>
      <c r="BU1430" s="325"/>
      <c r="BV1430" s="325"/>
      <c r="BW1430" s="325"/>
      <c r="BX1430" s="325"/>
      <c r="BY1430" s="325"/>
      <c r="BZ1430" s="325"/>
      <c r="CA1430" s="325"/>
      <c r="CB1430" s="325"/>
      <c r="CC1430" s="325"/>
      <c r="CD1430" s="325"/>
      <c r="CE1430" s="325"/>
      <c r="CF1430" s="325"/>
      <c r="CG1430" s="325"/>
      <c r="CH1430" s="325"/>
      <c r="CI1430" s="325"/>
      <c r="CM1430" s="325">
        <f t="shared" si="855"/>
        <v>0</v>
      </c>
      <c r="CN1430" s="325">
        <v>0</v>
      </c>
      <c r="CP1430" s="923">
        <f t="shared" si="854"/>
        <v>0</v>
      </c>
      <c r="CZ1430" s="330"/>
    </row>
    <row r="1431" spans="1:104" ht="15" customHeight="1" x14ac:dyDescent="0.25">
      <c r="A1431" s="684">
        <f>MAX($A$6:A1430)+1</f>
        <v>1431</v>
      </c>
      <c r="B1431" s="1060">
        <f t="shared" si="852"/>
        <v>14.499999999999998</v>
      </c>
      <c r="C1431" s="11" t="str">
        <f t="shared" si="853"/>
        <v>NILGOSC Scheme liability</v>
      </c>
      <c r="F1431" s="1282"/>
      <c r="G1431" s="1254" t="s">
        <v>286</v>
      </c>
      <c r="J1431" s="1257" t="s">
        <v>951</v>
      </c>
      <c r="K1431" s="1246"/>
      <c r="L1431" s="315"/>
      <c r="N1431" s="273">
        <f t="shared" si="856"/>
        <v>0</v>
      </c>
      <c r="S1431" s="6">
        <f t="shared" si="849"/>
        <v>0</v>
      </c>
      <c r="T1431" s="273">
        <f t="shared" si="857"/>
        <v>0</v>
      </c>
      <c r="BD1431" s="5">
        <f t="shared" si="858"/>
        <v>0</v>
      </c>
      <c r="BE1431" s="325"/>
      <c r="BF1431" s="325"/>
      <c r="BG1431" s="325"/>
      <c r="BH1431" s="325"/>
      <c r="BI1431" s="325"/>
      <c r="BJ1431" s="325"/>
      <c r="BK1431" s="5">
        <f t="shared" si="840"/>
        <v>0</v>
      </c>
      <c r="BL1431" s="325"/>
      <c r="BM1431" s="325"/>
      <c r="BN1431" s="325"/>
      <c r="BO1431" s="325"/>
      <c r="BP1431" s="325"/>
      <c r="BQ1431" s="325"/>
      <c r="BR1431" s="325"/>
      <c r="BS1431" s="325"/>
      <c r="BT1431" s="325"/>
      <c r="BU1431" s="325"/>
      <c r="BV1431" s="325"/>
      <c r="BW1431" s="325"/>
      <c r="BX1431" s="325"/>
      <c r="BY1431" s="325"/>
      <c r="BZ1431" s="325"/>
      <c r="CA1431" s="325"/>
      <c r="CB1431" s="325"/>
      <c r="CC1431" s="325"/>
      <c r="CD1431" s="325"/>
      <c r="CE1431" s="325"/>
      <c r="CF1431" s="325"/>
      <c r="CG1431" s="325"/>
      <c r="CH1431" s="325"/>
      <c r="CI1431" s="325"/>
      <c r="CM1431" s="325">
        <f t="shared" si="855"/>
        <v>0</v>
      </c>
      <c r="CN1431" s="325">
        <v>0</v>
      </c>
      <c r="CP1431" s="923">
        <f t="shared" si="854"/>
        <v>0</v>
      </c>
      <c r="CZ1431" s="330"/>
    </row>
    <row r="1432" spans="1:104" ht="15" customHeight="1" x14ac:dyDescent="0.25">
      <c r="A1432" s="684">
        <f>MAX($A$6:A1431)+1</f>
        <v>1432</v>
      </c>
      <c r="B1432" s="1060">
        <f t="shared" si="852"/>
        <v>14.499999999999998</v>
      </c>
      <c r="C1432" s="11" t="str">
        <f t="shared" si="853"/>
        <v>NILGOSC Scheme liability</v>
      </c>
      <c r="F1432" s="1282"/>
      <c r="G1432" s="1254" t="s">
        <v>286</v>
      </c>
      <c r="J1432" s="1257" t="s">
        <v>952</v>
      </c>
      <c r="K1432" s="1246"/>
      <c r="L1432" s="315"/>
      <c r="N1432" s="273">
        <f t="shared" si="856"/>
        <v>0</v>
      </c>
      <c r="S1432" s="6">
        <f t="shared" si="849"/>
        <v>0</v>
      </c>
      <c r="T1432" s="273">
        <f t="shared" si="857"/>
        <v>0</v>
      </c>
      <c r="BD1432" s="5">
        <f t="shared" si="858"/>
        <v>0</v>
      </c>
      <c r="BE1432" s="325"/>
      <c r="BF1432" s="325"/>
      <c r="BG1432" s="325"/>
      <c r="BH1432" s="325"/>
      <c r="BI1432" s="325"/>
      <c r="BJ1432" s="325"/>
      <c r="BK1432" s="5">
        <f t="shared" si="840"/>
        <v>0</v>
      </c>
      <c r="BL1432" s="325"/>
      <c r="BM1432" s="325"/>
      <c r="BN1432" s="325"/>
      <c r="BO1432" s="325"/>
      <c r="BP1432" s="325"/>
      <c r="BQ1432" s="325"/>
      <c r="BR1432" s="325"/>
      <c r="BS1432" s="325"/>
      <c r="BT1432" s="325"/>
      <c r="BU1432" s="325"/>
      <c r="BV1432" s="325"/>
      <c r="BW1432" s="325"/>
      <c r="BX1432" s="325"/>
      <c r="BY1432" s="325"/>
      <c r="BZ1432" s="325"/>
      <c r="CA1432" s="325"/>
      <c r="CB1432" s="325"/>
      <c r="CC1432" s="325"/>
      <c r="CD1432" s="325"/>
      <c r="CE1432" s="325"/>
      <c r="CF1432" s="325"/>
      <c r="CG1432" s="325"/>
      <c r="CH1432" s="325"/>
      <c r="CI1432" s="325"/>
      <c r="CM1432" s="325">
        <f t="shared" si="855"/>
        <v>0</v>
      </c>
      <c r="CN1432" s="325">
        <v>0</v>
      </c>
      <c r="CP1432" s="923">
        <f t="shared" si="854"/>
        <v>0</v>
      </c>
      <c r="CZ1432" s="330"/>
    </row>
    <row r="1433" spans="1:104" ht="15" customHeight="1" x14ac:dyDescent="0.25">
      <c r="A1433" s="684">
        <f>MAX($A$6:A1432)+1</f>
        <v>1433</v>
      </c>
      <c r="B1433" s="1060">
        <f t="shared" si="852"/>
        <v>14.499999999999998</v>
      </c>
      <c r="C1433" s="11" t="str">
        <f t="shared" si="853"/>
        <v>NILGOSC Scheme liability</v>
      </c>
      <c r="F1433" s="1282"/>
      <c r="G1433" s="1254" t="s">
        <v>286</v>
      </c>
      <c r="J1433" s="1257" t="s">
        <v>953</v>
      </c>
      <c r="K1433" s="1246"/>
      <c r="L1433" s="315"/>
      <c r="N1433" s="273">
        <f t="shared" si="856"/>
        <v>0</v>
      </c>
      <c r="S1433" s="6">
        <f t="shared" si="849"/>
        <v>0</v>
      </c>
      <c r="T1433" s="273">
        <f t="shared" si="857"/>
        <v>0</v>
      </c>
      <c r="BD1433" s="5">
        <f t="shared" si="858"/>
        <v>0</v>
      </c>
      <c r="BE1433" s="325"/>
      <c r="BF1433" s="325"/>
      <c r="BG1433" s="325"/>
      <c r="BH1433" s="325"/>
      <c r="BI1433" s="325"/>
      <c r="BJ1433" s="325"/>
      <c r="BK1433" s="5">
        <f t="shared" si="840"/>
        <v>0</v>
      </c>
      <c r="BL1433" s="325"/>
      <c r="BM1433" s="325"/>
      <c r="BN1433" s="325"/>
      <c r="BO1433" s="325"/>
      <c r="BP1433" s="325"/>
      <c r="BQ1433" s="325"/>
      <c r="BR1433" s="325"/>
      <c r="BS1433" s="325"/>
      <c r="BT1433" s="325"/>
      <c r="BU1433" s="325"/>
      <c r="BV1433" s="325"/>
      <c r="BW1433" s="325"/>
      <c r="BX1433" s="325"/>
      <c r="BY1433" s="325"/>
      <c r="BZ1433" s="325"/>
      <c r="CA1433" s="325"/>
      <c r="CB1433" s="325"/>
      <c r="CC1433" s="325"/>
      <c r="CD1433" s="325"/>
      <c r="CE1433" s="325"/>
      <c r="CF1433" s="325"/>
      <c r="CG1433" s="325"/>
      <c r="CH1433" s="325"/>
      <c r="CI1433" s="325"/>
      <c r="CM1433" s="325">
        <f t="shared" si="855"/>
        <v>0</v>
      </c>
      <c r="CN1433" s="325">
        <v>0</v>
      </c>
      <c r="CP1433" s="923">
        <f t="shared" si="854"/>
        <v>0</v>
      </c>
      <c r="CZ1433" s="330"/>
    </row>
    <row r="1434" spans="1:104" ht="15" customHeight="1" x14ac:dyDescent="0.25">
      <c r="A1434" s="684">
        <f>MAX($A$6:A1433)+1</f>
        <v>1434</v>
      </c>
      <c r="B1434" s="1060">
        <f t="shared" si="852"/>
        <v>14.499999999999998</v>
      </c>
      <c r="C1434" s="11" t="str">
        <f t="shared" si="853"/>
        <v>NILGOSC Scheme liability</v>
      </c>
      <c r="F1434" s="1282"/>
      <c r="G1434" s="1254" t="s">
        <v>286</v>
      </c>
      <c r="J1434" s="1257" t="s">
        <v>954</v>
      </c>
      <c r="K1434" s="1246"/>
      <c r="L1434" s="315"/>
      <c r="N1434" s="273">
        <f t="shared" si="856"/>
        <v>0</v>
      </c>
      <c r="S1434" s="6">
        <f t="shared" si="849"/>
        <v>0</v>
      </c>
      <c r="T1434" s="273">
        <f t="shared" si="857"/>
        <v>0</v>
      </c>
      <c r="BD1434" s="5">
        <f t="shared" si="858"/>
        <v>0</v>
      </c>
      <c r="BE1434" s="325"/>
      <c r="BF1434" s="325"/>
      <c r="BG1434" s="325"/>
      <c r="BH1434" s="325"/>
      <c r="BI1434" s="325"/>
      <c r="BJ1434" s="325"/>
      <c r="BK1434" s="5">
        <f t="shared" si="840"/>
        <v>0</v>
      </c>
      <c r="BL1434" s="325"/>
      <c r="BM1434" s="325"/>
      <c r="BN1434" s="325"/>
      <c r="BO1434" s="325"/>
      <c r="BP1434" s="325"/>
      <c r="BQ1434" s="325"/>
      <c r="BR1434" s="325"/>
      <c r="BS1434" s="325"/>
      <c r="BT1434" s="325"/>
      <c r="BU1434" s="325"/>
      <c r="BV1434" s="325"/>
      <c r="BW1434" s="325"/>
      <c r="BX1434" s="325"/>
      <c r="BY1434" s="325"/>
      <c r="BZ1434" s="325"/>
      <c r="CA1434" s="325"/>
      <c r="CB1434" s="325"/>
      <c r="CC1434" s="325"/>
      <c r="CD1434" s="325"/>
      <c r="CE1434" s="325"/>
      <c r="CF1434" s="325"/>
      <c r="CG1434" s="325"/>
      <c r="CH1434" s="325"/>
      <c r="CI1434" s="325"/>
      <c r="CM1434" s="325">
        <f t="shared" si="855"/>
        <v>0</v>
      </c>
      <c r="CN1434" s="325">
        <v>0</v>
      </c>
      <c r="CP1434" s="923">
        <f t="shared" si="854"/>
        <v>0</v>
      </c>
      <c r="CZ1434" s="330"/>
    </row>
    <row r="1435" spans="1:104" ht="15" customHeight="1" x14ac:dyDescent="0.25">
      <c r="A1435" s="684">
        <f>MAX($A$6:A1434)+1</f>
        <v>1435</v>
      </c>
      <c r="B1435" s="1060">
        <f t="shared" si="852"/>
        <v>14.499999999999998</v>
      </c>
      <c r="C1435" s="11" t="str">
        <f t="shared" si="853"/>
        <v>NILGOSC Scheme liability</v>
      </c>
      <c r="F1435" s="1282"/>
      <c r="G1435" s="1254" t="s">
        <v>286</v>
      </c>
      <c r="J1435" s="1261" t="s">
        <v>955</v>
      </c>
      <c r="K1435" s="1245"/>
      <c r="L1435" s="315"/>
      <c r="N1435" s="273">
        <f t="shared" si="856"/>
        <v>0</v>
      </c>
      <c r="S1435" s="6">
        <f t="shared" si="849"/>
        <v>0</v>
      </c>
      <c r="T1435" s="273">
        <f t="shared" si="857"/>
        <v>0</v>
      </c>
      <c r="BD1435" s="5">
        <f t="shared" si="858"/>
        <v>0</v>
      </c>
      <c r="BE1435" s="325"/>
      <c r="BF1435" s="325"/>
      <c r="BG1435" s="325"/>
      <c r="BH1435" s="325"/>
      <c r="BI1435" s="325"/>
      <c r="BJ1435" s="325"/>
      <c r="BK1435" s="5">
        <f t="shared" si="840"/>
        <v>0</v>
      </c>
      <c r="BL1435" s="325"/>
      <c r="BM1435" s="325"/>
      <c r="BN1435" s="325"/>
      <c r="BO1435" s="325"/>
      <c r="BP1435" s="325"/>
      <c r="BQ1435" s="325"/>
      <c r="BR1435" s="325"/>
      <c r="BS1435" s="325"/>
      <c r="BT1435" s="325"/>
      <c r="BU1435" s="325"/>
      <c r="BV1435" s="325"/>
      <c r="BW1435" s="325"/>
      <c r="BX1435" s="325"/>
      <c r="BY1435" s="325"/>
      <c r="BZ1435" s="325"/>
      <c r="CA1435" s="325"/>
      <c r="CB1435" s="325"/>
      <c r="CC1435" s="325"/>
      <c r="CD1435" s="325"/>
      <c r="CE1435" s="325"/>
      <c r="CF1435" s="325"/>
      <c r="CG1435" s="325"/>
      <c r="CH1435" s="325"/>
      <c r="CI1435" s="325"/>
      <c r="CM1435" s="325">
        <f t="shared" si="855"/>
        <v>0</v>
      </c>
      <c r="CN1435" s="325">
        <v>0</v>
      </c>
      <c r="CP1435" s="923">
        <f t="shared" si="854"/>
        <v>0</v>
      </c>
      <c r="CZ1435" s="330"/>
    </row>
    <row r="1436" spans="1:104" ht="15" customHeight="1" x14ac:dyDescent="0.25">
      <c r="A1436" s="684">
        <f>MAX($A$6:A1435)+1</f>
        <v>1436</v>
      </c>
      <c r="B1436" s="1060">
        <f t="shared" si="852"/>
        <v>14.499999999999998</v>
      </c>
      <c r="C1436" s="11" t="str">
        <f t="shared" si="853"/>
        <v>NILGOSC Scheme liability</v>
      </c>
      <c r="F1436" s="1282"/>
      <c r="G1436" s="1254" t="s">
        <v>286</v>
      </c>
      <c r="J1436" s="1257" t="s">
        <v>2021</v>
      </c>
      <c r="K1436" s="1246"/>
      <c r="L1436" s="315"/>
      <c r="N1436" s="273">
        <f t="shared" si="856"/>
        <v>0</v>
      </c>
      <c r="S1436" s="6">
        <f t="shared" si="849"/>
        <v>0</v>
      </c>
      <c r="T1436" s="273">
        <f t="shared" si="857"/>
        <v>0</v>
      </c>
      <c r="BD1436" s="5">
        <f t="shared" si="858"/>
        <v>0</v>
      </c>
      <c r="BE1436" s="325"/>
      <c r="BF1436" s="325"/>
      <c r="BG1436" s="325"/>
      <c r="BH1436" s="325"/>
      <c r="BI1436" s="325"/>
      <c r="BJ1436" s="325"/>
      <c r="BK1436" s="5">
        <f t="shared" si="840"/>
        <v>0</v>
      </c>
      <c r="BL1436" s="325"/>
      <c r="BM1436" s="325"/>
      <c r="BN1436" s="325"/>
      <c r="BO1436" s="325"/>
      <c r="BP1436" s="325"/>
      <c r="BQ1436" s="325"/>
      <c r="BR1436" s="325"/>
      <c r="BS1436" s="325"/>
      <c r="BT1436" s="325"/>
      <c r="BU1436" s="325"/>
      <c r="BV1436" s="325"/>
      <c r="BW1436" s="325"/>
      <c r="BX1436" s="325"/>
      <c r="BY1436" s="325"/>
      <c r="BZ1436" s="325"/>
      <c r="CA1436" s="325"/>
      <c r="CB1436" s="325"/>
      <c r="CC1436" s="325"/>
      <c r="CD1436" s="325"/>
      <c r="CE1436" s="325"/>
      <c r="CF1436" s="325"/>
      <c r="CG1436" s="325"/>
      <c r="CH1436" s="325"/>
      <c r="CI1436" s="325"/>
      <c r="CM1436" s="325">
        <f t="shared" si="855"/>
        <v>0</v>
      </c>
      <c r="CN1436" s="325">
        <v>0</v>
      </c>
      <c r="CP1436" s="923">
        <f t="shared" si="854"/>
        <v>0</v>
      </c>
      <c r="CZ1436" s="330"/>
    </row>
    <row r="1437" spans="1:104" ht="15" customHeight="1" x14ac:dyDescent="0.25">
      <c r="A1437" s="684">
        <f>MAX($A$6:A1436)+1</f>
        <v>1437</v>
      </c>
      <c r="B1437" s="1060">
        <f t="shared" si="852"/>
        <v>14.499999999999998</v>
      </c>
      <c r="C1437" s="11" t="str">
        <f t="shared" si="853"/>
        <v>NILGOSC Scheme liability</v>
      </c>
      <c r="F1437" s="1282"/>
      <c r="G1437" s="1254" t="s">
        <v>286</v>
      </c>
      <c r="J1437" s="1257" t="s">
        <v>998</v>
      </c>
      <c r="K1437" s="1246"/>
      <c r="L1437" s="315"/>
      <c r="N1437" s="273">
        <f t="shared" si="856"/>
        <v>0</v>
      </c>
      <c r="S1437" s="6">
        <f t="shared" si="849"/>
        <v>0</v>
      </c>
      <c r="T1437" s="273">
        <f t="shared" si="857"/>
        <v>0</v>
      </c>
      <c r="BD1437" s="5">
        <f t="shared" si="858"/>
        <v>0</v>
      </c>
      <c r="BE1437" s="325"/>
      <c r="BF1437" s="325"/>
      <c r="BG1437" s="325"/>
      <c r="BH1437" s="325"/>
      <c r="BI1437" s="325"/>
      <c r="BJ1437" s="325"/>
      <c r="BK1437" s="5">
        <f t="shared" si="840"/>
        <v>0</v>
      </c>
      <c r="BL1437" s="325"/>
      <c r="BM1437" s="325"/>
      <c r="BN1437" s="325"/>
      <c r="BO1437" s="325"/>
      <c r="BP1437" s="325"/>
      <c r="BQ1437" s="325"/>
      <c r="BR1437" s="325"/>
      <c r="BS1437" s="325"/>
      <c r="BT1437" s="325"/>
      <c r="BU1437" s="325"/>
      <c r="BV1437" s="325"/>
      <c r="BW1437" s="325"/>
      <c r="BX1437" s="325"/>
      <c r="BY1437" s="325"/>
      <c r="BZ1437" s="325"/>
      <c r="CA1437" s="325"/>
      <c r="CB1437" s="325"/>
      <c r="CC1437" s="325"/>
      <c r="CD1437" s="325"/>
      <c r="CE1437" s="325"/>
      <c r="CF1437" s="325"/>
      <c r="CG1437" s="325"/>
      <c r="CH1437" s="325"/>
      <c r="CI1437" s="325"/>
      <c r="CM1437" s="325">
        <f t="shared" si="855"/>
        <v>0</v>
      </c>
      <c r="CN1437" s="325">
        <v>0</v>
      </c>
      <c r="CP1437" s="923">
        <f t="shared" si="854"/>
        <v>0</v>
      </c>
      <c r="CZ1437" s="330"/>
    </row>
    <row r="1438" spans="1:104" ht="15" customHeight="1" x14ac:dyDescent="0.25">
      <c r="A1438" s="684">
        <f>MAX($A$6:A1437)+1</f>
        <v>1438</v>
      </c>
      <c r="B1438" s="1060">
        <f t="shared" si="852"/>
        <v>14.499999999999998</v>
      </c>
      <c r="C1438" s="11" t="str">
        <f t="shared" si="853"/>
        <v>NILGOSC Scheme liability</v>
      </c>
      <c r="F1438" s="1282"/>
      <c r="G1438" s="1254" t="s">
        <v>286</v>
      </c>
      <c r="J1438" s="1257" t="s">
        <v>2022</v>
      </c>
      <c r="K1438" s="313"/>
      <c r="L1438" s="315"/>
      <c r="N1438" s="273">
        <f t="shared" si="856"/>
        <v>0</v>
      </c>
      <c r="S1438" s="6">
        <f t="shared" si="849"/>
        <v>0</v>
      </c>
      <c r="T1438" s="273">
        <f t="shared" si="857"/>
        <v>0</v>
      </c>
      <c r="BD1438" s="5">
        <f t="shared" si="858"/>
        <v>0</v>
      </c>
      <c r="BE1438" s="325"/>
      <c r="BF1438" s="325"/>
      <c r="BG1438" s="325"/>
      <c r="BH1438" s="325"/>
      <c r="BI1438" s="325"/>
      <c r="BJ1438" s="325"/>
      <c r="BK1438" s="5">
        <f t="shared" si="840"/>
        <v>0</v>
      </c>
      <c r="BL1438" s="325"/>
      <c r="BM1438" s="325"/>
      <c r="BN1438" s="325"/>
      <c r="BO1438" s="325"/>
      <c r="BP1438" s="325"/>
      <c r="BQ1438" s="325"/>
      <c r="BR1438" s="325"/>
      <c r="BS1438" s="325"/>
      <c r="BT1438" s="325"/>
      <c r="BU1438" s="325"/>
      <c r="BV1438" s="325"/>
      <c r="BW1438" s="325"/>
      <c r="BX1438" s="325"/>
      <c r="BY1438" s="325"/>
      <c r="BZ1438" s="325"/>
      <c r="CA1438" s="325"/>
      <c r="CB1438" s="325"/>
      <c r="CC1438" s="325"/>
      <c r="CD1438" s="325"/>
      <c r="CE1438" s="325"/>
      <c r="CF1438" s="325"/>
      <c r="CG1438" s="325"/>
      <c r="CH1438" s="325"/>
      <c r="CI1438" s="325"/>
      <c r="CM1438" s="325">
        <f t="shared" si="855"/>
        <v>0</v>
      </c>
      <c r="CN1438" s="325">
        <v>0</v>
      </c>
      <c r="CP1438" s="923">
        <f t="shared" si="854"/>
        <v>0</v>
      </c>
      <c r="CZ1438" s="330"/>
    </row>
    <row r="1439" spans="1:104" ht="15" customHeight="1" x14ac:dyDescent="0.25">
      <c r="A1439" s="684">
        <f>MAX($A$6:A1438)+1</f>
        <v>1439</v>
      </c>
      <c r="B1439" s="1060">
        <f t="shared" si="852"/>
        <v>14.499999999999998</v>
      </c>
      <c r="C1439" s="11" t="str">
        <f t="shared" si="853"/>
        <v>NILGOSC Scheme liability</v>
      </c>
      <c r="F1439" s="1282"/>
      <c r="G1439" s="1254" t="s">
        <v>286</v>
      </c>
      <c r="J1439" s="1257" t="s">
        <v>2023</v>
      </c>
      <c r="K1439" s="313"/>
      <c r="L1439" s="315"/>
      <c r="N1439" s="273">
        <f t="shared" si="856"/>
        <v>0</v>
      </c>
      <c r="S1439" s="6">
        <f t="shared" si="849"/>
        <v>0</v>
      </c>
      <c r="T1439" s="273">
        <f t="shared" si="857"/>
        <v>0</v>
      </c>
      <c r="BD1439" s="5">
        <f t="shared" si="858"/>
        <v>0</v>
      </c>
      <c r="BE1439" s="325"/>
      <c r="BF1439" s="325"/>
      <c r="BG1439" s="325"/>
      <c r="BH1439" s="325"/>
      <c r="BI1439" s="325"/>
      <c r="BJ1439" s="325"/>
      <c r="BK1439" s="5">
        <f t="shared" si="840"/>
        <v>0</v>
      </c>
      <c r="BL1439" s="325"/>
      <c r="BM1439" s="325"/>
      <c r="BN1439" s="325"/>
      <c r="BO1439" s="325"/>
      <c r="BP1439" s="325"/>
      <c r="BQ1439" s="325"/>
      <c r="BR1439" s="325"/>
      <c r="BS1439" s="325"/>
      <c r="BT1439" s="325"/>
      <c r="BU1439" s="325"/>
      <c r="BV1439" s="325"/>
      <c r="BW1439" s="325"/>
      <c r="BX1439" s="325"/>
      <c r="BY1439" s="325"/>
      <c r="BZ1439" s="325"/>
      <c r="CA1439" s="325"/>
      <c r="CB1439" s="325"/>
      <c r="CC1439" s="325"/>
      <c r="CD1439" s="325"/>
      <c r="CE1439" s="325"/>
      <c r="CF1439" s="325"/>
      <c r="CG1439" s="325"/>
      <c r="CH1439" s="325"/>
      <c r="CI1439" s="325"/>
      <c r="CM1439" s="325">
        <f t="shared" si="855"/>
        <v>0</v>
      </c>
      <c r="CN1439" s="325">
        <v>0</v>
      </c>
      <c r="CP1439" s="923">
        <f t="shared" si="854"/>
        <v>0</v>
      </c>
      <c r="CZ1439" s="330"/>
    </row>
    <row r="1440" spans="1:104" ht="15" customHeight="1" x14ac:dyDescent="0.25">
      <c r="A1440" s="684">
        <f>MAX($A$6:A1439)+1</f>
        <v>1440</v>
      </c>
      <c r="B1440" s="1060">
        <f t="shared" si="852"/>
        <v>14.499999999999998</v>
      </c>
      <c r="C1440" s="11" t="str">
        <f t="shared" si="853"/>
        <v>NILGOSC Scheme liability</v>
      </c>
      <c r="F1440" s="1282"/>
      <c r="G1440" s="1254" t="s">
        <v>286</v>
      </c>
      <c r="J1440" s="1257" t="s">
        <v>2024</v>
      </c>
      <c r="K1440" s="313"/>
      <c r="L1440" s="315"/>
      <c r="N1440" s="273">
        <f t="shared" si="856"/>
        <v>0</v>
      </c>
      <c r="S1440" s="6">
        <f t="shared" si="849"/>
        <v>0</v>
      </c>
      <c r="T1440" s="273">
        <f t="shared" si="857"/>
        <v>0</v>
      </c>
      <c r="BD1440" s="5">
        <f t="shared" si="858"/>
        <v>0</v>
      </c>
      <c r="BE1440" s="325"/>
      <c r="BF1440" s="325"/>
      <c r="BG1440" s="325"/>
      <c r="BH1440" s="325"/>
      <c r="BI1440" s="325"/>
      <c r="BJ1440" s="325"/>
      <c r="BK1440" s="5">
        <f t="shared" si="840"/>
        <v>0</v>
      </c>
      <c r="BL1440" s="325"/>
      <c r="BM1440" s="325"/>
      <c r="BN1440" s="325"/>
      <c r="BO1440" s="325"/>
      <c r="BP1440" s="325"/>
      <c r="BQ1440" s="325"/>
      <c r="BR1440" s="325"/>
      <c r="BS1440" s="325"/>
      <c r="BT1440" s="325"/>
      <c r="BU1440" s="325"/>
      <c r="BV1440" s="325"/>
      <c r="BW1440" s="325"/>
      <c r="BX1440" s="325"/>
      <c r="BY1440" s="325"/>
      <c r="BZ1440" s="325"/>
      <c r="CA1440" s="325"/>
      <c r="CB1440" s="325"/>
      <c r="CC1440" s="325"/>
      <c r="CD1440" s="325"/>
      <c r="CE1440" s="325"/>
      <c r="CF1440" s="325"/>
      <c r="CG1440" s="325"/>
      <c r="CH1440" s="325"/>
      <c r="CI1440" s="325"/>
      <c r="CM1440" s="325">
        <f t="shared" si="855"/>
        <v>0</v>
      </c>
      <c r="CN1440" s="325">
        <v>0</v>
      </c>
      <c r="CP1440" s="923">
        <f t="shared" si="854"/>
        <v>0</v>
      </c>
      <c r="CZ1440" s="330"/>
    </row>
    <row r="1441" spans="1:104" ht="15" customHeight="1" x14ac:dyDescent="0.25">
      <c r="A1441" s="684">
        <f>MAX($A$6:A1440)+1</f>
        <v>1441</v>
      </c>
      <c r="B1441" s="1060">
        <f t="shared" si="852"/>
        <v>14.499999999999998</v>
      </c>
      <c r="C1441" s="11" t="str">
        <f t="shared" si="853"/>
        <v>NILGOSC Scheme liability</v>
      </c>
      <c r="F1441" s="1282"/>
      <c r="G1441" s="1254" t="s">
        <v>286</v>
      </c>
      <c r="J1441" s="1261" t="s">
        <v>956</v>
      </c>
      <c r="K1441" s="1245"/>
      <c r="L1441" s="315"/>
      <c r="N1441" s="273">
        <f t="shared" si="856"/>
        <v>0</v>
      </c>
      <c r="S1441" s="6">
        <f t="shared" si="849"/>
        <v>0</v>
      </c>
      <c r="T1441" s="273">
        <f t="shared" si="857"/>
        <v>0</v>
      </c>
      <c r="BD1441" s="5">
        <f t="shared" si="858"/>
        <v>0</v>
      </c>
      <c r="BE1441" s="325"/>
      <c r="BF1441" s="325"/>
      <c r="BG1441" s="325"/>
      <c r="BH1441" s="325"/>
      <c r="BI1441" s="325"/>
      <c r="BJ1441" s="325"/>
      <c r="BK1441" s="5">
        <f t="shared" si="840"/>
        <v>0</v>
      </c>
      <c r="BL1441" s="325"/>
      <c r="BM1441" s="325"/>
      <c r="BN1441" s="325"/>
      <c r="BO1441" s="325"/>
      <c r="BP1441" s="325"/>
      <c r="BQ1441" s="325"/>
      <c r="BR1441" s="325"/>
      <c r="BS1441" s="325"/>
      <c r="BT1441" s="325"/>
      <c r="BU1441" s="325"/>
      <c r="BV1441" s="325"/>
      <c r="BW1441" s="325"/>
      <c r="BX1441" s="325"/>
      <c r="BY1441" s="325"/>
      <c r="BZ1441" s="325"/>
      <c r="CA1441" s="325"/>
      <c r="CB1441" s="325"/>
      <c r="CC1441" s="325"/>
      <c r="CD1441" s="325"/>
      <c r="CE1441" s="325"/>
      <c r="CF1441" s="325"/>
      <c r="CG1441" s="325"/>
      <c r="CH1441" s="325"/>
      <c r="CI1441" s="325"/>
      <c r="CM1441" s="325">
        <f t="shared" si="855"/>
        <v>0</v>
      </c>
      <c r="CN1441" s="325">
        <v>0</v>
      </c>
      <c r="CP1441" s="923">
        <f t="shared" si="854"/>
        <v>0</v>
      </c>
      <c r="CZ1441" s="330"/>
    </row>
    <row r="1442" spans="1:104" ht="15" customHeight="1" x14ac:dyDescent="0.25">
      <c r="A1442" s="684">
        <f>MAX($A$6:A1441)+1</f>
        <v>1442</v>
      </c>
      <c r="B1442" s="1060">
        <f t="shared" si="852"/>
        <v>14.499999999999998</v>
      </c>
      <c r="C1442" s="11" t="str">
        <f t="shared" si="853"/>
        <v>NILGOSC Scheme liability</v>
      </c>
      <c r="F1442" s="1282"/>
      <c r="G1442" s="1254" t="s">
        <v>286</v>
      </c>
      <c r="J1442" s="1257" t="s">
        <v>957</v>
      </c>
      <c r="K1442" s="1246"/>
      <c r="L1442" s="315"/>
      <c r="N1442" s="273">
        <f t="shared" si="856"/>
        <v>0</v>
      </c>
      <c r="S1442" s="6">
        <f t="shared" si="849"/>
        <v>0</v>
      </c>
      <c r="T1442" s="273">
        <f t="shared" si="857"/>
        <v>0</v>
      </c>
      <c r="BD1442" s="5">
        <f t="shared" si="858"/>
        <v>0</v>
      </c>
      <c r="BE1442" s="325"/>
      <c r="BF1442" s="325"/>
      <c r="BG1442" s="325"/>
      <c r="BH1442" s="325"/>
      <c r="BI1442" s="325"/>
      <c r="BJ1442" s="325"/>
      <c r="BK1442" s="5">
        <f t="shared" si="840"/>
        <v>0</v>
      </c>
      <c r="BL1442" s="325"/>
      <c r="BM1442" s="325"/>
      <c r="BN1442" s="325"/>
      <c r="BO1442" s="325"/>
      <c r="BP1442" s="325"/>
      <c r="BQ1442" s="325"/>
      <c r="BR1442" s="325"/>
      <c r="BS1442" s="325"/>
      <c r="BT1442" s="325"/>
      <c r="BU1442" s="325"/>
      <c r="BV1442" s="325"/>
      <c r="BW1442" s="325"/>
      <c r="BX1442" s="325"/>
      <c r="BY1442" s="325"/>
      <c r="BZ1442" s="325"/>
      <c r="CA1442" s="325"/>
      <c r="CB1442" s="325"/>
      <c r="CC1442" s="325"/>
      <c r="CD1442" s="325"/>
      <c r="CE1442" s="325"/>
      <c r="CF1442" s="325"/>
      <c r="CG1442" s="325"/>
      <c r="CH1442" s="325"/>
      <c r="CI1442" s="325"/>
      <c r="CM1442" s="325">
        <f t="shared" si="855"/>
        <v>0</v>
      </c>
      <c r="CN1442" s="325">
        <v>0</v>
      </c>
      <c r="CP1442" s="923">
        <f t="shared" si="854"/>
        <v>0</v>
      </c>
      <c r="CZ1442" s="330"/>
    </row>
    <row r="1443" spans="1:104" ht="15" customHeight="1" x14ac:dyDescent="0.25">
      <c r="A1443" s="684">
        <f>MAX($A$6:A1442)+1</f>
        <v>1443</v>
      </c>
      <c r="B1443" s="1060">
        <f t="shared" si="852"/>
        <v>14.499999999999998</v>
      </c>
      <c r="C1443" s="11" t="str">
        <f t="shared" si="853"/>
        <v>NILGOSC Scheme liability</v>
      </c>
      <c r="F1443" s="1282"/>
      <c r="G1443" s="1254" t="s">
        <v>286</v>
      </c>
      <c r="J1443" s="1257" t="s">
        <v>2025</v>
      </c>
      <c r="K1443" s="1246"/>
      <c r="L1443" s="315"/>
      <c r="N1443" s="273">
        <f t="shared" si="856"/>
        <v>0</v>
      </c>
      <c r="S1443" s="6">
        <f t="shared" si="849"/>
        <v>0</v>
      </c>
      <c r="T1443" s="273">
        <f t="shared" si="857"/>
        <v>0</v>
      </c>
      <c r="BD1443" s="5">
        <f t="shared" si="858"/>
        <v>0</v>
      </c>
      <c r="BE1443" s="325"/>
      <c r="BF1443" s="325"/>
      <c r="BG1443" s="325"/>
      <c r="BH1443" s="325"/>
      <c r="BI1443" s="325"/>
      <c r="BJ1443" s="325"/>
      <c r="BK1443" s="5">
        <f t="shared" si="840"/>
        <v>0</v>
      </c>
      <c r="BL1443" s="325"/>
      <c r="BM1443" s="325"/>
      <c r="BN1443" s="325"/>
      <c r="BO1443" s="325"/>
      <c r="BP1443" s="325"/>
      <c r="BQ1443" s="325"/>
      <c r="BR1443" s="325"/>
      <c r="BS1443" s="325"/>
      <c r="BT1443" s="325"/>
      <c r="BU1443" s="325"/>
      <c r="BV1443" s="325"/>
      <c r="BW1443" s="325"/>
      <c r="BX1443" s="325"/>
      <c r="BY1443" s="325"/>
      <c r="BZ1443" s="325"/>
      <c r="CA1443" s="325"/>
      <c r="CB1443" s="325"/>
      <c r="CC1443" s="325"/>
      <c r="CD1443" s="325"/>
      <c r="CE1443" s="325"/>
      <c r="CF1443" s="325"/>
      <c r="CG1443" s="325"/>
      <c r="CH1443" s="325"/>
      <c r="CI1443" s="325"/>
      <c r="CM1443" s="325">
        <f t="shared" si="855"/>
        <v>0</v>
      </c>
      <c r="CN1443" s="325">
        <v>0</v>
      </c>
      <c r="CP1443" s="923">
        <f t="shared" si="854"/>
        <v>0</v>
      </c>
      <c r="CZ1443" s="330"/>
    </row>
    <row r="1444" spans="1:104" ht="15" customHeight="1" x14ac:dyDescent="0.25">
      <c r="A1444" s="684">
        <f>MAX($A$6:A1443)+1</f>
        <v>1444</v>
      </c>
      <c r="B1444" s="1060">
        <f t="shared" si="852"/>
        <v>14.499999999999998</v>
      </c>
      <c r="C1444" s="11" t="str">
        <f t="shared" si="853"/>
        <v>NILGOSC Scheme liability</v>
      </c>
      <c r="F1444" s="1282"/>
      <c r="G1444" s="1254" t="s">
        <v>286</v>
      </c>
      <c r="J1444" s="1257" t="s">
        <v>2026</v>
      </c>
      <c r="K1444" s="1246"/>
      <c r="L1444" s="315"/>
      <c r="N1444" s="273">
        <f t="shared" si="856"/>
        <v>0</v>
      </c>
      <c r="S1444" s="6">
        <f t="shared" si="849"/>
        <v>0</v>
      </c>
      <c r="T1444" s="273">
        <f t="shared" si="857"/>
        <v>0</v>
      </c>
      <c r="BD1444" s="5">
        <f t="shared" si="858"/>
        <v>0</v>
      </c>
      <c r="BE1444" s="325"/>
      <c r="BF1444" s="325"/>
      <c r="BG1444" s="325"/>
      <c r="BH1444" s="325"/>
      <c r="BI1444" s="325"/>
      <c r="BJ1444" s="325"/>
      <c r="BK1444" s="5">
        <f t="shared" si="840"/>
        <v>0</v>
      </c>
      <c r="BL1444" s="325"/>
      <c r="BM1444" s="325"/>
      <c r="BN1444" s="325"/>
      <c r="BO1444" s="325"/>
      <c r="BP1444" s="325"/>
      <c r="BQ1444" s="325"/>
      <c r="BR1444" s="325"/>
      <c r="BS1444" s="325"/>
      <c r="BT1444" s="325"/>
      <c r="BU1444" s="325"/>
      <c r="BV1444" s="325"/>
      <c r="BW1444" s="325"/>
      <c r="BX1444" s="325"/>
      <c r="BY1444" s="325"/>
      <c r="BZ1444" s="325"/>
      <c r="CA1444" s="325"/>
      <c r="CB1444" s="325"/>
      <c r="CC1444" s="325"/>
      <c r="CD1444" s="325"/>
      <c r="CE1444" s="325"/>
      <c r="CF1444" s="325"/>
      <c r="CG1444" s="325"/>
      <c r="CH1444" s="325"/>
      <c r="CI1444" s="325"/>
      <c r="CM1444" s="325">
        <f t="shared" si="855"/>
        <v>0</v>
      </c>
      <c r="CN1444" s="325">
        <v>0</v>
      </c>
      <c r="CP1444" s="923">
        <f t="shared" si="854"/>
        <v>0</v>
      </c>
      <c r="CZ1444" s="330"/>
    </row>
    <row r="1445" spans="1:104" ht="15" customHeight="1" x14ac:dyDescent="0.25">
      <c r="A1445" s="684">
        <f>MAX($A$6:A1444)+1</f>
        <v>1445</v>
      </c>
      <c r="B1445" s="1060">
        <f t="shared" si="852"/>
        <v>14.499999999999998</v>
      </c>
      <c r="C1445" s="11" t="str">
        <f t="shared" si="853"/>
        <v>NILGOSC Scheme liability</v>
      </c>
      <c r="F1445" s="1282"/>
      <c r="G1445" s="1254" t="s">
        <v>286</v>
      </c>
      <c r="J1445" s="1257" t="s">
        <v>960</v>
      </c>
      <c r="K1445" s="1246"/>
      <c r="L1445" s="315"/>
      <c r="N1445" s="273">
        <f t="shared" si="856"/>
        <v>0</v>
      </c>
      <c r="S1445" s="6">
        <f t="shared" si="849"/>
        <v>0</v>
      </c>
      <c r="T1445" s="273">
        <f t="shared" si="857"/>
        <v>0</v>
      </c>
      <c r="BD1445" s="5">
        <f t="shared" si="858"/>
        <v>0</v>
      </c>
      <c r="BE1445" s="325"/>
      <c r="BF1445" s="325"/>
      <c r="BG1445" s="325"/>
      <c r="BH1445" s="325"/>
      <c r="BI1445" s="325"/>
      <c r="BJ1445" s="325"/>
      <c r="BK1445" s="5">
        <f t="shared" si="840"/>
        <v>0</v>
      </c>
      <c r="BL1445" s="325"/>
      <c r="BM1445" s="325"/>
      <c r="BN1445" s="325"/>
      <c r="BO1445" s="325"/>
      <c r="BP1445" s="325"/>
      <c r="BQ1445" s="325"/>
      <c r="BR1445" s="325"/>
      <c r="BS1445" s="325"/>
      <c r="BT1445" s="325"/>
      <c r="BU1445" s="325"/>
      <c r="BV1445" s="325"/>
      <c r="BW1445" s="325"/>
      <c r="BX1445" s="325"/>
      <c r="BY1445" s="325"/>
      <c r="BZ1445" s="325"/>
      <c r="CA1445" s="325"/>
      <c r="CB1445" s="325"/>
      <c r="CC1445" s="325"/>
      <c r="CD1445" s="325"/>
      <c r="CE1445" s="325"/>
      <c r="CF1445" s="325"/>
      <c r="CG1445" s="325"/>
      <c r="CH1445" s="325"/>
      <c r="CI1445" s="325"/>
      <c r="CM1445" s="325">
        <f t="shared" si="855"/>
        <v>0</v>
      </c>
      <c r="CN1445" s="325">
        <v>0</v>
      </c>
      <c r="CP1445" s="923">
        <f t="shared" si="854"/>
        <v>0</v>
      </c>
      <c r="CZ1445" s="330"/>
    </row>
    <row r="1446" spans="1:104" ht="15" customHeight="1" x14ac:dyDescent="0.25">
      <c r="A1446" s="684">
        <f>MAX($A$6:A1445)+1</f>
        <v>1446</v>
      </c>
      <c r="B1446" s="1060">
        <f t="shared" si="852"/>
        <v>14.499999999999998</v>
      </c>
      <c r="C1446" s="11" t="str">
        <f t="shared" si="853"/>
        <v>NILGOSC Scheme liability</v>
      </c>
      <c r="F1446" s="1282"/>
      <c r="G1446" s="1254" t="s">
        <v>286</v>
      </c>
      <c r="J1446" s="1261" t="s">
        <v>961</v>
      </c>
      <c r="K1446" s="1245"/>
      <c r="L1446" s="315"/>
      <c r="N1446" s="273">
        <f t="shared" si="856"/>
        <v>0</v>
      </c>
      <c r="S1446" s="6">
        <f t="shared" si="849"/>
        <v>0</v>
      </c>
      <c r="T1446" s="273">
        <f t="shared" si="857"/>
        <v>0</v>
      </c>
      <c r="BD1446" s="5">
        <f t="shared" si="858"/>
        <v>0</v>
      </c>
      <c r="BE1446" s="325"/>
      <c r="BF1446" s="325"/>
      <c r="BG1446" s="325"/>
      <c r="BH1446" s="325"/>
      <c r="BI1446" s="325"/>
      <c r="BJ1446" s="325"/>
      <c r="BK1446" s="5">
        <f t="shared" si="840"/>
        <v>0</v>
      </c>
      <c r="BL1446" s="325"/>
      <c r="BM1446" s="325"/>
      <c r="BN1446" s="325"/>
      <c r="BO1446" s="325"/>
      <c r="BP1446" s="325"/>
      <c r="BQ1446" s="325"/>
      <c r="BR1446" s="325"/>
      <c r="BS1446" s="325"/>
      <c r="BT1446" s="325"/>
      <c r="BU1446" s="325"/>
      <c r="BV1446" s="325"/>
      <c r="BW1446" s="325"/>
      <c r="BX1446" s="325"/>
      <c r="BY1446" s="325"/>
      <c r="BZ1446" s="325"/>
      <c r="CA1446" s="325"/>
      <c r="CB1446" s="325"/>
      <c r="CC1446" s="325"/>
      <c r="CD1446" s="325"/>
      <c r="CE1446" s="325"/>
      <c r="CF1446" s="325"/>
      <c r="CG1446" s="325"/>
      <c r="CH1446" s="325"/>
      <c r="CI1446" s="325"/>
      <c r="CM1446" s="325">
        <f t="shared" si="855"/>
        <v>0</v>
      </c>
      <c r="CN1446" s="325">
        <v>0</v>
      </c>
      <c r="CP1446" s="923">
        <f t="shared" si="854"/>
        <v>0</v>
      </c>
      <c r="CZ1446" s="330"/>
    </row>
    <row r="1447" spans="1:104" ht="15" customHeight="1" x14ac:dyDescent="0.25">
      <c r="A1447" s="684">
        <f>MAX($A$6:A1446)+1</f>
        <v>1447</v>
      </c>
      <c r="B1447" s="1060">
        <f t="shared" si="852"/>
        <v>14.499999999999998</v>
      </c>
      <c r="C1447" s="11" t="str">
        <f t="shared" si="853"/>
        <v>NILGOSC Scheme liability</v>
      </c>
      <c r="F1447" s="1282"/>
      <c r="G1447" s="1254" t="s">
        <v>286</v>
      </c>
      <c r="J1447" s="1257" t="s">
        <v>962</v>
      </c>
      <c r="K1447" s="1246"/>
      <c r="L1447" s="315"/>
      <c r="N1447" s="273">
        <f t="shared" si="856"/>
        <v>0</v>
      </c>
      <c r="S1447" s="6">
        <f t="shared" si="849"/>
        <v>0</v>
      </c>
      <c r="T1447" s="273">
        <f t="shared" si="857"/>
        <v>0</v>
      </c>
      <c r="BD1447" s="5">
        <f t="shared" ref="BD1447:BD1510" si="859">ROUND(SUM(BE1447:BK1447),0)</f>
        <v>0</v>
      </c>
      <c r="BE1447" s="325"/>
      <c r="BF1447" s="325"/>
      <c r="BG1447" s="325"/>
      <c r="BH1447" s="325"/>
      <c r="BI1447" s="325"/>
      <c r="BJ1447" s="325"/>
      <c r="BK1447" s="5">
        <f t="shared" si="840"/>
        <v>0</v>
      </c>
      <c r="BL1447" s="325"/>
      <c r="BM1447" s="325"/>
      <c r="BN1447" s="325"/>
      <c r="BO1447" s="325"/>
      <c r="BP1447" s="325"/>
      <c r="BQ1447" s="325"/>
      <c r="BR1447" s="325"/>
      <c r="BS1447" s="325"/>
      <c r="BT1447" s="325"/>
      <c r="BU1447" s="325"/>
      <c r="BV1447" s="325"/>
      <c r="BW1447" s="325"/>
      <c r="BX1447" s="325"/>
      <c r="BY1447" s="325"/>
      <c r="BZ1447" s="325"/>
      <c r="CA1447" s="325"/>
      <c r="CB1447" s="325"/>
      <c r="CC1447" s="325"/>
      <c r="CD1447" s="325"/>
      <c r="CE1447" s="325"/>
      <c r="CF1447" s="325"/>
      <c r="CG1447" s="325"/>
      <c r="CH1447" s="325"/>
      <c r="CI1447" s="325"/>
      <c r="CM1447" s="325">
        <f t="shared" si="855"/>
        <v>0</v>
      </c>
      <c r="CN1447" s="325">
        <v>0</v>
      </c>
      <c r="CP1447" s="923">
        <f t="shared" si="854"/>
        <v>0</v>
      </c>
      <c r="CZ1447" s="330"/>
    </row>
    <row r="1448" spans="1:104" ht="15" customHeight="1" x14ac:dyDescent="0.25">
      <c r="A1448" s="684">
        <f>MAX($A$6:A1447)+1</f>
        <v>1448</v>
      </c>
      <c r="B1448" s="1060">
        <f t="shared" si="852"/>
        <v>14.499999999999998</v>
      </c>
      <c r="C1448" s="11" t="str">
        <f t="shared" si="853"/>
        <v>NILGOSC Scheme liability</v>
      </c>
      <c r="F1448" s="1282"/>
      <c r="G1448" s="1254" t="s">
        <v>286</v>
      </c>
      <c r="J1448" s="1257" t="s">
        <v>963</v>
      </c>
      <c r="K1448" s="313"/>
      <c r="L1448" s="315"/>
      <c r="N1448" s="273">
        <f t="shared" si="856"/>
        <v>0</v>
      </c>
      <c r="S1448" s="6">
        <f t="shared" si="849"/>
        <v>0</v>
      </c>
      <c r="T1448" s="273">
        <f t="shared" si="857"/>
        <v>0</v>
      </c>
      <c r="BD1448" s="5">
        <f t="shared" si="859"/>
        <v>0</v>
      </c>
      <c r="BE1448" s="325"/>
      <c r="BF1448" s="325"/>
      <c r="BG1448" s="325"/>
      <c r="BH1448" s="325"/>
      <c r="BI1448" s="325"/>
      <c r="BJ1448" s="325"/>
      <c r="BK1448" s="5">
        <f t="shared" si="840"/>
        <v>0</v>
      </c>
      <c r="BL1448" s="325"/>
      <c r="BM1448" s="325"/>
      <c r="BN1448" s="325"/>
      <c r="BO1448" s="325"/>
      <c r="BP1448" s="325"/>
      <c r="BQ1448" s="325"/>
      <c r="BR1448" s="325"/>
      <c r="BS1448" s="325"/>
      <c r="BT1448" s="325"/>
      <c r="BU1448" s="325"/>
      <c r="BV1448" s="325"/>
      <c r="BW1448" s="325"/>
      <c r="BX1448" s="325"/>
      <c r="BY1448" s="325"/>
      <c r="BZ1448" s="325"/>
      <c r="CA1448" s="325"/>
      <c r="CB1448" s="325"/>
      <c r="CC1448" s="325"/>
      <c r="CD1448" s="325"/>
      <c r="CE1448" s="325"/>
      <c r="CF1448" s="325"/>
      <c r="CG1448" s="325"/>
      <c r="CH1448" s="325"/>
      <c r="CI1448" s="325"/>
      <c r="CM1448" s="325">
        <f t="shared" si="855"/>
        <v>0</v>
      </c>
      <c r="CN1448" s="325">
        <v>0</v>
      </c>
      <c r="CP1448" s="923">
        <f t="shared" si="854"/>
        <v>0</v>
      </c>
      <c r="CZ1448" s="330"/>
    </row>
    <row r="1449" spans="1:104" ht="15" customHeight="1" x14ac:dyDescent="0.25">
      <c r="A1449" s="684">
        <f>MAX($A$6:A1448)+1</f>
        <v>1449</v>
      </c>
      <c r="B1449" s="1060">
        <f t="shared" si="852"/>
        <v>14.499999999999998</v>
      </c>
      <c r="C1449" s="11" t="str">
        <f t="shared" si="853"/>
        <v>NILGOSC Scheme liability</v>
      </c>
      <c r="F1449" s="1282"/>
      <c r="G1449" s="1254" t="s">
        <v>286</v>
      </c>
      <c r="J1449" s="1257" t="s">
        <v>964</v>
      </c>
      <c r="K1449" s="313"/>
      <c r="L1449" s="315"/>
      <c r="N1449" s="273">
        <f t="shared" si="856"/>
        <v>0</v>
      </c>
      <c r="S1449" s="6">
        <f t="shared" si="849"/>
        <v>0</v>
      </c>
      <c r="T1449" s="273">
        <f t="shared" si="857"/>
        <v>0</v>
      </c>
      <c r="BD1449" s="5">
        <f t="shared" si="859"/>
        <v>0</v>
      </c>
      <c r="BE1449" s="325"/>
      <c r="BF1449" s="325"/>
      <c r="BG1449" s="325"/>
      <c r="BH1449" s="325"/>
      <c r="BI1449" s="325"/>
      <c r="BJ1449" s="325"/>
      <c r="BK1449" s="5">
        <f t="shared" si="840"/>
        <v>0</v>
      </c>
      <c r="BL1449" s="325"/>
      <c r="BM1449" s="325"/>
      <c r="BN1449" s="325"/>
      <c r="BO1449" s="325"/>
      <c r="BP1449" s="325"/>
      <c r="BQ1449" s="325"/>
      <c r="BR1449" s="325"/>
      <c r="BS1449" s="325"/>
      <c r="BT1449" s="325"/>
      <c r="BU1449" s="325"/>
      <c r="BV1449" s="325"/>
      <c r="BW1449" s="325"/>
      <c r="BX1449" s="325"/>
      <c r="BY1449" s="325"/>
      <c r="BZ1449" s="325"/>
      <c r="CA1449" s="325"/>
      <c r="CB1449" s="325"/>
      <c r="CC1449" s="325"/>
      <c r="CD1449" s="325"/>
      <c r="CE1449" s="325"/>
      <c r="CF1449" s="325"/>
      <c r="CG1449" s="325"/>
      <c r="CH1449" s="325"/>
      <c r="CI1449" s="325"/>
      <c r="CM1449" s="325">
        <f t="shared" si="855"/>
        <v>0</v>
      </c>
      <c r="CN1449" s="325">
        <v>0</v>
      </c>
      <c r="CP1449" s="923">
        <f t="shared" si="854"/>
        <v>0</v>
      </c>
      <c r="CZ1449" s="330"/>
    </row>
    <row r="1450" spans="1:104" ht="15" customHeight="1" x14ac:dyDescent="0.25">
      <c r="A1450" s="684">
        <f>MAX($A$6:A1449)+1</f>
        <v>1450</v>
      </c>
      <c r="B1450" s="1060">
        <f t="shared" si="852"/>
        <v>14.499999999999998</v>
      </c>
      <c r="C1450" s="11" t="str">
        <f t="shared" si="853"/>
        <v>NILGOSC Scheme liability</v>
      </c>
      <c r="F1450" s="1282"/>
      <c r="G1450" s="1254" t="s">
        <v>286</v>
      </c>
      <c r="J1450" s="1257" t="s">
        <v>2027</v>
      </c>
      <c r="K1450" s="313"/>
      <c r="L1450" s="315"/>
      <c r="N1450" s="273">
        <f t="shared" si="856"/>
        <v>0</v>
      </c>
      <c r="S1450" s="6">
        <f t="shared" si="849"/>
        <v>0</v>
      </c>
      <c r="T1450" s="273">
        <f t="shared" si="857"/>
        <v>0</v>
      </c>
      <c r="BD1450" s="5">
        <f t="shared" si="859"/>
        <v>0</v>
      </c>
      <c r="BE1450" s="325"/>
      <c r="BF1450" s="325"/>
      <c r="BG1450" s="325"/>
      <c r="BH1450" s="325"/>
      <c r="BI1450" s="325"/>
      <c r="BJ1450" s="325"/>
      <c r="BK1450" s="5">
        <f t="shared" si="840"/>
        <v>0</v>
      </c>
      <c r="BL1450" s="325"/>
      <c r="BM1450" s="325"/>
      <c r="BN1450" s="325"/>
      <c r="BO1450" s="325"/>
      <c r="BP1450" s="325"/>
      <c r="BQ1450" s="325"/>
      <c r="BR1450" s="325"/>
      <c r="BS1450" s="325"/>
      <c r="BT1450" s="325"/>
      <c r="BU1450" s="325"/>
      <c r="BV1450" s="325"/>
      <c r="BW1450" s="325"/>
      <c r="BX1450" s="325"/>
      <c r="BY1450" s="325"/>
      <c r="BZ1450" s="325"/>
      <c r="CA1450" s="325"/>
      <c r="CB1450" s="325"/>
      <c r="CC1450" s="325"/>
      <c r="CD1450" s="325"/>
      <c r="CE1450" s="325"/>
      <c r="CF1450" s="325"/>
      <c r="CG1450" s="325"/>
      <c r="CH1450" s="325"/>
      <c r="CI1450" s="325"/>
      <c r="CM1450" s="325">
        <f t="shared" si="855"/>
        <v>0</v>
      </c>
      <c r="CN1450" s="325">
        <v>0</v>
      </c>
      <c r="CP1450" s="923">
        <f t="shared" si="854"/>
        <v>0</v>
      </c>
      <c r="CZ1450" s="330"/>
    </row>
    <row r="1451" spans="1:104" ht="15" customHeight="1" x14ac:dyDescent="0.25">
      <c r="A1451" s="684">
        <f>MAX($A$6:A1450)+1</f>
        <v>1451</v>
      </c>
      <c r="B1451" s="1060">
        <f t="shared" si="852"/>
        <v>14.499999999999998</v>
      </c>
      <c r="C1451" s="11" t="str">
        <f t="shared" si="853"/>
        <v>NILGOSC Scheme liability</v>
      </c>
      <c r="F1451" s="1282"/>
      <c r="G1451" s="1254" t="s">
        <v>286</v>
      </c>
      <c r="J1451" s="1257" t="s">
        <v>2028</v>
      </c>
      <c r="K1451" s="313"/>
      <c r="L1451" s="315"/>
      <c r="N1451" s="273">
        <f t="shared" si="856"/>
        <v>0</v>
      </c>
      <c r="S1451" s="6">
        <f t="shared" si="849"/>
        <v>0</v>
      </c>
      <c r="T1451" s="273">
        <f t="shared" si="857"/>
        <v>0</v>
      </c>
      <c r="BD1451" s="5">
        <f t="shared" si="859"/>
        <v>0</v>
      </c>
      <c r="BE1451" s="325"/>
      <c r="BF1451" s="325"/>
      <c r="BG1451" s="325"/>
      <c r="BH1451" s="325"/>
      <c r="BI1451" s="325"/>
      <c r="BJ1451" s="325"/>
      <c r="BK1451" s="5">
        <f t="shared" si="840"/>
        <v>0</v>
      </c>
      <c r="BL1451" s="325"/>
      <c r="BM1451" s="325"/>
      <c r="BN1451" s="325"/>
      <c r="BO1451" s="325"/>
      <c r="BP1451" s="325"/>
      <c r="BQ1451" s="325"/>
      <c r="BR1451" s="325"/>
      <c r="BS1451" s="325"/>
      <c r="BT1451" s="325"/>
      <c r="BU1451" s="325"/>
      <c r="BV1451" s="325"/>
      <c r="BW1451" s="325"/>
      <c r="BX1451" s="325"/>
      <c r="BY1451" s="325"/>
      <c r="BZ1451" s="325"/>
      <c r="CA1451" s="325"/>
      <c r="CB1451" s="325"/>
      <c r="CC1451" s="325"/>
      <c r="CD1451" s="325"/>
      <c r="CE1451" s="325"/>
      <c r="CF1451" s="325"/>
      <c r="CG1451" s="325"/>
      <c r="CH1451" s="325"/>
      <c r="CI1451" s="325"/>
      <c r="CM1451" s="325">
        <f t="shared" si="855"/>
        <v>0</v>
      </c>
      <c r="CN1451" s="325">
        <v>0</v>
      </c>
      <c r="CP1451" s="923">
        <f t="shared" si="854"/>
        <v>0</v>
      </c>
      <c r="CZ1451" s="330"/>
    </row>
    <row r="1452" spans="1:104" ht="15" customHeight="1" x14ac:dyDescent="0.25">
      <c r="A1452" s="684">
        <f>MAX($A$6:A1451)+1</f>
        <v>1452</v>
      </c>
      <c r="B1452" s="1060">
        <f t="shared" si="852"/>
        <v>14.499999999999998</v>
      </c>
      <c r="C1452" s="11" t="str">
        <f t="shared" si="853"/>
        <v>NILGOSC Scheme liability</v>
      </c>
      <c r="F1452" s="1282"/>
      <c r="G1452" s="1254" t="s">
        <v>286</v>
      </c>
      <c r="J1452" s="1261" t="s">
        <v>966</v>
      </c>
      <c r="K1452" s="1245"/>
      <c r="L1452" s="315"/>
      <c r="N1452" s="273">
        <f t="shared" si="856"/>
        <v>0</v>
      </c>
      <c r="S1452" s="6">
        <f t="shared" si="849"/>
        <v>0</v>
      </c>
      <c r="T1452" s="273">
        <f t="shared" si="857"/>
        <v>0</v>
      </c>
      <c r="BD1452" s="5">
        <f t="shared" si="859"/>
        <v>0</v>
      </c>
      <c r="BE1452" s="325"/>
      <c r="BF1452" s="325"/>
      <c r="BG1452" s="325"/>
      <c r="BH1452" s="325"/>
      <c r="BI1452" s="325"/>
      <c r="BJ1452" s="325"/>
      <c r="BK1452" s="5">
        <f t="shared" si="840"/>
        <v>0</v>
      </c>
      <c r="BL1452" s="325"/>
      <c r="BM1452" s="325"/>
      <c r="BN1452" s="325"/>
      <c r="BO1452" s="325"/>
      <c r="BP1452" s="325"/>
      <c r="BQ1452" s="325"/>
      <c r="BR1452" s="325"/>
      <c r="BS1452" s="325"/>
      <c r="BT1452" s="325"/>
      <c r="BU1452" s="325"/>
      <c r="BV1452" s="325"/>
      <c r="BW1452" s="325"/>
      <c r="BX1452" s="325"/>
      <c r="BY1452" s="325"/>
      <c r="BZ1452" s="325"/>
      <c r="CA1452" s="325"/>
      <c r="CB1452" s="325"/>
      <c r="CC1452" s="325"/>
      <c r="CD1452" s="325"/>
      <c r="CE1452" s="325"/>
      <c r="CF1452" s="325"/>
      <c r="CG1452" s="325"/>
      <c r="CH1452" s="325"/>
      <c r="CI1452" s="325"/>
      <c r="CM1452" s="325">
        <f t="shared" si="855"/>
        <v>0</v>
      </c>
      <c r="CN1452" s="325">
        <v>0</v>
      </c>
      <c r="CP1452" s="923">
        <f t="shared" si="854"/>
        <v>0</v>
      </c>
      <c r="CZ1452" s="330"/>
    </row>
    <row r="1453" spans="1:104" ht="15" customHeight="1" x14ac:dyDescent="0.25">
      <c r="A1453" s="684">
        <f>MAX($A$6:A1452)+1</f>
        <v>1453</v>
      </c>
      <c r="B1453" s="1060">
        <f t="shared" si="852"/>
        <v>14.499999999999998</v>
      </c>
      <c r="C1453" s="11" t="str">
        <f t="shared" si="853"/>
        <v>NILGOSC Scheme liability</v>
      </c>
      <c r="F1453" s="1282"/>
      <c r="G1453" s="1254" t="s">
        <v>286</v>
      </c>
      <c r="J1453" s="1257" t="s">
        <v>967</v>
      </c>
      <c r="K1453" s="1246"/>
      <c r="L1453" s="315"/>
      <c r="N1453" s="273">
        <f t="shared" si="856"/>
        <v>0</v>
      </c>
      <c r="S1453" s="6">
        <f t="shared" si="849"/>
        <v>0</v>
      </c>
      <c r="T1453" s="273">
        <f t="shared" si="857"/>
        <v>0</v>
      </c>
      <c r="BD1453" s="5">
        <f t="shared" si="859"/>
        <v>0</v>
      </c>
      <c r="BE1453" s="325"/>
      <c r="BF1453" s="325"/>
      <c r="BG1453" s="325"/>
      <c r="BH1453" s="325"/>
      <c r="BI1453" s="325"/>
      <c r="BJ1453" s="325"/>
      <c r="BK1453" s="5">
        <f t="shared" si="840"/>
        <v>0</v>
      </c>
      <c r="BL1453" s="325"/>
      <c r="BM1453" s="325"/>
      <c r="BN1453" s="325"/>
      <c r="BO1453" s="325"/>
      <c r="BP1453" s="325"/>
      <c r="BQ1453" s="325"/>
      <c r="BR1453" s="325"/>
      <c r="BS1453" s="325"/>
      <c r="BT1453" s="325"/>
      <c r="BU1453" s="325"/>
      <c r="BV1453" s="325"/>
      <c r="BW1453" s="325"/>
      <c r="BX1453" s="325"/>
      <c r="BY1453" s="325"/>
      <c r="BZ1453" s="325"/>
      <c r="CA1453" s="325"/>
      <c r="CB1453" s="325"/>
      <c r="CC1453" s="325"/>
      <c r="CD1453" s="325"/>
      <c r="CE1453" s="325"/>
      <c r="CF1453" s="325"/>
      <c r="CG1453" s="325"/>
      <c r="CH1453" s="325"/>
      <c r="CI1453" s="325"/>
      <c r="CM1453" s="325">
        <f t="shared" si="855"/>
        <v>0</v>
      </c>
      <c r="CN1453" s="325">
        <v>0</v>
      </c>
      <c r="CP1453" s="923">
        <f t="shared" si="854"/>
        <v>0</v>
      </c>
      <c r="CZ1453" s="330"/>
    </row>
    <row r="1454" spans="1:104" ht="15" customHeight="1" x14ac:dyDescent="0.25">
      <c r="A1454" s="684">
        <f>MAX($A$6:A1453)+1</f>
        <v>1454</v>
      </c>
      <c r="B1454" s="1060">
        <f t="shared" si="852"/>
        <v>14.499999999999998</v>
      </c>
      <c r="C1454" s="11" t="str">
        <f t="shared" si="853"/>
        <v>NILGOSC Scheme liability</v>
      </c>
      <c r="F1454" s="1282"/>
      <c r="G1454" s="1254" t="s">
        <v>286</v>
      </c>
      <c r="J1454" s="1257" t="s">
        <v>958</v>
      </c>
      <c r="K1454" s="1246"/>
      <c r="L1454" s="315"/>
      <c r="N1454" s="273">
        <f t="shared" ref="N1454:N1485" si="860">ROUND(SUM(O1454:AU1454)-T1454,0)</f>
        <v>0</v>
      </c>
      <c r="S1454" s="6">
        <f t="shared" si="849"/>
        <v>0</v>
      </c>
      <c r="T1454" s="273">
        <f t="shared" ref="T1454:T1485" si="861">ROUND(SUM(U1454:Y1454),0)</f>
        <v>0</v>
      </c>
      <c r="BD1454" s="5">
        <f t="shared" si="859"/>
        <v>0</v>
      </c>
      <c r="BE1454" s="325"/>
      <c r="BF1454" s="325"/>
      <c r="BG1454" s="325"/>
      <c r="BH1454" s="325"/>
      <c r="BI1454" s="325"/>
      <c r="BJ1454" s="325"/>
      <c r="BK1454" s="5">
        <f t="shared" si="840"/>
        <v>0</v>
      </c>
      <c r="BL1454" s="325"/>
      <c r="BM1454" s="325"/>
      <c r="BN1454" s="325"/>
      <c r="BO1454" s="325"/>
      <c r="BP1454" s="325"/>
      <c r="BQ1454" s="325"/>
      <c r="BR1454" s="325"/>
      <c r="BS1454" s="325"/>
      <c r="BT1454" s="325"/>
      <c r="BU1454" s="325"/>
      <c r="BV1454" s="325"/>
      <c r="BW1454" s="325"/>
      <c r="BX1454" s="325"/>
      <c r="BY1454" s="325"/>
      <c r="BZ1454" s="325"/>
      <c r="CA1454" s="325"/>
      <c r="CB1454" s="325"/>
      <c r="CC1454" s="325"/>
      <c r="CD1454" s="325"/>
      <c r="CE1454" s="325"/>
      <c r="CF1454" s="325"/>
      <c r="CG1454" s="325"/>
      <c r="CH1454" s="325"/>
      <c r="CI1454" s="325"/>
      <c r="CM1454" s="325">
        <f t="shared" si="855"/>
        <v>0</v>
      </c>
      <c r="CN1454" s="325">
        <v>0</v>
      </c>
      <c r="CP1454" s="923">
        <f t="shared" si="854"/>
        <v>0</v>
      </c>
      <c r="CZ1454" s="330"/>
    </row>
    <row r="1455" spans="1:104" ht="15" customHeight="1" x14ac:dyDescent="0.25">
      <c r="A1455" s="684">
        <f>MAX($A$6:A1454)+1</f>
        <v>1455</v>
      </c>
      <c r="B1455" s="1060">
        <f t="shared" si="852"/>
        <v>14.499999999999998</v>
      </c>
      <c r="C1455" s="11" t="str">
        <f t="shared" si="853"/>
        <v>NILGOSC Scheme liability</v>
      </c>
      <c r="F1455" s="1282"/>
      <c r="G1455" s="1254" t="s">
        <v>286</v>
      </c>
      <c r="J1455" s="1257" t="s">
        <v>2029</v>
      </c>
      <c r="K1455" s="1246"/>
      <c r="L1455" s="315"/>
      <c r="N1455" s="273">
        <f t="shared" si="860"/>
        <v>0</v>
      </c>
      <c r="S1455" s="6">
        <f t="shared" si="849"/>
        <v>0</v>
      </c>
      <c r="T1455" s="273">
        <f t="shared" si="861"/>
        <v>0</v>
      </c>
      <c r="BD1455" s="5">
        <f t="shared" si="859"/>
        <v>0</v>
      </c>
      <c r="BE1455" s="325"/>
      <c r="BF1455" s="325"/>
      <c r="BG1455" s="325"/>
      <c r="BH1455" s="325"/>
      <c r="BI1455" s="325"/>
      <c r="BJ1455" s="325"/>
      <c r="BK1455" s="5">
        <f t="shared" si="840"/>
        <v>0</v>
      </c>
      <c r="BL1455" s="325"/>
      <c r="BM1455" s="325"/>
      <c r="BN1455" s="325"/>
      <c r="BO1455" s="325"/>
      <c r="BP1455" s="325"/>
      <c r="BQ1455" s="325"/>
      <c r="BR1455" s="325"/>
      <c r="BS1455" s="325"/>
      <c r="BT1455" s="325"/>
      <c r="BU1455" s="325"/>
      <c r="BV1455" s="325"/>
      <c r="BW1455" s="325"/>
      <c r="BX1455" s="325"/>
      <c r="BY1455" s="325"/>
      <c r="BZ1455" s="325"/>
      <c r="CA1455" s="325"/>
      <c r="CB1455" s="325"/>
      <c r="CC1455" s="325"/>
      <c r="CD1455" s="325"/>
      <c r="CE1455" s="325"/>
      <c r="CF1455" s="325"/>
      <c r="CG1455" s="325"/>
      <c r="CH1455" s="325"/>
      <c r="CI1455" s="325"/>
      <c r="CM1455" s="325">
        <f t="shared" si="855"/>
        <v>0</v>
      </c>
      <c r="CN1455" s="325">
        <v>0</v>
      </c>
      <c r="CP1455" s="923">
        <f t="shared" si="854"/>
        <v>0</v>
      </c>
      <c r="CZ1455" s="330"/>
    </row>
    <row r="1456" spans="1:104" ht="15" customHeight="1" x14ac:dyDescent="0.25">
      <c r="A1456" s="684">
        <f>MAX($A$6:A1455)+1</f>
        <v>1456</v>
      </c>
      <c r="B1456" s="1060">
        <f t="shared" si="852"/>
        <v>14.499999999999998</v>
      </c>
      <c r="C1456" s="11" t="str">
        <f t="shared" si="853"/>
        <v>NILGOSC Scheme liability</v>
      </c>
      <c r="F1456" s="1282"/>
      <c r="G1456" s="1254" t="s">
        <v>286</v>
      </c>
      <c r="J1456" s="1257" t="s">
        <v>969</v>
      </c>
      <c r="K1456" s="1246"/>
      <c r="L1456" s="315"/>
      <c r="N1456" s="273">
        <f t="shared" si="860"/>
        <v>0</v>
      </c>
      <c r="S1456" s="6">
        <f t="shared" si="849"/>
        <v>0</v>
      </c>
      <c r="T1456" s="273">
        <f t="shared" si="861"/>
        <v>0</v>
      </c>
      <c r="BD1456" s="5">
        <f t="shared" si="859"/>
        <v>0</v>
      </c>
      <c r="BE1456" s="325"/>
      <c r="BF1456" s="325"/>
      <c r="BG1456" s="325"/>
      <c r="BH1456" s="325"/>
      <c r="BI1456" s="325"/>
      <c r="BJ1456" s="325"/>
      <c r="BK1456" s="5">
        <f t="shared" si="840"/>
        <v>0</v>
      </c>
      <c r="BL1456" s="325"/>
      <c r="BM1456" s="325"/>
      <c r="BN1456" s="325"/>
      <c r="BO1456" s="325"/>
      <c r="BP1456" s="325"/>
      <c r="BQ1456" s="325"/>
      <c r="BR1456" s="325"/>
      <c r="BS1456" s="325"/>
      <c r="BT1456" s="325"/>
      <c r="BU1456" s="325"/>
      <c r="BV1456" s="325"/>
      <c r="BW1456" s="325"/>
      <c r="BX1456" s="325"/>
      <c r="BY1456" s="325"/>
      <c r="BZ1456" s="325"/>
      <c r="CA1456" s="325"/>
      <c r="CB1456" s="325"/>
      <c r="CC1456" s="325"/>
      <c r="CD1456" s="325"/>
      <c r="CE1456" s="325"/>
      <c r="CF1456" s="325"/>
      <c r="CG1456" s="325"/>
      <c r="CH1456" s="325"/>
      <c r="CI1456" s="325"/>
      <c r="CM1456" s="325">
        <f t="shared" si="855"/>
        <v>0</v>
      </c>
      <c r="CN1456" s="325">
        <v>0</v>
      </c>
      <c r="CP1456" s="923">
        <f t="shared" si="854"/>
        <v>0</v>
      </c>
      <c r="CZ1456" s="330"/>
    </row>
    <row r="1457" spans="1:104" ht="15" customHeight="1" x14ac:dyDescent="0.25">
      <c r="A1457" s="684">
        <f>MAX($A$6:A1456)+1</f>
        <v>1457</v>
      </c>
      <c r="B1457" s="1060">
        <f t="shared" si="852"/>
        <v>14.499999999999998</v>
      </c>
      <c r="C1457" s="11" t="str">
        <f t="shared" si="853"/>
        <v>NILGOSC Scheme liability</v>
      </c>
      <c r="F1457" s="1282"/>
      <c r="G1457" s="1254" t="s">
        <v>286</v>
      </c>
      <c r="J1457" s="1257" t="s">
        <v>970</v>
      </c>
      <c r="K1457" s="1246"/>
      <c r="L1457" s="315"/>
      <c r="N1457" s="273">
        <f t="shared" si="860"/>
        <v>0</v>
      </c>
      <c r="S1457" s="6">
        <f t="shared" si="849"/>
        <v>0</v>
      </c>
      <c r="T1457" s="273">
        <f t="shared" si="861"/>
        <v>0</v>
      </c>
      <c r="BD1457" s="5">
        <f t="shared" si="859"/>
        <v>0</v>
      </c>
      <c r="BE1457" s="325"/>
      <c r="BF1457" s="325"/>
      <c r="BG1457" s="325"/>
      <c r="BH1457" s="325"/>
      <c r="BI1457" s="325"/>
      <c r="BJ1457" s="325"/>
      <c r="BK1457" s="5">
        <f t="shared" si="840"/>
        <v>0</v>
      </c>
      <c r="BL1457" s="325"/>
      <c r="BM1457" s="325"/>
      <c r="BN1457" s="325"/>
      <c r="BO1457" s="325"/>
      <c r="BP1457" s="325"/>
      <c r="BQ1457" s="325"/>
      <c r="BR1457" s="325"/>
      <c r="BS1457" s="325"/>
      <c r="BT1457" s="325"/>
      <c r="BU1457" s="325"/>
      <c r="BV1457" s="325"/>
      <c r="BW1457" s="325"/>
      <c r="BX1457" s="325"/>
      <c r="BY1457" s="325"/>
      <c r="BZ1457" s="325"/>
      <c r="CA1457" s="325"/>
      <c r="CB1457" s="325"/>
      <c r="CC1457" s="325"/>
      <c r="CD1457" s="325"/>
      <c r="CE1457" s="325"/>
      <c r="CF1457" s="325"/>
      <c r="CG1457" s="325"/>
      <c r="CH1457" s="325"/>
      <c r="CI1457" s="325"/>
      <c r="CM1457" s="325">
        <f t="shared" si="855"/>
        <v>0</v>
      </c>
      <c r="CN1457" s="325">
        <v>0</v>
      </c>
      <c r="CP1457" s="923">
        <f t="shared" si="854"/>
        <v>0</v>
      </c>
      <c r="CZ1457" s="330"/>
    </row>
    <row r="1458" spans="1:104" ht="15" customHeight="1" x14ac:dyDescent="0.25">
      <c r="A1458" s="684">
        <f>MAX($A$6:A1457)+1</f>
        <v>1458</v>
      </c>
      <c r="B1458" s="1060">
        <f t="shared" si="852"/>
        <v>14.499999999999998</v>
      </c>
      <c r="C1458" s="11" t="str">
        <f t="shared" si="853"/>
        <v>NILGOSC Scheme liability</v>
      </c>
      <c r="F1458" s="1282"/>
      <c r="G1458" s="1254" t="s">
        <v>286</v>
      </c>
      <c r="J1458" s="1257" t="s">
        <v>2030</v>
      </c>
      <c r="K1458" s="1246"/>
      <c r="L1458" s="315"/>
      <c r="N1458" s="273">
        <f t="shared" si="860"/>
        <v>0</v>
      </c>
      <c r="S1458" s="6">
        <f t="shared" si="849"/>
        <v>0</v>
      </c>
      <c r="T1458" s="273">
        <f t="shared" si="861"/>
        <v>0</v>
      </c>
      <c r="BD1458" s="5">
        <f t="shared" si="859"/>
        <v>0</v>
      </c>
      <c r="BE1458" s="325"/>
      <c r="BF1458" s="325"/>
      <c r="BG1458" s="325"/>
      <c r="BH1458" s="325"/>
      <c r="BI1458" s="325"/>
      <c r="BJ1458" s="325"/>
      <c r="BK1458" s="5">
        <f t="shared" si="840"/>
        <v>0</v>
      </c>
      <c r="BL1458" s="325"/>
      <c r="BM1458" s="325"/>
      <c r="BN1458" s="325"/>
      <c r="BO1458" s="325"/>
      <c r="BP1458" s="325"/>
      <c r="BQ1458" s="325"/>
      <c r="BR1458" s="325"/>
      <c r="BS1458" s="325"/>
      <c r="BT1458" s="325"/>
      <c r="BU1458" s="325"/>
      <c r="BV1458" s="325"/>
      <c r="BW1458" s="325"/>
      <c r="BX1458" s="325"/>
      <c r="BY1458" s="325"/>
      <c r="BZ1458" s="325"/>
      <c r="CA1458" s="325"/>
      <c r="CB1458" s="325"/>
      <c r="CC1458" s="325"/>
      <c r="CD1458" s="325"/>
      <c r="CE1458" s="325"/>
      <c r="CF1458" s="325"/>
      <c r="CG1458" s="325"/>
      <c r="CH1458" s="325"/>
      <c r="CI1458" s="325"/>
      <c r="CM1458" s="325">
        <f t="shared" si="855"/>
        <v>0</v>
      </c>
      <c r="CN1458" s="325">
        <v>0</v>
      </c>
      <c r="CP1458" s="923">
        <f t="shared" si="854"/>
        <v>0</v>
      </c>
      <c r="CZ1458" s="330"/>
    </row>
    <row r="1459" spans="1:104" ht="15" customHeight="1" x14ac:dyDescent="0.25">
      <c r="A1459" s="684">
        <f>MAX($A$6:A1458)+1</f>
        <v>1459</v>
      </c>
      <c r="B1459" s="1060">
        <f t="shared" si="852"/>
        <v>14.499999999999998</v>
      </c>
      <c r="C1459" s="11" t="str">
        <f t="shared" si="853"/>
        <v>NILGOSC Scheme liability</v>
      </c>
      <c r="F1459" s="1282"/>
      <c r="G1459" s="1254" t="s">
        <v>286</v>
      </c>
      <c r="J1459" s="1257" t="s">
        <v>971</v>
      </c>
      <c r="K1459" s="1246"/>
      <c r="L1459" s="315"/>
      <c r="N1459" s="273">
        <f t="shared" si="860"/>
        <v>0</v>
      </c>
      <c r="S1459" s="6">
        <f t="shared" si="849"/>
        <v>0</v>
      </c>
      <c r="T1459" s="273">
        <f t="shared" si="861"/>
        <v>0</v>
      </c>
      <c r="BD1459" s="5">
        <f t="shared" si="859"/>
        <v>0</v>
      </c>
      <c r="BE1459" s="325"/>
      <c r="BF1459" s="325"/>
      <c r="BG1459" s="325"/>
      <c r="BH1459" s="325"/>
      <c r="BI1459" s="325"/>
      <c r="BJ1459" s="325"/>
      <c r="BK1459" s="5">
        <f t="shared" si="840"/>
        <v>0</v>
      </c>
      <c r="BL1459" s="325"/>
      <c r="BM1459" s="325"/>
      <c r="BN1459" s="325"/>
      <c r="BO1459" s="325"/>
      <c r="BP1459" s="325"/>
      <c r="BQ1459" s="325"/>
      <c r="BR1459" s="325"/>
      <c r="BS1459" s="325"/>
      <c r="BT1459" s="325"/>
      <c r="BU1459" s="325"/>
      <c r="BV1459" s="325"/>
      <c r="BW1459" s="325"/>
      <c r="BX1459" s="325"/>
      <c r="BY1459" s="325"/>
      <c r="BZ1459" s="325"/>
      <c r="CA1459" s="325"/>
      <c r="CB1459" s="325"/>
      <c r="CC1459" s="325"/>
      <c r="CD1459" s="325"/>
      <c r="CE1459" s="325"/>
      <c r="CF1459" s="325"/>
      <c r="CG1459" s="325"/>
      <c r="CH1459" s="325"/>
      <c r="CI1459" s="325"/>
      <c r="CM1459" s="325">
        <f t="shared" si="855"/>
        <v>0</v>
      </c>
      <c r="CN1459" s="325">
        <v>0</v>
      </c>
      <c r="CP1459" s="923">
        <f t="shared" si="854"/>
        <v>0</v>
      </c>
      <c r="CZ1459" s="330"/>
    </row>
    <row r="1460" spans="1:104" ht="15" customHeight="1" x14ac:dyDescent="0.25">
      <c r="A1460" s="684">
        <f>MAX($A$6:A1459)+1</f>
        <v>1460</v>
      </c>
      <c r="B1460" s="1060">
        <f t="shared" si="852"/>
        <v>14.499999999999998</v>
      </c>
      <c r="C1460" s="11" t="str">
        <f t="shared" si="853"/>
        <v>NILGOSC Scheme liability</v>
      </c>
      <c r="F1460" s="1282"/>
      <c r="G1460" s="1254" t="s">
        <v>286</v>
      </c>
      <c r="J1460" s="1261" t="s">
        <v>972</v>
      </c>
      <c r="K1460" s="1245"/>
      <c r="L1460" s="315"/>
      <c r="N1460" s="273">
        <f t="shared" si="860"/>
        <v>0</v>
      </c>
      <c r="S1460" s="6">
        <f t="shared" si="849"/>
        <v>0</v>
      </c>
      <c r="T1460" s="273">
        <f t="shared" si="861"/>
        <v>0</v>
      </c>
      <c r="BD1460" s="5">
        <f t="shared" si="859"/>
        <v>0</v>
      </c>
      <c r="BE1460" s="325"/>
      <c r="BF1460" s="325"/>
      <c r="BG1460" s="325"/>
      <c r="BH1460" s="325"/>
      <c r="BI1460" s="325"/>
      <c r="BJ1460" s="325"/>
      <c r="BK1460" s="5">
        <f t="shared" si="840"/>
        <v>0</v>
      </c>
      <c r="BL1460" s="325"/>
      <c r="BM1460" s="325"/>
      <c r="BN1460" s="325"/>
      <c r="BO1460" s="325"/>
      <c r="BP1460" s="325"/>
      <c r="BQ1460" s="325"/>
      <c r="BR1460" s="325"/>
      <c r="BS1460" s="325"/>
      <c r="BT1460" s="325"/>
      <c r="BU1460" s="325"/>
      <c r="BV1460" s="325"/>
      <c r="BW1460" s="325"/>
      <c r="BX1460" s="325"/>
      <c r="BY1460" s="325"/>
      <c r="BZ1460" s="325"/>
      <c r="CA1460" s="325"/>
      <c r="CB1460" s="325"/>
      <c r="CC1460" s="325"/>
      <c r="CD1460" s="325"/>
      <c r="CE1460" s="325"/>
      <c r="CF1460" s="325"/>
      <c r="CG1460" s="325"/>
      <c r="CH1460" s="325"/>
      <c r="CI1460" s="325"/>
      <c r="CM1460" s="325">
        <f t="shared" si="855"/>
        <v>0</v>
      </c>
      <c r="CN1460" s="325">
        <v>0</v>
      </c>
      <c r="CP1460" s="923">
        <f t="shared" si="854"/>
        <v>0</v>
      </c>
      <c r="CZ1460" s="330"/>
    </row>
    <row r="1461" spans="1:104" ht="15" customHeight="1" x14ac:dyDescent="0.25">
      <c r="A1461" s="684">
        <f>MAX($A$6:A1460)+1</f>
        <v>1461</v>
      </c>
      <c r="B1461" s="1060">
        <f t="shared" si="852"/>
        <v>14.499999999999998</v>
      </c>
      <c r="C1461" s="11" t="str">
        <f t="shared" si="853"/>
        <v>NILGOSC Scheme liability</v>
      </c>
      <c r="F1461" s="1282"/>
      <c r="G1461" s="1254" t="s">
        <v>286</v>
      </c>
      <c r="J1461" s="1257" t="s">
        <v>973</v>
      </c>
      <c r="K1461" s="1246"/>
      <c r="L1461" s="315"/>
      <c r="N1461" s="273">
        <f t="shared" si="860"/>
        <v>0</v>
      </c>
      <c r="S1461" s="6">
        <f t="shared" si="849"/>
        <v>0</v>
      </c>
      <c r="T1461" s="273">
        <f t="shared" si="861"/>
        <v>0</v>
      </c>
      <c r="BD1461" s="5">
        <f t="shared" si="859"/>
        <v>0</v>
      </c>
      <c r="BE1461" s="325"/>
      <c r="BF1461" s="325"/>
      <c r="BG1461" s="325"/>
      <c r="BH1461" s="325"/>
      <c r="BI1461" s="325"/>
      <c r="BJ1461" s="325"/>
      <c r="BK1461" s="5">
        <f t="shared" si="840"/>
        <v>0</v>
      </c>
      <c r="BL1461" s="325"/>
      <c r="BM1461" s="325"/>
      <c r="BN1461" s="325"/>
      <c r="BO1461" s="325"/>
      <c r="BP1461" s="325"/>
      <c r="BQ1461" s="325"/>
      <c r="BR1461" s="325"/>
      <c r="BS1461" s="325"/>
      <c r="BT1461" s="325"/>
      <c r="BU1461" s="325"/>
      <c r="BV1461" s="325"/>
      <c r="BW1461" s="325"/>
      <c r="BX1461" s="325"/>
      <c r="BY1461" s="325"/>
      <c r="BZ1461" s="325"/>
      <c r="CA1461" s="325"/>
      <c r="CB1461" s="325"/>
      <c r="CC1461" s="325"/>
      <c r="CD1461" s="325"/>
      <c r="CE1461" s="325"/>
      <c r="CF1461" s="325"/>
      <c r="CG1461" s="325"/>
      <c r="CH1461" s="325"/>
      <c r="CI1461" s="325"/>
      <c r="CM1461" s="325">
        <f t="shared" si="855"/>
        <v>0</v>
      </c>
      <c r="CN1461" s="325">
        <v>0</v>
      </c>
      <c r="CP1461" s="923">
        <f t="shared" si="854"/>
        <v>0</v>
      </c>
      <c r="CZ1461" s="330"/>
    </row>
    <row r="1462" spans="1:104" ht="15" customHeight="1" x14ac:dyDescent="0.25">
      <c r="A1462" s="684">
        <f>MAX($A$6:A1461)+1</f>
        <v>1462</v>
      </c>
      <c r="B1462" s="1060">
        <f t="shared" si="852"/>
        <v>14.499999999999998</v>
      </c>
      <c r="C1462" s="11" t="str">
        <f t="shared" si="853"/>
        <v>NILGOSC Scheme liability</v>
      </c>
      <c r="F1462" s="1282"/>
      <c r="G1462" s="1254" t="s">
        <v>286</v>
      </c>
      <c r="J1462" s="1257" t="s">
        <v>974</v>
      </c>
      <c r="K1462" s="1246"/>
      <c r="L1462" s="315"/>
      <c r="N1462" s="273">
        <f t="shared" si="860"/>
        <v>0</v>
      </c>
      <c r="S1462" s="6">
        <f t="shared" si="849"/>
        <v>0</v>
      </c>
      <c r="T1462" s="273">
        <f t="shared" si="861"/>
        <v>0</v>
      </c>
      <c r="BD1462" s="5">
        <f t="shared" si="859"/>
        <v>0</v>
      </c>
      <c r="BE1462" s="325"/>
      <c r="BF1462" s="325"/>
      <c r="BG1462" s="325"/>
      <c r="BH1462" s="325"/>
      <c r="BI1462" s="325"/>
      <c r="BJ1462" s="325"/>
      <c r="BK1462" s="5">
        <f t="shared" si="840"/>
        <v>0</v>
      </c>
      <c r="BL1462" s="325"/>
      <c r="BM1462" s="325"/>
      <c r="BN1462" s="325"/>
      <c r="BO1462" s="325"/>
      <c r="BP1462" s="325"/>
      <c r="BQ1462" s="325"/>
      <c r="BR1462" s="325"/>
      <c r="BS1462" s="325"/>
      <c r="BT1462" s="325"/>
      <c r="BU1462" s="325"/>
      <c r="BV1462" s="325"/>
      <c r="BW1462" s="325"/>
      <c r="BX1462" s="325"/>
      <c r="BY1462" s="325"/>
      <c r="BZ1462" s="325"/>
      <c r="CA1462" s="325"/>
      <c r="CB1462" s="325"/>
      <c r="CC1462" s="325"/>
      <c r="CD1462" s="325"/>
      <c r="CE1462" s="325"/>
      <c r="CF1462" s="325"/>
      <c r="CG1462" s="325"/>
      <c r="CH1462" s="325"/>
      <c r="CI1462" s="325"/>
      <c r="CM1462" s="325">
        <f t="shared" si="855"/>
        <v>0</v>
      </c>
      <c r="CN1462" s="325">
        <v>0</v>
      </c>
      <c r="CP1462" s="923">
        <f t="shared" si="854"/>
        <v>0</v>
      </c>
      <c r="CZ1462" s="330"/>
    </row>
    <row r="1463" spans="1:104" ht="15" customHeight="1" x14ac:dyDescent="0.25">
      <c r="A1463" s="684">
        <f>MAX($A$6:A1462)+1</f>
        <v>1463</v>
      </c>
      <c r="B1463" s="1060">
        <f t="shared" si="852"/>
        <v>14.499999999999998</v>
      </c>
      <c r="C1463" s="11" t="str">
        <f t="shared" si="853"/>
        <v>NILGOSC Scheme liability</v>
      </c>
      <c r="F1463" s="1282"/>
      <c r="G1463" s="1254" t="s">
        <v>286</v>
      </c>
      <c r="J1463" s="1257" t="s">
        <v>906</v>
      </c>
      <c r="K1463" s="1246"/>
      <c r="L1463" s="315"/>
      <c r="N1463" s="273">
        <f t="shared" si="860"/>
        <v>0</v>
      </c>
      <c r="S1463" s="6">
        <f t="shared" si="849"/>
        <v>0</v>
      </c>
      <c r="T1463" s="273">
        <f t="shared" si="861"/>
        <v>0</v>
      </c>
      <c r="BD1463" s="5">
        <f t="shared" si="859"/>
        <v>0</v>
      </c>
      <c r="BE1463" s="325"/>
      <c r="BF1463" s="325"/>
      <c r="BG1463" s="325"/>
      <c r="BH1463" s="325"/>
      <c r="BI1463" s="325"/>
      <c r="BJ1463" s="325"/>
      <c r="BK1463" s="5">
        <f t="shared" ref="BK1463:BK1526" si="862">ROUND(SUM(BO1463:CI1463),0)</f>
        <v>0</v>
      </c>
      <c r="BL1463" s="325"/>
      <c r="BM1463" s="325"/>
      <c r="BN1463" s="325"/>
      <c r="BO1463" s="325"/>
      <c r="BP1463" s="325"/>
      <c r="BQ1463" s="325"/>
      <c r="BR1463" s="325"/>
      <c r="BS1463" s="325"/>
      <c r="BT1463" s="325"/>
      <c r="BU1463" s="325"/>
      <c r="BV1463" s="325"/>
      <c r="BW1463" s="325"/>
      <c r="BX1463" s="325"/>
      <c r="BY1463" s="325"/>
      <c r="BZ1463" s="325"/>
      <c r="CA1463" s="325"/>
      <c r="CB1463" s="325"/>
      <c r="CC1463" s="325"/>
      <c r="CD1463" s="325"/>
      <c r="CE1463" s="325"/>
      <c r="CF1463" s="325"/>
      <c r="CG1463" s="325"/>
      <c r="CH1463" s="325"/>
      <c r="CI1463" s="325"/>
      <c r="CM1463" s="325">
        <f t="shared" si="855"/>
        <v>0</v>
      </c>
      <c r="CN1463" s="325">
        <v>0</v>
      </c>
      <c r="CP1463" s="923">
        <f t="shared" si="854"/>
        <v>0</v>
      </c>
      <c r="CZ1463" s="330"/>
    </row>
    <row r="1464" spans="1:104" ht="15" customHeight="1" x14ac:dyDescent="0.25">
      <c r="A1464" s="684">
        <f>MAX($A$6:A1463)+1</f>
        <v>1464</v>
      </c>
      <c r="B1464" s="1060">
        <f t="shared" si="852"/>
        <v>14.499999999999998</v>
      </c>
      <c r="C1464" s="11" t="str">
        <f t="shared" si="853"/>
        <v>NILGOSC Scheme liability</v>
      </c>
      <c r="F1464" s="1282"/>
      <c r="G1464" s="1254" t="s">
        <v>286</v>
      </c>
      <c r="J1464" s="1257" t="s">
        <v>959</v>
      </c>
      <c r="K1464" s="1246"/>
      <c r="L1464" s="315"/>
      <c r="N1464" s="273">
        <f t="shared" si="860"/>
        <v>0</v>
      </c>
      <c r="S1464" s="6">
        <f t="shared" si="849"/>
        <v>0</v>
      </c>
      <c r="T1464" s="273">
        <f t="shared" si="861"/>
        <v>0</v>
      </c>
      <c r="BD1464" s="5">
        <f t="shared" si="859"/>
        <v>0</v>
      </c>
      <c r="BE1464" s="325"/>
      <c r="BF1464" s="325"/>
      <c r="BG1464" s="325"/>
      <c r="BH1464" s="325"/>
      <c r="BI1464" s="325"/>
      <c r="BJ1464" s="325"/>
      <c r="BK1464" s="5">
        <f t="shared" si="862"/>
        <v>0</v>
      </c>
      <c r="BL1464" s="325"/>
      <c r="BM1464" s="325"/>
      <c r="BN1464" s="325"/>
      <c r="BO1464" s="325"/>
      <c r="BP1464" s="325"/>
      <c r="BQ1464" s="325"/>
      <c r="BR1464" s="325"/>
      <c r="BS1464" s="325"/>
      <c r="BT1464" s="325"/>
      <c r="BU1464" s="325"/>
      <c r="BV1464" s="325"/>
      <c r="BW1464" s="325"/>
      <c r="BX1464" s="325"/>
      <c r="BY1464" s="325"/>
      <c r="BZ1464" s="325"/>
      <c r="CA1464" s="325"/>
      <c r="CB1464" s="325"/>
      <c r="CC1464" s="325"/>
      <c r="CD1464" s="325"/>
      <c r="CE1464" s="325"/>
      <c r="CF1464" s="325"/>
      <c r="CG1464" s="325"/>
      <c r="CH1464" s="325"/>
      <c r="CI1464" s="325"/>
      <c r="CM1464" s="325">
        <f t="shared" si="855"/>
        <v>0</v>
      </c>
      <c r="CN1464" s="325">
        <v>0</v>
      </c>
      <c r="CP1464" s="923">
        <f t="shared" si="854"/>
        <v>0</v>
      </c>
      <c r="CZ1464" s="330"/>
    </row>
    <row r="1465" spans="1:104" ht="15" customHeight="1" x14ac:dyDescent="0.25">
      <c r="A1465" s="684">
        <f>MAX($A$6:A1464)+1</f>
        <v>1465</v>
      </c>
      <c r="B1465" s="1060">
        <f t="shared" si="852"/>
        <v>14.499999999999998</v>
      </c>
      <c r="C1465" s="11" t="str">
        <f t="shared" si="853"/>
        <v>NILGOSC Scheme liability</v>
      </c>
      <c r="F1465" s="1282"/>
      <c r="G1465" s="1254" t="s">
        <v>286</v>
      </c>
      <c r="J1465" s="1257" t="s">
        <v>968</v>
      </c>
      <c r="K1465" s="1246"/>
      <c r="L1465" s="315"/>
      <c r="N1465" s="273">
        <f t="shared" si="860"/>
        <v>0</v>
      </c>
      <c r="S1465" s="6">
        <f t="shared" si="849"/>
        <v>0</v>
      </c>
      <c r="T1465" s="273">
        <f t="shared" si="861"/>
        <v>0</v>
      </c>
      <c r="BD1465" s="5">
        <f t="shared" si="859"/>
        <v>0</v>
      </c>
      <c r="BE1465" s="325"/>
      <c r="BF1465" s="325"/>
      <c r="BG1465" s="325"/>
      <c r="BH1465" s="325"/>
      <c r="BI1465" s="325"/>
      <c r="BJ1465" s="325"/>
      <c r="BK1465" s="5">
        <f t="shared" si="862"/>
        <v>0</v>
      </c>
      <c r="BL1465" s="325"/>
      <c r="BM1465" s="325"/>
      <c r="BN1465" s="325"/>
      <c r="BO1465" s="325"/>
      <c r="BP1465" s="325"/>
      <c r="BQ1465" s="325"/>
      <c r="BR1465" s="325"/>
      <c r="BS1465" s="325"/>
      <c r="BT1465" s="325"/>
      <c r="BU1465" s="325"/>
      <c r="BV1465" s="325"/>
      <c r="BW1465" s="325"/>
      <c r="BX1465" s="325"/>
      <c r="BY1465" s="325"/>
      <c r="BZ1465" s="325"/>
      <c r="CA1465" s="325"/>
      <c r="CB1465" s="325"/>
      <c r="CC1465" s="325"/>
      <c r="CD1465" s="325"/>
      <c r="CE1465" s="325"/>
      <c r="CF1465" s="325"/>
      <c r="CG1465" s="325"/>
      <c r="CH1465" s="325"/>
      <c r="CI1465" s="325"/>
      <c r="CM1465" s="325">
        <f t="shared" si="855"/>
        <v>0</v>
      </c>
      <c r="CN1465" s="325">
        <v>0</v>
      </c>
      <c r="CP1465" s="923">
        <f t="shared" si="854"/>
        <v>0</v>
      </c>
      <c r="CZ1465" s="330"/>
    </row>
    <row r="1466" spans="1:104" ht="15" customHeight="1" x14ac:dyDescent="0.25">
      <c r="A1466" s="684">
        <f>MAX($A$6:A1465)+1</f>
        <v>1466</v>
      </c>
      <c r="B1466" s="1060">
        <f t="shared" si="852"/>
        <v>14.499999999999998</v>
      </c>
      <c r="C1466" s="11" t="str">
        <f t="shared" si="853"/>
        <v>NILGOSC Scheme liability</v>
      </c>
      <c r="F1466" s="1282"/>
      <c r="G1466" s="1254" t="s">
        <v>286</v>
      </c>
      <c r="J1466" s="1257" t="s">
        <v>975</v>
      </c>
      <c r="K1466" s="1245"/>
      <c r="L1466" s="315"/>
      <c r="N1466" s="273">
        <f t="shared" si="860"/>
        <v>0</v>
      </c>
      <c r="S1466" s="6">
        <f t="shared" si="849"/>
        <v>0</v>
      </c>
      <c r="T1466" s="273">
        <f t="shared" si="861"/>
        <v>0</v>
      </c>
      <c r="BD1466" s="5">
        <f t="shared" si="859"/>
        <v>0</v>
      </c>
      <c r="BE1466" s="325"/>
      <c r="BF1466" s="325"/>
      <c r="BG1466" s="325"/>
      <c r="BH1466" s="325"/>
      <c r="BI1466" s="325"/>
      <c r="BJ1466" s="325"/>
      <c r="BK1466" s="5">
        <f t="shared" si="862"/>
        <v>0</v>
      </c>
      <c r="BL1466" s="325"/>
      <c r="BM1466" s="325"/>
      <c r="BN1466" s="325"/>
      <c r="BO1466" s="325"/>
      <c r="BP1466" s="325"/>
      <c r="BQ1466" s="325"/>
      <c r="BR1466" s="325"/>
      <c r="BS1466" s="325"/>
      <c r="BT1466" s="325"/>
      <c r="BU1466" s="325"/>
      <c r="BV1466" s="325"/>
      <c r="BW1466" s="325"/>
      <c r="BX1466" s="325"/>
      <c r="BY1466" s="325"/>
      <c r="BZ1466" s="325"/>
      <c r="CA1466" s="325"/>
      <c r="CB1466" s="325"/>
      <c r="CC1466" s="325"/>
      <c r="CD1466" s="325"/>
      <c r="CE1466" s="325"/>
      <c r="CF1466" s="325"/>
      <c r="CG1466" s="325"/>
      <c r="CH1466" s="325"/>
      <c r="CI1466" s="325"/>
      <c r="CM1466" s="325">
        <f t="shared" si="855"/>
        <v>0</v>
      </c>
      <c r="CN1466" s="325">
        <v>0</v>
      </c>
      <c r="CP1466" s="923">
        <f t="shared" si="854"/>
        <v>0</v>
      </c>
      <c r="CZ1466" s="330"/>
    </row>
    <row r="1467" spans="1:104" ht="15" customHeight="1" x14ac:dyDescent="0.25">
      <c r="A1467" s="684">
        <f>MAX($A$6:A1466)+1</f>
        <v>1467</v>
      </c>
      <c r="B1467" s="1060">
        <f t="shared" si="852"/>
        <v>14.499999999999998</v>
      </c>
      <c r="C1467" s="11" t="str">
        <f t="shared" si="853"/>
        <v>NILGOSC Scheme liability</v>
      </c>
      <c r="F1467" s="1282"/>
      <c r="G1467" s="1254" t="s">
        <v>286</v>
      </c>
      <c r="J1467" s="1257" t="s">
        <v>976</v>
      </c>
      <c r="K1467" s="1246"/>
      <c r="L1467" s="315"/>
      <c r="N1467" s="273">
        <f t="shared" si="860"/>
        <v>0</v>
      </c>
      <c r="S1467" s="6">
        <f t="shared" si="849"/>
        <v>0</v>
      </c>
      <c r="T1467" s="273">
        <f t="shared" si="861"/>
        <v>0</v>
      </c>
      <c r="BD1467" s="5">
        <f t="shared" si="859"/>
        <v>0</v>
      </c>
      <c r="BE1467" s="325"/>
      <c r="BF1467" s="325"/>
      <c r="BG1467" s="325"/>
      <c r="BH1467" s="325"/>
      <c r="BI1467" s="325"/>
      <c r="BJ1467" s="325"/>
      <c r="BK1467" s="5">
        <f t="shared" si="862"/>
        <v>0</v>
      </c>
      <c r="BL1467" s="325"/>
      <c r="BM1467" s="325"/>
      <c r="BN1467" s="325"/>
      <c r="BO1467" s="325"/>
      <c r="BP1467" s="325"/>
      <c r="BQ1467" s="325"/>
      <c r="BR1467" s="325"/>
      <c r="BS1467" s="325"/>
      <c r="BT1467" s="325"/>
      <c r="BU1467" s="325"/>
      <c r="BV1467" s="325"/>
      <c r="BW1467" s="325"/>
      <c r="BX1467" s="325"/>
      <c r="BY1467" s="325"/>
      <c r="BZ1467" s="325"/>
      <c r="CA1467" s="325"/>
      <c r="CB1467" s="325"/>
      <c r="CC1467" s="325"/>
      <c r="CD1467" s="325"/>
      <c r="CE1467" s="325"/>
      <c r="CF1467" s="325"/>
      <c r="CG1467" s="325"/>
      <c r="CH1467" s="325"/>
      <c r="CI1467" s="325"/>
      <c r="CM1467" s="325">
        <f t="shared" si="855"/>
        <v>0</v>
      </c>
      <c r="CN1467" s="325">
        <v>0</v>
      </c>
      <c r="CP1467" s="923">
        <f t="shared" si="854"/>
        <v>0</v>
      </c>
      <c r="CZ1467" s="330"/>
    </row>
    <row r="1468" spans="1:104" ht="15" customHeight="1" x14ac:dyDescent="0.25">
      <c r="A1468" s="684">
        <f>MAX($A$6:A1467)+1</f>
        <v>1468</v>
      </c>
      <c r="B1468" s="1060">
        <f t="shared" si="852"/>
        <v>14.499999999999998</v>
      </c>
      <c r="C1468" s="11" t="str">
        <f t="shared" si="853"/>
        <v>NILGOSC Scheme liability</v>
      </c>
      <c r="F1468" s="1282"/>
      <c r="G1468" s="1254" t="s">
        <v>286</v>
      </c>
      <c r="J1468" s="1257" t="s">
        <v>977</v>
      </c>
      <c r="K1468" s="1246"/>
      <c r="L1468" s="315"/>
      <c r="N1468" s="273">
        <f t="shared" si="860"/>
        <v>0</v>
      </c>
      <c r="S1468" s="6">
        <f t="shared" si="849"/>
        <v>0</v>
      </c>
      <c r="T1468" s="273">
        <f t="shared" si="861"/>
        <v>0</v>
      </c>
      <c r="BD1468" s="5">
        <f t="shared" si="859"/>
        <v>0</v>
      </c>
      <c r="BE1468" s="325"/>
      <c r="BF1468" s="325"/>
      <c r="BG1468" s="325"/>
      <c r="BH1468" s="325"/>
      <c r="BI1468" s="325"/>
      <c r="BJ1468" s="325"/>
      <c r="BK1468" s="5">
        <f t="shared" si="862"/>
        <v>0</v>
      </c>
      <c r="BL1468" s="325"/>
      <c r="BM1468" s="325"/>
      <c r="BN1468" s="325"/>
      <c r="BO1468" s="325"/>
      <c r="BP1468" s="325"/>
      <c r="BQ1468" s="325"/>
      <c r="BR1468" s="325"/>
      <c r="BS1468" s="325"/>
      <c r="BT1468" s="325"/>
      <c r="BU1468" s="325"/>
      <c r="BV1468" s="325"/>
      <c r="BW1468" s="325"/>
      <c r="BX1468" s="325"/>
      <c r="BY1468" s="325"/>
      <c r="BZ1468" s="325"/>
      <c r="CA1468" s="325"/>
      <c r="CB1468" s="325"/>
      <c r="CC1468" s="325"/>
      <c r="CD1468" s="325"/>
      <c r="CE1468" s="325"/>
      <c r="CF1468" s="325"/>
      <c r="CG1468" s="325"/>
      <c r="CH1468" s="325"/>
      <c r="CI1468" s="325"/>
      <c r="CM1468" s="325">
        <f t="shared" si="855"/>
        <v>0</v>
      </c>
      <c r="CN1468" s="325">
        <v>0</v>
      </c>
      <c r="CP1468" s="923">
        <f t="shared" si="854"/>
        <v>0</v>
      </c>
      <c r="CZ1468" s="330"/>
    </row>
    <row r="1469" spans="1:104" ht="15" customHeight="1" x14ac:dyDescent="0.25">
      <c r="A1469" s="684">
        <f>MAX($A$6:A1468)+1</f>
        <v>1469</v>
      </c>
      <c r="B1469" s="1060">
        <f t="shared" si="852"/>
        <v>14.499999999999998</v>
      </c>
      <c r="C1469" s="11" t="str">
        <f t="shared" si="853"/>
        <v>NILGOSC Scheme liability</v>
      </c>
      <c r="F1469" s="1282"/>
      <c r="G1469" s="1254" t="s">
        <v>286</v>
      </c>
      <c r="J1469" s="1257" t="s">
        <v>978</v>
      </c>
      <c r="K1469" s="1246"/>
      <c r="L1469" s="315"/>
      <c r="N1469" s="273">
        <f t="shared" si="860"/>
        <v>0</v>
      </c>
      <c r="S1469" s="6">
        <f t="shared" si="849"/>
        <v>0</v>
      </c>
      <c r="T1469" s="273">
        <f t="shared" si="861"/>
        <v>0</v>
      </c>
      <c r="BD1469" s="5">
        <f t="shared" si="859"/>
        <v>0</v>
      </c>
      <c r="BE1469" s="325"/>
      <c r="BF1469" s="325"/>
      <c r="BG1469" s="325"/>
      <c r="BH1469" s="325"/>
      <c r="BI1469" s="325"/>
      <c r="BJ1469" s="325"/>
      <c r="BK1469" s="5">
        <f t="shared" si="862"/>
        <v>0</v>
      </c>
      <c r="BL1469" s="325"/>
      <c r="BM1469" s="325"/>
      <c r="BN1469" s="325"/>
      <c r="BO1469" s="325"/>
      <c r="BP1469" s="325"/>
      <c r="BQ1469" s="325"/>
      <c r="BR1469" s="325"/>
      <c r="BS1469" s="325"/>
      <c r="BT1469" s="325"/>
      <c r="BU1469" s="325"/>
      <c r="BV1469" s="325"/>
      <c r="BW1469" s="325"/>
      <c r="BX1469" s="325"/>
      <c r="BY1469" s="325"/>
      <c r="BZ1469" s="325"/>
      <c r="CA1469" s="325"/>
      <c r="CB1469" s="325"/>
      <c r="CC1469" s="325"/>
      <c r="CD1469" s="325"/>
      <c r="CE1469" s="325"/>
      <c r="CF1469" s="325"/>
      <c r="CG1469" s="325"/>
      <c r="CH1469" s="325"/>
      <c r="CI1469" s="325"/>
      <c r="CM1469" s="325">
        <f t="shared" si="855"/>
        <v>0</v>
      </c>
      <c r="CN1469" s="325">
        <v>0</v>
      </c>
      <c r="CP1469" s="923">
        <f t="shared" si="854"/>
        <v>0</v>
      </c>
      <c r="CZ1469" s="330"/>
    </row>
    <row r="1470" spans="1:104" ht="15" customHeight="1" x14ac:dyDescent="0.25">
      <c r="A1470" s="684">
        <f>MAX($A$6:A1469)+1</f>
        <v>1470</v>
      </c>
      <c r="B1470" s="1060">
        <f t="shared" si="852"/>
        <v>14.499999999999998</v>
      </c>
      <c r="C1470" s="11" t="str">
        <f t="shared" si="853"/>
        <v>NILGOSC Scheme liability</v>
      </c>
      <c r="F1470" s="1282"/>
      <c r="G1470" s="1254" t="s">
        <v>286</v>
      </c>
      <c r="J1470" s="1257" t="s">
        <v>965</v>
      </c>
      <c r="K1470" s="1246"/>
      <c r="L1470" s="315"/>
      <c r="N1470" s="273">
        <f t="shared" si="860"/>
        <v>0</v>
      </c>
      <c r="S1470" s="6">
        <f t="shared" si="849"/>
        <v>0</v>
      </c>
      <c r="T1470" s="273">
        <f t="shared" si="861"/>
        <v>0</v>
      </c>
      <c r="BD1470" s="5">
        <f t="shared" si="859"/>
        <v>0</v>
      </c>
      <c r="BE1470" s="325"/>
      <c r="BF1470" s="325"/>
      <c r="BG1470" s="325"/>
      <c r="BH1470" s="325"/>
      <c r="BI1470" s="325"/>
      <c r="BJ1470" s="325"/>
      <c r="BK1470" s="5">
        <f t="shared" si="862"/>
        <v>0</v>
      </c>
      <c r="BL1470" s="325"/>
      <c r="BM1470" s="325"/>
      <c r="BN1470" s="325"/>
      <c r="BO1470" s="325"/>
      <c r="BP1470" s="325"/>
      <c r="BQ1470" s="325"/>
      <c r="BR1470" s="325"/>
      <c r="BS1470" s="325"/>
      <c r="BT1470" s="325"/>
      <c r="BU1470" s="325"/>
      <c r="BV1470" s="325"/>
      <c r="BW1470" s="325"/>
      <c r="BX1470" s="325"/>
      <c r="BY1470" s="325"/>
      <c r="BZ1470" s="325"/>
      <c r="CA1470" s="325"/>
      <c r="CB1470" s="325"/>
      <c r="CC1470" s="325"/>
      <c r="CD1470" s="325"/>
      <c r="CE1470" s="325"/>
      <c r="CF1470" s="325"/>
      <c r="CG1470" s="325"/>
      <c r="CH1470" s="325"/>
      <c r="CI1470" s="325"/>
      <c r="CM1470" s="325">
        <f t="shared" si="855"/>
        <v>0</v>
      </c>
      <c r="CN1470" s="325">
        <v>0</v>
      </c>
      <c r="CP1470" s="923">
        <f t="shared" si="854"/>
        <v>0</v>
      </c>
      <c r="CZ1470" s="330"/>
    </row>
    <row r="1471" spans="1:104" ht="15" customHeight="1" x14ac:dyDescent="0.25">
      <c r="A1471" s="684">
        <f>MAX($A$6:A1470)+1</f>
        <v>1471</v>
      </c>
      <c r="B1471" s="1060">
        <f t="shared" si="852"/>
        <v>14.499999999999998</v>
      </c>
      <c r="C1471" s="11" t="str">
        <f t="shared" si="853"/>
        <v>NILGOSC Scheme liability</v>
      </c>
      <c r="F1471" s="1282"/>
      <c r="G1471" s="1254" t="s">
        <v>286</v>
      </c>
      <c r="J1471" s="1257" t="s">
        <v>2031</v>
      </c>
      <c r="K1471" s="1246"/>
      <c r="L1471" s="315"/>
      <c r="N1471" s="273">
        <f t="shared" si="860"/>
        <v>0</v>
      </c>
      <c r="S1471" s="6">
        <f t="shared" si="849"/>
        <v>0</v>
      </c>
      <c r="T1471" s="273">
        <f t="shared" si="861"/>
        <v>0</v>
      </c>
      <c r="BD1471" s="5">
        <f t="shared" si="859"/>
        <v>0</v>
      </c>
      <c r="BE1471" s="325"/>
      <c r="BF1471" s="325"/>
      <c r="BG1471" s="325"/>
      <c r="BH1471" s="325"/>
      <c r="BI1471" s="325"/>
      <c r="BJ1471" s="325"/>
      <c r="BK1471" s="5">
        <f t="shared" si="862"/>
        <v>0</v>
      </c>
      <c r="BL1471" s="325"/>
      <c r="BM1471" s="325"/>
      <c r="BN1471" s="325"/>
      <c r="BO1471" s="325"/>
      <c r="BP1471" s="325"/>
      <c r="BQ1471" s="325"/>
      <c r="BR1471" s="325"/>
      <c r="BS1471" s="325"/>
      <c r="BT1471" s="325"/>
      <c r="BU1471" s="325"/>
      <c r="BV1471" s="325"/>
      <c r="BW1471" s="325"/>
      <c r="BX1471" s="325"/>
      <c r="BY1471" s="325"/>
      <c r="BZ1471" s="325"/>
      <c r="CA1471" s="325"/>
      <c r="CB1471" s="325"/>
      <c r="CC1471" s="325"/>
      <c r="CD1471" s="325"/>
      <c r="CE1471" s="325"/>
      <c r="CF1471" s="325"/>
      <c r="CG1471" s="325"/>
      <c r="CH1471" s="325"/>
      <c r="CI1471" s="325"/>
      <c r="CM1471" s="325">
        <f t="shared" si="855"/>
        <v>0</v>
      </c>
      <c r="CN1471" s="325">
        <v>0</v>
      </c>
      <c r="CP1471" s="923">
        <f t="shared" si="854"/>
        <v>0</v>
      </c>
      <c r="CZ1471" s="330"/>
    </row>
    <row r="1472" spans="1:104" ht="15" customHeight="1" x14ac:dyDescent="0.25">
      <c r="A1472" s="684">
        <f>MAX($A$6:A1471)+1</f>
        <v>1472</v>
      </c>
      <c r="B1472" s="1060">
        <f t="shared" si="852"/>
        <v>14.499999999999998</v>
      </c>
      <c r="C1472" s="11" t="str">
        <f t="shared" si="853"/>
        <v>NILGOSC Scheme liability</v>
      </c>
      <c r="F1472" s="1282"/>
      <c r="G1472" s="1254" t="s">
        <v>286</v>
      </c>
      <c r="J1472" s="1257" t="s">
        <v>979</v>
      </c>
      <c r="K1472" s="313"/>
      <c r="L1472" s="315"/>
      <c r="N1472" s="273">
        <f t="shared" si="860"/>
        <v>0</v>
      </c>
      <c r="S1472" s="6">
        <f t="shared" si="849"/>
        <v>0</v>
      </c>
      <c r="T1472" s="273">
        <f t="shared" si="861"/>
        <v>0</v>
      </c>
      <c r="BD1472" s="5">
        <f t="shared" si="859"/>
        <v>0</v>
      </c>
      <c r="BE1472" s="325"/>
      <c r="BF1472" s="325"/>
      <c r="BG1472" s="325"/>
      <c r="BH1472" s="325"/>
      <c r="BI1472" s="325"/>
      <c r="BJ1472" s="325"/>
      <c r="BK1472" s="5">
        <f t="shared" si="862"/>
        <v>0</v>
      </c>
      <c r="BL1472" s="325"/>
      <c r="BM1472" s="325"/>
      <c r="BN1472" s="325"/>
      <c r="BO1472" s="325"/>
      <c r="BP1472" s="325"/>
      <c r="BQ1472" s="325"/>
      <c r="BR1472" s="325"/>
      <c r="BS1472" s="325"/>
      <c r="BT1472" s="325"/>
      <c r="BU1472" s="325"/>
      <c r="BV1472" s="325"/>
      <c r="BW1472" s="325"/>
      <c r="BX1472" s="325"/>
      <c r="BY1472" s="325"/>
      <c r="BZ1472" s="325"/>
      <c r="CA1472" s="325"/>
      <c r="CB1472" s="325"/>
      <c r="CC1472" s="325"/>
      <c r="CD1472" s="325"/>
      <c r="CE1472" s="325"/>
      <c r="CF1472" s="325"/>
      <c r="CG1472" s="325"/>
      <c r="CH1472" s="325"/>
      <c r="CI1472" s="325"/>
      <c r="CM1472" s="325">
        <f t="shared" si="855"/>
        <v>0</v>
      </c>
      <c r="CN1472" s="325">
        <v>0</v>
      </c>
      <c r="CP1472" s="923">
        <f t="shared" si="854"/>
        <v>0</v>
      </c>
      <c r="CZ1472" s="330"/>
    </row>
    <row r="1473" spans="1:104" ht="15" customHeight="1" x14ac:dyDescent="0.25">
      <c r="A1473" s="684">
        <f>MAX($A$6:A1472)+1</f>
        <v>1473</v>
      </c>
      <c r="B1473" s="1060">
        <f t="shared" si="852"/>
        <v>14.499999999999998</v>
      </c>
      <c r="C1473" s="11" t="str">
        <f t="shared" si="853"/>
        <v>NILGOSC Scheme liability</v>
      </c>
      <c r="F1473" s="1282"/>
      <c r="G1473" s="1254" t="s">
        <v>286</v>
      </c>
      <c r="J1473" s="1262" t="s">
        <v>733</v>
      </c>
      <c r="K1473" s="314"/>
      <c r="L1473" s="315"/>
      <c r="N1473" s="273">
        <f t="shared" si="860"/>
        <v>0</v>
      </c>
      <c r="S1473" s="6">
        <f t="shared" si="849"/>
        <v>0</v>
      </c>
      <c r="T1473" s="273">
        <f t="shared" si="861"/>
        <v>0</v>
      </c>
      <c r="BD1473" s="5">
        <f t="shared" si="859"/>
        <v>0</v>
      </c>
      <c r="BE1473" s="325"/>
      <c r="BF1473" s="325"/>
      <c r="BG1473" s="325"/>
      <c r="BH1473" s="325"/>
      <c r="BI1473" s="325"/>
      <c r="BJ1473" s="325"/>
      <c r="BK1473" s="5">
        <f t="shared" si="862"/>
        <v>0</v>
      </c>
      <c r="BL1473" s="325"/>
      <c r="BM1473" s="325"/>
      <c r="BN1473" s="325"/>
      <c r="BO1473" s="325"/>
      <c r="BP1473" s="325"/>
      <c r="BQ1473" s="325"/>
      <c r="BR1473" s="325"/>
      <c r="BS1473" s="325"/>
      <c r="BT1473" s="325"/>
      <c r="BU1473" s="325"/>
      <c r="BV1473" s="325"/>
      <c r="BW1473" s="325"/>
      <c r="BX1473" s="325"/>
      <c r="BY1473" s="325"/>
      <c r="BZ1473" s="325"/>
      <c r="CA1473" s="325"/>
      <c r="CB1473" s="325"/>
      <c r="CC1473" s="325"/>
      <c r="CD1473" s="325"/>
      <c r="CE1473" s="325"/>
      <c r="CF1473" s="325"/>
      <c r="CG1473" s="325"/>
      <c r="CH1473" s="325"/>
      <c r="CI1473" s="325"/>
      <c r="CM1473" s="325">
        <f t="shared" si="855"/>
        <v>0</v>
      </c>
      <c r="CN1473" s="325">
        <v>0</v>
      </c>
      <c r="CP1473" s="923">
        <f t="shared" si="854"/>
        <v>0</v>
      </c>
      <c r="CZ1473" s="330"/>
    </row>
    <row r="1474" spans="1:104" ht="18.75" customHeight="1" x14ac:dyDescent="0.25">
      <c r="A1474" s="1297">
        <f>MAX($A$6:A1473)+1</f>
        <v>1474</v>
      </c>
      <c r="B1474" s="1295">
        <f>SUMIF(Update!$B$33:$B$106,C1474,Update!$A$33:$A$106)</f>
        <v>14.1</v>
      </c>
      <c r="C1474" s="696" t="s">
        <v>2038</v>
      </c>
      <c r="D1474" s="695"/>
      <c r="E1474" s="696" t="s">
        <v>900</v>
      </c>
      <c r="F1474" s="697"/>
      <c r="G1474" s="697"/>
      <c r="H1474" s="695"/>
      <c r="I1474" s="695"/>
      <c r="J1474" s="698" t="s">
        <v>286</v>
      </c>
      <c r="K1474" s="699"/>
      <c r="L1474" s="699"/>
      <c r="M1474" s="695"/>
      <c r="N1474" s="713">
        <f t="shared" si="860"/>
        <v>0</v>
      </c>
      <c r="O1474" s="695"/>
      <c r="P1474" s="695"/>
      <c r="Q1474" s="695"/>
      <c r="R1474" s="695"/>
      <c r="S1474" s="695">
        <f t="shared" si="849"/>
        <v>0</v>
      </c>
      <c r="T1474" s="713">
        <f t="shared" si="861"/>
        <v>0</v>
      </c>
      <c r="U1474" s="695"/>
      <c r="V1474" s="695"/>
      <c r="W1474" s="695"/>
      <c r="X1474" s="695"/>
      <c r="Y1474" s="695"/>
      <c r="Z1474" s="695"/>
      <c r="AA1474" s="695"/>
      <c r="AB1474" s="695"/>
      <c r="AC1474" s="695"/>
      <c r="AD1474" s="695"/>
      <c r="AE1474" s="695"/>
      <c r="AF1474" s="695"/>
      <c r="AG1474" s="695"/>
      <c r="AH1474" s="695"/>
      <c r="AI1474" s="695"/>
      <c r="AJ1474" s="695"/>
      <c r="AK1474" s="695"/>
      <c r="AL1474" s="695"/>
      <c r="AM1474" s="695"/>
      <c r="AN1474" s="695"/>
      <c r="AO1474" s="695"/>
      <c r="AP1474" s="695"/>
      <c r="AQ1474" s="695"/>
      <c r="AR1474" s="695"/>
      <c r="AS1474" s="695"/>
      <c r="AT1474" s="695"/>
      <c r="AU1474" s="695"/>
      <c r="AV1474" s="695"/>
      <c r="AW1474" s="700"/>
      <c r="AX1474" s="700"/>
      <c r="AY1474" s="700"/>
      <c r="AZ1474" s="700"/>
      <c r="BA1474" s="700"/>
      <c r="BB1474" s="700"/>
      <c r="BC1474" s="700"/>
      <c r="BD1474" s="721">
        <f t="shared" si="859"/>
        <v>0</v>
      </c>
      <c r="BE1474" s="700"/>
      <c r="BF1474" s="700"/>
      <c r="BG1474" s="700"/>
      <c r="BH1474" s="700"/>
      <c r="BI1474" s="700"/>
      <c r="BJ1474" s="700"/>
      <c r="BK1474" s="721">
        <f t="shared" si="862"/>
        <v>0</v>
      </c>
      <c r="BL1474" s="700"/>
      <c r="BM1474" s="700"/>
      <c r="BN1474" s="700"/>
      <c r="BO1474" s="700"/>
      <c r="BP1474" s="700"/>
      <c r="BQ1474" s="700"/>
      <c r="BR1474" s="700"/>
      <c r="BS1474" s="700"/>
      <c r="BT1474" s="700"/>
      <c r="BU1474" s="700"/>
      <c r="BV1474" s="700"/>
      <c r="BW1474" s="700"/>
      <c r="BX1474" s="700"/>
      <c r="BY1474" s="700"/>
      <c r="BZ1474" s="700"/>
      <c r="CA1474" s="700"/>
      <c r="CB1474" s="700"/>
      <c r="CC1474" s="700"/>
      <c r="CD1474" s="700"/>
      <c r="CE1474" s="700"/>
      <c r="CF1474" s="700"/>
      <c r="CG1474" s="700"/>
      <c r="CH1474" s="700"/>
      <c r="CI1474" s="700"/>
      <c r="CJ1474" s="700"/>
      <c r="CK1474" s="700"/>
      <c r="CM1474" s="700">
        <f t="shared" si="855"/>
        <v>0</v>
      </c>
      <c r="CN1474" s="700">
        <v>0</v>
      </c>
      <c r="CP1474" s="923">
        <f t="shared" si="854"/>
        <v>0</v>
      </c>
      <c r="CZ1474" s="330"/>
    </row>
    <row r="1475" spans="1:104" ht="15" customHeight="1" x14ac:dyDescent="0.25">
      <c r="A1475" s="684">
        <f>MAX($A$6:A1474)+1</f>
        <v>1475</v>
      </c>
      <c r="B1475" s="1060">
        <f t="shared" ref="B1475:B1498" si="863">B1474</f>
        <v>14.1</v>
      </c>
      <c r="C1475" s="11" t="str">
        <f t="shared" ref="C1475:C1498" si="864">C1474</f>
        <v>NILGOSC disclosures</v>
      </c>
      <c r="F1475" s="1282"/>
      <c r="G1475" s="1254" t="s">
        <v>286</v>
      </c>
      <c r="J1475" s="1257" t="s">
        <v>980</v>
      </c>
      <c r="K1475" s="251"/>
      <c r="L1475" s="315"/>
      <c r="N1475" s="273">
        <f t="shared" si="860"/>
        <v>0</v>
      </c>
      <c r="S1475" s="6">
        <f t="shared" ref="S1475:S1532" si="865">-IF(ISNUMBER(BD1475),BD1475,0)</f>
        <v>0</v>
      </c>
      <c r="T1475" s="273">
        <f t="shared" si="861"/>
        <v>0</v>
      </c>
      <c r="BD1475" s="5">
        <f t="shared" si="859"/>
        <v>0</v>
      </c>
      <c r="BE1475" s="325"/>
      <c r="BF1475" s="325"/>
      <c r="BG1475" s="325"/>
      <c r="BH1475" s="325"/>
      <c r="BI1475" s="325"/>
      <c r="BJ1475" s="325"/>
      <c r="BK1475" s="5">
        <f t="shared" si="862"/>
        <v>0</v>
      </c>
      <c r="BL1475" s="325"/>
      <c r="BM1475" s="325"/>
      <c r="BN1475" s="325"/>
      <c r="BO1475" s="325"/>
      <c r="BP1475" s="325"/>
      <c r="BQ1475" s="325"/>
      <c r="BR1475" s="325"/>
      <c r="BS1475" s="325"/>
      <c r="BT1475" s="325"/>
      <c r="BU1475" s="325"/>
      <c r="BV1475" s="325"/>
      <c r="BW1475" s="325"/>
      <c r="BX1475" s="325"/>
      <c r="BY1475" s="325"/>
      <c r="BZ1475" s="325"/>
      <c r="CA1475" s="325"/>
      <c r="CB1475" s="325"/>
      <c r="CC1475" s="325"/>
      <c r="CD1475" s="325"/>
      <c r="CE1475" s="325"/>
      <c r="CF1475" s="325"/>
      <c r="CG1475" s="325"/>
      <c r="CH1475" s="325"/>
      <c r="CI1475" s="325"/>
      <c r="CM1475" s="325">
        <f t="shared" si="855"/>
        <v>0</v>
      </c>
      <c r="CN1475" s="325">
        <v>0</v>
      </c>
      <c r="CP1475" s="923">
        <f t="shared" si="854"/>
        <v>0</v>
      </c>
      <c r="CZ1475" s="330"/>
    </row>
    <row r="1476" spans="1:104" ht="15" customHeight="1" x14ac:dyDescent="0.25">
      <c r="A1476" s="684">
        <f>MAX($A$6:A1475)+1</f>
        <v>1476</v>
      </c>
      <c r="B1476" s="1060">
        <f t="shared" si="863"/>
        <v>14.1</v>
      </c>
      <c r="C1476" s="11" t="str">
        <f t="shared" si="864"/>
        <v>NILGOSC disclosures</v>
      </c>
      <c r="F1476" s="1282"/>
      <c r="G1476" s="1254" t="s">
        <v>286</v>
      </c>
      <c r="J1476" s="1257" t="s">
        <v>981</v>
      </c>
      <c r="K1476" s="251"/>
      <c r="L1476" s="315"/>
      <c r="N1476" s="273">
        <f t="shared" si="860"/>
        <v>0</v>
      </c>
      <c r="S1476" s="6">
        <f t="shared" si="865"/>
        <v>0</v>
      </c>
      <c r="T1476" s="273">
        <f t="shared" si="861"/>
        <v>0</v>
      </c>
      <c r="BD1476" s="5">
        <f t="shared" si="859"/>
        <v>0</v>
      </c>
      <c r="BE1476" s="325"/>
      <c r="BF1476" s="325"/>
      <c r="BG1476" s="325"/>
      <c r="BH1476" s="325"/>
      <c r="BI1476" s="325"/>
      <c r="BJ1476" s="325"/>
      <c r="BK1476" s="5">
        <f t="shared" si="862"/>
        <v>0</v>
      </c>
      <c r="BL1476" s="325"/>
      <c r="BM1476" s="325"/>
      <c r="BN1476" s="325"/>
      <c r="BO1476" s="325"/>
      <c r="BP1476" s="325"/>
      <c r="BQ1476" s="325"/>
      <c r="BR1476" s="325"/>
      <c r="BS1476" s="325"/>
      <c r="BT1476" s="325"/>
      <c r="BU1476" s="325"/>
      <c r="BV1476" s="325"/>
      <c r="BW1476" s="325"/>
      <c r="BX1476" s="325"/>
      <c r="BY1476" s="325"/>
      <c r="BZ1476" s="325"/>
      <c r="CA1476" s="325"/>
      <c r="CB1476" s="325"/>
      <c r="CC1476" s="325"/>
      <c r="CD1476" s="325"/>
      <c r="CE1476" s="325"/>
      <c r="CF1476" s="325"/>
      <c r="CG1476" s="325"/>
      <c r="CH1476" s="325"/>
      <c r="CI1476" s="325"/>
      <c r="CM1476" s="325">
        <f t="shared" si="855"/>
        <v>0</v>
      </c>
      <c r="CN1476" s="325">
        <v>0</v>
      </c>
      <c r="CP1476" s="923">
        <f t="shared" si="854"/>
        <v>0</v>
      </c>
      <c r="CZ1476" s="330"/>
    </row>
    <row r="1477" spans="1:104" ht="15" customHeight="1" x14ac:dyDescent="0.25">
      <c r="A1477" s="684">
        <f>MAX($A$6:A1476)+1</f>
        <v>1477</v>
      </c>
      <c r="B1477" s="1060">
        <f t="shared" si="863"/>
        <v>14.1</v>
      </c>
      <c r="C1477" s="11" t="str">
        <f t="shared" si="864"/>
        <v>NILGOSC disclosures</v>
      </c>
      <c r="F1477" s="1282"/>
      <c r="G1477" s="1254" t="s">
        <v>286</v>
      </c>
      <c r="J1477" s="1257" t="s">
        <v>982</v>
      </c>
      <c r="K1477" s="251"/>
      <c r="L1477" s="315"/>
      <c r="N1477" s="273">
        <f t="shared" si="860"/>
        <v>0</v>
      </c>
      <c r="S1477" s="6">
        <f t="shared" si="865"/>
        <v>0</v>
      </c>
      <c r="T1477" s="273">
        <f t="shared" si="861"/>
        <v>0</v>
      </c>
      <c r="BD1477" s="5">
        <f t="shared" si="859"/>
        <v>0</v>
      </c>
      <c r="BE1477" s="325"/>
      <c r="BF1477" s="325"/>
      <c r="BG1477" s="325"/>
      <c r="BH1477" s="325"/>
      <c r="BI1477" s="325"/>
      <c r="BJ1477" s="325"/>
      <c r="BK1477" s="5">
        <f t="shared" si="862"/>
        <v>0</v>
      </c>
      <c r="BL1477" s="325"/>
      <c r="BM1477" s="325"/>
      <c r="BN1477" s="325"/>
      <c r="BO1477" s="325"/>
      <c r="BP1477" s="325"/>
      <c r="BQ1477" s="325"/>
      <c r="BR1477" s="325"/>
      <c r="BS1477" s="325"/>
      <c r="BT1477" s="325"/>
      <c r="BU1477" s="325"/>
      <c r="BV1477" s="325"/>
      <c r="BW1477" s="325"/>
      <c r="BX1477" s="325"/>
      <c r="BY1477" s="325"/>
      <c r="BZ1477" s="325"/>
      <c r="CA1477" s="325"/>
      <c r="CB1477" s="325"/>
      <c r="CC1477" s="325"/>
      <c r="CD1477" s="325"/>
      <c r="CE1477" s="325"/>
      <c r="CF1477" s="325"/>
      <c r="CG1477" s="325"/>
      <c r="CH1477" s="325"/>
      <c r="CI1477" s="325"/>
      <c r="CM1477" s="325">
        <f t="shared" si="855"/>
        <v>0</v>
      </c>
      <c r="CN1477" s="325">
        <v>0</v>
      </c>
      <c r="CP1477" s="923">
        <f t="shared" si="854"/>
        <v>0</v>
      </c>
      <c r="CZ1477" s="330"/>
    </row>
    <row r="1478" spans="1:104" ht="15" customHeight="1" x14ac:dyDescent="0.25">
      <c r="A1478" s="684">
        <f>MAX($A$6:A1477)+1</f>
        <v>1478</v>
      </c>
      <c r="B1478" s="1060">
        <f t="shared" si="863"/>
        <v>14.1</v>
      </c>
      <c r="C1478" s="11" t="str">
        <f t="shared" si="864"/>
        <v>NILGOSC disclosures</v>
      </c>
      <c r="F1478" s="1282"/>
      <c r="G1478" s="1254" t="s">
        <v>286</v>
      </c>
      <c r="J1478" s="1257" t="s">
        <v>983</v>
      </c>
      <c r="K1478" s="251"/>
      <c r="L1478" s="315"/>
      <c r="N1478" s="273">
        <f t="shared" si="860"/>
        <v>0</v>
      </c>
      <c r="S1478" s="6">
        <f t="shared" si="865"/>
        <v>0</v>
      </c>
      <c r="T1478" s="273">
        <f t="shared" si="861"/>
        <v>0</v>
      </c>
      <c r="BD1478" s="5">
        <f t="shared" si="859"/>
        <v>0</v>
      </c>
      <c r="BE1478" s="325"/>
      <c r="BF1478" s="325"/>
      <c r="BG1478" s="325"/>
      <c r="BH1478" s="325"/>
      <c r="BI1478" s="325"/>
      <c r="BJ1478" s="325"/>
      <c r="BK1478" s="5">
        <f t="shared" si="862"/>
        <v>0</v>
      </c>
      <c r="BL1478" s="325"/>
      <c r="BM1478" s="325"/>
      <c r="BN1478" s="325"/>
      <c r="BO1478" s="325"/>
      <c r="BP1478" s="325"/>
      <c r="BQ1478" s="325"/>
      <c r="BR1478" s="325"/>
      <c r="BS1478" s="325"/>
      <c r="BT1478" s="325"/>
      <c r="BU1478" s="325"/>
      <c r="BV1478" s="325"/>
      <c r="BW1478" s="325"/>
      <c r="BX1478" s="325"/>
      <c r="BY1478" s="325"/>
      <c r="BZ1478" s="325"/>
      <c r="CA1478" s="325"/>
      <c r="CB1478" s="325"/>
      <c r="CC1478" s="325"/>
      <c r="CD1478" s="325"/>
      <c r="CE1478" s="325"/>
      <c r="CF1478" s="325"/>
      <c r="CG1478" s="325"/>
      <c r="CH1478" s="325"/>
      <c r="CI1478" s="325"/>
      <c r="CM1478" s="325">
        <f t="shared" si="855"/>
        <v>0</v>
      </c>
      <c r="CN1478" s="325">
        <v>0</v>
      </c>
      <c r="CP1478" s="923">
        <f t="shared" si="854"/>
        <v>0</v>
      </c>
      <c r="CZ1478" s="330"/>
    </row>
    <row r="1479" spans="1:104" ht="15" customHeight="1" x14ac:dyDescent="0.25">
      <c r="A1479" s="684">
        <f>MAX($A$6:A1478)+1</f>
        <v>1479</v>
      </c>
      <c r="B1479" s="1060">
        <f t="shared" si="863"/>
        <v>14.1</v>
      </c>
      <c r="C1479" s="11" t="str">
        <f t="shared" si="864"/>
        <v>NILGOSC disclosures</v>
      </c>
      <c r="F1479" s="1282"/>
      <c r="G1479" s="1254" t="s">
        <v>286</v>
      </c>
      <c r="J1479" s="1257" t="s">
        <v>984</v>
      </c>
      <c r="K1479" s="251"/>
      <c r="L1479" s="315"/>
      <c r="N1479" s="273">
        <f t="shared" si="860"/>
        <v>0</v>
      </c>
      <c r="S1479" s="6">
        <f t="shared" si="865"/>
        <v>0</v>
      </c>
      <c r="T1479" s="273">
        <f t="shared" si="861"/>
        <v>0</v>
      </c>
      <c r="BD1479" s="5">
        <f t="shared" si="859"/>
        <v>0</v>
      </c>
      <c r="BE1479" s="325"/>
      <c r="BF1479" s="325"/>
      <c r="BG1479" s="325"/>
      <c r="BH1479" s="325"/>
      <c r="BI1479" s="325"/>
      <c r="BJ1479" s="325"/>
      <c r="BK1479" s="5">
        <f t="shared" si="862"/>
        <v>0</v>
      </c>
      <c r="BL1479" s="325"/>
      <c r="BM1479" s="325"/>
      <c r="BN1479" s="325"/>
      <c r="BO1479" s="325"/>
      <c r="BP1479" s="325"/>
      <c r="BQ1479" s="325"/>
      <c r="BR1479" s="325"/>
      <c r="BS1479" s="325"/>
      <c r="BT1479" s="325"/>
      <c r="BU1479" s="325"/>
      <c r="BV1479" s="325"/>
      <c r="BW1479" s="325"/>
      <c r="BX1479" s="325"/>
      <c r="BY1479" s="325"/>
      <c r="BZ1479" s="325"/>
      <c r="CA1479" s="325"/>
      <c r="CB1479" s="325"/>
      <c r="CC1479" s="325"/>
      <c r="CD1479" s="325"/>
      <c r="CE1479" s="325"/>
      <c r="CF1479" s="325"/>
      <c r="CG1479" s="325"/>
      <c r="CH1479" s="325"/>
      <c r="CI1479" s="325"/>
      <c r="CM1479" s="325">
        <f t="shared" si="855"/>
        <v>0</v>
      </c>
      <c r="CN1479" s="325">
        <v>0</v>
      </c>
      <c r="CP1479" s="923">
        <f t="shared" si="854"/>
        <v>0</v>
      </c>
      <c r="CZ1479" s="330"/>
    </row>
    <row r="1480" spans="1:104" ht="15" customHeight="1" x14ac:dyDescent="0.25">
      <c r="A1480" s="684">
        <f>MAX($A$6:A1479)+1</f>
        <v>1480</v>
      </c>
      <c r="B1480" s="1060">
        <f t="shared" si="863"/>
        <v>14.1</v>
      </c>
      <c r="C1480" s="11" t="str">
        <f t="shared" si="864"/>
        <v>NILGOSC disclosures</v>
      </c>
      <c r="F1480" s="1282"/>
      <c r="G1480" s="1254" t="s">
        <v>286</v>
      </c>
      <c r="J1480" s="1257" t="s">
        <v>985</v>
      </c>
      <c r="K1480" s="251"/>
      <c r="L1480" s="315"/>
      <c r="N1480" s="273">
        <f t="shared" si="860"/>
        <v>0</v>
      </c>
      <c r="S1480" s="6">
        <f t="shared" si="865"/>
        <v>0</v>
      </c>
      <c r="T1480" s="273">
        <f t="shared" si="861"/>
        <v>0</v>
      </c>
      <c r="BD1480" s="5">
        <f t="shared" si="859"/>
        <v>0</v>
      </c>
      <c r="BE1480" s="325"/>
      <c r="BF1480" s="325"/>
      <c r="BG1480" s="325"/>
      <c r="BH1480" s="325"/>
      <c r="BI1480" s="325"/>
      <c r="BJ1480" s="325"/>
      <c r="BK1480" s="5">
        <f t="shared" si="862"/>
        <v>0</v>
      </c>
      <c r="BL1480" s="325"/>
      <c r="BM1480" s="325"/>
      <c r="BN1480" s="325"/>
      <c r="BO1480" s="325"/>
      <c r="BP1480" s="325"/>
      <c r="BQ1480" s="325"/>
      <c r="BR1480" s="325"/>
      <c r="BS1480" s="325"/>
      <c r="BT1480" s="325"/>
      <c r="BU1480" s="325"/>
      <c r="BV1480" s="325"/>
      <c r="BW1480" s="325"/>
      <c r="BX1480" s="325"/>
      <c r="BY1480" s="325"/>
      <c r="BZ1480" s="325"/>
      <c r="CA1480" s="325"/>
      <c r="CB1480" s="325"/>
      <c r="CC1480" s="325"/>
      <c r="CD1480" s="325"/>
      <c r="CE1480" s="325"/>
      <c r="CF1480" s="325"/>
      <c r="CG1480" s="325"/>
      <c r="CH1480" s="325"/>
      <c r="CI1480" s="325"/>
      <c r="CM1480" s="325">
        <f t="shared" si="855"/>
        <v>0</v>
      </c>
      <c r="CN1480" s="325">
        <v>0</v>
      </c>
      <c r="CP1480" s="923">
        <f t="shared" ref="CP1480:CP1543" si="866">-V1480+BL1480+BM1480+BN1480+CM1480</f>
        <v>0</v>
      </c>
      <c r="CZ1480" s="330"/>
    </row>
    <row r="1481" spans="1:104" ht="15" customHeight="1" x14ac:dyDescent="0.25">
      <c r="A1481" s="684">
        <f>MAX($A$6:A1480)+1</f>
        <v>1481</v>
      </c>
      <c r="B1481" s="1060">
        <f t="shared" si="863"/>
        <v>14.1</v>
      </c>
      <c r="C1481" s="11" t="str">
        <f t="shared" si="864"/>
        <v>NILGOSC disclosures</v>
      </c>
      <c r="F1481" s="1282"/>
      <c r="G1481" s="1254" t="s">
        <v>286</v>
      </c>
      <c r="J1481" s="1257" t="s">
        <v>986</v>
      </c>
      <c r="K1481" s="251"/>
      <c r="L1481" s="315"/>
      <c r="N1481" s="273">
        <f t="shared" si="860"/>
        <v>0</v>
      </c>
      <c r="S1481" s="6">
        <f t="shared" si="865"/>
        <v>0</v>
      </c>
      <c r="T1481" s="273">
        <f t="shared" si="861"/>
        <v>0</v>
      </c>
      <c r="BD1481" s="5">
        <f t="shared" si="859"/>
        <v>0</v>
      </c>
      <c r="BE1481" s="325"/>
      <c r="BF1481" s="325"/>
      <c r="BG1481" s="325"/>
      <c r="BH1481" s="325"/>
      <c r="BI1481" s="325"/>
      <c r="BJ1481" s="325"/>
      <c r="BK1481" s="5">
        <f t="shared" si="862"/>
        <v>0</v>
      </c>
      <c r="BL1481" s="325"/>
      <c r="BM1481" s="325"/>
      <c r="BN1481" s="325"/>
      <c r="BO1481" s="325"/>
      <c r="BP1481" s="325"/>
      <c r="BQ1481" s="325"/>
      <c r="BR1481" s="325"/>
      <c r="BS1481" s="325"/>
      <c r="BT1481" s="325"/>
      <c r="BU1481" s="325"/>
      <c r="BV1481" s="325"/>
      <c r="BW1481" s="325"/>
      <c r="BX1481" s="325"/>
      <c r="BY1481" s="325"/>
      <c r="BZ1481" s="325"/>
      <c r="CA1481" s="325"/>
      <c r="CB1481" s="325"/>
      <c r="CC1481" s="325"/>
      <c r="CD1481" s="325"/>
      <c r="CE1481" s="325"/>
      <c r="CF1481" s="325"/>
      <c r="CG1481" s="325"/>
      <c r="CH1481" s="325"/>
      <c r="CI1481" s="325"/>
      <c r="CM1481" s="325">
        <f t="shared" ref="CM1481:CM1544" si="867">+U1481+V1481</f>
        <v>0</v>
      </c>
      <c r="CN1481" s="325">
        <v>0</v>
      </c>
      <c r="CP1481" s="923">
        <f t="shared" si="866"/>
        <v>0</v>
      </c>
      <c r="CZ1481" s="330"/>
    </row>
    <row r="1482" spans="1:104" ht="15" customHeight="1" x14ac:dyDescent="0.25">
      <c r="A1482" s="684">
        <f>MAX($A$6:A1481)+1</f>
        <v>1482</v>
      </c>
      <c r="B1482" s="1060">
        <f t="shared" si="863"/>
        <v>14.1</v>
      </c>
      <c r="C1482" s="11" t="str">
        <f t="shared" si="864"/>
        <v>NILGOSC disclosures</v>
      </c>
      <c r="F1482" s="1282"/>
      <c r="G1482" s="1254" t="s">
        <v>286</v>
      </c>
      <c r="J1482" s="1257" t="s">
        <v>987</v>
      </c>
      <c r="K1482" s="251"/>
      <c r="L1482" s="315"/>
      <c r="N1482" s="273">
        <f t="shared" si="860"/>
        <v>0</v>
      </c>
      <c r="S1482" s="6">
        <f t="shared" si="865"/>
        <v>0</v>
      </c>
      <c r="T1482" s="273">
        <f t="shared" si="861"/>
        <v>0</v>
      </c>
      <c r="BD1482" s="5">
        <f t="shared" si="859"/>
        <v>0</v>
      </c>
      <c r="BE1482" s="325"/>
      <c r="BF1482" s="325"/>
      <c r="BG1482" s="325"/>
      <c r="BH1482" s="325"/>
      <c r="BI1482" s="325"/>
      <c r="BJ1482" s="325"/>
      <c r="BK1482" s="5">
        <f t="shared" si="862"/>
        <v>0</v>
      </c>
      <c r="BL1482" s="325"/>
      <c r="BM1482" s="325"/>
      <c r="BN1482" s="325"/>
      <c r="BO1482" s="325"/>
      <c r="BP1482" s="325"/>
      <c r="BQ1482" s="325"/>
      <c r="BR1482" s="325"/>
      <c r="BS1482" s="325"/>
      <c r="BT1482" s="325"/>
      <c r="BU1482" s="325"/>
      <c r="BV1482" s="325"/>
      <c r="BW1482" s="325"/>
      <c r="BX1482" s="325"/>
      <c r="BY1482" s="325"/>
      <c r="BZ1482" s="325"/>
      <c r="CA1482" s="325"/>
      <c r="CB1482" s="325"/>
      <c r="CC1482" s="325"/>
      <c r="CD1482" s="325"/>
      <c r="CE1482" s="325"/>
      <c r="CF1482" s="325"/>
      <c r="CG1482" s="325"/>
      <c r="CH1482" s="325"/>
      <c r="CI1482" s="325"/>
      <c r="CM1482" s="325">
        <f t="shared" si="867"/>
        <v>0</v>
      </c>
      <c r="CN1482" s="325">
        <v>0</v>
      </c>
      <c r="CP1482" s="923">
        <f t="shared" si="866"/>
        <v>0</v>
      </c>
      <c r="CZ1482" s="330"/>
    </row>
    <row r="1483" spans="1:104" ht="15" customHeight="1" x14ac:dyDescent="0.25">
      <c r="A1483" s="684">
        <f>MAX($A$6:A1482)+1</f>
        <v>1483</v>
      </c>
      <c r="B1483" s="1060">
        <f t="shared" si="863"/>
        <v>14.1</v>
      </c>
      <c r="C1483" s="11" t="str">
        <f t="shared" si="864"/>
        <v>NILGOSC disclosures</v>
      </c>
      <c r="F1483" s="1282"/>
      <c r="G1483" s="1254" t="s">
        <v>286</v>
      </c>
      <c r="J1483" s="1261" t="s">
        <v>988</v>
      </c>
      <c r="K1483" s="1185"/>
      <c r="L1483" s="315"/>
      <c r="N1483" s="273">
        <f t="shared" si="860"/>
        <v>0</v>
      </c>
      <c r="S1483" s="6">
        <f t="shared" si="865"/>
        <v>0</v>
      </c>
      <c r="T1483" s="273">
        <f t="shared" si="861"/>
        <v>0</v>
      </c>
      <c r="BD1483" s="5">
        <f t="shared" si="859"/>
        <v>0</v>
      </c>
      <c r="BE1483" s="325"/>
      <c r="BF1483" s="325"/>
      <c r="BG1483" s="325"/>
      <c r="BH1483" s="325"/>
      <c r="BI1483" s="325"/>
      <c r="BJ1483" s="325"/>
      <c r="BK1483" s="5">
        <f t="shared" si="862"/>
        <v>0</v>
      </c>
      <c r="BL1483" s="325"/>
      <c r="BM1483" s="325"/>
      <c r="BN1483" s="325"/>
      <c r="BO1483" s="325"/>
      <c r="BP1483" s="325"/>
      <c r="BQ1483" s="325"/>
      <c r="BR1483" s="325"/>
      <c r="BS1483" s="325"/>
      <c r="BT1483" s="325"/>
      <c r="BU1483" s="325"/>
      <c r="BV1483" s="325"/>
      <c r="BW1483" s="325"/>
      <c r="BX1483" s="325"/>
      <c r="BY1483" s="325"/>
      <c r="BZ1483" s="325"/>
      <c r="CA1483" s="325"/>
      <c r="CB1483" s="325"/>
      <c r="CC1483" s="325"/>
      <c r="CD1483" s="325"/>
      <c r="CE1483" s="325"/>
      <c r="CF1483" s="325"/>
      <c r="CG1483" s="325"/>
      <c r="CH1483" s="325"/>
      <c r="CI1483" s="325"/>
      <c r="CM1483" s="325">
        <f t="shared" si="867"/>
        <v>0</v>
      </c>
      <c r="CN1483" s="325">
        <v>0</v>
      </c>
      <c r="CP1483" s="923">
        <f t="shared" si="866"/>
        <v>0</v>
      </c>
      <c r="CZ1483" s="330"/>
    </row>
    <row r="1484" spans="1:104" ht="15" customHeight="1" x14ac:dyDescent="0.25">
      <c r="A1484" s="684">
        <f>MAX($A$6:A1483)+1</f>
        <v>1484</v>
      </c>
      <c r="B1484" s="1060">
        <f t="shared" si="863"/>
        <v>14.1</v>
      </c>
      <c r="C1484" s="11" t="str">
        <f t="shared" si="864"/>
        <v>NILGOSC disclosures</v>
      </c>
      <c r="F1484" s="1282"/>
      <c r="G1484" s="1254" t="s">
        <v>286</v>
      </c>
      <c r="J1484" s="1257" t="s">
        <v>905</v>
      </c>
      <c r="K1484" s="1185"/>
      <c r="L1484" s="315"/>
      <c r="N1484" s="273">
        <f t="shared" si="860"/>
        <v>0</v>
      </c>
      <c r="S1484" s="6">
        <f t="shared" si="865"/>
        <v>0</v>
      </c>
      <c r="T1484" s="273">
        <f t="shared" si="861"/>
        <v>0</v>
      </c>
      <c r="BD1484" s="5">
        <f t="shared" si="859"/>
        <v>0</v>
      </c>
      <c r="BE1484" s="325"/>
      <c r="BF1484" s="325"/>
      <c r="BG1484" s="325"/>
      <c r="BH1484" s="325"/>
      <c r="BI1484" s="325"/>
      <c r="BJ1484" s="325"/>
      <c r="BK1484" s="5">
        <f t="shared" si="862"/>
        <v>0</v>
      </c>
      <c r="BL1484" s="325"/>
      <c r="BM1484" s="325"/>
      <c r="BN1484" s="325"/>
      <c r="BO1484" s="325"/>
      <c r="BP1484" s="325"/>
      <c r="BQ1484" s="325"/>
      <c r="BR1484" s="325"/>
      <c r="BS1484" s="325"/>
      <c r="BT1484" s="325"/>
      <c r="BU1484" s="325"/>
      <c r="BV1484" s="325"/>
      <c r="BW1484" s="325"/>
      <c r="BX1484" s="325"/>
      <c r="BY1484" s="325"/>
      <c r="BZ1484" s="325"/>
      <c r="CA1484" s="325"/>
      <c r="CB1484" s="325"/>
      <c r="CC1484" s="325"/>
      <c r="CD1484" s="325"/>
      <c r="CE1484" s="325"/>
      <c r="CF1484" s="325"/>
      <c r="CG1484" s="325"/>
      <c r="CH1484" s="325"/>
      <c r="CI1484" s="325"/>
      <c r="CM1484" s="325">
        <f t="shared" si="867"/>
        <v>0</v>
      </c>
      <c r="CN1484" s="325">
        <v>0</v>
      </c>
      <c r="CP1484" s="923">
        <f t="shared" si="866"/>
        <v>0</v>
      </c>
      <c r="CZ1484" s="330"/>
    </row>
    <row r="1485" spans="1:104" ht="15" customHeight="1" x14ac:dyDescent="0.25">
      <c r="A1485" s="684">
        <f>MAX($A$6:A1484)+1</f>
        <v>1485</v>
      </c>
      <c r="B1485" s="1060">
        <f t="shared" si="863"/>
        <v>14.1</v>
      </c>
      <c r="C1485" s="11" t="str">
        <f t="shared" si="864"/>
        <v>NILGOSC disclosures</v>
      </c>
      <c r="F1485" s="1282"/>
      <c r="G1485" s="1254" t="s">
        <v>286</v>
      </c>
      <c r="J1485" s="1257" t="s">
        <v>989</v>
      </c>
      <c r="K1485" s="1185"/>
      <c r="L1485" s="315"/>
      <c r="N1485" s="273">
        <f t="shared" si="860"/>
        <v>0</v>
      </c>
      <c r="S1485" s="6">
        <f t="shared" si="865"/>
        <v>0</v>
      </c>
      <c r="T1485" s="273">
        <f t="shared" si="861"/>
        <v>0</v>
      </c>
      <c r="BD1485" s="5">
        <f t="shared" si="859"/>
        <v>0</v>
      </c>
      <c r="BE1485" s="325"/>
      <c r="BF1485" s="325"/>
      <c r="BG1485" s="325"/>
      <c r="BH1485" s="325"/>
      <c r="BI1485" s="325"/>
      <c r="BJ1485" s="325"/>
      <c r="BK1485" s="5">
        <f t="shared" si="862"/>
        <v>0</v>
      </c>
      <c r="BL1485" s="325"/>
      <c r="BM1485" s="325"/>
      <c r="BN1485" s="325"/>
      <c r="BO1485" s="325"/>
      <c r="BP1485" s="325"/>
      <c r="BQ1485" s="325"/>
      <c r="BR1485" s="325"/>
      <c r="BS1485" s="325"/>
      <c r="BT1485" s="325"/>
      <c r="BU1485" s="325"/>
      <c r="BV1485" s="325"/>
      <c r="BW1485" s="325"/>
      <c r="BX1485" s="325"/>
      <c r="BY1485" s="325"/>
      <c r="BZ1485" s="325"/>
      <c r="CA1485" s="325"/>
      <c r="CB1485" s="325"/>
      <c r="CC1485" s="325"/>
      <c r="CD1485" s="325"/>
      <c r="CE1485" s="325"/>
      <c r="CF1485" s="325"/>
      <c r="CG1485" s="325"/>
      <c r="CH1485" s="325"/>
      <c r="CI1485" s="325"/>
      <c r="CM1485" s="325">
        <f t="shared" si="867"/>
        <v>0</v>
      </c>
      <c r="CN1485" s="325">
        <v>0</v>
      </c>
      <c r="CP1485" s="923">
        <f t="shared" si="866"/>
        <v>0</v>
      </c>
      <c r="CZ1485" s="330"/>
    </row>
    <row r="1486" spans="1:104" ht="15" customHeight="1" x14ac:dyDescent="0.25">
      <c r="A1486" s="684">
        <f>MAX($A$6:A1485)+1</f>
        <v>1486</v>
      </c>
      <c r="B1486" s="1060">
        <f t="shared" si="863"/>
        <v>14.1</v>
      </c>
      <c r="C1486" s="11" t="str">
        <f t="shared" si="864"/>
        <v>NILGOSC disclosures</v>
      </c>
      <c r="F1486" s="1282"/>
      <c r="G1486" s="1254" t="s">
        <v>286</v>
      </c>
      <c r="J1486" s="1257" t="s">
        <v>990</v>
      </c>
      <c r="K1486" s="1185"/>
      <c r="L1486" s="315"/>
      <c r="N1486" s="273">
        <f t="shared" ref="N1486:N1496" si="868">ROUND(SUM(O1486:AU1486)-T1486,0)</f>
        <v>0</v>
      </c>
      <c r="S1486" s="6">
        <f t="shared" si="865"/>
        <v>0</v>
      </c>
      <c r="T1486" s="273">
        <f t="shared" ref="T1486:T1496" si="869">ROUND(SUM(U1486:Y1486),0)</f>
        <v>0</v>
      </c>
      <c r="BD1486" s="5">
        <f t="shared" si="859"/>
        <v>0</v>
      </c>
      <c r="BE1486" s="325"/>
      <c r="BF1486" s="325"/>
      <c r="BG1486" s="325"/>
      <c r="BH1486" s="325"/>
      <c r="BI1486" s="325"/>
      <c r="BJ1486" s="325"/>
      <c r="BK1486" s="5">
        <f t="shared" si="862"/>
        <v>0</v>
      </c>
      <c r="BL1486" s="325"/>
      <c r="BM1486" s="325"/>
      <c r="BN1486" s="325"/>
      <c r="BO1486" s="325"/>
      <c r="BP1486" s="325"/>
      <c r="BQ1486" s="325"/>
      <c r="BR1486" s="325"/>
      <c r="BS1486" s="325"/>
      <c r="BT1486" s="325"/>
      <c r="BU1486" s="325"/>
      <c r="BV1486" s="325"/>
      <c r="BW1486" s="325"/>
      <c r="BX1486" s="325"/>
      <c r="BY1486" s="325"/>
      <c r="BZ1486" s="325"/>
      <c r="CA1486" s="325"/>
      <c r="CB1486" s="325"/>
      <c r="CC1486" s="325"/>
      <c r="CD1486" s="325"/>
      <c r="CE1486" s="325"/>
      <c r="CF1486" s="325"/>
      <c r="CG1486" s="325"/>
      <c r="CH1486" s="325"/>
      <c r="CI1486" s="325"/>
      <c r="CM1486" s="325">
        <f t="shared" si="867"/>
        <v>0</v>
      </c>
      <c r="CN1486" s="325">
        <v>0</v>
      </c>
      <c r="CP1486" s="923">
        <f t="shared" si="866"/>
        <v>0</v>
      </c>
      <c r="CZ1486" s="330"/>
    </row>
    <row r="1487" spans="1:104" ht="15" customHeight="1" x14ac:dyDescent="0.25">
      <c r="A1487" s="684">
        <f>MAX($A$6:A1486)+1</f>
        <v>1487</v>
      </c>
      <c r="B1487" s="1060">
        <f t="shared" si="863"/>
        <v>14.1</v>
      </c>
      <c r="C1487" s="11" t="str">
        <f t="shared" si="864"/>
        <v>NILGOSC disclosures</v>
      </c>
      <c r="F1487" s="1282"/>
      <c r="G1487" s="1254" t="s">
        <v>286</v>
      </c>
      <c r="J1487" s="1257" t="s">
        <v>991</v>
      </c>
      <c r="K1487" s="1185"/>
      <c r="L1487" s="315"/>
      <c r="N1487" s="273">
        <f t="shared" si="868"/>
        <v>0</v>
      </c>
      <c r="S1487" s="6">
        <f t="shared" si="865"/>
        <v>0</v>
      </c>
      <c r="T1487" s="273">
        <f t="shared" si="869"/>
        <v>0</v>
      </c>
      <c r="BD1487" s="5">
        <f t="shared" si="859"/>
        <v>0</v>
      </c>
      <c r="BE1487" s="325"/>
      <c r="BF1487" s="325"/>
      <c r="BG1487" s="325"/>
      <c r="BH1487" s="325"/>
      <c r="BI1487" s="325"/>
      <c r="BJ1487" s="325"/>
      <c r="BK1487" s="5">
        <f t="shared" si="862"/>
        <v>0</v>
      </c>
      <c r="BL1487" s="325"/>
      <c r="BM1487" s="325"/>
      <c r="BN1487" s="325"/>
      <c r="BO1487" s="325"/>
      <c r="BP1487" s="325"/>
      <c r="BQ1487" s="325"/>
      <c r="BR1487" s="325"/>
      <c r="BS1487" s="325"/>
      <c r="BT1487" s="325"/>
      <c r="BU1487" s="325"/>
      <c r="BV1487" s="325"/>
      <c r="BW1487" s="325"/>
      <c r="BX1487" s="325"/>
      <c r="BY1487" s="325"/>
      <c r="BZ1487" s="325"/>
      <c r="CA1487" s="325"/>
      <c r="CB1487" s="325"/>
      <c r="CC1487" s="325"/>
      <c r="CD1487" s="325"/>
      <c r="CE1487" s="325"/>
      <c r="CF1487" s="325"/>
      <c r="CG1487" s="325"/>
      <c r="CH1487" s="325"/>
      <c r="CI1487" s="325"/>
      <c r="CM1487" s="325">
        <f t="shared" si="867"/>
        <v>0</v>
      </c>
      <c r="CN1487" s="325">
        <v>0</v>
      </c>
      <c r="CP1487" s="923">
        <f t="shared" si="866"/>
        <v>0</v>
      </c>
      <c r="CZ1487" s="330"/>
    </row>
    <row r="1488" spans="1:104" ht="15" customHeight="1" x14ac:dyDescent="0.25">
      <c r="A1488" s="684">
        <f>MAX($A$6:A1487)+1</f>
        <v>1488</v>
      </c>
      <c r="B1488" s="1060">
        <f t="shared" si="863"/>
        <v>14.1</v>
      </c>
      <c r="C1488" s="11" t="str">
        <f t="shared" si="864"/>
        <v>NILGOSC disclosures</v>
      </c>
      <c r="F1488" s="1282"/>
      <c r="G1488" s="1254" t="s">
        <v>286</v>
      </c>
      <c r="J1488" s="1261" t="s">
        <v>992</v>
      </c>
      <c r="K1488" s="1185"/>
      <c r="L1488" s="315"/>
      <c r="N1488" s="273">
        <f t="shared" si="868"/>
        <v>0</v>
      </c>
      <c r="S1488" s="6">
        <f t="shared" si="865"/>
        <v>0</v>
      </c>
      <c r="T1488" s="273">
        <f t="shared" si="869"/>
        <v>0</v>
      </c>
      <c r="BD1488" s="5">
        <f t="shared" si="859"/>
        <v>0</v>
      </c>
      <c r="BE1488" s="325"/>
      <c r="BF1488" s="325"/>
      <c r="BG1488" s="325"/>
      <c r="BH1488" s="325"/>
      <c r="BI1488" s="325"/>
      <c r="BJ1488" s="325"/>
      <c r="BK1488" s="5">
        <f t="shared" si="862"/>
        <v>0</v>
      </c>
      <c r="BL1488" s="325"/>
      <c r="BM1488" s="325"/>
      <c r="BN1488" s="325"/>
      <c r="BO1488" s="325"/>
      <c r="BP1488" s="325"/>
      <c r="BQ1488" s="325"/>
      <c r="BR1488" s="325"/>
      <c r="BS1488" s="325"/>
      <c r="BT1488" s="325"/>
      <c r="BU1488" s="325"/>
      <c r="BV1488" s="325"/>
      <c r="BW1488" s="325"/>
      <c r="BX1488" s="325"/>
      <c r="BY1488" s="325"/>
      <c r="BZ1488" s="325"/>
      <c r="CA1488" s="325"/>
      <c r="CB1488" s="325"/>
      <c r="CC1488" s="325"/>
      <c r="CD1488" s="325"/>
      <c r="CE1488" s="325"/>
      <c r="CF1488" s="325"/>
      <c r="CG1488" s="325"/>
      <c r="CH1488" s="325"/>
      <c r="CI1488" s="325"/>
      <c r="CM1488" s="325">
        <f t="shared" si="867"/>
        <v>0</v>
      </c>
      <c r="CN1488" s="325">
        <v>0</v>
      </c>
      <c r="CP1488" s="923">
        <f t="shared" si="866"/>
        <v>0</v>
      </c>
      <c r="CZ1488" s="330"/>
    </row>
    <row r="1489" spans="1:104" ht="15" customHeight="1" x14ac:dyDescent="0.25">
      <c r="A1489" s="684">
        <f>MAX($A$6:A1488)+1</f>
        <v>1489</v>
      </c>
      <c r="B1489" s="1060">
        <f t="shared" si="863"/>
        <v>14.1</v>
      </c>
      <c r="C1489" s="11" t="str">
        <f t="shared" si="864"/>
        <v>NILGOSC disclosures</v>
      </c>
      <c r="F1489" s="1282"/>
      <c r="G1489" s="1254" t="s">
        <v>286</v>
      </c>
      <c r="J1489" s="1257" t="s">
        <v>993</v>
      </c>
      <c r="K1489" s="1185"/>
      <c r="L1489" s="315"/>
      <c r="N1489" s="273">
        <f t="shared" si="868"/>
        <v>0</v>
      </c>
      <c r="S1489" s="6">
        <f t="shared" si="865"/>
        <v>0</v>
      </c>
      <c r="T1489" s="273">
        <f t="shared" si="869"/>
        <v>0</v>
      </c>
      <c r="BD1489" s="5">
        <f t="shared" si="859"/>
        <v>0</v>
      </c>
      <c r="BE1489" s="325"/>
      <c r="BF1489" s="325"/>
      <c r="BG1489" s="325"/>
      <c r="BH1489" s="325"/>
      <c r="BI1489" s="325"/>
      <c r="BJ1489" s="325"/>
      <c r="BK1489" s="5">
        <f t="shared" si="862"/>
        <v>0</v>
      </c>
      <c r="BL1489" s="325"/>
      <c r="BM1489" s="325"/>
      <c r="BN1489" s="325"/>
      <c r="BO1489" s="325"/>
      <c r="BP1489" s="325"/>
      <c r="BQ1489" s="325"/>
      <c r="BR1489" s="325"/>
      <c r="BS1489" s="325"/>
      <c r="BT1489" s="325"/>
      <c r="BU1489" s="325"/>
      <c r="BV1489" s="325"/>
      <c r="BW1489" s="325"/>
      <c r="BX1489" s="325"/>
      <c r="BY1489" s="325"/>
      <c r="BZ1489" s="325"/>
      <c r="CA1489" s="325"/>
      <c r="CB1489" s="325"/>
      <c r="CC1489" s="325"/>
      <c r="CD1489" s="325"/>
      <c r="CE1489" s="325"/>
      <c r="CF1489" s="325"/>
      <c r="CG1489" s="325"/>
      <c r="CH1489" s="325"/>
      <c r="CI1489" s="325"/>
      <c r="CM1489" s="325">
        <f t="shared" si="867"/>
        <v>0</v>
      </c>
      <c r="CN1489" s="325">
        <v>0</v>
      </c>
      <c r="CP1489" s="923">
        <f t="shared" si="866"/>
        <v>0</v>
      </c>
      <c r="CZ1489" s="330"/>
    </row>
    <row r="1490" spans="1:104" ht="15" customHeight="1" x14ac:dyDescent="0.25">
      <c r="A1490" s="684">
        <f>MAX($A$6:A1489)+1</f>
        <v>1490</v>
      </c>
      <c r="B1490" s="1060">
        <f t="shared" si="863"/>
        <v>14.1</v>
      </c>
      <c r="C1490" s="11" t="str">
        <f t="shared" si="864"/>
        <v>NILGOSC disclosures</v>
      </c>
      <c r="F1490" s="1282"/>
      <c r="G1490" s="1254" t="s">
        <v>286</v>
      </c>
      <c r="J1490" s="1257" t="s">
        <v>994</v>
      </c>
      <c r="K1490" s="1185"/>
      <c r="L1490" s="315"/>
      <c r="N1490" s="273">
        <f t="shared" si="868"/>
        <v>0</v>
      </c>
      <c r="S1490" s="6">
        <f t="shared" si="865"/>
        <v>0</v>
      </c>
      <c r="T1490" s="273">
        <f t="shared" si="869"/>
        <v>0</v>
      </c>
      <c r="BD1490" s="5">
        <f t="shared" si="859"/>
        <v>0</v>
      </c>
      <c r="BE1490" s="325"/>
      <c r="BF1490" s="325"/>
      <c r="BG1490" s="325"/>
      <c r="BH1490" s="325"/>
      <c r="BI1490" s="325"/>
      <c r="BJ1490" s="325"/>
      <c r="BK1490" s="5">
        <f t="shared" si="862"/>
        <v>0</v>
      </c>
      <c r="BL1490" s="325"/>
      <c r="BM1490" s="325"/>
      <c r="BN1490" s="325"/>
      <c r="BO1490" s="325"/>
      <c r="BP1490" s="325"/>
      <c r="BQ1490" s="325"/>
      <c r="BR1490" s="325"/>
      <c r="BS1490" s="325"/>
      <c r="BT1490" s="325"/>
      <c r="BU1490" s="325"/>
      <c r="BV1490" s="325"/>
      <c r="BW1490" s="325"/>
      <c r="BX1490" s="325"/>
      <c r="BY1490" s="325"/>
      <c r="BZ1490" s="325"/>
      <c r="CA1490" s="325"/>
      <c r="CB1490" s="325"/>
      <c r="CC1490" s="325"/>
      <c r="CD1490" s="325"/>
      <c r="CE1490" s="325"/>
      <c r="CF1490" s="325"/>
      <c r="CG1490" s="325"/>
      <c r="CH1490" s="325"/>
      <c r="CI1490" s="325"/>
      <c r="CM1490" s="325">
        <f t="shared" si="867"/>
        <v>0</v>
      </c>
      <c r="CN1490" s="325">
        <v>0</v>
      </c>
      <c r="CP1490" s="923">
        <f t="shared" si="866"/>
        <v>0</v>
      </c>
      <c r="CZ1490" s="330"/>
    </row>
    <row r="1491" spans="1:104" ht="15" customHeight="1" x14ac:dyDescent="0.25">
      <c r="A1491" s="684">
        <f>MAX($A$6:A1490)+1</f>
        <v>1491</v>
      </c>
      <c r="B1491" s="1060">
        <f t="shared" si="863"/>
        <v>14.1</v>
      </c>
      <c r="C1491" s="11" t="str">
        <f t="shared" si="864"/>
        <v>NILGOSC disclosures</v>
      </c>
      <c r="F1491" s="1282"/>
      <c r="G1491" s="1254" t="s">
        <v>286</v>
      </c>
      <c r="J1491" s="1257" t="s">
        <v>995</v>
      </c>
      <c r="K1491" s="1185"/>
      <c r="L1491" s="315"/>
      <c r="N1491" s="273">
        <f t="shared" si="868"/>
        <v>0</v>
      </c>
      <c r="S1491" s="6">
        <f t="shared" si="865"/>
        <v>0</v>
      </c>
      <c r="T1491" s="273">
        <f t="shared" si="869"/>
        <v>0</v>
      </c>
      <c r="BD1491" s="5">
        <f t="shared" si="859"/>
        <v>0</v>
      </c>
      <c r="BE1491" s="325"/>
      <c r="BF1491" s="325"/>
      <c r="BG1491" s="325"/>
      <c r="BH1491" s="325"/>
      <c r="BI1491" s="325"/>
      <c r="BJ1491" s="325"/>
      <c r="BK1491" s="5">
        <f t="shared" si="862"/>
        <v>0</v>
      </c>
      <c r="BL1491" s="325"/>
      <c r="BM1491" s="325"/>
      <c r="BN1491" s="325"/>
      <c r="BO1491" s="325"/>
      <c r="BP1491" s="325"/>
      <c r="BQ1491" s="325"/>
      <c r="BR1491" s="325"/>
      <c r="BS1491" s="325"/>
      <c r="BT1491" s="325"/>
      <c r="BU1491" s="325"/>
      <c r="BV1491" s="325"/>
      <c r="BW1491" s="325"/>
      <c r="BX1491" s="325"/>
      <c r="BY1491" s="325"/>
      <c r="BZ1491" s="325"/>
      <c r="CA1491" s="325"/>
      <c r="CB1491" s="325"/>
      <c r="CC1491" s="325"/>
      <c r="CD1491" s="325"/>
      <c r="CE1491" s="325"/>
      <c r="CF1491" s="325"/>
      <c r="CG1491" s="325"/>
      <c r="CH1491" s="325"/>
      <c r="CI1491" s="325"/>
      <c r="CM1491" s="325">
        <f t="shared" si="867"/>
        <v>0</v>
      </c>
      <c r="CN1491" s="325">
        <v>0</v>
      </c>
      <c r="CP1491" s="923">
        <f t="shared" si="866"/>
        <v>0</v>
      </c>
      <c r="CZ1491" s="330"/>
    </row>
    <row r="1492" spans="1:104" ht="15" customHeight="1" x14ac:dyDescent="0.25">
      <c r="A1492" s="684">
        <f>MAX($A$6:A1491)+1</f>
        <v>1492</v>
      </c>
      <c r="B1492" s="1060">
        <f t="shared" si="863"/>
        <v>14.1</v>
      </c>
      <c r="C1492" s="11" t="str">
        <f t="shared" si="864"/>
        <v>NILGOSC disclosures</v>
      </c>
      <c r="F1492" s="1282"/>
      <c r="G1492" s="1254" t="s">
        <v>286</v>
      </c>
      <c r="J1492" s="1257" t="s">
        <v>996</v>
      </c>
      <c r="K1492" s="1185"/>
      <c r="L1492" s="315"/>
      <c r="N1492" s="273">
        <f t="shared" si="868"/>
        <v>0</v>
      </c>
      <c r="S1492" s="6">
        <f t="shared" si="865"/>
        <v>0</v>
      </c>
      <c r="T1492" s="273">
        <f t="shared" si="869"/>
        <v>0</v>
      </c>
      <c r="BD1492" s="5">
        <f t="shared" si="859"/>
        <v>0</v>
      </c>
      <c r="BE1492" s="325"/>
      <c r="BF1492" s="325"/>
      <c r="BG1492" s="325"/>
      <c r="BH1492" s="325"/>
      <c r="BI1492" s="325"/>
      <c r="BJ1492" s="325"/>
      <c r="BK1492" s="5">
        <f t="shared" si="862"/>
        <v>0</v>
      </c>
      <c r="BL1492" s="325"/>
      <c r="BM1492" s="325"/>
      <c r="BN1492" s="325"/>
      <c r="BO1492" s="325"/>
      <c r="BP1492" s="325"/>
      <c r="BQ1492" s="325"/>
      <c r="BR1492" s="325"/>
      <c r="BS1492" s="325"/>
      <c r="BT1492" s="325"/>
      <c r="BU1492" s="325"/>
      <c r="BV1492" s="325"/>
      <c r="BW1492" s="325"/>
      <c r="BX1492" s="325"/>
      <c r="BY1492" s="325"/>
      <c r="BZ1492" s="325"/>
      <c r="CA1492" s="325"/>
      <c r="CB1492" s="325"/>
      <c r="CC1492" s="325"/>
      <c r="CD1492" s="325"/>
      <c r="CE1492" s="325"/>
      <c r="CF1492" s="325"/>
      <c r="CG1492" s="325"/>
      <c r="CH1492" s="325"/>
      <c r="CI1492" s="325"/>
      <c r="CM1492" s="325">
        <f t="shared" si="867"/>
        <v>0</v>
      </c>
      <c r="CN1492" s="325">
        <v>0</v>
      </c>
      <c r="CP1492" s="923">
        <f t="shared" si="866"/>
        <v>0</v>
      </c>
      <c r="CZ1492" s="330"/>
    </row>
    <row r="1493" spans="1:104" ht="15" customHeight="1" x14ac:dyDescent="0.25">
      <c r="A1493" s="684">
        <f>MAX($A$6:A1492)+1</f>
        <v>1493</v>
      </c>
      <c r="B1493" s="1060">
        <f t="shared" si="863"/>
        <v>14.1</v>
      </c>
      <c r="C1493" s="11" t="str">
        <f t="shared" si="864"/>
        <v>NILGOSC disclosures</v>
      </c>
      <c r="F1493" s="1282"/>
      <c r="G1493" s="1254" t="s">
        <v>286</v>
      </c>
      <c r="J1493" s="1257" t="s">
        <v>993</v>
      </c>
      <c r="K1493" s="1185"/>
      <c r="L1493" s="315"/>
      <c r="N1493" s="273">
        <f t="shared" si="868"/>
        <v>0</v>
      </c>
      <c r="S1493" s="6">
        <f t="shared" si="865"/>
        <v>0</v>
      </c>
      <c r="T1493" s="273">
        <f t="shared" si="869"/>
        <v>0</v>
      </c>
      <c r="BD1493" s="5">
        <f t="shared" si="859"/>
        <v>0</v>
      </c>
      <c r="BE1493" s="325"/>
      <c r="BF1493" s="325"/>
      <c r="BG1493" s="325"/>
      <c r="BH1493" s="325"/>
      <c r="BI1493" s="325"/>
      <c r="BJ1493" s="325"/>
      <c r="BK1493" s="5">
        <f t="shared" si="862"/>
        <v>0</v>
      </c>
      <c r="BL1493" s="325"/>
      <c r="BM1493" s="325"/>
      <c r="BN1493" s="325"/>
      <c r="BO1493" s="325"/>
      <c r="BP1493" s="325"/>
      <c r="BQ1493" s="325"/>
      <c r="BR1493" s="325"/>
      <c r="BS1493" s="325"/>
      <c r="BT1493" s="325"/>
      <c r="BU1493" s="325"/>
      <c r="BV1493" s="325"/>
      <c r="BW1493" s="325"/>
      <c r="BX1493" s="325"/>
      <c r="BY1493" s="325"/>
      <c r="BZ1493" s="325"/>
      <c r="CA1493" s="325"/>
      <c r="CB1493" s="325"/>
      <c r="CC1493" s="325"/>
      <c r="CD1493" s="325"/>
      <c r="CE1493" s="325"/>
      <c r="CF1493" s="325"/>
      <c r="CG1493" s="325"/>
      <c r="CH1493" s="325"/>
      <c r="CI1493" s="325"/>
      <c r="CM1493" s="325">
        <f t="shared" si="867"/>
        <v>0</v>
      </c>
      <c r="CN1493" s="325">
        <v>0</v>
      </c>
      <c r="CP1493" s="923">
        <f t="shared" si="866"/>
        <v>0</v>
      </c>
      <c r="CZ1493" s="330"/>
    </row>
    <row r="1494" spans="1:104" ht="15" customHeight="1" x14ac:dyDescent="0.25">
      <c r="A1494" s="684">
        <f>MAX($A$6:A1493)+1</f>
        <v>1494</v>
      </c>
      <c r="B1494" s="1060">
        <f t="shared" si="863"/>
        <v>14.1</v>
      </c>
      <c r="C1494" s="11" t="str">
        <f t="shared" si="864"/>
        <v>NILGOSC disclosures</v>
      </c>
      <c r="F1494" s="1282"/>
      <c r="G1494" s="1254" t="s">
        <v>286</v>
      </c>
      <c r="J1494" s="1257" t="s">
        <v>994</v>
      </c>
      <c r="K1494" s="1185"/>
      <c r="L1494" s="315"/>
      <c r="N1494" s="273">
        <f t="shared" si="868"/>
        <v>0</v>
      </c>
      <c r="S1494" s="6">
        <f t="shared" si="865"/>
        <v>0</v>
      </c>
      <c r="T1494" s="273">
        <f t="shared" si="869"/>
        <v>0</v>
      </c>
      <c r="BD1494" s="5">
        <f t="shared" si="859"/>
        <v>0</v>
      </c>
      <c r="BE1494" s="325"/>
      <c r="BF1494" s="325"/>
      <c r="BG1494" s="325"/>
      <c r="BH1494" s="325"/>
      <c r="BI1494" s="325"/>
      <c r="BJ1494" s="325"/>
      <c r="BK1494" s="5">
        <f t="shared" si="862"/>
        <v>0</v>
      </c>
      <c r="BL1494" s="325"/>
      <c r="BM1494" s="325"/>
      <c r="BN1494" s="325"/>
      <c r="BO1494" s="325"/>
      <c r="BP1494" s="325"/>
      <c r="BQ1494" s="325"/>
      <c r="BR1494" s="325"/>
      <c r="BS1494" s="325"/>
      <c r="BT1494" s="325"/>
      <c r="BU1494" s="325"/>
      <c r="BV1494" s="325"/>
      <c r="BW1494" s="325"/>
      <c r="BX1494" s="325"/>
      <c r="BY1494" s="325"/>
      <c r="BZ1494" s="325"/>
      <c r="CA1494" s="325"/>
      <c r="CB1494" s="325"/>
      <c r="CC1494" s="325"/>
      <c r="CD1494" s="325"/>
      <c r="CE1494" s="325"/>
      <c r="CF1494" s="325"/>
      <c r="CG1494" s="325"/>
      <c r="CH1494" s="325"/>
      <c r="CI1494" s="325"/>
      <c r="CM1494" s="325">
        <f t="shared" si="867"/>
        <v>0</v>
      </c>
      <c r="CN1494" s="325">
        <v>0</v>
      </c>
      <c r="CP1494" s="923">
        <f t="shared" si="866"/>
        <v>0</v>
      </c>
      <c r="CZ1494" s="330"/>
    </row>
    <row r="1495" spans="1:104" ht="15" customHeight="1" x14ac:dyDescent="0.25">
      <c r="A1495" s="684">
        <f>MAX($A$6:A1494)+1</f>
        <v>1495</v>
      </c>
      <c r="B1495" s="1060">
        <f t="shared" si="863"/>
        <v>14.1</v>
      </c>
      <c r="C1495" s="11" t="str">
        <f t="shared" si="864"/>
        <v>NILGOSC disclosures</v>
      </c>
      <c r="F1495" s="1282"/>
      <c r="G1495" s="1254" t="s">
        <v>286</v>
      </c>
      <c r="J1495" s="1257" t="s">
        <v>995</v>
      </c>
      <c r="K1495" s="1185"/>
      <c r="L1495" s="315"/>
      <c r="N1495" s="273">
        <f t="shared" si="868"/>
        <v>0</v>
      </c>
      <c r="S1495" s="6">
        <f t="shared" si="865"/>
        <v>0</v>
      </c>
      <c r="T1495" s="273">
        <f t="shared" si="869"/>
        <v>0</v>
      </c>
      <c r="BD1495" s="5">
        <f t="shared" si="859"/>
        <v>0</v>
      </c>
      <c r="BE1495" s="325"/>
      <c r="BF1495" s="325"/>
      <c r="BG1495" s="325"/>
      <c r="BH1495" s="325"/>
      <c r="BI1495" s="325"/>
      <c r="BJ1495" s="325"/>
      <c r="BK1495" s="5">
        <f t="shared" si="862"/>
        <v>0</v>
      </c>
      <c r="BL1495" s="325"/>
      <c r="BM1495" s="325"/>
      <c r="BN1495" s="325"/>
      <c r="BO1495" s="325"/>
      <c r="BP1495" s="325"/>
      <c r="BQ1495" s="325"/>
      <c r="BR1495" s="325"/>
      <c r="BS1495" s="325"/>
      <c r="BT1495" s="325"/>
      <c r="BU1495" s="325"/>
      <c r="BV1495" s="325"/>
      <c r="BW1495" s="325"/>
      <c r="BX1495" s="325"/>
      <c r="BY1495" s="325"/>
      <c r="BZ1495" s="325"/>
      <c r="CA1495" s="325"/>
      <c r="CB1495" s="325"/>
      <c r="CC1495" s="325"/>
      <c r="CD1495" s="325"/>
      <c r="CE1495" s="325"/>
      <c r="CF1495" s="325"/>
      <c r="CG1495" s="325"/>
      <c r="CH1495" s="325"/>
      <c r="CI1495" s="325"/>
      <c r="CM1495" s="325">
        <f t="shared" si="867"/>
        <v>0</v>
      </c>
      <c r="CN1495" s="325">
        <v>0</v>
      </c>
      <c r="CP1495" s="923">
        <f t="shared" si="866"/>
        <v>0</v>
      </c>
      <c r="CZ1495" s="330"/>
    </row>
    <row r="1496" spans="1:104" ht="15" customHeight="1" x14ac:dyDescent="0.25">
      <c r="A1496" s="684">
        <f>MAX($A$6:A1495)+1</f>
        <v>1496</v>
      </c>
      <c r="B1496" s="1060">
        <f t="shared" si="863"/>
        <v>14.1</v>
      </c>
      <c r="C1496" s="11" t="str">
        <f t="shared" si="864"/>
        <v>NILGOSC disclosures</v>
      </c>
      <c r="F1496" s="1282"/>
      <c r="G1496" s="1254" t="s">
        <v>286</v>
      </c>
      <c r="J1496" s="1257" t="s">
        <v>996</v>
      </c>
      <c r="K1496" s="1185"/>
      <c r="L1496" s="315"/>
      <c r="N1496" s="273">
        <f t="shared" si="868"/>
        <v>0</v>
      </c>
      <c r="S1496" s="6">
        <f t="shared" si="865"/>
        <v>0</v>
      </c>
      <c r="T1496" s="273">
        <f t="shared" si="869"/>
        <v>0</v>
      </c>
      <c r="BD1496" s="5">
        <f t="shared" si="859"/>
        <v>0</v>
      </c>
      <c r="BE1496" s="325"/>
      <c r="BF1496" s="325"/>
      <c r="BG1496" s="325"/>
      <c r="BH1496" s="325"/>
      <c r="BI1496" s="325"/>
      <c r="BJ1496" s="325"/>
      <c r="BK1496" s="5">
        <f t="shared" si="862"/>
        <v>0</v>
      </c>
      <c r="BL1496" s="325"/>
      <c r="BM1496" s="325"/>
      <c r="BN1496" s="325"/>
      <c r="BO1496" s="325"/>
      <c r="BP1496" s="325"/>
      <c r="BQ1496" s="325"/>
      <c r="BR1496" s="325"/>
      <c r="BS1496" s="325"/>
      <c r="BT1496" s="325"/>
      <c r="BU1496" s="325"/>
      <c r="BV1496" s="325"/>
      <c r="BW1496" s="325"/>
      <c r="BX1496" s="325"/>
      <c r="BY1496" s="325"/>
      <c r="BZ1496" s="325"/>
      <c r="CA1496" s="325"/>
      <c r="CB1496" s="325"/>
      <c r="CC1496" s="325"/>
      <c r="CD1496" s="325"/>
      <c r="CE1496" s="325"/>
      <c r="CF1496" s="325"/>
      <c r="CG1496" s="325"/>
      <c r="CH1496" s="325"/>
      <c r="CI1496" s="325"/>
      <c r="CM1496" s="325">
        <f t="shared" si="867"/>
        <v>0</v>
      </c>
      <c r="CN1496" s="325">
        <v>0</v>
      </c>
      <c r="CP1496" s="923">
        <f t="shared" si="866"/>
        <v>0</v>
      </c>
      <c r="CZ1496" s="330"/>
    </row>
    <row r="1497" spans="1:104" ht="15" customHeight="1" x14ac:dyDescent="0.25">
      <c r="A1497" s="684">
        <f>MAX($A$6:A1496)+1</f>
        <v>1497</v>
      </c>
      <c r="B1497" s="1060">
        <f t="shared" si="863"/>
        <v>14.1</v>
      </c>
      <c r="C1497" s="11" t="str">
        <f t="shared" si="864"/>
        <v>NILGOSC disclosures</v>
      </c>
      <c r="F1497" s="1282"/>
      <c r="G1497" s="1254" t="s">
        <v>286</v>
      </c>
      <c r="J1497" s="1262" t="s">
        <v>733</v>
      </c>
      <c r="K1497" s="316"/>
      <c r="L1497" s="315"/>
      <c r="N1497" s="273"/>
      <c r="S1497" s="6">
        <f t="shared" si="865"/>
        <v>0</v>
      </c>
      <c r="T1497" s="273"/>
      <c r="BD1497" s="5">
        <f t="shared" si="859"/>
        <v>0</v>
      </c>
      <c r="BE1497" s="325"/>
      <c r="BF1497" s="325"/>
      <c r="BG1497" s="325"/>
      <c r="BH1497" s="325"/>
      <c r="BI1497" s="325"/>
      <c r="BJ1497" s="325"/>
      <c r="BK1497" s="5">
        <f t="shared" si="862"/>
        <v>0</v>
      </c>
      <c r="BL1497" s="325"/>
      <c r="BM1497" s="325"/>
      <c r="BN1497" s="325"/>
      <c r="BO1497" s="325"/>
      <c r="BP1497" s="325"/>
      <c r="BQ1497" s="325"/>
      <c r="BR1497" s="325"/>
      <c r="BS1497" s="325"/>
      <c r="BT1497" s="325"/>
      <c r="BU1497" s="325"/>
      <c r="BV1497" s="325"/>
      <c r="BW1497" s="325"/>
      <c r="BX1497" s="325"/>
      <c r="BY1497" s="325"/>
      <c r="BZ1497" s="325"/>
      <c r="CA1497" s="325"/>
      <c r="CB1497" s="325"/>
      <c r="CC1497" s="325"/>
      <c r="CD1497" s="325"/>
      <c r="CE1497" s="325"/>
      <c r="CF1497" s="325"/>
      <c r="CG1497" s="325"/>
      <c r="CH1497" s="325"/>
      <c r="CI1497" s="325"/>
      <c r="CM1497" s="325">
        <f t="shared" si="867"/>
        <v>0</v>
      </c>
      <c r="CN1497" s="325">
        <v>0</v>
      </c>
      <c r="CP1497" s="923">
        <f t="shared" si="866"/>
        <v>0</v>
      </c>
      <c r="CZ1497" s="330"/>
    </row>
    <row r="1498" spans="1:104" ht="15" customHeight="1" x14ac:dyDescent="0.25">
      <c r="A1498" s="684">
        <f>MAX($A$6:A1497)+1</f>
        <v>1498</v>
      </c>
      <c r="B1498" s="1060">
        <f t="shared" si="863"/>
        <v>14.1</v>
      </c>
      <c r="C1498" s="11" t="str">
        <f t="shared" si="864"/>
        <v>NILGOSC disclosures</v>
      </c>
      <c r="F1498" s="1282"/>
      <c r="G1498" s="1254" t="s">
        <v>286</v>
      </c>
      <c r="J1498" s="1262" t="s">
        <v>733</v>
      </c>
      <c r="K1498" s="316"/>
      <c r="L1498" s="315"/>
      <c r="N1498" s="273"/>
      <c r="S1498" s="6">
        <f t="shared" si="865"/>
        <v>0</v>
      </c>
      <c r="T1498" s="273"/>
      <c r="BD1498" s="5">
        <f t="shared" si="859"/>
        <v>0</v>
      </c>
      <c r="BE1498" s="325"/>
      <c r="BF1498" s="325"/>
      <c r="BG1498" s="325"/>
      <c r="BH1498" s="325"/>
      <c r="BI1498" s="325"/>
      <c r="BJ1498" s="325"/>
      <c r="BK1498" s="5">
        <f t="shared" si="862"/>
        <v>0</v>
      </c>
      <c r="BL1498" s="325"/>
      <c r="BM1498" s="325"/>
      <c r="BN1498" s="325"/>
      <c r="BO1498" s="325"/>
      <c r="BP1498" s="325"/>
      <c r="BQ1498" s="325"/>
      <c r="BR1498" s="325"/>
      <c r="BS1498" s="325"/>
      <c r="BT1498" s="325"/>
      <c r="BU1498" s="325"/>
      <c r="BV1498" s="325"/>
      <c r="BW1498" s="325"/>
      <c r="BX1498" s="325"/>
      <c r="BY1498" s="325"/>
      <c r="BZ1498" s="325"/>
      <c r="CA1498" s="325"/>
      <c r="CB1498" s="325"/>
      <c r="CC1498" s="325"/>
      <c r="CD1498" s="325"/>
      <c r="CE1498" s="325"/>
      <c r="CF1498" s="325"/>
      <c r="CG1498" s="325"/>
      <c r="CH1498" s="325"/>
      <c r="CI1498" s="325"/>
      <c r="CM1498" s="325">
        <f t="shared" si="867"/>
        <v>0</v>
      </c>
      <c r="CN1498" s="325">
        <v>0</v>
      </c>
      <c r="CP1498" s="923">
        <f t="shared" si="866"/>
        <v>0</v>
      </c>
      <c r="CZ1498" s="330"/>
    </row>
    <row r="1499" spans="1:104" ht="18.75" customHeight="1" x14ac:dyDescent="0.25">
      <c r="A1499" s="1297">
        <f>MAX($A$6:A1498)+1</f>
        <v>1499</v>
      </c>
      <c r="B1499" s="1295">
        <f>SUMIF(Update!$B$33:$B$106,C1499,Update!$A$33:$A$106)</f>
        <v>14.2</v>
      </c>
      <c r="C1499" s="696" t="s">
        <v>1383</v>
      </c>
      <c r="D1499" s="695" t="str">
        <f>C1499</f>
        <v>Analysis of Movement in Firefighters' Pension Scheme 2007 liability</v>
      </c>
      <c r="E1499" s="696" t="s">
        <v>900</v>
      </c>
      <c r="F1499" s="697"/>
      <c r="G1499" s="697"/>
      <c r="H1499" s="695"/>
      <c r="I1499" s="695"/>
      <c r="J1499" s="698" t="s">
        <v>286</v>
      </c>
      <c r="K1499" s="699"/>
      <c r="L1499" s="699"/>
      <c r="M1499" s="695"/>
      <c r="N1499" s="713">
        <f t="shared" ref="N1499:N1531" si="870">ROUND(SUM(O1499:AU1499)-T1499,0)</f>
        <v>0</v>
      </c>
      <c r="O1499" s="695"/>
      <c r="P1499" s="695"/>
      <c r="Q1499" s="695"/>
      <c r="R1499" s="695"/>
      <c r="S1499" s="695">
        <f t="shared" si="865"/>
        <v>0</v>
      </c>
      <c r="T1499" s="713">
        <f t="shared" ref="T1499:T1532" si="871">ROUND(SUM(U1499:Y1499),0)</f>
        <v>0</v>
      </c>
      <c r="U1499" s="695"/>
      <c r="V1499" s="695"/>
      <c r="W1499" s="695"/>
      <c r="X1499" s="695"/>
      <c r="Y1499" s="695"/>
      <c r="Z1499" s="695"/>
      <c r="AA1499" s="695"/>
      <c r="AB1499" s="695"/>
      <c r="AC1499" s="695"/>
      <c r="AD1499" s="695"/>
      <c r="AE1499" s="695"/>
      <c r="AF1499" s="695"/>
      <c r="AG1499" s="695"/>
      <c r="AH1499" s="695"/>
      <c r="AI1499" s="695"/>
      <c r="AJ1499" s="695"/>
      <c r="AK1499" s="695"/>
      <c r="AL1499" s="695"/>
      <c r="AM1499" s="695"/>
      <c r="AN1499" s="695"/>
      <c r="AO1499" s="695"/>
      <c r="AP1499" s="695"/>
      <c r="AQ1499" s="695"/>
      <c r="AR1499" s="695"/>
      <c r="AS1499" s="695"/>
      <c r="AT1499" s="695"/>
      <c r="AU1499" s="695"/>
      <c r="AV1499" s="695"/>
      <c r="AW1499" s="700"/>
      <c r="AX1499" s="700"/>
      <c r="AY1499" s="700"/>
      <c r="AZ1499" s="700"/>
      <c r="BA1499" s="700"/>
      <c r="BB1499" s="700"/>
      <c r="BC1499" s="700"/>
      <c r="BD1499" s="721">
        <f t="shared" si="859"/>
        <v>0</v>
      </c>
      <c r="BE1499" s="700"/>
      <c r="BF1499" s="700"/>
      <c r="BG1499" s="700"/>
      <c r="BH1499" s="700"/>
      <c r="BI1499" s="700"/>
      <c r="BJ1499" s="700"/>
      <c r="BK1499" s="721">
        <f t="shared" si="862"/>
        <v>0</v>
      </c>
      <c r="BL1499" s="700"/>
      <c r="BM1499" s="700"/>
      <c r="BN1499" s="700"/>
      <c r="BO1499" s="700"/>
      <c r="BP1499" s="700"/>
      <c r="BQ1499" s="700"/>
      <c r="BR1499" s="700"/>
      <c r="BS1499" s="700"/>
      <c r="BT1499" s="700"/>
      <c r="BU1499" s="700"/>
      <c r="BV1499" s="700"/>
      <c r="BW1499" s="700"/>
      <c r="BX1499" s="700"/>
      <c r="BY1499" s="700"/>
      <c r="BZ1499" s="700"/>
      <c r="CA1499" s="700"/>
      <c r="CB1499" s="700"/>
      <c r="CC1499" s="700"/>
      <c r="CD1499" s="700"/>
      <c r="CE1499" s="700"/>
      <c r="CF1499" s="700"/>
      <c r="CG1499" s="700"/>
      <c r="CH1499" s="700"/>
      <c r="CI1499" s="700"/>
      <c r="CJ1499" s="700"/>
      <c r="CK1499" s="700"/>
      <c r="CM1499" s="700">
        <f t="shared" si="867"/>
        <v>0</v>
      </c>
      <c r="CN1499" s="700">
        <v>0</v>
      </c>
      <c r="CP1499" s="923">
        <f t="shared" si="866"/>
        <v>0</v>
      </c>
      <c r="CZ1499" s="330"/>
    </row>
    <row r="1500" spans="1:104" ht="15" customHeight="1" x14ac:dyDescent="0.25">
      <c r="A1500" s="684">
        <f>MAX($A$6:A1499)+1</f>
        <v>1500</v>
      </c>
      <c r="B1500" s="1060">
        <f t="shared" ref="B1500:B1509" si="872">B1499</f>
        <v>14.2</v>
      </c>
      <c r="C1500" s="11" t="str">
        <f t="shared" ref="C1500:C1509" si="873">C1499</f>
        <v>Analysis of Movement in Firefighters' Pension Scheme 2007 liability</v>
      </c>
      <c r="D1500" t="str">
        <f>D1499</f>
        <v>Analysis of Movement in Firefighters' Pension Scheme 2007 liability</v>
      </c>
      <c r="E1500" s="1257" t="str">
        <f>"At"&amp;Update!$B$20</f>
        <v>At 1 April 2025</v>
      </c>
      <c r="F1500" s="1282"/>
      <c r="G1500" s="1254" t="s">
        <v>286</v>
      </c>
      <c r="J1500" s="1257" t="str">
        <f>"At"&amp;Update!$B$20</f>
        <v>At 1 April 2025</v>
      </c>
      <c r="K1500" s="251">
        <f>SUMIF('NIFRS FF scheme liability'!$A9:$A21,$J1500,'NIFRS FF scheme liability'!$C9:$C21)</f>
        <v>0</v>
      </c>
      <c r="L1500" s="315"/>
      <c r="N1500" s="273">
        <f t="shared" si="870"/>
        <v>0</v>
      </c>
      <c r="S1500" s="6">
        <f t="shared" si="865"/>
        <v>0</v>
      </c>
      <c r="T1500" s="273">
        <f t="shared" si="871"/>
        <v>0</v>
      </c>
      <c r="BD1500" s="5">
        <f t="shared" si="859"/>
        <v>0</v>
      </c>
      <c r="BE1500" s="325"/>
      <c r="BF1500" s="325"/>
      <c r="BG1500" s="325"/>
      <c r="BH1500" s="325"/>
      <c r="BI1500" s="325"/>
      <c r="BJ1500" s="325"/>
      <c r="BK1500" s="5">
        <f t="shared" si="862"/>
        <v>0</v>
      </c>
      <c r="BL1500" s="325"/>
      <c r="BM1500" s="325"/>
      <c r="BN1500" s="325"/>
      <c r="BO1500" s="325"/>
      <c r="BP1500" s="325"/>
      <c r="BQ1500" s="325"/>
      <c r="BR1500" s="325"/>
      <c r="BS1500" s="325"/>
      <c r="BT1500" s="325"/>
      <c r="BU1500" s="325"/>
      <c r="BV1500" s="325"/>
      <c r="BW1500" s="325"/>
      <c r="BX1500" s="325"/>
      <c r="BY1500" s="325"/>
      <c r="BZ1500" s="325"/>
      <c r="CA1500" s="325"/>
      <c r="CB1500" s="325"/>
      <c r="CC1500" s="325"/>
      <c r="CD1500" s="325"/>
      <c r="CE1500" s="325"/>
      <c r="CF1500" s="325"/>
      <c r="CG1500" s="325"/>
      <c r="CH1500" s="325"/>
      <c r="CI1500" s="325"/>
      <c r="CM1500" s="1499">
        <f t="shared" si="867"/>
        <v>0</v>
      </c>
      <c r="CN1500" s="1499">
        <v>0</v>
      </c>
      <c r="CP1500" s="923">
        <f t="shared" si="866"/>
        <v>0</v>
      </c>
      <c r="CZ1500" s="330"/>
    </row>
    <row r="1501" spans="1:104" ht="15" customHeight="1" x14ac:dyDescent="0.25">
      <c r="A1501" s="684">
        <f>MAX($A$6:A1500)+1</f>
        <v>1501</v>
      </c>
      <c r="B1501" s="1060">
        <f t="shared" si="872"/>
        <v>14.2</v>
      </c>
      <c r="C1501" t="str">
        <f t="shared" si="873"/>
        <v>Analysis of Movement in Firefighters' Pension Scheme 2007 liability</v>
      </c>
      <c r="D1501" t="str">
        <f t="shared" ref="D1501:D1509" si="874">D1500</f>
        <v>Analysis of Movement in Firefighters' Pension Scheme 2007 liability</v>
      </c>
      <c r="E1501" s="7" t="s">
        <v>2391</v>
      </c>
      <c r="F1501" s="1282"/>
      <c r="G1501" s="1254" t="s">
        <v>286</v>
      </c>
      <c r="J1501" s="1257" t="s">
        <v>905</v>
      </c>
      <c r="K1501" s="251">
        <f>SUMIF('NIFRS FF scheme liability'!$A9:$A21,$J1501,'NIFRS FF scheme liability'!$C9:$C21)</f>
        <v>0</v>
      </c>
      <c r="L1501" s="315"/>
      <c r="N1501" s="273">
        <f t="shared" si="870"/>
        <v>0</v>
      </c>
      <c r="S1501" s="6">
        <f t="shared" si="865"/>
        <v>0</v>
      </c>
      <c r="T1501" s="273">
        <f t="shared" si="871"/>
        <v>0</v>
      </c>
      <c r="BD1501" s="5">
        <f t="shared" si="859"/>
        <v>0</v>
      </c>
      <c r="BE1501" s="325"/>
      <c r="BF1501" s="325"/>
      <c r="BG1501" s="325"/>
      <c r="BH1501" s="325"/>
      <c r="BI1501" s="325"/>
      <c r="BJ1501" s="325"/>
      <c r="BK1501" s="5">
        <f t="shared" si="862"/>
        <v>0</v>
      </c>
      <c r="BL1501" s="325"/>
      <c r="BM1501" s="325"/>
      <c r="BN1501" s="325"/>
      <c r="BO1501" s="325"/>
      <c r="BP1501" s="325"/>
      <c r="BQ1501" s="325"/>
      <c r="BR1501" s="325"/>
      <c r="BS1501" s="325"/>
      <c r="BT1501" s="325"/>
      <c r="BU1501" s="325"/>
      <c r="BV1501" s="325"/>
      <c r="BW1501" s="325"/>
      <c r="BX1501" s="325"/>
      <c r="BY1501" s="325"/>
      <c r="BZ1501" s="325"/>
      <c r="CA1501" s="325"/>
      <c r="CB1501" s="325"/>
      <c r="CC1501" s="325"/>
      <c r="CD1501" s="325"/>
      <c r="CE1501" s="325"/>
      <c r="CF1501" s="325"/>
      <c r="CG1501" s="325"/>
      <c r="CH1501" s="325"/>
      <c r="CI1501" s="325"/>
      <c r="CM1501" s="1499">
        <f t="shared" si="867"/>
        <v>0</v>
      </c>
      <c r="CN1501" s="1499">
        <v>0</v>
      </c>
      <c r="CP1501" s="923">
        <f t="shared" si="866"/>
        <v>0</v>
      </c>
      <c r="CZ1501" s="330"/>
    </row>
    <row r="1502" spans="1:104" ht="15" customHeight="1" x14ac:dyDescent="0.25">
      <c r="A1502" s="684">
        <f>MAX($A$6:A1501)+1</f>
        <v>1502</v>
      </c>
      <c r="B1502" s="1060">
        <f t="shared" si="872"/>
        <v>14.2</v>
      </c>
      <c r="C1502" t="str">
        <f t="shared" si="873"/>
        <v>Analysis of Movement in Firefighters' Pension Scheme 2007 liability</v>
      </c>
      <c r="D1502" t="str">
        <f t="shared" si="874"/>
        <v>Analysis of Movement in Firefighters' Pension Scheme 2007 liability</v>
      </c>
      <c r="E1502" s="7" t="s">
        <v>2392</v>
      </c>
      <c r="F1502" s="1282"/>
      <c r="G1502" s="1254" t="s">
        <v>286</v>
      </c>
      <c r="J1502" s="1257" t="s">
        <v>998</v>
      </c>
      <c r="K1502" s="251">
        <f>SUMIF('NIFRS FF scheme liability'!$A9:$A21,$J1502,'NIFRS FF scheme liability'!$C9:$C21)</f>
        <v>0</v>
      </c>
      <c r="L1502" s="315"/>
      <c r="N1502" s="273">
        <f t="shared" si="870"/>
        <v>0</v>
      </c>
      <c r="S1502" s="6">
        <f t="shared" si="865"/>
        <v>0</v>
      </c>
      <c r="T1502" s="273">
        <f t="shared" si="871"/>
        <v>0</v>
      </c>
      <c r="BD1502" s="5">
        <f t="shared" si="859"/>
        <v>0</v>
      </c>
      <c r="BE1502" s="325"/>
      <c r="BF1502" s="325"/>
      <c r="BG1502" s="325"/>
      <c r="BH1502" s="325"/>
      <c r="BI1502" s="325"/>
      <c r="BJ1502" s="325"/>
      <c r="BK1502" s="5">
        <f t="shared" si="862"/>
        <v>0</v>
      </c>
      <c r="BL1502" s="325"/>
      <c r="BM1502" s="325"/>
      <c r="BN1502" s="325"/>
      <c r="BO1502" s="325"/>
      <c r="BP1502" s="325"/>
      <c r="BQ1502" s="325"/>
      <c r="BR1502" s="325"/>
      <c r="BS1502" s="325"/>
      <c r="BT1502" s="325"/>
      <c r="BU1502" s="325"/>
      <c r="BV1502" s="325"/>
      <c r="BW1502" s="325"/>
      <c r="BX1502" s="325"/>
      <c r="BY1502" s="325"/>
      <c r="BZ1502" s="325"/>
      <c r="CA1502" s="325"/>
      <c r="CB1502" s="325"/>
      <c r="CC1502" s="325"/>
      <c r="CD1502" s="325"/>
      <c r="CE1502" s="325"/>
      <c r="CF1502" s="325"/>
      <c r="CG1502" s="325"/>
      <c r="CH1502" s="325"/>
      <c r="CI1502" s="325"/>
      <c r="CM1502" s="1499">
        <f t="shared" si="867"/>
        <v>0</v>
      </c>
      <c r="CN1502" s="1499">
        <v>0</v>
      </c>
      <c r="CP1502" s="923">
        <f t="shared" si="866"/>
        <v>0</v>
      </c>
      <c r="CZ1502" s="330"/>
    </row>
    <row r="1503" spans="1:104" ht="15" customHeight="1" x14ac:dyDescent="0.25">
      <c r="A1503" s="684">
        <f>MAX($A$6:A1502)+1</f>
        <v>1503</v>
      </c>
      <c r="B1503" s="1060">
        <f t="shared" si="872"/>
        <v>14.2</v>
      </c>
      <c r="C1503" t="str">
        <f t="shared" si="873"/>
        <v>Analysis of Movement in Firefighters' Pension Scheme 2007 liability</v>
      </c>
      <c r="D1503" t="str">
        <f t="shared" si="874"/>
        <v>Analysis of Movement in Firefighters' Pension Scheme 2007 liability</v>
      </c>
      <c r="E1503" s="7" t="s">
        <v>2393</v>
      </c>
      <c r="F1503" s="1282"/>
      <c r="G1503" s="1254" t="s">
        <v>286</v>
      </c>
      <c r="J1503" s="1257" t="s">
        <v>999</v>
      </c>
      <c r="K1503" s="251">
        <f>SUMIF('NIFRS FF scheme liability'!$A9:$A21,$J1503,'NIFRS FF scheme liability'!$C9:$C21)</f>
        <v>0</v>
      </c>
      <c r="L1503" s="315"/>
      <c r="N1503" s="273">
        <f t="shared" si="870"/>
        <v>0</v>
      </c>
      <c r="S1503" s="6">
        <f t="shared" si="865"/>
        <v>0</v>
      </c>
      <c r="T1503" s="273">
        <f t="shared" si="871"/>
        <v>0</v>
      </c>
      <c r="BD1503" s="5">
        <f t="shared" si="859"/>
        <v>0</v>
      </c>
      <c r="BE1503" s="325"/>
      <c r="BF1503" s="325"/>
      <c r="BG1503" s="325"/>
      <c r="BH1503" s="325"/>
      <c r="BI1503" s="325"/>
      <c r="BJ1503" s="325"/>
      <c r="BK1503" s="5">
        <f t="shared" si="862"/>
        <v>0</v>
      </c>
      <c r="BL1503" s="325"/>
      <c r="BM1503" s="325"/>
      <c r="BN1503" s="325"/>
      <c r="BO1503" s="325"/>
      <c r="BP1503" s="325"/>
      <c r="BQ1503" s="325"/>
      <c r="BR1503" s="325"/>
      <c r="BS1503" s="325"/>
      <c r="BT1503" s="325"/>
      <c r="BU1503" s="325"/>
      <c r="BV1503" s="325"/>
      <c r="BW1503" s="325"/>
      <c r="BX1503" s="325"/>
      <c r="BY1503" s="325"/>
      <c r="BZ1503" s="325"/>
      <c r="CA1503" s="325"/>
      <c r="CB1503" s="325"/>
      <c r="CC1503" s="325"/>
      <c r="CD1503" s="325"/>
      <c r="CE1503" s="325"/>
      <c r="CF1503" s="325"/>
      <c r="CG1503" s="325"/>
      <c r="CH1503" s="325"/>
      <c r="CI1503" s="325"/>
      <c r="CM1503" s="1499">
        <f t="shared" si="867"/>
        <v>0</v>
      </c>
      <c r="CN1503" s="1499">
        <v>0</v>
      </c>
      <c r="CP1503" s="923">
        <f t="shared" si="866"/>
        <v>0</v>
      </c>
      <c r="CZ1503" s="330"/>
    </row>
    <row r="1504" spans="1:104" ht="15" customHeight="1" x14ac:dyDescent="0.25">
      <c r="A1504" s="684">
        <f>MAX($A$6:A1503)+1</f>
        <v>1504</v>
      </c>
      <c r="B1504" s="1060">
        <f t="shared" si="872"/>
        <v>14.2</v>
      </c>
      <c r="C1504" t="str">
        <f t="shared" si="873"/>
        <v>Analysis of Movement in Firefighters' Pension Scheme 2007 liability</v>
      </c>
      <c r="D1504" t="str">
        <f t="shared" si="874"/>
        <v>Analysis of Movement in Firefighters' Pension Scheme 2007 liability</v>
      </c>
      <c r="E1504" s="7" t="s">
        <v>2395</v>
      </c>
      <c r="F1504" s="1282"/>
      <c r="G1504" s="1254" t="s">
        <v>286</v>
      </c>
      <c r="J1504" s="1257" t="s">
        <v>908</v>
      </c>
      <c r="K1504" s="251">
        <f>SUMIF('NIFRS FF scheme liability'!$A9:$A21,$J1504,'NIFRS FF scheme liability'!$C9:$C21)</f>
        <v>0</v>
      </c>
      <c r="L1504" s="315"/>
      <c r="N1504" s="273">
        <f t="shared" si="870"/>
        <v>0</v>
      </c>
      <c r="S1504" s="6">
        <f t="shared" si="865"/>
        <v>0</v>
      </c>
      <c r="T1504" s="273">
        <f t="shared" si="871"/>
        <v>0</v>
      </c>
      <c r="BD1504" s="5">
        <f t="shared" si="859"/>
        <v>0</v>
      </c>
      <c r="BE1504" s="325"/>
      <c r="BF1504" s="325"/>
      <c r="BG1504" s="325"/>
      <c r="BH1504" s="325"/>
      <c r="BI1504" s="325"/>
      <c r="BJ1504" s="325"/>
      <c r="BK1504" s="5">
        <f t="shared" si="862"/>
        <v>0</v>
      </c>
      <c r="BL1504" s="325"/>
      <c r="BM1504" s="325"/>
      <c r="BN1504" s="325"/>
      <c r="BO1504" s="325"/>
      <c r="BP1504" s="325"/>
      <c r="BQ1504" s="325"/>
      <c r="BR1504" s="325"/>
      <c r="BS1504" s="325"/>
      <c r="BT1504" s="325"/>
      <c r="BU1504" s="325"/>
      <c r="BV1504" s="325"/>
      <c r="BW1504" s="325"/>
      <c r="BX1504" s="325"/>
      <c r="BY1504" s="325"/>
      <c r="BZ1504" s="325"/>
      <c r="CA1504" s="325"/>
      <c r="CB1504" s="325"/>
      <c r="CC1504" s="325"/>
      <c r="CD1504" s="325"/>
      <c r="CE1504" s="325"/>
      <c r="CF1504" s="325"/>
      <c r="CG1504" s="325"/>
      <c r="CH1504" s="325"/>
      <c r="CI1504" s="325"/>
      <c r="CM1504" s="1499">
        <f t="shared" si="867"/>
        <v>0</v>
      </c>
      <c r="CN1504" s="1499">
        <v>0</v>
      </c>
      <c r="CP1504" s="923">
        <f t="shared" si="866"/>
        <v>0</v>
      </c>
      <c r="CZ1504" s="330"/>
    </row>
    <row r="1505" spans="1:104" ht="15" customHeight="1" x14ac:dyDescent="0.25">
      <c r="A1505" s="684">
        <f>MAX($A$6:A1504)+1</f>
        <v>1505</v>
      </c>
      <c r="B1505" s="1060">
        <f t="shared" si="872"/>
        <v>14.2</v>
      </c>
      <c r="C1505" t="str">
        <f t="shared" si="873"/>
        <v>Analysis of Movement in Firefighters' Pension Scheme 2007 liability</v>
      </c>
      <c r="D1505" t="str">
        <f t="shared" si="874"/>
        <v>Analysis of Movement in Firefighters' Pension Scheme 2007 liability</v>
      </c>
      <c r="E1505" s="7" t="s">
        <v>2394</v>
      </c>
      <c r="F1505" s="1282"/>
      <c r="G1505" s="1254" t="s">
        <v>286</v>
      </c>
      <c r="J1505" s="1257" t="s">
        <v>1000</v>
      </c>
      <c r="K1505" s="251">
        <f>SUMIF('NIFRS FF scheme liability'!$A9:$A21,$J1505,'NIFRS FF scheme liability'!$C9:$C21)</f>
        <v>0</v>
      </c>
      <c r="L1505" s="315"/>
      <c r="N1505" s="273">
        <f t="shared" si="870"/>
        <v>0</v>
      </c>
      <c r="S1505" s="6">
        <f t="shared" si="865"/>
        <v>0</v>
      </c>
      <c r="T1505" s="273">
        <f t="shared" si="871"/>
        <v>0</v>
      </c>
      <c r="BD1505" s="5">
        <f t="shared" si="859"/>
        <v>0</v>
      </c>
      <c r="BE1505" s="325"/>
      <c r="BF1505" s="325"/>
      <c r="BG1505" s="325"/>
      <c r="BH1505" s="325"/>
      <c r="BI1505" s="325"/>
      <c r="BJ1505" s="325"/>
      <c r="BK1505" s="5">
        <f t="shared" si="862"/>
        <v>0</v>
      </c>
      <c r="BL1505" s="325"/>
      <c r="BM1505" s="325"/>
      <c r="BN1505" s="325"/>
      <c r="BO1505" s="325"/>
      <c r="BP1505" s="325"/>
      <c r="BQ1505" s="325"/>
      <c r="BR1505" s="325"/>
      <c r="BS1505" s="325"/>
      <c r="BT1505" s="325"/>
      <c r="BU1505" s="325"/>
      <c r="BV1505" s="325"/>
      <c r="BW1505" s="325"/>
      <c r="BX1505" s="325"/>
      <c r="BY1505" s="325"/>
      <c r="BZ1505" s="325"/>
      <c r="CA1505" s="325"/>
      <c r="CB1505" s="325"/>
      <c r="CC1505" s="325"/>
      <c r="CD1505" s="325"/>
      <c r="CE1505" s="325"/>
      <c r="CF1505" s="325"/>
      <c r="CG1505" s="325"/>
      <c r="CH1505" s="325"/>
      <c r="CI1505" s="325"/>
      <c r="CM1505" s="1499">
        <f t="shared" si="867"/>
        <v>0</v>
      </c>
      <c r="CN1505" s="1499">
        <v>0</v>
      </c>
      <c r="CP1505" s="923">
        <f t="shared" si="866"/>
        <v>0</v>
      </c>
      <c r="CZ1505" s="330"/>
    </row>
    <row r="1506" spans="1:104" ht="15" customHeight="1" x14ac:dyDescent="0.25">
      <c r="A1506" s="684">
        <f>MAX($A$6:A1505)+1</f>
        <v>1506</v>
      </c>
      <c r="B1506" s="1060">
        <f t="shared" si="872"/>
        <v>14.2</v>
      </c>
      <c r="C1506" t="str">
        <f t="shared" si="873"/>
        <v>Analysis of Movement in Firefighters' Pension Scheme 2007 liability</v>
      </c>
      <c r="D1506" t="str">
        <f t="shared" si="874"/>
        <v>Analysis of Movement in Firefighters' Pension Scheme 2007 liability</v>
      </c>
      <c r="E1506" s="2" t="s">
        <v>2396</v>
      </c>
      <c r="F1506" s="1282"/>
      <c r="G1506" s="1254" t="s">
        <v>286</v>
      </c>
      <c r="J1506" s="1257" t="s">
        <v>1001</v>
      </c>
      <c r="K1506" s="251">
        <f>SUMIF('NIFRS FF scheme liability'!$A9:$A21,$J1506,'NIFRS FF scheme liability'!$C9:$C21)</f>
        <v>0</v>
      </c>
      <c r="L1506" s="315"/>
      <c r="N1506" s="273">
        <f t="shared" si="870"/>
        <v>0</v>
      </c>
      <c r="S1506" s="6">
        <f t="shared" si="865"/>
        <v>0</v>
      </c>
      <c r="T1506" s="273">
        <f t="shared" si="871"/>
        <v>0</v>
      </c>
      <c r="BD1506" s="5">
        <f t="shared" si="859"/>
        <v>0</v>
      </c>
      <c r="BE1506" s="325"/>
      <c r="BF1506" s="325"/>
      <c r="BG1506" s="325"/>
      <c r="BH1506" s="325"/>
      <c r="BI1506" s="325"/>
      <c r="BJ1506" s="325"/>
      <c r="BK1506" s="5">
        <f t="shared" si="862"/>
        <v>0</v>
      </c>
      <c r="BL1506" s="325"/>
      <c r="BM1506" s="325"/>
      <c r="BN1506" s="325"/>
      <c r="BO1506" s="325"/>
      <c r="BP1506" s="325"/>
      <c r="BQ1506" s="325"/>
      <c r="BR1506" s="325"/>
      <c r="BS1506" s="325"/>
      <c r="BT1506" s="325"/>
      <c r="BU1506" s="325"/>
      <c r="BV1506" s="325"/>
      <c r="BW1506" s="325"/>
      <c r="BX1506" s="325"/>
      <c r="BY1506" s="325"/>
      <c r="BZ1506" s="325"/>
      <c r="CA1506" s="325"/>
      <c r="CB1506" s="325"/>
      <c r="CC1506" s="325"/>
      <c r="CD1506" s="325"/>
      <c r="CE1506" s="325"/>
      <c r="CF1506" s="325"/>
      <c r="CG1506" s="325"/>
      <c r="CH1506" s="325"/>
      <c r="CI1506" s="325"/>
      <c r="CM1506" s="1499">
        <f t="shared" si="867"/>
        <v>0</v>
      </c>
      <c r="CN1506" s="1499">
        <v>0</v>
      </c>
      <c r="CP1506" s="923">
        <f t="shared" si="866"/>
        <v>0</v>
      </c>
      <c r="CZ1506" s="330"/>
    </row>
    <row r="1507" spans="1:104" ht="15" customHeight="1" x14ac:dyDescent="0.25">
      <c r="A1507" s="684">
        <f>MAX($A$6:A1506)+1</f>
        <v>1507</v>
      </c>
      <c r="B1507" s="1060">
        <f t="shared" si="872"/>
        <v>14.2</v>
      </c>
      <c r="C1507" t="str">
        <f t="shared" si="873"/>
        <v>Analysis of Movement in Firefighters' Pension Scheme 2007 liability</v>
      </c>
      <c r="D1507" t="str">
        <f t="shared" si="874"/>
        <v>Analysis of Movement in Firefighters' Pension Scheme 2007 liability</v>
      </c>
      <c r="E1507" s="7" t="s">
        <v>2397</v>
      </c>
      <c r="F1507" s="1282"/>
      <c r="G1507" s="1254" t="s">
        <v>286</v>
      </c>
      <c r="J1507" s="1257" t="s">
        <v>2010</v>
      </c>
      <c r="K1507" s="251">
        <f>SUMIF('NIFRS FF scheme liability'!$A9:$A21,$J1507,'NIFRS FF scheme liability'!$C9:$C21)</f>
        <v>0</v>
      </c>
      <c r="L1507" s="315"/>
      <c r="N1507" s="273">
        <f t="shared" si="870"/>
        <v>0</v>
      </c>
      <c r="S1507" s="6">
        <f t="shared" si="865"/>
        <v>0</v>
      </c>
      <c r="T1507" s="273">
        <f t="shared" si="871"/>
        <v>0</v>
      </c>
      <c r="BD1507" s="5">
        <f t="shared" si="859"/>
        <v>0</v>
      </c>
      <c r="BE1507" s="325"/>
      <c r="BF1507" s="325"/>
      <c r="BG1507" s="325"/>
      <c r="BH1507" s="325"/>
      <c r="BI1507" s="325"/>
      <c r="BJ1507" s="325"/>
      <c r="BK1507" s="5">
        <f t="shared" si="862"/>
        <v>0</v>
      </c>
      <c r="BL1507" s="325"/>
      <c r="BM1507" s="325"/>
      <c r="BN1507" s="325"/>
      <c r="BO1507" s="325"/>
      <c r="BP1507" s="325"/>
      <c r="BQ1507" s="325"/>
      <c r="BR1507" s="325"/>
      <c r="BS1507" s="325"/>
      <c r="BT1507" s="325"/>
      <c r="BU1507" s="325"/>
      <c r="BV1507" s="325"/>
      <c r="BW1507" s="325"/>
      <c r="BX1507" s="325"/>
      <c r="BY1507" s="325"/>
      <c r="BZ1507" s="325"/>
      <c r="CA1507" s="325"/>
      <c r="CB1507" s="325"/>
      <c r="CC1507" s="325"/>
      <c r="CD1507" s="325"/>
      <c r="CE1507" s="325"/>
      <c r="CF1507" s="325"/>
      <c r="CG1507" s="325"/>
      <c r="CH1507" s="325"/>
      <c r="CI1507" s="325"/>
      <c r="CM1507" s="1499">
        <f t="shared" si="867"/>
        <v>0</v>
      </c>
      <c r="CN1507" s="1499">
        <v>0</v>
      </c>
      <c r="CP1507" s="923">
        <f t="shared" si="866"/>
        <v>0</v>
      </c>
      <c r="CZ1507" s="330"/>
    </row>
    <row r="1508" spans="1:104" ht="15" customHeight="1" x14ac:dyDescent="0.25">
      <c r="A1508" s="684">
        <f>MAX($A$6:A1507)+1</f>
        <v>1508</v>
      </c>
      <c r="B1508" s="1060">
        <f t="shared" si="872"/>
        <v>14.2</v>
      </c>
      <c r="C1508" t="str">
        <f t="shared" si="873"/>
        <v>Analysis of Movement in Firefighters' Pension Scheme 2007 liability</v>
      </c>
      <c r="D1508" t="str">
        <f t="shared" si="874"/>
        <v>Analysis of Movement in Firefighters' Pension Scheme 2007 liability</v>
      </c>
      <c r="E1508" s="1257" t="str">
        <f>"At"&amp;Update!$B$22</f>
        <v>At 31 March 2026</v>
      </c>
      <c r="F1508" s="1282"/>
      <c r="G1508" s="1254" t="s">
        <v>286</v>
      </c>
      <c r="J1508" s="1257" t="str">
        <f>"At"&amp;Update!$B$22</f>
        <v>At 31 March 2026</v>
      </c>
      <c r="K1508" s="251">
        <f>SUMIF('NIFRS FF scheme liability'!$A9:$A21,$J1508,'NIFRS FF scheme liability'!$C9:$C21)</f>
        <v>0</v>
      </c>
      <c r="L1508" s="315"/>
      <c r="N1508" s="273">
        <f t="shared" si="870"/>
        <v>0</v>
      </c>
      <c r="S1508" s="6">
        <f t="shared" si="865"/>
        <v>0</v>
      </c>
      <c r="T1508" s="273">
        <f t="shared" si="871"/>
        <v>0</v>
      </c>
      <c r="BD1508" s="5">
        <f t="shared" si="859"/>
        <v>0</v>
      </c>
      <c r="BE1508" s="325"/>
      <c r="BF1508" s="325"/>
      <c r="BG1508" s="325"/>
      <c r="BH1508" s="325"/>
      <c r="BI1508" s="325"/>
      <c r="BJ1508" s="325"/>
      <c r="BK1508" s="5">
        <f t="shared" si="862"/>
        <v>0</v>
      </c>
      <c r="BL1508" s="325"/>
      <c r="BM1508" s="325"/>
      <c r="BN1508" s="325"/>
      <c r="BO1508" s="325"/>
      <c r="BP1508" s="325"/>
      <c r="BQ1508" s="325"/>
      <c r="BR1508" s="325"/>
      <c r="BS1508" s="325"/>
      <c r="BT1508" s="325"/>
      <c r="BU1508" s="325"/>
      <c r="BV1508" s="325"/>
      <c r="BW1508" s="325"/>
      <c r="BX1508" s="325"/>
      <c r="BY1508" s="325"/>
      <c r="BZ1508" s="325"/>
      <c r="CA1508" s="325"/>
      <c r="CB1508" s="325"/>
      <c r="CC1508" s="325"/>
      <c r="CD1508" s="325"/>
      <c r="CE1508" s="325"/>
      <c r="CF1508" s="325"/>
      <c r="CG1508" s="325"/>
      <c r="CH1508" s="325"/>
      <c r="CI1508" s="325"/>
      <c r="CM1508" s="1499">
        <f t="shared" si="867"/>
        <v>0</v>
      </c>
      <c r="CN1508" s="1499">
        <v>0</v>
      </c>
      <c r="CP1508" s="923">
        <f t="shared" si="866"/>
        <v>0</v>
      </c>
      <c r="CZ1508" s="330"/>
    </row>
    <row r="1509" spans="1:104" ht="15" customHeight="1" x14ac:dyDescent="0.25">
      <c r="A1509" s="684">
        <f>MAX($A$6:A1508)+1</f>
        <v>1509</v>
      </c>
      <c r="B1509" s="1060">
        <f t="shared" si="872"/>
        <v>14.2</v>
      </c>
      <c r="C1509" t="str">
        <f t="shared" si="873"/>
        <v>Analysis of Movement in Firefighters' Pension Scheme 2007 liability</v>
      </c>
      <c r="D1509" t="str">
        <f t="shared" si="874"/>
        <v>Analysis of Movement in Firefighters' Pension Scheme 2007 liability</v>
      </c>
      <c r="E1509" s="1262" t="s">
        <v>733</v>
      </c>
      <c r="F1509" s="1282"/>
      <c r="G1509" s="1254" t="s">
        <v>286</v>
      </c>
      <c r="J1509" s="1262" t="s">
        <v>733</v>
      </c>
      <c r="K1509" s="196" t="str">
        <f>'NIFRS FF scheme liability'!$A$23:$A$23</f>
        <v>During the year ended 31 March 2026 employee contributions ranged from X% to X% of pensionable pay (X% - X% : 2024-25). Employer contributions represented an average of X % of pensionable pay (X% : 2024-25).</v>
      </c>
      <c r="L1509" s="315"/>
      <c r="N1509" s="273">
        <f t="shared" si="870"/>
        <v>0</v>
      </c>
      <c r="S1509" s="6">
        <f t="shared" si="865"/>
        <v>0</v>
      </c>
      <c r="T1509" s="273">
        <f t="shared" si="871"/>
        <v>0</v>
      </c>
      <c r="BD1509" s="5">
        <f t="shared" si="859"/>
        <v>0</v>
      </c>
      <c r="BE1509" s="325"/>
      <c r="BF1509" s="325"/>
      <c r="BG1509" s="325"/>
      <c r="BH1509" s="325"/>
      <c r="BI1509" s="325"/>
      <c r="BJ1509" s="325"/>
      <c r="BK1509" s="5">
        <f t="shared" si="862"/>
        <v>0</v>
      </c>
      <c r="BL1509" s="325"/>
      <c r="BM1509" s="325"/>
      <c r="BN1509" s="325"/>
      <c r="BO1509" s="325"/>
      <c r="BP1509" s="325"/>
      <c r="BQ1509" s="325"/>
      <c r="BR1509" s="325"/>
      <c r="BS1509" s="325"/>
      <c r="BT1509" s="325"/>
      <c r="BU1509" s="325"/>
      <c r="BV1509" s="325"/>
      <c r="BW1509" s="325"/>
      <c r="BX1509" s="325"/>
      <c r="BY1509" s="325"/>
      <c r="BZ1509" s="325"/>
      <c r="CA1509" s="325"/>
      <c r="CB1509" s="325"/>
      <c r="CC1509" s="325"/>
      <c r="CD1509" s="325"/>
      <c r="CE1509" s="325"/>
      <c r="CF1509" s="325"/>
      <c r="CG1509" s="325"/>
      <c r="CH1509" s="325"/>
      <c r="CI1509" s="325"/>
      <c r="CM1509" s="1499">
        <f t="shared" si="867"/>
        <v>0</v>
      </c>
      <c r="CN1509" s="1499">
        <v>0</v>
      </c>
      <c r="CP1509" s="923">
        <f t="shared" si="866"/>
        <v>0</v>
      </c>
      <c r="CZ1509" s="330"/>
    </row>
    <row r="1510" spans="1:104" ht="18.75" customHeight="1" x14ac:dyDescent="0.25">
      <c r="A1510" s="1297">
        <f>MAX($A$6:A1509)+1</f>
        <v>1510</v>
      </c>
      <c r="B1510" s="1295">
        <f>SUMIF(Update!$B$33:$B$106,C1510,Update!$A$33:$A$106)</f>
        <v>14.299999999999999</v>
      </c>
      <c r="C1510" s="696" t="s">
        <v>1382</v>
      </c>
      <c r="D1510" s="695" t="str">
        <f>C1510</f>
        <v>Analysis of Movement in New Firefighters' Pension Scheme 2007 liability</v>
      </c>
      <c r="E1510" s="696"/>
      <c r="F1510" s="697"/>
      <c r="G1510" s="697"/>
      <c r="H1510" s="695"/>
      <c r="I1510" s="695"/>
      <c r="J1510" s="698" t="s">
        <v>997</v>
      </c>
      <c r="K1510" s="699">
        <f>SUMIF('NIFRS FF scheme liability'!$A:$A,$J1510,'NIFRS FF scheme liability'!$C:$C)</f>
        <v>0</v>
      </c>
      <c r="L1510" s="699" t="e">
        <v>#VALUE!</v>
      </c>
      <c r="M1510" s="695"/>
      <c r="N1510" s="713">
        <f t="shared" si="870"/>
        <v>0</v>
      </c>
      <c r="O1510" s="695"/>
      <c r="P1510" s="695"/>
      <c r="Q1510" s="695"/>
      <c r="R1510" s="695"/>
      <c r="S1510" s="695">
        <f t="shared" si="865"/>
        <v>0</v>
      </c>
      <c r="T1510" s="713">
        <f t="shared" si="871"/>
        <v>0</v>
      </c>
      <c r="U1510" s="695"/>
      <c r="V1510" s="695"/>
      <c r="W1510" s="695"/>
      <c r="X1510" s="695"/>
      <c r="Y1510" s="695"/>
      <c r="Z1510" s="695"/>
      <c r="AA1510" s="695"/>
      <c r="AB1510" s="695"/>
      <c r="AC1510" s="695"/>
      <c r="AD1510" s="695"/>
      <c r="AE1510" s="695"/>
      <c r="AF1510" s="695"/>
      <c r="AG1510" s="695"/>
      <c r="AH1510" s="695"/>
      <c r="AI1510" s="695"/>
      <c r="AJ1510" s="695"/>
      <c r="AK1510" s="695"/>
      <c r="AL1510" s="695"/>
      <c r="AM1510" s="695"/>
      <c r="AN1510" s="695"/>
      <c r="AO1510" s="695"/>
      <c r="AP1510" s="695"/>
      <c r="AQ1510" s="695"/>
      <c r="AR1510" s="695"/>
      <c r="AS1510" s="695"/>
      <c r="AT1510" s="695"/>
      <c r="AU1510" s="695"/>
      <c r="AV1510" s="695"/>
      <c r="AW1510" s="700"/>
      <c r="AX1510" s="700"/>
      <c r="AY1510" s="700"/>
      <c r="AZ1510" s="700"/>
      <c r="BA1510" s="700"/>
      <c r="BB1510" s="700"/>
      <c r="BC1510" s="700"/>
      <c r="BD1510" s="721">
        <f t="shared" si="859"/>
        <v>0</v>
      </c>
      <c r="BE1510" s="700"/>
      <c r="BF1510" s="700"/>
      <c r="BG1510" s="700"/>
      <c r="BH1510" s="700"/>
      <c r="BI1510" s="700"/>
      <c r="BJ1510" s="700"/>
      <c r="BK1510" s="721">
        <f t="shared" si="862"/>
        <v>0</v>
      </c>
      <c r="BL1510" s="700"/>
      <c r="BM1510" s="700"/>
      <c r="BN1510" s="700"/>
      <c r="BO1510" s="700"/>
      <c r="BP1510" s="700"/>
      <c r="BQ1510" s="700"/>
      <c r="BR1510" s="700"/>
      <c r="BS1510" s="700"/>
      <c r="BT1510" s="700"/>
      <c r="BU1510" s="700"/>
      <c r="BV1510" s="700"/>
      <c r="BW1510" s="700"/>
      <c r="BX1510" s="700"/>
      <c r="BY1510" s="700"/>
      <c r="BZ1510" s="700"/>
      <c r="CA1510" s="700"/>
      <c r="CB1510" s="700"/>
      <c r="CC1510" s="700"/>
      <c r="CD1510" s="700"/>
      <c r="CE1510" s="700"/>
      <c r="CF1510" s="700"/>
      <c r="CG1510" s="700"/>
      <c r="CH1510" s="700"/>
      <c r="CI1510" s="700"/>
      <c r="CJ1510" s="700"/>
      <c r="CK1510" s="700"/>
      <c r="CM1510" s="700">
        <f t="shared" si="867"/>
        <v>0</v>
      </c>
      <c r="CN1510" s="700">
        <v>0</v>
      </c>
      <c r="CP1510" s="923">
        <f t="shared" si="866"/>
        <v>0</v>
      </c>
      <c r="CZ1510" s="330"/>
    </row>
    <row r="1511" spans="1:104" ht="15" customHeight="1" x14ac:dyDescent="0.25">
      <c r="A1511" s="684">
        <f>MAX($A$6:A1510)+1</f>
        <v>1511</v>
      </c>
      <c r="B1511" s="1060">
        <f t="shared" ref="B1511:B1521" si="875">B1510</f>
        <v>14.299999999999999</v>
      </c>
      <c r="C1511" t="str">
        <f t="shared" ref="C1511:C1521" si="876">C1510</f>
        <v>Analysis of Movement in New Firefighters' Pension Scheme 2007 liability</v>
      </c>
      <c r="E1511" s="1257" t="str">
        <f>"At"&amp;Update!$B$20</f>
        <v>At 1 April 2025</v>
      </c>
      <c r="F1511" s="1282"/>
      <c r="G1511" s="1254" t="s">
        <v>286</v>
      </c>
      <c r="J1511" s="1257" t="str">
        <f>"At"&amp;Update!$B$20</f>
        <v>At 1 April 2025</v>
      </c>
      <c r="K1511" s="251">
        <f>SUMIF('NIFRS FF scheme liability'!$A32:$A43,$J1511,'NIFRS FF scheme liability'!$C32:$C43)</f>
        <v>0</v>
      </c>
      <c r="L1511" s="315"/>
      <c r="N1511" s="273">
        <f t="shared" si="870"/>
        <v>0</v>
      </c>
      <c r="S1511" s="6">
        <f t="shared" si="865"/>
        <v>0</v>
      </c>
      <c r="T1511" s="273">
        <f t="shared" si="871"/>
        <v>0</v>
      </c>
      <c r="BD1511" s="5">
        <f t="shared" ref="BD1511:BD1532" si="877">ROUND(SUM(BE1511:BK1511),0)</f>
        <v>0</v>
      </c>
      <c r="BE1511" s="325"/>
      <c r="BF1511" s="325"/>
      <c r="BG1511" s="325"/>
      <c r="BH1511" s="325"/>
      <c r="BI1511" s="325"/>
      <c r="BJ1511" s="325"/>
      <c r="BK1511" s="5">
        <f t="shared" si="862"/>
        <v>0</v>
      </c>
      <c r="BL1511" s="325"/>
      <c r="BM1511" s="325"/>
      <c r="BN1511" s="325"/>
      <c r="BO1511" s="325"/>
      <c r="BP1511" s="325"/>
      <c r="BQ1511" s="325"/>
      <c r="BR1511" s="325"/>
      <c r="BS1511" s="325"/>
      <c r="BT1511" s="325"/>
      <c r="BU1511" s="325"/>
      <c r="BV1511" s="325"/>
      <c r="BW1511" s="325"/>
      <c r="BX1511" s="325"/>
      <c r="BY1511" s="325"/>
      <c r="BZ1511" s="325"/>
      <c r="CA1511" s="325"/>
      <c r="CB1511" s="325"/>
      <c r="CC1511" s="325"/>
      <c r="CD1511" s="325"/>
      <c r="CE1511" s="325"/>
      <c r="CF1511" s="325"/>
      <c r="CG1511" s="325"/>
      <c r="CH1511" s="325"/>
      <c r="CI1511" s="325"/>
      <c r="CM1511" s="1499">
        <f t="shared" si="867"/>
        <v>0</v>
      </c>
      <c r="CN1511" s="1499">
        <v>0</v>
      </c>
      <c r="CP1511" s="923">
        <f t="shared" si="866"/>
        <v>0</v>
      </c>
      <c r="CZ1511" s="330"/>
    </row>
    <row r="1512" spans="1:104" ht="15" customHeight="1" x14ac:dyDescent="0.25">
      <c r="A1512" s="684">
        <f>MAX($A$6:A1511)+1</f>
        <v>1512</v>
      </c>
      <c r="B1512" s="1060">
        <f t="shared" si="875"/>
        <v>14.299999999999999</v>
      </c>
      <c r="C1512" t="str">
        <f t="shared" si="876"/>
        <v>Analysis of Movement in New Firefighters' Pension Scheme 2007 liability</v>
      </c>
      <c r="E1512" s="7" t="s">
        <v>2391</v>
      </c>
      <c r="F1512" s="1282"/>
      <c r="G1512" s="1254" t="s">
        <v>286</v>
      </c>
      <c r="J1512" s="1257" t="s">
        <v>2007</v>
      </c>
      <c r="K1512" s="251">
        <f>SUMIF('NIFRS FF scheme liability'!$A32:$A43,$J1512,'NIFRS FF scheme liability'!$C32:$C43)</f>
        <v>0</v>
      </c>
      <c r="L1512" s="315"/>
      <c r="N1512" s="273">
        <f t="shared" si="870"/>
        <v>0</v>
      </c>
      <c r="S1512" s="6">
        <f t="shared" si="865"/>
        <v>0</v>
      </c>
      <c r="T1512" s="273">
        <f t="shared" si="871"/>
        <v>0</v>
      </c>
      <c r="BD1512" s="5">
        <f t="shared" si="877"/>
        <v>0</v>
      </c>
      <c r="BE1512" s="325"/>
      <c r="BF1512" s="325"/>
      <c r="BG1512" s="325"/>
      <c r="BH1512" s="325"/>
      <c r="BI1512" s="325"/>
      <c r="BJ1512" s="325"/>
      <c r="BK1512" s="5">
        <f t="shared" si="862"/>
        <v>0</v>
      </c>
      <c r="BL1512" s="325"/>
      <c r="BM1512" s="325"/>
      <c r="BN1512" s="325"/>
      <c r="BO1512" s="325"/>
      <c r="BP1512" s="325"/>
      <c r="BQ1512" s="325"/>
      <c r="BR1512" s="325"/>
      <c r="BS1512" s="325"/>
      <c r="BT1512" s="325"/>
      <c r="BU1512" s="325"/>
      <c r="BV1512" s="325"/>
      <c r="BW1512" s="325"/>
      <c r="BX1512" s="325"/>
      <c r="BY1512" s="325"/>
      <c r="BZ1512" s="325"/>
      <c r="CA1512" s="325"/>
      <c r="CB1512" s="325"/>
      <c r="CC1512" s="325"/>
      <c r="CD1512" s="325"/>
      <c r="CE1512" s="325"/>
      <c r="CF1512" s="325"/>
      <c r="CG1512" s="325"/>
      <c r="CH1512" s="325"/>
      <c r="CI1512" s="325"/>
      <c r="CM1512" s="1499">
        <f t="shared" si="867"/>
        <v>0</v>
      </c>
      <c r="CN1512" s="1499">
        <v>0</v>
      </c>
      <c r="CP1512" s="923">
        <f t="shared" si="866"/>
        <v>0</v>
      </c>
      <c r="CZ1512" s="330"/>
    </row>
    <row r="1513" spans="1:104" ht="15" customHeight="1" x14ac:dyDescent="0.25">
      <c r="A1513" s="684">
        <f>MAX($A$6:A1512)+1</f>
        <v>1513</v>
      </c>
      <c r="B1513" s="1060">
        <f t="shared" si="875"/>
        <v>14.299999999999999</v>
      </c>
      <c r="C1513" t="str">
        <f t="shared" si="876"/>
        <v>Analysis of Movement in New Firefighters' Pension Scheme 2007 liability</v>
      </c>
      <c r="E1513" s="7" t="s">
        <v>2392</v>
      </c>
      <c r="F1513" s="1282"/>
      <c r="G1513" s="1254" t="s">
        <v>286</v>
      </c>
      <c r="J1513" s="1257" t="s">
        <v>2008</v>
      </c>
      <c r="K1513" s="251">
        <f>SUMIF('NIFRS FF scheme liability'!$A32:$A43,$J1513,'NIFRS FF scheme liability'!$C32:$C43)</f>
        <v>0</v>
      </c>
      <c r="L1513" s="315"/>
      <c r="N1513" s="273">
        <f t="shared" si="870"/>
        <v>0</v>
      </c>
      <c r="S1513" s="6">
        <f t="shared" si="865"/>
        <v>0</v>
      </c>
      <c r="T1513" s="273">
        <f t="shared" si="871"/>
        <v>0</v>
      </c>
      <c r="BD1513" s="5">
        <f t="shared" si="877"/>
        <v>0</v>
      </c>
      <c r="BE1513" s="325"/>
      <c r="BF1513" s="325"/>
      <c r="BG1513" s="325"/>
      <c r="BH1513" s="325"/>
      <c r="BI1513" s="325"/>
      <c r="BJ1513" s="325"/>
      <c r="BK1513" s="5">
        <f t="shared" si="862"/>
        <v>0</v>
      </c>
      <c r="BL1513" s="325"/>
      <c r="BM1513" s="325"/>
      <c r="BN1513" s="325"/>
      <c r="BO1513" s="325"/>
      <c r="BP1513" s="325"/>
      <c r="BQ1513" s="325"/>
      <c r="BR1513" s="325"/>
      <c r="BS1513" s="325"/>
      <c r="BT1513" s="325"/>
      <c r="BU1513" s="325"/>
      <c r="BV1513" s="325"/>
      <c r="BW1513" s="325"/>
      <c r="BX1513" s="325"/>
      <c r="BY1513" s="325"/>
      <c r="BZ1513" s="325"/>
      <c r="CA1513" s="325"/>
      <c r="CB1513" s="325"/>
      <c r="CC1513" s="325"/>
      <c r="CD1513" s="325"/>
      <c r="CE1513" s="325"/>
      <c r="CF1513" s="325"/>
      <c r="CG1513" s="325"/>
      <c r="CH1513" s="325"/>
      <c r="CI1513" s="325"/>
      <c r="CM1513" s="1499">
        <f t="shared" si="867"/>
        <v>0</v>
      </c>
      <c r="CN1513" s="1499">
        <v>0</v>
      </c>
      <c r="CP1513" s="923">
        <f t="shared" si="866"/>
        <v>0</v>
      </c>
      <c r="CZ1513" s="330"/>
    </row>
    <row r="1514" spans="1:104" ht="15" customHeight="1" x14ac:dyDescent="0.25">
      <c r="A1514" s="684">
        <f>MAX($A$6:A1513)+1</f>
        <v>1514</v>
      </c>
      <c r="B1514" s="1060">
        <f t="shared" si="875"/>
        <v>14.299999999999999</v>
      </c>
      <c r="C1514" t="str">
        <f t="shared" si="876"/>
        <v>Analysis of Movement in New Firefighters' Pension Scheme 2007 liability</v>
      </c>
      <c r="E1514" s="7" t="s">
        <v>2393</v>
      </c>
      <c r="F1514" s="1282"/>
      <c r="G1514" s="1254" t="s">
        <v>286</v>
      </c>
      <c r="J1514" s="1257" t="s">
        <v>907</v>
      </c>
      <c r="K1514" s="251">
        <f>SUMIF('NIFRS FF scheme liability'!$A32:$A43,$J1514,'NIFRS FF scheme liability'!$C32:$C43)</f>
        <v>0</v>
      </c>
      <c r="L1514" s="315"/>
      <c r="N1514" s="273">
        <f t="shared" si="870"/>
        <v>0</v>
      </c>
      <c r="S1514" s="6">
        <f t="shared" si="865"/>
        <v>0</v>
      </c>
      <c r="T1514" s="273">
        <f t="shared" si="871"/>
        <v>0</v>
      </c>
      <c r="BD1514" s="5">
        <f t="shared" si="877"/>
        <v>0</v>
      </c>
      <c r="BE1514" s="325"/>
      <c r="BF1514" s="325"/>
      <c r="BG1514" s="325"/>
      <c r="BH1514" s="325"/>
      <c r="BI1514" s="325"/>
      <c r="BJ1514" s="325"/>
      <c r="BK1514" s="5">
        <f t="shared" si="862"/>
        <v>0</v>
      </c>
      <c r="BL1514" s="325"/>
      <c r="BM1514" s="325"/>
      <c r="BN1514" s="325"/>
      <c r="BO1514" s="325"/>
      <c r="BP1514" s="325"/>
      <c r="BQ1514" s="325"/>
      <c r="BR1514" s="325"/>
      <c r="BS1514" s="325"/>
      <c r="BT1514" s="325"/>
      <c r="BU1514" s="325"/>
      <c r="BV1514" s="325"/>
      <c r="BW1514" s="325"/>
      <c r="BX1514" s="325"/>
      <c r="BY1514" s="325"/>
      <c r="BZ1514" s="325"/>
      <c r="CA1514" s="325"/>
      <c r="CB1514" s="325"/>
      <c r="CC1514" s="325"/>
      <c r="CD1514" s="325"/>
      <c r="CE1514" s="325"/>
      <c r="CF1514" s="325"/>
      <c r="CG1514" s="325"/>
      <c r="CH1514" s="325"/>
      <c r="CI1514" s="325"/>
      <c r="CM1514" s="1499">
        <f t="shared" si="867"/>
        <v>0</v>
      </c>
      <c r="CN1514" s="1499">
        <v>0</v>
      </c>
      <c r="CP1514" s="923">
        <f t="shared" si="866"/>
        <v>0</v>
      </c>
      <c r="CZ1514" s="330"/>
    </row>
    <row r="1515" spans="1:104" ht="15" customHeight="1" x14ac:dyDescent="0.25">
      <c r="A1515" s="684">
        <f>MAX($A$6:A1514)+1</f>
        <v>1515</v>
      </c>
      <c r="B1515" s="1060">
        <f t="shared" si="875"/>
        <v>14.299999999999999</v>
      </c>
      <c r="C1515" t="str">
        <f t="shared" si="876"/>
        <v>Analysis of Movement in New Firefighters' Pension Scheme 2007 liability</v>
      </c>
      <c r="E1515" s="7" t="s">
        <v>2395</v>
      </c>
      <c r="F1515" s="1282"/>
      <c r="G1515" s="1254" t="s">
        <v>286</v>
      </c>
      <c r="J1515" s="1257" t="s">
        <v>2009</v>
      </c>
      <c r="K1515" s="251">
        <f>SUMIF('NIFRS FF scheme liability'!$A32:$A43,$J1515,'NIFRS FF scheme liability'!$C32:$C43)</f>
        <v>0</v>
      </c>
      <c r="L1515" s="315"/>
      <c r="N1515" s="273">
        <f t="shared" si="870"/>
        <v>0</v>
      </c>
      <c r="S1515" s="6">
        <f t="shared" si="865"/>
        <v>0</v>
      </c>
      <c r="T1515" s="273">
        <f t="shared" si="871"/>
        <v>0</v>
      </c>
      <c r="BD1515" s="5">
        <f t="shared" si="877"/>
        <v>0</v>
      </c>
      <c r="BE1515" s="325"/>
      <c r="BF1515" s="325"/>
      <c r="BG1515" s="325"/>
      <c r="BH1515" s="325"/>
      <c r="BI1515" s="325"/>
      <c r="BJ1515" s="325"/>
      <c r="BK1515" s="5">
        <f t="shared" si="862"/>
        <v>0</v>
      </c>
      <c r="BL1515" s="325"/>
      <c r="BM1515" s="325"/>
      <c r="BN1515" s="325"/>
      <c r="BO1515" s="325"/>
      <c r="BP1515" s="325"/>
      <c r="BQ1515" s="325"/>
      <c r="BR1515" s="325"/>
      <c r="BS1515" s="325"/>
      <c r="BT1515" s="325"/>
      <c r="BU1515" s="325"/>
      <c r="BV1515" s="325"/>
      <c r="BW1515" s="325"/>
      <c r="BX1515" s="325"/>
      <c r="BY1515" s="325"/>
      <c r="BZ1515" s="325"/>
      <c r="CA1515" s="325"/>
      <c r="CB1515" s="325"/>
      <c r="CC1515" s="325"/>
      <c r="CD1515" s="325"/>
      <c r="CE1515" s="325"/>
      <c r="CF1515" s="325"/>
      <c r="CG1515" s="325"/>
      <c r="CH1515" s="325"/>
      <c r="CI1515" s="325"/>
      <c r="CM1515" s="1499">
        <f t="shared" si="867"/>
        <v>0</v>
      </c>
      <c r="CN1515" s="1499">
        <v>0</v>
      </c>
      <c r="CP1515" s="923">
        <f t="shared" si="866"/>
        <v>0</v>
      </c>
      <c r="CZ1515" s="330"/>
    </row>
    <row r="1516" spans="1:104" ht="15" customHeight="1" x14ac:dyDescent="0.25">
      <c r="A1516" s="684">
        <f>MAX($A$6:A1515)+1</f>
        <v>1516</v>
      </c>
      <c r="B1516" s="1060">
        <f t="shared" si="875"/>
        <v>14.299999999999999</v>
      </c>
      <c r="C1516" t="str">
        <f t="shared" si="876"/>
        <v>Analysis of Movement in New Firefighters' Pension Scheme 2007 liability</v>
      </c>
      <c r="E1516" s="7" t="s">
        <v>2394</v>
      </c>
      <c r="F1516" s="1282"/>
      <c r="G1516" s="1254" t="s">
        <v>286</v>
      </c>
      <c r="J1516" s="1257" t="s">
        <v>2011</v>
      </c>
      <c r="K1516" s="251">
        <f>SUMIF('NIFRS FF scheme liability'!$A32:$A43,$J1516,'NIFRS FF scheme liability'!$C32:$C43)</f>
        <v>0</v>
      </c>
      <c r="L1516" s="315"/>
      <c r="N1516" s="273">
        <f t="shared" si="870"/>
        <v>0</v>
      </c>
      <c r="S1516" s="6">
        <f t="shared" si="865"/>
        <v>0</v>
      </c>
      <c r="T1516" s="273">
        <f t="shared" si="871"/>
        <v>0</v>
      </c>
      <c r="BD1516" s="5">
        <f t="shared" si="877"/>
        <v>0</v>
      </c>
      <c r="BE1516" s="325"/>
      <c r="BF1516" s="325"/>
      <c r="BG1516" s="325"/>
      <c r="BH1516" s="325"/>
      <c r="BI1516" s="325"/>
      <c r="BJ1516" s="325"/>
      <c r="BK1516" s="5">
        <f t="shared" si="862"/>
        <v>0</v>
      </c>
      <c r="BL1516" s="325"/>
      <c r="BM1516" s="325"/>
      <c r="BN1516" s="325"/>
      <c r="BO1516" s="325"/>
      <c r="BP1516" s="325"/>
      <c r="BQ1516" s="325"/>
      <c r="BR1516" s="325"/>
      <c r="BS1516" s="325"/>
      <c r="BT1516" s="325"/>
      <c r="BU1516" s="325"/>
      <c r="BV1516" s="325"/>
      <c r="BW1516" s="325"/>
      <c r="BX1516" s="325"/>
      <c r="BY1516" s="325"/>
      <c r="BZ1516" s="325"/>
      <c r="CA1516" s="325"/>
      <c r="CB1516" s="325"/>
      <c r="CC1516" s="325"/>
      <c r="CD1516" s="325"/>
      <c r="CE1516" s="325"/>
      <c r="CF1516" s="325"/>
      <c r="CG1516" s="325"/>
      <c r="CH1516" s="325"/>
      <c r="CI1516" s="325"/>
      <c r="CM1516" s="1499">
        <f t="shared" si="867"/>
        <v>0</v>
      </c>
      <c r="CN1516" s="1499">
        <v>0</v>
      </c>
      <c r="CP1516" s="923">
        <f t="shared" si="866"/>
        <v>0</v>
      </c>
      <c r="CZ1516" s="330"/>
    </row>
    <row r="1517" spans="1:104" ht="15" customHeight="1" x14ac:dyDescent="0.25">
      <c r="A1517" s="684">
        <f>MAX($A$6:A1516)+1</f>
        <v>1517</v>
      </c>
      <c r="B1517" s="1060">
        <f t="shared" si="875"/>
        <v>14.299999999999999</v>
      </c>
      <c r="C1517" t="str">
        <f t="shared" si="876"/>
        <v>Analysis of Movement in New Firefighters' Pension Scheme 2007 liability</v>
      </c>
      <c r="E1517" s="2" t="s">
        <v>2396</v>
      </c>
      <c r="F1517" s="1282"/>
      <c r="G1517" s="1254" t="s">
        <v>286</v>
      </c>
      <c r="J1517" s="1257" t="s">
        <v>2020</v>
      </c>
      <c r="K1517" s="251">
        <f>SUMIF('NIFRS FF scheme liability'!$A32:$A43,$J1517,'NIFRS FF scheme liability'!$C32:$C43)</f>
        <v>0</v>
      </c>
      <c r="L1517" s="315"/>
      <c r="N1517" s="273">
        <f t="shared" si="870"/>
        <v>0</v>
      </c>
      <c r="S1517" s="6">
        <f t="shared" si="865"/>
        <v>0</v>
      </c>
      <c r="T1517" s="273">
        <f t="shared" si="871"/>
        <v>0</v>
      </c>
      <c r="BD1517" s="5">
        <f t="shared" si="877"/>
        <v>0</v>
      </c>
      <c r="BE1517" s="325"/>
      <c r="BF1517" s="325"/>
      <c r="BG1517" s="325"/>
      <c r="BH1517" s="325"/>
      <c r="BI1517" s="325"/>
      <c r="BJ1517" s="325"/>
      <c r="BK1517" s="5">
        <f t="shared" si="862"/>
        <v>0</v>
      </c>
      <c r="BL1517" s="325"/>
      <c r="BM1517" s="325"/>
      <c r="BN1517" s="325"/>
      <c r="BO1517" s="325"/>
      <c r="BP1517" s="325"/>
      <c r="BQ1517" s="325"/>
      <c r="BR1517" s="325"/>
      <c r="BS1517" s="325"/>
      <c r="BT1517" s="325"/>
      <c r="BU1517" s="325"/>
      <c r="BV1517" s="325"/>
      <c r="BW1517" s="325"/>
      <c r="BX1517" s="325"/>
      <c r="BY1517" s="325"/>
      <c r="BZ1517" s="325"/>
      <c r="CA1517" s="325"/>
      <c r="CB1517" s="325"/>
      <c r="CC1517" s="325"/>
      <c r="CD1517" s="325"/>
      <c r="CE1517" s="325"/>
      <c r="CF1517" s="325"/>
      <c r="CG1517" s="325"/>
      <c r="CH1517" s="325"/>
      <c r="CI1517" s="325"/>
      <c r="CM1517" s="1499">
        <f t="shared" si="867"/>
        <v>0</v>
      </c>
      <c r="CN1517" s="1499">
        <v>0</v>
      </c>
      <c r="CP1517" s="923">
        <f t="shared" si="866"/>
        <v>0</v>
      </c>
      <c r="CZ1517" s="330"/>
    </row>
    <row r="1518" spans="1:104" ht="15" customHeight="1" x14ac:dyDescent="0.25">
      <c r="A1518" s="684">
        <f>MAX($A$6:A1517)+1</f>
        <v>1518</v>
      </c>
      <c r="B1518" s="1060">
        <f t="shared" si="875"/>
        <v>14.299999999999999</v>
      </c>
      <c r="C1518" t="str">
        <f t="shared" si="876"/>
        <v>Analysis of Movement in New Firefighters' Pension Scheme 2007 liability</v>
      </c>
      <c r="E1518" s="7" t="s">
        <v>2397</v>
      </c>
      <c r="F1518" s="1282"/>
      <c r="G1518" s="1254" t="s">
        <v>286</v>
      </c>
      <c r="J1518" s="1257" t="s">
        <v>2012</v>
      </c>
      <c r="K1518" s="251">
        <f>SUMIF('NIFRS FF scheme liability'!$A32:$A43,$J1518,'NIFRS FF scheme liability'!$C32:$C43)</f>
        <v>0</v>
      </c>
      <c r="L1518" s="315"/>
      <c r="N1518" s="273">
        <f t="shared" si="870"/>
        <v>0</v>
      </c>
      <c r="S1518" s="6">
        <f t="shared" si="865"/>
        <v>0</v>
      </c>
      <c r="T1518" s="273">
        <f t="shared" si="871"/>
        <v>0</v>
      </c>
      <c r="BD1518" s="5">
        <f t="shared" si="877"/>
        <v>0</v>
      </c>
      <c r="BE1518" s="325"/>
      <c r="BF1518" s="325"/>
      <c r="BG1518" s="325"/>
      <c r="BH1518" s="325"/>
      <c r="BI1518" s="325"/>
      <c r="BJ1518" s="325"/>
      <c r="BK1518" s="5">
        <f t="shared" si="862"/>
        <v>0</v>
      </c>
      <c r="BL1518" s="325"/>
      <c r="BM1518" s="325"/>
      <c r="BN1518" s="325"/>
      <c r="BO1518" s="325"/>
      <c r="BP1518" s="325"/>
      <c r="BQ1518" s="325"/>
      <c r="BR1518" s="325"/>
      <c r="BS1518" s="325"/>
      <c r="BT1518" s="325"/>
      <c r="BU1518" s="325"/>
      <c r="BV1518" s="325"/>
      <c r="BW1518" s="325"/>
      <c r="BX1518" s="325"/>
      <c r="BY1518" s="325"/>
      <c r="BZ1518" s="325"/>
      <c r="CA1518" s="325"/>
      <c r="CB1518" s="325"/>
      <c r="CC1518" s="325"/>
      <c r="CD1518" s="325"/>
      <c r="CE1518" s="325"/>
      <c r="CF1518" s="325"/>
      <c r="CG1518" s="325"/>
      <c r="CH1518" s="325"/>
      <c r="CI1518" s="325"/>
      <c r="CM1518" s="1499">
        <f t="shared" si="867"/>
        <v>0</v>
      </c>
      <c r="CN1518" s="1499">
        <v>0</v>
      </c>
      <c r="CP1518" s="923">
        <f t="shared" si="866"/>
        <v>0</v>
      </c>
      <c r="CZ1518" s="330"/>
    </row>
    <row r="1519" spans="1:104" ht="15" customHeight="1" x14ac:dyDescent="0.25">
      <c r="A1519" s="684">
        <f>MAX($A$6:A1518)+1</f>
        <v>1519</v>
      </c>
      <c r="B1519" s="1060">
        <f t="shared" si="875"/>
        <v>14.299999999999999</v>
      </c>
      <c r="C1519" t="str">
        <f t="shared" si="876"/>
        <v>Analysis of Movement in New Firefighters' Pension Scheme 2007 liability</v>
      </c>
      <c r="E1519" s="1257" t="str">
        <f>"At"&amp;Update!$B$22</f>
        <v>At 31 March 2026</v>
      </c>
      <c r="F1519" s="1282"/>
      <c r="G1519" s="1254" t="s">
        <v>286</v>
      </c>
      <c r="J1519" s="1257" t="str">
        <f>"At"&amp;Update!$B$22</f>
        <v>At 31 March 2026</v>
      </c>
      <c r="K1519" s="251">
        <f>SUMIF('NIFRS FF scheme liability'!$A32:$A43,$J1519,'NIFRS FF scheme liability'!$C32:$C43)</f>
        <v>0</v>
      </c>
      <c r="L1519" s="315"/>
      <c r="N1519" s="273">
        <f t="shared" si="870"/>
        <v>0</v>
      </c>
      <c r="S1519" s="6">
        <f t="shared" si="865"/>
        <v>0</v>
      </c>
      <c r="T1519" s="273">
        <f t="shared" si="871"/>
        <v>0</v>
      </c>
      <c r="BD1519" s="5">
        <f t="shared" si="877"/>
        <v>0</v>
      </c>
      <c r="BE1519" s="325"/>
      <c r="BF1519" s="325"/>
      <c r="BG1519" s="325"/>
      <c r="BH1519" s="325"/>
      <c r="BI1519" s="325"/>
      <c r="BJ1519" s="325"/>
      <c r="BK1519" s="5">
        <f t="shared" si="862"/>
        <v>0</v>
      </c>
      <c r="BL1519" s="325"/>
      <c r="BM1519" s="325"/>
      <c r="BN1519" s="325"/>
      <c r="BO1519" s="325"/>
      <c r="BP1519" s="325"/>
      <c r="BQ1519" s="325"/>
      <c r="BR1519" s="325"/>
      <c r="BS1519" s="325"/>
      <c r="BT1519" s="325"/>
      <c r="BU1519" s="325"/>
      <c r="BV1519" s="325"/>
      <c r="BW1519" s="325"/>
      <c r="BX1519" s="325"/>
      <c r="BY1519" s="325"/>
      <c r="BZ1519" s="325"/>
      <c r="CA1519" s="325"/>
      <c r="CB1519" s="325"/>
      <c r="CC1519" s="325"/>
      <c r="CD1519" s="325"/>
      <c r="CE1519" s="325"/>
      <c r="CF1519" s="325"/>
      <c r="CG1519" s="325"/>
      <c r="CH1519" s="325"/>
      <c r="CI1519" s="325"/>
      <c r="CM1519" s="1499">
        <f t="shared" si="867"/>
        <v>0</v>
      </c>
      <c r="CN1519" s="1499">
        <v>0</v>
      </c>
      <c r="CP1519" s="923">
        <f t="shared" si="866"/>
        <v>0</v>
      </c>
      <c r="CZ1519" s="330"/>
    </row>
    <row r="1520" spans="1:104" ht="15" customHeight="1" x14ac:dyDescent="0.25">
      <c r="A1520" s="684">
        <f>MAX($A$6:A1519)+1</f>
        <v>1520</v>
      </c>
      <c r="B1520" s="1060">
        <f t="shared" si="875"/>
        <v>14.299999999999999</v>
      </c>
      <c r="C1520" t="str">
        <f t="shared" si="876"/>
        <v>Analysis of Movement in New Firefighters' Pension Scheme 2007 liability</v>
      </c>
      <c r="E1520" s="1262" t="s">
        <v>733</v>
      </c>
      <c r="F1520" s="1282"/>
      <c r="G1520" s="1254" t="s">
        <v>286</v>
      </c>
      <c r="J1520" s="1262" t="s">
        <v>733</v>
      </c>
      <c r="K1520" s="196" t="str">
        <f>'NIFRS FF scheme liability'!$A$45:$A$45</f>
        <v>During the year ended 31 March 2026 employee contributions ranged from X% to X% (X% to X% : 2024-25) of pensionable pay. Employer contributions represented an average of X%  (X% : 2024-25).</v>
      </c>
      <c r="L1520" s="315"/>
      <c r="N1520" s="273">
        <f t="shared" si="870"/>
        <v>0</v>
      </c>
      <c r="S1520" s="6">
        <f t="shared" si="865"/>
        <v>0</v>
      </c>
      <c r="T1520" s="273">
        <f t="shared" si="871"/>
        <v>0</v>
      </c>
      <c r="BD1520" s="5">
        <f t="shared" si="877"/>
        <v>0</v>
      </c>
      <c r="BE1520" s="325"/>
      <c r="BF1520" s="325"/>
      <c r="BG1520" s="325"/>
      <c r="BH1520" s="325"/>
      <c r="BI1520" s="325"/>
      <c r="BJ1520" s="325"/>
      <c r="BK1520" s="5">
        <f t="shared" si="862"/>
        <v>0</v>
      </c>
      <c r="BL1520" s="325"/>
      <c r="BM1520" s="325"/>
      <c r="BN1520" s="325"/>
      <c r="BO1520" s="325"/>
      <c r="BP1520" s="325"/>
      <c r="BQ1520" s="325"/>
      <c r="BR1520" s="325"/>
      <c r="BS1520" s="325"/>
      <c r="BT1520" s="325"/>
      <c r="BU1520" s="325"/>
      <c r="BV1520" s="325"/>
      <c r="BW1520" s="325"/>
      <c r="BX1520" s="325"/>
      <c r="BY1520" s="325"/>
      <c r="BZ1520" s="325"/>
      <c r="CA1520" s="325"/>
      <c r="CB1520" s="325"/>
      <c r="CC1520" s="325"/>
      <c r="CD1520" s="325"/>
      <c r="CE1520" s="325"/>
      <c r="CF1520" s="325"/>
      <c r="CG1520" s="325"/>
      <c r="CH1520" s="325"/>
      <c r="CI1520" s="325"/>
      <c r="CM1520" s="1499">
        <f t="shared" si="867"/>
        <v>0</v>
      </c>
      <c r="CN1520" s="1499">
        <v>0</v>
      </c>
      <c r="CP1520" s="923">
        <f t="shared" si="866"/>
        <v>0</v>
      </c>
      <c r="CZ1520" s="330"/>
    </row>
    <row r="1521" spans="1:104" ht="15" customHeight="1" x14ac:dyDescent="0.25">
      <c r="A1521" s="684">
        <f>MAX($A$6:A1520)+1</f>
        <v>1521</v>
      </c>
      <c r="B1521" s="1060">
        <f t="shared" si="875"/>
        <v>14.299999999999999</v>
      </c>
      <c r="C1521" t="str">
        <f t="shared" si="876"/>
        <v>Analysis of Movement in New Firefighters' Pension Scheme 2007 liability</v>
      </c>
      <c r="E1521" s="1253" t="s">
        <v>893</v>
      </c>
      <c r="F1521" s="1282"/>
      <c r="G1521" s="1254" t="s">
        <v>286</v>
      </c>
      <c r="J1521" s="1253" t="s">
        <v>893</v>
      </c>
      <c r="K1521" s="4">
        <f>SUMIF('NIFRS FF scheme liability'!$A32:$A43,$J1521,'NIFRS FF scheme liability'!$C32:$C43)</f>
        <v>0</v>
      </c>
      <c r="L1521" s="315"/>
      <c r="N1521" s="273">
        <f t="shared" si="870"/>
        <v>0</v>
      </c>
      <c r="S1521" s="6">
        <f t="shared" si="865"/>
        <v>0</v>
      </c>
      <c r="T1521" s="273">
        <f t="shared" si="871"/>
        <v>0</v>
      </c>
      <c r="BD1521" s="5">
        <f t="shared" si="877"/>
        <v>0</v>
      </c>
      <c r="BE1521" s="325"/>
      <c r="BF1521" s="325"/>
      <c r="BG1521" s="325"/>
      <c r="BH1521" s="325"/>
      <c r="BI1521" s="325"/>
      <c r="BJ1521" s="325"/>
      <c r="BK1521" s="5">
        <f t="shared" si="862"/>
        <v>0</v>
      </c>
      <c r="BL1521" s="325"/>
      <c r="BM1521" s="325"/>
      <c r="BN1521" s="325"/>
      <c r="BO1521" s="325"/>
      <c r="BP1521" s="325"/>
      <c r="BQ1521" s="325"/>
      <c r="BR1521" s="325"/>
      <c r="BS1521" s="325"/>
      <c r="BT1521" s="325"/>
      <c r="BU1521" s="325"/>
      <c r="BV1521" s="325"/>
      <c r="BW1521" s="325"/>
      <c r="BX1521" s="325"/>
      <c r="BY1521" s="325"/>
      <c r="BZ1521" s="325"/>
      <c r="CA1521" s="325"/>
      <c r="CB1521" s="325"/>
      <c r="CC1521" s="325"/>
      <c r="CD1521" s="325"/>
      <c r="CE1521" s="325"/>
      <c r="CF1521" s="325"/>
      <c r="CG1521" s="325"/>
      <c r="CH1521" s="325"/>
      <c r="CI1521" s="325"/>
      <c r="CM1521" s="1499">
        <f t="shared" si="867"/>
        <v>0</v>
      </c>
      <c r="CN1521" s="1499">
        <v>0</v>
      </c>
      <c r="CP1521" s="923">
        <f t="shared" si="866"/>
        <v>0</v>
      </c>
      <c r="CZ1521" s="330"/>
    </row>
    <row r="1522" spans="1:104" ht="18.75" customHeight="1" x14ac:dyDescent="0.25">
      <c r="A1522" s="1297">
        <f>MAX($A$6:A1521)+1</f>
        <v>1522</v>
      </c>
      <c r="B1522" s="1295">
        <f>SUMIF(Update!$B$33:$B$106,C1522,Update!$A$33:$A$106)</f>
        <v>14.399999999999999</v>
      </c>
      <c r="C1522" s="696" t="s">
        <v>1384</v>
      </c>
      <c r="D1522" s="695" t="str">
        <f>C1522</f>
        <v>Analysis of Movement in Firefighters' Pension Scheme 2015 (CARE) liability</v>
      </c>
      <c r="E1522" s="696" t="s">
        <v>900</v>
      </c>
      <c r="F1522" s="697"/>
      <c r="G1522" s="697"/>
      <c r="H1522" s="695"/>
      <c r="I1522" s="695"/>
      <c r="J1522" s="698" t="s">
        <v>1002</v>
      </c>
      <c r="K1522" s="699">
        <f>SUMIF('NIFRS FF scheme liability'!$A:$A,$J1522,'NIFRS FF scheme liability'!$C:$C)</f>
        <v>0</v>
      </c>
      <c r="L1522" s="699" t="e">
        <v>#VALUE!</v>
      </c>
      <c r="M1522" s="695"/>
      <c r="N1522" s="713">
        <f t="shared" si="870"/>
        <v>0</v>
      </c>
      <c r="O1522" s="695"/>
      <c r="P1522" s="695"/>
      <c r="Q1522" s="695"/>
      <c r="R1522" s="695"/>
      <c r="S1522" s="695">
        <f t="shared" si="865"/>
        <v>0</v>
      </c>
      <c r="T1522" s="713">
        <f t="shared" si="871"/>
        <v>0</v>
      </c>
      <c r="U1522" s="695"/>
      <c r="V1522" s="695"/>
      <c r="W1522" s="695"/>
      <c r="X1522" s="695"/>
      <c r="Y1522" s="695"/>
      <c r="Z1522" s="695"/>
      <c r="AA1522" s="695"/>
      <c r="AB1522" s="695"/>
      <c r="AC1522" s="695"/>
      <c r="AD1522" s="695"/>
      <c r="AE1522" s="695"/>
      <c r="AF1522" s="695"/>
      <c r="AG1522" s="695"/>
      <c r="AH1522" s="695"/>
      <c r="AI1522" s="695"/>
      <c r="AJ1522" s="695"/>
      <c r="AK1522" s="695"/>
      <c r="AL1522" s="695"/>
      <c r="AM1522" s="695"/>
      <c r="AN1522" s="695"/>
      <c r="AO1522" s="695"/>
      <c r="AP1522" s="695"/>
      <c r="AQ1522" s="695"/>
      <c r="AR1522" s="695"/>
      <c r="AS1522" s="695"/>
      <c r="AT1522" s="695"/>
      <c r="AU1522" s="695"/>
      <c r="AV1522" s="695"/>
      <c r="AW1522" s="700"/>
      <c r="AX1522" s="700"/>
      <c r="AY1522" s="700"/>
      <c r="AZ1522" s="700"/>
      <c r="BA1522" s="700"/>
      <c r="BB1522" s="700"/>
      <c r="BC1522" s="700"/>
      <c r="BD1522" s="721">
        <f t="shared" si="877"/>
        <v>0</v>
      </c>
      <c r="BE1522" s="700"/>
      <c r="BF1522" s="700"/>
      <c r="BG1522" s="700"/>
      <c r="BH1522" s="700"/>
      <c r="BI1522" s="700"/>
      <c r="BJ1522" s="700"/>
      <c r="BK1522" s="721">
        <f t="shared" si="862"/>
        <v>0</v>
      </c>
      <c r="BL1522" s="700"/>
      <c r="BM1522" s="700"/>
      <c r="BN1522" s="700"/>
      <c r="BO1522" s="700"/>
      <c r="BP1522" s="700"/>
      <c r="BQ1522" s="700"/>
      <c r="BR1522" s="700"/>
      <c r="BS1522" s="700"/>
      <c r="BT1522" s="700"/>
      <c r="BU1522" s="700"/>
      <c r="BV1522" s="700"/>
      <c r="BW1522" s="700"/>
      <c r="BX1522" s="700"/>
      <c r="BY1522" s="700"/>
      <c r="BZ1522" s="700"/>
      <c r="CA1522" s="700"/>
      <c r="CB1522" s="700"/>
      <c r="CC1522" s="700"/>
      <c r="CD1522" s="700"/>
      <c r="CE1522" s="700"/>
      <c r="CF1522" s="700"/>
      <c r="CG1522" s="700"/>
      <c r="CH1522" s="700"/>
      <c r="CI1522" s="700"/>
      <c r="CJ1522" s="700"/>
      <c r="CK1522" s="700"/>
      <c r="CM1522" s="700">
        <f t="shared" si="867"/>
        <v>0</v>
      </c>
      <c r="CN1522" s="700">
        <v>0</v>
      </c>
      <c r="CP1522" s="923">
        <f t="shared" si="866"/>
        <v>0</v>
      </c>
      <c r="CZ1522" s="330"/>
    </row>
    <row r="1523" spans="1:104" ht="15" customHeight="1" x14ac:dyDescent="0.25">
      <c r="A1523" s="684">
        <f>MAX($A$6:A1522)+1</f>
        <v>1523</v>
      </c>
      <c r="B1523" s="1060">
        <f t="shared" ref="B1523:B1532" si="878">B1522</f>
        <v>14.399999999999999</v>
      </c>
      <c r="C1523" t="str">
        <f t="shared" ref="C1523:C1532" si="879">C1522</f>
        <v>Analysis of Movement in Firefighters' Pension Scheme 2015 (CARE) liability</v>
      </c>
      <c r="E1523" s="1257" t="str">
        <f>"At"&amp;Update!$B$20</f>
        <v>At 1 April 2025</v>
      </c>
      <c r="F1523" s="1282"/>
      <c r="G1523" s="1254" t="s">
        <v>286</v>
      </c>
      <c r="J1523" s="1257" t="str">
        <f>"At"&amp;Update!$B$20</f>
        <v>At 1 April 2025</v>
      </c>
      <c r="K1523" s="251">
        <f>SUMIF('NIFRS FF scheme liability'!$A54:$A65,$J1523,'NIFRS FF scheme liability'!$C54:$C65)</f>
        <v>0</v>
      </c>
      <c r="L1523" s="315"/>
      <c r="N1523" s="273">
        <f t="shared" si="870"/>
        <v>0</v>
      </c>
      <c r="S1523" s="6">
        <f t="shared" si="865"/>
        <v>0</v>
      </c>
      <c r="T1523" s="273">
        <f t="shared" si="871"/>
        <v>0</v>
      </c>
      <c r="BD1523" s="5">
        <f t="shared" si="877"/>
        <v>0</v>
      </c>
      <c r="BE1523" s="325"/>
      <c r="BF1523" s="325"/>
      <c r="BG1523" s="325"/>
      <c r="BH1523" s="325"/>
      <c r="BI1523" s="325"/>
      <c r="BJ1523" s="325"/>
      <c r="BK1523" s="5">
        <f t="shared" si="862"/>
        <v>0</v>
      </c>
      <c r="BL1523" s="325"/>
      <c r="BM1523" s="325"/>
      <c r="BN1523" s="325"/>
      <c r="BO1523" s="325"/>
      <c r="BP1523" s="325"/>
      <c r="BQ1523" s="325"/>
      <c r="BR1523" s="325"/>
      <c r="BS1523" s="325"/>
      <c r="BT1523" s="325"/>
      <c r="BU1523" s="325"/>
      <c r="BV1523" s="325"/>
      <c r="BW1523" s="325"/>
      <c r="BX1523" s="325"/>
      <c r="BY1523" s="325"/>
      <c r="BZ1523" s="325"/>
      <c r="CA1523" s="325"/>
      <c r="CB1523" s="325"/>
      <c r="CC1523" s="325"/>
      <c r="CD1523" s="325"/>
      <c r="CE1523" s="325"/>
      <c r="CF1523" s="325"/>
      <c r="CG1523" s="325"/>
      <c r="CH1523" s="325"/>
      <c r="CI1523" s="325"/>
      <c r="CM1523" s="1499">
        <f t="shared" si="867"/>
        <v>0</v>
      </c>
      <c r="CN1523" s="1499">
        <v>0</v>
      </c>
      <c r="CP1523" s="923">
        <f t="shared" si="866"/>
        <v>0</v>
      </c>
      <c r="CZ1523" s="330"/>
    </row>
    <row r="1524" spans="1:104" ht="15" customHeight="1" x14ac:dyDescent="0.25">
      <c r="A1524" s="684">
        <f>MAX($A$6:A1523)+1</f>
        <v>1524</v>
      </c>
      <c r="B1524" s="1060">
        <f t="shared" si="878"/>
        <v>14.399999999999999</v>
      </c>
      <c r="C1524" t="str">
        <f t="shared" si="879"/>
        <v>Analysis of Movement in Firefighters' Pension Scheme 2015 (CARE) liability</v>
      </c>
      <c r="E1524" s="7" t="s">
        <v>2391</v>
      </c>
      <c r="F1524" s="1282"/>
      <c r="G1524" s="1254" t="s">
        <v>286</v>
      </c>
      <c r="J1524" s="1257" t="s">
        <v>2013</v>
      </c>
      <c r="K1524" s="251">
        <f>SUMIF('NIFRS FF scheme liability'!$A54:$A65,$J1524,'NIFRS FF scheme liability'!$C54:$C65)</f>
        <v>0</v>
      </c>
      <c r="L1524" s="315"/>
      <c r="N1524" s="273">
        <f t="shared" si="870"/>
        <v>0</v>
      </c>
      <c r="S1524" s="6">
        <f t="shared" si="865"/>
        <v>0</v>
      </c>
      <c r="T1524" s="273">
        <f t="shared" si="871"/>
        <v>0</v>
      </c>
      <c r="BD1524" s="5">
        <f t="shared" si="877"/>
        <v>0</v>
      </c>
      <c r="BE1524" s="325"/>
      <c r="BF1524" s="325"/>
      <c r="BG1524" s="325"/>
      <c r="BH1524" s="325"/>
      <c r="BI1524" s="325"/>
      <c r="BJ1524" s="325"/>
      <c r="BK1524" s="5">
        <f t="shared" si="862"/>
        <v>0</v>
      </c>
      <c r="BL1524" s="325"/>
      <c r="BM1524" s="325"/>
      <c r="BN1524" s="325"/>
      <c r="BO1524" s="325"/>
      <c r="BP1524" s="325"/>
      <c r="BQ1524" s="325"/>
      <c r="BR1524" s="325"/>
      <c r="BS1524" s="325"/>
      <c r="BT1524" s="325"/>
      <c r="BU1524" s="325"/>
      <c r="BV1524" s="325"/>
      <c r="BW1524" s="325"/>
      <c r="BX1524" s="325"/>
      <c r="BY1524" s="325"/>
      <c r="BZ1524" s="325"/>
      <c r="CA1524" s="325"/>
      <c r="CB1524" s="325"/>
      <c r="CC1524" s="325"/>
      <c r="CD1524" s="325"/>
      <c r="CE1524" s="325"/>
      <c r="CF1524" s="325"/>
      <c r="CG1524" s="325"/>
      <c r="CH1524" s="325"/>
      <c r="CI1524" s="325"/>
      <c r="CM1524" s="1499">
        <f t="shared" si="867"/>
        <v>0</v>
      </c>
      <c r="CN1524" s="1499">
        <v>0</v>
      </c>
      <c r="CP1524" s="923">
        <f t="shared" si="866"/>
        <v>0</v>
      </c>
      <c r="CZ1524" s="330"/>
    </row>
    <row r="1525" spans="1:104" ht="15" customHeight="1" x14ac:dyDescent="0.25">
      <c r="A1525" s="684">
        <f>MAX($A$6:A1524)+1</f>
        <v>1525</v>
      </c>
      <c r="B1525" s="1060">
        <f t="shared" si="878"/>
        <v>14.399999999999999</v>
      </c>
      <c r="C1525" t="str">
        <f t="shared" si="879"/>
        <v>Analysis of Movement in Firefighters' Pension Scheme 2015 (CARE) liability</v>
      </c>
      <c r="E1525" s="7" t="s">
        <v>2392</v>
      </c>
      <c r="F1525" s="1282"/>
      <c r="G1525" s="1254" t="s">
        <v>286</v>
      </c>
      <c r="J1525" s="1257" t="s">
        <v>2014</v>
      </c>
      <c r="K1525" s="251">
        <f>SUMIF('NIFRS FF scheme liability'!$A54:$A65,$J1525,'NIFRS FF scheme liability'!$C54:$C65)</f>
        <v>0</v>
      </c>
      <c r="L1525" s="315"/>
      <c r="N1525" s="273">
        <f t="shared" si="870"/>
        <v>0</v>
      </c>
      <c r="S1525" s="6">
        <f t="shared" si="865"/>
        <v>0</v>
      </c>
      <c r="T1525" s="273">
        <f t="shared" si="871"/>
        <v>0</v>
      </c>
      <c r="BD1525" s="5">
        <f t="shared" si="877"/>
        <v>0</v>
      </c>
      <c r="BE1525" s="325"/>
      <c r="BF1525" s="325"/>
      <c r="BG1525" s="325"/>
      <c r="BH1525" s="325"/>
      <c r="BI1525" s="325"/>
      <c r="BJ1525" s="325"/>
      <c r="BK1525" s="5">
        <f t="shared" si="862"/>
        <v>0</v>
      </c>
      <c r="BL1525" s="325"/>
      <c r="BM1525" s="325"/>
      <c r="BN1525" s="325"/>
      <c r="BO1525" s="325"/>
      <c r="BP1525" s="325"/>
      <c r="BQ1525" s="325"/>
      <c r="BR1525" s="325"/>
      <c r="BS1525" s="325"/>
      <c r="BT1525" s="325"/>
      <c r="BU1525" s="325"/>
      <c r="BV1525" s="325"/>
      <c r="BW1525" s="325"/>
      <c r="BX1525" s="325"/>
      <c r="BY1525" s="325"/>
      <c r="BZ1525" s="325"/>
      <c r="CA1525" s="325"/>
      <c r="CB1525" s="325"/>
      <c r="CC1525" s="325"/>
      <c r="CD1525" s="325"/>
      <c r="CE1525" s="325"/>
      <c r="CF1525" s="325"/>
      <c r="CG1525" s="325"/>
      <c r="CH1525" s="325"/>
      <c r="CI1525" s="325"/>
      <c r="CM1525" s="1499">
        <f t="shared" si="867"/>
        <v>0</v>
      </c>
      <c r="CN1525" s="1499">
        <v>0</v>
      </c>
      <c r="CP1525" s="923">
        <f t="shared" si="866"/>
        <v>0</v>
      </c>
      <c r="CZ1525" s="330"/>
    </row>
    <row r="1526" spans="1:104" ht="15" customHeight="1" x14ac:dyDescent="0.25">
      <c r="A1526" s="684">
        <f>MAX($A$6:A1525)+1</f>
        <v>1526</v>
      </c>
      <c r="B1526" s="1060">
        <f t="shared" si="878"/>
        <v>14.399999999999999</v>
      </c>
      <c r="C1526" t="str">
        <f t="shared" si="879"/>
        <v>Analysis of Movement in Firefighters' Pension Scheme 2015 (CARE) liability</v>
      </c>
      <c r="E1526" s="7" t="s">
        <v>2393</v>
      </c>
      <c r="F1526" s="1282"/>
      <c r="G1526" s="1254" t="s">
        <v>286</v>
      </c>
      <c r="J1526" s="1257" t="s">
        <v>2015</v>
      </c>
      <c r="K1526" s="251">
        <f>SUMIF('NIFRS FF scheme liability'!$A54:$A65,$J1526,'NIFRS FF scheme liability'!$C54:$C65)</f>
        <v>0</v>
      </c>
      <c r="L1526" s="315"/>
      <c r="N1526" s="273">
        <f t="shared" si="870"/>
        <v>0</v>
      </c>
      <c r="S1526" s="6">
        <f t="shared" si="865"/>
        <v>0</v>
      </c>
      <c r="T1526" s="273">
        <f t="shared" si="871"/>
        <v>0</v>
      </c>
      <c r="BD1526" s="5">
        <f t="shared" si="877"/>
        <v>0</v>
      </c>
      <c r="BE1526" s="325"/>
      <c r="BF1526" s="325"/>
      <c r="BG1526" s="325"/>
      <c r="BH1526" s="325"/>
      <c r="BI1526" s="325"/>
      <c r="BJ1526" s="325"/>
      <c r="BK1526" s="5">
        <f t="shared" si="862"/>
        <v>0</v>
      </c>
      <c r="BL1526" s="325"/>
      <c r="BM1526" s="325"/>
      <c r="BN1526" s="325"/>
      <c r="BO1526" s="325"/>
      <c r="BP1526" s="325"/>
      <c r="BQ1526" s="325"/>
      <c r="BR1526" s="325"/>
      <c r="BS1526" s="325"/>
      <c r="BT1526" s="325"/>
      <c r="BU1526" s="325"/>
      <c r="BV1526" s="325"/>
      <c r="BW1526" s="325"/>
      <c r="BX1526" s="325"/>
      <c r="BY1526" s="325"/>
      <c r="BZ1526" s="325"/>
      <c r="CA1526" s="325"/>
      <c r="CB1526" s="325"/>
      <c r="CC1526" s="325"/>
      <c r="CD1526" s="325"/>
      <c r="CE1526" s="325"/>
      <c r="CF1526" s="325"/>
      <c r="CG1526" s="325"/>
      <c r="CH1526" s="325"/>
      <c r="CI1526" s="325"/>
      <c r="CM1526" s="1499">
        <f t="shared" si="867"/>
        <v>0</v>
      </c>
      <c r="CN1526" s="1499">
        <v>0</v>
      </c>
      <c r="CP1526" s="923">
        <f t="shared" si="866"/>
        <v>0</v>
      </c>
      <c r="CZ1526" s="330"/>
    </row>
    <row r="1527" spans="1:104" ht="15" customHeight="1" x14ac:dyDescent="0.25">
      <c r="A1527" s="684">
        <f>MAX($A$6:A1526)+1</f>
        <v>1527</v>
      </c>
      <c r="B1527" s="1060">
        <f t="shared" si="878"/>
        <v>14.399999999999999</v>
      </c>
      <c r="C1527" t="str">
        <f t="shared" si="879"/>
        <v>Analysis of Movement in Firefighters' Pension Scheme 2015 (CARE) liability</v>
      </c>
      <c r="E1527" s="7" t="s">
        <v>2395</v>
      </c>
      <c r="F1527" s="1282"/>
      <c r="G1527" s="1254" t="s">
        <v>286</v>
      </c>
      <c r="J1527" s="1257" t="s">
        <v>2016</v>
      </c>
      <c r="K1527" s="251">
        <f>SUMIF('NIFRS FF scheme liability'!$A54:$A65,$J1527,'NIFRS FF scheme liability'!$C54:$C65)</f>
        <v>0</v>
      </c>
      <c r="L1527" s="315"/>
      <c r="N1527" s="273">
        <f t="shared" si="870"/>
        <v>0</v>
      </c>
      <c r="S1527" s="6">
        <f t="shared" si="865"/>
        <v>0</v>
      </c>
      <c r="T1527" s="273">
        <f t="shared" si="871"/>
        <v>0</v>
      </c>
      <c r="BD1527" s="5">
        <f t="shared" si="877"/>
        <v>0</v>
      </c>
      <c r="BE1527" s="325"/>
      <c r="BF1527" s="325"/>
      <c r="BG1527" s="325"/>
      <c r="BH1527" s="325"/>
      <c r="BI1527" s="325"/>
      <c r="BJ1527" s="325"/>
      <c r="BK1527" s="5">
        <f t="shared" ref="BK1527:BK1535" si="880">ROUND(SUM(BO1527:CI1527),0)</f>
        <v>0</v>
      </c>
      <c r="BL1527" s="325"/>
      <c r="BM1527" s="325"/>
      <c r="BN1527" s="325"/>
      <c r="BO1527" s="325"/>
      <c r="BP1527" s="325"/>
      <c r="BQ1527" s="325"/>
      <c r="BR1527" s="325"/>
      <c r="BS1527" s="325"/>
      <c r="BT1527" s="325"/>
      <c r="BU1527" s="325"/>
      <c r="BV1527" s="325"/>
      <c r="BW1527" s="325"/>
      <c r="BX1527" s="325"/>
      <c r="BY1527" s="325"/>
      <c r="BZ1527" s="325"/>
      <c r="CA1527" s="325"/>
      <c r="CB1527" s="325"/>
      <c r="CC1527" s="325"/>
      <c r="CD1527" s="325"/>
      <c r="CE1527" s="325"/>
      <c r="CF1527" s="325"/>
      <c r="CG1527" s="325"/>
      <c r="CH1527" s="325"/>
      <c r="CI1527" s="325"/>
      <c r="CM1527" s="1499">
        <f t="shared" si="867"/>
        <v>0</v>
      </c>
      <c r="CN1527" s="1499">
        <v>0</v>
      </c>
      <c r="CP1527" s="923">
        <f t="shared" si="866"/>
        <v>0</v>
      </c>
      <c r="CZ1527" s="330"/>
    </row>
    <row r="1528" spans="1:104" ht="15" customHeight="1" x14ac:dyDescent="0.25">
      <c r="A1528" s="684">
        <f>MAX($A$6:A1527)+1</f>
        <v>1528</v>
      </c>
      <c r="B1528" s="1060">
        <f t="shared" si="878"/>
        <v>14.399999999999999</v>
      </c>
      <c r="C1528" t="str">
        <f t="shared" si="879"/>
        <v>Analysis of Movement in Firefighters' Pension Scheme 2015 (CARE) liability</v>
      </c>
      <c r="E1528" s="7" t="s">
        <v>2394</v>
      </c>
      <c r="F1528" s="1282"/>
      <c r="G1528" s="1254" t="s">
        <v>286</v>
      </c>
      <c r="J1528" s="1257" t="s">
        <v>2017</v>
      </c>
      <c r="K1528" s="251">
        <f>SUMIF('NIFRS FF scheme liability'!$A54:$A65,$J1528,'NIFRS FF scheme liability'!$C54:$C65)</f>
        <v>0</v>
      </c>
      <c r="L1528" s="315"/>
      <c r="N1528" s="273">
        <f t="shared" si="870"/>
        <v>0</v>
      </c>
      <c r="S1528" s="6">
        <f t="shared" si="865"/>
        <v>0</v>
      </c>
      <c r="T1528" s="273">
        <f t="shared" si="871"/>
        <v>0</v>
      </c>
      <c r="BD1528" s="5">
        <f t="shared" si="877"/>
        <v>0</v>
      </c>
      <c r="BE1528" s="325"/>
      <c r="BF1528" s="325"/>
      <c r="BG1528" s="325"/>
      <c r="BH1528" s="325"/>
      <c r="BI1528" s="325"/>
      <c r="BJ1528" s="325"/>
      <c r="BK1528" s="5">
        <f t="shared" si="880"/>
        <v>0</v>
      </c>
      <c r="BL1528" s="325"/>
      <c r="BM1528" s="325"/>
      <c r="BN1528" s="325"/>
      <c r="BO1528" s="325"/>
      <c r="BP1528" s="325"/>
      <c r="BQ1528" s="325"/>
      <c r="BR1528" s="325"/>
      <c r="BS1528" s="325"/>
      <c r="BT1528" s="325"/>
      <c r="BU1528" s="325"/>
      <c r="BV1528" s="325"/>
      <c r="BW1528" s="325"/>
      <c r="BX1528" s="325"/>
      <c r="BY1528" s="325"/>
      <c r="BZ1528" s="325"/>
      <c r="CA1528" s="325"/>
      <c r="CB1528" s="325"/>
      <c r="CC1528" s="325"/>
      <c r="CD1528" s="325"/>
      <c r="CE1528" s="325"/>
      <c r="CF1528" s="325"/>
      <c r="CG1528" s="325"/>
      <c r="CH1528" s="325"/>
      <c r="CI1528" s="325"/>
      <c r="CM1528" s="1499">
        <f t="shared" si="867"/>
        <v>0</v>
      </c>
      <c r="CN1528" s="1499">
        <v>0</v>
      </c>
      <c r="CP1528" s="923">
        <f t="shared" si="866"/>
        <v>0</v>
      </c>
      <c r="CZ1528" s="330"/>
    </row>
    <row r="1529" spans="1:104" ht="15" customHeight="1" x14ac:dyDescent="0.25">
      <c r="A1529" s="684">
        <f>MAX($A$6:A1528)+1</f>
        <v>1529</v>
      </c>
      <c r="B1529" s="1060">
        <f t="shared" si="878"/>
        <v>14.399999999999999</v>
      </c>
      <c r="C1529" t="str">
        <f t="shared" si="879"/>
        <v>Analysis of Movement in Firefighters' Pension Scheme 2015 (CARE) liability</v>
      </c>
      <c r="E1529" s="2" t="s">
        <v>2396</v>
      </c>
      <c r="F1529" s="1282"/>
      <c r="G1529" s="1254" t="s">
        <v>286</v>
      </c>
      <c r="J1529" s="1257" t="s">
        <v>2018</v>
      </c>
      <c r="K1529" s="251">
        <f>SUMIF('NIFRS FF scheme liability'!$A54:$A65,$J1529,'NIFRS FF scheme liability'!$C54:$C65)</f>
        <v>0</v>
      </c>
      <c r="L1529" s="315"/>
      <c r="N1529" s="273">
        <f t="shared" si="870"/>
        <v>0</v>
      </c>
      <c r="S1529" s="6">
        <f t="shared" si="865"/>
        <v>0</v>
      </c>
      <c r="T1529" s="273">
        <f t="shared" si="871"/>
        <v>0</v>
      </c>
      <c r="BD1529" s="5">
        <f t="shared" si="877"/>
        <v>0</v>
      </c>
      <c r="BE1529" s="325"/>
      <c r="BF1529" s="325"/>
      <c r="BG1529" s="325"/>
      <c r="BH1529" s="325"/>
      <c r="BI1529" s="325"/>
      <c r="BJ1529" s="325"/>
      <c r="BK1529" s="5">
        <f t="shared" si="880"/>
        <v>0</v>
      </c>
      <c r="BL1529" s="325"/>
      <c r="BM1529" s="325"/>
      <c r="BN1529" s="325"/>
      <c r="BO1529" s="325"/>
      <c r="BP1529" s="325"/>
      <c r="BQ1529" s="325"/>
      <c r="BR1529" s="325"/>
      <c r="BS1529" s="325"/>
      <c r="BT1529" s="325"/>
      <c r="BU1529" s="325"/>
      <c r="BV1529" s="325"/>
      <c r="BW1529" s="325"/>
      <c r="BX1529" s="325"/>
      <c r="BY1529" s="325"/>
      <c r="BZ1529" s="325"/>
      <c r="CA1529" s="325"/>
      <c r="CB1529" s="325"/>
      <c r="CC1529" s="325"/>
      <c r="CD1529" s="325"/>
      <c r="CE1529" s="325"/>
      <c r="CF1529" s="325"/>
      <c r="CG1529" s="325"/>
      <c r="CH1529" s="325"/>
      <c r="CI1529" s="325"/>
      <c r="CM1529" s="1499">
        <f t="shared" si="867"/>
        <v>0</v>
      </c>
      <c r="CN1529" s="1499">
        <v>0</v>
      </c>
      <c r="CP1529" s="923">
        <f t="shared" si="866"/>
        <v>0</v>
      </c>
      <c r="CZ1529" s="330"/>
    </row>
    <row r="1530" spans="1:104" ht="15" customHeight="1" x14ac:dyDescent="0.25">
      <c r="A1530" s="684">
        <f>MAX($A$6:A1529)+1</f>
        <v>1530</v>
      </c>
      <c r="B1530" s="1060">
        <f t="shared" si="878"/>
        <v>14.399999999999999</v>
      </c>
      <c r="C1530" t="str">
        <f t="shared" si="879"/>
        <v>Analysis of Movement in Firefighters' Pension Scheme 2015 (CARE) liability</v>
      </c>
      <c r="E1530" s="7" t="s">
        <v>2397</v>
      </c>
      <c r="F1530" s="1282"/>
      <c r="G1530" s="1254" t="s">
        <v>286</v>
      </c>
      <c r="J1530" s="1257" t="s">
        <v>2019</v>
      </c>
      <c r="K1530" s="251">
        <f>SUMIF('NIFRS FF scheme liability'!$A54:$A65,$J1530,'NIFRS FF scheme liability'!$C54:$C65)</f>
        <v>0</v>
      </c>
      <c r="L1530" s="315"/>
      <c r="N1530" s="273">
        <f t="shared" si="870"/>
        <v>0</v>
      </c>
      <c r="S1530" s="6">
        <f t="shared" si="865"/>
        <v>0</v>
      </c>
      <c r="T1530" s="273">
        <f t="shared" si="871"/>
        <v>0</v>
      </c>
      <c r="BD1530" s="5">
        <f t="shared" si="877"/>
        <v>0</v>
      </c>
      <c r="BE1530" s="325"/>
      <c r="BF1530" s="325"/>
      <c r="BG1530" s="325"/>
      <c r="BH1530" s="325"/>
      <c r="BI1530" s="325"/>
      <c r="BJ1530" s="325"/>
      <c r="BK1530" s="5">
        <f t="shared" si="880"/>
        <v>0</v>
      </c>
      <c r="BL1530" s="325"/>
      <c r="BM1530" s="325"/>
      <c r="BN1530" s="325"/>
      <c r="BO1530" s="325"/>
      <c r="BP1530" s="325"/>
      <c r="BQ1530" s="325"/>
      <c r="BR1530" s="325"/>
      <c r="BS1530" s="325"/>
      <c r="BT1530" s="325"/>
      <c r="BU1530" s="325"/>
      <c r="BV1530" s="325"/>
      <c r="BW1530" s="325"/>
      <c r="BX1530" s="325"/>
      <c r="BY1530" s="325"/>
      <c r="BZ1530" s="325"/>
      <c r="CA1530" s="325"/>
      <c r="CB1530" s="325"/>
      <c r="CC1530" s="325"/>
      <c r="CD1530" s="325"/>
      <c r="CE1530" s="325"/>
      <c r="CF1530" s="325"/>
      <c r="CG1530" s="325"/>
      <c r="CH1530" s="325"/>
      <c r="CI1530" s="325"/>
      <c r="CM1530" s="1499">
        <f t="shared" si="867"/>
        <v>0</v>
      </c>
      <c r="CN1530" s="1499">
        <v>0</v>
      </c>
      <c r="CP1530" s="923">
        <f t="shared" si="866"/>
        <v>0</v>
      </c>
      <c r="CZ1530" s="330"/>
    </row>
    <row r="1531" spans="1:104" ht="15" customHeight="1" x14ac:dyDescent="0.25">
      <c r="A1531" s="684">
        <f>MAX($A$6:A1530)+1</f>
        <v>1531</v>
      </c>
      <c r="B1531" s="1060">
        <f t="shared" si="878"/>
        <v>14.399999999999999</v>
      </c>
      <c r="C1531" t="str">
        <f t="shared" si="879"/>
        <v>Analysis of Movement in Firefighters' Pension Scheme 2015 (CARE) liability</v>
      </c>
      <c r="E1531" s="436" t="str">
        <f>"At"&amp;Update!$B$22</f>
        <v>At 31 March 2026</v>
      </c>
      <c r="F1531" s="1282"/>
      <c r="G1531" s="1254" t="s">
        <v>286</v>
      </c>
      <c r="J1531" s="436" t="str">
        <f>"At"&amp;Update!$B$22</f>
        <v>At 31 March 2026</v>
      </c>
      <c r="K1531" s="251">
        <f>SUMIF('NIFRS FF scheme liability'!$A54:$A65,$J1531,'NIFRS FF scheme liability'!$C54:$C65)</f>
        <v>0</v>
      </c>
      <c r="L1531" s="315"/>
      <c r="N1531" s="273">
        <f t="shared" si="870"/>
        <v>0</v>
      </c>
      <c r="S1531" s="6">
        <f t="shared" si="865"/>
        <v>0</v>
      </c>
      <c r="T1531" s="273">
        <f t="shared" si="871"/>
        <v>0</v>
      </c>
      <c r="BD1531" s="5">
        <f t="shared" si="877"/>
        <v>0</v>
      </c>
      <c r="BE1531" s="325"/>
      <c r="BF1531" s="325"/>
      <c r="BG1531" s="325"/>
      <c r="BH1531" s="325"/>
      <c r="BI1531" s="325"/>
      <c r="BJ1531" s="325"/>
      <c r="BK1531" s="5">
        <f t="shared" si="880"/>
        <v>0</v>
      </c>
      <c r="BL1531" s="325"/>
      <c r="BM1531" s="325"/>
      <c r="BN1531" s="325"/>
      <c r="BO1531" s="325"/>
      <c r="BP1531" s="325"/>
      <c r="BQ1531" s="325"/>
      <c r="BR1531" s="325"/>
      <c r="BS1531" s="325"/>
      <c r="BT1531" s="325"/>
      <c r="BU1531" s="325"/>
      <c r="BV1531" s="325"/>
      <c r="BW1531" s="325"/>
      <c r="BX1531" s="325"/>
      <c r="BY1531" s="325"/>
      <c r="BZ1531" s="325"/>
      <c r="CA1531" s="325"/>
      <c r="CB1531" s="325"/>
      <c r="CC1531" s="325"/>
      <c r="CD1531" s="325"/>
      <c r="CE1531" s="325"/>
      <c r="CF1531" s="325"/>
      <c r="CG1531" s="325"/>
      <c r="CH1531" s="325"/>
      <c r="CI1531" s="325"/>
      <c r="CM1531" s="1499">
        <f t="shared" si="867"/>
        <v>0</v>
      </c>
      <c r="CN1531" s="1499">
        <v>0</v>
      </c>
      <c r="CP1531" s="923">
        <f t="shared" si="866"/>
        <v>0</v>
      </c>
      <c r="CZ1531" s="330"/>
    </row>
    <row r="1532" spans="1:104" ht="15" customHeight="1" x14ac:dyDescent="0.25">
      <c r="A1532" s="684">
        <f>MAX($A$6:A1531)+1</f>
        <v>1532</v>
      </c>
      <c r="B1532" s="1060">
        <f t="shared" si="878"/>
        <v>14.399999999999999</v>
      </c>
      <c r="C1532" t="str">
        <f t="shared" si="879"/>
        <v>Analysis of Movement in Firefighters' Pension Scheme 2015 (CARE) liability</v>
      </c>
      <c r="E1532" s="1262" t="s">
        <v>733</v>
      </c>
      <c r="F1532" s="1282"/>
      <c r="G1532" s="1254" t="s">
        <v>286</v>
      </c>
      <c r="J1532" s="1262" t="s">
        <v>733</v>
      </c>
      <c r="K1532" s="196" t="str">
        <f>'NIFRS FF scheme liability'!$A$68:$A$68</f>
        <v>During the year ended 31 March 2026 employee contributions ranged from X% to X% (X% to X%: 2024-25) of pensionable pay. Employer contributions represented an average of  X %  (X% : 2024-25).</v>
      </c>
      <c r="L1532" s="315"/>
      <c r="N1532" s="273">
        <f>ROUND(SUM(O1532:AU1532)-T1532,0)</f>
        <v>0</v>
      </c>
      <c r="S1532" s="6">
        <f t="shared" si="865"/>
        <v>0</v>
      </c>
      <c r="T1532" s="273">
        <f t="shared" si="871"/>
        <v>0</v>
      </c>
      <c r="BD1532" s="5">
        <f t="shared" si="877"/>
        <v>0</v>
      </c>
      <c r="BE1532" s="325"/>
      <c r="BF1532" s="325"/>
      <c r="BG1532" s="325"/>
      <c r="BH1532" s="325"/>
      <c r="BI1532" s="325"/>
      <c r="BJ1532" s="325"/>
      <c r="BK1532" s="5">
        <f t="shared" si="880"/>
        <v>0</v>
      </c>
      <c r="BL1532" s="325"/>
      <c r="BM1532" s="325"/>
      <c r="BN1532" s="325"/>
      <c r="BO1532" s="325"/>
      <c r="BP1532" s="325"/>
      <c r="BQ1532" s="325"/>
      <c r="BR1532" s="325"/>
      <c r="BS1532" s="325"/>
      <c r="BT1532" s="325"/>
      <c r="BU1532" s="325"/>
      <c r="BV1532" s="325"/>
      <c r="BW1532" s="325"/>
      <c r="BX1532" s="325"/>
      <c r="BY1532" s="325"/>
      <c r="BZ1532" s="325"/>
      <c r="CA1532" s="325"/>
      <c r="CB1532" s="325"/>
      <c r="CC1532" s="325"/>
      <c r="CD1532" s="325"/>
      <c r="CE1532" s="325"/>
      <c r="CF1532" s="325"/>
      <c r="CG1532" s="325"/>
      <c r="CH1532" s="325"/>
      <c r="CI1532" s="325"/>
      <c r="CM1532" s="1499">
        <f t="shared" si="867"/>
        <v>0</v>
      </c>
      <c r="CN1532" s="1499">
        <v>0</v>
      </c>
      <c r="CP1532" s="923">
        <f t="shared" si="866"/>
        <v>0</v>
      </c>
      <c r="CZ1532" s="330"/>
    </row>
    <row r="1533" spans="1:104" ht="18.75" customHeight="1" x14ac:dyDescent="0.25">
      <c r="A1533" s="1297">
        <f>MAX($A$6:A1532)+1</f>
        <v>1533</v>
      </c>
      <c r="B1533" s="1295">
        <f>SUMIF(Update!$B$33:$B$106,C1533,Update!$A$33:$A$106)</f>
        <v>14.499999999999998</v>
      </c>
      <c r="C1533" s="696" t="s">
        <v>2034</v>
      </c>
      <c r="D1533" s="695"/>
      <c r="E1533" s="696" t="str">
        <f>B1533&amp;" "&amp;C1533</f>
        <v>14.5 NILGOSC Scheme liability</v>
      </c>
      <c r="F1533" s="697"/>
      <c r="G1533" s="697"/>
      <c r="H1533" s="695"/>
      <c r="I1533" s="695"/>
      <c r="J1533" s="698" t="s">
        <v>286</v>
      </c>
      <c r="K1533" s="699"/>
      <c r="L1533" s="699"/>
      <c r="M1533" s="695"/>
      <c r="N1533" s="713">
        <f>ROUND(SUM(O1533:S1533)+T1533+SUM(Z1533:AV1533),0)</f>
        <v>0</v>
      </c>
      <c r="O1533" s="695"/>
      <c r="P1533" s="695"/>
      <c r="Q1533" s="695"/>
      <c r="R1533" s="695"/>
      <c r="S1533" s="695">
        <f>-IF(ISNUMBER(BD1533),BD1533,0)</f>
        <v>0</v>
      </c>
      <c r="T1533" s="713">
        <f>ROUND(SUM(U1533:Y1533),0)</f>
        <v>0</v>
      </c>
      <c r="U1533" s="695"/>
      <c r="V1533" s="695"/>
      <c r="W1533" s="695"/>
      <c r="X1533" s="695"/>
      <c r="Y1533" s="695"/>
      <c r="Z1533" s="695"/>
      <c r="AA1533" s="695"/>
      <c r="AB1533" s="695"/>
      <c r="AC1533" s="695"/>
      <c r="AD1533" s="695"/>
      <c r="AE1533" s="695"/>
      <c r="AF1533" s="695"/>
      <c r="AG1533" s="695"/>
      <c r="AH1533" s="695"/>
      <c r="AI1533" s="695"/>
      <c r="AJ1533" s="695"/>
      <c r="AK1533" s="695"/>
      <c r="AL1533" s="695"/>
      <c r="AM1533" s="695"/>
      <c r="AN1533" s="695"/>
      <c r="AO1533" s="695"/>
      <c r="AP1533" s="695"/>
      <c r="AQ1533" s="695"/>
      <c r="AR1533" s="695"/>
      <c r="AS1533" s="695"/>
      <c r="AT1533" s="695"/>
      <c r="AU1533" s="695"/>
      <c r="AV1533" s="695"/>
      <c r="AW1533" s="700"/>
      <c r="AX1533" s="700"/>
      <c r="AY1533" s="700">
        <f>ROUND(AX1533/1000/Update!$B$31*Update!$B$27,0)</f>
        <v>0</v>
      </c>
      <c r="AZ1533" s="700"/>
      <c r="BA1533" s="700"/>
      <c r="BB1533" s="700">
        <f>ROUND(BA1533/1000/Update!$B$31,0)</f>
        <v>0</v>
      </c>
      <c r="BC1533" s="700"/>
      <c r="BD1533" s="721">
        <f>ROUND(SUM(BE1533:BK1533),0)</f>
        <v>0</v>
      </c>
      <c r="BE1533" s="700"/>
      <c r="BF1533" s="700"/>
      <c r="BG1533" s="700"/>
      <c r="BH1533" s="700"/>
      <c r="BI1533" s="700"/>
      <c r="BJ1533" s="700"/>
      <c r="BK1533" s="721">
        <f t="shared" si="880"/>
        <v>0</v>
      </c>
      <c r="BL1533" s="700"/>
      <c r="BM1533" s="700"/>
      <c r="BN1533" s="700"/>
      <c r="BO1533" s="700"/>
      <c r="BP1533" s="700"/>
      <c r="BQ1533" s="700"/>
      <c r="BR1533" s="700"/>
      <c r="BS1533" s="700"/>
      <c r="BT1533" s="700"/>
      <c r="BU1533" s="700"/>
      <c r="BV1533" s="700"/>
      <c r="BW1533" s="700"/>
      <c r="BX1533" s="700"/>
      <c r="BY1533" s="700"/>
      <c r="BZ1533" s="700"/>
      <c r="CA1533" s="700"/>
      <c r="CB1533" s="700"/>
      <c r="CC1533" s="700"/>
      <c r="CD1533" s="700"/>
      <c r="CE1533" s="700"/>
      <c r="CF1533" s="700"/>
      <c r="CG1533" s="700"/>
      <c r="CH1533" s="700"/>
      <c r="CI1533" s="700"/>
      <c r="CJ1533" s="700"/>
      <c r="CK1533" s="700"/>
      <c r="CM1533" s="700">
        <f t="shared" si="867"/>
        <v>0</v>
      </c>
      <c r="CN1533" s="700">
        <v>0</v>
      </c>
      <c r="CP1533" s="923">
        <f t="shared" si="866"/>
        <v>0</v>
      </c>
      <c r="CZ1533" s="330"/>
    </row>
    <row r="1534" spans="1:104" ht="15" customHeight="1" x14ac:dyDescent="0.25">
      <c r="A1534" s="684">
        <f>MAX($A$6:A1533)+1</f>
        <v>1534</v>
      </c>
      <c r="B1534" s="1301">
        <f t="shared" ref="B1534:C1541" si="881">B1533</f>
        <v>14.499999999999998</v>
      </c>
      <c r="C1534" s="11" t="str">
        <f t="shared" si="881"/>
        <v>NILGOSC Scheme liability</v>
      </c>
      <c r="D1534" s="11" t="s">
        <v>2398</v>
      </c>
      <c r="E1534" s="7" t="str">
        <f>"At"&amp;Update!$B$20</f>
        <v>At 1 April 2025</v>
      </c>
      <c r="F1534" s="1283"/>
      <c r="G1534" s="1267" t="str">
        <f>"At"&amp;Update!$B$20</f>
        <v>At 1 April 2025</v>
      </c>
      <c r="H1534" s="6">
        <v>0</v>
      </c>
      <c r="I1534" s="1190"/>
      <c r="J1534" s="1267" t="str">
        <f>"At"&amp;Update!$B$20</f>
        <v>At 1 April 2025</v>
      </c>
      <c r="K1534" s="251">
        <f>SUMIF('NIFRS NILGOSC scheme liability'!$A:$A,J1534,'NIFRS NILGOSC scheme liability'!$B:$B)</f>
        <v>0</v>
      </c>
      <c r="L1534" s="266"/>
      <c r="M1534" s="10"/>
      <c r="N1534" s="273">
        <f>ROUND(SUM(O1534:S1534)+T1534+SUM(Z1534:AV1534),0)</f>
        <v>0</v>
      </c>
      <c r="O1534" s="12"/>
      <c r="P1534" s="12"/>
      <c r="Q1534" s="12"/>
      <c r="R1534" s="12"/>
      <c r="S1534" s="6">
        <f>-IF(ISNUMBER(BD1534),BD1534,0)</f>
        <v>0</v>
      </c>
      <c r="T1534" s="273">
        <f>ROUND(SUM(U1534:Y1534),0)</f>
        <v>0</v>
      </c>
      <c r="U1534" s="6">
        <f>SUM(BL1534:BN1534)</f>
        <v>0</v>
      </c>
      <c r="V1534" s="6"/>
      <c r="W1534" s="6">
        <v>0</v>
      </c>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X1534" s="6"/>
      <c r="AY1534" s="6">
        <f>ROUND(AX1534/1000/Update!$B$31*Update!$B$27,0)</f>
        <v>0</v>
      </c>
      <c r="BA1534" s="6"/>
      <c r="BB1534" s="6">
        <f>ROUND(BA1534/1000/Update!$B$31,0)</f>
        <v>0</v>
      </c>
      <c r="BC1534" s="6"/>
      <c r="BD1534" s="29">
        <f>ROUND(SUM(BE1534:BK1534),0)</f>
        <v>0</v>
      </c>
      <c r="BE1534" s="317"/>
      <c r="BF1534" s="317"/>
      <c r="BG1534" s="317"/>
      <c r="BH1534" s="317"/>
      <c r="BI1534" s="317"/>
      <c r="BJ1534" s="317"/>
      <c r="BK1534" s="29">
        <f t="shared" si="880"/>
        <v>0</v>
      </c>
      <c r="BL1534" s="317"/>
      <c r="BM1534" s="317"/>
      <c r="BN1534" s="317"/>
      <c r="BO1534" s="317"/>
      <c r="BP1534" s="317"/>
      <c r="BQ1534" s="317"/>
      <c r="BR1534" s="317"/>
      <c r="BS1534" s="317"/>
      <c r="BT1534" s="317"/>
      <c r="BU1534" s="317"/>
      <c r="BV1534" s="317"/>
      <c r="BW1534" s="317"/>
      <c r="BX1534" s="317"/>
      <c r="BY1534" s="317"/>
      <c r="BZ1534" s="317"/>
      <c r="CA1534" s="317"/>
      <c r="CB1534" s="317"/>
      <c r="CC1534" s="317"/>
      <c r="CD1534" s="317"/>
      <c r="CE1534" s="317"/>
      <c r="CF1534" s="317"/>
      <c r="CG1534" s="317"/>
      <c r="CH1534" s="317"/>
      <c r="CI1534" s="317"/>
      <c r="CM1534" s="1139">
        <f t="shared" si="867"/>
        <v>0</v>
      </c>
      <c r="CN1534" s="1139">
        <v>0</v>
      </c>
      <c r="CP1534" s="923">
        <f t="shared" si="866"/>
        <v>0</v>
      </c>
      <c r="CZ1534" s="330"/>
    </row>
    <row r="1535" spans="1:104" ht="15" customHeight="1" x14ac:dyDescent="0.25">
      <c r="A1535" s="684">
        <f>MAX($A$6:A1534)+1</f>
        <v>1535</v>
      </c>
      <c r="B1535" s="1301">
        <f t="shared" si="881"/>
        <v>14.499999999999998</v>
      </c>
      <c r="C1535" s="11" t="str">
        <f t="shared" si="881"/>
        <v>NILGOSC Scheme liability</v>
      </c>
      <c r="D1535" s="11" t="s">
        <v>2398</v>
      </c>
      <c r="E1535" s="7" t="s">
        <v>2391</v>
      </c>
      <c r="F1535" s="1267"/>
      <c r="G1535" s="1254" t="s">
        <v>286</v>
      </c>
      <c r="H1535" s="6">
        <v>0</v>
      </c>
      <c r="I1535" s="1190"/>
      <c r="J1535" s="7" t="s">
        <v>2391</v>
      </c>
      <c r="K1535" s="251">
        <f>SUMIF('NIFRS NILGOSC scheme liability'!$A:$A,J1535,'NIFRS NILGOSC scheme liability'!$B:$B)</f>
        <v>0</v>
      </c>
      <c r="L1535" s="251">
        <f>SUMIF('alb Note 15.1- Financial Guar'!$A:$A,$J$1556,'alb Note 15.1- Financial Guar'!$I:$I)</f>
        <v>0</v>
      </c>
      <c r="M1535" s="10"/>
      <c r="N1535" s="273">
        <f>ROUND(SUM(O1535:S1535)+T1535+SUM(Z1535:AV1535),0)</f>
        <v>0</v>
      </c>
      <c r="O1535" s="12"/>
      <c r="P1535" s="12"/>
      <c r="Q1535" s="12"/>
      <c r="R1535" s="12"/>
      <c r="S1535" s="6">
        <f>-IF(ISNUMBER(BD1535),BD1535,0)</f>
        <v>0</v>
      </c>
      <c r="T1535" s="273">
        <f>ROUND(SUM(U1535:Y1535),0)</f>
        <v>0</v>
      </c>
      <c r="U1535" s="6">
        <f>SUM(BL1535:BN1535)</f>
        <v>0</v>
      </c>
      <c r="V1535" s="6"/>
      <c r="W1535" s="6">
        <v>0</v>
      </c>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X1535" s="6"/>
      <c r="AY1535" s="6">
        <f>ROUND(AX1535/1000/Update!$B$31*Update!$B$27,0)</f>
        <v>0</v>
      </c>
      <c r="BA1535" s="6"/>
      <c r="BB1535" s="6">
        <f>ROUND(BA1535/1000/Update!$B$31,0)</f>
        <v>0</v>
      </c>
      <c r="BC1535" s="6"/>
      <c r="BD1535" s="29">
        <f>ROUND(SUM(BE1535:BK1535),0)</f>
        <v>0</v>
      </c>
      <c r="BE1535" s="317"/>
      <c r="BF1535" s="317"/>
      <c r="BG1535" s="317"/>
      <c r="BH1535" s="317"/>
      <c r="BI1535" s="317"/>
      <c r="BJ1535" s="317"/>
      <c r="BK1535" s="29">
        <f t="shared" si="880"/>
        <v>0</v>
      </c>
      <c r="BL1535" s="317"/>
      <c r="BM1535" s="317"/>
      <c r="BN1535" s="317"/>
      <c r="BO1535" s="317"/>
      <c r="BP1535" s="317"/>
      <c r="BQ1535" s="317"/>
      <c r="BR1535" s="317"/>
      <c r="BS1535" s="317"/>
      <c r="BT1535" s="317"/>
      <c r="BU1535" s="317"/>
      <c r="BV1535" s="317"/>
      <c r="BW1535" s="317"/>
      <c r="BX1535" s="317"/>
      <c r="BY1535" s="317"/>
      <c r="BZ1535" s="317"/>
      <c r="CA1535" s="317"/>
      <c r="CB1535" s="317"/>
      <c r="CC1535" s="317"/>
      <c r="CD1535" s="317"/>
      <c r="CE1535" s="317"/>
      <c r="CF1535" s="317"/>
      <c r="CG1535" s="317"/>
      <c r="CH1535" s="317"/>
      <c r="CI1535" s="317"/>
      <c r="CM1535" s="1139">
        <f t="shared" si="867"/>
        <v>0</v>
      </c>
      <c r="CN1535" s="1139">
        <v>0</v>
      </c>
      <c r="CP1535" s="923">
        <f t="shared" si="866"/>
        <v>0</v>
      </c>
      <c r="CZ1535" s="330"/>
    </row>
    <row r="1536" spans="1:104" ht="15" customHeight="1" x14ac:dyDescent="0.25">
      <c r="A1536" s="684">
        <f>MAX($A$6:A1535)+1</f>
        <v>1536</v>
      </c>
      <c r="B1536" s="1301">
        <f t="shared" si="881"/>
        <v>14.499999999999998</v>
      </c>
      <c r="C1536" s="11" t="str">
        <f t="shared" si="881"/>
        <v>NILGOSC Scheme liability</v>
      </c>
      <c r="D1536" s="11" t="s">
        <v>2398</v>
      </c>
      <c r="E1536" s="7" t="s">
        <v>2392</v>
      </c>
      <c r="F1536" s="1267"/>
      <c r="G1536" s="1254" t="s">
        <v>286</v>
      </c>
      <c r="H1536" s="6">
        <v>0</v>
      </c>
      <c r="I1536" s="1190"/>
      <c r="J1536" s="7" t="s">
        <v>2392</v>
      </c>
      <c r="K1536" s="251">
        <f>SUMIF('NIFRS NILGOSC scheme liability'!$A:$A,J1536,'NIFRS NILGOSC scheme liability'!$B:$B)</f>
        <v>0</v>
      </c>
      <c r="L1536" s="251">
        <f>SUMIF('alb Note 15.1- Financial Guar'!$A:$A,$J$1556,'alb Note 15.1- Financial Guar'!$I:$I)</f>
        <v>0</v>
      </c>
      <c r="M1536" s="10"/>
      <c r="N1536" s="273">
        <f t="shared" ref="N1536:N1541" si="882">ROUND(SUM(O1536:S1536)+T1536+SUM(Z1536:AV1536),0)</f>
        <v>0</v>
      </c>
      <c r="O1536" s="12"/>
      <c r="P1536" s="12"/>
      <c r="Q1536" s="12"/>
      <c r="R1536" s="12"/>
      <c r="S1536" s="6">
        <f t="shared" ref="S1536:S1541" si="883">-IF(ISNUMBER(BD1536),BD1536,0)</f>
        <v>0</v>
      </c>
      <c r="T1536" s="273">
        <f t="shared" ref="T1536:T1541" si="884">ROUND(SUM(U1536:Y1536),0)</f>
        <v>0</v>
      </c>
      <c r="U1536" s="6">
        <f t="shared" ref="U1536:U1541" si="885">SUM(BL1536:BN1536)</f>
        <v>0</v>
      </c>
      <c r="V1536" s="6"/>
      <c r="W1536" s="6">
        <v>0</v>
      </c>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X1536" s="6"/>
      <c r="AY1536" s="6">
        <f>ROUND(AX1536/1000/Update!$B$31*Update!$B$27,0)</f>
        <v>0</v>
      </c>
      <c r="BA1536" s="6"/>
      <c r="BB1536" s="6">
        <f>ROUND(BA1536/1000/Update!$B$31,0)</f>
        <v>0</v>
      </c>
      <c r="BC1536" s="6"/>
      <c r="BD1536" s="29">
        <f t="shared" ref="BD1536:BD1541" si="886">ROUND(SUM(BE1536:BK1536),0)</f>
        <v>0</v>
      </c>
      <c r="BE1536" s="317"/>
      <c r="BF1536" s="317"/>
      <c r="BG1536" s="317"/>
      <c r="BH1536" s="317"/>
      <c r="BI1536" s="317"/>
      <c r="BJ1536" s="317"/>
      <c r="BK1536" s="29">
        <f t="shared" ref="BK1536:BK1541" si="887">ROUND(SUM(BO1536:CI1536),0)</f>
        <v>0</v>
      </c>
      <c r="BL1536" s="317"/>
      <c r="BM1536" s="317"/>
      <c r="BN1536" s="317"/>
      <c r="BO1536" s="317"/>
      <c r="BP1536" s="317"/>
      <c r="BQ1536" s="317"/>
      <c r="BR1536" s="317"/>
      <c r="BS1536" s="317"/>
      <c r="BT1536" s="317"/>
      <c r="BU1536" s="317"/>
      <c r="BV1536" s="317"/>
      <c r="BW1536" s="317"/>
      <c r="BX1536" s="317"/>
      <c r="BY1536" s="317"/>
      <c r="BZ1536" s="317"/>
      <c r="CA1536" s="317"/>
      <c r="CB1536" s="317"/>
      <c r="CC1536" s="317"/>
      <c r="CD1536" s="317"/>
      <c r="CE1536" s="317"/>
      <c r="CF1536" s="317"/>
      <c r="CG1536" s="317"/>
      <c r="CH1536" s="317"/>
      <c r="CI1536" s="317"/>
      <c r="CM1536" s="1139">
        <f t="shared" si="867"/>
        <v>0</v>
      </c>
      <c r="CN1536" s="1139">
        <v>0</v>
      </c>
      <c r="CP1536" s="923">
        <f t="shared" si="866"/>
        <v>0</v>
      </c>
      <c r="CZ1536" s="330"/>
    </row>
    <row r="1537" spans="1:104" ht="15" customHeight="1" x14ac:dyDescent="0.25">
      <c r="A1537" s="684">
        <f>MAX($A$6:A1536)+1</f>
        <v>1537</v>
      </c>
      <c r="B1537" s="1301">
        <f t="shared" si="881"/>
        <v>14.499999999999998</v>
      </c>
      <c r="C1537" s="11" t="str">
        <f t="shared" si="881"/>
        <v>NILGOSC Scheme liability</v>
      </c>
      <c r="D1537" s="11" t="s">
        <v>2398</v>
      </c>
      <c r="E1537" s="7" t="s">
        <v>2393</v>
      </c>
      <c r="F1537" s="1267"/>
      <c r="G1537" s="1254" t="s">
        <v>286</v>
      </c>
      <c r="H1537" s="6">
        <v>0</v>
      </c>
      <c r="I1537" s="1190"/>
      <c r="J1537" s="7" t="s">
        <v>2393</v>
      </c>
      <c r="K1537" s="251">
        <f>SUMIF('NIFRS NILGOSC scheme liability'!$A:$A,J1537,'NIFRS NILGOSC scheme liability'!$B:$B)</f>
        <v>0</v>
      </c>
      <c r="L1537" s="251">
        <f>SUMIF('alb Note 15.1- Financial Guar'!$A:$A,$J$1556,'alb Note 15.1- Financial Guar'!$I:$I)</f>
        <v>0</v>
      </c>
      <c r="M1537" s="10"/>
      <c r="N1537" s="273">
        <f t="shared" si="882"/>
        <v>0</v>
      </c>
      <c r="O1537" s="12"/>
      <c r="P1537" s="12"/>
      <c r="Q1537" s="12"/>
      <c r="R1537" s="12"/>
      <c r="S1537" s="6">
        <f t="shared" si="883"/>
        <v>0</v>
      </c>
      <c r="T1537" s="273">
        <f t="shared" si="884"/>
        <v>0</v>
      </c>
      <c r="U1537" s="6">
        <f t="shared" si="885"/>
        <v>0</v>
      </c>
      <c r="V1537" s="6"/>
      <c r="W1537" s="6">
        <v>0</v>
      </c>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X1537" s="6"/>
      <c r="AY1537" s="6">
        <f>ROUND(AX1537/1000/Update!$B$31*Update!$B$27,0)</f>
        <v>0</v>
      </c>
      <c r="BA1537" s="6"/>
      <c r="BB1537" s="6">
        <f>ROUND(BA1537/1000/Update!$B$31,0)</f>
        <v>0</v>
      </c>
      <c r="BC1537" s="6"/>
      <c r="BD1537" s="29">
        <f t="shared" si="886"/>
        <v>0</v>
      </c>
      <c r="BE1537" s="317"/>
      <c r="BF1537" s="317"/>
      <c r="BG1537" s="317"/>
      <c r="BH1537" s="317"/>
      <c r="BI1537" s="317"/>
      <c r="BJ1537" s="317"/>
      <c r="BK1537" s="29">
        <f t="shared" si="887"/>
        <v>0</v>
      </c>
      <c r="BL1537" s="317"/>
      <c r="BM1537" s="317"/>
      <c r="BN1537" s="317"/>
      <c r="BO1537" s="317"/>
      <c r="BP1537" s="317"/>
      <c r="BQ1537" s="317"/>
      <c r="BR1537" s="317"/>
      <c r="BS1537" s="317"/>
      <c r="BT1537" s="317"/>
      <c r="BU1537" s="317"/>
      <c r="BV1537" s="317"/>
      <c r="BW1537" s="317"/>
      <c r="BX1537" s="317"/>
      <c r="BY1537" s="317"/>
      <c r="BZ1537" s="317"/>
      <c r="CA1537" s="317"/>
      <c r="CB1537" s="317"/>
      <c r="CC1537" s="317"/>
      <c r="CD1537" s="317"/>
      <c r="CE1537" s="317"/>
      <c r="CF1537" s="317"/>
      <c r="CG1537" s="317"/>
      <c r="CH1537" s="317"/>
      <c r="CI1537" s="317"/>
      <c r="CM1537" s="1139">
        <f t="shared" si="867"/>
        <v>0</v>
      </c>
      <c r="CN1537" s="1139">
        <v>0</v>
      </c>
      <c r="CP1537" s="923">
        <f t="shared" si="866"/>
        <v>0</v>
      </c>
      <c r="CZ1537" s="330"/>
    </row>
    <row r="1538" spans="1:104" ht="15" customHeight="1" x14ac:dyDescent="0.25">
      <c r="A1538" s="684">
        <f>MAX($A$6:A1537)+1</f>
        <v>1538</v>
      </c>
      <c r="B1538" s="1301">
        <f t="shared" si="881"/>
        <v>14.499999999999998</v>
      </c>
      <c r="C1538" s="11" t="str">
        <f t="shared" si="881"/>
        <v>NILGOSC Scheme liability</v>
      </c>
      <c r="D1538" s="11" t="s">
        <v>2398</v>
      </c>
      <c r="E1538" s="7" t="s">
        <v>2394</v>
      </c>
      <c r="F1538" s="1267"/>
      <c r="G1538" s="1254" t="s">
        <v>286</v>
      </c>
      <c r="H1538" s="6">
        <v>0</v>
      </c>
      <c r="I1538" s="1190"/>
      <c r="J1538" s="7" t="s">
        <v>2394</v>
      </c>
      <c r="K1538" s="251">
        <f>SUMIF('NIFRS NILGOSC scheme liability'!$A:$A,J1538,'NIFRS NILGOSC scheme liability'!$B:$B)</f>
        <v>0</v>
      </c>
      <c r="L1538" s="251">
        <f>SUMIF('alb Note 15.1- Financial Guar'!$A:$A,$J$1556,'alb Note 15.1- Financial Guar'!$I:$I)</f>
        <v>0</v>
      </c>
      <c r="M1538" s="10"/>
      <c r="N1538" s="273">
        <f t="shared" si="882"/>
        <v>0</v>
      </c>
      <c r="O1538" s="12"/>
      <c r="P1538" s="12"/>
      <c r="Q1538" s="12"/>
      <c r="R1538" s="12"/>
      <c r="S1538" s="6">
        <f t="shared" si="883"/>
        <v>0</v>
      </c>
      <c r="T1538" s="273">
        <f t="shared" si="884"/>
        <v>0</v>
      </c>
      <c r="U1538" s="6">
        <f t="shared" si="885"/>
        <v>0</v>
      </c>
      <c r="V1538" s="6"/>
      <c r="W1538" s="6">
        <v>0</v>
      </c>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X1538" s="6"/>
      <c r="AY1538" s="6">
        <f>ROUND(AX1538/1000/Update!$B$31*Update!$B$27,0)</f>
        <v>0</v>
      </c>
      <c r="BA1538" s="6"/>
      <c r="BB1538" s="6">
        <f>ROUND(BA1538/1000/Update!$B$31,0)</f>
        <v>0</v>
      </c>
      <c r="BC1538" s="6"/>
      <c r="BD1538" s="29">
        <f t="shared" si="886"/>
        <v>0</v>
      </c>
      <c r="BE1538" s="317"/>
      <c r="BF1538" s="317"/>
      <c r="BG1538" s="317"/>
      <c r="BH1538" s="317"/>
      <c r="BI1538" s="317"/>
      <c r="BJ1538" s="317"/>
      <c r="BK1538" s="29">
        <f t="shared" si="887"/>
        <v>0</v>
      </c>
      <c r="BL1538" s="317"/>
      <c r="BM1538" s="317"/>
      <c r="BN1538" s="317"/>
      <c r="BO1538" s="317"/>
      <c r="BP1538" s="317"/>
      <c r="BQ1538" s="317"/>
      <c r="BR1538" s="317"/>
      <c r="BS1538" s="317"/>
      <c r="BT1538" s="317"/>
      <c r="BU1538" s="317"/>
      <c r="BV1538" s="317"/>
      <c r="BW1538" s="317"/>
      <c r="BX1538" s="317"/>
      <c r="BY1538" s="317"/>
      <c r="BZ1538" s="317"/>
      <c r="CA1538" s="317"/>
      <c r="CB1538" s="317"/>
      <c r="CC1538" s="317"/>
      <c r="CD1538" s="317"/>
      <c r="CE1538" s="317"/>
      <c r="CF1538" s="317"/>
      <c r="CG1538" s="317"/>
      <c r="CH1538" s="317"/>
      <c r="CI1538" s="317"/>
      <c r="CM1538" s="1139">
        <f t="shared" si="867"/>
        <v>0</v>
      </c>
      <c r="CN1538" s="1139">
        <v>0</v>
      </c>
      <c r="CP1538" s="923">
        <f t="shared" si="866"/>
        <v>0</v>
      </c>
      <c r="CZ1538" s="330"/>
    </row>
    <row r="1539" spans="1:104" ht="15" customHeight="1" x14ac:dyDescent="0.25">
      <c r="A1539" s="684">
        <f>MAX($A$6:A1538)+1</f>
        <v>1539</v>
      </c>
      <c r="B1539" s="1301">
        <f t="shared" si="881"/>
        <v>14.499999999999998</v>
      </c>
      <c r="C1539" s="11" t="str">
        <f t="shared" si="881"/>
        <v>NILGOSC Scheme liability</v>
      </c>
      <c r="D1539" s="11" t="s">
        <v>2398</v>
      </c>
      <c r="E1539" s="7" t="s">
        <v>2395</v>
      </c>
      <c r="F1539" s="1267"/>
      <c r="G1539" s="1254" t="s">
        <v>286</v>
      </c>
      <c r="H1539" s="6">
        <v>0</v>
      </c>
      <c r="I1539" s="1190"/>
      <c r="J1539" s="7" t="s">
        <v>2395</v>
      </c>
      <c r="K1539" s="251">
        <f>SUMIF('NIFRS NILGOSC scheme liability'!$A:$A,J1539,'NIFRS NILGOSC scheme liability'!$B:$B)</f>
        <v>0</v>
      </c>
      <c r="L1539" s="251">
        <f>SUMIF('alb Note 15.1- Financial Guar'!$A:$A,$J$1556,'alb Note 15.1- Financial Guar'!$I:$I)</f>
        <v>0</v>
      </c>
      <c r="M1539" s="10"/>
      <c r="N1539" s="273">
        <f t="shared" si="882"/>
        <v>0</v>
      </c>
      <c r="O1539" s="12"/>
      <c r="P1539" s="12"/>
      <c r="Q1539" s="12"/>
      <c r="R1539" s="12"/>
      <c r="S1539" s="6">
        <f t="shared" si="883"/>
        <v>0</v>
      </c>
      <c r="T1539" s="273">
        <f t="shared" si="884"/>
        <v>0</v>
      </c>
      <c r="U1539" s="6">
        <f t="shared" si="885"/>
        <v>0</v>
      </c>
      <c r="V1539" s="6"/>
      <c r="W1539" s="6">
        <v>0</v>
      </c>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X1539" s="6"/>
      <c r="AY1539" s="6">
        <f>ROUND(AX1539/1000/Update!$B$31*Update!$B$27,0)</f>
        <v>0</v>
      </c>
      <c r="BA1539" s="6"/>
      <c r="BB1539" s="6">
        <f>ROUND(BA1539/1000/Update!$B$31,0)</f>
        <v>0</v>
      </c>
      <c r="BC1539" s="6"/>
      <c r="BD1539" s="29">
        <f t="shared" si="886"/>
        <v>0</v>
      </c>
      <c r="BE1539" s="317"/>
      <c r="BF1539" s="317"/>
      <c r="BG1539" s="317"/>
      <c r="BH1539" s="317"/>
      <c r="BI1539" s="317"/>
      <c r="BJ1539" s="317"/>
      <c r="BK1539" s="29">
        <f t="shared" si="887"/>
        <v>0</v>
      </c>
      <c r="BL1539" s="317"/>
      <c r="BM1539" s="317"/>
      <c r="BN1539" s="317"/>
      <c r="BO1539" s="317"/>
      <c r="BP1539" s="317"/>
      <c r="BQ1539" s="317"/>
      <c r="BR1539" s="317"/>
      <c r="BS1539" s="317"/>
      <c r="BT1539" s="317"/>
      <c r="BU1539" s="317"/>
      <c r="BV1539" s="317"/>
      <c r="BW1539" s="317"/>
      <c r="BX1539" s="317"/>
      <c r="BY1539" s="317"/>
      <c r="BZ1539" s="317"/>
      <c r="CA1539" s="317"/>
      <c r="CB1539" s="317"/>
      <c r="CC1539" s="317"/>
      <c r="CD1539" s="317"/>
      <c r="CE1539" s="317"/>
      <c r="CF1539" s="317"/>
      <c r="CG1539" s="317"/>
      <c r="CH1539" s="317"/>
      <c r="CI1539" s="317"/>
      <c r="CM1539" s="1139">
        <f t="shared" si="867"/>
        <v>0</v>
      </c>
      <c r="CN1539" s="1139">
        <v>0</v>
      </c>
      <c r="CP1539" s="923">
        <f t="shared" si="866"/>
        <v>0</v>
      </c>
      <c r="CZ1539" s="330"/>
    </row>
    <row r="1540" spans="1:104" ht="15" customHeight="1" x14ac:dyDescent="0.25">
      <c r="A1540" s="684">
        <f>MAX($A$6:A1539)+1</f>
        <v>1540</v>
      </c>
      <c r="B1540" s="1301">
        <f t="shared" si="881"/>
        <v>14.499999999999998</v>
      </c>
      <c r="C1540" s="11" t="str">
        <f t="shared" si="881"/>
        <v>NILGOSC Scheme liability</v>
      </c>
      <c r="D1540" s="11" t="s">
        <v>2398</v>
      </c>
      <c r="E1540" s="7" t="s">
        <v>2396</v>
      </c>
      <c r="F1540" s="1267"/>
      <c r="G1540" s="1254" t="s">
        <v>286</v>
      </c>
      <c r="H1540" s="6">
        <v>0</v>
      </c>
      <c r="I1540" s="1190"/>
      <c r="J1540" s="7" t="s">
        <v>2396</v>
      </c>
      <c r="K1540" s="251">
        <f>SUMIF('NIFRS NILGOSC scheme liability'!$A:$A,J1540,'NIFRS NILGOSC scheme liability'!$B:$B)</f>
        <v>0</v>
      </c>
      <c r="L1540" s="251">
        <f>SUMIF('alb Note 15.1- Financial Guar'!$A:$A,$J$1556,'alb Note 15.1- Financial Guar'!$I:$I)</f>
        <v>0</v>
      </c>
      <c r="M1540" s="10"/>
      <c r="N1540" s="273">
        <f t="shared" si="882"/>
        <v>0</v>
      </c>
      <c r="O1540" s="12"/>
      <c r="P1540" s="12"/>
      <c r="Q1540" s="12"/>
      <c r="R1540" s="12"/>
      <c r="S1540" s="6">
        <f t="shared" si="883"/>
        <v>0</v>
      </c>
      <c r="T1540" s="273">
        <f t="shared" si="884"/>
        <v>0</v>
      </c>
      <c r="U1540" s="6">
        <f t="shared" si="885"/>
        <v>0</v>
      </c>
      <c r="V1540" s="6"/>
      <c r="W1540" s="6">
        <v>0</v>
      </c>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X1540" s="6"/>
      <c r="AY1540" s="6">
        <f>ROUND(AX1540/1000/Update!$B$31*Update!$B$27,0)</f>
        <v>0</v>
      </c>
      <c r="BA1540" s="6"/>
      <c r="BB1540" s="6">
        <f>ROUND(BA1540/1000/Update!$B$31,0)</f>
        <v>0</v>
      </c>
      <c r="BC1540" s="6"/>
      <c r="BD1540" s="29">
        <f t="shared" si="886"/>
        <v>0</v>
      </c>
      <c r="BE1540" s="317"/>
      <c r="BF1540" s="317"/>
      <c r="BG1540" s="317"/>
      <c r="BH1540" s="317"/>
      <c r="BI1540" s="317"/>
      <c r="BJ1540" s="317"/>
      <c r="BK1540" s="29">
        <f t="shared" si="887"/>
        <v>0</v>
      </c>
      <c r="BL1540" s="317"/>
      <c r="BM1540" s="317"/>
      <c r="BN1540" s="317"/>
      <c r="BO1540" s="317"/>
      <c r="BP1540" s="317"/>
      <c r="BQ1540" s="317"/>
      <c r="BR1540" s="317"/>
      <c r="BS1540" s="317"/>
      <c r="BT1540" s="317"/>
      <c r="BU1540" s="317"/>
      <c r="BV1540" s="317"/>
      <c r="BW1540" s="317"/>
      <c r="BX1540" s="317"/>
      <c r="BY1540" s="317"/>
      <c r="BZ1540" s="317"/>
      <c r="CA1540" s="317"/>
      <c r="CB1540" s="317"/>
      <c r="CC1540" s="317"/>
      <c r="CD1540" s="317"/>
      <c r="CE1540" s="317"/>
      <c r="CF1540" s="317"/>
      <c r="CG1540" s="317"/>
      <c r="CH1540" s="317"/>
      <c r="CI1540" s="317"/>
      <c r="CM1540" s="1139">
        <f t="shared" si="867"/>
        <v>0</v>
      </c>
      <c r="CN1540" s="1139">
        <v>0</v>
      </c>
      <c r="CP1540" s="923">
        <f t="shared" si="866"/>
        <v>0</v>
      </c>
      <c r="CZ1540" s="330"/>
    </row>
    <row r="1541" spans="1:104" ht="15" customHeight="1" x14ac:dyDescent="0.25">
      <c r="A1541" s="684">
        <f>MAX($A$6:A1540)+1</f>
        <v>1541</v>
      </c>
      <c r="B1541" s="1301">
        <f t="shared" si="881"/>
        <v>14.499999999999998</v>
      </c>
      <c r="C1541" s="11" t="str">
        <f t="shared" si="881"/>
        <v>NILGOSC Scheme liability</v>
      </c>
      <c r="D1541" s="11" t="s">
        <v>2398</v>
      </c>
      <c r="E1541" s="7" t="s">
        <v>2397</v>
      </c>
      <c r="F1541" s="1267"/>
      <c r="G1541" s="1254" t="s">
        <v>286</v>
      </c>
      <c r="H1541" s="6">
        <v>0</v>
      </c>
      <c r="I1541" s="1190"/>
      <c r="J1541" s="7" t="s">
        <v>2397</v>
      </c>
      <c r="K1541" s="251">
        <f>SUMIF('NIFRS NILGOSC scheme liability'!$A:$A,J1541,'NIFRS NILGOSC scheme liability'!$B:$B)</f>
        <v>0</v>
      </c>
      <c r="L1541" s="251">
        <f>SUMIF('alb Note 15.1- Financial Guar'!$A:$A,$J$1556,'alb Note 15.1- Financial Guar'!$I:$I)</f>
        <v>0</v>
      </c>
      <c r="M1541" s="10"/>
      <c r="N1541" s="273">
        <f t="shared" si="882"/>
        <v>0</v>
      </c>
      <c r="O1541" s="12"/>
      <c r="P1541" s="12"/>
      <c r="Q1541" s="12"/>
      <c r="R1541" s="12"/>
      <c r="S1541" s="6">
        <f t="shared" si="883"/>
        <v>0</v>
      </c>
      <c r="T1541" s="273">
        <f t="shared" si="884"/>
        <v>0</v>
      </c>
      <c r="U1541" s="6">
        <f t="shared" si="885"/>
        <v>0</v>
      </c>
      <c r="V1541" s="6"/>
      <c r="W1541" s="6">
        <v>0</v>
      </c>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X1541" s="6"/>
      <c r="AY1541" s="6">
        <f>ROUND(AX1541/1000/Update!$B$31*Update!$B$27,0)</f>
        <v>0</v>
      </c>
      <c r="BA1541" s="6"/>
      <c r="BB1541" s="6">
        <f>ROUND(BA1541/1000/Update!$B$31,0)</f>
        <v>0</v>
      </c>
      <c r="BC1541" s="6"/>
      <c r="BD1541" s="29">
        <f t="shared" si="886"/>
        <v>0</v>
      </c>
      <c r="BE1541" s="317"/>
      <c r="BF1541" s="317"/>
      <c r="BG1541" s="317"/>
      <c r="BH1541" s="317"/>
      <c r="BI1541" s="317"/>
      <c r="BJ1541" s="317"/>
      <c r="BK1541" s="29">
        <f t="shared" si="887"/>
        <v>0</v>
      </c>
      <c r="BL1541" s="317"/>
      <c r="BM1541" s="317"/>
      <c r="BN1541" s="317"/>
      <c r="BO1541" s="317"/>
      <c r="BP1541" s="317"/>
      <c r="BQ1541" s="317"/>
      <c r="BR1541" s="317"/>
      <c r="BS1541" s="317"/>
      <c r="BT1541" s="317"/>
      <c r="BU1541" s="317"/>
      <c r="BV1541" s="317"/>
      <c r="BW1541" s="317"/>
      <c r="BX1541" s="317"/>
      <c r="BY1541" s="317"/>
      <c r="BZ1541" s="317"/>
      <c r="CA1541" s="317"/>
      <c r="CB1541" s="317"/>
      <c r="CC1541" s="317"/>
      <c r="CD1541" s="317"/>
      <c r="CE1541" s="317"/>
      <c r="CF1541" s="317"/>
      <c r="CG1541" s="317"/>
      <c r="CH1541" s="317"/>
      <c r="CI1541" s="317"/>
      <c r="CM1541" s="1139">
        <f t="shared" si="867"/>
        <v>0</v>
      </c>
      <c r="CN1541" s="1139">
        <v>0</v>
      </c>
      <c r="CP1541" s="923">
        <f t="shared" si="866"/>
        <v>0</v>
      </c>
      <c r="CZ1541" s="330"/>
    </row>
    <row r="1542" spans="1:104" ht="15" customHeight="1" x14ac:dyDescent="0.25">
      <c r="A1542" s="684">
        <f>MAX($A$6:A1541)+1</f>
        <v>1542</v>
      </c>
      <c r="B1542" s="1301">
        <f>B1535</f>
        <v>14.499999999999998</v>
      </c>
      <c r="C1542" s="11" t="str">
        <f>C1535</f>
        <v>NILGOSC Scheme liability</v>
      </c>
      <c r="D1542" s="11" t="s">
        <v>2398</v>
      </c>
      <c r="E1542" s="7" t="str">
        <f>"At"&amp;Update!$B$22</f>
        <v>At 31 March 2026</v>
      </c>
      <c r="F1542" s="1283"/>
      <c r="G1542" s="1267" t="str">
        <f>"At"&amp;Update!$B$22</f>
        <v>At 31 March 2026</v>
      </c>
      <c r="H1542" s="6">
        <v>0</v>
      </c>
      <c r="I1542" s="1190"/>
      <c r="J1542" s="1267" t="str">
        <f>"At"&amp;Update!$B$22</f>
        <v>At 31 March 2026</v>
      </c>
      <c r="K1542" s="251">
        <f>SUMIF('NIFRS NILGOSC scheme liability'!$A:$A,J1542,'NIFRS NILGOSC scheme liability'!$B:$B)</f>
        <v>0</v>
      </c>
      <c r="L1542" s="251">
        <f>SUMIF('alb Note 15.1- Financial Guar'!$A:$A,$J$1556,'alb Note 15.1- Financial Guar'!$I:$I)</f>
        <v>0</v>
      </c>
      <c r="M1542" s="10"/>
      <c r="N1542" s="273">
        <f>ROUND(SUM(O1542:S1542)+T1542+SUM(Z1542:AV1542),0)</f>
        <v>0</v>
      </c>
      <c r="O1542" s="12"/>
      <c r="P1542" s="12"/>
      <c r="Q1542" s="12"/>
      <c r="R1542" s="12"/>
      <c r="S1542" s="6">
        <f>-IF(ISNUMBER(BD1542),BD1542,0)</f>
        <v>0</v>
      </c>
      <c r="T1542" s="273">
        <f>ROUND(SUM(U1542:Y1542),0)</f>
        <v>0</v>
      </c>
      <c r="U1542" s="6">
        <f>SUM(BL1542:BN1542)</f>
        <v>0</v>
      </c>
      <c r="V1542" s="6"/>
      <c r="W1542" s="6">
        <v>0</v>
      </c>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X1542" s="6"/>
      <c r="AY1542" s="6">
        <f>ROUND(AX1542/1000/Update!$B$31*Update!$B$27,0)</f>
        <v>0</v>
      </c>
      <c r="BA1542" s="6"/>
      <c r="BB1542" s="6">
        <f>ROUND(BA1542/1000/Update!$B$31,0)</f>
        <v>0</v>
      </c>
      <c r="BC1542" s="6"/>
      <c r="BD1542" s="29">
        <f>ROUND(SUM(BE1542:BK1542),0)</f>
        <v>0</v>
      </c>
      <c r="BE1542" s="317"/>
      <c r="BF1542" s="317"/>
      <c r="BG1542" s="317"/>
      <c r="BH1542" s="317"/>
      <c r="BI1542" s="317"/>
      <c r="BJ1542" s="317"/>
      <c r="BK1542" s="29">
        <f t="shared" ref="BK1542:BK1573" si="888">ROUND(SUM(BO1542:CI1542),0)</f>
        <v>0</v>
      </c>
      <c r="BL1542" s="317"/>
      <c r="BM1542" s="317"/>
      <c r="BN1542" s="317"/>
      <c r="BO1542" s="317"/>
      <c r="BP1542" s="317"/>
      <c r="BQ1542" s="317"/>
      <c r="BR1542" s="317"/>
      <c r="BS1542" s="317"/>
      <c r="BT1542" s="317"/>
      <c r="BU1542" s="317"/>
      <c r="BV1542" s="317"/>
      <c r="BW1542" s="317"/>
      <c r="BX1542" s="317"/>
      <c r="BY1542" s="317"/>
      <c r="BZ1542" s="317"/>
      <c r="CA1542" s="317"/>
      <c r="CB1542" s="317"/>
      <c r="CC1542" s="317"/>
      <c r="CD1542" s="317"/>
      <c r="CE1542" s="317"/>
      <c r="CF1542" s="317"/>
      <c r="CG1542" s="317"/>
      <c r="CH1542" s="317"/>
      <c r="CI1542" s="317"/>
      <c r="CM1542" s="1139">
        <f t="shared" si="867"/>
        <v>0</v>
      </c>
      <c r="CN1542" s="1139">
        <v>0</v>
      </c>
      <c r="CP1542" s="923">
        <f t="shared" si="866"/>
        <v>0</v>
      </c>
      <c r="CZ1542" s="330"/>
    </row>
    <row r="1543" spans="1:104" ht="18.75" customHeight="1" x14ac:dyDescent="0.25">
      <c r="A1543" s="1297">
        <f>MAX($A$6:A1542)+1</f>
        <v>1543</v>
      </c>
      <c r="B1543" s="1295">
        <f>SUMIF(Update!$B$33:$B$106,C1543,Update!$A$33:$A$106)</f>
        <v>15</v>
      </c>
      <c r="C1543" s="696" t="s">
        <v>742</v>
      </c>
      <c r="D1543" s="695"/>
      <c r="E1543" s="696" t="str">
        <f>B1543&amp;" "&amp;C1543</f>
        <v>15 Contingent Liabilities</v>
      </c>
      <c r="F1543" s="697"/>
      <c r="G1543" s="697"/>
      <c r="H1543" s="695"/>
      <c r="I1543" s="695"/>
      <c r="J1543" s="698" t="s">
        <v>286</v>
      </c>
      <c r="K1543" s="699">
        <f>SUMIF('alb Note 15 - Cont liab'!$A:$A,$J1543,'alb Note 15 - Cont liab'!$B:$B)</f>
        <v>0</v>
      </c>
      <c r="L1543" s="699">
        <f>SUMIF('alb Note 15 - Cont liab'!$A:$A,$J1543,'alb Note 15 - Cont liab'!$B:$B)</f>
        <v>0</v>
      </c>
      <c r="M1543" s="695"/>
      <c r="N1543" s="713">
        <f t="shared" ref="N1543:N1551" si="889">ROUND(SUM(O1543:S1543)+T1543+SUM(Z1543:AV1543),0)</f>
        <v>0</v>
      </c>
      <c r="O1543" s="695"/>
      <c r="P1543" s="695"/>
      <c r="Q1543" s="695"/>
      <c r="R1543" s="695"/>
      <c r="S1543" s="695">
        <f t="shared" ref="S1543:S1553" si="890">-IF(ISNUMBER(BD1543),BD1543,0)</f>
        <v>0</v>
      </c>
      <c r="T1543" s="713">
        <f t="shared" ref="T1543:T1550" si="891">ROUND(SUM(U1543:Y1543),0)</f>
        <v>0</v>
      </c>
      <c r="U1543" s="695"/>
      <c r="V1543" s="695"/>
      <c r="W1543" s="695"/>
      <c r="X1543" s="695"/>
      <c r="Y1543" s="695"/>
      <c r="Z1543" s="695"/>
      <c r="AA1543" s="695"/>
      <c r="AB1543" s="695"/>
      <c r="AC1543" s="695"/>
      <c r="AD1543" s="695"/>
      <c r="AE1543" s="695"/>
      <c r="AF1543" s="695"/>
      <c r="AG1543" s="695"/>
      <c r="AH1543" s="695"/>
      <c r="AI1543" s="695"/>
      <c r="AJ1543" s="695"/>
      <c r="AK1543" s="695"/>
      <c r="AL1543" s="695"/>
      <c r="AM1543" s="695"/>
      <c r="AN1543" s="695"/>
      <c r="AO1543" s="695"/>
      <c r="AP1543" s="695"/>
      <c r="AQ1543" s="695"/>
      <c r="AR1543" s="695"/>
      <c r="AS1543" s="695"/>
      <c r="AT1543" s="695"/>
      <c r="AU1543" s="695"/>
      <c r="AV1543" s="695"/>
      <c r="AW1543" s="700"/>
      <c r="AX1543" s="700"/>
      <c r="AY1543" s="700"/>
      <c r="AZ1543" s="700"/>
      <c r="BA1543" s="700"/>
      <c r="BB1543" s="700"/>
      <c r="BC1543" s="700"/>
      <c r="BD1543" s="721">
        <f t="shared" ref="BD1543:BD1553" si="892">ROUND(SUM(BE1543:BK1543),0)</f>
        <v>0</v>
      </c>
      <c r="BE1543" s="700"/>
      <c r="BF1543" s="700"/>
      <c r="BG1543" s="700"/>
      <c r="BH1543" s="700"/>
      <c r="BI1543" s="700"/>
      <c r="BJ1543" s="700"/>
      <c r="BK1543" s="721">
        <f t="shared" si="888"/>
        <v>0</v>
      </c>
      <c r="BL1543" s="700"/>
      <c r="BM1543" s="700"/>
      <c r="BN1543" s="700"/>
      <c r="BO1543" s="700"/>
      <c r="BP1543" s="700"/>
      <c r="BQ1543" s="700"/>
      <c r="BR1543" s="700"/>
      <c r="BS1543" s="700"/>
      <c r="BT1543" s="700"/>
      <c r="BU1543" s="700"/>
      <c r="BV1543" s="700"/>
      <c r="BW1543" s="700"/>
      <c r="BX1543" s="700"/>
      <c r="BY1543" s="700"/>
      <c r="BZ1543" s="700"/>
      <c r="CA1543" s="700"/>
      <c r="CB1543" s="700"/>
      <c r="CC1543" s="700"/>
      <c r="CD1543" s="700"/>
      <c r="CE1543" s="700"/>
      <c r="CF1543" s="700"/>
      <c r="CG1543" s="700"/>
      <c r="CH1543" s="700"/>
      <c r="CI1543" s="700"/>
      <c r="CJ1543" s="700"/>
      <c r="CK1543" s="700"/>
      <c r="CM1543" s="700">
        <f t="shared" si="867"/>
        <v>0</v>
      </c>
      <c r="CN1543" s="700">
        <v>0</v>
      </c>
      <c r="CP1543" s="923">
        <f t="shared" si="866"/>
        <v>0</v>
      </c>
      <c r="CZ1543" s="330"/>
    </row>
    <row r="1544" spans="1:104" ht="15" customHeight="1" x14ac:dyDescent="0.25">
      <c r="A1544" s="684">
        <f>MAX($A$6:A1543)+1</f>
        <v>1544</v>
      </c>
      <c r="B1544" s="1301">
        <f>B1543</f>
        <v>15</v>
      </c>
      <c r="C1544" s="11" t="str">
        <f>C1543</f>
        <v>Contingent Liabilities</v>
      </c>
      <c r="D1544" s="11"/>
      <c r="E1544" s="7" t="s">
        <v>815</v>
      </c>
      <c r="F1544" s="7"/>
      <c r="G1544" s="1254" t="s">
        <v>286</v>
      </c>
      <c r="H1544" s="6"/>
      <c r="I1544" s="6"/>
      <c r="J1544" s="1257" t="s">
        <v>815</v>
      </c>
      <c r="K1544" s="251">
        <f>SUMIF('alb Note 15 - Cont liab'!$A:$A,$J1544,'alb Note 15 - Cont liab'!$B:$B)</f>
        <v>0</v>
      </c>
      <c r="L1544" s="251">
        <f>SUMIF('alb Note 15 - Cont liab'!$A:$A,$J1544,'alb Note 15 - Cont liab'!$E:$E)</f>
        <v>0</v>
      </c>
      <c r="M1544" s="10"/>
      <c r="N1544" s="273">
        <f t="shared" si="889"/>
        <v>0</v>
      </c>
      <c r="O1544" s="12"/>
      <c r="P1544" s="12"/>
      <c r="Q1544" s="12"/>
      <c r="R1544" s="12"/>
      <c r="S1544" s="6">
        <f t="shared" si="890"/>
        <v>0</v>
      </c>
      <c r="T1544" s="273">
        <f t="shared" si="891"/>
        <v>0</v>
      </c>
      <c r="U1544" s="6">
        <f t="shared" ref="U1544:U1550" si="893">SUM(BL1544:BN1544)</f>
        <v>0</v>
      </c>
      <c r="V1544" s="6"/>
      <c r="W1544" s="6">
        <f t="shared" ref="W1544:W1566" si="894">+H1544</f>
        <v>0</v>
      </c>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X1544" s="6"/>
      <c r="AY1544" s="6">
        <f>ROUND(AX1544/1000/Update!$B$31*Update!$B$27,0)</f>
        <v>0</v>
      </c>
      <c r="BA1544" s="6"/>
      <c r="BB1544" s="6">
        <f>ROUND(BA1544/1000/Update!$B$31,0)</f>
        <v>0</v>
      </c>
      <c r="BC1544" s="6"/>
      <c r="BD1544" s="29">
        <f t="shared" si="892"/>
        <v>0</v>
      </c>
      <c r="BE1544" s="317"/>
      <c r="BF1544" s="317"/>
      <c r="BG1544" s="317"/>
      <c r="BH1544" s="317"/>
      <c r="BI1544" s="317"/>
      <c r="BJ1544" s="317"/>
      <c r="BK1544" s="29">
        <f t="shared" si="888"/>
        <v>0</v>
      </c>
      <c r="BL1544" s="317"/>
      <c r="BM1544" s="317"/>
      <c r="BN1544" s="317"/>
      <c r="BO1544" s="317"/>
      <c r="BP1544" s="317"/>
      <c r="BQ1544" s="317"/>
      <c r="BR1544" s="317"/>
      <c r="BS1544" s="317"/>
      <c r="BT1544" s="317"/>
      <c r="BU1544" s="317"/>
      <c r="BV1544" s="317"/>
      <c r="BW1544" s="317"/>
      <c r="BX1544" s="317"/>
      <c r="BY1544" s="317"/>
      <c r="BZ1544" s="317"/>
      <c r="CA1544" s="317"/>
      <c r="CB1544" s="317"/>
      <c r="CC1544" s="317"/>
      <c r="CD1544" s="317"/>
      <c r="CE1544" s="317"/>
      <c r="CF1544" s="317"/>
      <c r="CG1544" s="317"/>
      <c r="CH1544" s="317"/>
      <c r="CI1544" s="317"/>
      <c r="CM1544" s="1139">
        <f t="shared" si="867"/>
        <v>0</v>
      </c>
      <c r="CN1544" s="1139">
        <v>0</v>
      </c>
      <c r="CP1544" s="923">
        <f t="shared" ref="CP1544:CP1609" si="895">-V1544+BL1544+BM1544+BN1544+CM1544</f>
        <v>0</v>
      </c>
      <c r="CZ1544" s="330"/>
    </row>
    <row r="1545" spans="1:104" ht="15" customHeight="1" x14ac:dyDescent="0.25">
      <c r="A1545" s="684">
        <f>MAX($A$6:A1544)+1</f>
        <v>1545</v>
      </c>
      <c r="B1545" s="1301">
        <f t="shared" ref="B1545:B1553" si="896">B1544</f>
        <v>15</v>
      </c>
      <c r="C1545" s="11" t="str">
        <f t="shared" ref="C1545:C1551" si="897">C1544</f>
        <v>Contingent Liabilities</v>
      </c>
      <c r="D1545" s="11"/>
      <c r="E1545" s="7" t="s">
        <v>816</v>
      </c>
      <c r="F1545" s="7"/>
      <c r="G1545" s="1254" t="s">
        <v>286</v>
      </c>
      <c r="H1545" s="6"/>
      <c r="I1545" s="6"/>
      <c r="J1545" s="1257" t="s">
        <v>816</v>
      </c>
      <c r="K1545" s="251">
        <f>SUMIF('alb Note 15 - Cont liab'!$A:$A,$J1545,'alb Note 15 - Cont liab'!$B:$B)</f>
        <v>0</v>
      </c>
      <c r="L1545" s="251">
        <f>SUMIF('alb Note 15 - Cont liab'!$A:$A,$J1545,'alb Note 15 - Cont liab'!$E:$E)</f>
        <v>0</v>
      </c>
      <c r="M1545" s="10"/>
      <c r="N1545" s="273">
        <f t="shared" si="889"/>
        <v>0</v>
      </c>
      <c r="O1545" s="12"/>
      <c r="P1545" s="12"/>
      <c r="Q1545" s="12"/>
      <c r="R1545" s="12"/>
      <c r="S1545" s="6">
        <f t="shared" si="890"/>
        <v>0</v>
      </c>
      <c r="T1545" s="273">
        <f t="shared" si="891"/>
        <v>0</v>
      </c>
      <c r="U1545" s="6">
        <f t="shared" si="893"/>
        <v>0</v>
      </c>
      <c r="V1545" s="6"/>
      <c r="W1545" s="6">
        <f t="shared" si="894"/>
        <v>0</v>
      </c>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X1545" s="6"/>
      <c r="AY1545" s="6">
        <f>ROUND(AX1545/1000/Update!$B$31*Update!$B$27,0)</f>
        <v>0</v>
      </c>
      <c r="BA1545" s="6"/>
      <c r="BB1545" s="6">
        <f>ROUND(BA1545/1000/Update!$B$31,0)</f>
        <v>0</v>
      </c>
      <c r="BC1545" s="6"/>
      <c r="BD1545" s="29">
        <f t="shared" si="892"/>
        <v>0</v>
      </c>
      <c r="BE1545" s="317"/>
      <c r="BF1545" s="317"/>
      <c r="BG1545" s="317"/>
      <c r="BH1545" s="317"/>
      <c r="BI1545" s="317"/>
      <c r="BJ1545" s="317"/>
      <c r="BK1545" s="29">
        <f t="shared" si="888"/>
        <v>0</v>
      </c>
      <c r="BL1545" s="317"/>
      <c r="BM1545" s="317"/>
      <c r="BN1545" s="317"/>
      <c r="BO1545" s="317"/>
      <c r="BP1545" s="317"/>
      <c r="BQ1545" s="317"/>
      <c r="BR1545" s="317"/>
      <c r="BS1545" s="317"/>
      <c r="BT1545" s="317"/>
      <c r="BU1545" s="317"/>
      <c r="BV1545" s="317"/>
      <c r="BW1545" s="317"/>
      <c r="BX1545" s="317"/>
      <c r="BY1545" s="317"/>
      <c r="BZ1545" s="317"/>
      <c r="CA1545" s="317"/>
      <c r="CB1545" s="317"/>
      <c r="CC1545" s="317"/>
      <c r="CD1545" s="317"/>
      <c r="CE1545" s="317"/>
      <c r="CF1545" s="317"/>
      <c r="CG1545" s="317"/>
      <c r="CH1545" s="317"/>
      <c r="CI1545" s="317"/>
      <c r="CM1545" s="1139">
        <f t="shared" ref="CM1545:CM1610" si="898">+U1545+V1545</f>
        <v>0</v>
      </c>
      <c r="CN1545" s="1139">
        <v>0</v>
      </c>
      <c r="CP1545" s="923">
        <f t="shared" si="895"/>
        <v>0</v>
      </c>
      <c r="CZ1545" s="330"/>
    </row>
    <row r="1546" spans="1:104" ht="15" customHeight="1" x14ac:dyDescent="0.25">
      <c r="A1546" s="684">
        <f>MAX($A$6:A1545)+1</f>
        <v>1546</v>
      </c>
      <c r="B1546" s="1301">
        <f t="shared" si="896"/>
        <v>15</v>
      </c>
      <c r="C1546" s="11" t="str">
        <f t="shared" si="897"/>
        <v>Contingent Liabilities</v>
      </c>
      <c r="D1546" s="11"/>
      <c r="E1546" s="7" t="s">
        <v>817</v>
      </c>
      <c r="F1546" s="7"/>
      <c r="G1546" s="1254" t="s">
        <v>286</v>
      </c>
      <c r="H1546" s="6"/>
      <c r="I1546" s="6"/>
      <c r="J1546" s="1257" t="s">
        <v>817</v>
      </c>
      <c r="K1546" s="251">
        <f>SUMIF('alb Note 15 - Cont liab'!$A:$A,$J1546,'alb Note 15 - Cont liab'!$B:$B)</f>
        <v>0</v>
      </c>
      <c r="L1546" s="251">
        <f>SUMIF('alb Note 15 - Cont liab'!$A:$A,$J1546,'alb Note 15 - Cont liab'!$E:$E)</f>
        <v>0</v>
      </c>
      <c r="M1546" s="10"/>
      <c r="N1546" s="273">
        <f t="shared" si="889"/>
        <v>0</v>
      </c>
      <c r="O1546" s="12"/>
      <c r="P1546" s="12"/>
      <c r="Q1546" s="12"/>
      <c r="R1546" s="12"/>
      <c r="S1546" s="6">
        <f t="shared" si="890"/>
        <v>0</v>
      </c>
      <c r="T1546" s="273">
        <f t="shared" si="891"/>
        <v>0</v>
      </c>
      <c r="U1546" s="6">
        <f t="shared" si="893"/>
        <v>0</v>
      </c>
      <c r="V1546" s="6"/>
      <c r="W1546" s="6">
        <f t="shared" si="894"/>
        <v>0</v>
      </c>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X1546" s="6"/>
      <c r="AY1546" s="6">
        <f>ROUND(AX1546/1000/Update!$B$31*Update!$B$27,0)</f>
        <v>0</v>
      </c>
      <c r="BA1546" s="6"/>
      <c r="BB1546" s="6">
        <f>ROUND(BA1546/1000/Update!$B$31,0)</f>
        <v>0</v>
      </c>
      <c r="BC1546" s="6"/>
      <c r="BD1546" s="29">
        <f t="shared" si="892"/>
        <v>0</v>
      </c>
      <c r="BE1546" s="317"/>
      <c r="BF1546" s="317"/>
      <c r="BG1546" s="317"/>
      <c r="BH1546" s="317"/>
      <c r="BI1546" s="317"/>
      <c r="BJ1546" s="317"/>
      <c r="BK1546" s="29">
        <f t="shared" si="888"/>
        <v>0</v>
      </c>
      <c r="BL1546" s="317"/>
      <c r="BM1546" s="317"/>
      <c r="BN1546" s="317"/>
      <c r="BO1546" s="317"/>
      <c r="BP1546" s="317"/>
      <c r="BQ1546" s="317"/>
      <c r="BR1546" s="317"/>
      <c r="BS1546" s="317"/>
      <c r="BT1546" s="317"/>
      <c r="BU1546" s="317"/>
      <c r="BV1546" s="317"/>
      <c r="BW1546" s="317"/>
      <c r="BX1546" s="317"/>
      <c r="BY1546" s="317"/>
      <c r="BZ1546" s="317"/>
      <c r="CA1546" s="317"/>
      <c r="CB1546" s="317"/>
      <c r="CC1546" s="317"/>
      <c r="CD1546" s="317"/>
      <c r="CE1546" s="317"/>
      <c r="CF1546" s="317"/>
      <c r="CG1546" s="317"/>
      <c r="CH1546" s="317"/>
      <c r="CI1546" s="317"/>
      <c r="CM1546" s="1139">
        <f t="shared" si="898"/>
        <v>0</v>
      </c>
      <c r="CN1546" s="1139">
        <v>0</v>
      </c>
      <c r="CP1546" s="923">
        <f t="shared" si="895"/>
        <v>0</v>
      </c>
      <c r="CZ1546" s="330"/>
    </row>
    <row r="1547" spans="1:104" ht="15" customHeight="1" x14ac:dyDescent="0.25">
      <c r="A1547" s="684">
        <f>MAX($A$6:A1546)+1</f>
        <v>1547</v>
      </c>
      <c r="B1547" s="1301">
        <f t="shared" si="896"/>
        <v>15</v>
      </c>
      <c r="C1547" s="11" t="str">
        <f t="shared" si="897"/>
        <v>Contingent Liabilities</v>
      </c>
      <c r="D1547" s="11"/>
      <c r="E1547" s="7" t="s">
        <v>818</v>
      </c>
      <c r="F1547" s="7"/>
      <c r="G1547" s="1254" t="s">
        <v>286</v>
      </c>
      <c r="H1547" s="6"/>
      <c r="I1547" s="6"/>
      <c r="J1547" s="1257" t="s">
        <v>818</v>
      </c>
      <c r="K1547" s="251">
        <f>SUMIF('alb Note 15 - Cont liab'!$A:$A,$J1547,'alb Note 15 - Cont liab'!$B:$B)</f>
        <v>0</v>
      </c>
      <c r="L1547" s="251">
        <f>SUMIF('alb Note 15 - Cont liab'!$A:$A,$J1547,'alb Note 15 - Cont liab'!$E:$E)</f>
        <v>0</v>
      </c>
      <c r="M1547" s="10"/>
      <c r="N1547" s="273">
        <f t="shared" si="889"/>
        <v>0</v>
      </c>
      <c r="O1547" s="12"/>
      <c r="P1547" s="12"/>
      <c r="Q1547" s="12"/>
      <c r="R1547" s="12"/>
      <c r="S1547" s="6">
        <f t="shared" si="890"/>
        <v>0</v>
      </c>
      <c r="T1547" s="273">
        <f t="shared" si="891"/>
        <v>0</v>
      </c>
      <c r="U1547" s="6">
        <f t="shared" si="893"/>
        <v>0</v>
      </c>
      <c r="V1547" s="6"/>
      <c r="W1547" s="6">
        <f t="shared" si="894"/>
        <v>0</v>
      </c>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X1547" s="6"/>
      <c r="AY1547" s="6">
        <f>ROUND(AX1547/1000/Update!$B$31*Update!$B$27,0)</f>
        <v>0</v>
      </c>
      <c r="BA1547" s="6"/>
      <c r="BB1547" s="6">
        <f>ROUND(BA1547/1000/Update!$B$31,0)</f>
        <v>0</v>
      </c>
      <c r="BC1547" s="6"/>
      <c r="BD1547" s="29">
        <f t="shared" si="892"/>
        <v>0</v>
      </c>
      <c r="BE1547" s="317"/>
      <c r="BF1547" s="317"/>
      <c r="BG1547" s="317"/>
      <c r="BH1547" s="317"/>
      <c r="BI1547" s="317"/>
      <c r="BJ1547" s="317"/>
      <c r="BK1547" s="29">
        <f t="shared" si="888"/>
        <v>0</v>
      </c>
      <c r="BL1547" s="317"/>
      <c r="BM1547" s="317"/>
      <c r="BN1547" s="317"/>
      <c r="BO1547" s="317"/>
      <c r="BP1547" s="317"/>
      <c r="BQ1547" s="317"/>
      <c r="BR1547" s="317"/>
      <c r="BS1547" s="317"/>
      <c r="BT1547" s="317"/>
      <c r="BU1547" s="317"/>
      <c r="BV1547" s="317"/>
      <c r="BW1547" s="317"/>
      <c r="BX1547" s="317"/>
      <c r="BY1547" s="317"/>
      <c r="BZ1547" s="317"/>
      <c r="CA1547" s="317"/>
      <c r="CB1547" s="317"/>
      <c r="CC1547" s="317"/>
      <c r="CD1547" s="317"/>
      <c r="CE1547" s="317"/>
      <c r="CF1547" s="317"/>
      <c r="CG1547" s="317"/>
      <c r="CH1547" s="317"/>
      <c r="CI1547" s="317"/>
      <c r="CM1547" s="1139">
        <f t="shared" si="898"/>
        <v>0</v>
      </c>
      <c r="CN1547" s="1139">
        <v>0</v>
      </c>
      <c r="CP1547" s="923">
        <f t="shared" si="895"/>
        <v>0</v>
      </c>
      <c r="CZ1547" s="330"/>
    </row>
    <row r="1548" spans="1:104" ht="15" customHeight="1" x14ac:dyDescent="0.25">
      <c r="A1548" s="684">
        <f>MAX($A$6:A1547)+1</f>
        <v>1548</v>
      </c>
      <c r="B1548" s="1301">
        <f t="shared" si="896"/>
        <v>15</v>
      </c>
      <c r="C1548" s="11" t="str">
        <f t="shared" si="897"/>
        <v>Contingent Liabilities</v>
      </c>
      <c r="D1548" s="11"/>
      <c r="E1548" s="7" t="s">
        <v>819</v>
      </c>
      <c r="F1548" s="7"/>
      <c r="G1548" s="1254" t="s">
        <v>286</v>
      </c>
      <c r="H1548" s="6"/>
      <c r="I1548" s="6"/>
      <c r="J1548" s="1257" t="s">
        <v>819</v>
      </c>
      <c r="K1548" s="251">
        <f>SUMIF('alb Note 15 - Cont liab'!$A:$A,$J1548,'alb Note 15 - Cont liab'!$B:$B)</f>
        <v>0</v>
      </c>
      <c r="L1548" s="251">
        <f>SUMIF('alb Note 15 - Cont liab'!$A:$A,$J1548,'alb Note 15 - Cont liab'!$E:$E)</f>
        <v>0</v>
      </c>
      <c r="M1548" s="10"/>
      <c r="N1548" s="273">
        <f t="shared" si="889"/>
        <v>0</v>
      </c>
      <c r="O1548" s="12"/>
      <c r="P1548" s="12"/>
      <c r="Q1548" s="12"/>
      <c r="R1548" s="12"/>
      <c r="S1548" s="6">
        <f t="shared" si="890"/>
        <v>0</v>
      </c>
      <c r="T1548" s="273">
        <f t="shared" si="891"/>
        <v>0</v>
      </c>
      <c r="U1548" s="6">
        <f t="shared" si="893"/>
        <v>0</v>
      </c>
      <c r="V1548" s="6"/>
      <c r="W1548" s="6">
        <f t="shared" si="894"/>
        <v>0</v>
      </c>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X1548" s="6"/>
      <c r="AY1548" s="6">
        <f>ROUND(AX1548/1000/Update!$B$31*Update!$B$27,0)</f>
        <v>0</v>
      </c>
      <c r="BA1548" s="6"/>
      <c r="BB1548" s="6">
        <f>ROUND(BA1548/1000/Update!$B$31,0)</f>
        <v>0</v>
      </c>
      <c r="BC1548" s="6"/>
      <c r="BD1548" s="29">
        <f t="shared" si="892"/>
        <v>0</v>
      </c>
      <c r="BE1548" s="317"/>
      <c r="BF1548" s="317"/>
      <c r="BG1548" s="317"/>
      <c r="BH1548" s="317"/>
      <c r="BI1548" s="317"/>
      <c r="BJ1548" s="317"/>
      <c r="BK1548" s="29">
        <f t="shared" si="888"/>
        <v>0</v>
      </c>
      <c r="BL1548" s="317"/>
      <c r="BM1548" s="317"/>
      <c r="BN1548" s="317"/>
      <c r="BO1548" s="317"/>
      <c r="BP1548" s="317"/>
      <c r="BQ1548" s="317"/>
      <c r="BR1548" s="317"/>
      <c r="BS1548" s="317"/>
      <c r="BT1548" s="317"/>
      <c r="BU1548" s="317"/>
      <c r="BV1548" s="317"/>
      <c r="BW1548" s="317"/>
      <c r="BX1548" s="317"/>
      <c r="BY1548" s="317"/>
      <c r="BZ1548" s="317"/>
      <c r="CA1548" s="317"/>
      <c r="CB1548" s="317"/>
      <c r="CC1548" s="317"/>
      <c r="CD1548" s="317"/>
      <c r="CE1548" s="317"/>
      <c r="CF1548" s="317"/>
      <c r="CG1548" s="317"/>
      <c r="CH1548" s="317"/>
      <c r="CI1548" s="317"/>
      <c r="CM1548" s="1139">
        <f t="shared" si="898"/>
        <v>0</v>
      </c>
      <c r="CN1548" s="1139">
        <v>0</v>
      </c>
      <c r="CP1548" s="923">
        <f t="shared" si="895"/>
        <v>0</v>
      </c>
      <c r="CZ1548" s="330"/>
    </row>
    <row r="1549" spans="1:104" ht="15" customHeight="1" x14ac:dyDescent="0.25">
      <c r="A1549" s="684">
        <f>MAX($A$6:A1548)+1</f>
        <v>1549</v>
      </c>
      <c r="B1549" s="1301">
        <f t="shared" si="896"/>
        <v>15</v>
      </c>
      <c r="C1549" s="11" t="str">
        <f t="shared" si="897"/>
        <v>Contingent Liabilities</v>
      </c>
      <c r="D1549" s="11"/>
      <c r="E1549" s="7" t="s">
        <v>820</v>
      </c>
      <c r="F1549" s="7"/>
      <c r="G1549" s="1254" t="s">
        <v>286</v>
      </c>
      <c r="H1549" s="6"/>
      <c r="I1549" s="6"/>
      <c r="J1549" s="1257" t="s">
        <v>286</v>
      </c>
      <c r="K1549" s="251">
        <f>SUMIF('alb Note 15 - Cont liab'!$A:$A,$J1549,'alb Note 15 - Cont liab'!$B:$B)</f>
        <v>0</v>
      </c>
      <c r="L1549" s="251">
        <f>SUMIF('alb Note 15 - Cont liab'!$A:$A,$J1549,'alb Note 15 - Cont liab'!$E:$E)</f>
        <v>0</v>
      </c>
      <c r="M1549" s="10"/>
      <c r="N1549" s="273">
        <f t="shared" si="889"/>
        <v>0</v>
      </c>
      <c r="O1549" s="12"/>
      <c r="P1549" s="12"/>
      <c r="Q1549" s="12"/>
      <c r="R1549" s="12"/>
      <c r="S1549" s="6">
        <f t="shared" si="890"/>
        <v>0</v>
      </c>
      <c r="T1549" s="273">
        <f t="shared" si="891"/>
        <v>0</v>
      </c>
      <c r="U1549" s="6">
        <f t="shared" si="893"/>
        <v>0</v>
      </c>
      <c r="V1549" s="6"/>
      <c r="W1549" s="6">
        <f t="shared" si="894"/>
        <v>0</v>
      </c>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X1549" s="6"/>
      <c r="AY1549" s="6"/>
      <c r="BA1549" s="6"/>
      <c r="BB1549" s="6"/>
      <c r="BC1549" s="6"/>
      <c r="BD1549" s="29">
        <f t="shared" si="892"/>
        <v>0</v>
      </c>
      <c r="BE1549" s="317"/>
      <c r="BF1549" s="317"/>
      <c r="BG1549" s="317"/>
      <c r="BH1549" s="317"/>
      <c r="BI1549" s="317"/>
      <c r="BJ1549" s="317"/>
      <c r="BK1549" s="29">
        <f t="shared" si="888"/>
        <v>0</v>
      </c>
      <c r="BL1549" s="317"/>
      <c r="BM1549" s="317"/>
      <c r="BN1549" s="317"/>
      <c r="BO1549" s="317"/>
      <c r="BP1549" s="317"/>
      <c r="BQ1549" s="317"/>
      <c r="BR1549" s="317"/>
      <c r="BS1549" s="317"/>
      <c r="BT1549" s="317"/>
      <c r="BU1549" s="317"/>
      <c r="BV1549" s="317"/>
      <c r="BW1549" s="317"/>
      <c r="BX1549" s="317"/>
      <c r="BY1549" s="317"/>
      <c r="BZ1549" s="317"/>
      <c r="CA1549" s="317"/>
      <c r="CB1549" s="317"/>
      <c r="CC1549" s="317"/>
      <c r="CD1549" s="317"/>
      <c r="CE1549" s="317"/>
      <c r="CF1549" s="317"/>
      <c r="CG1549" s="317"/>
      <c r="CH1549" s="317"/>
      <c r="CI1549" s="317"/>
      <c r="CM1549" s="1139">
        <f t="shared" si="898"/>
        <v>0</v>
      </c>
      <c r="CN1549" s="1139">
        <v>0</v>
      </c>
      <c r="CP1549" s="923">
        <f t="shared" si="895"/>
        <v>0</v>
      </c>
      <c r="CZ1549" s="330"/>
    </row>
    <row r="1550" spans="1:104" ht="15" customHeight="1" x14ac:dyDescent="0.25">
      <c r="A1550" s="684">
        <f>MAX($A$6:A1549)+1</f>
        <v>1550</v>
      </c>
      <c r="B1550" s="1301">
        <f t="shared" si="896"/>
        <v>15</v>
      </c>
      <c r="C1550" s="11" t="str">
        <f>C1548</f>
        <v>Contingent Liabilities</v>
      </c>
      <c r="D1550" s="11"/>
      <c r="E1550" s="7" t="s">
        <v>820</v>
      </c>
      <c r="F1550" s="7"/>
      <c r="G1550" s="1254" t="s">
        <v>286</v>
      </c>
      <c r="H1550" s="6"/>
      <c r="I1550" s="6"/>
      <c r="J1550" s="1257" t="s">
        <v>820</v>
      </c>
      <c r="K1550" s="251">
        <f>SUMIF('alb Note 15 - Cont liab'!$A:$A,$J1550,'alb Note 15 - Cont liab'!$B:$B)</f>
        <v>0</v>
      </c>
      <c r="L1550" s="251">
        <f>SUMIF('alb Note 15 - Cont liab'!$A:$A,$J1550,'alb Note 15 - Cont liab'!$E:$E)</f>
        <v>0</v>
      </c>
      <c r="M1550" s="10"/>
      <c r="N1550" s="273">
        <f t="shared" si="889"/>
        <v>0</v>
      </c>
      <c r="O1550" s="12"/>
      <c r="P1550" s="12"/>
      <c r="Q1550" s="12"/>
      <c r="R1550" s="12"/>
      <c r="S1550" s="6">
        <f t="shared" si="890"/>
        <v>0</v>
      </c>
      <c r="T1550" s="273">
        <f t="shared" si="891"/>
        <v>0</v>
      </c>
      <c r="U1550" s="6">
        <f t="shared" si="893"/>
        <v>0</v>
      </c>
      <c r="V1550" s="6"/>
      <c r="W1550" s="6">
        <f t="shared" si="894"/>
        <v>0</v>
      </c>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X1550" s="6"/>
      <c r="AY1550" s="6">
        <f>ROUND(AX1550/1000/Update!$B$31*Update!$B$27,0)</f>
        <v>0</v>
      </c>
      <c r="BA1550" s="6"/>
      <c r="BB1550" s="6">
        <f>ROUND(BA1550/1000/Update!$B$31,0)</f>
        <v>0</v>
      </c>
      <c r="BC1550" s="6"/>
      <c r="BD1550" s="29">
        <f t="shared" si="892"/>
        <v>0</v>
      </c>
      <c r="BE1550" s="317"/>
      <c r="BF1550" s="317"/>
      <c r="BG1550" s="317"/>
      <c r="BH1550" s="317"/>
      <c r="BI1550" s="317"/>
      <c r="BJ1550" s="317"/>
      <c r="BK1550" s="29">
        <f t="shared" si="888"/>
        <v>0</v>
      </c>
      <c r="BL1550" s="317"/>
      <c r="BM1550" s="317"/>
      <c r="BN1550" s="317"/>
      <c r="BO1550" s="317"/>
      <c r="BP1550" s="317"/>
      <c r="BQ1550" s="317"/>
      <c r="BR1550" s="317"/>
      <c r="BS1550" s="317"/>
      <c r="BT1550" s="317"/>
      <c r="BU1550" s="317"/>
      <c r="BV1550" s="317"/>
      <c r="BW1550" s="317"/>
      <c r="BX1550" s="317"/>
      <c r="BY1550" s="317"/>
      <c r="BZ1550" s="317"/>
      <c r="CA1550" s="317"/>
      <c r="CB1550" s="317"/>
      <c r="CC1550" s="317"/>
      <c r="CD1550" s="317"/>
      <c r="CE1550" s="317"/>
      <c r="CF1550" s="317"/>
      <c r="CG1550" s="317"/>
      <c r="CH1550" s="317"/>
      <c r="CI1550" s="317"/>
      <c r="CM1550" s="1139">
        <f t="shared" si="898"/>
        <v>0</v>
      </c>
      <c r="CN1550" s="1139">
        <v>0</v>
      </c>
      <c r="CP1550" s="923">
        <f t="shared" si="895"/>
        <v>0</v>
      </c>
      <c r="CZ1550" s="330"/>
    </row>
    <row r="1551" spans="1:104" ht="15" customHeight="1" x14ac:dyDescent="0.25">
      <c r="A1551" s="701">
        <f>MAX($A$6:A1550)+1</f>
        <v>1551</v>
      </c>
      <c r="B1551" s="1302">
        <f t="shared" si="896"/>
        <v>15</v>
      </c>
      <c r="C1551" s="18" t="str">
        <f t="shared" si="897"/>
        <v>Contingent Liabilities</v>
      </c>
      <c r="D1551" s="18"/>
      <c r="E1551" s="19" t="s">
        <v>146</v>
      </c>
      <c r="F1551" s="19"/>
      <c r="G1551" s="1278"/>
      <c r="H1551" s="14">
        <f>SUM(H1547:H1550)</f>
        <v>0</v>
      </c>
      <c r="I1551" s="14"/>
      <c r="J1551" s="1258" t="s">
        <v>286</v>
      </c>
      <c r="K1551" s="256">
        <f>SUM(K1544:K1550)</f>
        <v>0</v>
      </c>
      <c r="L1551" s="256">
        <f>SUMIF('alb Note 15 - Cont liab'!$A:$A,$J1551,'alb Note 15 - Cont liab'!$E:$E)</f>
        <v>0</v>
      </c>
      <c r="M1551" s="14">
        <f>SUM(M1544:M1550)</f>
        <v>0</v>
      </c>
      <c r="N1551" s="14">
        <f t="shared" si="889"/>
        <v>0</v>
      </c>
      <c r="O1551" s="14">
        <f t="shared" ref="O1551:W1551" si="899">SUM(O1544:O1550)</f>
        <v>0</v>
      </c>
      <c r="P1551" s="14">
        <f t="shared" si="899"/>
        <v>0</v>
      </c>
      <c r="Q1551" s="14">
        <f t="shared" si="899"/>
        <v>0</v>
      </c>
      <c r="R1551" s="14">
        <f t="shared" si="899"/>
        <v>0</v>
      </c>
      <c r="S1551" s="14">
        <f t="shared" si="890"/>
        <v>0</v>
      </c>
      <c r="T1551" s="14">
        <f t="shared" si="899"/>
        <v>0</v>
      </c>
      <c r="U1551" s="14">
        <f t="shared" si="899"/>
        <v>0</v>
      </c>
      <c r="V1551" s="14">
        <f t="shared" si="899"/>
        <v>0</v>
      </c>
      <c r="W1551" s="14">
        <f t="shared" si="899"/>
        <v>0</v>
      </c>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2"/>
      <c r="AX1551" s="14">
        <f>SUM(AX1544:AX1550)</f>
        <v>0</v>
      </c>
      <c r="AY1551" s="14">
        <f>ROUND(AX1551/1000/Update!$B$31*Update!$B$27,0)</f>
        <v>0</v>
      </c>
      <c r="AZ1551" s="2"/>
      <c r="BA1551" s="14">
        <f>SUM(BA1544:BA1550)</f>
        <v>0</v>
      </c>
      <c r="BB1551" s="14">
        <f>ROUND(BA1551/1000/Update!$B$31,0)</f>
        <v>0</v>
      </c>
      <c r="BC1551" s="14"/>
      <c r="BD1551" s="14">
        <f t="shared" si="892"/>
        <v>0</v>
      </c>
      <c r="BE1551" s="318">
        <f t="shared" ref="BE1551:BJ1551" si="900">SUM(BE1544:BE1550)</f>
        <v>0</v>
      </c>
      <c r="BF1551" s="318">
        <f t="shared" si="900"/>
        <v>0</v>
      </c>
      <c r="BG1551" s="318">
        <f t="shared" si="900"/>
        <v>0</v>
      </c>
      <c r="BH1551" s="318">
        <f t="shared" si="900"/>
        <v>0</v>
      </c>
      <c r="BI1551" s="318">
        <f t="shared" si="900"/>
        <v>0</v>
      </c>
      <c r="BJ1551" s="318">
        <f t="shared" si="900"/>
        <v>0</v>
      </c>
      <c r="BK1551" s="14">
        <f t="shared" si="888"/>
        <v>0</v>
      </c>
      <c r="BL1551" s="318"/>
      <c r="BM1551" s="318"/>
      <c r="BN1551" s="318"/>
      <c r="BO1551" s="318"/>
      <c r="BP1551" s="318"/>
      <c r="BQ1551" s="318"/>
      <c r="BR1551" s="318"/>
      <c r="BS1551" s="318"/>
      <c r="BT1551" s="318"/>
      <c r="BU1551" s="318"/>
      <c r="BV1551" s="318"/>
      <c r="BW1551" s="318"/>
      <c r="BX1551" s="318"/>
      <c r="BY1551" s="318"/>
      <c r="BZ1551" s="318"/>
      <c r="CA1551" s="318"/>
      <c r="CB1551" s="318"/>
      <c r="CC1551" s="318"/>
      <c r="CD1551" s="318"/>
      <c r="CE1551" s="318"/>
      <c r="CF1551" s="318"/>
      <c r="CG1551" s="318"/>
      <c r="CH1551" s="318"/>
      <c r="CI1551" s="318"/>
      <c r="CJ1551" s="2"/>
      <c r="CK1551" s="2"/>
      <c r="CM1551" s="1140">
        <f t="shared" si="898"/>
        <v>0</v>
      </c>
      <c r="CN1551" s="1140">
        <v>0</v>
      </c>
      <c r="CP1551" s="923">
        <f t="shared" si="895"/>
        <v>0</v>
      </c>
      <c r="CZ1551" s="330"/>
    </row>
    <row r="1552" spans="1:104" ht="15" customHeight="1" x14ac:dyDescent="0.25">
      <c r="A1552" s="684">
        <f>MAX($A$6:A1551)+1</f>
        <v>1552</v>
      </c>
      <c r="B1552" s="1301">
        <f t="shared" si="896"/>
        <v>15</v>
      </c>
      <c r="C1552" s="11" t="str">
        <f>C1551</f>
        <v>Contingent Liabilities</v>
      </c>
      <c r="D1552" s="11"/>
      <c r="E1552" s="7" t="s">
        <v>286</v>
      </c>
      <c r="F1552" s="15"/>
      <c r="G1552" s="1254" t="s">
        <v>286</v>
      </c>
      <c r="H1552" s="6"/>
      <c r="I1552" s="6"/>
      <c r="J1552" s="1262" t="s">
        <v>733</v>
      </c>
      <c r="K1552" s="298">
        <f>'alb Note 15 - Cont liab'!$A$21</f>
        <v>0</v>
      </c>
      <c r="L1552" s="1256">
        <f>SUMIF('alb Note 15 - Cont liab'!$A:$A,$J1552,'alb Note 15 - Cont liab'!$E:$E)</f>
        <v>0</v>
      </c>
      <c r="M1552" s="10"/>
      <c r="N1552" s="273"/>
      <c r="O1552" s="12"/>
      <c r="P1552" s="12"/>
      <c r="Q1552" s="12"/>
      <c r="R1552" s="12"/>
      <c r="S1552" s="6">
        <f t="shared" si="890"/>
        <v>0</v>
      </c>
      <c r="T1552" s="273"/>
      <c r="U1552" s="6">
        <f>SUM(BL1552:BN1552)</f>
        <v>0</v>
      </c>
      <c r="V1552" s="6"/>
      <c r="W1552" s="6">
        <f t="shared" si="894"/>
        <v>0</v>
      </c>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X1552" s="6"/>
      <c r="AY1552" s="6"/>
      <c r="BA1552" s="6"/>
      <c r="BB1552" s="6"/>
      <c r="BC1552" s="6"/>
      <c r="BD1552" s="29">
        <f t="shared" si="892"/>
        <v>0</v>
      </c>
      <c r="BE1552" s="317"/>
      <c r="BF1552" s="317"/>
      <c r="BG1552" s="317"/>
      <c r="BH1552" s="317"/>
      <c r="BI1552" s="317"/>
      <c r="BJ1552" s="317"/>
      <c r="BK1552" s="29">
        <f t="shared" si="888"/>
        <v>0</v>
      </c>
      <c r="BL1552" s="317"/>
      <c r="BM1552" s="317"/>
      <c r="BN1552" s="317"/>
      <c r="BO1552" s="317"/>
      <c r="BP1552" s="317"/>
      <c r="BQ1552" s="317"/>
      <c r="BR1552" s="317"/>
      <c r="BS1552" s="317"/>
      <c r="BT1552" s="317"/>
      <c r="BU1552" s="317"/>
      <c r="BV1552" s="317"/>
      <c r="BW1552" s="317"/>
      <c r="BX1552" s="317"/>
      <c r="BY1552" s="317"/>
      <c r="BZ1552" s="317"/>
      <c r="CA1552" s="317"/>
      <c r="CB1552" s="317"/>
      <c r="CC1552" s="317"/>
      <c r="CD1552" s="317"/>
      <c r="CE1552" s="317"/>
      <c r="CF1552" s="317"/>
      <c r="CG1552" s="317"/>
      <c r="CH1552" s="317"/>
      <c r="CI1552" s="317"/>
      <c r="CM1552" s="1139">
        <f t="shared" si="898"/>
        <v>0</v>
      </c>
      <c r="CN1552" s="1139">
        <v>0</v>
      </c>
      <c r="CP1552" s="923">
        <f t="shared" si="895"/>
        <v>0</v>
      </c>
      <c r="CZ1552" s="330"/>
    </row>
    <row r="1553" spans="1:104" ht="15" customHeight="1" x14ac:dyDescent="0.25">
      <c r="A1553" s="684">
        <f>MAX($A$6:A1552)+1</f>
        <v>1553</v>
      </c>
      <c r="B1553" s="1301">
        <f t="shared" si="896"/>
        <v>15</v>
      </c>
      <c r="C1553" s="11" t="str">
        <f>C1552</f>
        <v>Contingent Liabilities</v>
      </c>
      <c r="D1553" s="11"/>
      <c r="E1553" s="7" t="s">
        <v>286</v>
      </c>
      <c r="F1553" s="15"/>
      <c r="G1553" s="1254" t="s">
        <v>286</v>
      </c>
      <c r="H1553" s="6"/>
      <c r="I1553" s="6"/>
      <c r="J1553" s="1262" t="s">
        <v>733</v>
      </c>
      <c r="K1553" s="298">
        <f>'alb Note 15 - Cont liab'!$A$22</f>
        <v>0</v>
      </c>
      <c r="L1553" s="1256">
        <f>SUMIF('alb Note 15 - Cont liab'!$A:$A,$J1553,'alb Note 15 - Cont liab'!$E:$E)</f>
        <v>0</v>
      </c>
      <c r="M1553" s="10"/>
      <c r="N1553" s="273"/>
      <c r="O1553" s="12"/>
      <c r="P1553" s="12"/>
      <c r="Q1553" s="12"/>
      <c r="R1553" s="12"/>
      <c r="S1553" s="6">
        <f t="shared" si="890"/>
        <v>0</v>
      </c>
      <c r="T1553" s="273"/>
      <c r="U1553" s="6">
        <f>SUM(BL1553:BN1553)</f>
        <v>0</v>
      </c>
      <c r="V1553" s="6"/>
      <c r="W1553" s="6">
        <f t="shared" si="894"/>
        <v>0</v>
      </c>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X1553" s="6"/>
      <c r="AY1553" s="6"/>
      <c r="BA1553" s="6"/>
      <c r="BB1553" s="6"/>
      <c r="BC1553" s="6"/>
      <c r="BD1553" s="29">
        <f t="shared" si="892"/>
        <v>0</v>
      </c>
      <c r="BE1553" s="317"/>
      <c r="BF1553" s="317"/>
      <c r="BG1553" s="317"/>
      <c r="BH1553" s="317"/>
      <c r="BI1553" s="317"/>
      <c r="BJ1553" s="317"/>
      <c r="BK1553" s="29">
        <f t="shared" si="888"/>
        <v>0</v>
      </c>
      <c r="BL1553" s="317"/>
      <c r="BM1553" s="317"/>
      <c r="BN1553" s="317"/>
      <c r="BO1553" s="317"/>
      <c r="BP1553" s="317"/>
      <c r="BQ1553" s="317"/>
      <c r="BR1553" s="317"/>
      <c r="BS1553" s="317"/>
      <c r="BT1553" s="317"/>
      <c r="BU1553" s="317"/>
      <c r="BV1553" s="317"/>
      <c r="BW1553" s="317"/>
      <c r="BX1553" s="317"/>
      <c r="BY1553" s="317"/>
      <c r="BZ1553" s="317"/>
      <c r="CA1553" s="317"/>
      <c r="CB1553" s="317"/>
      <c r="CC1553" s="317"/>
      <c r="CD1553" s="317"/>
      <c r="CE1553" s="317"/>
      <c r="CF1553" s="317"/>
      <c r="CG1553" s="317"/>
      <c r="CH1553" s="317"/>
      <c r="CI1553" s="317"/>
      <c r="CM1553" s="1139">
        <f t="shared" si="898"/>
        <v>0</v>
      </c>
      <c r="CN1553" s="1139">
        <v>0</v>
      </c>
      <c r="CP1553" s="923">
        <f t="shared" si="895"/>
        <v>0</v>
      </c>
      <c r="CZ1553" s="330"/>
    </row>
    <row r="1554" spans="1:104" ht="18.75" customHeight="1" x14ac:dyDescent="0.25">
      <c r="A1554" s="1297">
        <f>MAX($A$6:A1553)+1</f>
        <v>1554</v>
      </c>
      <c r="B1554" s="1295">
        <f>SUMIF(Update!$B$33:$B$106,C1554,Update!$A$33:$A$106)</f>
        <v>15.1</v>
      </c>
      <c r="C1554" s="696" t="s">
        <v>635</v>
      </c>
      <c r="D1554" s="695"/>
      <c r="E1554" s="696" t="str">
        <f>B1554&amp;" "&amp;C1554</f>
        <v>15.1 Financial Guarantees, Indemnities and Letter of Comfort</v>
      </c>
      <c r="F1554" s="697"/>
      <c r="G1554" s="697"/>
      <c r="H1554" s="695"/>
      <c r="I1554" s="695"/>
      <c r="J1554" s="698" t="s">
        <v>286</v>
      </c>
      <c r="K1554" s="699"/>
      <c r="L1554" s="699"/>
      <c r="M1554" s="695"/>
      <c r="N1554" s="713">
        <f t="shared" ref="N1554:N1585" si="901">ROUND(SUM(O1554:S1554)+T1554+SUM(Z1554:AV1554),0)</f>
        <v>0</v>
      </c>
      <c r="O1554" s="695"/>
      <c r="P1554" s="695"/>
      <c r="Q1554" s="695"/>
      <c r="R1554" s="695"/>
      <c r="S1554" s="695">
        <f t="shared" ref="S1554:S1585" si="902">-IF(ISNUMBER(BD1554),BD1554,0)</f>
        <v>0</v>
      </c>
      <c r="T1554" s="713">
        <f t="shared" ref="T1554:T1566" si="903">ROUND(SUM(U1554:Y1554),0)</f>
        <v>0</v>
      </c>
      <c r="U1554" s="695"/>
      <c r="V1554" s="695"/>
      <c r="W1554" s="695"/>
      <c r="X1554" s="695"/>
      <c r="Y1554" s="695"/>
      <c r="Z1554" s="695"/>
      <c r="AA1554" s="695"/>
      <c r="AB1554" s="695"/>
      <c r="AC1554" s="695"/>
      <c r="AD1554" s="695"/>
      <c r="AE1554" s="695"/>
      <c r="AF1554" s="695"/>
      <c r="AG1554" s="695"/>
      <c r="AH1554" s="695"/>
      <c r="AI1554" s="695"/>
      <c r="AJ1554" s="695"/>
      <c r="AK1554" s="695"/>
      <c r="AL1554" s="695"/>
      <c r="AM1554" s="695"/>
      <c r="AN1554" s="695"/>
      <c r="AO1554" s="695"/>
      <c r="AP1554" s="695"/>
      <c r="AQ1554" s="695"/>
      <c r="AR1554" s="695"/>
      <c r="AS1554" s="695"/>
      <c r="AT1554" s="695"/>
      <c r="AU1554" s="695"/>
      <c r="AV1554" s="695"/>
      <c r="AW1554" s="700"/>
      <c r="AX1554" s="700"/>
      <c r="AY1554" s="700">
        <f>ROUND(AX1554/1000/Update!$B$31*Update!$B$27,0)</f>
        <v>0</v>
      </c>
      <c r="AZ1554" s="700"/>
      <c r="BA1554" s="700"/>
      <c r="BB1554" s="700">
        <f>ROUND(BA1554/1000/Update!$B$31,0)</f>
        <v>0</v>
      </c>
      <c r="BC1554" s="700"/>
      <c r="BD1554" s="721">
        <f t="shared" ref="BD1554:BD1581" si="904">ROUND(SUM(BE1554:BK1554),0)</f>
        <v>0</v>
      </c>
      <c r="BE1554" s="700"/>
      <c r="BF1554" s="700"/>
      <c r="BG1554" s="700"/>
      <c r="BH1554" s="700"/>
      <c r="BI1554" s="700"/>
      <c r="BJ1554" s="700"/>
      <c r="BK1554" s="721">
        <f t="shared" si="888"/>
        <v>0</v>
      </c>
      <c r="BL1554" s="700"/>
      <c r="BM1554" s="700"/>
      <c r="BN1554" s="700"/>
      <c r="BO1554" s="700"/>
      <c r="BP1554" s="700"/>
      <c r="BQ1554" s="700"/>
      <c r="BR1554" s="700"/>
      <c r="BS1554" s="700"/>
      <c r="BT1554" s="700"/>
      <c r="BU1554" s="700"/>
      <c r="BV1554" s="700"/>
      <c r="BW1554" s="700"/>
      <c r="BX1554" s="700"/>
      <c r="BY1554" s="700"/>
      <c r="BZ1554" s="700"/>
      <c r="CA1554" s="700"/>
      <c r="CB1554" s="700"/>
      <c r="CC1554" s="700"/>
      <c r="CD1554" s="700"/>
      <c r="CE1554" s="700"/>
      <c r="CF1554" s="700"/>
      <c r="CG1554" s="700"/>
      <c r="CH1554" s="700"/>
      <c r="CI1554" s="700"/>
      <c r="CJ1554" s="700"/>
      <c r="CK1554" s="700"/>
      <c r="CM1554" s="700">
        <f t="shared" si="898"/>
        <v>0</v>
      </c>
      <c r="CN1554" s="700">
        <v>0</v>
      </c>
      <c r="CP1554" s="923">
        <f t="shared" si="895"/>
        <v>0</v>
      </c>
      <c r="CZ1554" s="330"/>
    </row>
    <row r="1555" spans="1:104" ht="15" customHeight="1" x14ac:dyDescent="0.25">
      <c r="A1555" s="684">
        <f>MAX($A$6:A1554)+1</f>
        <v>1555</v>
      </c>
      <c r="B1555" s="1301">
        <f t="shared" ref="B1555:C1558" si="905">B1554</f>
        <v>15.1</v>
      </c>
      <c r="C1555" s="11" t="str">
        <f t="shared" si="905"/>
        <v>Financial Guarantees, Indemnities and Letter of Comfort</v>
      </c>
      <c r="D1555" s="11" t="s">
        <v>639</v>
      </c>
      <c r="E1555" s="7" t="str">
        <f>"At"&amp;Update!$B$20&amp;" "</f>
        <v xml:space="preserve">At 1 April 2025 </v>
      </c>
      <c r="F1555" s="1283"/>
      <c r="G1555" s="1267" t="str">
        <f>"At"&amp;Update!$B$20&amp;" "</f>
        <v xml:space="preserve">At 1 April 2025 </v>
      </c>
      <c r="H1555" s="6">
        <v>0</v>
      </c>
      <c r="I1555" s="6"/>
      <c r="J1555" s="1257" t="s">
        <v>639</v>
      </c>
      <c r="K1555" s="251">
        <f>SUMIF('alb Note 15.1- Financial Guar'!$A:$A,$J1555,'alb Note 15.1- Financial Guar'!$B:$B)</f>
        <v>0</v>
      </c>
      <c r="L1555" s="266"/>
      <c r="M1555" s="10"/>
      <c r="N1555" s="273">
        <f t="shared" si="901"/>
        <v>0</v>
      </c>
      <c r="O1555" s="12"/>
      <c r="P1555" s="12"/>
      <c r="Q1555" s="12"/>
      <c r="R1555" s="12"/>
      <c r="S1555" s="6">
        <f t="shared" si="902"/>
        <v>0</v>
      </c>
      <c r="T1555" s="273">
        <f t="shared" si="903"/>
        <v>0</v>
      </c>
      <c r="U1555" s="6">
        <f t="shared" ref="U1555:U1566" si="906">SUM(BL1555:BN1555)</f>
        <v>0</v>
      </c>
      <c r="V1555" s="6"/>
      <c r="W1555" s="6">
        <f t="shared" si="894"/>
        <v>0</v>
      </c>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X1555" s="6"/>
      <c r="AY1555" s="6">
        <f>ROUND(AX1555/1000/Update!$B$31*Update!$B$27,0)</f>
        <v>0</v>
      </c>
      <c r="BA1555" s="6"/>
      <c r="BB1555" s="6">
        <f>ROUND(BA1555/1000/Update!$B$31,0)</f>
        <v>0</v>
      </c>
      <c r="BC1555" s="6"/>
      <c r="BD1555" s="29">
        <f t="shared" si="904"/>
        <v>0</v>
      </c>
      <c r="BE1555" s="317"/>
      <c r="BF1555" s="317"/>
      <c r="BG1555" s="317"/>
      <c r="BH1555" s="317"/>
      <c r="BI1555" s="317"/>
      <c r="BJ1555" s="317"/>
      <c r="BK1555" s="29">
        <f t="shared" si="888"/>
        <v>0</v>
      </c>
      <c r="BL1555" s="317"/>
      <c r="BM1555" s="317"/>
      <c r="BN1555" s="317"/>
      <c r="BO1555" s="317"/>
      <c r="BP1555" s="317"/>
      <c r="BQ1555" s="317"/>
      <c r="BR1555" s="317"/>
      <c r="BS1555" s="317"/>
      <c r="BT1555" s="317"/>
      <c r="BU1555" s="317"/>
      <c r="BV1555" s="317"/>
      <c r="BW1555" s="317"/>
      <c r="BX1555" s="317"/>
      <c r="BY1555" s="317"/>
      <c r="BZ1555" s="317"/>
      <c r="CA1555" s="317"/>
      <c r="CB1555" s="317"/>
      <c r="CC1555" s="317"/>
      <c r="CD1555" s="317"/>
      <c r="CE1555" s="317"/>
      <c r="CF1555" s="317"/>
      <c r="CG1555" s="317"/>
      <c r="CH1555" s="317"/>
      <c r="CI1555" s="317"/>
      <c r="CM1555" s="1139">
        <f t="shared" si="898"/>
        <v>0</v>
      </c>
      <c r="CN1555" s="1139">
        <v>0</v>
      </c>
      <c r="CP1555" s="923">
        <f t="shared" si="895"/>
        <v>0</v>
      </c>
      <c r="CZ1555" s="330"/>
    </row>
    <row r="1556" spans="1:104" ht="15" customHeight="1" x14ac:dyDescent="0.25">
      <c r="A1556" s="684">
        <f>MAX($A$6:A1555)+1</f>
        <v>1556</v>
      </c>
      <c r="B1556" s="1301">
        <f t="shared" si="905"/>
        <v>15.1</v>
      </c>
      <c r="C1556" s="11" t="str">
        <f t="shared" si="905"/>
        <v>Financial Guarantees, Indemnities and Letter of Comfort</v>
      </c>
      <c r="D1556" s="11" t="s">
        <v>639</v>
      </c>
      <c r="E1556" s="7" t="s">
        <v>636</v>
      </c>
      <c r="F1556" s="1267"/>
      <c r="G1556" s="1254" t="s">
        <v>636</v>
      </c>
      <c r="H1556" s="6">
        <v>0</v>
      </c>
      <c r="I1556" s="6">
        <v>0</v>
      </c>
      <c r="J1556" s="1257" t="s">
        <v>639</v>
      </c>
      <c r="K1556" s="251">
        <f>SUMIF('alb Note 15.1- Financial Guar'!$A:$A,$J$1556,'alb Note 15.1- Financial Guar'!$C:$C)</f>
        <v>0</v>
      </c>
      <c r="L1556" s="251">
        <f>SUMIF('alb Note 15.1- Financial Guar'!$A:$A,$J$1556,'alb Note 15.1- Financial Guar'!$I:$I)</f>
        <v>0</v>
      </c>
      <c r="M1556" s="10"/>
      <c r="N1556" s="273">
        <f t="shared" si="901"/>
        <v>0</v>
      </c>
      <c r="O1556" s="12"/>
      <c r="P1556" s="12"/>
      <c r="Q1556" s="12"/>
      <c r="R1556" s="12"/>
      <c r="S1556" s="6">
        <f t="shared" si="902"/>
        <v>0</v>
      </c>
      <c r="T1556" s="273">
        <f t="shared" si="903"/>
        <v>0</v>
      </c>
      <c r="U1556" s="6">
        <f t="shared" si="906"/>
        <v>0</v>
      </c>
      <c r="V1556" s="6"/>
      <c r="W1556" s="6">
        <f t="shared" si="894"/>
        <v>0</v>
      </c>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X1556" s="6"/>
      <c r="AY1556" s="6">
        <f>ROUND(AX1556/1000/Update!$B$31*Update!$B$27,0)</f>
        <v>0</v>
      </c>
      <c r="BA1556" s="6"/>
      <c r="BB1556" s="6">
        <f>ROUND(BA1556/1000/Update!$B$31,0)</f>
        <v>0</v>
      </c>
      <c r="BC1556" s="6"/>
      <c r="BD1556" s="29">
        <f t="shared" si="904"/>
        <v>0</v>
      </c>
      <c r="BE1556" s="317"/>
      <c r="BF1556" s="317"/>
      <c r="BG1556" s="317"/>
      <c r="BH1556" s="317"/>
      <c r="BI1556" s="317"/>
      <c r="BJ1556" s="317"/>
      <c r="BK1556" s="29">
        <f t="shared" si="888"/>
        <v>0</v>
      </c>
      <c r="BL1556" s="317"/>
      <c r="BM1556" s="317"/>
      <c r="BN1556" s="317"/>
      <c r="BO1556" s="317"/>
      <c r="BP1556" s="317"/>
      <c r="BQ1556" s="317"/>
      <c r="BR1556" s="317"/>
      <c r="BS1556" s="317"/>
      <c r="BT1556" s="317"/>
      <c r="BU1556" s="317"/>
      <c r="BV1556" s="317"/>
      <c r="BW1556" s="317"/>
      <c r="BX1556" s="317"/>
      <c r="BY1556" s="317"/>
      <c r="BZ1556" s="317"/>
      <c r="CA1556" s="317"/>
      <c r="CB1556" s="317"/>
      <c r="CC1556" s="317"/>
      <c r="CD1556" s="317"/>
      <c r="CE1556" s="317"/>
      <c r="CF1556" s="317"/>
      <c r="CG1556" s="317"/>
      <c r="CH1556" s="317"/>
      <c r="CI1556" s="317"/>
      <c r="CM1556" s="1139">
        <f t="shared" si="898"/>
        <v>0</v>
      </c>
      <c r="CN1556" s="1139">
        <v>0</v>
      </c>
      <c r="CP1556" s="923">
        <f t="shared" si="895"/>
        <v>0</v>
      </c>
      <c r="CZ1556" s="330"/>
    </row>
    <row r="1557" spans="1:104" ht="15" customHeight="1" x14ac:dyDescent="0.25">
      <c r="A1557" s="684">
        <f>MAX($A$6:A1556)+1</f>
        <v>1557</v>
      </c>
      <c r="B1557" s="1301">
        <f t="shared" si="905"/>
        <v>15.1</v>
      </c>
      <c r="C1557" s="11" t="str">
        <f t="shared" si="905"/>
        <v>Financial Guarantees, Indemnities and Letter of Comfort</v>
      </c>
      <c r="D1557" s="11" t="s">
        <v>639</v>
      </c>
      <c r="E1557" s="7" t="s">
        <v>637</v>
      </c>
      <c r="F1557" s="1267"/>
      <c r="G1557" s="1254" t="s">
        <v>637</v>
      </c>
      <c r="H1557" s="6">
        <v>0</v>
      </c>
      <c r="I1557" s="6"/>
      <c r="J1557" s="1257" t="s">
        <v>639</v>
      </c>
      <c r="K1557" s="251">
        <f>SUMIF('alb Note 15.1- Financial Guar'!$A:$A,$J$1557,'alb Note 15.1- Financial Guar'!$D:$D)</f>
        <v>0</v>
      </c>
      <c r="L1557" s="266"/>
      <c r="M1557" s="10"/>
      <c r="N1557" s="273">
        <f t="shared" si="901"/>
        <v>0</v>
      </c>
      <c r="O1557" s="12"/>
      <c r="P1557" s="12"/>
      <c r="Q1557" s="12"/>
      <c r="R1557" s="12"/>
      <c r="S1557" s="6">
        <f t="shared" si="902"/>
        <v>0</v>
      </c>
      <c r="T1557" s="273">
        <f t="shared" si="903"/>
        <v>0</v>
      </c>
      <c r="U1557" s="6">
        <f t="shared" si="906"/>
        <v>0</v>
      </c>
      <c r="V1557" s="6"/>
      <c r="W1557" s="6">
        <f t="shared" si="894"/>
        <v>0</v>
      </c>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X1557" s="6"/>
      <c r="AY1557" s="6">
        <f>ROUND(AX1557/1000/Update!$B$31*Update!$B$27,0)</f>
        <v>0</v>
      </c>
      <c r="BA1557" s="6"/>
      <c r="BB1557" s="6">
        <f>ROUND(BA1557/1000/Update!$B$31,0)</f>
        <v>0</v>
      </c>
      <c r="BC1557" s="6"/>
      <c r="BD1557" s="29">
        <f t="shared" si="904"/>
        <v>0</v>
      </c>
      <c r="BE1557" s="317"/>
      <c r="BF1557" s="317"/>
      <c r="BG1557" s="317"/>
      <c r="BH1557" s="317"/>
      <c r="BI1557" s="317"/>
      <c r="BJ1557" s="317"/>
      <c r="BK1557" s="29">
        <f t="shared" si="888"/>
        <v>0</v>
      </c>
      <c r="BL1557" s="317"/>
      <c r="BM1557" s="317"/>
      <c r="BN1557" s="317"/>
      <c r="BO1557" s="317"/>
      <c r="BP1557" s="317"/>
      <c r="BQ1557" s="317"/>
      <c r="BR1557" s="317"/>
      <c r="BS1557" s="317"/>
      <c r="BT1557" s="317"/>
      <c r="BU1557" s="317"/>
      <c r="BV1557" s="317"/>
      <c r="BW1557" s="317"/>
      <c r="BX1557" s="317"/>
      <c r="BY1557" s="317"/>
      <c r="BZ1557" s="317"/>
      <c r="CA1557" s="317"/>
      <c r="CB1557" s="317"/>
      <c r="CC1557" s="317"/>
      <c r="CD1557" s="317"/>
      <c r="CE1557" s="317"/>
      <c r="CF1557" s="317"/>
      <c r="CG1557" s="317"/>
      <c r="CH1557" s="317"/>
      <c r="CI1557" s="317"/>
      <c r="CM1557" s="1139">
        <f t="shared" si="898"/>
        <v>0</v>
      </c>
      <c r="CN1557" s="1139">
        <v>0</v>
      </c>
      <c r="CP1557" s="923">
        <f t="shared" si="895"/>
        <v>0</v>
      </c>
      <c r="CZ1557" s="330"/>
    </row>
    <row r="1558" spans="1:104" ht="15" customHeight="1" x14ac:dyDescent="0.25">
      <c r="A1558" s="684">
        <f>MAX($A$6:A1557)+1</f>
        <v>1558</v>
      </c>
      <c r="B1558" s="1301">
        <f t="shared" si="905"/>
        <v>15.1</v>
      </c>
      <c r="C1558" s="11" t="str">
        <f t="shared" si="905"/>
        <v>Financial Guarantees, Indemnities and Letter of Comfort</v>
      </c>
      <c r="D1558" s="11" t="s">
        <v>639</v>
      </c>
      <c r="E1558" s="7" t="s">
        <v>638</v>
      </c>
      <c r="F1558" s="1267"/>
      <c r="G1558" s="1254" t="s">
        <v>638</v>
      </c>
      <c r="H1558" s="6">
        <v>0</v>
      </c>
      <c r="I1558" s="6"/>
      <c r="J1558" s="1257" t="s">
        <v>639</v>
      </c>
      <c r="K1558" s="251">
        <f>SUMIF('alb Note 15.1- Financial Guar'!$A:$A,$J$1558,'alb Note 15.1- Financial Guar'!$E:$E)</f>
        <v>0</v>
      </c>
      <c r="L1558" s="266"/>
      <c r="M1558" s="10"/>
      <c r="N1558" s="273">
        <f t="shared" si="901"/>
        <v>0</v>
      </c>
      <c r="O1558" s="12"/>
      <c r="P1558" s="12"/>
      <c r="Q1558" s="12"/>
      <c r="R1558" s="12"/>
      <c r="S1558" s="6">
        <f t="shared" si="902"/>
        <v>0</v>
      </c>
      <c r="T1558" s="273">
        <f t="shared" si="903"/>
        <v>0</v>
      </c>
      <c r="U1558" s="6">
        <f t="shared" si="906"/>
        <v>0</v>
      </c>
      <c r="V1558" s="6"/>
      <c r="W1558" s="6">
        <f t="shared" si="894"/>
        <v>0</v>
      </c>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X1558" s="6"/>
      <c r="AY1558" s="6">
        <f>ROUND(AX1558/1000/Update!$B$31*Update!$B$27,0)</f>
        <v>0</v>
      </c>
      <c r="BA1558" s="6"/>
      <c r="BB1558" s="6">
        <f>ROUND(BA1558/1000/Update!$B$31,0)</f>
        <v>0</v>
      </c>
      <c r="BC1558" s="6"/>
      <c r="BD1558" s="29">
        <f t="shared" si="904"/>
        <v>0</v>
      </c>
      <c r="BE1558" s="317"/>
      <c r="BF1558" s="317"/>
      <c r="BG1558" s="317"/>
      <c r="BH1558" s="317"/>
      <c r="BI1558" s="317"/>
      <c r="BJ1558" s="317"/>
      <c r="BK1558" s="29">
        <f t="shared" si="888"/>
        <v>0</v>
      </c>
      <c r="BL1558" s="317"/>
      <c r="BM1558" s="317"/>
      <c r="BN1558" s="317"/>
      <c r="BO1558" s="317"/>
      <c r="BP1558" s="317"/>
      <c r="BQ1558" s="317"/>
      <c r="BR1558" s="317"/>
      <c r="BS1558" s="317"/>
      <c r="BT1558" s="317"/>
      <c r="BU1558" s="317"/>
      <c r="BV1558" s="317"/>
      <c r="BW1558" s="317"/>
      <c r="BX1558" s="317"/>
      <c r="BY1558" s="317"/>
      <c r="BZ1558" s="317"/>
      <c r="CA1558" s="317"/>
      <c r="CB1558" s="317"/>
      <c r="CC1558" s="317"/>
      <c r="CD1558" s="317"/>
      <c r="CE1558" s="317"/>
      <c r="CF1558" s="317"/>
      <c r="CG1558" s="317"/>
      <c r="CH1558" s="317"/>
      <c r="CI1558" s="317"/>
      <c r="CM1558" s="1139">
        <f t="shared" si="898"/>
        <v>0</v>
      </c>
      <c r="CN1558" s="1139">
        <v>0</v>
      </c>
      <c r="CP1558" s="923">
        <f t="shared" si="895"/>
        <v>0</v>
      </c>
      <c r="CZ1558" s="330"/>
    </row>
    <row r="1559" spans="1:104" ht="15" customHeight="1" x14ac:dyDescent="0.25">
      <c r="A1559" s="684">
        <f>MAX($A$6:A1558)+1</f>
        <v>1559</v>
      </c>
      <c r="B1559" s="1301">
        <f t="shared" ref="B1559:B1567" si="907">B1558</f>
        <v>15.1</v>
      </c>
      <c r="C1559" s="11" t="str">
        <f t="shared" ref="C1559:C1567" si="908">C1558</f>
        <v>Financial Guarantees, Indemnities and Letter of Comfort</v>
      </c>
      <c r="D1559" s="11" t="s">
        <v>640</v>
      </c>
      <c r="E1559" s="7" t="str">
        <f>"At"&amp;Update!$B$20&amp;" "</f>
        <v xml:space="preserve">At 1 April 2025 </v>
      </c>
      <c r="F1559" s="1283"/>
      <c r="G1559" s="1267" t="str">
        <f>"At"&amp;Update!$B$20&amp;" "</f>
        <v xml:space="preserve">At 1 April 2025 </v>
      </c>
      <c r="H1559" s="6">
        <v>0</v>
      </c>
      <c r="I1559" s="6"/>
      <c r="J1559" s="1257" t="s">
        <v>640</v>
      </c>
      <c r="K1559" s="251">
        <f>SUMIF('alb Note 15.1- Financial Guar'!$A:$A,$J$1559,'alb Note 15.1- Financial Guar'!$B:$B)</f>
        <v>0</v>
      </c>
      <c r="L1559" s="266"/>
      <c r="M1559" s="10"/>
      <c r="N1559" s="273">
        <f t="shared" si="901"/>
        <v>0</v>
      </c>
      <c r="O1559" s="12"/>
      <c r="P1559" s="12"/>
      <c r="Q1559" s="12"/>
      <c r="R1559" s="12"/>
      <c r="S1559" s="6">
        <f t="shared" si="902"/>
        <v>0</v>
      </c>
      <c r="T1559" s="273">
        <f t="shared" si="903"/>
        <v>0</v>
      </c>
      <c r="U1559" s="6">
        <f t="shared" si="906"/>
        <v>0</v>
      </c>
      <c r="V1559" s="6"/>
      <c r="W1559" s="6">
        <f t="shared" si="894"/>
        <v>0</v>
      </c>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X1559" s="6"/>
      <c r="AY1559" s="6">
        <f>ROUND(AX1559/1000/Update!$B$31*Update!$B$27,0)</f>
        <v>0</v>
      </c>
      <c r="BA1559" s="6"/>
      <c r="BB1559" s="6">
        <f>ROUND(BA1559/1000/Update!$B$31,0)</f>
        <v>0</v>
      </c>
      <c r="BC1559" s="6"/>
      <c r="BD1559" s="29">
        <f t="shared" si="904"/>
        <v>0</v>
      </c>
      <c r="BE1559" s="322"/>
      <c r="BF1559" s="322"/>
      <c r="BG1559" s="322"/>
      <c r="BH1559" s="322"/>
      <c r="BI1559" s="322"/>
      <c r="BJ1559" s="322"/>
      <c r="BK1559" s="29">
        <f t="shared" si="888"/>
        <v>0</v>
      </c>
      <c r="BL1559" s="322"/>
      <c r="BM1559" s="322"/>
      <c r="BN1559" s="322"/>
      <c r="BO1559" s="322"/>
      <c r="BP1559" s="322"/>
      <c r="BQ1559" s="322"/>
      <c r="BR1559" s="322"/>
      <c r="BS1559" s="322"/>
      <c r="BT1559" s="322"/>
      <c r="BU1559" s="322"/>
      <c r="BV1559" s="322"/>
      <c r="BW1559" s="322"/>
      <c r="BX1559" s="322"/>
      <c r="BY1559" s="322"/>
      <c r="BZ1559" s="322"/>
      <c r="CA1559" s="322"/>
      <c r="CB1559" s="322"/>
      <c r="CC1559" s="322"/>
      <c r="CD1559" s="322"/>
      <c r="CE1559" s="322"/>
      <c r="CF1559" s="322"/>
      <c r="CG1559" s="322"/>
      <c r="CH1559" s="322"/>
      <c r="CI1559" s="322"/>
      <c r="CM1559" s="1139">
        <f t="shared" si="898"/>
        <v>0</v>
      </c>
      <c r="CN1559" s="1139">
        <v>0</v>
      </c>
      <c r="CP1559" s="923">
        <f t="shared" si="895"/>
        <v>0</v>
      </c>
      <c r="CZ1559" s="330"/>
    </row>
    <row r="1560" spans="1:104" ht="15" customHeight="1" x14ac:dyDescent="0.25">
      <c r="A1560" s="684">
        <f>MAX($A$6:A1559)+1</f>
        <v>1560</v>
      </c>
      <c r="B1560" s="1301">
        <f t="shared" si="907"/>
        <v>15.1</v>
      </c>
      <c r="C1560" s="11" t="str">
        <f t="shared" si="908"/>
        <v>Financial Guarantees, Indemnities and Letter of Comfort</v>
      </c>
      <c r="D1560" s="11" t="s">
        <v>640</v>
      </c>
      <c r="E1560" s="7" t="s">
        <v>636</v>
      </c>
      <c r="F1560" s="1267"/>
      <c r="G1560" s="1254" t="s">
        <v>636</v>
      </c>
      <c r="H1560" s="6">
        <v>0</v>
      </c>
      <c r="I1560" s="6">
        <v>0</v>
      </c>
      <c r="J1560" s="1257" t="s">
        <v>640</v>
      </c>
      <c r="K1560" s="251">
        <f>SUMIF('alb Note 15.1- Financial Guar'!$A:$A,$J$1560,'alb Note 15.1- Financial Guar'!$C:$C)</f>
        <v>0</v>
      </c>
      <c r="L1560" s="251">
        <f>SUMIF('alb Note 15.1- Financial Guar'!$A:$A,$J$1560,'alb Note 15.1- Financial Guar'!$I:$I)</f>
        <v>0</v>
      </c>
      <c r="M1560" s="10"/>
      <c r="N1560" s="273">
        <f t="shared" si="901"/>
        <v>0</v>
      </c>
      <c r="O1560" s="12"/>
      <c r="P1560" s="12"/>
      <c r="Q1560" s="12"/>
      <c r="R1560" s="12"/>
      <c r="S1560" s="6">
        <f t="shared" si="902"/>
        <v>0</v>
      </c>
      <c r="T1560" s="273">
        <f t="shared" si="903"/>
        <v>0</v>
      </c>
      <c r="U1560" s="6">
        <f t="shared" si="906"/>
        <v>0</v>
      </c>
      <c r="V1560" s="6"/>
      <c r="W1560" s="6">
        <f t="shared" si="894"/>
        <v>0</v>
      </c>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X1560" s="6"/>
      <c r="AY1560" s="6">
        <f>ROUND(AX1560/1000/Update!$B$31*Update!$B$27,0)</f>
        <v>0</v>
      </c>
      <c r="BA1560" s="6"/>
      <c r="BB1560" s="6">
        <f>ROUND(BA1560/1000/Update!$B$31,0)</f>
        <v>0</v>
      </c>
      <c r="BC1560" s="6"/>
      <c r="BD1560" s="29">
        <f t="shared" si="904"/>
        <v>0</v>
      </c>
      <c r="BE1560" s="322"/>
      <c r="BF1560" s="322"/>
      <c r="BG1560" s="322"/>
      <c r="BH1560" s="322"/>
      <c r="BI1560" s="322"/>
      <c r="BJ1560" s="322"/>
      <c r="BK1560" s="29">
        <f t="shared" si="888"/>
        <v>0</v>
      </c>
      <c r="BL1560" s="322"/>
      <c r="BM1560" s="322"/>
      <c r="BN1560" s="322"/>
      <c r="BO1560" s="322"/>
      <c r="BP1560" s="322"/>
      <c r="BQ1560" s="322"/>
      <c r="BR1560" s="322"/>
      <c r="BS1560" s="322"/>
      <c r="BT1560" s="322"/>
      <c r="BU1560" s="322"/>
      <c r="BV1560" s="322"/>
      <c r="BW1560" s="322"/>
      <c r="BX1560" s="322"/>
      <c r="BY1560" s="322"/>
      <c r="BZ1560" s="322"/>
      <c r="CA1560" s="322"/>
      <c r="CB1560" s="322"/>
      <c r="CC1560" s="322"/>
      <c r="CD1560" s="322"/>
      <c r="CE1560" s="322"/>
      <c r="CF1560" s="322"/>
      <c r="CG1560" s="322"/>
      <c r="CH1560" s="322"/>
      <c r="CI1560" s="322"/>
      <c r="CM1560" s="1139">
        <f t="shared" si="898"/>
        <v>0</v>
      </c>
      <c r="CN1560" s="1139">
        <v>0</v>
      </c>
      <c r="CP1560" s="923">
        <f t="shared" si="895"/>
        <v>0</v>
      </c>
      <c r="CZ1560" s="330"/>
    </row>
    <row r="1561" spans="1:104" ht="15" customHeight="1" x14ac:dyDescent="0.25">
      <c r="A1561" s="684">
        <f>MAX($A$6:A1560)+1</f>
        <v>1561</v>
      </c>
      <c r="B1561" s="1301">
        <f t="shared" si="907"/>
        <v>15.1</v>
      </c>
      <c r="C1561" s="11" t="str">
        <f t="shared" si="908"/>
        <v>Financial Guarantees, Indemnities and Letter of Comfort</v>
      </c>
      <c r="D1561" s="11" t="s">
        <v>640</v>
      </c>
      <c r="E1561" s="7" t="s">
        <v>637</v>
      </c>
      <c r="F1561" s="1267"/>
      <c r="G1561" s="1254" t="s">
        <v>637</v>
      </c>
      <c r="H1561" s="6">
        <v>0</v>
      </c>
      <c r="I1561" s="6"/>
      <c r="J1561" s="1257" t="s">
        <v>640</v>
      </c>
      <c r="K1561" s="251">
        <f>SUMIF('alb Note 15.1- Financial Guar'!$A:$A,$J$1561,'alb Note 15.1- Financial Guar'!$D:$D)</f>
        <v>0</v>
      </c>
      <c r="L1561" s="266"/>
      <c r="M1561" s="10"/>
      <c r="N1561" s="273">
        <f t="shared" si="901"/>
        <v>0</v>
      </c>
      <c r="O1561" s="12"/>
      <c r="P1561" s="12"/>
      <c r="Q1561" s="12"/>
      <c r="R1561" s="12"/>
      <c r="S1561" s="6">
        <f t="shared" si="902"/>
        <v>0</v>
      </c>
      <c r="T1561" s="273">
        <f t="shared" si="903"/>
        <v>0</v>
      </c>
      <c r="U1561" s="6">
        <f t="shared" si="906"/>
        <v>0</v>
      </c>
      <c r="V1561" s="6"/>
      <c r="W1561" s="6">
        <f t="shared" si="894"/>
        <v>0</v>
      </c>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X1561" s="6"/>
      <c r="AY1561" s="6">
        <f>ROUND(AX1561/1000/Update!$B$31*Update!$B$27,0)</f>
        <v>0</v>
      </c>
      <c r="BA1561" s="6"/>
      <c r="BB1561" s="6">
        <f>ROUND(BA1561/1000/Update!$B$31,0)</f>
        <v>0</v>
      </c>
      <c r="BC1561" s="6"/>
      <c r="BD1561" s="29">
        <f t="shared" si="904"/>
        <v>0</v>
      </c>
      <c r="BE1561" s="322"/>
      <c r="BF1561" s="322"/>
      <c r="BG1561" s="322"/>
      <c r="BH1561" s="322"/>
      <c r="BI1561" s="322"/>
      <c r="BJ1561" s="322"/>
      <c r="BK1561" s="29">
        <f t="shared" si="888"/>
        <v>0</v>
      </c>
      <c r="BL1561" s="322"/>
      <c r="BM1561" s="322"/>
      <c r="BN1561" s="322"/>
      <c r="BO1561" s="322"/>
      <c r="BP1561" s="322"/>
      <c r="BQ1561" s="322"/>
      <c r="BR1561" s="322"/>
      <c r="BS1561" s="322"/>
      <c r="BT1561" s="322"/>
      <c r="BU1561" s="322"/>
      <c r="BV1561" s="322"/>
      <c r="BW1561" s="322"/>
      <c r="BX1561" s="322"/>
      <c r="BY1561" s="322"/>
      <c r="BZ1561" s="322"/>
      <c r="CA1561" s="322"/>
      <c r="CB1561" s="322"/>
      <c r="CC1561" s="322"/>
      <c r="CD1561" s="322"/>
      <c r="CE1561" s="322"/>
      <c r="CF1561" s="322"/>
      <c r="CG1561" s="322"/>
      <c r="CH1561" s="322"/>
      <c r="CI1561" s="322"/>
      <c r="CM1561" s="1139">
        <f t="shared" si="898"/>
        <v>0</v>
      </c>
      <c r="CN1561" s="1139">
        <v>0</v>
      </c>
      <c r="CP1561" s="923">
        <f t="shared" si="895"/>
        <v>0</v>
      </c>
      <c r="CZ1561" s="330"/>
    </row>
    <row r="1562" spans="1:104" ht="15" customHeight="1" x14ac:dyDescent="0.25">
      <c r="A1562" s="684">
        <f>MAX($A$6:A1561)+1</f>
        <v>1562</v>
      </c>
      <c r="B1562" s="1301">
        <f t="shared" si="907"/>
        <v>15.1</v>
      </c>
      <c r="C1562" s="11" t="str">
        <f t="shared" si="908"/>
        <v>Financial Guarantees, Indemnities and Letter of Comfort</v>
      </c>
      <c r="D1562" s="11" t="s">
        <v>640</v>
      </c>
      <c r="E1562" s="7" t="s">
        <v>638</v>
      </c>
      <c r="F1562" s="1267"/>
      <c r="G1562" s="1254" t="s">
        <v>638</v>
      </c>
      <c r="H1562" s="6">
        <v>0</v>
      </c>
      <c r="I1562" s="6"/>
      <c r="J1562" s="1257" t="s">
        <v>640</v>
      </c>
      <c r="K1562" s="251">
        <f>SUMIF('alb Note 15.1- Financial Guar'!$A:$A,$J$1562,'alb Note 15.1- Financial Guar'!$E:$E)</f>
        <v>0</v>
      </c>
      <c r="L1562" s="266"/>
      <c r="M1562" s="10"/>
      <c r="N1562" s="273">
        <f t="shared" si="901"/>
        <v>0</v>
      </c>
      <c r="O1562" s="12"/>
      <c r="P1562" s="12"/>
      <c r="Q1562" s="12"/>
      <c r="R1562" s="12"/>
      <c r="S1562" s="6">
        <f t="shared" si="902"/>
        <v>0</v>
      </c>
      <c r="T1562" s="273">
        <f t="shared" si="903"/>
        <v>0</v>
      </c>
      <c r="U1562" s="6">
        <f t="shared" si="906"/>
        <v>0</v>
      </c>
      <c r="V1562" s="6"/>
      <c r="W1562" s="6">
        <f t="shared" si="894"/>
        <v>0</v>
      </c>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X1562" s="6"/>
      <c r="AY1562" s="6">
        <f>ROUND(AX1562/1000/Update!$B$31*Update!$B$27,0)</f>
        <v>0</v>
      </c>
      <c r="BA1562" s="6"/>
      <c r="BB1562" s="6">
        <f>ROUND(BA1562/1000/Update!$B$31,0)</f>
        <v>0</v>
      </c>
      <c r="BC1562" s="6"/>
      <c r="BD1562" s="29">
        <f t="shared" si="904"/>
        <v>0</v>
      </c>
      <c r="BE1562" s="322"/>
      <c r="BF1562" s="322"/>
      <c r="BG1562" s="322"/>
      <c r="BH1562" s="322"/>
      <c r="BI1562" s="322"/>
      <c r="BJ1562" s="322"/>
      <c r="BK1562" s="29">
        <f t="shared" si="888"/>
        <v>0</v>
      </c>
      <c r="BL1562" s="322"/>
      <c r="BM1562" s="322"/>
      <c r="BN1562" s="322"/>
      <c r="BO1562" s="322"/>
      <c r="BP1562" s="322"/>
      <c r="BQ1562" s="322"/>
      <c r="BR1562" s="322"/>
      <c r="BS1562" s="322"/>
      <c r="BT1562" s="322"/>
      <c r="BU1562" s="322"/>
      <c r="BV1562" s="322"/>
      <c r="BW1562" s="322"/>
      <c r="BX1562" s="322"/>
      <c r="BY1562" s="322"/>
      <c r="BZ1562" s="322"/>
      <c r="CA1562" s="322"/>
      <c r="CB1562" s="322"/>
      <c r="CC1562" s="322"/>
      <c r="CD1562" s="322"/>
      <c r="CE1562" s="322"/>
      <c r="CF1562" s="322"/>
      <c r="CG1562" s="322"/>
      <c r="CH1562" s="322"/>
      <c r="CI1562" s="322"/>
      <c r="CM1562" s="1139">
        <f t="shared" si="898"/>
        <v>0</v>
      </c>
      <c r="CN1562" s="1139">
        <v>0</v>
      </c>
      <c r="CP1562" s="923">
        <f t="shared" si="895"/>
        <v>0</v>
      </c>
      <c r="CZ1562" s="330"/>
    </row>
    <row r="1563" spans="1:104" ht="15" customHeight="1" x14ac:dyDescent="0.25">
      <c r="A1563" s="684">
        <f>MAX($A$6:A1562)+1</f>
        <v>1563</v>
      </c>
      <c r="B1563" s="1301">
        <f t="shared" si="907"/>
        <v>15.1</v>
      </c>
      <c r="C1563" s="11" t="str">
        <f t="shared" si="908"/>
        <v>Financial Guarantees, Indemnities and Letter of Comfort</v>
      </c>
      <c r="D1563" s="11" t="s">
        <v>641</v>
      </c>
      <c r="E1563" s="7" t="str">
        <f>"At"&amp;Update!$B$20&amp;" "</f>
        <v xml:space="preserve">At 1 April 2025 </v>
      </c>
      <c r="F1563" s="1283"/>
      <c r="G1563" s="1267" t="str">
        <f>"At"&amp;Update!$B$20&amp;" "</f>
        <v xml:space="preserve">At 1 April 2025 </v>
      </c>
      <c r="H1563" s="6">
        <v>0</v>
      </c>
      <c r="I1563" s="6"/>
      <c r="J1563" s="1257" t="s">
        <v>641</v>
      </c>
      <c r="K1563" s="251">
        <f>SUMIF('alb Note 15.1- Financial Guar'!$A:$A,$J$1563,'alb Note 15.1- Financial Guar'!$B:$B)</f>
        <v>0</v>
      </c>
      <c r="L1563" s="266"/>
      <c r="M1563" s="10"/>
      <c r="N1563" s="273">
        <f t="shared" si="901"/>
        <v>0</v>
      </c>
      <c r="O1563" s="12"/>
      <c r="P1563" s="12"/>
      <c r="Q1563" s="12"/>
      <c r="R1563" s="12"/>
      <c r="S1563" s="6">
        <f t="shared" si="902"/>
        <v>0</v>
      </c>
      <c r="T1563" s="273">
        <f t="shared" si="903"/>
        <v>0</v>
      </c>
      <c r="U1563" s="6">
        <f t="shared" si="906"/>
        <v>0</v>
      </c>
      <c r="V1563" s="6"/>
      <c r="W1563" s="6">
        <f t="shared" si="894"/>
        <v>0</v>
      </c>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X1563" s="6"/>
      <c r="AY1563" s="6">
        <f>ROUND(AX1563/1000/Update!$B$31*Update!$B$27,0)</f>
        <v>0</v>
      </c>
      <c r="BA1563" s="6"/>
      <c r="BB1563" s="6">
        <f>ROUND(BA1563/1000/Update!$B$31,0)</f>
        <v>0</v>
      </c>
      <c r="BC1563" s="6"/>
      <c r="BD1563" s="29">
        <f t="shared" si="904"/>
        <v>0</v>
      </c>
      <c r="BE1563" s="322"/>
      <c r="BF1563" s="322"/>
      <c r="BG1563" s="322"/>
      <c r="BH1563" s="322"/>
      <c r="BI1563" s="322"/>
      <c r="BJ1563" s="322"/>
      <c r="BK1563" s="29">
        <f t="shared" si="888"/>
        <v>0</v>
      </c>
      <c r="BL1563" s="322"/>
      <c r="BM1563" s="322"/>
      <c r="BN1563" s="322"/>
      <c r="BO1563" s="322"/>
      <c r="BP1563" s="322"/>
      <c r="BQ1563" s="322"/>
      <c r="BR1563" s="322"/>
      <c r="BS1563" s="322"/>
      <c r="BT1563" s="322"/>
      <c r="BU1563" s="322"/>
      <c r="BV1563" s="322"/>
      <c r="BW1563" s="322"/>
      <c r="BX1563" s="322"/>
      <c r="BY1563" s="322"/>
      <c r="BZ1563" s="322"/>
      <c r="CA1563" s="322"/>
      <c r="CB1563" s="322"/>
      <c r="CC1563" s="322"/>
      <c r="CD1563" s="322"/>
      <c r="CE1563" s="322"/>
      <c r="CF1563" s="322"/>
      <c r="CG1563" s="322"/>
      <c r="CH1563" s="322"/>
      <c r="CI1563" s="322"/>
      <c r="CM1563" s="1139">
        <f t="shared" si="898"/>
        <v>0</v>
      </c>
      <c r="CN1563" s="1139">
        <v>0</v>
      </c>
      <c r="CP1563" s="923">
        <f t="shared" si="895"/>
        <v>0</v>
      </c>
      <c r="CZ1563" s="330"/>
    </row>
    <row r="1564" spans="1:104" ht="15" customHeight="1" x14ac:dyDescent="0.25">
      <c r="A1564" s="684">
        <f>MAX($A$6:A1563)+1</f>
        <v>1564</v>
      </c>
      <c r="B1564" s="1301">
        <f t="shared" si="907"/>
        <v>15.1</v>
      </c>
      <c r="C1564" s="11" t="str">
        <f t="shared" si="908"/>
        <v>Financial Guarantees, Indemnities and Letter of Comfort</v>
      </c>
      <c r="D1564" s="11" t="s">
        <v>641</v>
      </c>
      <c r="E1564" s="7" t="s">
        <v>636</v>
      </c>
      <c r="F1564" s="1267"/>
      <c r="G1564" s="1254" t="s">
        <v>636</v>
      </c>
      <c r="H1564" s="6">
        <v>0</v>
      </c>
      <c r="I1564" s="6">
        <v>0</v>
      </c>
      <c r="J1564" s="1257" t="s">
        <v>641</v>
      </c>
      <c r="K1564" s="251">
        <f>SUMIF('alb Note 15.1- Financial Guar'!$A:$A,$J$1564,'alb Note 15.1- Financial Guar'!$C:$C)</f>
        <v>0</v>
      </c>
      <c r="L1564" s="251">
        <f>SUMIF('alb Note 15.1- Financial Guar'!$A:$A,$J$1564,'alb Note 15.1- Financial Guar'!$I:$I)</f>
        <v>0</v>
      </c>
      <c r="M1564" s="10"/>
      <c r="N1564" s="273">
        <f t="shared" si="901"/>
        <v>0</v>
      </c>
      <c r="O1564" s="12"/>
      <c r="P1564" s="12"/>
      <c r="Q1564" s="12"/>
      <c r="R1564" s="12"/>
      <c r="S1564" s="6">
        <f t="shared" si="902"/>
        <v>0</v>
      </c>
      <c r="T1564" s="273">
        <f t="shared" si="903"/>
        <v>0</v>
      </c>
      <c r="U1564" s="6">
        <f t="shared" si="906"/>
        <v>0</v>
      </c>
      <c r="V1564" s="6"/>
      <c r="W1564" s="6">
        <f t="shared" si="894"/>
        <v>0</v>
      </c>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X1564" s="6"/>
      <c r="AY1564" s="6">
        <f>ROUND(AX1564/1000/Update!$B$31*Update!$B$27,0)</f>
        <v>0</v>
      </c>
      <c r="BA1564" s="6"/>
      <c r="BB1564" s="6">
        <f>ROUND(BA1564/1000/Update!$B$31,0)</f>
        <v>0</v>
      </c>
      <c r="BC1564" s="6"/>
      <c r="BD1564" s="29">
        <f t="shared" si="904"/>
        <v>0</v>
      </c>
      <c r="BE1564" s="322"/>
      <c r="BF1564" s="322"/>
      <c r="BG1564" s="322"/>
      <c r="BH1564" s="322"/>
      <c r="BI1564" s="322"/>
      <c r="BJ1564" s="322"/>
      <c r="BK1564" s="29">
        <f t="shared" si="888"/>
        <v>0</v>
      </c>
      <c r="BL1564" s="322"/>
      <c r="BM1564" s="322"/>
      <c r="BN1564" s="322"/>
      <c r="BO1564" s="322"/>
      <c r="BP1564" s="322"/>
      <c r="BQ1564" s="322"/>
      <c r="BR1564" s="322"/>
      <c r="BS1564" s="322"/>
      <c r="BT1564" s="322"/>
      <c r="BU1564" s="322"/>
      <c r="BV1564" s="322"/>
      <c r="BW1564" s="322"/>
      <c r="BX1564" s="322"/>
      <c r="BY1564" s="322"/>
      <c r="BZ1564" s="322"/>
      <c r="CA1564" s="322"/>
      <c r="CB1564" s="322"/>
      <c r="CC1564" s="322"/>
      <c r="CD1564" s="322"/>
      <c r="CE1564" s="322"/>
      <c r="CF1564" s="322"/>
      <c r="CG1564" s="322"/>
      <c r="CH1564" s="322"/>
      <c r="CI1564" s="322"/>
      <c r="CM1564" s="1139">
        <f t="shared" si="898"/>
        <v>0</v>
      </c>
      <c r="CN1564" s="1139">
        <v>0</v>
      </c>
      <c r="CP1564" s="923">
        <f t="shared" si="895"/>
        <v>0</v>
      </c>
      <c r="CZ1564" s="330"/>
    </row>
    <row r="1565" spans="1:104" ht="15" customHeight="1" x14ac:dyDescent="0.25">
      <c r="A1565" s="684">
        <f>MAX($A$6:A1564)+1</f>
        <v>1565</v>
      </c>
      <c r="B1565" s="1301">
        <f t="shared" si="907"/>
        <v>15.1</v>
      </c>
      <c r="C1565" s="11" t="str">
        <f t="shared" si="908"/>
        <v>Financial Guarantees, Indemnities and Letter of Comfort</v>
      </c>
      <c r="D1565" s="11" t="s">
        <v>641</v>
      </c>
      <c r="E1565" s="7" t="s">
        <v>637</v>
      </c>
      <c r="F1565" s="1267"/>
      <c r="G1565" s="1254" t="s">
        <v>637</v>
      </c>
      <c r="H1565" s="6">
        <v>0</v>
      </c>
      <c r="I1565" s="6"/>
      <c r="J1565" s="1257" t="s">
        <v>641</v>
      </c>
      <c r="K1565" s="251">
        <f>SUMIF('alb Note 15.1- Financial Guar'!$A:$A,$J$1565,'alb Note 15.1- Financial Guar'!$D:$D)</f>
        <v>0</v>
      </c>
      <c r="L1565" s="266"/>
      <c r="M1565" s="10"/>
      <c r="N1565" s="273">
        <f t="shared" si="901"/>
        <v>0</v>
      </c>
      <c r="O1565" s="12"/>
      <c r="P1565" s="12"/>
      <c r="Q1565" s="12"/>
      <c r="R1565" s="12"/>
      <c r="S1565" s="6">
        <f t="shared" si="902"/>
        <v>0</v>
      </c>
      <c r="T1565" s="273">
        <f t="shared" si="903"/>
        <v>0</v>
      </c>
      <c r="U1565" s="6">
        <f t="shared" si="906"/>
        <v>0</v>
      </c>
      <c r="V1565" s="6"/>
      <c r="W1565" s="6">
        <f t="shared" si="894"/>
        <v>0</v>
      </c>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X1565" s="6"/>
      <c r="AY1565" s="6">
        <f>ROUND(AX1565/1000/Update!$B$31*Update!$B$27,0)</f>
        <v>0</v>
      </c>
      <c r="BA1565" s="6"/>
      <c r="BB1565" s="6">
        <f>ROUND(BA1565/1000/Update!$B$31,0)</f>
        <v>0</v>
      </c>
      <c r="BC1565" s="6"/>
      <c r="BD1565" s="29">
        <f t="shared" si="904"/>
        <v>0</v>
      </c>
      <c r="BE1565" s="322"/>
      <c r="BF1565" s="322"/>
      <c r="BG1565" s="322"/>
      <c r="BH1565" s="322"/>
      <c r="BI1565" s="322"/>
      <c r="BJ1565" s="322"/>
      <c r="BK1565" s="29">
        <f t="shared" si="888"/>
        <v>0</v>
      </c>
      <c r="BL1565" s="322"/>
      <c r="BM1565" s="322"/>
      <c r="BN1565" s="322"/>
      <c r="BO1565" s="322"/>
      <c r="BP1565" s="322"/>
      <c r="BQ1565" s="322"/>
      <c r="BR1565" s="322"/>
      <c r="BS1565" s="322"/>
      <c r="BT1565" s="322"/>
      <c r="BU1565" s="322"/>
      <c r="BV1565" s="322"/>
      <c r="BW1565" s="322"/>
      <c r="BX1565" s="322"/>
      <c r="BY1565" s="322"/>
      <c r="BZ1565" s="322"/>
      <c r="CA1565" s="322"/>
      <c r="CB1565" s="322"/>
      <c r="CC1565" s="322"/>
      <c r="CD1565" s="322"/>
      <c r="CE1565" s="322"/>
      <c r="CF1565" s="322"/>
      <c r="CG1565" s="322"/>
      <c r="CH1565" s="322"/>
      <c r="CI1565" s="322"/>
      <c r="CM1565" s="1139">
        <f t="shared" si="898"/>
        <v>0</v>
      </c>
      <c r="CN1565" s="1139">
        <v>0</v>
      </c>
      <c r="CP1565" s="923">
        <f t="shared" si="895"/>
        <v>0</v>
      </c>
      <c r="CZ1565" s="330"/>
    </row>
    <row r="1566" spans="1:104" ht="15" customHeight="1" x14ac:dyDescent="0.25">
      <c r="A1566" s="684">
        <f>MAX($A$6:A1565)+1</f>
        <v>1566</v>
      </c>
      <c r="B1566" s="1301">
        <f t="shared" si="907"/>
        <v>15.1</v>
      </c>
      <c r="C1566" s="11" t="str">
        <f t="shared" si="908"/>
        <v>Financial Guarantees, Indemnities and Letter of Comfort</v>
      </c>
      <c r="D1566" s="11" t="s">
        <v>641</v>
      </c>
      <c r="E1566" s="7" t="s">
        <v>638</v>
      </c>
      <c r="F1566" s="1267"/>
      <c r="G1566" s="1254" t="s">
        <v>638</v>
      </c>
      <c r="H1566" s="6">
        <v>0</v>
      </c>
      <c r="I1566" s="6"/>
      <c r="J1566" s="1257" t="s">
        <v>641</v>
      </c>
      <c r="K1566" s="251">
        <f>SUMIF('alb Note 15.1- Financial Guar'!$A:$A,$J$1566,'alb Note 15.1- Financial Guar'!$E:$E)</f>
        <v>0</v>
      </c>
      <c r="L1566" s="266"/>
      <c r="M1566" s="10"/>
      <c r="N1566" s="273">
        <f t="shared" si="901"/>
        <v>0</v>
      </c>
      <c r="O1566" s="12"/>
      <c r="P1566" s="12"/>
      <c r="Q1566" s="12"/>
      <c r="R1566" s="12"/>
      <c r="S1566" s="6">
        <f t="shared" si="902"/>
        <v>0</v>
      </c>
      <c r="T1566" s="273">
        <f t="shared" si="903"/>
        <v>0</v>
      </c>
      <c r="U1566" s="6">
        <f t="shared" si="906"/>
        <v>0</v>
      </c>
      <c r="V1566" s="6"/>
      <c r="W1566" s="6">
        <f t="shared" si="894"/>
        <v>0</v>
      </c>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X1566" s="6"/>
      <c r="AY1566" s="6">
        <f>ROUND(AX1566/1000/Update!$B$31*Update!$B$27,0)</f>
        <v>0</v>
      </c>
      <c r="BA1566" s="6"/>
      <c r="BB1566" s="6">
        <f>ROUND(BA1566/1000/Update!$B$31,0)</f>
        <v>0</v>
      </c>
      <c r="BC1566" s="6"/>
      <c r="BD1566" s="29">
        <f t="shared" si="904"/>
        <v>0</v>
      </c>
      <c r="BE1566" s="322"/>
      <c r="BF1566" s="322"/>
      <c r="BG1566" s="322"/>
      <c r="BH1566" s="322"/>
      <c r="BI1566" s="322"/>
      <c r="BJ1566" s="322"/>
      <c r="BK1566" s="29">
        <f t="shared" si="888"/>
        <v>0</v>
      </c>
      <c r="BL1566" s="322"/>
      <c r="BM1566" s="322"/>
      <c r="BN1566" s="322"/>
      <c r="BO1566" s="322"/>
      <c r="BP1566" s="322"/>
      <c r="BQ1566" s="322"/>
      <c r="BR1566" s="322"/>
      <c r="BS1566" s="322"/>
      <c r="BT1566" s="322"/>
      <c r="BU1566" s="322"/>
      <c r="BV1566" s="322"/>
      <c r="BW1566" s="322"/>
      <c r="BX1566" s="322"/>
      <c r="BY1566" s="322"/>
      <c r="BZ1566" s="322"/>
      <c r="CA1566" s="322"/>
      <c r="CB1566" s="322"/>
      <c r="CC1566" s="322"/>
      <c r="CD1566" s="322"/>
      <c r="CE1566" s="322"/>
      <c r="CF1566" s="322"/>
      <c r="CG1566" s="322"/>
      <c r="CH1566" s="322"/>
      <c r="CI1566" s="322"/>
      <c r="CM1566" s="1139">
        <f t="shared" si="898"/>
        <v>0</v>
      </c>
      <c r="CN1566" s="1139">
        <v>0</v>
      </c>
      <c r="CP1566" s="923">
        <f t="shared" si="895"/>
        <v>0</v>
      </c>
      <c r="CZ1566" s="330"/>
    </row>
    <row r="1567" spans="1:104" ht="15" customHeight="1" x14ac:dyDescent="0.25">
      <c r="A1567" s="701">
        <f>MAX($A$6:A1566)+1</f>
        <v>1567</v>
      </c>
      <c r="B1567" s="1302">
        <f t="shared" si="907"/>
        <v>15.1</v>
      </c>
      <c r="C1567" s="18" t="str">
        <f t="shared" si="908"/>
        <v>Financial Guarantees, Indemnities and Letter of Comfort</v>
      </c>
      <c r="D1567" s="18"/>
      <c r="E1567" s="19" t="s">
        <v>604</v>
      </c>
      <c r="F1567" s="19"/>
      <c r="G1567" s="28"/>
      <c r="H1567" s="14">
        <f>SUM(H1555:H1566)</f>
        <v>0</v>
      </c>
      <c r="I1567" s="14"/>
      <c r="J1567" s="1258" t="s">
        <v>286</v>
      </c>
      <c r="K1567" s="256">
        <f>SUM(K1555:K1566)</f>
        <v>0</v>
      </c>
      <c r="L1567" s="256">
        <f>SUM(L1555:L1566)</f>
        <v>0</v>
      </c>
      <c r="M1567" s="21"/>
      <c r="N1567" s="14">
        <f t="shared" si="901"/>
        <v>0</v>
      </c>
      <c r="O1567" s="14">
        <f t="shared" ref="O1567:W1567" si="909">SUM(O1555:O1566)</f>
        <v>0</v>
      </c>
      <c r="P1567" s="14">
        <f t="shared" si="909"/>
        <v>0</v>
      </c>
      <c r="Q1567" s="14">
        <f t="shared" si="909"/>
        <v>0</v>
      </c>
      <c r="R1567" s="14">
        <f t="shared" si="909"/>
        <v>0</v>
      </c>
      <c r="S1567" s="14">
        <f t="shared" si="902"/>
        <v>0</v>
      </c>
      <c r="T1567" s="14">
        <f t="shared" si="909"/>
        <v>0</v>
      </c>
      <c r="U1567" s="14">
        <f t="shared" si="909"/>
        <v>0</v>
      </c>
      <c r="V1567" s="14">
        <f t="shared" si="909"/>
        <v>0</v>
      </c>
      <c r="W1567" s="14">
        <f t="shared" si="909"/>
        <v>0</v>
      </c>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2"/>
      <c r="AX1567" s="14">
        <f>SUM(AX1555:AX1566)</f>
        <v>0</v>
      </c>
      <c r="AY1567" s="14">
        <f>ROUND(AX1567/1000/Update!$B$31*Update!$B$27,0)</f>
        <v>0</v>
      </c>
      <c r="AZ1567" s="2"/>
      <c r="BA1567" s="14">
        <f>SUM(BA1555:BA1566)</f>
        <v>0</v>
      </c>
      <c r="BB1567" s="14">
        <f>ROUND(BA1567/1000/Update!$B$31,0)</f>
        <v>0</v>
      </c>
      <c r="BC1567" s="14"/>
      <c r="BD1567" s="14">
        <f t="shared" si="904"/>
        <v>0</v>
      </c>
      <c r="BE1567" s="318">
        <f t="shared" ref="BE1567:BJ1567" si="910">SUM(BE1555:BE1566)</f>
        <v>0</v>
      </c>
      <c r="BF1567" s="318">
        <f t="shared" si="910"/>
        <v>0</v>
      </c>
      <c r="BG1567" s="318">
        <f t="shared" si="910"/>
        <v>0</v>
      </c>
      <c r="BH1567" s="318">
        <f t="shared" si="910"/>
        <v>0</v>
      </c>
      <c r="BI1567" s="318">
        <f t="shared" si="910"/>
        <v>0</v>
      </c>
      <c r="BJ1567" s="318">
        <f t="shared" si="910"/>
        <v>0</v>
      </c>
      <c r="BK1567" s="14">
        <f t="shared" si="888"/>
        <v>0</v>
      </c>
      <c r="BL1567" s="318"/>
      <c r="BM1567" s="318"/>
      <c r="BN1567" s="318"/>
      <c r="BO1567" s="318"/>
      <c r="BP1567" s="318"/>
      <c r="BQ1567" s="318"/>
      <c r="BR1567" s="318"/>
      <c r="BS1567" s="318"/>
      <c r="BT1567" s="318"/>
      <c r="BU1567" s="318"/>
      <c r="BV1567" s="318"/>
      <c r="BW1567" s="318"/>
      <c r="BX1567" s="318"/>
      <c r="BY1567" s="318"/>
      <c r="BZ1567" s="318"/>
      <c r="CA1567" s="318"/>
      <c r="CB1567" s="318"/>
      <c r="CC1567" s="318"/>
      <c r="CD1567" s="318"/>
      <c r="CE1567" s="318"/>
      <c r="CF1567" s="318"/>
      <c r="CG1567" s="318"/>
      <c r="CH1567" s="318"/>
      <c r="CI1567" s="318"/>
      <c r="CJ1567" s="2"/>
      <c r="CK1567" s="2"/>
      <c r="CM1567" s="1140">
        <f t="shared" si="898"/>
        <v>0</v>
      </c>
      <c r="CN1567" s="1140">
        <v>0</v>
      </c>
      <c r="CP1567" s="923">
        <f t="shared" si="895"/>
        <v>0</v>
      </c>
      <c r="CZ1567" s="330"/>
    </row>
    <row r="1568" spans="1:104" ht="18.75" customHeight="1" x14ac:dyDescent="0.25">
      <c r="A1568" s="1297">
        <f>MAX($A$6:A1567)+1</f>
        <v>1568</v>
      </c>
      <c r="B1568" s="1295">
        <f>SUMIF(Update!$B$33:$B$106,C1568,Update!$A$33:$A$106)</f>
        <v>17.100000000000001</v>
      </c>
      <c r="C1568" s="696" t="s">
        <v>2408</v>
      </c>
      <c r="D1568" s="695"/>
      <c r="E1568" s="696" t="str">
        <f>B1568&amp;" "&amp;C1568</f>
        <v>17.1 Quantitative disclosures around right-of-use assets</v>
      </c>
      <c r="F1568" s="697"/>
      <c r="G1568" s="697"/>
      <c r="H1568" s="695"/>
      <c r="I1568" s="695"/>
      <c r="J1568" s="698" t="s">
        <v>286</v>
      </c>
      <c r="K1568" s="699">
        <f>SUMIF('alb Note 16  Leases'!$A:$A,$J1568,'alb Note 16  Leases'!$B:$B)</f>
        <v>0</v>
      </c>
      <c r="L1568" s="699">
        <f>SUMIF('alb Note 16  Leases'!$A:$A,$J1568,'alb Note 16  Leases'!$B:$B)</f>
        <v>0</v>
      </c>
      <c r="M1568" s="695"/>
      <c r="N1568" s="713">
        <f t="shared" si="901"/>
        <v>0</v>
      </c>
      <c r="O1568" s="695"/>
      <c r="P1568" s="695"/>
      <c r="Q1568" s="695"/>
      <c r="R1568" s="695"/>
      <c r="S1568" s="695">
        <f t="shared" si="902"/>
        <v>0</v>
      </c>
      <c r="T1568" s="713">
        <f t="shared" ref="T1568:T1581" si="911">ROUND(SUM(U1568:Y1568),0)</f>
        <v>0</v>
      </c>
      <c r="U1568" s="695"/>
      <c r="V1568" s="695"/>
      <c r="W1568" s="695"/>
      <c r="X1568" s="695"/>
      <c r="Y1568" s="695"/>
      <c r="Z1568" s="695"/>
      <c r="AA1568" s="695"/>
      <c r="AB1568" s="695"/>
      <c r="AC1568" s="695"/>
      <c r="AD1568" s="695"/>
      <c r="AE1568" s="695"/>
      <c r="AF1568" s="695"/>
      <c r="AG1568" s="695"/>
      <c r="AH1568" s="695"/>
      <c r="AI1568" s="695"/>
      <c r="AJ1568" s="695"/>
      <c r="AK1568" s="695"/>
      <c r="AL1568" s="695"/>
      <c r="AM1568" s="695"/>
      <c r="AN1568" s="695"/>
      <c r="AO1568" s="695"/>
      <c r="AP1568" s="695"/>
      <c r="AQ1568" s="695"/>
      <c r="AR1568" s="695"/>
      <c r="AS1568" s="695"/>
      <c r="AT1568" s="695"/>
      <c r="AU1568" s="695"/>
      <c r="AV1568" s="695"/>
      <c r="AW1568" s="700"/>
      <c r="AX1568" s="700"/>
      <c r="AY1568" s="700">
        <f>ROUND(AX1568/1000/Update!$B$31*Update!$B$27,0)</f>
        <v>0</v>
      </c>
      <c r="AZ1568" s="700"/>
      <c r="BA1568" s="700"/>
      <c r="BB1568" s="700">
        <f>ROUND(BA1568/1000/Update!$B$31,0)</f>
        <v>0</v>
      </c>
      <c r="BC1568" s="700"/>
      <c r="BD1568" s="721">
        <f t="shared" si="904"/>
        <v>0</v>
      </c>
      <c r="BE1568" s="700"/>
      <c r="BF1568" s="700"/>
      <c r="BG1568" s="700"/>
      <c r="BH1568" s="700"/>
      <c r="BI1568" s="700"/>
      <c r="BJ1568" s="700"/>
      <c r="BK1568" s="721">
        <f t="shared" si="888"/>
        <v>0</v>
      </c>
      <c r="BL1568" s="700"/>
      <c r="BM1568" s="700"/>
      <c r="BN1568" s="700"/>
      <c r="BO1568" s="700"/>
      <c r="BP1568" s="700"/>
      <c r="BQ1568" s="700"/>
      <c r="BR1568" s="700"/>
      <c r="BS1568" s="700"/>
      <c r="BT1568" s="700"/>
      <c r="BU1568" s="700"/>
      <c r="BV1568" s="700"/>
      <c r="BW1568" s="700"/>
      <c r="BX1568" s="700"/>
      <c r="BY1568" s="700"/>
      <c r="BZ1568" s="700"/>
      <c r="CA1568" s="700"/>
      <c r="CB1568" s="700"/>
      <c r="CC1568" s="700"/>
      <c r="CD1568" s="700"/>
      <c r="CE1568" s="700"/>
      <c r="CF1568" s="700"/>
      <c r="CG1568" s="700"/>
      <c r="CH1568" s="700"/>
      <c r="CI1568" s="700"/>
      <c r="CJ1568" s="700"/>
      <c r="CK1568" s="700"/>
      <c r="CM1568" s="700">
        <f t="shared" si="898"/>
        <v>0</v>
      </c>
      <c r="CN1568" s="700">
        <v>0</v>
      </c>
      <c r="CP1568" s="923">
        <f t="shared" si="895"/>
        <v>0</v>
      </c>
      <c r="CZ1568" s="330"/>
    </row>
    <row r="1569" spans="1:104" ht="15" customHeight="1" x14ac:dyDescent="0.25">
      <c r="A1569" s="684">
        <f>MAX($A$6:A1568)+1</f>
        <v>1569</v>
      </c>
      <c r="B1569" s="3">
        <f t="shared" ref="B1569:B1586" si="912">B1568</f>
        <v>17.100000000000001</v>
      </c>
      <c r="C1569" s="11" t="str">
        <f t="shared" ref="C1569:C1586" si="913">C1568</f>
        <v>Quantitative disclosures around right-of-use assets</v>
      </c>
      <c r="D1569" s="11" t="s">
        <v>195</v>
      </c>
      <c r="E1569" s="7" t="str">
        <f>"At"&amp;Update!$B$20</f>
        <v>At 1 April 2025</v>
      </c>
      <c r="F1569" s="7"/>
      <c r="G1569" s="7" t="str">
        <f>"At"&amp;Update!$B$20</f>
        <v>At 1 April 2025</v>
      </c>
      <c r="H1569" s="6">
        <v>0</v>
      </c>
      <c r="I1569" s="6">
        <v>0</v>
      </c>
      <c r="J1569" s="7" t="str">
        <f>"At"&amp;Update!$B$20</f>
        <v>At 1 April 2025</v>
      </c>
      <c r="K1569" s="6">
        <f>SUMIF('alb Note 16  Leases'!$B$12:$B$20,$J1569,'alb Note 16  Leases'!$C$12:$C$20)</f>
        <v>0</v>
      </c>
      <c r="L1569" s="6">
        <f>SUMIF('alb Note 16  Leases'!$B$12:$B$20,$J1569,'alb Note 16  Leases'!$M$12:$M$20)</f>
        <v>0</v>
      </c>
      <c r="M1569" s="10"/>
      <c r="N1569" s="273">
        <f t="shared" si="901"/>
        <v>0</v>
      </c>
      <c r="O1569" s="12"/>
      <c r="P1569" s="12"/>
      <c r="Q1569" s="12"/>
      <c r="R1569" s="12"/>
      <c r="S1569" s="6">
        <f t="shared" si="902"/>
        <v>0</v>
      </c>
      <c r="T1569" s="273">
        <f t="shared" si="911"/>
        <v>0</v>
      </c>
      <c r="U1569" s="6">
        <f t="shared" ref="U1569:U1587" si="914">SUM(BL1569:BN1569)</f>
        <v>0</v>
      </c>
      <c r="V1569" s="6"/>
      <c r="W1569" s="6">
        <f t="shared" ref="W1569:W1581" si="915">+H1569</f>
        <v>0</v>
      </c>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X1569" s="6"/>
      <c r="AY1569" s="6">
        <f>ROUND(AX1569/1000/Update!$B$31*Update!$B$27,0)</f>
        <v>0</v>
      </c>
      <c r="BA1569" s="6"/>
      <c r="BB1569" s="6">
        <f>ROUND(BA1569/1000/Update!$B$31,0)</f>
        <v>0</v>
      </c>
      <c r="BC1569" s="6"/>
      <c r="BD1569" s="29">
        <f t="shared" si="904"/>
        <v>0</v>
      </c>
      <c r="BE1569" s="317"/>
      <c r="BF1569" s="317"/>
      <c r="BG1569" s="317"/>
      <c r="BH1569" s="317"/>
      <c r="BI1569" s="317"/>
      <c r="BJ1569" s="317"/>
      <c r="BK1569" s="29">
        <f t="shared" si="888"/>
        <v>0</v>
      </c>
      <c r="BL1569" s="317"/>
      <c r="BM1569" s="317"/>
      <c r="BN1569" s="317"/>
      <c r="BO1569" s="317"/>
      <c r="BP1569" s="317"/>
      <c r="BQ1569" s="317"/>
      <c r="BR1569" s="317"/>
      <c r="BS1569" s="317"/>
      <c r="BT1569" s="317"/>
      <c r="BU1569" s="317"/>
      <c r="BV1569" s="317"/>
      <c r="BW1569" s="317"/>
      <c r="BX1569" s="317"/>
      <c r="BY1569" s="317"/>
      <c r="BZ1569" s="317"/>
      <c r="CA1569" s="317"/>
      <c r="CB1569" s="317"/>
      <c r="CC1569" s="317"/>
      <c r="CD1569" s="317"/>
      <c r="CE1569" s="317"/>
      <c r="CF1569" s="317"/>
      <c r="CG1569" s="317"/>
      <c r="CH1569" s="317"/>
      <c r="CI1569" s="317"/>
      <c r="CM1569" s="1139">
        <f t="shared" si="898"/>
        <v>0</v>
      </c>
      <c r="CN1569" s="1139">
        <v>0</v>
      </c>
      <c r="CP1569" s="923">
        <f t="shared" si="895"/>
        <v>0</v>
      </c>
      <c r="CZ1569" s="330"/>
    </row>
    <row r="1570" spans="1:104" ht="15" customHeight="1" x14ac:dyDescent="0.25">
      <c r="A1570" s="684">
        <f>MAX($A$6:A1569)+1</f>
        <v>1570</v>
      </c>
      <c r="B1570" s="3">
        <f t="shared" si="912"/>
        <v>17.100000000000001</v>
      </c>
      <c r="C1570" s="11" t="str">
        <f t="shared" si="913"/>
        <v>Quantitative disclosures around right-of-use assets</v>
      </c>
      <c r="D1570" s="11" t="s">
        <v>195</v>
      </c>
      <c r="E1570" s="7" t="s">
        <v>185</v>
      </c>
      <c r="F1570" s="1267"/>
      <c r="G1570" s="1254" t="s">
        <v>185</v>
      </c>
      <c r="H1570" s="6">
        <v>0</v>
      </c>
      <c r="I1570" s="6">
        <v>0</v>
      </c>
      <c r="J1570" s="1254" t="s">
        <v>185</v>
      </c>
      <c r="K1570" s="6">
        <f>SUMIF('alb Note 16  Leases'!$B$12:$B$20,$J1570,'alb Note 16  Leases'!$C$12:$C$20)</f>
        <v>0</v>
      </c>
      <c r="L1570" s="6">
        <f>SUMIF('alb Note 16  Leases'!$B$12:$B$20,$J1570,'alb Note 16  Leases'!$M$12:$M$20)</f>
        <v>0</v>
      </c>
      <c r="M1570" s="10"/>
      <c r="N1570" s="273">
        <f t="shared" si="901"/>
        <v>0</v>
      </c>
      <c r="O1570" s="12"/>
      <c r="P1570" s="12"/>
      <c r="Q1570" s="12"/>
      <c r="R1570" s="12"/>
      <c r="S1570" s="6">
        <f t="shared" si="902"/>
        <v>0</v>
      </c>
      <c r="T1570" s="273">
        <f t="shared" si="911"/>
        <v>0</v>
      </c>
      <c r="U1570" s="6">
        <f t="shared" si="914"/>
        <v>0</v>
      </c>
      <c r="V1570" s="6"/>
      <c r="W1570" s="6">
        <f t="shared" si="915"/>
        <v>0</v>
      </c>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X1570" s="6"/>
      <c r="AY1570" s="6">
        <f>ROUND(AX1570/1000/Update!$B$31*Update!$B$27,0)</f>
        <v>0</v>
      </c>
      <c r="BA1570" s="6"/>
      <c r="BB1570" s="6">
        <f>ROUND(BA1570/1000/Update!$B$31,0)</f>
        <v>0</v>
      </c>
      <c r="BC1570" s="6"/>
      <c r="BD1570" s="29">
        <f t="shared" si="904"/>
        <v>0</v>
      </c>
      <c r="BE1570" s="322"/>
      <c r="BF1570" s="322"/>
      <c r="BG1570" s="322"/>
      <c r="BH1570" s="322"/>
      <c r="BI1570" s="322"/>
      <c r="BJ1570" s="322"/>
      <c r="BK1570" s="29">
        <f t="shared" si="888"/>
        <v>0</v>
      </c>
      <c r="BL1570" s="317"/>
      <c r="BM1570" s="317"/>
      <c r="BN1570" s="317"/>
      <c r="BO1570" s="317"/>
      <c r="BP1570" s="317"/>
      <c r="BQ1570" s="317"/>
      <c r="BR1570" s="317"/>
      <c r="BS1570" s="317"/>
      <c r="BT1570" s="317"/>
      <c r="BU1570" s="317"/>
      <c r="BV1570" s="317"/>
      <c r="BW1570" s="317"/>
      <c r="BX1570" s="317"/>
      <c r="BY1570" s="317"/>
      <c r="BZ1570" s="317"/>
      <c r="CA1570" s="317"/>
      <c r="CB1570" s="317"/>
      <c r="CC1570" s="317"/>
      <c r="CD1570" s="317"/>
      <c r="CE1570" s="317"/>
      <c r="CF1570" s="317"/>
      <c r="CG1570" s="317"/>
      <c r="CH1570" s="317"/>
      <c r="CI1570" s="317"/>
      <c r="CM1570" s="1139">
        <f t="shared" si="898"/>
        <v>0</v>
      </c>
      <c r="CN1570" s="1139">
        <v>0</v>
      </c>
      <c r="CP1570" s="923">
        <f t="shared" si="895"/>
        <v>0</v>
      </c>
      <c r="CZ1570" s="330"/>
    </row>
    <row r="1571" spans="1:104" ht="15" customHeight="1" x14ac:dyDescent="0.25">
      <c r="A1571" s="684">
        <f>MAX($A$6:A1570)+1</f>
        <v>1571</v>
      </c>
      <c r="B1571" s="3">
        <f t="shared" si="912"/>
        <v>17.100000000000001</v>
      </c>
      <c r="C1571" s="11" t="str">
        <f t="shared" si="913"/>
        <v>Quantitative disclosures around right-of-use assets</v>
      </c>
      <c r="D1571" s="11" t="s">
        <v>195</v>
      </c>
      <c r="E1571" s="7" t="s">
        <v>208</v>
      </c>
      <c r="F1571" s="1267"/>
      <c r="G1571" s="1254" t="s">
        <v>208</v>
      </c>
      <c r="H1571" s="6">
        <v>0</v>
      </c>
      <c r="I1571" s="6">
        <v>0</v>
      </c>
      <c r="J1571" s="1254" t="s">
        <v>208</v>
      </c>
      <c r="K1571" s="6">
        <f>SUMIF('alb Note 16  Leases'!$B$12:$B$20,$J1571,'alb Note 16  Leases'!$C$12:$C$20)</f>
        <v>0</v>
      </c>
      <c r="L1571" s="6">
        <f>SUMIF('alb Note 16  Leases'!$B$12:$B$20,$J1571,'alb Note 16  Leases'!$M$12:$M$20)</f>
        <v>0</v>
      </c>
      <c r="M1571" s="10"/>
      <c r="N1571" s="273">
        <f t="shared" si="901"/>
        <v>0</v>
      </c>
      <c r="O1571" s="12"/>
      <c r="P1571" s="12"/>
      <c r="Q1571" s="12"/>
      <c r="R1571" s="12"/>
      <c r="S1571" s="6">
        <f t="shared" si="902"/>
        <v>0</v>
      </c>
      <c r="T1571" s="273">
        <f t="shared" si="911"/>
        <v>0</v>
      </c>
      <c r="U1571" s="6">
        <f t="shared" si="914"/>
        <v>0</v>
      </c>
      <c r="V1571" s="6"/>
      <c r="W1571" s="6">
        <f t="shared" si="915"/>
        <v>0</v>
      </c>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X1571" s="6"/>
      <c r="AY1571" s="6">
        <f>ROUND(AX1571/1000/Update!$B$31*Update!$B$27,0)</f>
        <v>0</v>
      </c>
      <c r="BA1571" s="6"/>
      <c r="BB1571" s="6">
        <f>ROUND(BA1571/1000/Update!$B$31,0)</f>
        <v>0</v>
      </c>
      <c r="BC1571" s="6"/>
      <c r="BD1571" s="29">
        <f t="shared" si="904"/>
        <v>0</v>
      </c>
      <c r="BE1571" s="322"/>
      <c r="BF1571" s="322"/>
      <c r="BG1571" s="322"/>
      <c r="BH1571" s="322"/>
      <c r="BI1571" s="322"/>
      <c r="BJ1571" s="322"/>
      <c r="BK1571" s="29">
        <f t="shared" si="888"/>
        <v>0</v>
      </c>
      <c r="BL1571" s="317"/>
      <c r="BM1571" s="317"/>
      <c r="BN1571" s="317"/>
      <c r="BO1571" s="317"/>
      <c r="BP1571" s="317"/>
      <c r="BQ1571" s="317"/>
      <c r="BR1571" s="317"/>
      <c r="BS1571" s="317"/>
      <c r="BT1571" s="317"/>
      <c r="BU1571" s="317"/>
      <c r="BV1571" s="317"/>
      <c r="BW1571" s="317"/>
      <c r="BX1571" s="317"/>
      <c r="BY1571" s="317"/>
      <c r="BZ1571" s="317"/>
      <c r="CA1571" s="317"/>
      <c r="CB1571" s="317"/>
      <c r="CC1571" s="317"/>
      <c r="CD1571" s="317"/>
      <c r="CE1571" s="317"/>
      <c r="CF1571" s="317"/>
      <c r="CG1571" s="317"/>
      <c r="CH1571" s="317"/>
      <c r="CI1571" s="317"/>
      <c r="CM1571" s="1139">
        <f t="shared" si="898"/>
        <v>0</v>
      </c>
      <c r="CN1571" s="1139">
        <v>0</v>
      </c>
      <c r="CP1571" s="923">
        <f t="shared" si="895"/>
        <v>0</v>
      </c>
      <c r="CZ1571" s="330"/>
    </row>
    <row r="1572" spans="1:104" ht="15" customHeight="1" x14ac:dyDescent="0.25">
      <c r="A1572" s="684">
        <f>MAX($A$6:A1571)+1</f>
        <v>1572</v>
      </c>
      <c r="B1572" s="3">
        <f t="shared" si="912"/>
        <v>17.100000000000001</v>
      </c>
      <c r="C1572" s="11" t="str">
        <f t="shared" si="913"/>
        <v>Quantitative disclosures around right-of-use assets</v>
      </c>
      <c r="D1572" s="11" t="s">
        <v>195</v>
      </c>
      <c r="E1572" s="7" t="s">
        <v>186</v>
      </c>
      <c r="F1572" s="1267"/>
      <c r="G1572" s="7" t="s">
        <v>186</v>
      </c>
      <c r="H1572" s="6">
        <v>0</v>
      </c>
      <c r="I1572" s="6">
        <v>0</v>
      </c>
      <c r="J1572" s="7" t="s">
        <v>186</v>
      </c>
      <c r="K1572" s="6">
        <f>SUMIF('alb Note 16  Leases'!$B$12:$B$20,$J1572,'alb Note 16  Leases'!$C$12:$C$20)</f>
        <v>0</v>
      </c>
      <c r="L1572" s="6">
        <f>SUMIF('alb Note 16  Leases'!$B$12:$B$20,$J1572,'alb Note 16  Leases'!$M$12:$M$20)</f>
        <v>0</v>
      </c>
      <c r="M1572" s="10"/>
      <c r="N1572" s="273">
        <f t="shared" si="901"/>
        <v>0</v>
      </c>
      <c r="O1572" s="12"/>
      <c r="P1572" s="12"/>
      <c r="Q1572" s="12"/>
      <c r="R1572" s="12"/>
      <c r="S1572" s="6">
        <f t="shared" si="902"/>
        <v>0</v>
      </c>
      <c r="T1572" s="273">
        <f t="shared" si="911"/>
        <v>0</v>
      </c>
      <c r="U1572" s="6">
        <f t="shared" si="914"/>
        <v>0</v>
      </c>
      <c r="V1572" s="6"/>
      <c r="W1572" s="6">
        <f t="shared" si="915"/>
        <v>0</v>
      </c>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X1572" s="6"/>
      <c r="AY1572" s="6">
        <f>ROUND(AX1572/1000/Update!$B$31*Update!$B$27,0)</f>
        <v>0</v>
      </c>
      <c r="BA1572" s="6"/>
      <c r="BB1572" s="6">
        <f>ROUND(BA1572/1000/Update!$B$31,0)</f>
        <v>0</v>
      </c>
      <c r="BC1572" s="6"/>
      <c r="BD1572" s="29">
        <f t="shared" si="904"/>
        <v>0</v>
      </c>
      <c r="BE1572" s="322"/>
      <c r="BF1572" s="322"/>
      <c r="BG1572" s="322"/>
      <c r="BH1572" s="322"/>
      <c r="BI1572" s="322"/>
      <c r="BJ1572" s="322"/>
      <c r="BK1572" s="29">
        <f t="shared" si="888"/>
        <v>0</v>
      </c>
      <c r="BL1572" s="317"/>
      <c r="BM1572" s="317"/>
      <c r="BN1572" s="317"/>
      <c r="BO1572" s="317"/>
      <c r="BP1572" s="317"/>
      <c r="BQ1572" s="317"/>
      <c r="BR1572" s="317"/>
      <c r="BS1572" s="317"/>
      <c r="BT1572" s="317"/>
      <c r="BU1572" s="317"/>
      <c r="BV1572" s="317"/>
      <c r="BW1572" s="317"/>
      <c r="BX1572" s="317"/>
      <c r="BY1572" s="317"/>
      <c r="BZ1572" s="317"/>
      <c r="CA1572" s="317"/>
      <c r="CB1572" s="317"/>
      <c r="CC1572" s="317"/>
      <c r="CD1572" s="317"/>
      <c r="CE1572" s="317"/>
      <c r="CF1572" s="317"/>
      <c r="CG1572" s="317"/>
      <c r="CH1572" s="317"/>
      <c r="CI1572" s="317"/>
      <c r="CM1572" s="1139">
        <f t="shared" si="898"/>
        <v>0</v>
      </c>
      <c r="CN1572" s="1139">
        <v>0</v>
      </c>
      <c r="CP1572" s="923">
        <f t="shared" si="895"/>
        <v>0</v>
      </c>
      <c r="CZ1572" s="330"/>
    </row>
    <row r="1573" spans="1:104" ht="15" customHeight="1" x14ac:dyDescent="0.25">
      <c r="A1573" s="684">
        <f>MAX($A$6:A1572)+1</f>
        <v>1573</v>
      </c>
      <c r="B1573" s="3">
        <f t="shared" si="912"/>
        <v>17.100000000000001</v>
      </c>
      <c r="C1573" s="11" t="str">
        <f t="shared" si="913"/>
        <v>Quantitative disclosures around right-of-use assets</v>
      </c>
      <c r="D1573" s="11" t="s">
        <v>195</v>
      </c>
      <c r="E1573" s="7" t="s">
        <v>187</v>
      </c>
      <c r="F1573" s="7"/>
      <c r="G1573" s="7" t="s">
        <v>187</v>
      </c>
      <c r="H1573" s="6">
        <v>0</v>
      </c>
      <c r="I1573" s="6">
        <v>0</v>
      </c>
      <c r="J1573" s="7" t="s">
        <v>187</v>
      </c>
      <c r="K1573" s="6">
        <f>SUMIF('alb Note 16  Leases'!$B$12:$B$20,$J1573,'alb Note 16  Leases'!$C$12:$C$20)</f>
        <v>0</v>
      </c>
      <c r="L1573" s="6">
        <f>SUMIF('alb Note 16  Leases'!$B$12:$B$20,$J1573,'alb Note 16  Leases'!$M$12:$M$20)</f>
        <v>0</v>
      </c>
      <c r="M1573" s="10"/>
      <c r="N1573" s="273">
        <f t="shared" si="901"/>
        <v>0</v>
      </c>
      <c r="O1573" s="12"/>
      <c r="P1573" s="12"/>
      <c r="Q1573" s="12"/>
      <c r="R1573" s="12"/>
      <c r="S1573" s="6">
        <f t="shared" si="902"/>
        <v>0</v>
      </c>
      <c r="T1573" s="273">
        <f t="shared" si="911"/>
        <v>0</v>
      </c>
      <c r="U1573" s="6">
        <f t="shared" si="914"/>
        <v>0</v>
      </c>
      <c r="V1573" s="6"/>
      <c r="W1573" s="6">
        <f t="shared" si="915"/>
        <v>0</v>
      </c>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X1573" s="6"/>
      <c r="AY1573" s="6">
        <f>ROUND(AX1573/1000/Update!$B$31*Update!$B$27,0)</f>
        <v>0</v>
      </c>
      <c r="BA1573" s="6"/>
      <c r="BB1573" s="6">
        <f>ROUND(BA1573/1000/Update!$B$31,0)</f>
        <v>0</v>
      </c>
      <c r="BC1573" s="6"/>
      <c r="BD1573" s="29">
        <f t="shared" si="904"/>
        <v>0</v>
      </c>
      <c r="BE1573" s="317"/>
      <c r="BF1573" s="317"/>
      <c r="BG1573" s="317"/>
      <c r="BH1573" s="317"/>
      <c r="BI1573" s="317"/>
      <c r="BJ1573" s="317"/>
      <c r="BK1573" s="29">
        <f t="shared" si="888"/>
        <v>0</v>
      </c>
      <c r="BL1573" s="317"/>
      <c r="BM1573" s="317"/>
      <c r="BN1573" s="317"/>
      <c r="BO1573" s="317"/>
      <c r="BP1573" s="317"/>
      <c r="BQ1573" s="317"/>
      <c r="BR1573" s="317"/>
      <c r="BS1573" s="317"/>
      <c r="BT1573" s="317"/>
      <c r="BU1573" s="317"/>
      <c r="BV1573" s="317"/>
      <c r="BW1573" s="317"/>
      <c r="BX1573" s="317"/>
      <c r="BY1573" s="317"/>
      <c r="BZ1573" s="317"/>
      <c r="CA1573" s="317"/>
      <c r="CB1573" s="317"/>
      <c r="CC1573" s="317"/>
      <c r="CD1573" s="317"/>
      <c r="CE1573" s="317"/>
      <c r="CF1573" s="317"/>
      <c r="CG1573" s="317"/>
      <c r="CH1573" s="317"/>
      <c r="CI1573" s="317"/>
      <c r="CM1573" s="1139">
        <f t="shared" si="898"/>
        <v>0</v>
      </c>
      <c r="CN1573" s="1139">
        <v>0</v>
      </c>
      <c r="CP1573" s="923">
        <f t="shared" si="895"/>
        <v>0</v>
      </c>
      <c r="CZ1573" s="330"/>
    </row>
    <row r="1574" spans="1:104" ht="15" customHeight="1" x14ac:dyDescent="0.25">
      <c r="A1574" s="684">
        <f>MAX($A$6:A1573)+1</f>
        <v>1574</v>
      </c>
      <c r="B1574" s="3">
        <f t="shared" si="912"/>
        <v>17.100000000000001</v>
      </c>
      <c r="C1574" s="11" t="str">
        <f t="shared" si="913"/>
        <v>Quantitative disclosures around right-of-use assets</v>
      </c>
      <c r="D1574" s="11" t="s">
        <v>195</v>
      </c>
      <c r="E1574" s="7" t="s">
        <v>189</v>
      </c>
      <c r="F1574" s="1267"/>
      <c r="G1574" s="1254" t="s">
        <v>189</v>
      </c>
      <c r="H1574" s="6">
        <v>0</v>
      </c>
      <c r="I1574" s="6">
        <v>0</v>
      </c>
      <c r="J1574" s="1254" t="s">
        <v>189</v>
      </c>
      <c r="K1574" s="6">
        <f>SUMIF('alb Note 16  Leases'!$B$12:$B$20,$J1574,'alb Note 16  Leases'!$C$12:$C$20)</f>
        <v>0</v>
      </c>
      <c r="L1574" s="6">
        <f>SUMIF('alb Note 16  Leases'!$B$12:$B$20,$J1574,'alb Note 16  Leases'!$M$12:$M$20)</f>
        <v>0</v>
      </c>
      <c r="M1574" s="10"/>
      <c r="N1574" s="273">
        <f t="shared" si="901"/>
        <v>0</v>
      </c>
      <c r="O1574" s="12"/>
      <c r="P1574" s="12"/>
      <c r="Q1574" s="12"/>
      <c r="R1574" s="12"/>
      <c r="S1574" s="6">
        <f t="shared" si="902"/>
        <v>0</v>
      </c>
      <c r="T1574" s="273">
        <f t="shared" si="911"/>
        <v>0</v>
      </c>
      <c r="U1574" s="6">
        <f t="shared" si="914"/>
        <v>0</v>
      </c>
      <c r="V1574" s="6"/>
      <c r="W1574" s="6">
        <f t="shared" si="915"/>
        <v>0</v>
      </c>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X1574" s="6"/>
      <c r="AY1574" s="6">
        <f>ROUND(AX1574/1000/Update!$B$31*Update!$B$27,0)</f>
        <v>0</v>
      </c>
      <c r="BA1574" s="6"/>
      <c r="BB1574" s="6">
        <f>ROUND(BA1574/1000/Update!$B$31,0)</f>
        <v>0</v>
      </c>
      <c r="BC1574" s="6"/>
      <c r="BD1574" s="29">
        <f t="shared" si="904"/>
        <v>0</v>
      </c>
      <c r="BE1574" s="322"/>
      <c r="BF1574" s="322"/>
      <c r="BG1574" s="322"/>
      <c r="BH1574" s="322"/>
      <c r="BI1574" s="322"/>
      <c r="BJ1574" s="322"/>
      <c r="BK1574" s="29">
        <f t="shared" ref="BK1574:BK1607" si="916">ROUND(SUM(BO1574:CI1574),0)</f>
        <v>0</v>
      </c>
      <c r="BL1574" s="317"/>
      <c r="BM1574" s="317"/>
      <c r="BN1574" s="317"/>
      <c r="BO1574" s="317"/>
      <c r="BP1574" s="317"/>
      <c r="BQ1574" s="317"/>
      <c r="BR1574" s="317"/>
      <c r="BS1574" s="317"/>
      <c r="BT1574" s="317"/>
      <c r="BU1574" s="317"/>
      <c r="BV1574" s="317"/>
      <c r="BW1574" s="317"/>
      <c r="BX1574" s="317"/>
      <c r="BY1574" s="317"/>
      <c r="BZ1574" s="317"/>
      <c r="CA1574" s="317"/>
      <c r="CB1574" s="317"/>
      <c r="CC1574" s="317"/>
      <c r="CD1574" s="317"/>
      <c r="CE1574" s="317"/>
      <c r="CF1574" s="317"/>
      <c r="CG1574" s="317"/>
      <c r="CH1574" s="317"/>
      <c r="CI1574" s="317"/>
      <c r="CM1574" s="1139">
        <f t="shared" si="898"/>
        <v>0</v>
      </c>
      <c r="CN1574" s="1139">
        <v>0</v>
      </c>
      <c r="CP1574" s="923">
        <f t="shared" si="895"/>
        <v>0</v>
      </c>
      <c r="CZ1574" s="330"/>
    </row>
    <row r="1575" spans="1:104" ht="15" customHeight="1" x14ac:dyDescent="0.25">
      <c r="A1575" s="684">
        <f>MAX($A$6:A1574)+1</f>
        <v>1575</v>
      </c>
      <c r="B1575" s="3">
        <f t="shared" si="912"/>
        <v>17.100000000000001</v>
      </c>
      <c r="C1575" s="11" t="str">
        <f t="shared" si="913"/>
        <v>Quantitative disclosures around right-of-use assets</v>
      </c>
      <c r="D1575" s="11" t="s">
        <v>195</v>
      </c>
      <c r="E1575" s="7" t="s">
        <v>191</v>
      </c>
      <c r="F1575" s="1267"/>
      <c r="G1575" s="1254" t="s">
        <v>191</v>
      </c>
      <c r="H1575" s="6">
        <v>0</v>
      </c>
      <c r="I1575" s="6">
        <v>0</v>
      </c>
      <c r="J1575" s="1254" t="s">
        <v>191</v>
      </c>
      <c r="K1575" s="6">
        <f>SUMIF('alb Note 16  Leases'!$B$12:$B$20,$J1575,'alb Note 16  Leases'!$C$12:$C$20)</f>
        <v>0</v>
      </c>
      <c r="L1575" s="6">
        <f>SUMIF('alb Note 16  Leases'!$B$12:$B$20,$J1575,'alb Note 16  Leases'!$M$12:$M$20)</f>
        <v>0</v>
      </c>
      <c r="M1575" s="10"/>
      <c r="N1575" s="273">
        <f t="shared" si="901"/>
        <v>0</v>
      </c>
      <c r="O1575" s="12"/>
      <c r="P1575" s="12"/>
      <c r="Q1575" s="12"/>
      <c r="R1575" s="12"/>
      <c r="S1575" s="6">
        <f t="shared" si="902"/>
        <v>0</v>
      </c>
      <c r="T1575" s="273">
        <f t="shared" si="911"/>
        <v>0</v>
      </c>
      <c r="U1575" s="6">
        <f t="shared" si="914"/>
        <v>0</v>
      </c>
      <c r="V1575" s="6"/>
      <c r="W1575" s="6">
        <f t="shared" si="915"/>
        <v>0</v>
      </c>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X1575" s="6"/>
      <c r="AY1575" s="6">
        <f>ROUND(AX1575/1000/Update!$B$31*Update!$B$27,0)</f>
        <v>0</v>
      </c>
      <c r="BA1575" s="6"/>
      <c r="BB1575" s="6">
        <f>ROUND(BA1575/1000/Update!$B$31,0)</f>
        <v>0</v>
      </c>
      <c r="BC1575" s="6"/>
      <c r="BD1575" s="29">
        <f t="shared" si="904"/>
        <v>0</v>
      </c>
      <c r="BE1575" s="322"/>
      <c r="BF1575" s="322"/>
      <c r="BG1575" s="322"/>
      <c r="BH1575" s="322"/>
      <c r="BI1575" s="322"/>
      <c r="BJ1575" s="322"/>
      <c r="BK1575" s="29">
        <f t="shared" si="916"/>
        <v>0</v>
      </c>
      <c r="BL1575" s="317"/>
      <c r="BM1575" s="317"/>
      <c r="BN1575" s="317"/>
      <c r="BO1575" s="317"/>
      <c r="BP1575" s="317"/>
      <c r="BQ1575" s="317"/>
      <c r="BR1575" s="317"/>
      <c r="BS1575" s="317"/>
      <c r="BT1575" s="317"/>
      <c r="BU1575" s="317"/>
      <c r="BV1575" s="317"/>
      <c r="BW1575" s="317"/>
      <c r="BX1575" s="317"/>
      <c r="BY1575" s="317"/>
      <c r="BZ1575" s="317"/>
      <c r="CA1575" s="317"/>
      <c r="CB1575" s="317"/>
      <c r="CC1575" s="317"/>
      <c r="CD1575" s="317"/>
      <c r="CE1575" s="317"/>
      <c r="CF1575" s="317"/>
      <c r="CG1575" s="317"/>
      <c r="CH1575" s="317"/>
      <c r="CI1575" s="317"/>
      <c r="CM1575" s="1139">
        <f t="shared" si="898"/>
        <v>0</v>
      </c>
      <c r="CN1575" s="1139">
        <v>0</v>
      </c>
      <c r="CP1575" s="923">
        <f t="shared" si="895"/>
        <v>0</v>
      </c>
      <c r="CZ1575" s="330"/>
    </row>
    <row r="1576" spans="1:104" ht="15" customHeight="1" x14ac:dyDescent="0.25">
      <c r="A1576" s="684">
        <f>MAX($A$6:A1575)+1</f>
        <v>1576</v>
      </c>
      <c r="B1576" s="3">
        <f t="shared" si="912"/>
        <v>17.100000000000001</v>
      </c>
      <c r="C1576" s="11" t="str">
        <f t="shared" si="913"/>
        <v>Quantitative disclosures around right-of-use assets</v>
      </c>
      <c r="D1576" s="11" t="s">
        <v>195</v>
      </c>
      <c r="E1576" s="7" t="s">
        <v>2488</v>
      </c>
      <c r="F1576" s="1267"/>
      <c r="G1576" s="7" t="s">
        <v>2488</v>
      </c>
      <c r="H1576" s="6">
        <v>0</v>
      </c>
      <c r="I1576" s="6">
        <v>0</v>
      </c>
      <c r="J1576" s="7" t="s">
        <v>2488</v>
      </c>
      <c r="K1576" s="6">
        <f>SUMIF('alb Note 16  Leases'!$B$12:$B$20,$J1576,'alb Note 16  Leases'!$C$12:$C$20)</f>
        <v>0</v>
      </c>
      <c r="L1576" s="6">
        <f>SUMIF('alb Note 16  Leases'!$B$12:$B$20,$J1576,'alb Note 16  Leases'!$M$12:$M$20)</f>
        <v>0</v>
      </c>
      <c r="M1576" s="10"/>
      <c r="N1576" s="273">
        <f t="shared" si="901"/>
        <v>0</v>
      </c>
      <c r="O1576" s="12"/>
      <c r="P1576" s="12"/>
      <c r="Q1576" s="12"/>
      <c r="R1576" s="12"/>
      <c r="S1576" s="6">
        <f t="shared" si="902"/>
        <v>0</v>
      </c>
      <c r="T1576" s="273">
        <f t="shared" si="911"/>
        <v>0</v>
      </c>
      <c r="U1576" s="6">
        <f t="shared" si="914"/>
        <v>0</v>
      </c>
      <c r="V1576" s="6"/>
      <c r="W1576" s="6">
        <f t="shared" si="915"/>
        <v>0</v>
      </c>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X1576" s="6"/>
      <c r="AY1576" s="6">
        <f>ROUND(AX1576/1000/Update!$B$31*Update!$B$27,0)</f>
        <v>0</v>
      </c>
      <c r="BA1576" s="6"/>
      <c r="BB1576" s="6">
        <f>ROUND(BA1576/1000/Update!$B$31,0)</f>
        <v>0</v>
      </c>
      <c r="BC1576" s="6"/>
      <c r="BD1576" s="29">
        <f t="shared" si="904"/>
        <v>0</v>
      </c>
      <c r="BE1576" s="322"/>
      <c r="BF1576" s="322"/>
      <c r="BG1576" s="322"/>
      <c r="BH1576" s="322"/>
      <c r="BI1576" s="322"/>
      <c r="BJ1576" s="322"/>
      <c r="BK1576" s="29">
        <f t="shared" si="916"/>
        <v>0</v>
      </c>
      <c r="BL1576" s="317"/>
      <c r="BM1576" s="317"/>
      <c r="BN1576" s="317"/>
      <c r="BO1576" s="317"/>
      <c r="BP1576" s="317"/>
      <c r="BQ1576" s="317"/>
      <c r="BR1576" s="317"/>
      <c r="BS1576" s="317"/>
      <c r="BT1576" s="317"/>
      <c r="BU1576" s="317"/>
      <c r="BV1576" s="317"/>
      <c r="BW1576" s="317"/>
      <c r="BX1576" s="317"/>
      <c r="BY1576" s="317"/>
      <c r="BZ1576" s="317"/>
      <c r="CA1576" s="317"/>
      <c r="CB1576" s="317"/>
      <c r="CC1576" s="317"/>
      <c r="CD1576" s="317"/>
      <c r="CE1576" s="317"/>
      <c r="CF1576" s="317"/>
      <c r="CG1576" s="317"/>
      <c r="CH1576" s="317"/>
      <c r="CI1576" s="317"/>
      <c r="CM1576" s="1139">
        <f t="shared" si="898"/>
        <v>0</v>
      </c>
      <c r="CN1576" s="1139">
        <v>0</v>
      </c>
      <c r="CP1576" s="923">
        <f t="shared" si="895"/>
        <v>0</v>
      </c>
      <c r="CZ1576" s="330"/>
    </row>
    <row r="1577" spans="1:104" ht="15" customHeight="1" x14ac:dyDescent="0.25">
      <c r="A1577" s="684">
        <f>MAX($A$6:A1576)+1</f>
        <v>1577</v>
      </c>
      <c r="B1577" s="3">
        <f t="shared" si="912"/>
        <v>17.100000000000001</v>
      </c>
      <c r="C1577" s="11" t="str">
        <f t="shared" si="913"/>
        <v>Quantitative disclosures around right-of-use assets</v>
      </c>
      <c r="D1577" s="11" t="s">
        <v>195</v>
      </c>
      <c r="E1577" s="7" t="str">
        <f>"At"&amp;Update!$B$22</f>
        <v>At 31 March 2026</v>
      </c>
      <c r="F1577" s="7"/>
      <c r="G1577" s="7" t="str">
        <f>"At"&amp;Update!$B$22</f>
        <v>At 31 March 2026</v>
      </c>
      <c r="H1577" s="6">
        <v>0</v>
      </c>
      <c r="I1577" s="6">
        <v>0</v>
      </c>
      <c r="J1577" s="7" t="str">
        <f>"At"&amp;Update!$B$22</f>
        <v>At 31 March 2026</v>
      </c>
      <c r="K1577" s="6">
        <f>SUMIF('alb Note 16  Leases'!$B$12:$B$20,$J1577,'alb Note 16  Leases'!$C$12:$C$20)</f>
        <v>0</v>
      </c>
      <c r="L1577" s="6">
        <f>SUMIF('alb Note 16  Leases'!$B$12:$B$20,$J1577,'alb Note 16  Leases'!$M$12:$M$20)</f>
        <v>0</v>
      </c>
      <c r="M1577" s="10"/>
      <c r="N1577" s="273">
        <f t="shared" si="901"/>
        <v>0</v>
      </c>
      <c r="O1577" s="12"/>
      <c r="P1577" s="12"/>
      <c r="Q1577" s="12"/>
      <c r="R1577" s="12"/>
      <c r="S1577" s="6">
        <f t="shared" si="902"/>
        <v>0</v>
      </c>
      <c r="T1577" s="273">
        <f t="shared" si="911"/>
        <v>0</v>
      </c>
      <c r="U1577" s="6">
        <f t="shared" si="914"/>
        <v>0</v>
      </c>
      <c r="V1577" s="6"/>
      <c r="W1577" s="6">
        <f t="shared" si="915"/>
        <v>0</v>
      </c>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X1577" s="6"/>
      <c r="AY1577" s="6">
        <f>ROUND(AX1577/1000/Update!$B$31*Update!$B$27,0)</f>
        <v>0</v>
      </c>
      <c r="BA1577" s="6"/>
      <c r="BB1577" s="6">
        <f>ROUND(BA1577/1000/Update!$B$31,0)</f>
        <v>0</v>
      </c>
      <c r="BC1577" s="6"/>
      <c r="BD1577" s="29">
        <f t="shared" si="904"/>
        <v>0</v>
      </c>
      <c r="BE1577" s="317"/>
      <c r="BF1577" s="317"/>
      <c r="BG1577" s="317"/>
      <c r="BH1577" s="317"/>
      <c r="BI1577" s="317"/>
      <c r="BJ1577" s="317"/>
      <c r="BK1577" s="29">
        <f t="shared" si="916"/>
        <v>0</v>
      </c>
      <c r="BL1577" s="317"/>
      <c r="BM1577" s="317"/>
      <c r="BN1577" s="317"/>
      <c r="BO1577" s="317"/>
      <c r="BP1577" s="317"/>
      <c r="BQ1577" s="317"/>
      <c r="BR1577" s="317"/>
      <c r="BS1577" s="317"/>
      <c r="BT1577" s="317"/>
      <c r="BU1577" s="317"/>
      <c r="BV1577" s="317"/>
      <c r="BW1577" s="317"/>
      <c r="BX1577" s="317"/>
      <c r="BY1577" s="317"/>
      <c r="BZ1577" s="317"/>
      <c r="CA1577" s="317"/>
      <c r="CB1577" s="317"/>
      <c r="CC1577" s="317"/>
      <c r="CD1577" s="317"/>
      <c r="CE1577" s="317"/>
      <c r="CF1577" s="317"/>
      <c r="CG1577" s="317"/>
      <c r="CH1577" s="317"/>
      <c r="CI1577" s="317"/>
      <c r="CM1577" s="1139">
        <f t="shared" si="898"/>
        <v>0</v>
      </c>
      <c r="CN1577" s="1139">
        <v>0</v>
      </c>
      <c r="CP1577" s="923">
        <f t="shared" si="895"/>
        <v>0</v>
      </c>
      <c r="CZ1577" s="330"/>
    </row>
    <row r="1578" spans="1:104" ht="15" customHeight="1" x14ac:dyDescent="0.25">
      <c r="A1578" s="684">
        <f>MAX($A$6:A1577)+1</f>
        <v>1578</v>
      </c>
      <c r="B1578" s="3">
        <f t="shared" si="912"/>
        <v>17.100000000000001</v>
      </c>
      <c r="C1578" s="11" t="str">
        <f t="shared" si="913"/>
        <v>Quantitative disclosures around right-of-use assets</v>
      </c>
      <c r="D1578" s="11" t="s">
        <v>195</v>
      </c>
      <c r="E1578" s="7" t="str">
        <f>"At"&amp;Update!$B$20</f>
        <v>At 1 April 2025</v>
      </c>
      <c r="F1578" s="1267"/>
      <c r="G1578" s="7" t="str">
        <f>"At"&amp;Update!$B$20</f>
        <v>At 1 April 2025</v>
      </c>
      <c r="H1578" s="6">
        <v>0</v>
      </c>
      <c r="I1578" s="6">
        <v>0</v>
      </c>
      <c r="J1578" s="7" t="str">
        <f>"At"&amp;Update!$B$20</f>
        <v>At 1 April 2025</v>
      </c>
      <c r="K1578" s="6">
        <f>SUMIF('alb Note 16  Leases'!$B$23:$B$30,$J1578,'alb Note 16  Leases'!$C$23:$C$30)</f>
        <v>0</v>
      </c>
      <c r="L1578" s="6">
        <f>SUMIF('alb Note 16  Leases'!$B$23:$B$30,$J1578,'alb Note 16  Leases'!$M$23:$M$30)</f>
        <v>0</v>
      </c>
      <c r="M1578" s="10"/>
      <c r="N1578" s="273">
        <f t="shared" si="901"/>
        <v>0</v>
      </c>
      <c r="O1578" s="12"/>
      <c r="P1578" s="12"/>
      <c r="Q1578" s="12"/>
      <c r="R1578" s="12"/>
      <c r="S1578" s="6">
        <f t="shared" si="902"/>
        <v>0</v>
      </c>
      <c r="T1578" s="273">
        <f t="shared" si="911"/>
        <v>0</v>
      </c>
      <c r="U1578" s="6">
        <f t="shared" si="914"/>
        <v>0</v>
      </c>
      <c r="V1578" s="6"/>
      <c r="W1578" s="6">
        <f t="shared" si="915"/>
        <v>0</v>
      </c>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X1578" s="6"/>
      <c r="AY1578" s="6">
        <f>ROUND(AX1578/1000/Update!$B$31*Update!$B$27,0)</f>
        <v>0</v>
      </c>
      <c r="BA1578" s="6"/>
      <c r="BB1578" s="6">
        <f>ROUND(BA1578/1000/Update!$B$31,0)</f>
        <v>0</v>
      </c>
      <c r="BC1578" s="6"/>
      <c r="BD1578" s="29">
        <f t="shared" si="904"/>
        <v>0</v>
      </c>
      <c r="BE1578" s="322"/>
      <c r="BF1578" s="322"/>
      <c r="BG1578" s="322"/>
      <c r="BH1578" s="322"/>
      <c r="BI1578" s="322"/>
      <c r="BJ1578" s="322"/>
      <c r="BK1578" s="29">
        <f t="shared" si="916"/>
        <v>0</v>
      </c>
      <c r="BL1578" s="317"/>
      <c r="BM1578" s="317"/>
      <c r="BN1578" s="317"/>
      <c r="BO1578" s="317"/>
      <c r="BP1578" s="317"/>
      <c r="BQ1578" s="317"/>
      <c r="BR1578" s="317"/>
      <c r="BS1578" s="317"/>
      <c r="BT1578" s="317"/>
      <c r="BU1578" s="317"/>
      <c r="BV1578" s="317"/>
      <c r="BW1578" s="317"/>
      <c r="BX1578" s="317"/>
      <c r="BY1578" s="317"/>
      <c r="BZ1578" s="317"/>
      <c r="CA1578" s="317"/>
      <c r="CB1578" s="317"/>
      <c r="CC1578" s="317"/>
      <c r="CD1578" s="317"/>
      <c r="CE1578" s="317"/>
      <c r="CF1578" s="317"/>
      <c r="CG1578" s="317"/>
      <c r="CH1578" s="317"/>
      <c r="CI1578" s="317"/>
      <c r="CM1578" s="1139">
        <f t="shared" si="898"/>
        <v>0</v>
      </c>
      <c r="CN1578" s="1139">
        <v>0</v>
      </c>
      <c r="CP1578" s="923">
        <f t="shared" si="895"/>
        <v>0</v>
      </c>
      <c r="CZ1578" s="330"/>
    </row>
    <row r="1579" spans="1:104" ht="15" customHeight="1" x14ac:dyDescent="0.25">
      <c r="A1579" s="684">
        <f>MAX($A$6:A1578)+1</f>
        <v>1579</v>
      </c>
      <c r="B1579" s="3">
        <f t="shared" si="912"/>
        <v>17.100000000000001</v>
      </c>
      <c r="C1579" s="11" t="str">
        <f t="shared" si="913"/>
        <v>Quantitative disclosures around right-of-use assets</v>
      </c>
      <c r="D1579" s="11" t="s">
        <v>195</v>
      </c>
      <c r="E1579" s="7" t="s">
        <v>2490</v>
      </c>
      <c r="F1579" s="1267"/>
      <c r="G1579" s="1254" t="s">
        <v>2490</v>
      </c>
      <c r="H1579" s="6">
        <v>0</v>
      </c>
      <c r="I1579" s="6">
        <v>0</v>
      </c>
      <c r="J1579" s="1254" t="s">
        <v>2490</v>
      </c>
      <c r="K1579" s="6">
        <f>SUMIF('alb Note 16  Leases'!$B$23:$B$30,$J1579,'alb Note 16  Leases'!$C$23:$C$30)</f>
        <v>0</v>
      </c>
      <c r="L1579" s="6">
        <f>SUMIF('alb Note 16  Leases'!$B$23:$B$30,$J1579,'alb Note 16  Leases'!$M$23:$M$30)</f>
        <v>0</v>
      </c>
      <c r="M1579" s="10"/>
      <c r="N1579" s="273">
        <f t="shared" si="901"/>
        <v>0</v>
      </c>
      <c r="O1579" s="12"/>
      <c r="P1579" s="12"/>
      <c r="Q1579" s="12"/>
      <c r="R1579" s="12"/>
      <c r="S1579" s="6">
        <f t="shared" si="902"/>
        <v>0</v>
      </c>
      <c r="T1579" s="273">
        <f t="shared" si="911"/>
        <v>0</v>
      </c>
      <c r="U1579" s="6">
        <f t="shared" si="914"/>
        <v>0</v>
      </c>
      <c r="V1579" s="6"/>
      <c r="W1579" s="6">
        <f t="shared" si="915"/>
        <v>0</v>
      </c>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X1579" s="6"/>
      <c r="AY1579" s="6">
        <f>ROUND(AX1579/1000/Update!$B$31*Update!$B$27,0)</f>
        <v>0</v>
      </c>
      <c r="BA1579" s="6"/>
      <c r="BB1579" s="6">
        <f>ROUND(BA1579/1000/Update!$B$31,0)</f>
        <v>0</v>
      </c>
      <c r="BC1579" s="6"/>
      <c r="BD1579" s="29">
        <f t="shared" si="904"/>
        <v>0</v>
      </c>
      <c r="BE1579" s="322"/>
      <c r="BF1579" s="322"/>
      <c r="BG1579" s="322"/>
      <c r="BH1579" s="322"/>
      <c r="BI1579" s="322"/>
      <c r="BJ1579" s="322"/>
      <c r="BK1579" s="29">
        <f t="shared" si="916"/>
        <v>0</v>
      </c>
      <c r="BL1579" s="317"/>
      <c r="BM1579" s="317"/>
      <c r="BN1579" s="317"/>
      <c r="BO1579" s="317"/>
      <c r="BP1579" s="317"/>
      <c r="BQ1579" s="317"/>
      <c r="BR1579" s="317"/>
      <c r="BS1579" s="317"/>
      <c r="BT1579" s="317"/>
      <c r="BU1579" s="317"/>
      <c r="BV1579" s="317"/>
      <c r="BW1579" s="317"/>
      <c r="BX1579" s="317"/>
      <c r="BY1579" s="317"/>
      <c r="BZ1579" s="317"/>
      <c r="CA1579" s="317"/>
      <c r="CB1579" s="317"/>
      <c r="CC1579" s="317"/>
      <c r="CD1579" s="317"/>
      <c r="CE1579" s="317"/>
      <c r="CF1579" s="317"/>
      <c r="CG1579" s="317"/>
      <c r="CH1579" s="317"/>
      <c r="CI1579" s="317"/>
      <c r="CM1579" s="1139">
        <f t="shared" si="898"/>
        <v>0</v>
      </c>
      <c r="CN1579" s="1139">
        <v>0</v>
      </c>
      <c r="CP1579" s="923">
        <f t="shared" si="895"/>
        <v>0</v>
      </c>
      <c r="CZ1579" s="330"/>
    </row>
    <row r="1580" spans="1:104" ht="15" customHeight="1" x14ac:dyDescent="0.25">
      <c r="A1580" s="684">
        <f>MAX($A$6:A1579)+1</f>
        <v>1580</v>
      </c>
      <c r="B1580" s="3">
        <f t="shared" si="912"/>
        <v>17.100000000000001</v>
      </c>
      <c r="C1580" s="11" t="str">
        <f t="shared" si="913"/>
        <v>Quantitative disclosures around right-of-use assets</v>
      </c>
      <c r="D1580" s="11" t="s">
        <v>195</v>
      </c>
      <c r="E1580" s="7" t="s">
        <v>190</v>
      </c>
      <c r="F1580" s="1267"/>
      <c r="G1580" s="7" t="s">
        <v>190</v>
      </c>
      <c r="H1580" s="6">
        <v>0</v>
      </c>
      <c r="I1580" s="6">
        <v>0</v>
      </c>
      <c r="J1580" s="7" t="s">
        <v>190</v>
      </c>
      <c r="K1580" s="6">
        <f>SUMIF('alb Note 16  Leases'!$B$23:$B$30,$J1580,'alb Note 16  Leases'!$C$23:$C$30)</f>
        <v>0</v>
      </c>
      <c r="L1580" s="6">
        <f>SUMIF('alb Note 16  Leases'!$B$23:$B$30,$J1580,'alb Note 16  Leases'!$M$23:$M$30)</f>
        <v>0</v>
      </c>
      <c r="M1580" s="10"/>
      <c r="N1580" s="273">
        <f t="shared" si="901"/>
        <v>0</v>
      </c>
      <c r="O1580" s="12"/>
      <c r="P1580" s="12"/>
      <c r="Q1580" s="12"/>
      <c r="R1580" s="12"/>
      <c r="S1580" s="6">
        <f t="shared" si="902"/>
        <v>0</v>
      </c>
      <c r="T1580" s="273">
        <f t="shared" si="911"/>
        <v>0</v>
      </c>
      <c r="U1580" s="6">
        <f t="shared" si="914"/>
        <v>0</v>
      </c>
      <c r="V1580" s="6"/>
      <c r="W1580" s="6">
        <f t="shared" si="915"/>
        <v>0</v>
      </c>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X1580" s="6"/>
      <c r="AY1580" s="6">
        <f>ROUND(AX1580/1000/Update!$B$31*Update!$B$27,0)</f>
        <v>0</v>
      </c>
      <c r="BA1580" s="6"/>
      <c r="BB1580" s="6">
        <f>ROUND(BA1580/1000/Update!$B$31,0)</f>
        <v>0</v>
      </c>
      <c r="BC1580" s="6"/>
      <c r="BD1580" s="29">
        <f t="shared" si="904"/>
        <v>0</v>
      </c>
      <c r="BE1580" s="322"/>
      <c r="BF1580" s="322"/>
      <c r="BG1580" s="322"/>
      <c r="BH1580" s="322"/>
      <c r="BI1580" s="322"/>
      <c r="BJ1580" s="322"/>
      <c r="BK1580" s="29">
        <f t="shared" si="916"/>
        <v>0</v>
      </c>
      <c r="BL1580" s="317"/>
      <c r="BM1580" s="317"/>
      <c r="BN1580" s="317"/>
      <c r="BO1580" s="317"/>
      <c r="BP1580" s="317"/>
      <c r="BQ1580" s="317"/>
      <c r="BR1580" s="317"/>
      <c r="BS1580" s="317"/>
      <c r="BT1580" s="317"/>
      <c r="BU1580" s="317"/>
      <c r="BV1580" s="317"/>
      <c r="BW1580" s="317"/>
      <c r="BX1580" s="317"/>
      <c r="BY1580" s="317"/>
      <c r="BZ1580" s="317"/>
      <c r="CA1580" s="317"/>
      <c r="CB1580" s="317"/>
      <c r="CC1580" s="317"/>
      <c r="CD1580" s="317"/>
      <c r="CE1580" s="317"/>
      <c r="CF1580" s="317"/>
      <c r="CG1580" s="317"/>
      <c r="CH1580" s="317"/>
      <c r="CI1580" s="317"/>
      <c r="CM1580" s="1139">
        <f t="shared" si="898"/>
        <v>0</v>
      </c>
      <c r="CN1580" s="1139">
        <v>0</v>
      </c>
      <c r="CP1580" s="923">
        <f t="shared" si="895"/>
        <v>0</v>
      </c>
      <c r="CZ1580" s="330"/>
    </row>
    <row r="1581" spans="1:104" ht="15" customHeight="1" x14ac:dyDescent="0.25">
      <c r="A1581" s="684">
        <f>MAX($A$6:A1580)+1</f>
        <v>1581</v>
      </c>
      <c r="B1581" s="3">
        <f t="shared" si="912"/>
        <v>17.100000000000001</v>
      </c>
      <c r="C1581" s="11" t="str">
        <f t="shared" si="913"/>
        <v>Quantitative disclosures around right-of-use assets</v>
      </c>
      <c r="D1581" s="11" t="s">
        <v>195</v>
      </c>
      <c r="E1581" s="7" t="s">
        <v>186</v>
      </c>
      <c r="F1581" s="7"/>
      <c r="G1581" s="7" t="s">
        <v>186</v>
      </c>
      <c r="H1581" s="6">
        <v>0</v>
      </c>
      <c r="I1581" s="6">
        <v>0</v>
      </c>
      <c r="J1581" s="7" t="s">
        <v>186</v>
      </c>
      <c r="K1581" s="6">
        <f>SUMIF('alb Note 16  Leases'!$B$23:$B$30,$J1581,'alb Note 16  Leases'!$C$23:$C$30)</f>
        <v>0</v>
      </c>
      <c r="L1581" s="6">
        <f>SUMIF('alb Note 16  Leases'!$B$23:$B$30,$J1581,'alb Note 16  Leases'!$M$23:$M$30)</f>
        <v>0</v>
      </c>
      <c r="M1581" s="10"/>
      <c r="N1581" s="273">
        <f t="shared" si="901"/>
        <v>0</v>
      </c>
      <c r="O1581" s="12"/>
      <c r="P1581" s="12"/>
      <c r="Q1581" s="12"/>
      <c r="R1581" s="12"/>
      <c r="S1581" s="6">
        <f t="shared" si="902"/>
        <v>0</v>
      </c>
      <c r="T1581" s="273">
        <f t="shared" si="911"/>
        <v>0</v>
      </c>
      <c r="U1581" s="6">
        <f t="shared" si="914"/>
        <v>0</v>
      </c>
      <c r="V1581" s="6"/>
      <c r="W1581" s="6">
        <f t="shared" si="915"/>
        <v>0</v>
      </c>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X1581" s="6"/>
      <c r="AY1581" s="6">
        <f>ROUND(AX1581/1000/Update!$B$31*Update!$B$27,0)</f>
        <v>0</v>
      </c>
      <c r="BA1581" s="6"/>
      <c r="BB1581" s="6">
        <f>ROUND(BA1581/1000/Update!$B$31,0)</f>
        <v>0</v>
      </c>
      <c r="BC1581" s="6"/>
      <c r="BD1581" s="29">
        <f t="shared" si="904"/>
        <v>0</v>
      </c>
      <c r="BE1581" s="317"/>
      <c r="BF1581" s="317"/>
      <c r="BG1581" s="317"/>
      <c r="BH1581" s="317"/>
      <c r="BI1581" s="317"/>
      <c r="BJ1581" s="317"/>
      <c r="BK1581" s="29">
        <f t="shared" si="916"/>
        <v>0</v>
      </c>
      <c r="BL1581" s="317"/>
      <c r="BM1581" s="317"/>
      <c r="BN1581" s="317"/>
      <c r="BO1581" s="317"/>
      <c r="BP1581" s="317"/>
      <c r="BQ1581" s="317"/>
      <c r="BR1581" s="317"/>
      <c r="BS1581" s="317"/>
      <c r="BT1581" s="317"/>
      <c r="BU1581" s="317"/>
      <c r="BV1581" s="317"/>
      <c r="BW1581" s="317"/>
      <c r="BX1581" s="317"/>
      <c r="BY1581" s="317"/>
      <c r="BZ1581" s="317"/>
      <c r="CA1581" s="317"/>
      <c r="CB1581" s="317"/>
      <c r="CC1581" s="317"/>
      <c r="CD1581" s="317"/>
      <c r="CE1581" s="317"/>
      <c r="CF1581" s="317"/>
      <c r="CG1581" s="317"/>
      <c r="CH1581" s="317"/>
      <c r="CI1581" s="317"/>
      <c r="CM1581" s="1139">
        <f t="shared" si="898"/>
        <v>0</v>
      </c>
      <c r="CN1581" s="1139">
        <v>0</v>
      </c>
      <c r="CP1581" s="923">
        <f t="shared" si="895"/>
        <v>0</v>
      </c>
      <c r="CZ1581" s="330"/>
    </row>
    <row r="1582" spans="1:104" ht="15" customHeight="1" x14ac:dyDescent="0.25">
      <c r="A1582" s="684">
        <f>MAX($A$6:A1581)+1</f>
        <v>1582</v>
      </c>
      <c r="B1582" s="3">
        <f t="shared" si="912"/>
        <v>17.100000000000001</v>
      </c>
      <c r="C1582" s="11" t="str">
        <f t="shared" si="913"/>
        <v>Quantitative disclosures around right-of-use assets</v>
      </c>
      <c r="D1582" s="11" t="s">
        <v>195</v>
      </c>
      <c r="E1582" s="7" t="s">
        <v>187</v>
      </c>
      <c r="F1582" s="1267"/>
      <c r="G1582" s="1254" t="s">
        <v>187</v>
      </c>
      <c r="H1582" s="6">
        <v>0</v>
      </c>
      <c r="I1582" s="6">
        <v>0</v>
      </c>
      <c r="J1582" s="1254" t="s">
        <v>187</v>
      </c>
      <c r="K1582" s="6">
        <f>SUMIF('alb Note 16  Leases'!$B$23:$B$30,$J1582,'alb Note 16  Leases'!$C$23:$C$30)</f>
        <v>0</v>
      </c>
      <c r="L1582" s="6">
        <f>SUMIF('alb Note 16  Leases'!$B$23:$B$30,$J1582,'alb Note 16  Leases'!$M$23:$M$30)</f>
        <v>0</v>
      </c>
      <c r="M1582" s="10"/>
      <c r="N1582" s="273">
        <f t="shared" si="901"/>
        <v>0</v>
      </c>
      <c r="O1582" s="12"/>
      <c r="P1582" s="12"/>
      <c r="Q1582" s="12"/>
      <c r="R1582" s="12"/>
      <c r="S1582" s="6">
        <f t="shared" si="902"/>
        <v>0</v>
      </c>
      <c r="T1582" s="273">
        <f t="shared" ref="T1582:T1599" si="917">ROUND(SUM(U1582:Y1582),0)</f>
        <v>0</v>
      </c>
      <c r="U1582" s="6">
        <f t="shared" si="914"/>
        <v>0</v>
      </c>
      <c r="V1582" s="6"/>
      <c r="W1582" s="6">
        <f t="shared" ref="W1582:W1599" si="918">+H1582</f>
        <v>0</v>
      </c>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X1582" s="6"/>
      <c r="AY1582" s="6">
        <f>ROUND(AX1582/1000/Update!$B$31*Update!$B$27,0)</f>
        <v>0</v>
      </c>
      <c r="BA1582" s="6"/>
      <c r="BB1582" s="6">
        <f>ROUND(BA1582/1000/Update!$B$31,0)</f>
        <v>0</v>
      </c>
      <c r="BC1582" s="6"/>
      <c r="BD1582" s="29">
        <f t="shared" ref="BD1582:BD1599" si="919">ROUND(SUM(BE1582:BK1582),0)</f>
        <v>0</v>
      </c>
      <c r="BE1582" s="322"/>
      <c r="BF1582" s="322"/>
      <c r="BG1582" s="322"/>
      <c r="BH1582" s="322"/>
      <c r="BI1582" s="322"/>
      <c r="BJ1582" s="322"/>
      <c r="BK1582" s="29">
        <f t="shared" si="916"/>
        <v>0</v>
      </c>
      <c r="BL1582" s="317"/>
      <c r="BM1582" s="317"/>
      <c r="BN1582" s="317"/>
      <c r="BO1582" s="317"/>
      <c r="BP1582" s="317"/>
      <c r="BQ1582" s="317"/>
      <c r="BR1582" s="317"/>
      <c r="BS1582" s="317"/>
      <c r="BT1582" s="317"/>
      <c r="BU1582" s="317"/>
      <c r="BV1582" s="317"/>
      <c r="BW1582" s="317"/>
      <c r="BX1582" s="317"/>
      <c r="BY1582" s="317"/>
      <c r="BZ1582" s="317"/>
      <c r="CA1582" s="317"/>
      <c r="CB1582" s="317"/>
      <c r="CC1582" s="317"/>
      <c r="CD1582" s="317"/>
      <c r="CE1582" s="317"/>
      <c r="CF1582" s="317"/>
      <c r="CG1582" s="317"/>
      <c r="CH1582" s="317"/>
      <c r="CI1582" s="317"/>
      <c r="CM1582" s="1139">
        <f t="shared" si="898"/>
        <v>0</v>
      </c>
      <c r="CN1582" s="1139">
        <v>0</v>
      </c>
      <c r="CP1582" s="923">
        <f t="shared" si="895"/>
        <v>0</v>
      </c>
      <c r="CZ1582" s="330"/>
    </row>
    <row r="1583" spans="1:104" ht="15" customHeight="1" x14ac:dyDescent="0.25">
      <c r="A1583" s="684">
        <f>MAX($A$6:A1582)+1</f>
        <v>1583</v>
      </c>
      <c r="B1583" s="3">
        <f t="shared" si="912"/>
        <v>17.100000000000001</v>
      </c>
      <c r="C1583" s="11" t="str">
        <f t="shared" si="913"/>
        <v>Quantitative disclosures around right-of-use assets</v>
      </c>
      <c r="D1583" s="11" t="s">
        <v>195</v>
      </c>
      <c r="E1583" s="7" t="s">
        <v>189</v>
      </c>
      <c r="F1583" s="1267"/>
      <c r="G1583" s="1254" t="s">
        <v>189</v>
      </c>
      <c r="H1583" s="6">
        <v>0</v>
      </c>
      <c r="I1583" s="6">
        <v>0</v>
      </c>
      <c r="J1583" s="1254" t="s">
        <v>189</v>
      </c>
      <c r="K1583" s="6">
        <f>SUMIF('alb Note 16  Leases'!$B$23:$B$30,$J1583,'alb Note 16  Leases'!$C$23:$C$30)</f>
        <v>0</v>
      </c>
      <c r="L1583" s="6">
        <f>SUMIF('alb Note 16  Leases'!$B$23:$B$30,$J1583,'alb Note 16  Leases'!$M$23:$M$30)</f>
        <v>0</v>
      </c>
      <c r="M1583" s="10"/>
      <c r="N1583" s="273">
        <f t="shared" si="901"/>
        <v>0</v>
      </c>
      <c r="O1583" s="12"/>
      <c r="P1583" s="12"/>
      <c r="Q1583" s="12"/>
      <c r="R1583" s="12"/>
      <c r="S1583" s="6">
        <f t="shared" si="902"/>
        <v>0</v>
      </c>
      <c r="T1583" s="273">
        <f t="shared" si="917"/>
        <v>0</v>
      </c>
      <c r="U1583" s="6">
        <f t="shared" si="914"/>
        <v>0</v>
      </c>
      <c r="V1583" s="6"/>
      <c r="W1583" s="6">
        <f t="shared" si="918"/>
        <v>0</v>
      </c>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X1583" s="6"/>
      <c r="AY1583" s="6">
        <f>ROUND(AX1583/1000/Update!$B$31*Update!$B$27,0)</f>
        <v>0</v>
      </c>
      <c r="BA1583" s="6"/>
      <c r="BB1583" s="6">
        <f>ROUND(BA1583/1000/Update!$B$31,0)</f>
        <v>0</v>
      </c>
      <c r="BC1583" s="6"/>
      <c r="BD1583" s="29">
        <f t="shared" si="919"/>
        <v>0</v>
      </c>
      <c r="BE1583" s="322"/>
      <c r="BF1583" s="322"/>
      <c r="BG1583" s="322"/>
      <c r="BH1583" s="322"/>
      <c r="BI1583" s="322"/>
      <c r="BJ1583" s="322"/>
      <c r="BK1583" s="29">
        <f t="shared" si="916"/>
        <v>0</v>
      </c>
      <c r="BL1583" s="317"/>
      <c r="BM1583" s="317"/>
      <c r="BN1583" s="317"/>
      <c r="BO1583" s="317"/>
      <c r="BP1583" s="317"/>
      <c r="BQ1583" s="317"/>
      <c r="BR1583" s="317"/>
      <c r="BS1583" s="317"/>
      <c r="BT1583" s="317"/>
      <c r="BU1583" s="317"/>
      <c r="BV1583" s="317"/>
      <c r="BW1583" s="317"/>
      <c r="BX1583" s="317"/>
      <c r="BY1583" s="317"/>
      <c r="BZ1583" s="317"/>
      <c r="CA1583" s="317"/>
      <c r="CB1583" s="317"/>
      <c r="CC1583" s="317"/>
      <c r="CD1583" s="317"/>
      <c r="CE1583" s="317"/>
      <c r="CF1583" s="317"/>
      <c r="CG1583" s="317"/>
      <c r="CH1583" s="317"/>
      <c r="CI1583" s="317"/>
      <c r="CM1583" s="1139">
        <f t="shared" si="898"/>
        <v>0</v>
      </c>
      <c r="CN1583" s="1139">
        <v>0</v>
      </c>
      <c r="CP1583" s="923">
        <f t="shared" si="895"/>
        <v>0</v>
      </c>
      <c r="CZ1583" s="330"/>
    </row>
    <row r="1584" spans="1:104" ht="15" customHeight="1" x14ac:dyDescent="0.25">
      <c r="A1584" s="684">
        <f>MAX($A$6:A1583)+1</f>
        <v>1584</v>
      </c>
      <c r="B1584" s="3">
        <f t="shared" si="912"/>
        <v>17.100000000000001</v>
      </c>
      <c r="C1584" s="11" t="str">
        <f t="shared" si="913"/>
        <v>Quantitative disclosures around right-of-use assets</v>
      </c>
      <c r="D1584" s="11" t="s">
        <v>195</v>
      </c>
      <c r="E1584" s="7" t="s">
        <v>191</v>
      </c>
      <c r="F1584" s="1267"/>
      <c r="G1584" s="7" t="s">
        <v>191</v>
      </c>
      <c r="H1584" s="6">
        <v>0</v>
      </c>
      <c r="I1584" s="6">
        <v>0</v>
      </c>
      <c r="J1584" s="7" t="s">
        <v>191</v>
      </c>
      <c r="K1584" s="6">
        <f>SUMIF('alb Note 16  Leases'!$B$23:$B$30,$J1584,'alb Note 16  Leases'!$C$23:$C$30)</f>
        <v>0</v>
      </c>
      <c r="L1584" s="6">
        <f>SUMIF('alb Note 16  Leases'!$B$23:$B$30,$J1584,'alb Note 16  Leases'!$M$23:$M$30)</f>
        <v>0</v>
      </c>
      <c r="M1584" s="10"/>
      <c r="N1584" s="273">
        <f t="shared" si="901"/>
        <v>0</v>
      </c>
      <c r="O1584" s="12"/>
      <c r="P1584" s="12"/>
      <c r="Q1584" s="12"/>
      <c r="R1584" s="12"/>
      <c r="S1584" s="6">
        <f t="shared" si="902"/>
        <v>0</v>
      </c>
      <c r="T1584" s="273">
        <f t="shared" si="917"/>
        <v>0</v>
      </c>
      <c r="U1584" s="6">
        <f t="shared" si="914"/>
        <v>0</v>
      </c>
      <c r="V1584" s="6"/>
      <c r="W1584" s="6">
        <f t="shared" si="918"/>
        <v>0</v>
      </c>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X1584" s="6"/>
      <c r="AY1584" s="6">
        <f>ROUND(AX1584/1000/Update!$B$31*Update!$B$27,0)</f>
        <v>0</v>
      </c>
      <c r="BA1584" s="6"/>
      <c r="BB1584" s="6">
        <f>ROUND(BA1584/1000/Update!$B$31,0)</f>
        <v>0</v>
      </c>
      <c r="BC1584" s="6"/>
      <c r="BD1584" s="29">
        <f t="shared" si="919"/>
        <v>0</v>
      </c>
      <c r="BE1584" s="322"/>
      <c r="BF1584" s="322"/>
      <c r="BG1584" s="322"/>
      <c r="BH1584" s="322"/>
      <c r="BI1584" s="322"/>
      <c r="BJ1584" s="322"/>
      <c r="BK1584" s="29">
        <f t="shared" si="916"/>
        <v>0</v>
      </c>
      <c r="BL1584" s="317"/>
      <c r="BM1584" s="317"/>
      <c r="BN1584" s="317"/>
      <c r="BO1584" s="317"/>
      <c r="BP1584" s="317"/>
      <c r="BQ1584" s="317"/>
      <c r="BR1584" s="317"/>
      <c r="BS1584" s="317"/>
      <c r="BT1584" s="317"/>
      <c r="BU1584" s="317"/>
      <c r="BV1584" s="317"/>
      <c r="BW1584" s="317"/>
      <c r="BX1584" s="317"/>
      <c r="BY1584" s="317"/>
      <c r="BZ1584" s="317"/>
      <c r="CA1584" s="317"/>
      <c r="CB1584" s="317"/>
      <c r="CC1584" s="317"/>
      <c r="CD1584" s="317"/>
      <c r="CE1584" s="317"/>
      <c r="CF1584" s="317"/>
      <c r="CG1584" s="317"/>
      <c r="CH1584" s="317"/>
      <c r="CI1584" s="317"/>
      <c r="CM1584" s="1139">
        <f t="shared" si="898"/>
        <v>0</v>
      </c>
      <c r="CN1584" s="1139">
        <v>0</v>
      </c>
      <c r="CP1584" s="923">
        <f t="shared" si="895"/>
        <v>0</v>
      </c>
      <c r="CZ1584" s="330"/>
    </row>
    <row r="1585" spans="1:104" ht="15" customHeight="1" x14ac:dyDescent="0.25">
      <c r="A1585" s="684">
        <f>MAX($A$6:A1584)+1</f>
        <v>1585</v>
      </c>
      <c r="B1585" s="3">
        <f t="shared" si="912"/>
        <v>17.100000000000001</v>
      </c>
      <c r="C1585" s="11" t="str">
        <f t="shared" si="913"/>
        <v>Quantitative disclosures around right-of-use assets</v>
      </c>
      <c r="D1585" s="11" t="s">
        <v>195</v>
      </c>
      <c r="E1585" s="7" t="str">
        <f>"At"&amp;Update!$B$22</f>
        <v>At 31 March 2026</v>
      </c>
      <c r="F1585" s="7"/>
      <c r="G1585" s="7" t="str">
        <f>"At"&amp;Update!$B$22</f>
        <v>At 31 March 2026</v>
      </c>
      <c r="H1585" s="6">
        <v>0</v>
      </c>
      <c r="I1585" s="6">
        <v>0</v>
      </c>
      <c r="J1585" s="7" t="str">
        <f>"At"&amp;Update!$B$22</f>
        <v>At 31 March 2026</v>
      </c>
      <c r="K1585" s="6">
        <f>SUMIF('alb Note 16  Leases'!$B$23:$B$30,$J1585,'alb Note 16  Leases'!$C$23:$C$30)</f>
        <v>0</v>
      </c>
      <c r="L1585" s="6">
        <f>SUMIF('alb Note 16  Leases'!$B$23:$B$30,$J1585,'alb Note 16  Leases'!$M$23:$M$30)</f>
        <v>0</v>
      </c>
      <c r="M1585" s="10"/>
      <c r="N1585" s="273">
        <f t="shared" si="901"/>
        <v>0</v>
      </c>
      <c r="O1585" s="12"/>
      <c r="P1585" s="12"/>
      <c r="Q1585" s="12"/>
      <c r="R1585" s="12"/>
      <c r="S1585" s="6">
        <f t="shared" si="902"/>
        <v>0</v>
      </c>
      <c r="T1585" s="273">
        <f t="shared" si="917"/>
        <v>0</v>
      </c>
      <c r="U1585" s="6">
        <f t="shared" si="914"/>
        <v>0</v>
      </c>
      <c r="V1585" s="6"/>
      <c r="W1585" s="6">
        <f>+H1585</f>
        <v>0</v>
      </c>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X1585" s="6"/>
      <c r="AY1585" s="6">
        <f>ROUND(AX1585/1000/Update!$B$31*Update!$B$27,0)</f>
        <v>0</v>
      </c>
      <c r="BA1585" s="6"/>
      <c r="BB1585" s="6">
        <f>ROUND(BA1585/1000/Update!$B$31,0)</f>
        <v>0</v>
      </c>
      <c r="BC1585" s="6"/>
      <c r="BD1585" s="29">
        <f t="shared" si="919"/>
        <v>0</v>
      </c>
      <c r="BE1585" s="317"/>
      <c r="BF1585" s="317"/>
      <c r="BG1585" s="317"/>
      <c r="BH1585" s="317"/>
      <c r="BI1585" s="317"/>
      <c r="BJ1585" s="317"/>
      <c r="BK1585" s="29">
        <f t="shared" si="916"/>
        <v>0</v>
      </c>
      <c r="BL1585" s="317"/>
      <c r="BM1585" s="317"/>
      <c r="BN1585" s="317"/>
      <c r="BO1585" s="317"/>
      <c r="BP1585" s="317"/>
      <c r="BQ1585" s="317"/>
      <c r="BR1585" s="317"/>
      <c r="BS1585" s="317"/>
      <c r="BT1585" s="317"/>
      <c r="BU1585" s="317"/>
      <c r="BV1585" s="317"/>
      <c r="BW1585" s="317"/>
      <c r="BX1585" s="317"/>
      <c r="BY1585" s="317"/>
      <c r="BZ1585" s="317"/>
      <c r="CA1585" s="317"/>
      <c r="CB1585" s="317"/>
      <c r="CC1585" s="317"/>
      <c r="CD1585" s="317"/>
      <c r="CE1585" s="317"/>
      <c r="CF1585" s="317"/>
      <c r="CG1585" s="317"/>
      <c r="CH1585" s="317"/>
      <c r="CI1585" s="317"/>
      <c r="CM1585" s="1139">
        <f t="shared" si="898"/>
        <v>0</v>
      </c>
      <c r="CN1585" s="1139">
        <v>0</v>
      </c>
      <c r="CP1585" s="923">
        <f t="shared" si="895"/>
        <v>0</v>
      </c>
      <c r="CZ1585" s="330"/>
    </row>
    <row r="1586" spans="1:104" ht="15" customHeight="1" x14ac:dyDescent="0.25">
      <c r="A1586" s="701">
        <f>MAX($A$6:A1585)+1</f>
        <v>1586</v>
      </c>
      <c r="B1586" s="1291">
        <f t="shared" si="912"/>
        <v>17.100000000000001</v>
      </c>
      <c r="C1586" s="18" t="str">
        <f t="shared" si="913"/>
        <v>Quantitative disclosures around right-of-use assets</v>
      </c>
      <c r="D1586" s="18" t="s">
        <v>195</v>
      </c>
      <c r="E1586" s="19" t="str">
        <f>"Carrying amount "&amp;Update!$B$22</f>
        <v>Carrying amount  31 March 2026</v>
      </c>
      <c r="F1586" s="20"/>
      <c r="G1586" s="19" t="str">
        <f>"Carrying amount "&amp;Update!$B$22</f>
        <v>Carrying amount  31 March 2026</v>
      </c>
      <c r="H1586" s="14">
        <f>+H1577-H1585</f>
        <v>0</v>
      </c>
      <c r="I1586" s="14">
        <f>+I1577-I1585</f>
        <v>0</v>
      </c>
      <c r="J1586" s="19" t="str">
        <f>"Carrying amount "&amp;Update!$B$22</f>
        <v>Carrying amount  31 March 2026</v>
      </c>
      <c r="K1586" s="256">
        <f>+K1577-K1585</f>
        <v>0</v>
      </c>
      <c r="L1586" s="256">
        <f>+L1577-L1585</f>
        <v>0</v>
      </c>
      <c r="M1586" s="21"/>
      <c r="N1586" s="14">
        <f>ROUND(SUM(O1586:S1586)+T1586+SUM(Z1586:AV1586),0)</f>
        <v>0</v>
      </c>
      <c r="O1586" s="256">
        <f t="shared" ref="O1586:S1586" si="920">+O1577-O1585</f>
        <v>0</v>
      </c>
      <c r="P1586" s="256">
        <f t="shared" si="920"/>
        <v>0</v>
      </c>
      <c r="Q1586" s="256">
        <f t="shared" si="920"/>
        <v>0</v>
      </c>
      <c r="R1586" s="256">
        <f t="shared" si="920"/>
        <v>0</v>
      </c>
      <c r="S1586" s="256">
        <f t="shared" si="920"/>
        <v>0</v>
      </c>
      <c r="T1586" s="256">
        <f t="shared" ref="T1586" si="921">+T1577-T1585</f>
        <v>0</v>
      </c>
      <c r="U1586" s="256">
        <f t="shared" ref="U1586" si="922">+U1577-U1585</f>
        <v>0</v>
      </c>
      <c r="V1586" s="14"/>
      <c r="W1586" s="14">
        <f>+H1586</f>
        <v>0</v>
      </c>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2"/>
      <c r="AX1586" s="14"/>
      <c r="AY1586" s="14"/>
      <c r="AZ1586" s="2"/>
      <c r="BA1586" s="14"/>
      <c r="BB1586" s="14"/>
      <c r="BC1586" s="14"/>
      <c r="BD1586" s="14">
        <f>+BD1577-BD1585</f>
        <v>0</v>
      </c>
      <c r="BE1586" s="14">
        <f t="shared" ref="BE1586:BK1586" si="923">+BE1577-BE1585</f>
        <v>0</v>
      </c>
      <c r="BF1586" s="14">
        <f t="shared" si="923"/>
        <v>0</v>
      </c>
      <c r="BG1586" s="14">
        <f t="shared" si="923"/>
        <v>0</v>
      </c>
      <c r="BH1586" s="14">
        <f t="shared" si="923"/>
        <v>0</v>
      </c>
      <c r="BI1586" s="14">
        <f t="shared" si="923"/>
        <v>0</v>
      </c>
      <c r="BJ1586" s="14">
        <f t="shared" si="923"/>
        <v>0</v>
      </c>
      <c r="BK1586" s="14">
        <f t="shared" si="923"/>
        <v>0</v>
      </c>
      <c r="BL1586" s="14"/>
      <c r="BM1586" s="14"/>
      <c r="BN1586" s="14"/>
      <c r="BO1586" s="14"/>
      <c r="BP1586" s="14"/>
      <c r="BQ1586" s="14"/>
      <c r="BR1586" s="14"/>
      <c r="BS1586" s="14"/>
      <c r="BT1586" s="324"/>
      <c r="BU1586" s="14"/>
      <c r="BV1586" s="14"/>
      <c r="BW1586" s="14"/>
      <c r="BX1586" s="14"/>
      <c r="BY1586" s="14"/>
      <c r="BZ1586" s="14"/>
      <c r="CA1586" s="14"/>
      <c r="CB1586" s="14"/>
      <c r="CC1586" s="14"/>
      <c r="CD1586" s="14"/>
      <c r="CE1586" s="14"/>
      <c r="CF1586" s="14"/>
      <c r="CG1586" s="14"/>
      <c r="CH1586" s="14"/>
      <c r="CI1586" s="14"/>
      <c r="CJ1586" s="2"/>
      <c r="CK1586" s="2"/>
      <c r="CM1586" s="1450"/>
      <c r="CN1586" s="1450"/>
      <c r="CY1586" s="330"/>
    </row>
    <row r="1587" spans="1:104" ht="15" customHeight="1" x14ac:dyDescent="0.25">
      <c r="A1587" s="684">
        <f>MAX($A$6:A1586)+1</f>
        <v>1587</v>
      </c>
      <c r="B1587" s="3">
        <f>B1585</f>
        <v>17.100000000000001</v>
      </c>
      <c r="C1587" s="11" t="str">
        <f>C1585</f>
        <v>Quantitative disclosures around right-of-use assets</v>
      </c>
      <c r="D1587" s="11" t="s">
        <v>196</v>
      </c>
      <c r="E1587" s="7" t="str">
        <f>"At"&amp;Update!$B$20</f>
        <v>At 1 April 2025</v>
      </c>
      <c r="F1587" s="7"/>
      <c r="G1587" s="7" t="str">
        <f>"At"&amp;Update!$B$20</f>
        <v>At 1 April 2025</v>
      </c>
      <c r="H1587" s="6">
        <v>916</v>
      </c>
      <c r="I1587" s="6">
        <v>0</v>
      </c>
      <c r="J1587" s="7" t="str">
        <f>"At"&amp;Update!$B$20</f>
        <v>At 1 April 2025</v>
      </c>
      <c r="K1587" s="6">
        <f>SUMIF('alb Note 16  Leases'!$B$12:$B$20,$J1587,'alb Note 16  Leases'!$D$12:$D$20)</f>
        <v>0</v>
      </c>
      <c r="L1587" s="6">
        <f>SUMIF('alb Note 16  Leases'!$B$12:$B$20,$J1587,'alb Note 16  Leases'!$N$12:$N$20)</f>
        <v>0</v>
      </c>
      <c r="M1587" s="10"/>
      <c r="N1587" s="273">
        <f t="shared" ref="N1587:N1619" si="924">ROUND(SUM(O1587:S1587)+T1587+SUM(Z1587:AV1587),0)</f>
        <v>916</v>
      </c>
      <c r="O1587" s="12"/>
      <c r="P1587" s="12"/>
      <c r="Q1587" s="12"/>
      <c r="R1587" s="12"/>
      <c r="S1587" s="6">
        <f t="shared" ref="S1587:S1619" si="925">-IF(ISNUMBER(BD1587),BD1587,0)</f>
        <v>0</v>
      </c>
      <c r="T1587" s="273">
        <f t="shared" si="917"/>
        <v>916</v>
      </c>
      <c r="U1587" s="6">
        <f t="shared" si="914"/>
        <v>0</v>
      </c>
      <c r="V1587" s="6"/>
      <c r="W1587" s="6">
        <f t="shared" si="918"/>
        <v>916</v>
      </c>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X1587" s="6"/>
      <c r="AY1587" s="6">
        <f>ROUND(AX1587/1000/Update!$B$31*Update!$B$27,0)</f>
        <v>0</v>
      </c>
      <c r="BA1587" s="6"/>
      <c r="BB1587" s="6">
        <f>ROUND(BA1587/1000/Update!$B$31,0)</f>
        <v>0</v>
      </c>
      <c r="BC1587" s="6"/>
      <c r="BD1587" s="29">
        <f t="shared" si="919"/>
        <v>0</v>
      </c>
      <c r="BE1587" s="317"/>
      <c r="BF1587" s="317"/>
      <c r="BG1587" s="317"/>
      <c r="BH1587" s="317"/>
      <c r="BI1587" s="317"/>
      <c r="BJ1587" s="317"/>
      <c r="BK1587" s="29">
        <f t="shared" si="916"/>
        <v>0</v>
      </c>
      <c r="BL1587" s="317"/>
      <c r="BM1587" s="317"/>
      <c r="BN1587" s="317"/>
      <c r="BO1587" s="317"/>
      <c r="BP1587" s="317"/>
      <c r="BQ1587" s="317"/>
      <c r="BR1587" s="317"/>
      <c r="BS1587" s="317"/>
      <c r="BT1587" s="317"/>
      <c r="BU1587" s="317"/>
      <c r="BV1587" s="317"/>
      <c r="BW1587" s="317"/>
      <c r="BX1587" s="317"/>
      <c r="BY1587" s="317"/>
      <c r="BZ1587" s="317"/>
      <c r="CA1587" s="317"/>
      <c r="CB1587" s="317"/>
      <c r="CC1587" s="317"/>
      <c r="CD1587" s="317"/>
      <c r="CE1587" s="317"/>
      <c r="CF1587" s="317"/>
      <c r="CG1587" s="317"/>
      <c r="CH1587" s="317"/>
      <c r="CI1587" s="317"/>
      <c r="CM1587" s="1139">
        <f t="shared" si="898"/>
        <v>0</v>
      </c>
      <c r="CN1587" s="1139">
        <v>0</v>
      </c>
      <c r="CP1587" s="923">
        <f t="shared" si="895"/>
        <v>0</v>
      </c>
      <c r="CZ1587" s="330"/>
    </row>
    <row r="1588" spans="1:104" ht="15" customHeight="1" x14ac:dyDescent="0.25">
      <c r="A1588" s="684">
        <f>MAX($A$6:A1587)+1</f>
        <v>1588</v>
      </c>
      <c r="B1588" s="3">
        <f t="shared" ref="B1588:C1590" si="926">B1587</f>
        <v>17.100000000000001</v>
      </c>
      <c r="C1588" s="11" t="str">
        <f t="shared" si="926"/>
        <v>Quantitative disclosures around right-of-use assets</v>
      </c>
      <c r="D1588" s="11" t="s">
        <v>196</v>
      </c>
      <c r="E1588" s="7" t="s">
        <v>185</v>
      </c>
      <c r="F1588" s="1267"/>
      <c r="G1588" s="1254" t="s">
        <v>185</v>
      </c>
      <c r="H1588" s="6">
        <v>0</v>
      </c>
      <c r="I1588" s="6">
        <v>0</v>
      </c>
      <c r="J1588" s="1254" t="s">
        <v>185</v>
      </c>
      <c r="K1588" s="6">
        <f>SUMIF('alb Note 16  Leases'!$B$12:$B$20,$J1588,'alb Note 16  Leases'!$D$12:$D$20)</f>
        <v>0</v>
      </c>
      <c r="L1588" s="6">
        <f>SUMIF('alb Note 16  Leases'!$B$12:$B$20,$J1588,'alb Note 16  Leases'!$N$12:$N$20)</f>
        <v>0</v>
      </c>
      <c r="M1588" s="10"/>
      <c r="N1588" s="273">
        <f t="shared" si="924"/>
        <v>0</v>
      </c>
      <c r="O1588" s="12"/>
      <c r="P1588" s="12"/>
      <c r="Q1588" s="12"/>
      <c r="R1588" s="12"/>
      <c r="S1588" s="6">
        <f t="shared" si="925"/>
        <v>0</v>
      </c>
      <c r="T1588" s="273">
        <f t="shared" si="917"/>
        <v>0</v>
      </c>
      <c r="U1588" s="6">
        <f t="shared" ref="U1588:U1603" si="927">SUM(BL1588:BN1588)</f>
        <v>0</v>
      </c>
      <c r="V1588" s="6"/>
      <c r="W1588" s="6">
        <f t="shared" si="918"/>
        <v>0</v>
      </c>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X1588" s="6"/>
      <c r="AY1588" s="6">
        <f>ROUND(AX1588/1000/Update!$B$31*Update!$B$27,0)</f>
        <v>0</v>
      </c>
      <c r="BA1588" s="6"/>
      <c r="BB1588" s="6">
        <f>ROUND(BA1588/1000/Update!$B$31,0)</f>
        <v>0</v>
      </c>
      <c r="BC1588" s="6"/>
      <c r="BD1588" s="29">
        <f t="shared" si="919"/>
        <v>0</v>
      </c>
      <c r="BE1588" s="322"/>
      <c r="BF1588" s="322"/>
      <c r="BG1588" s="322"/>
      <c r="BH1588" s="322"/>
      <c r="BI1588" s="322"/>
      <c r="BJ1588" s="322"/>
      <c r="BK1588" s="29">
        <f t="shared" si="916"/>
        <v>0</v>
      </c>
      <c r="BL1588" s="317"/>
      <c r="BM1588" s="317"/>
      <c r="BN1588" s="317"/>
      <c r="BO1588" s="317"/>
      <c r="BP1588" s="317"/>
      <c r="BQ1588" s="317"/>
      <c r="BR1588" s="317"/>
      <c r="BS1588" s="317"/>
      <c r="BT1588" s="317"/>
      <c r="BU1588" s="317"/>
      <c r="BV1588" s="317"/>
      <c r="BW1588" s="317"/>
      <c r="BX1588" s="317"/>
      <c r="BY1588" s="317"/>
      <c r="BZ1588" s="317"/>
      <c r="CA1588" s="317"/>
      <c r="CB1588" s="317"/>
      <c r="CC1588" s="317"/>
      <c r="CD1588" s="317"/>
      <c r="CE1588" s="317"/>
      <c r="CF1588" s="317"/>
      <c r="CG1588" s="317"/>
      <c r="CH1588" s="317"/>
      <c r="CI1588" s="317"/>
      <c r="CM1588" s="1139">
        <f t="shared" si="898"/>
        <v>0</v>
      </c>
      <c r="CN1588" s="1139">
        <v>0</v>
      </c>
      <c r="CP1588" s="923">
        <f t="shared" si="895"/>
        <v>0</v>
      </c>
      <c r="CZ1588" s="330"/>
    </row>
    <row r="1589" spans="1:104" ht="15" customHeight="1" x14ac:dyDescent="0.25">
      <c r="A1589" s="684">
        <f>MAX($A$6:A1588)+1</f>
        <v>1589</v>
      </c>
      <c r="B1589" s="3">
        <f t="shared" si="926"/>
        <v>17.100000000000001</v>
      </c>
      <c r="C1589" s="11" t="str">
        <f t="shared" si="926"/>
        <v>Quantitative disclosures around right-of-use assets</v>
      </c>
      <c r="D1589" s="11" t="s">
        <v>196</v>
      </c>
      <c r="E1589" s="7" t="s">
        <v>208</v>
      </c>
      <c r="F1589" s="1267"/>
      <c r="G1589" s="1254" t="s">
        <v>208</v>
      </c>
      <c r="H1589" s="6">
        <v>0</v>
      </c>
      <c r="I1589" s="6">
        <v>0</v>
      </c>
      <c r="J1589" s="1254" t="s">
        <v>208</v>
      </c>
      <c r="K1589" s="6">
        <f>SUMIF('alb Note 16  Leases'!$B$12:$B$20,$J1589,'alb Note 16  Leases'!$D$12:$D$20)</f>
        <v>0</v>
      </c>
      <c r="L1589" s="6">
        <f>SUMIF('alb Note 16  Leases'!$B$12:$B$20,$J1589,'alb Note 16  Leases'!$N$12:$N$20)</f>
        <v>0</v>
      </c>
      <c r="M1589" s="10"/>
      <c r="N1589" s="273">
        <f t="shared" si="924"/>
        <v>0</v>
      </c>
      <c r="O1589" s="12"/>
      <c r="P1589" s="12"/>
      <c r="Q1589" s="12"/>
      <c r="R1589" s="12"/>
      <c r="S1589" s="6">
        <f t="shared" si="925"/>
        <v>0</v>
      </c>
      <c r="T1589" s="273">
        <f t="shared" si="917"/>
        <v>0</v>
      </c>
      <c r="U1589" s="6">
        <f t="shared" si="927"/>
        <v>0</v>
      </c>
      <c r="V1589" s="6"/>
      <c r="W1589" s="6">
        <f t="shared" si="918"/>
        <v>0</v>
      </c>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X1589" s="6"/>
      <c r="AY1589" s="6">
        <f>ROUND(AX1589/1000/Update!$B$31*Update!$B$27,0)</f>
        <v>0</v>
      </c>
      <c r="BA1589" s="6"/>
      <c r="BB1589" s="6">
        <f>ROUND(BA1589/1000/Update!$B$31,0)</f>
        <v>0</v>
      </c>
      <c r="BC1589" s="6"/>
      <c r="BD1589" s="29">
        <f t="shared" si="919"/>
        <v>0</v>
      </c>
      <c r="BE1589" s="322"/>
      <c r="BF1589" s="322"/>
      <c r="BG1589" s="322"/>
      <c r="BH1589" s="322"/>
      <c r="BI1589" s="322"/>
      <c r="BJ1589" s="322"/>
      <c r="BK1589" s="29">
        <f t="shared" si="916"/>
        <v>0</v>
      </c>
      <c r="BL1589" s="317"/>
      <c r="BM1589" s="317"/>
      <c r="BN1589" s="317"/>
      <c r="BO1589" s="317"/>
      <c r="BP1589" s="317"/>
      <c r="BQ1589" s="317"/>
      <c r="BR1589" s="317"/>
      <c r="BS1589" s="317"/>
      <c r="BT1589" s="317"/>
      <c r="BU1589" s="317"/>
      <c r="BV1589" s="317"/>
      <c r="BW1589" s="317"/>
      <c r="BX1589" s="317"/>
      <c r="BY1589" s="317"/>
      <c r="BZ1589" s="317"/>
      <c r="CA1589" s="317"/>
      <c r="CB1589" s="317"/>
      <c r="CC1589" s="317"/>
      <c r="CD1589" s="317"/>
      <c r="CE1589" s="317"/>
      <c r="CF1589" s="317"/>
      <c r="CG1589" s="317"/>
      <c r="CH1589" s="317"/>
      <c r="CI1589" s="317"/>
      <c r="CM1589" s="1139">
        <f t="shared" si="898"/>
        <v>0</v>
      </c>
      <c r="CN1589" s="1139">
        <v>0</v>
      </c>
      <c r="CP1589" s="923">
        <f t="shared" si="895"/>
        <v>0</v>
      </c>
      <c r="CZ1589" s="330"/>
    </row>
    <row r="1590" spans="1:104" ht="15" customHeight="1" x14ac:dyDescent="0.25">
      <c r="A1590" s="684">
        <f>MAX($A$6:A1589)+1</f>
        <v>1590</v>
      </c>
      <c r="B1590" s="3">
        <f t="shared" si="926"/>
        <v>17.100000000000001</v>
      </c>
      <c r="C1590" s="11" t="str">
        <f t="shared" si="926"/>
        <v>Quantitative disclosures around right-of-use assets</v>
      </c>
      <c r="D1590" s="11" t="s">
        <v>196</v>
      </c>
      <c r="E1590" s="7" t="s">
        <v>186</v>
      </c>
      <c r="F1590" s="1267"/>
      <c r="G1590" s="7" t="s">
        <v>186</v>
      </c>
      <c r="H1590" s="6">
        <v>0</v>
      </c>
      <c r="I1590" s="6">
        <v>0</v>
      </c>
      <c r="J1590" s="7" t="s">
        <v>186</v>
      </c>
      <c r="K1590" s="6">
        <f>SUMIF('alb Note 16  Leases'!$B$12:$B$20,$J1590,'alb Note 16  Leases'!$D$12:$D$20)</f>
        <v>0</v>
      </c>
      <c r="L1590" s="6">
        <f>SUMIF('alb Note 16  Leases'!$B$12:$B$20,$J1590,'alb Note 16  Leases'!$N$12:$N$20)</f>
        <v>0</v>
      </c>
      <c r="M1590" s="10"/>
      <c r="N1590" s="273">
        <f t="shared" si="924"/>
        <v>0</v>
      </c>
      <c r="O1590" s="12"/>
      <c r="P1590" s="12"/>
      <c r="Q1590" s="12"/>
      <c r="R1590" s="12"/>
      <c r="S1590" s="6">
        <f t="shared" si="925"/>
        <v>0</v>
      </c>
      <c r="T1590" s="273">
        <f t="shared" si="917"/>
        <v>0</v>
      </c>
      <c r="U1590" s="6">
        <f t="shared" si="927"/>
        <v>0</v>
      </c>
      <c r="V1590" s="6"/>
      <c r="W1590" s="6">
        <f t="shared" si="918"/>
        <v>0</v>
      </c>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X1590" s="6"/>
      <c r="AY1590" s="6">
        <f>ROUND(AX1590/1000/Update!$B$31*Update!$B$27,0)</f>
        <v>0</v>
      </c>
      <c r="BA1590" s="6"/>
      <c r="BB1590" s="6">
        <f>ROUND(BA1590/1000/Update!$B$31,0)</f>
        <v>0</v>
      </c>
      <c r="BC1590" s="6"/>
      <c r="BD1590" s="29">
        <f t="shared" si="919"/>
        <v>0</v>
      </c>
      <c r="BE1590" s="322"/>
      <c r="BF1590" s="322"/>
      <c r="BG1590" s="322"/>
      <c r="BH1590" s="322"/>
      <c r="BI1590" s="322"/>
      <c r="BJ1590" s="322"/>
      <c r="BK1590" s="29">
        <f t="shared" si="916"/>
        <v>0</v>
      </c>
      <c r="BL1590" s="317"/>
      <c r="BM1590" s="317"/>
      <c r="BN1590" s="317"/>
      <c r="BO1590" s="317"/>
      <c r="BP1590" s="317"/>
      <c r="BQ1590" s="317"/>
      <c r="BR1590" s="317"/>
      <c r="BS1590" s="317"/>
      <c r="BT1590" s="317"/>
      <c r="BU1590" s="317"/>
      <c r="BV1590" s="317"/>
      <c r="BW1590" s="317"/>
      <c r="BX1590" s="317"/>
      <c r="BY1590" s="317"/>
      <c r="BZ1590" s="317"/>
      <c r="CA1590" s="317"/>
      <c r="CB1590" s="317"/>
      <c r="CC1590" s="317"/>
      <c r="CD1590" s="317"/>
      <c r="CE1590" s="317"/>
      <c r="CF1590" s="317"/>
      <c r="CG1590" s="317"/>
      <c r="CH1590" s="317"/>
      <c r="CI1590" s="317"/>
      <c r="CM1590" s="1139">
        <f t="shared" si="898"/>
        <v>0</v>
      </c>
      <c r="CN1590" s="1139">
        <v>0</v>
      </c>
      <c r="CP1590" s="923">
        <f t="shared" si="895"/>
        <v>0</v>
      </c>
      <c r="CZ1590" s="330"/>
    </row>
    <row r="1591" spans="1:104" ht="15" customHeight="1" x14ac:dyDescent="0.25">
      <c r="A1591" s="684">
        <f>MAX($A$6:A1590)+1</f>
        <v>1591</v>
      </c>
      <c r="B1591" s="3">
        <f>B1590</f>
        <v>17.100000000000001</v>
      </c>
      <c r="C1591" s="11" t="str">
        <f>C1590</f>
        <v>Quantitative disclosures around right-of-use assets</v>
      </c>
      <c r="D1591" s="11" t="s">
        <v>196</v>
      </c>
      <c r="E1591" s="7" t="s">
        <v>187</v>
      </c>
      <c r="F1591" s="7"/>
      <c r="G1591" s="7" t="s">
        <v>187</v>
      </c>
      <c r="H1591" s="6">
        <v>0</v>
      </c>
      <c r="I1591" s="6">
        <v>0</v>
      </c>
      <c r="J1591" s="7" t="s">
        <v>187</v>
      </c>
      <c r="K1591" s="6">
        <f>SUMIF('alb Note 16  Leases'!$B$12:$B$20,$J1591,'alb Note 16  Leases'!$D$12:$D$20)</f>
        <v>0</v>
      </c>
      <c r="L1591" s="6">
        <f>SUMIF('alb Note 16  Leases'!$B$12:$B$20,$J1591,'alb Note 16  Leases'!$N$12:$N$20)</f>
        <v>0</v>
      </c>
      <c r="M1591" s="10"/>
      <c r="N1591" s="273">
        <f t="shared" si="924"/>
        <v>0</v>
      </c>
      <c r="O1591" s="12"/>
      <c r="P1591" s="12"/>
      <c r="Q1591" s="12"/>
      <c r="R1591" s="12"/>
      <c r="S1591" s="6">
        <f t="shared" si="925"/>
        <v>0</v>
      </c>
      <c r="T1591" s="273">
        <f t="shared" si="917"/>
        <v>0</v>
      </c>
      <c r="U1591" s="6">
        <f t="shared" si="927"/>
        <v>0</v>
      </c>
      <c r="V1591" s="6"/>
      <c r="W1591" s="6">
        <f t="shared" si="918"/>
        <v>0</v>
      </c>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X1591" s="6"/>
      <c r="AY1591" s="6">
        <f>ROUND(AX1591/1000/Update!$B$31*Update!$B$27,0)</f>
        <v>0</v>
      </c>
      <c r="BA1591" s="6"/>
      <c r="BB1591" s="6">
        <f>ROUND(BA1591/1000/Update!$B$31,0)</f>
        <v>0</v>
      </c>
      <c r="BC1591" s="6"/>
      <c r="BD1591" s="29">
        <f t="shared" si="919"/>
        <v>0</v>
      </c>
      <c r="BE1591" s="317"/>
      <c r="BF1591" s="317"/>
      <c r="BG1591" s="317"/>
      <c r="BH1591" s="317"/>
      <c r="BI1591" s="317"/>
      <c r="BJ1591" s="317"/>
      <c r="BK1591" s="29">
        <f t="shared" si="916"/>
        <v>0</v>
      </c>
      <c r="BL1591" s="317"/>
      <c r="BM1591" s="317"/>
      <c r="BN1591" s="317"/>
      <c r="BO1591" s="317"/>
      <c r="BP1591" s="317"/>
      <c r="BQ1591" s="317"/>
      <c r="BR1591" s="317"/>
      <c r="BS1591" s="317"/>
      <c r="BT1591" s="317"/>
      <c r="BU1591" s="317"/>
      <c r="BV1591" s="317"/>
      <c r="BW1591" s="317"/>
      <c r="BX1591" s="317"/>
      <c r="BY1591" s="317"/>
      <c r="BZ1591" s="317"/>
      <c r="CA1591" s="317"/>
      <c r="CB1591" s="317"/>
      <c r="CC1591" s="317"/>
      <c r="CD1591" s="317"/>
      <c r="CE1591" s="317"/>
      <c r="CF1591" s="317"/>
      <c r="CG1591" s="317"/>
      <c r="CH1591" s="317"/>
      <c r="CI1591" s="317"/>
      <c r="CM1591" s="1139">
        <f t="shared" si="898"/>
        <v>0</v>
      </c>
      <c r="CN1591" s="1139">
        <v>0</v>
      </c>
      <c r="CP1591" s="923">
        <f t="shared" si="895"/>
        <v>0</v>
      </c>
      <c r="CZ1591" s="330"/>
    </row>
    <row r="1592" spans="1:104" ht="15" customHeight="1" x14ac:dyDescent="0.25">
      <c r="A1592" s="684">
        <f>MAX($A$6:A1591)+1</f>
        <v>1592</v>
      </c>
      <c r="B1592" s="3">
        <f t="shared" ref="B1592:C1594" si="928">B1591</f>
        <v>17.100000000000001</v>
      </c>
      <c r="C1592" s="11" t="str">
        <f t="shared" si="928"/>
        <v>Quantitative disclosures around right-of-use assets</v>
      </c>
      <c r="D1592" s="11" t="s">
        <v>196</v>
      </c>
      <c r="E1592" s="7" t="s">
        <v>189</v>
      </c>
      <c r="F1592" s="1267"/>
      <c r="G1592" s="1254" t="s">
        <v>189</v>
      </c>
      <c r="H1592" s="6">
        <v>0</v>
      </c>
      <c r="I1592" s="6">
        <v>0</v>
      </c>
      <c r="J1592" s="1254" t="s">
        <v>189</v>
      </c>
      <c r="K1592" s="6">
        <f>SUMIF('alb Note 16  Leases'!$B$12:$B$20,$J1592,'alb Note 16  Leases'!$D$12:$D$20)</f>
        <v>0</v>
      </c>
      <c r="L1592" s="6">
        <f>SUMIF('alb Note 16  Leases'!$B$12:$B$20,$J1592,'alb Note 16  Leases'!$N$12:$N$20)</f>
        <v>0</v>
      </c>
      <c r="M1592" s="10"/>
      <c r="N1592" s="273">
        <f t="shared" si="924"/>
        <v>0</v>
      </c>
      <c r="O1592" s="12"/>
      <c r="P1592" s="12"/>
      <c r="Q1592" s="12"/>
      <c r="R1592" s="12"/>
      <c r="S1592" s="6">
        <f t="shared" si="925"/>
        <v>0</v>
      </c>
      <c r="T1592" s="273">
        <f t="shared" si="917"/>
        <v>0</v>
      </c>
      <c r="U1592" s="6">
        <f t="shared" si="927"/>
        <v>0</v>
      </c>
      <c r="V1592" s="6"/>
      <c r="W1592" s="6">
        <f t="shared" si="918"/>
        <v>0</v>
      </c>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X1592" s="6"/>
      <c r="AY1592" s="6">
        <f>ROUND(AX1592/1000/Update!$B$31*Update!$B$27,0)</f>
        <v>0</v>
      </c>
      <c r="BA1592" s="6"/>
      <c r="BB1592" s="6">
        <f>ROUND(BA1592/1000/Update!$B$31,0)</f>
        <v>0</v>
      </c>
      <c r="BC1592" s="6"/>
      <c r="BD1592" s="29">
        <f t="shared" si="919"/>
        <v>0</v>
      </c>
      <c r="BE1592" s="322"/>
      <c r="BF1592" s="322"/>
      <c r="BG1592" s="322"/>
      <c r="BH1592" s="322"/>
      <c r="BI1592" s="322"/>
      <c r="BJ1592" s="322"/>
      <c r="BK1592" s="29">
        <f t="shared" si="916"/>
        <v>0</v>
      </c>
      <c r="BL1592" s="317"/>
      <c r="BM1592" s="317"/>
      <c r="BN1592" s="317"/>
      <c r="BO1592" s="317"/>
      <c r="BP1592" s="317"/>
      <c r="BQ1592" s="317"/>
      <c r="BR1592" s="317"/>
      <c r="BS1592" s="317"/>
      <c r="BT1592" s="317"/>
      <c r="BU1592" s="317"/>
      <c r="BV1592" s="317"/>
      <c r="BW1592" s="317"/>
      <c r="BX1592" s="317"/>
      <c r="BY1592" s="317"/>
      <c r="BZ1592" s="317"/>
      <c r="CA1592" s="317"/>
      <c r="CB1592" s="317"/>
      <c r="CC1592" s="317"/>
      <c r="CD1592" s="317"/>
      <c r="CE1592" s="317"/>
      <c r="CF1592" s="317"/>
      <c r="CG1592" s="317"/>
      <c r="CH1592" s="317"/>
      <c r="CI1592" s="317"/>
      <c r="CM1592" s="1139">
        <f t="shared" si="898"/>
        <v>0</v>
      </c>
      <c r="CN1592" s="1139">
        <v>0</v>
      </c>
      <c r="CP1592" s="923">
        <f t="shared" si="895"/>
        <v>0</v>
      </c>
      <c r="CZ1592" s="330"/>
    </row>
    <row r="1593" spans="1:104" ht="15" customHeight="1" x14ac:dyDescent="0.25">
      <c r="A1593" s="684">
        <f>MAX($A$6:A1592)+1</f>
        <v>1593</v>
      </c>
      <c r="B1593" s="3">
        <f t="shared" si="928"/>
        <v>17.100000000000001</v>
      </c>
      <c r="C1593" s="11" t="str">
        <f t="shared" si="928"/>
        <v>Quantitative disclosures around right-of-use assets</v>
      </c>
      <c r="D1593" s="11" t="s">
        <v>196</v>
      </c>
      <c r="E1593" s="7" t="s">
        <v>191</v>
      </c>
      <c r="F1593" s="1267"/>
      <c r="G1593" s="1254" t="s">
        <v>191</v>
      </c>
      <c r="H1593" s="6">
        <v>0</v>
      </c>
      <c r="I1593" s="6">
        <v>0</v>
      </c>
      <c r="J1593" s="1254" t="s">
        <v>191</v>
      </c>
      <c r="K1593" s="6">
        <f>SUMIF('alb Note 16  Leases'!$B$12:$B$20,$J1593,'alb Note 16  Leases'!$D$12:$D$20)</f>
        <v>0</v>
      </c>
      <c r="L1593" s="6">
        <f>SUMIF('alb Note 16  Leases'!$B$12:$B$20,$J1593,'alb Note 16  Leases'!$N$12:$N$20)</f>
        <v>0</v>
      </c>
      <c r="M1593" s="10"/>
      <c r="N1593" s="273">
        <f t="shared" si="924"/>
        <v>0</v>
      </c>
      <c r="O1593" s="12"/>
      <c r="P1593" s="12"/>
      <c r="Q1593" s="12"/>
      <c r="R1593" s="12"/>
      <c r="S1593" s="6">
        <f t="shared" si="925"/>
        <v>0</v>
      </c>
      <c r="T1593" s="273">
        <f t="shared" si="917"/>
        <v>0</v>
      </c>
      <c r="U1593" s="6">
        <f t="shared" si="927"/>
        <v>0</v>
      </c>
      <c r="V1593" s="6"/>
      <c r="W1593" s="6">
        <f t="shared" si="918"/>
        <v>0</v>
      </c>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X1593" s="6"/>
      <c r="AY1593" s="6">
        <f>ROUND(AX1593/1000/Update!$B$31*Update!$B$27,0)</f>
        <v>0</v>
      </c>
      <c r="BA1593" s="6"/>
      <c r="BB1593" s="6">
        <f>ROUND(BA1593/1000/Update!$B$31,0)</f>
        <v>0</v>
      </c>
      <c r="BC1593" s="6"/>
      <c r="BD1593" s="29">
        <f t="shared" si="919"/>
        <v>0</v>
      </c>
      <c r="BE1593" s="322"/>
      <c r="BF1593" s="322"/>
      <c r="BG1593" s="322"/>
      <c r="BH1593" s="322"/>
      <c r="BI1593" s="322"/>
      <c r="BJ1593" s="322"/>
      <c r="BK1593" s="29">
        <f t="shared" si="916"/>
        <v>0</v>
      </c>
      <c r="BL1593" s="317"/>
      <c r="BM1593" s="317"/>
      <c r="BN1593" s="317"/>
      <c r="BO1593" s="317"/>
      <c r="BP1593" s="317"/>
      <c r="BQ1593" s="317"/>
      <c r="BR1593" s="317"/>
      <c r="BS1593" s="317"/>
      <c r="BT1593" s="317"/>
      <c r="BU1593" s="317"/>
      <c r="BV1593" s="317"/>
      <c r="BW1593" s="317"/>
      <c r="BX1593" s="317"/>
      <c r="BY1593" s="317"/>
      <c r="BZ1593" s="317"/>
      <c r="CA1593" s="317"/>
      <c r="CB1593" s="317"/>
      <c r="CC1593" s="317"/>
      <c r="CD1593" s="317"/>
      <c r="CE1593" s="317"/>
      <c r="CF1593" s="317"/>
      <c r="CG1593" s="317"/>
      <c r="CH1593" s="317"/>
      <c r="CI1593" s="317"/>
      <c r="CM1593" s="1139">
        <f t="shared" si="898"/>
        <v>0</v>
      </c>
      <c r="CN1593" s="1139">
        <v>0</v>
      </c>
      <c r="CP1593" s="923">
        <f t="shared" si="895"/>
        <v>0</v>
      </c>
      <c r="CZ1593" s="330"/>
    </row>
    <row r="1594" spans="1:104" ht="15" customHeight="1" x14ac:dyDescent="0.25">
      <c r="A1594" s="684">
        <f>MAX($A$6:A1593)+1</f>
        <v>1594</v>
      </c>
      <c r="B1594" s="3">
        <f t="shared" si="928"/>
        <v>17.100000000000001</v>
      </c>
      <c r="C1594" s="11" t="str">
        <f t="shared" si="928"/>
        <v>Quantitative disclosures around right-of-use assets</v>
      </c>
      <c r="D1594" s="11" t="s">
        <v>196</v>
      </c>
      <c r="E1594" s="7" t="s">
        <v>2488</v>
      </c>
      <c r="F1594" s="1267"/>
      <c r="G1594" s="7" t="s">
        <v>2488</v>
      </c>
      <c r="H1594" s="6">
        <v>0</v>
      </c>
      <c r="I1594" s="6">
        <v>0</v>
      </c>
      <c r="J1594" s="7" t="s">
        <v>2488</v>
      </c>
      <c r="K1594" s="6">
        <f>SUMIF('alb Note 16  Leases'!$B$12:$B$20,$J1594,'alb Note 16  Leases'!$D$12:$D$20)</f>
        <v>0</v>
      </c>
      <c r="L1594" s="6">
        <f>SUMIF('alb Note 16  Leases'!$B$12:$B$20,$J1594,'alb Note 16  Leases'!$N$12:$N$20)</f>
        <v>0</v>
      </c>
      <c r="M1594" s="10"/>
      <c r="N1594" s="273">
        <f t="shared" si="924"/>
        <v>0</v>
      </c>
      <c r="O1594" s="12"/>
      <c r="P1594" s="12"/>
      <c r="Q1594" s="12"/>
      <c r="R1594" s="12"/>
      <c r="S1594" s="6">
        <f t="shared" si="925"/>
        <v>0</v>
      </c>
      <c r="T1594" s="273">
        <f t="shared" si="917"/>
        <v>0</v>
      </c>
      <c r="U1594" s="6">
        <f t="shared" si="927"/>
        <v>0</v>
      </c>
      <c r="V1594" s="6"/>
      <c r="W1594" s="6">
        <f t="shared" si="918"/>
        <v>0</v>
      </c>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X1594" s="6"/>
      <c r="AY1594" s="6">
        <f>ROUND(AX1594/1000/Update!$B$31*Update!$B$27,0)</f>
        <v>0</v>
      </c>
      <c r="BA1594" s="6"/>
      <c r="BB1594" s="6">
        <f>ROUND(BA1594/1000/Update!$B$31,0)</f>
        <v>0</v>
      </c>
      <c r="BC1594" s="6"/>
      <c r="BD1594" s="29">
        <f t="shared" si="919"/>
        <v>0</v>
      </c>
      <c r="BE1594" s="322"/>
      <c r="BF1594" s="322"/>
      <c r="BG1594" s="322"/>
      <c r="BH1594" s="322"/>
      <c r="BI1594" s="322"/>
      <c r="BJ1594" s="322"/>
      <c r="BK1594" s="29">
        <f t="shared" si="916"/>
        <v>0</v>
      </c>
      <c r="BL1594" s="317"/>
      <c r="BM1594" s="317"/>
      <c r="BN1594" s="317"/>
      <c r="BO1594" s="317"/>
      <c r="BP1594" s="317"/>
      <c r="BQ1594" s="317"/>
      <c r="BR1594" s="317"/>
      <c r="BS1594" s="317"/>
      <c r="BT1594" s="317"/>
      <c r="BU1594" s="317"/>
      <c r="BV1594" s="317"/>
      <c r="BW1594" s="317"/>
      <c r="BX1594" s="317"/>
      <c r="BY1594" s="317"/>
      <c r="BZ1594" s="317"/>
      <c r="CA1594" s="317"/>
      <c r="CB1594" s="317"/>
      <c r="CC1594" s="317"/>
      <c r="CD1594" s="317"/>
      <c r="CE1594" s="317"/>
      <c r="CF1594" s="317"/>
      <c r="CG1594" s="317"/>
      <c r="CH1594" s="317"/>
      <c r="CI1594" s="317"/>
      <c r="CM1594" s="1139">
        <f t="shared" si="898"/>
        <v>0</v>
      </c>
      <c r="CN1594" s="1139">
        <v>0</v>
      </c>
      <c r="CP1594" s="923">
        <f t="shared" si="895"/>
        <v>0</v>
      </c>
      <c r="CZ1594" s="330"/>
    </row>
    <row r="1595" spans="1:104" ht="15" customHeight="1" x14ac:dyDescent="0.25">
      <c r="A1595" s="684">
        <f>MAX($A$6:A1594)+1</f>
        <v>1595</v>
      </c>
      <c r="B1595" s="3">
        <f>B1594</f>
        <v>17.100000000000001</v>
      </c>
      <c r="C1595" s="11" t="str">
        <f>C1594</f>
        <v>Quantitative disclosures around right-of-use assets</v>
      </c>
      <c r="D1595" s="11" t="s">
        <v>196</v>
      </c>
      <c r="E1595" s="7" t="str">
        <f>"At"&amp;Update!$B$22</f>
        <v>At 31 March 2026</v>
      </c>
      <c r="F1595" s="7"/>
      <c r="G1595" s="7" t="str">
        <f>"At"&amp;Update!$B$22</f>
        <v>At 31 March 2026</v>
      </c>
      <c r="H1595" s="6">
        <v>916</v>
      </c>
      <c r="I1595" s="6">
        <v>0</v>
      </c>
      <c r="J1595" s="7" t="str">
        <f>"At"&amp;Update!$B$22</f>
        <v>At 31 March 2026</v>
      </c>
      <c r="K1595" s="6">
        <f>SUMIF('alb Note 16  Leases'!$B$12:$B$20,$J1595,'alb Note 16  Leases'!$D$12:$D$20)</f>
        <v>0</v>
      </c>
      <c r="L1595" s="6">
        <f>SUMIF('alb Note 16  Leases'!$B$12:$B$20,$J1595,'alb Note 16  Leases'!$N$12:$N$20)</f>
        <v>0</v>
      </c>
      <c r="M1595" s="10"/>
      <c r="N1595" s="273">
        <f t="shared" si="924"/>
        <v>916</v>
      </c>
      <c r="O1595" s="12"/>
      <c r="P1595" s="12"/>
      <c r="Q1595" s="12"/>
      <c r="R1595" s="12"/>
      <c r="S1595" s="6">
        <f t="shared" si="925"/>
        <v>0</v>
      </c>
      <c r="T1595" s="273">
        <f t="shared" si="917"/>
        <v>916</v>
      </c>
      <c r="U1595" s="6">
        <f t="shared" si="927"/>
        <v>0</v>
      </c>
      <c r="V1595" s="6"/>
      <c r="W1595" s="6">
        <f t="shared" si="918"/>
        <v>916</v>
      </c>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X1595" s="6"/>
      <c r="AY1595" s="6">
        <f>ROUND(AX1595/1000/Update!$B$31*Update!$B$27,0)</f>
        <v>0</v>
      </c>
      <c r="BA1595" s="6"/>
      <c r="BB1595" s="6">
        <f>ROUND(BA1595/1000/Update!$B$31,0)</f>
        <v>0</v>
      </c>
      <c r="BC1595" s="6"/>
      <c r="BD1595" s="29">
        <f t="shared" si="919"/>
        <v>0</v>
      </c>
      <c r="BE1595" s="317"/>
      <c r="BF1595" s="317"/>
      <c r="BG1595" s="317"/>
      <c r="BH1595" s="317"/>
      <c r="BI1595" s="317"/>
      <c r="BJ1595" s="317"/>
      <c r="BK1595" s="29">
        <f t="shared" si="916"/>
        <v>0</v>
      </c>
      <c r="BL1595" s="317"/>
      <c r="BM1595" s="317"/>
      <c r="BN1595" s="317"/>
      <c r="BO1595" s="317"/>
      <c r="BP1595" s="317"/>
      <c r="BQ1595" s="317"/>
      <c r="BR1595" s="317"/>
      <c r="BS1595" s="317"/>
      <c r="BT1595" s="317"/>
      <c r="BU1595" s="317"/>
      <c r="BV1595" s="317"/>
      <c r="BW1595" s="317"/>
      <c r="BX1595" s="317"/>
      <c r="BY1595" s="317"/>
      <c r="BZ1595" s="317"/>
      <c r="CA1595" s="317"/>
      <c r="CB1595" s="317"/>
      <c r="CC1595" s="317"/>
      <c r="CD1595" s="317"/>
      <c r="CE1595" s="317"/>
      <c r="CF1595" s="317"/>
      <c r="CG1595" s="317"/>
      <c r="CH1595" s="317"/>
      <c r="CI1595" s="317"/>
      <c r="CM1595" s="1139">
        <f t="shared" si="898"/>
        <v>0</v>
      </c>
      <c r="CN1595" s="1139">
        <v>0</v>
      </c>
      <c r="CP1595" s="923">
        <f t="shared" si="895"/>
        <v>0</v>
      </c>
      <c r="CZ1595" s="330"/>
    </row>
    <row r="1596" spans="1:104" ht="15" customHeight="1" x14ac:dyDescent="0.25">
      <c r="A1596" s="684">
        <f>MAX($A$6:A1595)+1</f>
        <v>1596</v>
      </c>
      <c r="B1596" s="3">
        <f t="shared" ref="B1596:C1598" si="929">B1595</f>
        <v>17.100000000000001</v>
      </c>
      <c r="C1596" s="11" t="str">
        <f t="shared" si="929"/>
        <v>Quantitative disclosures around right-of-use assets</v>
      </c>
      <c r="D1596" s="11" t="s">
        <v>196</v>
      </c>
      <c r="E1596" s="7" t="str">
        <f>"At"&amp;Update!$B$20</f>
        <v>At 1 April 2025</v>
      </c>
      <c r="F1596" s="1267"/>
      <c r="G1596" s="7" t="str">
        <f>"At"&amp;Update!$B$20</f>
        <v>At 1 April 2025</v>
      </c>
      <c r="H1596" s="6">
        <v>550</v>
      </c>
      <c r="I1596" s="6">
        <v>0</v>
      </c>
      <c r="J1596" s="7" t="str">
        <f>"At"&amp;Update!$B$20</f>
        <v>At 1 April 2025</v>
      </c>
      <c r="K1596" s="6">
        <f>SUMIF('alb Note 16  Leases'!$B$23:$B$30,$J1596,'alb Note 16  Leases'!$D$23:$D$30)</f>
        <v>0</v>
      </c>
      <c r="L1596" s="6">
        <f>SUMIF('alb Note 16  Leases'!$B$23:$B$30,$J1596,'alb Note 16  Leases'!$N$23:$N$30)</f>
        <v>0</v>
      </c>
      <c r="M1596" s="10"/>
      <c r="N1596" s="273">
        <f t="shared" si="924"/>
        <v>550</v>
      </c>
      <c r="O1596" s="12"/>
      <c r="P1596" s="12"/>
      <c r="Q1596" s="12"/>
      <c r="R1596" s="12"/>
      <c r="S1596" s="6">
        <f t="shared" si="925"/>
        <v>0</v>
      </c>
      <c r="T1596" s="273">
        <f t="shared" si="917"/>
        <v>550</v>
      </c>
      <c r="U1596" s="6">
        <f t="shared" si="927"/>
        <v>0</v>
      </c>
      <c r="V1596" s="6"/>
      <c r="W1596" s="6">
        <f t="shared" si="918"/>
        <v>550</v>
      </c>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X1596" s="6"/>
      <c r="AY1596" s="6">
        <f>ROUND(AX1596/1000/Update!$B$31*Update!$B$27,0)</f>
        <v>0</v>
      </c>
      <c r="BA1596" s="6"/>
      <c r="BB1596" s="6">
        <f>ROUND(BA1596/1000/Update!$B$31,0)</f>
        <v>0</v>
      </c>
      <c r="BC1596" s="6"/>
      <c r="BD1596" s="29">
        <f t="shared" si="919"/>
        <v>0</v>
      </c>
      <c r="BE1596" s="322"/>
      <c r="BF1596" s="322"/>
      <c r="BG1596" s="322"/>
      <c r="BH1596" s="322"/>
      <c r="BI1596" s="322"/>
      <c r="BJ1596" s="322"/>
      <c r="BK1596" s="29">
        <f t="shared" si="916"/>
        <v>0</v>
      </c>
      <c r="BL1596" s="317"/>
      <c r="BM1596" s="317"/>
      <c r="BN1596" s="317"/>
      <c r="BO1596" s="317"/>
      <c r="BP1596" s="317"/>
      <c r="BQ1596" s="317"/>
      <c r="BR1596" s="317"/>
      <c r="BS1596" s="317"/>
      <c r="BT1596" s="317"/>
      <c r="BU1596" s="317"/>
      <c r="BV1596" s="317"/>
      <c r="BW1596" s="317"/>
      <c r="BX1596" s="317"/>
      <c r="BY1596" s="317"/>
      <c r="BZ1596" s="317"/>
      <c r="CA1596" s="317"/>
      <c r="CB1596" s="317"/>
      <c r="CC1596" s="317"/>
      <c r="CD1596" s="317"/>
      <c r="CE1596" s="317"/>
      <c r="CF1596" s="317"/>
      <c r="CG1596" s="317"/>
      <c r="CH1596" s="317"/>
      <c r="CI1596" s="317"/>
      <c r="CM1596" s="1139">
        <f t="shared" si="898"/>
        <v>0</v>
      </c>
      <c r="CN1596" s="1139">
        <v>0</v>
      </c>
      <c r="CP1596" s="923">
        <f t="shared" si="895"/>
        <v>0</v>
      </c>
      <c r="CZ1596" s="330"/>
    </row>
    <row r="1597" spans="1:104" ht="15" customHeight="1" x14ac:dyDescent="0.25">
      <c r="A1597" s="684">
        <f>MAX($A$6:A1596)+1</f>
        <v>1597</v>
      </c>
      <c r="B1597" s="3">
        <f t="shared" si="929"/>
        <v>17.100000000000001</v>
      </c>
      <c r="C1597" s="11" t="str">
        <f t="shared" si="929"/>
        <v>Quantitative disclosures around right-of-use assets</v>
      </c>
      <c r="D1597" s="11" t="s">
        <v>196</v>
      </c>
      <c r="E1597" s="7" t="s">
        <v>2490</v>
      </c>
      <c r="F1597" s="1267"/>
      <c r="G1597" s="1254" t="s">
        <v>2490</v>
      </c>
      <c r="H1597" s="6">
        <v>0</v>
      </c>
      <c r="I1597" s="6">
        <v>0</v>
      </c>
      <c r="J1597" s="1254" t="s">
        <v>2490</v>
      </c>
      <c r="K1597" s="6">
        <f>SUMIF('alb Note 16  Leases'!$B$23:$B$30,$J1597,'alb Note 16  Leases'!$D$23:$D$30)</f>
        <v>0</v>
      </c>
      <c r="L1597" s="6">
        <f>SUMIF('alb Note 16  Leases'!$B$23:$B$30,$J1597,'alb Note 16  Leases'!$N$23:$N$30)</f>
        <v>0</v>
      </c>
      <c r="M1597" s="10"/>
      <c r="N1597" s="273">
        <f t="shared" si="924"/>
        <v>0</v>
      </c>
      <c r="O1597" s="12"/>
      <c r="P1597" s="12"/>
      <c r="Q1597" s="12"/>
      <c r="R1597" s="12"/>
      <c r="S1597" s="6">
        <f t="shared" si="925"/>
        <v>0</v>
      </c>
      <c r="T1597" s="273">
        <f t="shared" si="917"/>
        <v>0</v>
      </c>
      <c r="U1597" s="6">
        <f t="shared" si="927"/>
        <v>0</v>
      </c>
      <c r="V1597" s="6"/>
      <c r="W1597" s="6">
        <f t="shared" si="918"/>
        <v>0</v>
      </c>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X1597" s="6"/>
      <c r="AY1597" s="6">
        <f>ROUND(AX1597/1000/Update!$B$31*Update!$B$27,0)</f>
        <v>0</v>
      </c>
      <c r="BA1597" s="6"/>
      <c r="BB1597" s="6">
        <f>ROUND(BA1597/1000/Update!$B$31,0)</f>
        <v>0</v>
      </c>
      <c r="BC1597" s="6"/>
      <c r="BD1597" s="29">
        <f t="shared" si="919"/>
        <v>0</v>
      </c>
      <c r="BE1597" s="322"/>
      <c r="BF1597" s="322"/>
      <c r="BG1597" s="322"/>
      <c r="BH1597" s="322"/>
      <c r="BI1597" s="322"/>
      <c r="BJ1597" s="322"/>
      <c r="BK1597" s="29">
        <f t="shared" si="916"/>
        <v>0</v>
      </c>
      <c r="BL1597" s="317"/>
      <c r="BM1597" s="317"/>
      <c r="BN1597" s="317"/>
      <c r="BO1597" s="317"/>
      <c r="BP1597" s="317"/>
      <c r="BQ1597" s="317"/>
      <c r="BR1597" s="317"/>
      <c r="BS1597" s="317"/>
      <c r="BT1597" s="317"/>
      <c r="BU1597" s="317"/>
      <c r="BV1597" s="317"/>
      <c r="BW1597" s="317"/>
      <c r="BX1597" s="317"/>
      <c r="BY1597" s="317"/>
      <c r="BZ1597" s="317"/>
      <c r="CA1597" s="317"/>
      <c r="CB1597" s="317"/>
      <c r="CC1597" s="317"/>
      <c r="CD1597" s="317"/>
      <c r="CE1597" s="317"/>
      <c r="CF1597" s="317"/>
      <c r="CG1597" s="317"/>
      <c r="CH1597" s="317"/>
      <c r="CI1597" s="317"/>
      <c r="CM1597" s="1139">
        <f t="shared" si="898"/>
        <v>0</v>
      </c>
      <c r="CN1597" s="1139">
        <v>0</v>
      </c>
      <c r="CP1597" s="923">
        <f t="shared" si="895"/>
        <v>0</v>
      </c>
      <c r="CZ1597" s="330"/>
    </row>
    <row r="1598" spans="1:104" ht="15" customHeight="1" x14ac:dyDescent="0.25">
      <c r="A1598" s="684">
        <f>MAX($A$6:A1597)+1</f>
        <v>1598</v>
      </c>
      <c r="B1598" s="3">
        <f t="shared" si="929"/>
        <v>17.100000000000001</v>
      </c>
      <c r="C1598" s="11" t="str">
        <f t="shared" si="929"/>
        <v>Quantitative disclosures around right-of-use assets</v>
      </c>
      <c r="D1598" s="11" t="s">
        <v>196</v>
      </c>
      <c r="E1598" s="7" t="s">
        <v>190</v>
      </c>
      <c r="F1598" s="1267"/>
      <c r="G1598" s="7" t="s">
        <v>190</v>
      </c>
      <c r="H1598" s="6">
        <v>0</v>
      </c>
      <c r="I1598" s="6">
        <v>0</v>
      </c>
      <c r="J1598" s="7" t="s">
        <v>190</v>
      </c>
      <c r="K1598" s="6">
        <f>SUMIF('alb Note 16  Leases'!$B$23:$B$30,$J1598,'alb Note 16  Leases'!$D$23:$D$30)</f>
        <v>0</v>
      </c>
      <c r="L1598" s="6">
        <f>SUMIF('alb Note 16  Leases'!$B$23:$B$30,$J1598,'alb Note 16  Leases'!$N$23:$N$30)</f>
        <v>0</v>
      </c>
      <c r="M1598" s="10"/>
      <c r="N1598" s="273">
        <f t="shared" si="924"/>
        <v>0</v>
      </c>
      <c r="O1598" s="12"/>
      <c r="P1598" s="12"/>
      <c r="Q1598" s="12"/>
      <c r="R1598" s="12"/>
      <c r="S1598" s="6">
        <f t="shared" si="925"/>
        <v>0</v>
      </c>
      <c r="T1598" s="273">
        <f t="shared" si="917"/>
        <v>0</v>
      </c>
      <c r="U1598" s="6">
        <f t="shared" si="927"/>
        <v>0</v>
      </c>
      <c r="V1598" s="6"/>
      <c r="W1598" s="6">
        <f t="shared" si="918"/>
        <v>0</v>
      </c>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X1598" s="6"/>
      <c r="AY1598" s="6">
        <f>ROUND(AX1598/1000/Update!$B$31*Update!$B$27,0)</f>
        <v>0</v>
      </c>
      <c r="BA1598" s="6"/>
      <c r="BB1598" s="6">
        <f>ROUND(BA1598/1000/Update!$B$31,0)</f>
        <v>0</v>
      </c>
      <c r="BC1598" s="6"/>
      <c r="BD1598" s="29">
        <f t="shared" si="919"/>
        <v>0</v>
      </c>
      <c r="BE1598" s="322"/>
      <c r="BF1598" s="322"/>
      <c r="BG1598" s="322"/>
      <c r="BH1598" s="322"/>
      <c r="BI1598" s="322"/>
      <c r="BJ1598" s="322"/>
      <c r="BK1598" s="29">
        <f t="shared" si="916"/>
        <v>0</v>
      </c>
      <c r="BL1598" s="317"/>
      <c r="BM1598" s="317"/>
      <c r="BN1598" s="317"/>
      <c r="BO1598" s="317"/>
      <c r="BP1598" s="317"/>
      <c r="BQ1598" s="317"/>
      <c r="BR1598" s="317"/>
      <c r="BS1598" s="317"/>
      <c r="BT1598" s="317"/>
      <c r="BU1598" s="317"/>
      <c r="BV1598" s="317"/>
      <c r="BW1598" s="317"/>
      <c r="BX1598" s="317"/>
      <c r="BY1598" s="317"/>
      <c r="BZ1598" s="317"/>
      <c r="CA1598" s="317"/>
      <c r="CB1598" s="317"/>
      <c r="CC1598" s="317"/>
      <c r="CD1598" s="317"/>
      <c r="CE1598" s="317"/>
      <c r="CF1598" s="317"/>
      <c r="CG1598" s="317"/>
      <c r="CH1598" s="317"/>
      <c r="CI1598" s="317"/>
      <c r="CM1598" s="1139">
        <f t="shared" si="898"/>
        <v>0</v>
      </c>
      <c r="CN1598" s="1139">
        <v>0</v>
      </c>
      <c r="CP1598" s="923">
        <f t="shared" si="895"/>
        <v>0</v>
      </c>
      <c r="CZ1598" s="330"/>
    </row>
    <row r="1599" spans="1:104" ht="15" customHeight="1" x14ac:dyDescent="0.25">
      <c r="A1599" s="684">
        <f>MAX($A$6:A1598)+1</f>
        <v>1599</v>
      </c>
      <c r="B1599" s="3">
        <f>B1598</f>
        <v>17.100000000000001</v>
      </c>
      <c r="C1599" s="11" t="str">
        <f>C1598</f>
        <v>Quantitative disclosures around right-of-use assets</v>
      </c>
      <c r="D1599" s="11" t="s">
        <v>196</v>
      </c>
      <c r="E1599" s="7" t="s">
        <v>186</v>
      </c>
      <c r="F1599" s="7"/>
      <c r="G1599" s="7" t="s">
        <v>186</v>
      </c>
      <c r="H1599" s="6">
        <v>0</v>
      </c>
      <c r="I1599" s="6">
        <v>0</v>
      </c>
      <c r="J1599" s="7" t="s">
        <v>186</v>
      </c>
      <c r="K1599" s="6">
        <f>SUMIF('alb Note 16  Leases'!$B$23:$B$30,$J1599,'alb Note 16  Leases'!$D$23:$D$30)</f>
        <v>0</v>
      </c>
      <c r="L1599" s="6">
        <f>SUMIF('alb Note 16  Leases'!$B$23:$B$30,$J1599,'alb Note 16  Leases'!$N$23:$N$30)</f>
        <v>0</v>
      </c>
      <c r="M1599" s="10"/>
      <c r="N1599" s="273">
        <f t="shared" si="924"/>
        <v>0</v>
      </c>
      <c r="O1599" s="12"/>
      <c r="P1599" s="12"/>
      <c r="Q1599" s="12"/>
      <c r="R1599" s="12"/>
      <c r="S1599" s="6">
        <f t="shared" si="925"/>
        <v>0</v>
      </c>
      <c r="T1599" s="273">
        <f t="shared" si="917"/>
        <v>0</v>
      </c>
      <c r="U1599" s="6">
        <f t="shared" si="927"/>
        <v>0</v>
      </c>
      <c r="V1599" s="6"/>
      <c r="W1599" s="6">
        <f t="shared" si="918"/>
        <v>0</v>
      </c>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X1599" s="6"/>
      <c r="AY1599" s="6">
        <f>ROUND(AX1599/1000/Update!$B$31*Update!$B$27,0)</f>
        <v>0</v>
      </c>
      <c r="BA1599" s="6"/>
      <c r="BB1599" s="6">
        <f>ROUND(BA1599/1000/Update!$B$31,0)</f>
        <v>0</v>
      </c>
      <c r="BC1599" s="6"/>
      <c r="BD1599" s="29">
        <f t="shared" si="919"/>
        <v>0</v>
      </c>
      <c r="BE1599" s="317"/>
      <c r="BF1599" s="317"/>
      <c r="BG1599" s="317"/>
      <c r="BH1599" s="317"/>
      <c r="BI1599" s="317"/>
      <c r="BJ1599" s="317"/>
      <c r="BK1599" s="29">
        <f t="shared" si="916"/>
        <v>0</v>
      </c>
      <c r="BL1599" s="317"/>
      <c r="BM1599" s="317"/>
      <c r="BN1599" s="317"/>
      <c r="BO1599" s="317"/>
      <c r="BP1599" s="317"/>
      <c r="BQ1599" s="317"/>
      <c r="BR1599" s="317"/>
      <c r="BS1599" s="317"/>
      <c r="BT1599" s="317"/>
      <c r="BU1599" s="317"/>
      <c r="BV1599" s="317"/>
      <c r="BW1599" s="317"/>
      <c r="BX1599" s="317"/>
      <c r="BY1599" s="317"/>
      <c r="BZ1599" s="317"/>
      <c r="CA1599" s="317"/>
      <c r="CB1599" s="317"/>
      <c r="CC1599" s="317"/>
      <c r="CD1599" s="317"/>
      <c r="CE1599" s="317"/>
      <c r="CF1599" s="317"/>
      <c r="CG1599" s="317"/>
      <c r="CH1599" s="317"/>
      <c r="CI1599" s="317"/>
      <c r="CM1599" s="1139">
        <f t="shared" si="898"/>
        <v>0</v>
      </c>
      <c r="CN1599" s="1139">
        <v>0</v>
      </c>
      <c r="CP1599" s="923">
        <f t="shared" si="895"/>
        <v>0</v>
      </c>
      <c r="CZ1599" s="330"/>
    </row>
    <row r="1600" spans="1:104" ht="15" customHeight="1" x14ac:dyDescent="0.25">
      <c r="A1600" s="684">
        <f>MAX($A$6:A1599)+1</f>
        <v>1600</v>
      </c>
      <c r="B1600" s="3">
        <f t="shared" ref="B1600:C1602" si="930">B1599</f>
        <v>17.100000000000001</v>
      </c>
      <c r="C1600" s="11" t="str">
        <f t="shared" si="930"/>
        <v>Quantitative disclosures around right-of-use assets</v>
      </c>
      <c r="D1600" s="11" t="s">
        <v>196</v>
      </c>
      <c r="E1600" s="7" t="s">
        <v>187</v>
      </c>
      <c r="F1600" s="1267"/>
      <c r="G1600" s="1254" t="s">
        <v>187</v>
      </c>
      <c r="H1600" s="6">
        <v>0</v>
      </c>
      <c r="I1600" s="6">
        <v>0</v>
      </c>
      <c r="J1600" s="1254" t="s">
        <v>187</v>
      </c>
      <c r="K1600" s="6">
        <f>SUMIF('alb Note 16  Leases'!$B$23:$B$30,$J1600,'alb Note 16  Leases'!$D$23:$D$30)</f>
        <v>0</v>
      </c>
      <c r="L1600" s="6">
        <f>SUMIF('alb Note 16  Leases'!$B$23:$B$30,$J1600,'alb Note 16  Leases'!$N$23:$N$30)</f>
        <v>0</v>
      </c>
      <c r="M1600" s="10"/>
      <c r="N1600" s="273">
        <f t="shared" si="924"/>
        <v>0</v>
      </c>
      <c r="O1600" s="12"/>
      <c r="P1600" s="12"/>
      <c r="Q1600" s="12"/>
      <c r="R1600" s="12"/>
      <c r="S1600" s="6">
        <f t="shared" si="925"/>
        <v>0</v>
      </c>
      <c r="T1600" s="273">
        <f t="shared" ref="T1600:T1635" si="931">ROUND(SUM(U1600:Y1600),0)</f>
        <v>0</v>
      </c>
      <c r="U1600" s="6">
        <f t="shared" si="927"/>
        <v>0</v>
      </c>
      <c r="V1600" s="6"/>
      <c r="W1600" s="6">
        <f t="shared" ref="W1600:W1635" si="932">+H1600</f>
        <v>0</v>
      </c>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X1600" s="6"/>
      <c r="AY1600" s="6">
        <f>ROUND(AX1600/1000/Update!$B$31*Update!$B$27,0)</f>
        <v>0</v>
      </c>
      <c r="BA1600" s="6"/>
      <c r="BB1600" s="6">
        <f>ROUND(BA1600/1000/Update!$B$31,0)</f>
        <v>0</v>
      </c>
      <c r="BC1600" s="6"/>
      <c r="BD1600" s="29">
        <f t="shared" ref="BD1600:BD1635" si="933">ROUND(SUM(BE1600:BK1600),0)</f>
        <v>0</v>
      </c>
      <c r="BE1600" s="322"/>
      <c r="BF1600" s="322"/>
      <c r="BG1600" s="322"/>
      <c r="BH1600" s="322"/>
      <c r="BI1600" s="322"/>
      <c r="BJ1600" s="322"/>
      <c r="BK1600" s="29">
        <f t="shared" si="916"/>
        <v>0</v>
      </c>
      <c r="BL1600" s="317"/>
      <c r="BM1600" s="317"/>
      <c r="BN1600" s="317"/>
      <c r="BO1600" s="317"/>
      <c r="BP1600" s="317"/>
      <c r="BQ1600" s="317"/>
      <c r="BR1600" s="317"/>
      <c r="BS1600" s="317"/>
      <c r="BT1600" s="317"/>
      <c r="BU1600" s="317"/>
      <c r="BV1600" s="317"/>
      <c r="BW1600" s="317"/>
      <c r="BX1600" s="317"/>
      <c r="BY1600" s="317"/>
      <c r="BZ1600" s="317"/>
      <c r="CA1600" s="317"/>
      <c r="CB1600" s="317"/>
      <c r="CC1600" s="317"/>
      <c r="CD1600" s="317"/>
      <c r="CE1600" s="317"/>
      <c r="CF1600" s="317"/>
      <c r="CG1600" s="317"/>
      <c r="CH1600" s="317"/>
      <c r="CI1600" s="317"/>
      <c r="CM1600" s="1139">
        <f t="shared" si="898"/>
        <v>0</v>
      </c>
      <c r="CN1600" s="1139">
        <v>0</v>
      </c>
      <c r="CP1600" s="923">
        <f t="shared" si="895"/>
        <v>0</v>
      </c>
      <c r="CZ1600" s="330"/>
    </row>
    <row r="1601" spans="1:104" ht="15" customHeight="1" x14ac:dyDescent="0.25">
      <c r="A1601" s="684">
        <f>MAX($A$6:A1600)+1</f>
        <v>1601</v>
      </c>
      <c r="B1601" s="3">
        <f t="shared" si="930"/>
        <v>17.100000000000001</v>
      </c>
      <c r="C1601" s="11" t="str">
        <f t="shared" si="930"/>
        <v>Quantitative disclosures around right-of-use assets</v>
      </c>
      <c r="D1601" s="11" t="s">
        <v>196</v>
      </c>
      <c r="E1601" s="7" t="s">
        <v>189</v>
      </c>
      <c r="F1601" s="1267"/>
      <c r="G1601" s="1254" t="s">
        <v>189</v>
      </c>
      <c r="H1601" s="6">
        <v>0</v>
      </c>
      <c r="I1601" s="6">
        <v>0</v>
      </c>
      <c r="J1601" s="1254" t="s">
        <v>189</v>
      </c>
      <c r="K1601" s="6">
        <f>SUMIF('alb Note 16  Leases'!$B$23:$B$30,$J1601,'alb Note 16  Leases'!$D$23:$D$30)</f>
        <v>0</v>
      </c>
      <c r="L1601" s="6">
        <f>SUMIF('alb Note 16  Leases'!$B$23:$B$30,$J1601,'alb Note 16  Leases'!$N$23:$N$30)</f>
        <v>0</v>
      </c>
      <c r="M1601" s="10"/>
      <c r="N1601" s="273">
        <f t="shared" si="924"/>
        <v>0</v>
      </c>
      <c r="O1601" s="12"/>
      <c r="P1601" s="12"/>
      <c r="Q1601" s="12"/>
      <c r="R1601" s="12"/>
      <c r="S1601" s="6">
        <f t="shared" si="925"/>
        <v>0</v>
      </c>
      <c r="T1601" s="273">
        <f t="shared" si="931"/>
        <v>0</v>
      </c>
      <c r="U1601" s="6">
        <f t="shared" si="927"/>
        <v>0</v>
      </c>
      <c r="V1601" s="6"/>
      <c r="W1601" s="6">
        <f t="shared" si="932"/>
        <v>0</v>
      </c>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X1601" s="6"/>
      <c r="AY1601" s="6">
        <f>ROUND(AX1601/1000/Update!$B$31*Update!$B$27,0)</f>
        <v>0</v>
      </c>
      <c r="BA1601" s="6"/>
      <c r="BB1601" s="6">
        <f>ROUND(BA1601/1000/Update!$B$31,0)</f>
        <v>0</v>
      </c>
      <c r="BC1601" s="6"/>
      <c r="BD1601" s="29">
        <f t="shared" si="933"/>
        <v>0</v>
      </c>
      <c r="BE1601" s="322"/>
      <c r="BF1601" s="322"/>
      <c r="BG1601" s="322"/>
      <c r="BH1601" s="322"/>
      <c r="BI1601" s="322"/>
      <c r="BJ1601" s="322"/>
      <c r="BK1601" s="29">
        <f t="shared" si="916"/>
        <v>0</v>
      </c>
      <c r="BL1601" s="317"/>
      <c r="BM1601" s="317"/>
      <c r="BN1601" s="317"/>
      <c r="BO1601" s="317"/>
      <c r="BP1601" s="317"/>
      <c r="BQ1601" s="317"/>
      <c r="BR1601" s="317"/>
      <c r="BS1601" s="317"/>
      <c r="BT1601" s="317"/>
      <c r="BU1601" s="317"/>
      <c r="BV1601" s="317"/>
      <c r="BW1601" s="317"/>
      <c r="BX1601" s="317"/>
      <c r="BY1601" s="317"/>
      <c r="BZ1601" s="317"/>
      <c r="CA1601" s="317"/>
      <c r="CB1601" s="317"/>
      <c r="CC1601" s="317"/>
      <c r="CD1601" s="317"/>
      <c r="CE1601" s="317"/>
      <c r="CF1601" s="317"/>
      <c r="CG1601" s="317"/>
      <c r="CH1601" s="317"/>
      <c r="CI1601" s="317"/>
      <c r="CM1601" s="1139">
        <f t="shared" si="898"/>
        <v>0</v>
      </c>
      <c r="CN1601" s="1139">
        <v>0</v>
      </c>
      <c r="CP1601" s="923">
        <f t="shared" si="895"/>
        <v>0</v>
      </c>
      <c r="CZ1601" s="330"/>
    </row>
    <row r="1602" spans="1:104" ht="15" customHeight="1" x14ac:dyDescent="0.25">
      <c r="A1602" s="684">
        <f>MAX($A$6:A1601)+1</f>
        <v>1602</v>
      </c>
      <c r="B1602" s="3">
        <f t="shared" si="930"/>
        <v>17.100000000000001</v>
      </c>
      <c r="C1602" s="11" t="str">
        <f t="shared" si="930"/>
        <v>Quantitative disclosures around right-of-use assets</v>
      </c>
      <c r="D1602" s="11" t="s">
        <v>196</v>
      </c>
      <c r="E1602" s="7" t="s">
        <v>191</v>
      </c>
      <c r="F1602" s="1267"/>
      <c r="G1602" s="7" t="s">
        <v>191</v>
      </c>
      <c r="H1602" s="6">
        <v>0</v>
      </c>
      <c r="I1602" s="6">
        <v>0</v>
      </c>
      <c r="J1602" s="7" t="s">
        <v>191</v>
      </c>
      <c r="K1602" s="6">
        <f>SUMIF('alb Note 16  Leases'!$B$23:$B$30,$J1602,'alb Note 16  Leases'!$D$23:$D$30)</f>
        <v>0</v>
      </c>
      <c r="L1602" s="6">
        <f>SUMIF('alb Note 16  Leases'!$B$23:$B$30,$J1602,'alb Note 16  Leases'!$N$23:$N$30)</f>
        <v>0</v>
      </c>
      <c r="M1602" s="10"/>
      <c r="N1602" s="273">
        <f t="shared" si="924"/>
        <v>0</v>
      </c>
      <c r="O1602" s="12"/>
      <c r="P1602" s="12"/>
      <c r="Q1602" s="12"/>
      <c r="R1602" s="12"/>
      <c r="S1602" s="6">
        <f t="shared" si="925"/>
        <v>0</v>
      </c>
      <c r="T1602" s="273">
        <f t="shared" si="931"/>
        <v>0</v>
      </c>
      <c r="U1602" s="6">
        <f t="shared" si="927"/>
        <v>0</v>
      </c>
      <c r="V1602" s="6"/>
      <c r="W1602" s="6">
        <f t="shared" si="932"/>
        <v>0</v>
      </c>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X1602" s="6"/>
      <c r="AY1602" s="6">
        <f>ROUND(AX1602/1000/Update!$B$31*Update!$B$27,0)</f>
        <v>0</v>
      </c>
      <c r="BA1602" s="6"/>
      <c r="BB1602" s="6">
        <f>ROUND(BA1602/1000/Update!$B$31,0)</f>
        <v>0</v>
      </c>
      <c r="BC1602" s="6"/>
      <c r="BD1602" s="29">
        <f t="shared" si="933"/>
        <v>0</v>
      </c>
      <c r="BE1602" s="322"/>
      <c r="BF1602" s="322"/>
      <c r="BG1602" s="322"/>
      <c r="BH1602" s="322"/>
      <c r="BI1602" s="322"/>
      <c r="BJ1602" s="322"/>
      <c r="BK1602" s="29">
        <f t="shared" si="916"/>
        <v>0</v>
      </c>
      <c r="BL1602" s="317"/>
      <c r="BM1602" s="317"/>
      <c r="BN1602" s="317"/>
      <c r="BO1602" s="317"/>
      <c r="BP1602" s="317"/>
      <c r="BQ1602" s="317"/>
      <c r="BR1602" s="317"/>
      <c r="BS1602" s="317"/>
      <c r="BT1602" s="317"/>
      <c r="BU1602" s="317"/>
      <c r="BV1602" s="317"/>
      <c r="BW1602" s="317"/>
      <c r="BX1602" s="317"/>
      <c r="BY1602" s="317"/>
      <c r="BZ1602" s="317"/>
      <c r="CA1602" s="317"/>
      <c r="CB1602" s="317"/>
      <c r="CC1602" s="317"/>
      <c r="CD1602" s="317"/>
      <c r="CE1602" s="317"/>
      <c r="CF1602" s="317"/>
      <c r="CG1602" s="317"/>
      <c r="CH1602" s="317"/>
      <c r="CI1602" s="317"/>
      <c r="CM1602" s="1139">
        <f t="shared" si="898"/>
        <v>0</v>
      </c>
      <c r="CN1602" s="1139">
        <v>0</v>
      </c>
      <c r="CP1602" s="923">
        <f t="shared" si="895"/>
        <v>0</v>
      </c>
      <c r="CZ1602" s="330"/>
    </row>
    <row r="1603" spans="1:104" ht="15" customHeight="1" x14ac:dyDescent="0.25">
      <c r="A1603" s="684">
        <f>MAX($A$6:A1602)+1</f>
        <v>1603</v>
      </c>
      <c r="B1603" s="3">
        <f>B1602</f>
        <v>17.100000000000001</v>
      </c>
      <c r="C1603" s="11" t="str">
        <f>C1602</f>
        <v>Quantitative disclosures around right-of-use assets</v>
      </c>
      <c r="D1603" s="11" t="s">
        <v>196</v>
      </c>
      <c r="E1603" s="7" t="str">
        <f>"At"&amp;Update!$B$22</f>
        <v>At 31 March 2026</v>
      </c>
      <c r="F1603" s="7"/>
      <c r="G1603" s="7" t="str">
        <f>"At"&amp;Update!$B$22</f>
        <v>At 31 March 2026</v>
      </c>
      <c r="H1603" s="6">
        <v>550</v>
      </c>
      <c r="I1603" s="6">
        <v>0</v>
      </c>
      <c r="J1603" s="7" t="str">
        <f>"At"&amp;Update!$B$22</f>
        <v>At 31 March 2026</v>
      </c>
      <c r="K1603" s="6">
        <f>SUMIF('alb Note 16  Leases'!$B$23:$B$30,$J1603,'alb Note 16  Leases'!$D$23:$D$30)</f>
        <v>0</v>
      </c>
      <c r="L1603" s="6">
        <f>SUMIF('alb Note 16  Leases'!$B$23:$B$30,$J1603,'alb Note 16  Leases'!$N$23:$N$30)</f>
        <v>0</v>
      </c>
      <c r="M1603" s="10"/>
      <c r="N1603" s="273">
        <f t="shared" si="924"/>
        <v>550</v>
      </c>
      <c r="O1603" s="12"/>
      <c r="P1603" s="12"/>
      <c r="Q1603" s="12"/>
      <c r="R1603" s="12"/>
      <c r="S1603" s="6">
        <f t="shared" si="925"/>
        <v>0</v>
      </c>
      <c r="T1603" s="273">
        <f t="shared" si="931"/>
        <v>550</v>
      </c>
      <c r="U1603" s="6">
        <f t="shared" si="927"/>
        <v>0</v>
      </c>
      <c r="V1603" s="6"/>
      <c r="W1603" s="6">
        <f t="shared" si="932"/>
        <v>550</v>
      </c>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X1603" s="6"/>
      <c r="AY1603" s="6">
        <f>ROUND(AX1603/1000/Update!$B$31*Update!$B$27,0)</f>
        <v>0</v>
      </c>
      <c r="BA1603" s="6"/>
      <c r="BB1603" s="6">
        <f>ROUND(BA1603/1000/Update!$B$31,0)</f>
        <v>0</v>
      </c>
      <c r="BC1603" s="6"/>
      <c r="BD1603" s="29">
        <f t="shared" si="933"/>
        <v>0</v>
      </c>
      <c r="BE1603" s="317"/>
      <c r="BF1603" s="317"/>
      <c r="BG1603" s="317"/>
      <c r="BH1603" s="317"/>
      <c r="BI1603" s="317"/>
      <c r="BJ1603" s="317"/>
      <c r="BK1603" s="29">
        <f t="shared" si="916"/>
        <v>0</v>
      </c>
      <c r="BL1603" s="317"/>
      <c r="BM1603" s="317"/>
      <c r="BN1603" s="317"/>
      <c r="BO1603" s="317"/>
      <c r="BP1603" s="317"/>
      <c r="BQ1603" s="317"/>
      <c r="BR1603" s="317"/>
      <c r="BS1603" s="317"/>
      <c r="BT1603" s="317"/>
      <c r="BU1603" s="317"/>
      <c r="BV1603" s="317"/>
      <c r="BW1603" s="317"/>
      <c r="BX1603" s="317"/>
      <c r="BY1603" s="317"/>
      <c r="BZ1603" s="317"/>
      <c r="CA1603" s="317"/>
      <c r="CB1603" s="317"/>
      <c r="CC1603" s="317"/>
      <c r="CD1603" s="317"/>
      <c r="CE1603" s="317"/>
      <c r="CF1603" s="317"/>
      <c r="CG1603" s="317"/>
      <c r="CH1603" s="317"/>
      <c r="CI1603" s="317"/>
      <c r="CM1603" s="1139">
        <f t="shared" si="898"/>
        <v>0</v>
      </c>
      <c r="CN1603" s="1139">
        <v>0</v>
      </c>
      <c r="CP1603" s="923">
        <f t="shared" si="895"/>
        <v>0</v>
      </c>
      <c r="CZ1603" s="330"/>
    </row>
    <row r="1604" spans="1:104" ht="15" customHeight="1" x14ac:dyDescent="0.25">
      <c r="A1604" s="701">
        <f>MAX($A$6:A1603)+1</f>
        <v>1604</v>
      </c>
      <c r="B1604" s="1291">
        <f t="shared" ref="B1604:C1604" si="934">B1603</f>
        <v>17.100000000000001</v>
      </c>
      <c r="C1604" s="18" t="str">
        <f t="shared" si="934"/>
        <v>Quantitative disclosures around right-of-use assets</v>
      </c>
      <c r="D1604" s="18" t="s">
        <v>196</v>
      </c>
      <c r="E1604" s="19" t="str">
        <f>"Carrying amount "&amp;Update!$B$22</f>
        <v>Carrying amount  31 March 2026</v>
      </c>
      <c r="F1604" s="20"/>
      <c r="G1604" s="19" t="str">
        <f>"Carrying amount "&amp;Update!$B$22</f>
        <v>Carrying amount  31 March 2026</v>
      </c>
      <c r="H1604" s="14">
        <f>+H1595-H1603</f>
        <v>366</v>
      </c>
      <c r="I1604" s="14">
        <f>+I1595-I1603</f>
        <v>0</v>
      </c>
      <c r="J1604" s="19" t="str">
        <f>"Carrying amount "&amp;Update!$B$22</f>
        <v>Carrying amount  31 March 2026</v>
      </c>
      <c r="K1604" s="256">
        <f>+K1595-K1603</f>
        <v>0</v>
      </c>
      <c r="L1604" s="256">
        <f>+L1595-L1603</f>
        <v>0</v>
      </c>
      <c r="M1604" s="21"/>
      <c r="N1604" s="14">
        <f>ROUND(SUM(O1604:S1604)+T1604+SUM(Z1604:AV1604),0)</f>
        <v>366</v>
      </c>
      <c r="O1604" s="256">
        <f t="shared" ref="O1604" si="935">+O1595-O1603</f>
        <v>0</v>
      </c>
      <c r="P1604" s="256">
        <f t="shared" ref="P1604" si="936">+P1595-P1603</f>
        <v>0</v>
      </c>
      <c r="Q1604" s="256">
        <f t="shared" ref="Q1604" si="937">+Q1595-Q1603</f>
        <v>0</v>
      </c>
      <c r="R1604" s="256">
        <f t="shared" ref="R1604" si="938">+R1595-R1603</f>
        <v>0</v>
      </c>
      <c r="S1604" s="256">
        <f t="shared" ref="S1604" si="939">+S1595-S1603</f>
        <v>0</v>
      </c>
      <c r="T1604" s="256">
        <f t="shared" ref="T1604" si="940">+T1595-T1603</f>
        <v>366</v>
      </c>
      <c r="U1604" s="256">
        <f t="shared" ref="U1604" si="941">+U1595-U1603</f>
        <v>0</v>
      </c>
      <c r="V1604" s="14"/>
      <c r="W1604" s="14">
        <f>+H1604</f>
        <v>366</v>
      </c>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4"/>
      <c r="AU1604" s="14"/>
      <c r="AV1604" s="14"/>
      <c r="AW1604" s="2"/>
      <c r="AX1604" s="14"/>
      <c r="AY1604" s="14"/>
      <c r="AZ1604" s="2"/>
      <c r="BA1604" s="14"/>
      <c r="BB1604" s="14"/>
      <c r="BC1604" s="14"/>
      <c r="BD1604" s="14">
        <f>+BD1595-BD1603</f>
        <v>0</v>
      </c>
      <c r="BE1604" s="14">
        <f t="shared" ref="BE1604" si="942">+BE1595-BE1603</f>
        <v>0</v>
      </c>
      <c r="BF1604" s="14">
        <f t="shared" ref="BF1604" si="943">+BF1595-BF1603</f>
        <v>0</v>
      </c>
      <c r="BG1604" s="14">
        <f t="shared" ref="BG1604" si="944">+BG1595-BG1603</f>
        <v>0</v>
      </c>
      <c r="BH1604" s="14">
        <f t="shared" ref="BH1604" si="945">+BH1595-BH1603</f>
        <v>0</v>
      </c>
      <c r="BI1604" s="14">
        <f t="shared" ref="BI1604" si="946">+BI1595-BI1603</f>
        <v>0</v>
      </c>
      <c r="BJ1604" s="14">
        <f t="shared" ref="BJ1604" si="947">+BJ1595-BJ1603</f>
        <v>0</v>
      </c>
      <c r="BK1604" s="14">
        <f t="shared" ref="BK1604" si="948">+BK1595-BK1603</f>
        <v>0</v>
      </c>
      <c r="BL1604" s="14"/>
      <c r="BM1604" s="14"/>
      <c r="BN1604" s="14"/>
      <c r="BO1604" s="14"/>
      <c r="BP1604" s="14"/>
      <c r="BQ1604" s="14"/>
      <c r="BR1604" s="14"/>
      <c r="BS1604" s="14"/>
      <c r="BT1604" s="324"/>
      <c r="BU1604" s="14"/>
      <c r="BV1604" s="14"/>
      <c r="BW1604" s="14"/>
      <c r="BX1604" s="14"/>
      <c r="BY1604" s="14"/>
      <c r="BZ1604" s="14"/>
      <c r="CA1604" s="14"/>
      <c r="CB1604" s="14"/>
      <c r="CC1604" s="14"/>
      <c r="CD1604" s="14"/>
      <c r="CE1604" s="14"/>
      <c r="CF1604" s="14"/>
      <c r="CG1604" s="14"/>
      <c r="CH1604" s="14"/>
      <c r="CI1604" s="14"/>
      <c r="CJ1604" s="2"/>
      <c r="CK1604" s="2"/>
      <c r="CM1604" s="1450"/>
      <c r="CN1604" s="1450"/>
      <c r="CX1604" s="330"/>
    </row>
    <row r="1605" spans="1:104" ht="15" customHeight="1" x14ac:dyDescent="0.25">
      <c r="A1605" s="684">
        <f>MAX($A$6:A1604)+1</f>
        <v>1605</v>
      </c>
      <c r="B1605" s="3">
        <f>B1603</f>
        <v>17.100000000000001</v>
      </c>
      <c r="C1605" s="11" t="str">
        <f>C1603</f>
        <v>Quantitative disclosures around right-of-use assets</v>
      </c>
      <c r="D1605" s="11" t="s">
        <v>200</v>
      </c>
      <c r="E1605" s="7" t="str">
        <f>"At"&amp;Update!$B$20</f>
        <v>At 1 April 2025</v>
      </c>
      <c r="F1605" s="7"/>
      <c r="G1605" s="7" t="str">
        <f>"At"&amp;Update!$B$20</f>
        <v>At 1 April 2025</v>
      </c>
      <c r="H1605" s="6">
        <v>0</v>
      </c>
      <c r="I1605" s="6">
        <v>0</v>
      </c>
      <c r="J1605" s="7" t="str">
        <f>"At"&amp;Update!$B$20</f>
        <v>At 1 April 2025</v>
      </c>
      <c r="K1605" s="6">
        <f>SUMIF('alb Note 16  Leases'!$B$12:$B$20,$J1605,'alb Note 16  Leases'!$E$12:$E$20)</f>
        <v>0</v>
      </c>
      <c r="L1605" s="6">
        <f>SUMIF('alb Note 16  Leases'!$B$12:$B$20,$J1605,'alb Note 16  Leases'!$O$12:$O$20)</f>
        <v>0</v>
      </c>
      <c r="M1605" s="10"/>
      <c r="N1605" s="273">
        <f t="shared" si="924"/>
        <v>0</v>
      </c>
      <c r="O1605" s="12"/>
      <c r="P1605" s="12"/>
      <c r="Q1605" s="12"/>
      <c r="R1605" s="12"/>
      <c r="S1605" s="6">
        <f t="shared" si="925"/>
        <v>0</v>
      </c>
      <c r="T1605" s="273">
        <f t="shared" si="931"/>
        <v>0</v>
      </c>
      <c r="U1605" s="6">
        <f>SUM(BL1605:BN1605)</f>
        <v>0</v>
      </c>
      <c r="V1605" s="6"/>
      <c r="W1605" s="6">
        <f t="shared" si="932"/>
        <v>0</v>
      </c>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X1605" s="6"/>
      <c r="AY1605" s="6">
        <f>ROUND(AX1605/1000/Update!$B$31*Update!$B$27,0)</f>
        <v>0</v>
      </c>
      <c r="BA1605" s="6"/>
      <c r="BB1605" s="6">
        <f>ROUND(BA1605/1000/Update!$B$31,0)</f>
        <v>0</v>
      </c>
      <c r="BC1605" s="6"/>
      <c r="BD1605" s="29">
        <f t="shared" si="933"/>
        <v>0</v>
      </c>
      <c r="BE1605" s="317"/>
      <c r="BF1605" s="317"/>
      <c r="BG1605" s="317"/>
      <c r="BH1605" s="317"/>
      <c r="BI1605" s="317"/>
      <c r="BJ1605" s="317"/>
      <c r="BK1605" s="29">
        <f t="shared" si="916"/>
        <v>0</v>
      </c>
      <c r="BL1605" s="317"/>
      <c r="BM1605" s="317"/>
      <c r="BN1605" s="317"/>
      <c r="BO1605" s="317"/>
      <c r="BP1605" s="317"/>
      <c r="BQ1605" s="317"/>
      <c r="BR1605" s="317"/>
      <c r="BS1605" s="317"/>
      <c r="BT1605" s="317"/>
      <c r="BU1605" s="317"/>
      <c r="BV1605" s="317"/>
      <c r="BW1605" s="317"/>
      <c r="BX1605" s="317"/>
      <c r="BY1605" s="317"/>
      <c r="BZ1605" s="317"/>
      <c r="CA1605" s="317"/>
      <c r="CB1605" s="317"/>
      <c r="CC1605" s="317"/>
      <c r="CD1605" s="317"/>
      <c r="CE1605" s="317"/>
      <c r="CF1605" s="317"/>
      <c r="CG1605" s="317"/>
      <c r="CH1605" s="317"/>
      <c r="CI1605" s="317"/>
      <c r="CM1605" s="1139">
        <f t="shared" si="898"/>
        <v>0</v>
      </c>
      <c r="CN1605" s="1139">
        <v>0</v>
      </c>
      <c r="CP1605" s="923">
        <f t="shared" si="895"/>
        <v>0</v>
      </c>
      <c r="CZ1605" s="330"/>
    </row>
    <row r="1606" spans="1:104" ht="15" customHeight="1" x14ac:dyDescent="0.25">
      <c r="A1606" s="684">
        <f>MAX($A$6:A1605)+1</f>
        <v>1606</v>
      </c>
      <c r="B1606" s="3">
        <f t="shared" ref="B1606:C1608" si="949">B1605</f>
        <v>17.100000000000001</v>
      </c>
      <c r="C1606" s="11" t="str">
        <f t="shared" si="949"/>
        <v>Quantitative disclosures around right-of-use assets</v>
      </c>
      <c r="D1606" s="11" t="s">
        <v>200</v>
      </c>
      <c r="E1606" s="7" t="s">
        <v>185</v>
      </c>
      <c r="F1606" s="1267"/>
      <c r="G1606" s="1254" t="s">
        <v>185</v>
      </c>
      <c r="H1606" s="6">
        <v>0</v>
      </c>
      <c r="I1606" s="6">
        <v>0</v>
      </c>
      <c r="J1606" s="1254" t="s">
        <v>185</v>
      </c>
      <c r="K1606" s="6">
        <f>SUMIF('alb Note 16  Leases'!$B$12:$B$20,$J1606,'alb Note 16  Leases'!$E$12:$E$20)</f>
        <v>0</v>
      </c>
      <c r="L1606" s="6">
        <f>SUMIF('alb Note 16  Leases'!$B$12:$B$20,$J1606,'alb Note 16  Leases'!$O$12:$O$20)</f>
        <v>0</v>
      </c>
      <c r="M1606" s="10"/>
      <c r="N1606" s="273">
        <f t="shared" si="924"/>
        <v>0</v>
      </c>
      <c r="O1606" s="12"/>
      <c r="P1606" s="12"/>
      <c r="Q1606" s="12"/>
      <c r="R1606" s="12"/>
      <c r="S1606" s="6">
        <f t="shared" si="925"/>
        <v>0</v>
      </c>
      <c r="T1606" s="273">
        <f t="shared" si="931"/>
        <v>0</v>
      </c>
      <c r="U1606" s="6">
        <f t="shared" ref="U1606:U1621" si="950">SUM(BL1606:BN1606)</f>
        <v>0</v>
      </c>
      <c r="V1606" s="6"/>
      <c r="W1606" s="6">
        <f t="shared" si="932"/>
        <v>0</v>
      </c>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X1606" s="6"/>
      <c r="AY1606" s="6">
        <f>ROUND(AX1606/1000/Update!$B$31*Update!$B$27,0)</f>
        <v>0</v>
      </c>
      <c r="BA1606" s="6"/>
      <c r="BB1606" s="6">
        <f>ROUND(BA1606/1000/Update!$B$31,0)</f>
        <v>0</v>
      </c>
      <c r="BC1606" s="6"/>
      <c r="BD1606" s="29">
        <f t="shared" si="933"/>
        <v>0</v>
      </c>
      <c r="BE1606" s="322"/>
      <c r="BF1606" s="322"/>
      <c r="BG1606" s="322"/>
      <c r="BH1606" s="322"/>
      <c r="BI1606" s="322"/>
      <c r="BJ1606" s="322"/>
      <c r="BK1606" s="29">
        <f t="shared" si="916"/>
        <v>0</v>
      </c>
      <c r="BL1606" s="317"/>
      <c r="BM1606" s="317"/>
      <c r="BN1606" s="317"/>
      <c r="BO1606" s="317"/>
      <c r="BP1606" s="317"/>
      <c r="BQ1606" s="317"/>
      <c r="BR1606" s="317"/>
      <c r="BS1606" s="317"/>
      <c r="BT1606" s="317"/>
      <c r="BU1606" s="317"/>
      <c r="BV1606" s="317"/>
      <c r="BW1606" s="317"/>
      <c r="BX1606" s="317"/>
      <c r="BY1606" s="317"/>
      <c r="BZ1606" s="317"/>
      <c r="CA1606" s="317"/>
      <c r="CB1606" s="317"/>
      <c r="CC1606" s="317"/>
      <c r="CD1606" s="317"/>
      <c r="CE1606" s="317"/>
      <c r="CF1606" s="317"/>
      <c r="CG1606" s="317"/>
      <c r="CH1606" s="317"/>
      <c r="CI1606" s="317"/>
      <c r="CM1606" s="1139">
        <f t="shared" si="898"/>
        <v>0</v>
      </c>
      <c r="CN1606" s="1139">
        <v>0</v>
      </c>
      <c r="CP1606" s="923">
        <f t="shared" si="895"/>
        <v>0</v>
      </c>
      <c r="CZ1606" s="330"/>
    </row>
    <row r="1607" spans="1:104" ht="15" customHeight="1" x14ac:dyDescent="0.25">
      <c r="A1607" s="684">
        <f>MAX($A$6:A1606)+1</f>
        <v>1607</v>
      </c>
      <c r="B1607" s="3">
        <f t="shared" si="949"/>
        <v>17.100000000000001</v>
      </c>
      <c r="C1607" s="11" t="str">
        <f t="shared" si="949"/>
        <v>Quantitative disclosures around right-of-use assets</v>
      </c>
      <c r="D1607" s="11" t="s">
        <v>200</v>
      </c>
      <c r="E1607" s="7" t="s">
        <v>208</v>
      </c>
      <c r="F1607" s="1267"/>
      <c r="G1607" s="1254" t="s">
        <v>208</v>
      </c>
      <c r="H1607" s="6">
        <v>0</v>
      </c>
      <c r="I1607" s="6">
        <v>0</v>
      </c>
      <c r="J1607" s="1254" t="s">
        <v>208</v>
      </c>
      <c r="K1607" s="6">
        <f>SUMIF('alb Note 16  Leases'!$B$12:$B$20,$J1607,'alb Note 16  Leases'!$E$12:$E$20)</f>
        <v>0</v>
      </c>
      <c r="L1607" s="6">
        <f>SUMIF('alb Note 16  Leases'!$B$12:$B$20,$J1607,'alb Note 16  Leases'!$O$12:$O$20)</f>
        <v>0</v>
      </c>
      <c r="M1607" s="10"/>
      <c r="N1607" s="273">
        <f t="shared" si="924"/>
        <v>0</v>
      </c>
      <c r="O1607" s="12"/>
      <c r="P1607" s="12"/>
      <c r="Q1607" s="12"/>
      <c r="R1607" s="12"/>
      <c r="S1607" s="6">
        <f t="shared" si="925"/>
        <v>0</v>
      </c>
      <c r="T1607" s="273">
        <f t="shared" si="931"/>
        <v>0</v>
      </c>
      <c r="U1607" s="6">
        <f t="shared" si="950"/>
        <v>0</v>
      </c>
      <c r="V1607" s="6"/>
      <c r="W1607" s="6">
        <f t="shared" si="932"/>
        <v>0</v>
      </c>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X1607" s="6"/>
      <c r="AY1607" s="6">
        <f>ROUND(AX1607/1000/Update!$B$31*Update!$B$27,0)</f>
        <v>0</v>
      </c>
      <c r="BA1607" s="6"/>
      <c r="BB1607" s="6">
        <f>ROUND(BA1607/1000/Update!$B$31,0)</f>
        <v>0</v>
      </c>
      <c r="BC1607" s="6"/>
      <c r="BD1607" s="29">
        <f t="shared" si="933"/>
        <v>0</v>
      </c>
      <c r="BE1607" s="322"/>
      <c r="BF1607" s="322"/>
      <c r="BG1607" s="322"/>
      <c r="BH1607" s="322"/>
      <c r="BI1607" s="322"/>
      <c r="BJ1607" s="322"/>
      <c r="BK1607" s="29">
        <f t="shared" si="916"/>
        <v>0</v>
      </c>
      <c r="BL1607" s="317"/>
      <c r="BM1607" s="317"/>
      <c r="BN1607" s="317"/>
      <c r="BO1607" s="317"/>
      <c r="BP1607" s="317"/>
      <c r="BQ1607" s="317"/>
      <c r="BR1607" s="317"/>
      <c r="BS1607" s="317"/>
      <c r="BT1607" s="317"/>
      <c r="BU1607" s="317"/>
      <c r="BV1607" s="317"/>
      <c r="BW1607" s="317"/>
      <c r="BX1607" s="317"/>
      <c r="BY1607" s="317"/>
      <c r="BZ1607" s="317"/>
      <c r="CA1607" s="317"/>
      <c r="CB1607" s="317"/>
      <c r="CC1607" s="317"/>
      <c r="CD1607" s="317"/>
      <c r="CE1607" s="317"/>
      <c r="CF1607" s="317"/>
      <c r="CG1607" s="317"/>
      <c r="CH1607" s="317"/>
      <c r="CI1607" s="317"/>
      <c r="CM1607" s="1139">
        <f t="shared" si="898"/>
        <v>0</v>
      </c>
      <c r="CN1607" s="1139">
        <v>0</v>
      </c>
      <c r="CP1607" s="923">
        <f t="shared" si="895"/>
        <v>0</v>
      </c>
      <c r="CZ1607" s="330"/>
    </row>
    <row r="1608" spans="1:104" ht="15" customHeight="1" x14ac:dyDescent="0.25">
      <c r="A1608" s="684">
        <f>MAX($A$6:A1607)+1</f>
        <v>1608</v>
      </c>
      <c r="B1608" s="3">
        <f t="shared" si="949"/>
        <v>17.100000000000001</v>
      </c>
      <c r="C1608" s="11" t="str">
        <f t="shared" si="949"/>
        <v>Quantitative disclosures around right-of-use assets</v>
      </c>
      <c r="D1608" s="11" t="s">
        <v>200</v>
      </c>
      <c r="E1608" s="7" t="s">
        <v>186</v>
      </c>
      <c r="F1608" s="1267"/>
      <c r="G1608" s="7" t="s">
        <v>186</v>
      </c>
      <c r="H1608" s="6">
        <v>0</v>
      </c>
      <c r="I1608" s="6">
        <v>0</v>
      </c>
      <c r="J1608" s="7" t="s">
        <v>186</v>
      </c>
      <c r="K1608" s="6">
        <f>SUMIF('alb Note 16  Leases'!$B$12:$B$20,$J1608,'alb Note 16  Leases'!$E$12:$E$20)</f>
        <v>0</v>
      </c>
      <c r="L1608" s="6">
        <f>SUMIF('alb Note 16  Leases'!$B$12:$B$20,$J1608,'alb Note 16  Leases'!$O$12:$O$20)</f>
        <v>0</v>
      </c>
      <c r="M1608" s="10"/>
      <c r="N1608" s="273">
        <f t="shared" si="924"/>
        <v>0</v>
      </c>
      <c r="O1608" s="12"/>
      <c r="P1608" s="12"/>
      <c r="Q1608" s="12"/>
      <c r="R1608" s="12"/>
      <c r="S1608" s="6">
        <f t="shared" si="925"/>
        <v>0</v>
      </c>
      <c r="T1608" s="273">
        <f t="shared" si="931"/>
        <v>0</v>
      </c>
      <c r="U1608" s="6">
        <f t="shared" si="950"/>
        <v>0</v>
      </c>
      <c r="V1608" s="6"/>
      <c r="W1608" s="6">
        <f t="shared" si="932"/>
        <v>0</v>
      </c>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X1608" s="6"/>
      <c r="AY1608" s="6">
        <f>ROUND(AX1608/1000/Update!$B$31*Update!$B$27,0)</f>
        <v>0</v>
      </c>
      <c r="BA1608" s="6"/>
      <c r="BB1608" s="6">
        <f>ROUND(BA1608/1000/Update!$B$31,0)</f>
        <v>0</v>
      </c>
      <c r="BC1608" s="6"/>
      <c r="BD1608" s="29">
        <f t="shared" si="933"/>
        <v>0</v>
      </c>
      <c r="BE1608" s="322"/>
      <c r="BF1608" s="322"/>
      <c r="BG1608" s="322"/>
      <c r="BH1608" s="322"/>
      <c r="BI1608" s="322"/>
      <c r="BJ1608" s="322"/>
      <c r="BK1608" s="29">
        <f t="shared" ref="BK1608:BK1641" si="951">ROUND(SUM(BO1608:CI1608),0)</f>
        <v>0</v>
      </c>
      <c r="BL1608" s="317"/>
      <c r="BM1608" s="317"/>
      <c r="BN1608" s="317"/>
      <c r="BO1608" s="317"/>
      <c r="BP1608" s="317"/>
      <c r="BQ1608" s="317"/>
      <c r="BR1608" s="317"/>
      <c r="BS1608" s="317"/>
      <c r="BT1608" s="317"/>
      <c r="BU1608" s="317"/>
      <c r="BV1608" s="317"/>
      <c r="BW1608" s="317"/>
      <c r="BX1608" s="317"/>
      <c r="BY1608" s="317"/>
      <c r="BZ1608" s="317"/>
      <c r="CA1608" s="317"/>
      <c r="CB1608" s="317"/>
      <c r="CC1608" s="317"/>
      <c r="CD1608" s="317"/>
      <c r="CE1608" s="317"/>
      <c r="CF1608" s="317"/>
      <c r="CG1608" s="317"/>
      <c r="CH1608" s="317"/>
      <c r="CI1608" s="317"/>
      <c r="CM1608" s="1139">
        <f t="shared" si="898"/>
        <v>0</v>
      </c>
      <c r="CN1608" s="1139">
        <v>0</v>
      </c>
      <c r="CP1608" s="923">
        <f t="shared" si="895"/>
        <v>0</v>
      </c>
      <c r="CZ1608" s="330"/>
    </row>
    <row r="1609" spans="1:104" ht="15" customHeight="1" x14ac:dyDescent="0.25">
      <c r="A1609" s="684">
        <f>MAX($A$6:A1608)+1</f>
        <v>1609</v>
      </c>
      <c r="B1609" s="3">
        <f>B1608</f>
        <v>17.100000000000001</v>
      </c>
      <c r="C1609" s="11" t="str">
        <f>C1608</f>
        <v>Quantitative disclosures around right-of-use assets</v>
      </c>
      <c r="D1609" s="11" t="s">
        <v>200</v>
      </c>
      <c r="E1609" s="7" t="s">
        <v>187</v>
      </c>
      <c r="F1609" s="7"/>
      <c r="G1609" s="7" t="s">
        <v>187</v>
      </c>
      <c r="H1609" s="6">
        <v>0</v>
      </c>
      <c r="I1609" s="6">
        <v>0</v>
      </c>
      <c r="J1609" s="7" t="s">
        <v>187</v>
      </c>
      <c r="K1609" s="6">
        <f>SUMIF('alb Note 16  Leases'!$B$12:$B$20,$J1609,'alb Note 16  Leases'!$E$12:$E$20)</f>
        <v>0</v>
      </c>
      <c r="L1609" s="6">
        <f>SUMIF('alb Note 16  Leases'!$B$12:$B$20,$J1609,'alb Note 16  Leases'!$O$12:$O$20)</f>
        <v>0</v>
      </c>
      <c r="M1609" s="10"/>
      <c r="N1609" s="273">
        <f t="shared" si="924"/>
        <v>0</v>
      </c>
      <c r="O1609" s="12"/>
      <c r="P1609" s="12"/>
      <c r="Q1609" s="12"/>
      <c r="R1609" s="12"/>
      <c r="S1609" s="6">
        <f t="shared" si="925"/>
        <v>0</v>
      </c>
      <c r="T1609" s="273">
        <f t="shared" si="931"/>
        <v>0</v>
      </c>
      <c r="U1609" s="6">
        <f t="shared" si="950"/>
        <v>0</v>
      </c>
      <c r="V1609" s="6"/>
      <c r="W1609" s="6">
        <f t="shared" si="932"/>
        <v>0</v>
      </c>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X1609" s="6"/>
      <c r="AY1609" s="6">
        <f>ROUND(AX1609/1000/Update!$B$31*Update!$B$27,0)</f>
        <v>0</v>
      </c>
      <c r="BA1609" s="6"/>
      <c r="BB1609" s="6">
        <f>ROUND(BA1609/1000/Update!$B$31,0)</f>
        <v>0</v>
      </c>
      <c r="BC1609" s="6"/>
      <c r="BD1609" s="29">
        <f t="shared" si="933"/>
        <v>0</v>
      </c>
      <c r="BE1609" s="317"/>
      <c r="BF1609" s="317"/>
      <c r="BG1609" s="317"/>
      <c r="BH1609" s="317"/>
      <c r="BI1609" s="317"/>
      <c r="BJ1609" s="317"/>
      <c r="BK1609" s="29">
        <f t="shared" si="951"/>
        <v>0</v>
      </c>
      <c r="BL1609" s="317"/>
      <c r="BM1609" s="317"/>
      <c r="BN1609" s="317"/>
      <c r="BO1609" s="317"/>
      <c r="BP1609" s="317"/>
      <c r="BQ1609" s="317"/>
      <c r="BR1609" s="317"/>
      <c r="BS1609" s="317"/>
      <c r="BT1609" s="317"/>
      <c r="BU1609" s="317"/>
      <c r="BV1609" s="317"/>
      <c r="BW1609" s="317"/>
      <c r="BX1609" s="317"/>
      <c r="BY1609" s="317"/>
      <c r="BZ1609" s="317"/>
      <c r="CA1609" s="317"/>
      <c r="CB1609" s="317"/>
      <c r="CC1609" s="317"/>
      <c r="CD1609" s="317"/>
      <c r="CE1609" s="317"/>
      <c r="CF1609" s="317"/>
      <c r="CG1609" s="317"/>
      <c r="CH1609" s="317"/>
      <c r="CI1609" s="317"/>
      <c r="CM1609" s="1139">
        <f t="shared" si="898"/>
        <v>0</v>
      </c>
      <c r="CN1609" s="1139">
        <v>0</v>
      </c>
      <c r="CP1609" s="923">
        <f t="shared" si="895"/>
        <v>0</v>
      </c>
      <c r="CZ1609" s="330"/>
    </row>
    <row r="1610" spans="1:104" ht="15" customHeight="1" x14ac:dyDescent="0.25">
      <c r="A1610" s="684">
        <f>MAX($A$6:A1609)+1</f>
        <v>1610</v>
      </c>
      <c r="B1610" s="3">
        <f t="shared" ref="B1610:C1612" si="952">B1609</f>
        <v>17.100000000000001</v>
      </c>
      <c r="C1610" s="11" t="str">
        <f t="shared" si="952"/>
        <v>Quantitative disclosures around right-of-use assets</v>
      </c>
      <c r="D1610" s="11" t="s">
        <v>200</v>
      </c>
      <c r="E1610" s="7" t="s">
        <v>189</v>
      </c>
      <c r="F1610" s="1267"/>
      <c r="G1610" s="1254" t="s">
        <v>189</v>
      </c>
      <c r="H1610" s="6">
        <v>0</v>
      </c>
      <c r="I1610" s="6">
        <v>0</v>
      </c>
      <c r="J1610" s="1254" t="s">
        <v>189</v>
      </c>
      <c r="K1610" s="6">
        <f>SUMIF('alb Note 16  Leases'!$B$12:$B$20,$J1610,'alb Note 16  Leases'!$E$12:$E$20)</f>
        <v>0</v>
      </c>
      <c r="L1610" s="6">
        <f>SUMIF('alb Note 16  Leases'!$B$12:$B$20,$J1610,'alb Note 16  Leases'!$O$12:$O$20)</f>
        <v>0</v>
      </c>
      <c r="M1610" s="10"/>
      <c r="N1610" s="273">
        <f t="shared" si="924"/>
        <v>0</v>
      </c>
      <c r="O1610" s="12"/>
      <c r="P1610" s="12"/>
      <c r="Q1610" s="12"/>
      <c r="R1610" s="12"/>
      <c r="S1610" s="6">
        <f t="shared" si="925"/>
        <v>0</v>
      </c>
      <c r="T1610" s="273">
        <f t="shared" si="931"/>
        <v>0</v>
      </c>
      <c r="U1610" s="6">
        <f t="shared" si="950"/>
        <v>0</v>
      </c>
      <c r="V1610" s="6"/>
      <c r="W1610" s="6">
        <f t="shared" si="932"/>
        <v>0</v>
      </c>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X1610" s="6"/>
      <c r="AY1610" s="6">
        <f>ROUND(AX1610/1000/Update!$B$31*Update!$B$27,0)</f>
        <v>0</v>
      </c>
      <c r="BA1610" s="6"/>
      <c r="BB1610" s="6">
        <f>ROUND(BA1610/1000/Update!$B$31,0)</f>
        <v>0</v>
      </c>
      <c r="BC1610" s="6"/>
      <c r="BD1610" s="29">
        <f t="shared" si="933"/>
        <v>0</v>
      </c>
      <c r="BE1610" s="322"/>
      <c r="BF1610" s="322"/>
      <c r="BG1610" s="322"/>
      <c r="BH1610" s="322"/>
      <c r="BI1610" s="322"/>
      <c r="BJ1610" s="322"/>
      <c r="BK1610" s="29">
        <f t="shared" si="951"/>
        <v>0</v>
      </c>
      <c r="BL1610" s="317"/>
      <c r="BM1610" s="317"/>
      <c r="BN1610" s="317"/>
      <c r="BO1610" s="317"/>
      <c r="BP1610" s="317"/>
      <c r="BQ1610" s="317"/>
      <c r="BR1610" s="317"/>
      <c r="BS1610" s="317"/>
      <c r="BT1610" s="317"/>
      <c r="BU1610" s="317"/>
      <c r="BV1610" s="317"/>
      <c r="BW1610" s="317"/>
      <c r="BX1610" s="317"/>
      <c r="BY1610" s="317"/>
      <c r="BZ1610" s="317"/>
      <c r="CA1610" s="317"/>
      <c r="CB1610" s="317"/>
      <c r="CC1610" s="317"/>
      <c r="CD1610" s="317"/>
      <c r="CE1610" s="317"/>
      <c r="CF1610" s="317"/>
      <c r="CG1610" s="317"/>
      <c r="CH1610" s="317"/>
      <c r="CI1610" s="317"/>
      <c r="CM1610" s="1139">
        <f t="shared" si="898"/>
        <v>0</v>
      </c>
      <c r="CN1610" s="1139">
        <v>0</v>
      </c>
      <c r="CP1610" s="923">
        <f t="shared" ref="CP1610:CP1677" si="953">-V1610+BL1610+BM1610+BN1610+CM1610</f>
        <v>0</v>
      </c>
      <c r="CZ1610" s="330"/>
    </row>
    <row r="1611" spans="1:104" ht="15" customHeight="1" x14ac:dyDescent="0.25">
      <c r="A1611" s="684">
        <f>MAX($A$6:A1610)+1</f>
        <v>1611</v>
      </c>
      <c r="B1611" s="3">
        <f t="shared" si="952"/>
        <v>17.100000000000001</v>
      </c>
      <c r="C1611" s="11" t="str">
        <f t="shared" si="952"/>
        <v>Quantitative disclosures around right-of-use assets</v>
      </c>
      <c r="D1611" s="11" t="s">
        <v>200</v>
      </c>
      <c r="E1611" s="7" t="s">
        <v>191</v>
      </c>
      <c r="F1611" s="1267"/>
      <c r="G1611" s="1254" t="s">
        <v>191</v>
      </c>
      <c r="H1611" s="6">
        <v>0</v>
      </c>
      <c r="I1611" s="6">
        <v>0</v>
      </c>
      <c r="J1611" s="1254" t="s">
        <v>191</v>
      </c>
      <c r="K1611" s="6">
        <f>SUMIF('alb Note 16  Leases'!$B$12:$B$20,$J1611,'alb Note 16  Leases'!$E$12:$E$20)</f>
        <v>0</v>
      </c>
      <c r="L1611" s="6">
        <f>SUMIF('alb Note 16  Leases'!$B$12:$B$20,$J1611,'alb Note 16  Leases'!$O$12:$O$20)</f>
        <v>0</v>
      </c>
      <c r="M1611" s="10"/>
      <c r="N1611" s="273">
        <f t="shared" si="924"/>
        <v>0</v>
      </c>
      <c r="O1611" s="12"/>
      <c r="P1611" s="12"/>
      <c r="Q1611" s="12"/>
      <c r="R1611" s="12"/>
      <c r="S1611" s="6">
        <f t="shared" si="925"/>
        <v>0</v>
      </c>
      <c r="T1611" s="273">
        <f t="shared" si="931"/>
        <v>0</v>
      </c>
      <c r="U1611" s="6">
        <f t="shared" si="950"/>
        <v>0</v>
      </c>
      <c r="V1611" s="6"/>
      <c r="W1611" s="6">
        <f t="shared" si="932"/>
        <v>0</v>
      </c>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X1611" s="6"/>
      <c r="AY1611" s="6">
        <f>ROUND(AX1611/1000/Update!$B$31*Update!$B$27,0)</f>
        <v>0</v>
      </c>
      <c r="BA1611" s="6"/>
      <c r="BB1611" s="6">
        <f>ROUND(BA1611/1000/Update!$B$31,0)</f>
        <v>0</v>
      </c>
      <c r="BC1611" s="6"/>
      <c r="BD1611" s="29">
        <f t="shared" si="933"/>
        <v>0</v>
      </c>
      <c r="BE1611" s="322"/>
      <c r="BF1611" s="322"/>
      <c r="BG1611" s="322"/>
      <c r="BH1611" s="322"/>
      <c r="BI1611" s="322"/>
      <c r="BJ1611" s="322"/>
      <c r="BK1611" s="29">
        <f t="shared" si="951"/>
        <v>0</v>
      </c>
      <c r="BL1611" s="317"/>
      <c r="BM1611" s="317"/>
      <c r="BN1611" s="317"/>
      <c r="BO1611" s="317"/>
      <c r="BP1611" s="317"/>
      <c r="BQ1611" s="317"/>
      <c r="BR1611" s="317"/>
      <c r="BS1611" s="317"/>
      <c r="BT1611" s="317"/>
      <c r="BU1611" s="317"/>
      <c r="BV1611" s="317"/>
      <c r="BW1611" s="317"/>
      <c r="BX1611" s="317"/>
      <c r="BY1611" s="317"/>
      <c r="BZ1611" s="317"/>
      <c r="CA1611" s="317"/>
      <c r="CB1611" s="317"/>
      <c r="CC1611" s="317"/>
      <c r="CD1611" s="317"/>
      <c r="CE1611" s="317"/>
      <c r="CF1611" s="317"/>
      <c r="CG1611" s="317"/>
      <c r="CH1611" s="317"/>
      <c r="CI1611" s="317"/>
      <c r="CM1611" s="1139">
        <f t="shared" ref="CM1611:CM1678" si="954">+U1611+V1611</f>
        <v>0</v>
      </c>
      <c r="CN1611" s="1139">
        <v>0</v>
      </c>
      <c r="CP1611" s="923">
        <f t="shared" si="953"/>
        <v>0</v>
      </c>
      <c r="CZ1611" s="330"/>
    </row>
    <row r="1612" spans="1:104" ht="15" customHeight="1" x14ac:dyDescent="0.25">
      <c r="A1612" s="684">
        <f>MAX($A$6:A1611)+1</f>
        <v>1612</v>
      </c>
      <c r="B1612" s="3">
        <f t="shared" si="952"/>
        <v>17.100000000000001</v>
      </c>
      <c r="C1612" s="11" t="str">
        <f t="shared" si="952"/>
        <v>Quantitative disclosures around right-of-use assets</v>
      </c>
      <c r="D1612" s="11" t="s">
        <v>200</v>
      </c>
      <c r="E1612" s="7" t="s">
        <v>2488</v>
      </c>
      <c r="F1612" s="1267"/>
      <c r="G1612" s="7" t="s">
        <v>2488</v>
      </c>
      <c r="H1612" s="6">
        <v>0</v>
      </c>
      <c r="I1612" s="6">
        <v>0</v>
      </c>
      <c r="J1612" s="7" t="s">
        <v>2488</v>
      </c>
      <c r="K1612" s="6">
        <f>SUMIF('alb Note 16  Leases'!$B$12:$B$20,$J1612,'alb Note 16  Leases'!$E$12:$E$20)</f>
        <v>0</v>
      </c>
      <c r="L1612" s="6">
        <f>SUMIF('alb Note 16  Leases'!$B$12:$B$20,$J1612,'alb Note 16  Leases'!$O$12:$O$20)</f>
        <v>0</v>
      </c>
      <c r="M1612" s="10"/>
      <c r="N1612" s="273">
        <f t="shared" si="924"/>
        <v>0</v>
      </c>
      <c r="O1612" s="12"/>
      <c r="P1612" s="12"/>
      <c r="Q1612" s="12"/>
      <c r="R1612" s="12"/>
      <c r="S1612" s="6">
        <f t="shared" si="925"/>
        <v>0</v>
      </c>
      <c r="T1612" s="273">
        <f t="shared" si="931"/>
        <v>0</v>
      </c>
      <c r="U1612" s="6">
        <f t="shared" si="950"/>
        <v>0</v>
      </c>
      <c r="V1612" s="6"/>
      <c r="W1612" s="6">
        <f t="shared" si="932"/>
        <v>0</v>
      </c>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X1612" s="6"/>
      <c r="AY1612" s="6">
        <f>ROUND(AX1612/1000/Update!$B$31*Update!$B$27,0)</f>
        <v>0</v>
      </c>
      <c r="BA1612" s="6"/>
      <c r="BB1612" s="6">
        <f>ROUND(BA1612/1000/Update!$B$31,0)</f>
        <v>0</v>
      </c>
      <c r="BC1612" s="6"/>
      <c r="BD1612" s="29">
        <f t="shared" si="933"/>
        <v>0</v>
      </c>
      <c r="BE1612" s="322"/>
      <c r="BF1612" s="322"/>
      <c r="BG1612" s="322"/>
      <c r="BH1612" s="322"/>
      <c r="BI1612" s="322"/>
      <c r="BJ1612" s="322"/>
      <c r="BK1612" s="29">
        <f t="shared" si="951"/>
        <v>0</v>
      </c>
      <c r="BL1612" s="317"/>
      <c r="BM1612" s="317"/>
      <c r="BN1612" s="317"/>
      <c r="BO1612" s="317"/>
      <c r="BP1612" s="317"/>
      <c r="BQ1612" s="317"/>
      <c r="BR1612" s="317"/>
      <c r="BS1612" s="317"/>
      <c r="BT1612" s="317"/>
      <c r="BU1612" s="317"/>
      <c r="BV1612" s="317"/>
      <c r="BW1612" s="317"/>
      <c r="BX1612" s="317"/>
      <c r="BY1612" s="317"/>
      <c r="BZ1612" s="317"/>
      <c r="CA1612" s="317"/>
      <c r="CB1612" s="317"/>
      <c r="CC1612" s="317"/>
      <c r="CD1612" s="317"/>
      <c r="CE1612" s="317"/>
      <c r="CF1612" s="317"/>
      <c r="CG1612" s="317"/>
      <c r="CH1612" s="317"/>
      <c r="CI1612" s="317"/>
      <c r="CM1612" s="1139">
        <f t="shared" si="954"/>
        <v>0</v>
      </c>
      <c r="CN1612" s="1139">
        <v>0</v>
      </c>
      <c r="CP1612" s="923">
        <f t="shared" si="953"/>
        <v>0</v>
      </c>
      <c r="CZ1612" s="330"/>
    </row>
    <row r="1613" spans="1:104" ht="15" customHeight="1" x14ac:dyDescent="0.25">
      <c r="A1613" s="684">
        <f>MAX($A$6:A1612)+1</f>
        <v>1613</v>
      </c>
      <c r="B1613" s="3">
        <f>B1612</f>
        <v>17.100000000000001</v>
      </c>
      <c r="C1613" s="11" t="str">
        <f>C1612</f>
        <v>Quantitative disclosures around right-of-use assets</v>
      </c>
      <c r="D1613" s="11" t="s">
        <v>200</v>
      </c>
      <c r="E1613" s="7" t="str">
        <f>"At"&amp;Update!$B$22</f>
        <v>At 31 March 2026</v>
      </c>
      <c r="F1613" s="7"/>
      <c r="G1613" s="7" t="str">
        <f>"At"&amp;Update!$B$22</f>
        <v>At 31 March 2026</v>
      </c>
      <c r="H1613" s="6">
        <v>0</v>
      </c>
      <c r="I1613" s="6">
        <v>0</v>
      </c>
      <c r="J1613" s="7" t="str">
        <f>"At"&amp;Update!$B$22</f>
        <v>At 31 March 2026</v>
      </c>
      <c r="K1613" s="6">
        <f>SUMIF('alb Note 16  Leases'!$B$12:$B$20,$J1613,'alb Note 16  Leases'!$E$12:$E$20)</f>
        <v>0</v>
      </c>
      <c r="L1613" s="6">
        <f>SUMIF('alb Note 16  Leases'!$B$12:$B$20,$J1613,'alb Note 16  Leases'!$O$12:$O$20)</f>
        <v>0</v>
      </c>
      <c r="M1613" s="10"/>
      <c r="N1613" s="273">
        <f t="shared" si="924"/>
        <v>0</v>
      </c>
      <c r="O1613" s="12"/>
      <c r="P1613" s="12"/>
      <c r="Q1613" s="12"/>
      <c r="R1613" s="12"/>
      <c r="S1613" s="6">
        <f t="shared" si="925"/>
        <v>0</v>
      </c>
      <c r="T1613" s="273">
        <f t="shared" si="931"/>
        <v>0</v>
      </c>
      <c r="U1613" s="6">
        <f t="shared" si="950"/>
        <v>0</v>
      </c>
      <c r="V1613" s="6"/>
      <c r="W1613" s="6">
        <f t="shared" si="932"/>
        <v>0</v>
      </c>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X1613" s="6"/>
      <c r="AY1613" s="6">
        <f>ROUND(AX1613/1000/Update!$B$31*Update!$B$27,0)</f>
        <v>0</v>
      </c>
      <c r="BA1613" s="6"/>
      <c r="BB1613" s="6">
        <f>ROUND(BA1613/1000/Update!$B$31,0)</f>
        <v>0</v>
      </c>
      <c r="BC1613" s="6"/>
      <c r="BD1613" s="29">
        <f t="shared" si="933"/>
        <v>0</v>
      </c>
      <c r="BE1613" s="317"/>
      <c r="BF1613" s="317"/>
      <c r="BG1613" s="317"/>
      <c r="BH1613" s="317"/>
      <c r="BI1613" s="317"/>
      <c r="BJ1613" s="317"/>
      <c r="BK1613" s="29">
        <f t="shared" si="951"/>
        <v>0</v>
      </c>
      <c r="BL1613" s="317"/>
      <c r="BM1613" s="317"/>
      <c r="BN1613" s="317"/>
      <c r="BO1613" s="317"/>
      <c r="BP1613" s="317"/>
      <c r="BQ1613" s="317"/>
      <c r="BR1613" s="317"/>
      <c r="BS1613" s="317"/>
      <c r="BT1613" s="317"/>
      <c r="BU1613" s="317"/>
      <c r="BV1613" s="317"/>
      <c r="BW1613" s="317"/>
      <c r="BX1613" s="317"/>
      <c r="BY1613" s="317"/>
      <c r="BZ1613" s="317"/>
      <c r="CA1613" s="317"/>
      <c r="CB1613" s="317"/>
      <c r="CC1613" s="317"/>
      <c r="CD1613" s="317"/>
      <c r="CE1613" s="317"/>
      <c r="CF1613" s="317"/>
      <c r="CG1613" s="317"/>
      <c r="CH1613" s="317"/>
      <c r="CI1613" s="317"/>
      <c r="CM1613" s="1139">
        <f t="shared" si="954"/>
        <v>0</v>
      </c>
      <c r="CN1613" s="1139">
        <v>0</v>
      </c>
      <c r="CP1613" s="923">
        <f t="shared" si="953"/>
        <v>0</v>
      </c>
      <c r="CZ1613" s="330"/>
    </row>
    <row r="1614" spans="1:104" ht="15" customHeight="1" x14ac:dyDescent="0.25">
      <c r="A1614" s="684">
        <f>MAX($A$6:A1613)+1</f>
        <v>1614</v>
      </c>
      <c r="B1614" s="3">
        <f t="shared" ref="B1614:C1616" si="955">B1613</f>
        <v>17.100000000000001</v>
      </c>
      <c r="C1614" s="11" t="str">
        <f t="shared" si="955"/>
        <v>Quantitative disclosures around right-of-use assets</v>
      </c>
      <c r="D1614" s="11" t="s">
        <v>200</v>
      </c>
      <c r="E1614" s="7" t="str">
        <f>"At"&amp;Update!$B$20</f>
        <v>At 1 April 2025</v>
      </c>
      <c r="F1614" s="1267"/>
      <c r="G1614" s="1254" t="str">
        <f>"At"&amp;Update!$B$20</f>
        <v>At 1 April 2025</v>
      </c>
      <c r="H1614" s="6">
        <v>0</v>
      </c>
      <c r="I1614" s="6">
        <v>0</v>
      </c>
      <c r="J1614" s="7" t="str">
        <f>"At"&amp;Update!$B$20</f>
        <v>At 1 April 2025</v>
      </c>
      <c r="K1614" s="6">
        <f>SUMIF('alb Note 16  Leases'!$B$23:$B$30,$J1614,'alb Note 16  Leases'!$E$23:$E$30)</f>
        <v>0</v>
      </c>
      <c r="L1614" s="6">
        <f>SUMIF('alb Note 16  Leases'!$B$23:$B$30,$J1614,'alb Note 16  Leases'!$O$23:$O$30)</f>
        <v>0</v>
      </c>
      <c r="M1614" s="10"/>
      <c r="N1614" s="273">
        <f t="shared" si="924"/>
        <v>0</v>
      </c>
      <c r="O1614" s="12"/>
      <c r="P1614" s="12"/>
      <c r="Q1614" s="12"/>
      <c r="R1614" s="12"/>
      <c r="S1614" s="6">
        <f t="shared" si="925"/>
        <v>0</v>
      </c>
      <c r="T1614" s="273">
        <f t="shared" si="931"/>
        <v>0</v>
      </c>
      <c r="U1614" s="6">
        <f t="shared" si="950"/>
        <v>0</v>
      </c>
      <c r="V1614" s="6"/>
      <c r="W1614" s="6">
        <f t="shared" si="932"/>
        <v>0</v>
      </c>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X1614" s="6"/>
      <c r="AY1614" s="6">
        <f>ROUND(AX1614/1000/Update!$B$31*Update!$B$27,0)</f>
        <v>0</v>
      </c>
      <c r="BA1614" s="6"/>
      <c r="BB1614" s="6">
        <f>ROUND(BA1614/1000/Update!$B$31,0)</f>
        <v>0</v>
      </c>
      <c r="BC1614" s="6"/>
      <c r="BD1614" s="29">
        <f t="shared" si="933"/>
        <v>0</v>
      </c>
      <c r="BE1614" s="322"/>
      <c r="BF1614" s="322"/>
      <c r="BG1614" s="322"/>
      <c r="BH1614" s="322"/>
      <c r="BI1614" s="322"/>
      <c r="BJ1614" s="322"/>
      <c r="BK1614" s="29">
        <f t="shared" si="951"/>
        <v>0</v>
      </c>
      <c r="BL1614" s="317"/>
      <c r="BM1614" s="317"/>
      <c r="BN1614" s="317"/>
      <c r="BO1614" s="317"/>
      <c r="BP1614" s="317"/>
      <c r="BQ1614" s="317"/>
      <c r="BR1614" s="317"/>
      <c r="BS1614" s="317"/>
      <c r="BT1614" s="317"/>
      <c r="BU1614" s="317"/>
      <c r="BV1614" s="317"/>
      <c r="BW1614" s="317"/>
      <c r="BX1614" s="317"/>
      <c r="BY1614" s="317"/>
      <c r="BZ1614" s="317"/>
      <c r="CA1614" s="317"/>
      <c r="CB1614" s="317"/>
      <c r="CC1614" s="317"/>
      <c r="CD1614" s="317"/>
      <c r="CE1614" s="317"/>
      <c r="CF1614" s="317"/>
      <c r="CG1614" s="317"/>
      <c r="CH1614" s="317"/>
      <c r="CI1614" s="317"/>
      <c r="CM1614" s="1139">
        <f t="shared" si="954"/>
        <v>0</v>
      </c>
      <c r="CN1614" s="1139">
        <v>0</v>
      </c>
      <c r="CP1614" s="923">
        <f t="shared" si="953"/>
        <v>0</v>
      </c>
      <c r="CZ1614" s="330"/>
    </row>
    <row r="1615" spans="1:104" ht="15" customHeight="1" x14ac:dyDescent="0.25">
      <c r="A1615" s="684">
        <f>MAX($A$6:A1614)+1</f>
        <v>1615</v>
      </c>
      <c r="B1615" s="3">
        <f t="shared" si="955"/>
        <v>17.100000000000001</v>
      </c>
      <c r="C1615" s="11" t="str">
        <f t="shared" si="955"/>
        <v>Quantitative disclosures around right-of-use assets</v>
      </c>
      <c r="D1615" s="11" t="s">
        <v>200</v>
      </c>
      <c r="E1615" s="7" t="s">
        <v>2490</v>
      </c>
      <c r="F1615" s="1267"/>
      <c r="G1615" s="1254" t="s">
        <v>2490</v>
      </c>
      <c r="H1615" s="6">
        <v>0</v>
      </c>
      <c r="I1615" s="6">
        <v>0</v>
      </c>
      <c r="J1615" s="1254" t="s">
        <v>2490</v>
      </c>
      <c r="K1615" s="6">
        <f>SUMIF('alb Note 16  Leases'!$B$23:$B$30,$J1615,'alb Note 16  Leases'!$E$23:$E$30)</f>
        <v>0</v>
      </c>
      <c r="L1615" s="6">
        <f>SUMIF('alb Note 16  Leases'!$B$23:$B$30,$J1615,'alb Note 16  Leases'!$O$23:$O$30)</f>
        <v>0</v>
      </c>
      <c r="M1615" s="10"/>
      <c r="N1615" s="273">
        <f t="shared" si="924"/>
        <v>0</v>
      </c>
      <c r="O1615" s="12"/>
      <c r="P1615" s="12"/>
      <c r="Q1615" s="12"/>
      <c r="R1615" s="12"/>
      <c r="S1615" s="6">
        <f t="shared" si="925"/>
        <v>0</v>
      </c>
      <c r="T1615" s="273">
        <f t="shared" si="931"/>
        <v>0</v>
      </c>
      <c r="U1615" s="6">
        <f t="shared" si="950"/>
        <v>0</v>
      </c>
      <c r="V1615" s="6"/>
      <c r="W1615" s="6">
        <f t="shared" si="932"/>
        <v>0</v>
      </c>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X1615" s="6"/>
      <c r="AY1615" s="6">
        <f>ROUND(AX1615/1000/Update!$B$31*Update!$B$27,0)</f>
        <v>0</v>
      </c>
      <c r="BA1615" s="6"/>
      <c r="BB1615" s="6">
        <f>ROUND(BA1615/1000/Update!$B$31,0)</f>
        <v>0</v>
      </c>
      <c r="BC1615" s="6"/>
      <c r="BD1615" s="29">
        <f t="shared" si="933"/>
        <v>0</v>
      </c>
      <c r="BE1615" s="322"/>
      <c r="BF1615" s="322"/>
      <c r="BG1615" s="322"/>
      <c r="BH1615" s="322"/>
      <c r="BI1615" s="322"/>
      <c r="BJ1615" s="322"/>
      <c r="BK1615" s="29">
        <f t="shared" si="951"/>
        <v>0</v>
      </c>
      <c r="BL1615" s="317"/>
      <c r="BM1615" s="317"/>
      <c r="BN1615" s="317"/>
      <c r="BO1615" s="317"/>
      <c r="BP1615" s="317"/>
      <c r="BQ1615" s="317"/>
      <c r="BR1615" s="317"/>
      <c r="BS1615" s="317"/>
      <c r="BT1615" s="317"/>
      <c r="BU1615" s="317"/>
      <c r="BV1615" s="317"/>
      <c r="BW1615" s="317"/>
      <c r="BX1615" s="317"/>
      <c r="BY1615" s="317"/>
      <c r="BZ1615" s="317"/>
      <c r="CA1615" s="317"/>
      <c r="CB1615" s="317"/>
      <c r="CC1615" s="317"/>
      <c r="CD1615" s="317"/>
      <c r="CE1615" s="317"/>
      <c r="CF1615" s="317"/>
      <c r="CG1615" s="317"/>
      <c r="CH1615" s="317"/>
      <c r="CI1615" s="317"/>
      <c r="CM1615" s="1139">
        <f t="shared" si="954"/>
        <v>0</v>
      </c>
      <c r="CN1615" s="1139">
        <v>0</v>
      </c>
      <c r="CP1615" s="923">
        <f t="shared" si="953"/>
        <v>0</v>
      </c>
      <c r="CZ1615" s="330"/>
    </row>
    <row r="1616" spans="1:104" ht="15" customHeight="1" x14ac:dyDescent="0.25">
      <c r="A1616" s="684">
        <f>MAX($A$6:A1615)+1</f>
        <v>1616</v>
      </c>
      <c r="B1616" s="3">
        <f t="shared" si="955"/>
        <v>17.100000000000001</v>
      </c>
      <c r="C1616" s="11" t="str">
        <f t="shared" si="955"/>
        <v>Quantitative disclosures around right-of-use assets</v>
      </c>
      <c r="D1616" s="11" t="s">
        <v>200</v>
      </c>
      <c r="E1616" s="7" t="s">
        <v>190</v>
      </c>
      <c r="F1616" s="1267"/>
      <c r="G1616" s="7" t="s">
        <v>190</v>
      </c>
      <c r="H1616" s="6">
        <v>0</v>
      </c>
      <c r="I1616" s="6">
        <v>0</v>
      </c>
      <c r="J1616" s="7" t="s">
        <v>190</v>
      </c>
      <c r="K1616" s="6">
        <f>SUMIF('alb Note 16  Leases'!$B$23:$B$30,$J1616,'alb Note 16  Leases'!$E$23:$E$30)</f>
        <v>0</v>
      </c>
      <c r="L1616" s="6">
        <f>SUMIF('alb Note 16  Leases'!$B$23:$B$30,$J1616,'alb Note 16  Leases'!$O$23:$O$30)</f>
        <v>0</v>
      </c>
      <c r="M1616" s="10"/>
      <c r="N1616" s="273">
        <f t="shared" si="924"/>
        <v>0</v>
      </c>
      <c r="O1616" s="12"/>
      <c r="P1616" s="12"/>
      <c r="Q1616" s="12"/>
      <c r="R1616" s="12"/>
      <c r="S1616" s="6">
        <f t="shared" si="925"/>
        <v>0</v>
      </c>
      <c r="T1616" s="273">
        <f t="shared" si="931"/>
        <v>0</v>
      </c>
      <c r="U1616" s="6">
        <f t="shared" si="950"/>
        <v>0</v>
      </c>
      <c r="V1616" s="6"/>
      <c r="W1616" s="6">
        <f t="shared" si="932"/>
        <v>0</v>
      </c>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X1616" s="6"/>
      <c r="AY1616" s="6">
        <f>ROUND(AX1616/1000/Update!$B$31*Update!$B$27,0)</f>
        <v>0</v>
      </c>
      <c r="BA1616" s="6"/>
      <c r="BB1616" s="6">
        <f>ROUND(BA1616/1000/Update!$B$31,0)</f>
        <v>0</v>
      </c>
      <c r="BC1616" s="6"/>
      <c r="BD1616" s="29">
        <f t="shared" si="933"/>
        <v>0</v>
      </c>
      <c r="BE1616" s="322"/>
      <c r="BF1616" s="322"/>
      <c r="BG1616" s="322"/>
      <c r="BH1616" s="322"/>
      <c r="BI1616" s="322"/>
      <c r="BJ1616" s="322"/>
      <c r="BK1616" s="29">
        <f t="shared" si="951"/>
        <v>0</v>
      </c>
      <c r="BL1616" s="317"/>
      <c r="BM1616" s="317"/>
      <c r="BN1616" s="317"/>
      <c r="BO1616" s="317"/>
      <c r="BP1616" s="317"/>
      <c r="BQ1616" s="317"/>
      <c r="BR1616" s="317"/>
      <c r="BS1616" s="317"/>
      <c r="BT1616" s="317"/>
      <c r="BU1616" s="317"/>
      <c r="BV1616" s="317"/>
      <c r="BW1616" s="317"/>
      <c r="BX1616" s="317"/>
      <c r="BY1616" s="317"/>
      <c r="BZ1616" s="317"/>
      <c r="CA1616" s="317"/>
      <c r="CB1616" s="317"/>
      <c r="CC1616" s="317"/>
      <c r="CD1616" s="317"/>
      <c r="CE1616" s="317"/>
      <c r="CF1616" s="317"/>
      <c r="CG1616" s="317"/>
      <c r="CH1616" s="317"/>
      <c r="CI1616" s="317"/>
      <c r="CM1616" s="1139">
        <f t="shared" si="954"/>
        <v>0</v>
      </c>
      <c r="CN1616" s="1139">
        <v>0</v>
      </c>
      <c r="CP1616" s="923">
        <f t="shared" si="953"/>
        <v>0</v>
      </c>
      <c r="CZ1616" s="330"/>
    </row>
    <row r="1617" spans="1:104" ht="15" customHeight="1" x14ac:dyDescent="0.25">
      <c r="A1617" s="684">
        <f>MAX($A$6:A1616)+1</f>
        <v>1617</v>
      </c>
      <c r="B1617" s="3">
        <f>B1616</f>
        <v>17.100000000000001</v>
      </c>
      <c r="C1617" s="11" t="str">
        <f>C1616</f>
        <v>Quantitative disclosures around right-of-use assets</v>
      </c>
      <c r="D1617" s="11" t="s">
        <v>200</v>
      </c>
      <c r="E1617" s="7" t="s">
        <v>186</v>
      </c>
      <c r="F1617" s="7"/>
      <c r="G1617" s="7" t="s">
        <v>186</v>
      </c>
      <c r="H1617" s="6">
        <v>0</v>
      </c>
      <c r="I1617" s="6">
        <v>0</v>
      </c>
      <c r="J1617" s="7" t="s">
        <v>186</v>
      </c>
      <c r="K1617" s="6">
        <f>SUMIF('alb Note 16  Leases'!$B$23:$B$30,$J1617,'alb Note 16  Leases'!$E$23:$E$30)</f>
        <v>0</v>
      </c>
      <c r="L1617" s="6">
        <f>SUMIF('alb Note 16  Leases'!$B$23:$B$30,$J1617,'alb Note 16  Leases'!$O$23:$O$30)</f>
        <v>0</v>
      </c>
      <c r="M1617" s="10"/>
      <c r="N1617" s="273">
        <f t="shared" si="924"/>
        <v>0</v>
      </c>
      <c r="O1617" s="12"/>
      <c r="P1617" s="12"/>
      <c r="Q1617" s="12"/>
      <c r="R1617" s="12"/>
      <c r="S1617" s="6">
        <f t="shared" si="925"/>
        <v>0</v>
      </c>
      <c r="T1617" s="273">
        <f t="shared" si="931"/>
        <v>0</v>
      </c>
      <c r="U1617" s="6">
        <f t="shared" si="950"/>
        <v>0</v>
      </c>
      <c r="V1617" s="6"/>
      <c r="W1617" s="6">
        <f t="shared" si="932"/>
        <v>0</v>
      </c>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X1617" s="6"/>
      <c r="AY1617" s="6">
        <f>ROUND(AX1617/1000/Update!$B$31*Update!$B$27,0)</f>
        <v>0</v>
      </c>
      <c r="BA1617" s="6"/>
      <c r="BB1617" s="6">
        <f>ROUND(BA1617/1000/Update!$B$31,0)</f>
        <v>0</v>
      </c>
      <c r="BC1617" s="6"/>
      <c r="BD1617" s="29">
        <f t="shared" si="933"/>
        <v>0</v>
      </c>
      <c r="BE1617" s="317"/>
      <c r="BF1617" s="317"/>
      <c r="BG1617" s="317"/>
      <c r="BH1617" s="317"/>
      <c r="BI1617" s="317"/>
      <c r="BJ1617" s="317"/>
      <c r="BK1617" s="29">
        <f t="shared" si="951"/>
        <v>0</v>
      </c>
      <c r="BL1617" s="317"/>
      <c r="BM1617" s="317"/>
      <c r="BN1617" s="317"/>
      <c r="BO1617" s="317"/>
      <c r="BP1617" s="317"/>
      <c r="BQ1617" s="317"/>
      <c r="BR1617" s="317"/>
      <c r="BS1617" s="317"/>
      <c r="BT1617" s="317"/>
      <c r="BU1617" s="317"/>
      <c r="BV1617" s="317"/>
      <c r="BW1617" s="317"/>
      <c r="BX1617" s="317"/>
      <c r="BY1617" s="317"/>
      <c r="BZ1617" s="317"/>
      <c r="CA1617" s="317"/>
      <c r="CB1617" s="317"/>
      <c r="CC1617" s="317"/>
      <c r="CD1617" s="317"/>
      <c r="CE1617" s="317"/>
      <c r="CF1617" s="317"/>
      <c r="CG1617" s="317"/>
      <c r="CH1617" s="317"/>
      <c r="CI1617" s="317"/>
      <c r="CM1617" s="1139">
        <f t="shared" si="954"/>
        <v>0</v>
      </c>
      <c r="CN1617" s="1139">
        <v>0</v>
      </c>
      <c r="CP1617" s="923">
        <f t="shared" si="953"/>
        <v>0</v>
      </c>
      <c r="CZ1617" s="330"/>
    </row>
    <row r="1618" spans="1:104" ht="15" customHeight="1" x14ac:dyDescent="0.25">
      <c r="A1618" s="684">
        <f>MAX($A$6:A1617)+1</f>
        <v>1618</v>
      </c>
      <c r="B1618" s="3">
        <f t="shared" ref="B1618:C1620" si="956">B1617</f>
        <v>17.100000000000001</v>
      </c>
      <c r="C1618" s="11" t="str">
        <f t="shared" si="956"/>
        <v>Quantitative disclosures around right-of-use assets</v>
      </c>
      <c r="D1618" s="11" t="s">
        <v>200</v>
      </c>
      <c r="E1618" s="7" t="s">
        <v>187</v>
      </c>
      <c r="F1618" s="1267"/>
      <c r="G1618" s="1254" t="s">
        <v>187</v>
      </c>
      <c r="H1618" s="6">
        <v>0</v>
      </c>
      <c r="I1618" s="6">
        <v>0</v>
      </c>
      <c r="J1618" s="1254" t="s">
        <v>187</v>
      </c>
      <c r="K1618" s="6">
        <f>SUMIF('alb Note 16  Leases'!$B$23:$B$30,$J1618,'alb Note 16  Leases'!$E$23:$E$30)</f>
        <v>0</v>
      </c>
      <c r="L1618" s="6">
        <f>SUMIF('alb Note 16  Leases'!$B$23:$B$30,$J1618,'alb Note 16  Leases'!$O$23:$O$30)</f>
        <v>0</v>
      </c>
      <c r="M1618" s="10"/>
      <c r="N1618" s="273">
        <f t="shared" si="924"/>
        <v>0</v>
      </c>
      <c r="O1618" s="12"/>
      <c r="P1618" s="12"/>
      <c r="Q1618" s="12"/>
      <c r="R1618" s="12"/>
      <c r="S1618" s="6">
        <f t="shared" si="925"/>
        <v>0</v>
      </c>
      <c r="T1618" s="273">
        <f t="shared" si="931"/>
        <v>0</v>
      </c>
      <c r="U1618" s="6">
        <f t="shared" si="950"/>
        <v>0</v>
      </c>
      <c r="V1618" s="6"/>
      <c r="W1618" s="6">
        <f t="shared" si="932"/>
        <v>0</v>
      </c>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X1618" s="6"/>
      <c r="AY1618" s="6">
        <f>ROUND(AX1618/1000/Update!$B$31*Update!$B$27,0)</f>
        <v>0</v>
      </c>
      <c r="BA1618" s="6"/>
      <c r="BB1618" s="6">
        <f>ROUND(BA1618/1000/Update!$B$31,0)</f>
        <v>0</v>
      </c>
      <c r="BC1618" s="6"/>
      <c r="BD1618" s="29">
        <f t="shared" si="933"/>
        <v>0</v>
      </c>
      <c r="BE1618" s="322"/>
      <c r="BF1618" s="322"/>
      <c r="BG1618" s="322"/>
      <c r="BH1618" s="322"/>
      <c r="BI1618" s="322"/>
      <c r="BJ1618" s="322"/>
      <c r="BK1618" s="29">
        <f t="shared" si="951"/>
        <v>0</v>
      </c>
      <c r="BL1618" s="317"/>
      <c r="BM1618" s="317"/>
      <c r="BN1618" s="317"/>
      <c r="BO1618" s="317"/>
      <c r="BP1618" s="317"/>
      <c r="BQ1618" s="317"/>
      <c r="BR1618" s="317"/>
      <c r="BS1618" s="317"/>
      <c r="BT1618" s="317"/>
      <c r="BU1618" s="317"/>
      <c r="BV1618" s="317"/>
      <c r="BW1618" s="317"/>
      <c r="BX1618" s="317"/>
      <c r="BY1618" s="317"/>
      <c r="BZ1618" s="317"/>
      <c r="CA1618" s="317"/>
      <c r="CB1618" s="317"/>
      <c r="CC1618" s="317"/>
      <c r="CD1618" s="317"/>
      <c r="CE1618" s="317"/>
      <c r="CF1618" s="317"/>
      <c r="CG1618" s="317"/>
      <c r="CH1618" s="317"/>
      <c r="CI1618" s="317"/>
      <c r="CM1618" s="1139">
        <f t="shared" si="954"/>
        <v>0</v>
      </c>
      <c r="CN1618" s="1139">
        <v>0</v>
      </c>
      <c r="CP1618" s="923">
        <f t="shared" si="953"/>
        <v>0</v>
      </c>
      <c r="CZ1618" s="330"/>
    </row>
    <row r="1619" spans="1:104" ht="15" customHeight="1" x14ac:dyDescent="0.25">
      <c r="A1619" s="684">
        <f>MAX($A$6:A1618)+1</f>
        <v>1619</v>
      </c>
      <c r="B1619" s="3">
        <f t="shared" si="956"/>
        <v>17.100000000000001</v>
      </c>
      <c r="C1619" s="11" t="str">
        <f t="shared" si="956"/>
        <v>Quantitative disclosures around right-of-use assets</v>
      </c>
      <c r="D1619" s="11" t="s">
        <v>200</v>
      </c>
      <c r="E1619" s="7" t="s">
        <v>189</v>
      </c>
      <c r="F1619" s="1267"/>
      <c r="G1619" s="1254" t="s">
        <v>189</v>
      </c>
      <c r="H1619" s="6">
        <v>0</v>
      </c>
      <c r="I1619" s="6">
        <v>0</v>
      </c>
      <c r="J1619" s="1254" t="s">
        <v>189</v>
      </c>
      <c r="K1619" s="6">
        <f>SUMIF('alb Note 16  Leases'!$B$23:$B$30,$J1619,'alb Note 16  Leases'!$E$23:$E$30)</f>
        <v>0</v>
      </c>
      <c r="L1619" s="6">
        <f>SUMIF('alb Note 16  Leases'!$B$23:$B$30,$J1619,'alb Note 16  Leases'!$O$23:$O$30)</f>
        <v>0</v>
      </c>
      <c r="M1619" s="10"/>
      <c r="N1619" s="273">
        <f t="shared" si="924"/>
        <v>0</v>
      </c>
      <c r="O1619" s="12"/>
      <c r="P1619" s="12"/>
      <c r="Q1619" s="12"/>
      <c r="R1619" s="12"/>
      <c r="S1619" s="6">
        <f t="shared" si="925"/>
        <v>0</v>
      </c>
      <c r="T1619" s="273">
        <f t="shared" si="931"/>
        <v>0</v>
      </c>
      <c r="U1619" s="6">
        <f t="shared" si="950"/>
        <v>0</v>
      </c>
      <c r="V1619" s="6"/>
      <c r="W1619" s="6">
        <f t="shared" si="932"/>
        <v>0</v>
      </c>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X1619" s="6"/>
      <c r="AY1619" s="6">
        <f>ROUND(AX1619/1000/Update!$B$31*Update!$B$27,0)</f>
        <v>0</v>
      </c>
      <c r="BA1619" s="6"/>
      <c r="BB1619" s="6">
        <f>ROUND(BA1619/1000/Update!$B$31,0)</f>
        <v>0</v>
      </c>
      <c r="BC1619" s="6"/>
      <c r="BD1619" s="29">
        <f t="shared" si="933"/>
        <v>0</v>
      </c>
      <c r="BE1619" s="322"/>
      <c r="BF1619" s="322"/>
      <c r="BG1619" s="322"/>
      <c r="BH1619" s="322"/>
      <c r="BI1619" s="322"/>
      <c r="BJ1619" s="322"/>
      <c r="BK1619" s="29">
        <f t="shared" si="951"/>
        <v>0</v>
      </c>
      <c r="BL1619" s="317"/>
      <c r="BM1619" s="317"/>
      <c r="BN1619" s="317"/>
      <c r="BO1619" s="317"/>
      <c r="BP1619" s="317"/>
      <c r="BQ1619" s="317"/>
      <c r="BR1619" s="317"/>
      <c r="BS1619" s="317"/>
      <c r="BT1619" s="317"/>
      <c r="BU1619" s="317"/>
      <c r="BV1619" s="317"/>
      <c r="BW1619" s="317"/>
      <c r="BX1619" s="317"/>
      <c r="BY1619" s="317"/>
      <c r="BZ1619" s="317"/>
      <c r="CA1619" s="317"/>
      <c r="CB1619" s="317"/>
      <c r="CC1619" s="317"/>
      <c r="CD1619" s="317"/>
      <c r="CE1619" s="317"/>
      <c r="CF1619" s="317"/>
      <c r="CG1619" s="317"/>
      <c r="CH1619" s="317"/>
      <c r="CI1619" s="317"/>
      <c r="CM1619" s="1139">
        <f t="shared" si="954"/>
        <v>0</v>
      </c>
      <c r="CN1619" s="1139">
        <v>0</v>
      </c>
      <c r="CP1619" s="923">
        <f t="shared" si="953"/>
        <v>0</v>
      </c>
      <c r="CZ1619" s="330"/>
    </row>
    <row r="1620" spans="1:104" ht="15" customHeight="1" x14ac:dyDescent="0.25">
      <c r="A1620" s="684">
        <f>MAX($A$6:A1619)+1</f>
        <v>1620</v>
      </c>
      <c r="B1620" s="3">
        <f t="shared" si="956"/>
        <v>17.100000000000001</v>
      </c>
      <c r="C1620" s="11" t="str">
        <f t="shared" si="956"/>
        <v>Quantitative disclosures around right-of-use assets</v>
      </c>
      <c r="D1620" s="11" t="s">
        <v>200</v>
      </c>
      <c r="E1620" s="7" t="s">
        <v>191</v>
      </c>
      <c r="F1620" s="1267"/>
      <c r="G1620" s="7" t="s">
        <v>191</v>
      </c>
      <c r="H1620" s="6">
        <v>0</v>
      </c>
      <c r="I1620" s="6">
        <v>0</v>
      </c>
      <c r="J1620" s="7" t="s">
        <v>191</v>
      </c>
      <c r="K1620" s="6">
        <f>SUMIF('alb Note 16  Leases'!$B$23:$B$30,$J1620,'alb Note 16  Leases'!$E$23:$E$30)</f>
        <v>0</v>
      </c>
      <c r="L1620" s="6">
        <f>SUMIF('alb Note 16  Leases'!$B$23:$B$30,$J1620,'alb Note 16  Leases'!$O$23:$O$30)</f>
        <v>0</v>
      </c>
      <c r="M1620" s="10"/>
      <c r="N1620" s="273">
        <f t="shared" ref="N1620:N1653" si="957">ROUND(SUM(O1620:S1620)+T1620+SUM(Z1620:AV1620),0)</f>
        <v>0</v>
      </c>
      <c r="O1620" s="12"/>
      <c r="P1620" s="12"/>
      <c r="Q1620" s="12"/>
      <c r="R1620" s="12"/>
      <c r="S1620" s="6">
        <f t="shared" ref="S1620:S1653" si="958">-IF(ISNUMBER(BD1620),BD1620,0)</f>
        <v>0</v>
      </c>
      <c r="T1620" s="273">
        <f t="shared" si="931"/>
        <v>0</v>
      </c>
      <c r="U1620" s="6">
        <f t="shared" si="950"/>
        <v>0</v>
      </c>
      <c r="V1620" s="6"/>
      <c r="W1620" s="6">
        <f t="shared" si="932"/>
        <v>0</v>
      </c>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X1620" s="6"/>
      <c r="AY1620" s="6">
        <f>ROUND(AX1620/1000/Update!$B$31*Update!$B$27,0)</f>
        <v>0</v>
      </c>
      <c r="BA1620" s="6"/>
      <c r="BB1620" s="6">
        <f>ROUND(BA1620/1000/Update!$B$31,0)</f>
        <v>0</v>
      </c>
      <c r="BC1620" s="6"/>
      <c r="BD1620" s="29">
        <f t="shared" si="933"/>
        <v>0</v>
      </c>
      <c r="BE1620" s="322"/>
      <c r="BF1620" s="322"/>
      <c r="BG1620" s="322"/>
      <c r="BH1620" s="322"/>
      <c r="BI1620" s="322"/>
      <c r="BJ1620" s="322"/>
      <c r="BK1620" s="29">
        <f t="shared" si="951"/>
        <v>0</v>
      </c>
      <c r="BL1620" s="317"/>
      <c r="BM1620" s="317"/>
      <c r="BN1620" s="317"/>
      <c r="BO1620" s="317"/>
      <c r="BP1620" s="317"/>
      <c r="BQ1620" s="317"/>
      <c r="BR1620" s="317"/>
      <c r="BS1620" s="317"/>
      <c r="BT1620" s="317"/>
      <c r="BU1620" s="317"/>
      <c r="BV1620" s="317"/>
      <c r="BW1620" s="317"/>
      <c r="BX1620" s="317"/>
      <c r="BY1620" s="317"/>
      <c r="BZ1620" s="317"/>
      <c r="CA1620" s="317"/>
      <c r="CB1620" s="317"/>
      <c r="CC1620" s="317"/>
      <c r="CD1620" s="317"/>
      <c r="CE1620" s="317"/>
      <c r="CF1620" s="317"/>
      <c r="CG1620" s="317"/>
      <c r="CH1620" s="317"/>
      <c r="CI1620" s="317"/>
      <c r="CM1620" s="1139">
        <f t="shared" si="954"/>
        <v>0</v>
      </c>
      <c r="CN1620" s="1139">
        <v>0</v>
      </c>
      <c r="CP1620" s="923">
        <f t="shared" si="953"/>
        <v>0</v>
      </c>
      <c r="CZ1620" s="330"/>
    </row>
    <row r="1621" spans="1:104" ht="15" customHeight="1" x14ac:dyDescent="0.25">
      <c r="A1621" s="684">
        <f>MAX($A$6:A1620)+1</f>
        <v>1621</v>
      </c>
      <c r="B1621" s="3">
        <f t="shared" ref="B1621:C1654" si="959">B1620</f>
        <v>17.100000000000001</v>
      </c>
      <c r="C1621" s="11" t="str">
        <f t="shared" ref="C1621:C1654" si="960">C1620</f>
        <v>Quantitative disclosures around right-of-use assets</v>
      </c>
      <c r="D1621" s="11" t="s">
        <v>200</v>
      </c>
      <c r="E1621" s="7" t="str">
        <f>"At"&amp;Update!$B$22</f>
        <v>At 31 March 2026</v>
      </c>
      <c r="F1621" s="7"/>
      <c r="G1621" s="7" t="str">
        <f>"At"&amp;Update!$B$22</f>
        <v>At 31 March 2026</v>
      </c>
      <c r="H1621" s="6">
        <v>0</v>
      </c>
      <c r="I1621" s="6">
        <v>0</v>
      </c>
      <c r="J1621" s="7" t="str">
        <f>"At"&amp;Update!$B$22</f>
        <v>At 31 March 2026</v>
      </c>
      <c r="K1621" s="6">
        <f>SUMIF('alb Note 16  Leases'!$B$23:$B$30,$J1621,'alb Note 16  Leases'!$E$23:$E$30)</f>
        <v>0</v>
      </c>
      <c r="L1621" s="6">
        <f>SUMIF('alb Note 16  Leases'!$B$23:$B$30,$J1621,'alb Note 16  Leases'!$O$23:$O$30)</f>
        <v>0</v>
      </c>
      <c r="M1621" s="10"/>
      <c r="N1621" s="273">
        <f t="shared" si="957"/>
        <v>0</v>
      </c>
      <c r="O1621" s="12"/>
      <c r="P1621" s="12"/>
      <c r="Q1621" s="12"/>
      <c r="R1621" s="12"/>
      <c r="S1621" s="6">
        <f t="shared" si="958"/>
        <v>0</v>
      </c>
      <c r="T1621" s="273">
        <f t="shared" si="931"/>
        <v>0</v>
      </c>
      <c r="U1621" s="6">
        <f t="shared" si="950"/>
        <v>0</v>
      </c>
      <c r="V1621" s="6"/>
      <c r="W1621" s="6">
        <f t="shared" si="932"/>
        <v>0</v>
      </c>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X1621" s="6"/>
      <c r="AY1621" s="6">
        <f>ROUND(AX1621/1000/Update!$B$31*Update!$B$27,0)</f>
        <v>0</v>
      </c>
      <c r="BA1621" s="6"/>
      <c r="BB1621" s="6">
        <f>ROUND(BA1621/1000/Update!$B$31,0)</f>
        <v>0</v>
      </c>
      <c r="BC1621" s="6"/>
      <c r="BD1621" s="29">
        <f t="shared" si="933"/>
        <v>0</v>
      </c>
      <c r="BE1621" s="317"/>
      <c r="BF1621" s="317"/>
      <c r="BG1621" s="317"/>
      <c r="BH1621" s="317"/>
      <c r="BI1621" s="317"/>
      <c r="BJ1621" s="317"/>
      <c r="BK1621" s="29">
        <f t="shared" si="951"/>
        <v>0</v>
      </c>
      <c r="BL1621" s="317"/>
      <c r="BM1621" s="317"/>
      <c r="BN1621" s="317"/>
      <c r="BO1621" s="317"/>
      <c r="BP1621" s="317"/>
      <c r="BQ1621" s="317"/>
      <c r="BR1621" s="317"/>
      <c r="BS1621" s="317"/>
      <c r="BT1621" s="317"/>
      <c r="BU1621" s="317"/>
      <c r="BV1621" s="317"/>
      <c r="BW1621" s="317"/>
      <c r="BX1621" s="317"/>
      <c r="BY1621" s="317"/>
      <c r="BZ1621" s="317"/>
      <c r="CA1621" s="317"/>
      <c r="CB1621" s="317"/>
      <c r="CC1621" s="317"/>
      <c r="CD1621" s="317"/>
      <c r="CE1621" s="317"/>
      <c r="CF1621" s="317"/>
      <c r="CG1621" s="317"/>
      <c r="CH1621" s="317"/>
      <c r="CI1621" s="317"/>
      <c r="CM1621" s="1139">
        <f t="shared" si="954"/>
        <v>0</v>
      </c>
      <c r="CN1621" s="1139">
        <v>0</v>
      </c>
      <c r="CP1621" s="923">
        <f t="shared" si="953"/>
        <v>0</v>
      </c>
      <c r="CZ1621" s="330"/>
    </row>
    <row r="1622" spans="1:104" ht="15" customHeight="1" x14ac:dyDescent="0.25">
      <c r="A1622" s="701">
        <f>MAX($A$6:A1621)+1</f>
        <v>1622</v>
      </c>
      <c r="B1622" s="1291">
        <f t="shared" si="959"/>
        <v>17.100000000000001</v>
      </c>
      <c r="C1622" s="18" t="str">
        <f t="shared" si="959"/>
        <v>Quantitative disclosures around right-of-use assets</v>
      </c>
      <c r="D1622" s="18" t="s">
        <v>200</v>
      </c>
      <c r="E1622" s="19" t="str">
        <f>"Carrying amount "&amp;Update!$B$22</f>
        <v>Carrying amount  31 March 2026</v>
      </c>
      <c r="F1622" s="20"/>
      <c r="G1622" s="19" t="str">
        <f>"Carrying amount "&amp;Update!$B$22</f>
        <v>Carrying amount  31 March 2026</v>
      </c>
      <c r="H1622" s="14">
        <f>+H1613-H1621</f>
        <v>0</v>
      </c>
      <c r="I1622" s="14">
        <f>+I1613-I1621</f>
        <v>0</v>
      </c>
      <c r="J1622" s="19" t="str">
        <f>"Carrying amount "&amp;Update!$B$22</f>
        <v>Carrying amount  31 March 2026</v>
      </c>
      <c r="K1622" s="256">
        <f>+K1613-K1621</f>
        <v>0</v>
      </c>
      <c r="L1622" s="256">
        <f>+L1613-L1621</f>
        <v>0</v>
      </c>
      <c r="M1622" s="21"/>
      <c r="N1622" s="14">
        <f>ROUND(SUM(O1622:S1622)+T1622+SUM(Z1622:AV1622),0)</f>
        <v>0</v>
      </c>
      <c r="O1622" s="256">
        <f t="shared" ref="O1622" si="961">+O1613-O1621</f>
        <v>0</v>
      </c>
      <c r="P1622" s="256">
        <f t="shared" ref="P1622" si="962">+P1613-P1621</f>
        <v>0</v>
      </c>
      <c r="Q1622" s="256">
        <f t="shared" ref="Q1622" si="963">+Q1613-Q1621</f>
        <v>0</v>
      </c>
      <c r="R1622" s="256">
        <f t="shared" ref="R1622" si="964">+R1613-R1621</f>
        <v>0</v>
      </c>
      <c r="S1622" s="256">
        <f t="shared" ref="S1622" si="965">+S1613-S1621</f>
        <v>0</v>
      </c>
      <c r="T1622" s="256">
        <f t="shared" ref="T1622" si="966">+T1613-T1621</f>
        <v>0</v>
      </c>
      <c r="U1622" s="256">
        <f t="shared" ref="U1622" si="967">+U1613-U1621</f>
        <v>0</v>
      </c>
      <c r="V1622" s="14"/>
      <c r="W1622" s="14">
        <f>+H1622</f>
        <v>0</v>
      </c>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2"/>
      <c r="AX1622" s="14"/>
      <c r="AY1622" s="14"/>
      <c r="AZ1622" s="2"/>
      <c r="BA1622" s="14"/>
      <c r="BB1622" s="14"/>
      <c r="BC1622" s="14"/>
      <c r="BD1622" s="14">
        <f>+BD1613-BD1621</f>
        <v>0</v>
      </c>
      <c r="BE1622" s="14">
        <f t="shared" ref="BE1622" si="968">+BE1613-BE1621</f>
        <v>0</v>
      </c>
      <c r="BF1622" s="14">
        <f t="shared" ref="BF1622" si="969">+BF1613-BF1621</f>
        <v>0</v>
      </c>
      <c r="BG1622" s="14">
        <f t="shared" ref="BG1622" si="970">+BG1613-BG1621</f>
        <v>0</v>
      </c>
      <c r="BH1622" s="14">
        <f t="shared" ref="BH1622" si="971">+BH1613-BH1621</f>
        <v>0</v>
      </c>
      <c r="BI1622" s="14">
        <f t="shared" ref="BI1622" si="972">+BI1613-BI1621</f>
        <v>0</v>
      </c>
      <c r="BJ1622" s="14">
        <f t="shared" ref="BJ1622" si="973">+BJ1613-BJ1621</f>
        <v>0</v>
      </c>
      <c r="BK1622" s="14">
        <f t="shared" ref="BK1622" si="974">+BK1613-BK1621</f>
        <v>0</v>
      </c>
      <c r="BL1622" s="14"/>
      <c r="BM1622" s="14"/>
      <c r="BN1622" s="14"/>
      <c r="BO1622" s="14"/>
      <c r="BP1622" s="14"/>
      <c r="BQ1622" s="14"/>
      <c r="BR1622" s="14"/>
      <c r="BS1622" s="14"/>
      <c r="BT1622" s="324"/>
      <c r="BU1622" s="14"/>
      <c r="BV1622" s="14"/>
      <c r="BW1622" s="14"/>
      <c r="BX1622" s="14"/>
      <c r="BY1622" s="14"/>
      <c r="BZ1622" s="14"/>
      <c r="CA1622" s="14"/>
      <c r="CB1622" s="14"/>
      <c r="CC1622" s="14"/>
      <c r="CD1622" s="14"/>
      <c r="CE1622" s="14"/>
      <c r="CF1622" s="14"/>
      <c r="CG1622" s="14"/>
      <c r="CH1622" s="14"/>
      <c r="CI1622" s="14"/>
      <c r="CJ1622" s="2"/>
      <c r="CK1622" s="2"/>
      <c r="CM1622" s="1450"/>
      <c r="CN1622" s="1450"/>
      <c r="CX1622" s="330"/>
    </row>
    <row r="1623" spans="1:104" ht="15" customHeight="1" x14ac:dyDescent="0.25">
      <c r="A1623" s="684">
        <f>MAX($A$6:A1622)+1</f>
        <v>1623</v>
      </c>
      <c r="B1623" s="3">
        <f>B1621</f>
        <v>17.100000000000001</v>
      </c>
      <c r="C1623" s="11" t="str">
        <f>C1621</f>
        <v>Quantitative disclosures around right-of-use assets</v>
      </c>
      <c r="D1623" s="11" t="s">
        <v>201</v>
      </c>
      <c r="E1623" s="7" t="str">
        <f>"At"&amp;Update!$B$20</f>
        <v>At 1 April 2025</v>
      </c>
      <c r="F1623" s="7"/>
      <c r="G1623" s="7" t="str">
        <f>"At"&amp;Update!$B$20</f>
        <v>At 1 April 2025</v>
      </c>
      <c r="H1623" s="6">
        <v>0</v>
      </c>
      <c r="I1623" s="6">
        <v>0</v>
      </c>
      <c r="J1623" s="7" t="str">
        <f>"At"&amp;Update!$B$20</f>
        <v>At 1 April 2025</v>
      </c>
      <c r="K1623" s="6">
        <f>SUMIF('alb Note 16  Leases'!$B$12:$B$20,$J1623,'alb Note 16  Leases'!$F$12:$F$20)</f>
        <v>0</v>
      </c>
      <c r="L1623" s="6">
        <f>SUMIF('alb Note 16  Leases'!$B$12:$B$20,$J1623,'alb Note 16  Leases'!$P$12:$P$20)</f>
        <v>0</v>
      </c>
      <c r="M1623" s="10"/>
      <c r="N1623" s="273">
        <f t="shared" si="957"/>
        <v>0</v>
      </c>
      <c r="O1623" s="12"/>
      <c r="P1623" s="12"/>
      <c r="Q1623" s="12"/>
      <c r="R1623" s="12"/>
      <c r="S1623" s="6">
        <f t="shared" si="958"/>
        <v>0</v>
      </c>
      <c r="T1623" s="273">
        <f t="shared" si="931"/>
        <v>0</v>
      </c>
      <c r="U1623" s="6">
        <f>SUM(BL1623:BN1623)</f>
        <v>0</v>
      </c>
      <c r="V1623" s="6"/>
      <c r="W1623" s="6">
        <f t="shared" si="932"/>
        <v>0</v>
      </c>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X1623" s="6"/>
      <c r="AY1623" s="6">
        <f>ROUND(AX1623/1000/Update!$B$31*Update!$B$27,0)</f>
        <v>0</v>
      </c>
      <c r="BA1623" s="6"/>
      <c r="BB1623" s="6">
        <f>ROUND(BA1623/1000/Update!$B$31,0)</f>
        <v>0</v>
      </c>
      <c r="BC1623" s="6"/>
      <c r="BD1623" s="29">
        <f t="shared" si="933"/>
        <v>0</v>
      </c>
      <c r="BE1623" s="317"/>
      <c r="BF1623" s="317"/>
      <c r="BG1623" s="317"/>
      <c r="BH1623" s="317"/>
      <c r="BI1623" s="317"/>
      <c r="BJ1623" s="317"/>
      <c r="BK1623" s="29">
        <f t="shared" si="951"/>
        <v>0</v>
      </c>
      <c r="BL1623" s="317"/>
      <c r="BM1623" s="317"/>
      <c r="BN1623" s="317"/>
      <c r="BO1623" s="317"/>
      <c r="BP1623" s="317"/>
      <c r="BQ1623" s="317"/>
      <c r="BR1623" s="317"/>
      <c r="BS1623" s="317"/>
      <c r="BT1623" s="317"/>
      <c r="BU1623" s="317"/>
      <c r="BV1623" s="317"/>
      <c r="BW1623" s="317"/>
      <c r="BX1623" s="317"/>
      <c r="BY1623" s="317"/>
      <c r="BZ1623" s="317"/>
      <c r="CA1623" s="317"/>
      <c r="CB1623" s="317"/>
      <c r="CC1623" s="317"/>
      <c r="CD1623" s="317"/>
      <c r="CE1623" s="317"/>
      <c r="CF1623" s="317"/>
      <c r="CG1623" s="317"/>
      <c r="CH1623" s="317"/>
      <c r="CI1623" s="317"/>
      <c r="CM1623" s="1139">
        <f t="shared" si="954"/>
        <v>0</v>
      </c>
      <c r="CN1623" s="1139">
        <v>0</v>
      </c>
      <c r="CP1623" s="923">
        <f t="shared" si="953"/>
        <v>0</v>
      </c>
      <c r="CZ1623" s="330"/>
    </row>
    <row r="1624" spans="1:104" ht="15" customHeight="1" x14ac:dyDescent="0.25">
      <c r="A1624" s="684">
        <f>MAX($A$6:A1623)+1</f>
        <v>1624</v>
      </c>
      <c r="B1624" s="3">
        <f t="shared" si="959"/>
        <v>17.100000000000001</v>
      </c>
      <c r="C1624" s="11" t="str">
        <f t="shared" si="960"/>
        <v>Quantitative disclosures around right-of-use assets</v>
      </c>
      <c r="D1624" s="11" t="s">
        <v>201</v>
      </c>
      <c r="E1624" s="7" t="s">
        <v>185</v>
      </c>
      <c r="F1624" s="1267"/>
      <c r="G1624" s="1254" t="s">
        <v>185</v>
      </c>
      <c r="H1624" s="6">
        <v>0</v>
      </c>
      <c r="I1624" s="6">
        <v>0</v>
      </c>
      <c r="J1624" s="1254" t="s">
        <v>185</v>
      </c>
      <c r="K1624" s="6">
        <f>SUMIF('alb Note 16  Leases'!$B$12:$B$20,$J1624,'alb Note 16  Leases'!$F$12:$F$20)</f>
        <v>0</v>
      </c>
      <c r="L1624" s="6">
        <f>SUMIF('alb Note 16  Leases'!$B$12:$B$20,$J1624,'alb Note 16  Leases'!$P$12:$P$20)</f>
        <v>0</v>
      </c>
      <c r="M1624" s="10"/>
      <c r="N1624" s="273">
        <f t="shared" si="957"/>
        <v>0</v>
      </c>
      <c r="O1624" s="12"/>
      <c r="P1624" s="12"/>
      <c r="Q1624" s="12"/>
      <c r="R1624" s="12"/>
      <c r="S1624" s="6">
        <f t="shared" si="958"/>
        <v>0</v>
      </c>
      <c r="T1624" s="273">
        <f t="shared" si="931"/>
        <v>0</v>
      </c>
      <c r="U1624" s="6">
        <f t="shared" ref="U1624:U1639" si="975">SUM(BL1624:BN1624)</f>
        <v>0</v>
      </c>
      <c r="V1624" s="6"/>
      <c r="W1624" s="6">
        <f t="shared" si="932"/>
        <v>0</v>
      </c>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X1624" s="6"/>
      <c r="AY1624" s="6">
        <f>ROUND(AX1624/1000/Update!$B$31*Update!$B$27,0)</f>
        <v>0</v>
      </c>
      <c r="BA1624" s="6"/>
      <c r="BB1624" s="6">
        <f>ROUND(BA1624/1000/Update!$B$31,0)</f>
        <v>0</v>
      </c>
      <c r="BC1624" s="6"/>
      <c r="BD1624" s="29">
        <f t="shared" si="933"/>
        <v>0</v>
      </c>
      <c r="BE1624" s="322"/>
      <c r="BF1624" s="322"/>
      <c r="BG1624" s="322"/>
      <c r="BH1624" s="322"/>
      <c r="BI1624" s="322"/>
      <c r="BJ1624" s="322"/>
      <c r="BK1624" s="29">
        <f t="shared" si="951"/>
        <v>0</v>
      </c>
      <c r="BL1624" s="317"/>
      <c r="BM1624" s="317"/>
      <c r="BN1624" s="317"/>
      <c r="BO1624" s="317"/>
      <c r="BP1624" s="317"/>
      <c r="BQ1624" s="317"/>
      <c r="BR1624" s="317"/>
      <c r="BS1624" s="317"/>
      <c r="BT1624" s="317"/>
      <c r="BU1624" s="317"/>
      <c r="BV1624" s="317"/>
      <c r="BW1624" s="317"/>
      <c r="BX1624" s="317"/>
      <c r="BY1624" s="317"/>
      <c r="BZ1624" s="317"/>
      <c r="CA1624" s="317"/>
      <c r="CB1624" s="317"/>
      <c r="CC1624" s="317"/>
      <c r="CD1624" s="317"/>
      <c r="CE1624" s="317"/>
      <c r="CF1624" s="317"/>
      <c r="CG1624" s="317"/>
      <c r="CH1624" s="317"/>
      <c r="CI1624" s="317"/>
      <c r="CM1624" s="1139">
        <f t="shared" si="954"/>
        <v>0</v>
      </c>
      <c r="CN1624" s="1139">
        <v>0</v>
      </c>
      <c r="CP1624" s="923">
        <f t="shared" si="953"/>
        <v>0</v>
      </c>
      <c r="CZ1624" s="330"/>
    </row>
    <row r="1625" spans="1:104" ht="15" customHeight="1" x14ac:dyDescent="0.25">
      <c r="A1625" s="684">
        <f>MAX($A$6:A1624)+1</f>
        <v>1625</v>
      </c>
      <c r="B1625" s="3">
        <f t="shared" si="959"/>
        <v>17.100000000000001</v>
      </c>
      <c r="C1625" s="11" t="str">
        <f t="shared" si="960"/>
        <v>Quantitative disclosures around right-of-use assets</v>
      </c>
      <c r="D1625" s="11" t="s">
        <v>201</v>
      </c>
      <c r="E1625" s="7" t="s">
        <v>208</v>
      </c>
      <c r="F1625" s="1267"/>
      <c r="G1625" s="1254" t="s">
        <v>208</v>
      </c>
      <c r="H1625" s="6">
        <v>0</v>
      </c>
      <c r="I1625" s="6">
        <v>0</v>
      </c>
      <c r="J1625" s="1254" t="s">
        <v>208</v>
      </c>
      <c r="K1625" s="6">
        <f>SUMIF('alb Note 16  Leases'!$B$12:$B$20,$J1625,'alb Note 16  Leases'!$F$12:$F$20)</f>
        <v>0</v>
      </c>
      <c r="L1625" s="6">
        <f>SUMIF('alb Note 16  Leases'!$B$12:$B$20,$J1625,'alb Note 16  Leases'!$P$12:$P$20)</f>
        <v>0</v>
      </c>
      <c r="M1625" s="10"/>
      <c r="N1625" s="273">
        <f t="shared" si="957"/>
        <v>0</v>
      </c>
      <c r="O1625" s="12"/>
      <c r="P1625" s="12"/>
      <c r="Q1625" s="12"/>
      <c r="R1625" s="12"/>
      <c r="S1625" s="6">
        <f t="shared" si="958"/>
        <v>0</v>
      </c>
      <c r="T1625" s="273">
        <f t="shared" si="931"/>
        <v>0</v>
      </c>
      <c r="U1625" s="6">
        <f t="shared" si="975"/>
        <v>0</v>
      </c>
      <c r="V1625" s="6"/>
      <c r="W1625" s="6">
        <f t="shared" si="932"/>
        <v>0</v>
      </c>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X1625" s="6"/>
      <c r="AY1625" s="6">
        <f>ROUND(AX1625/1000/Update!$B$31*Update!$B$27,0)</f>
        <v>0</v>
      </c>
      <c r="BA1625" s="6"/>
      <c r="BB1625" s="6">
        <f>ROUND(BA1625/1000/Update!$B$31,0)</f>
        <v>0</v>
      </c>
      <c r="BC1625" s="6"/>
      <c r="BD1625" s="29">
        <f t="shared" si="933"/>
        <v>0</v>
      </c>
      <c r="BE1625" s="322"/>
      <c r="BF1625" s="322"/>
      <c r="BG1625" s="322"/>
      <c r="BH1625" s="322"/>
      <c r="BI1625" s="322"/>
      <c r="BJ1625" s="322"/>
      <c r="BK1625" s="29">
        <f t="shared" si="951"/>
        <v>0</v>
      </c>
      <c r="BL1625" s="317"/>
      <c r="BM1625" s="317"/>
      <c r="BN1625" s="317"/>
      <c r="BO1625" s="317"/>
      <c r="BP1625" s="317"/>
      <c r="BQ1625" s="317"/>
      <c r="BR1625" s="317"/>
      <c r="BS1625" s="317"/>
      <c r="BT1625" s="317"/>
      <c r="BU1625" s="317"/>
      <c r="BV1625" s="317"/>
      <c r="BW1625" s="317"/>
      <c r="BX1625" s="317"/>
      <c r="BY1625" s="317"/>
      <c r="BZ1625" s="317"/>
      <c r="CA1625" s="317"/>
      <c r="CB1625" s="317"/>
      <c r="CC1625" s="317"/>
      <c r="CD1625" s="317"/>
      <c r="CE1625" s="317"/>
      <c r="CF1625" s="317"/>
      <c r="CG1625" s="317"/>
      <c r="CH1625" s="317"/>
      <c r="CI1625" s="317"/>
      <c r="CM1625" s="1139">
        <f t="shared" si="954"/>
        <v>0</v>
      </c>
      <c r="CN1625" s="1139">
        <v>0</v>
      </c>
      <c r="CP1625" s="923">
        <f t="shared" si="953"/>
        <v>0</v>
      </c>
      <c r="CZ1625" s="330"/>
    </row>
    <row r="1626" spans="1:104" ht="15" customHeight="1" x14ac:dyDescent="0.25">
      <c r="A1626" s="684">
        <f>MAX($A$6:A1625)+1</f>
        <v>1626</v>
      </c>
      <c r="B1626" s="3">
        <f t="shared" si="959"/>
        <v>17.100000000000001</v>
      </c>
      <c r="C1626" s="11" t="str">
        <f t="shared" si="960"/>
        <v>Quantitative disclosures around right-of-use assets</v>
      </c>
      <c r="D1626" s="11" t="s">
        <v>201</v>
      </c>
      <c r="E1626" s="7" t="s">
        <v>186</v>
      </c>
      <c r="F1626" s="1267"/>
      <c r="G1626" s="7" t="s">
        <v>186</v>
      </c>
      <c r="H1626" s="6">
        <v>0</v>
      </c>
      <c r="I1626" s="6">
        <v>0</v>
      </c>
      <c r="J1626" s="7" t="s">
        <v>186</v>
      </c>
      <c r="K1626" s="6">
        <f>SUMIF('alb Note 16  Leases'!$B$12:$B$20,$J1626,'alb Note 16  Leases'!$F$12:$F$20)</f>
        <v>0</v>
      </c>
      <c r="L1626" s="6">
        <f>SUMIF('alb Note 16  Leases'!$B$12:$B$20,$J1626,'alb Note 16  Leases'!$P$12:$P$20)</f>
        <v>0</v>
      </c>
      <c r="M1626" s="10"/>
      <c r="N1626" s="273">
        <f t="shared" si="957"/>
        <v>0</v>
      </c>
      <c r="O1626" s="12"/>
      <c r="P1626" s="12"/>
      <c r="Q1626" s="12"/>
      <c r="R1626" s="12"/>
      <c r="S1626" s="6">
        <f t="shared" si="958"/>
        <v>0</v>
      </c>
      <c r="T1626" s="273">
        <f t="shared" si="931"/>
        <v>0</v>
      </c>
      <c r="U1626" s="6">
        <f t="shared" si="975"/>
        <v>0</v>
      </c>
      <c r="V1626" s="6"/>
      <c r="W1626" s="6">
        <f t="shared" si="932"/>
        <v>0</v>
      </c>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X1626" s="6"/>
      <c r="AY1626" s="6">
        <f>ROUND(AX1626/1000/Update!$B$31*Update!$B$27,0)</f>
        <v>0</v>
      </c>
      <c r="BA1626" s="6"/>
      <c r="BB1626" s="6">
        <f>ROUND(BA1626/1000/Update!$B$31,0)</f>
        <v>0</v>
      </c>
      <c r="BC1626" s="6"/>
      <c r="BD1626" s="29">
        <f t="shared" si="933"/>
        <v>0</v>
      </c>
      <c r="BE1626" s="322"/>
      <c r="BF1626" s="322"/>
      <c r="BG1626" s="322"/>
      <c r="BH1626" s="322"/>
      <c r="BI1626" s="322"/>
      <c r="BJ1626" s="322"/>
      <c r="BK1626" s="29">
        <f t="shared" si="951"/>
        <v>0</v>
      </c>
      <c r="BL1626" s="317"/>
      <c r="BM1626" s="317"/>
      <c r="BN1626" s="317"/>
      <c r="BO1626" s="317"/>
      <c r="BP1626" s="317"/>
      <c r="BQ1626" s="317"/>
      <c r="BR1626" s="317"/>
      <c r="BS1626" s="317"/>
      <c r="BT1626" s="317"/>
      <c r="BU1626" s="317"/>
      <c r="BV1626" s="317"/>
      <c r="BW1626" s="317"/>
      <c r="BX1626" s="317"/>
      <c r="BY1626" s="317"/>
      <c r="BZ1626" s="317"/>
      <c r="CA1626" s="317"/>
      <c r="CB1626" s="317"/>
      <c r="CC1626" s="317"/>
      <c r="CD1626" s="317"/>
      <c r="CE1626" s="317"/>
      <c r="CF1626" s="317"/>
      <c r="CG1626" s="317"/>
      <c r="CH1626" s="317"/>
      <c r="CI1626" s="317"/>
      <c r="CM1626" s="1139">
        <f t="shared" si="954"/>
        <v>0</v>
      </c>
      <c r="CN1626" s="1139">
        <v>0</v>
      </c>
      <c r="CP1626" s="923">
        <f t="shared" si="953"/>
        <v>0</v>
      </c>
      <c r="CZ1626" s="330"/>
    </row>
    <row r="1627" spans="1:104" ht="15" customHeight="1" x14ac:dyDescent="0.25">
      <c r="A1627" s="684">
        <f>MAX($A$6:A1626)+1</f>
        <v>1627</v>
      </c>
      <c r="B1627" s="3">
        <f t="shared" si="959"/>
        <v>17.100000000000001</v>
      </c>
      <c r="C1627" s="11" t="str">
        <f t="shared" si="960"/>
        <v>Quantitative disclosures around right-of-use assets</v>
      </c>
      <c r="D1627" s="11" t="s">
        <v>201</v>
      </c>
      <c r="E1627" s="7" t="s">
        <v>187</v>
      </c>
      <c r="F1627" s="7"/>
      <c r="G1627" s="7" t="s">
        <v>187</v>
      </c>
      <c r="H1627" s="6">
        <v>0</v>
      </c>
      <c r="I1627" s="6">
        <v>0</v>
      </c>
      <c r="J1627" s="7" t="s">
        <v>187</v>
      </c>
      <c r="K1627" s="6">
        <f>SUMIF('alb Note 16  Leases'!$B$12:$B$20,$J1627,'alb Note 16  Leases'!$F$12:$F$20)</f>
        <v>0</v>
      </c>
      <c r="L1627" s="6">
        <f>SUMIF('alb Note 16  Leases'!$B$12:$B$20,$J1627,'alb Note 16  Leases'!$P$12:$P$20)</f>
        <v>0</v>
      </c>
      <c r="M1627" s="10"/>
      <c r="N1627" s="273">
        <f t="shared" si="957"/>
        <v>0</v>
      </c>
      <c r="O1627" s="12"/>
      <c r="P1627" s="12"/>
      <c r="Q1627" s="12"/>
      <c r="R1627" s="12"/>
      <c r="S1627" s="6">
        <f t="shared" si="958"/>
        <v>0</v>
      </c>
      <c r="T1627" s="273">
        <f t="shared" si="931"/>
        <v>0</v>
      </c>
      <c r="U1627" s="6">
        <f t="shared" si="975"/>
        <v>0</v>
      </c>
      <c r="V1627" s="6"/>
      <c r="W1627" s="6">
        <f t="shared" si="932"/>
        <v>0</v>
      </c>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X1627" s="6"/>
      <c r="AY1627" s="6">
        <f>ROUND(AX1627/1000/Update!$B$31*Update!$B$27,0)</f>
        <v>0</v>
      </c>
      <c r="BA1627" s="6"/>
      <c r="BB1627" s="6">
        <f>ROUND(BA1627/1000/Update!$B$31,0)</f>
        <v>0</v>
      </c>
      <c r="BC1627" s="6"/>
      <c r="BD1627" s="29">
        <f t="shared" si="933"/>
        <v>0</v>
      </c>
      <c r="BE1627" s="317"/>
      <c r="BF1627" s="317"/>
      <c r="BG1627" s="317"/>
      <c r="BH1627" s="317"/>
      <c r="BI1627" s="317"/>
      <c r="BJ1627" s="317"/>
      <c r="BK1627" s="29">
        <f t="shared" si="951"/>
        <v>0</v>
      </c>
      <c r="BL1627" s="317"/>
      <c r="BM1627" s="317"/>
      <c r="BN1627" s="317"/>
      <c r="BO1627" s="317"/>
      <c r="BP1627" s="317"/>
      <c r="BQ1627" s="317"/>
      <c r="BR1627" s="317"/>
      <c r="BS1627" s="317"/>
      <c r="BT1627" s="317"/>
      <c r="BU1627" s="317"/>
      <c r="BV1627" s="317"/>
      <c r="BW1627" s="317"/>
      <c r="BX1627" s="317"/>
      <c r="BY1627" s="317"/>
      <c r="BZ1627" s="317"/>
      <c r="CA1627" s="317"/>
      <c r="CB1627" s="317"/>
      <c r="CC1627" s="317"/>
      <c r="CD1627" s="317"/>
      <c r="CE1627" s="317"/>
      <c r="CF1627" s="317"/>
      <c r="CG1627" s="317"/>
      <c r="CH1627" s="317"/>
      <c r="CI1627" s="317"/>
      <c r="CM1627" s="1139">
        <f t="shared" si="954"/>
        <v>0</v>
      </c>
      <c r="CN1627" s="1139">
        <v>0</v>
      </c>
      <c r="CP1627" s="923">
        <f t="shared" si="953"/>
        <v>0</v>
      </c>
      <c r="CZ1627" s="330"/>
    </row>
    <row r="1628" spans="1:104" ht="15" customHeight="1" x14ac:dyDescent="0.25">
      <c r="A1628" s="684">
        <f>MAX($A$6:A1627)+1</f>
        <v>1628</v>
      </c>
      <c r="B1628" s="3">
        <f t="shared" si="959"/>
        <v>17.100000000000001</v>
      </c>
      <c r="C1628" s="11" t="str">
        <f t="shared" si="960"/>
        <v>Quantitative disclosures around right-of-use assets</v>
      </c>
      <c r="D1628" s="11" t="s">
        <v>201</v>
      </c>
      <c r="E1628" s="7" t="s">
        <v>189</v>
      </c>
      <c r="F1628" s="1267"/>
      <c r="G1628" s="1254" t="s">
        <v>189</v>
      </c>
      <c r="H1628" s="6">
        <v>0</v>
      </c>
      <c r="I1628" s="6">
        <v>0</v>
      </c>
      <c r="J1628" s="1254" t="s">
        <v>189</v>
      </c>
      <c r="K1628" s="6">
        <f>SUMIF('alb Note 16  Leases'!$B$12:$B$20,$J1628,'alb Note 16  Leases'!$F$12:$F$20)</f>
        <v>0</v>
      </c>
      <c r="L1628" s="6">
        <f>SUMIF('alb Note 16  Leases'!$B$12:$B$20,$J1628,'alb Note 16  Leases'!$P$12:$P$20)</f>
        <v>0</v>
      </c>
      <c r="M1628" s="10"/>
      <c r="N1628" s="273">
        <f t="shared" si="957"/>
        <v>0</v>
      </c>
      <c r="O1628" s="12"/>
      <c r="P1628" s="12"/>
      <c r="Q1628" s="12"/>
      <c r="R1628" s="12"/>
      <c r="S1628" s="6">
        <f t="shared" si="958"/>
        <v>0</v>
      </c>
      <c r="T1628" s="273">
        <f t="shared" si="931"/>
        <v>0</v>
      </c>
      <c r="U1628" s="6">
        <f t="shared" si="975"/>
        <v>0</v>
      </c>
      <c r="V1628" s="6"/>
      <c r="W1628" s="6">
        <f t="shared" si="932"/>
        <v>0</v>
      </c>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X1628" s="6"/>
      <c r="AY1628" s="6">
        <f>ROUND(AX1628/1000/Update!$B$31*Update!$B$27,0)</f>
        <v>0</v>
      </c>
      <c r="BA1628" s="6"/>
      <c r="BB1628" s="6">
        <f>ROUND(BA1628/1000/Update!$B$31,0)</f>
        <v>0</v>
      </c>
      <c r="BC1628" s="6"/>
      <c r="BD1628" s="29">
        <f t="shared" si="933"/>
        <v>0</v>
      </c>
      <c r="BE1628" s="322"/>
      <c r="BF1628" s="322"/>
      <c r="BG1628" s="322"/>
      <c r="BH1628" s="322"/>
      <c r="BI1628" s="322"/>
      <c r="BJ1628" s="322"/>
      <c r="BK1628" s="29">
        <f t="shared" si="951"/>
        <v>0</v>
      </c>
      <c r="BL1628" s="317"/>
      <c r="BM1628" s="317"/>
      <c r="BN1628" s="317"/>
      <c r="BO1628" s="317"/>
      <c r="BP1628" s="317"/>
      <c r="BQ1628" s="317"/>
      <c r="BR1628" s="317"/>
      <c r="BS1628" s="317"/>
      <c r="BT1628" s="317"/>
      <c r="BU1628" s="317"/>
      <c r="BV1628" s="317"/>
      <c r="BW1628" s="317"/>
      <c r="BX1628" s="317"/>
      <c r="BY1628" s="317"/>
      <c r="BZ1628" s="317"/>
      <c r="CA1628" s="317"/>
      <c r="CB1628" s="317"/>
      <c r="CC1628" s="317"/>
      <c r="CD1628" s="317"/>
      <c r="CE1628" s="317"/>
      <c r="CF1628" s="317"/>
      <c r="CG1628" s="317"/>
      <c r="CH1628" s="317"/>
      <c r="CI1628" s="317"/>
      <c r="CM1628" s="1139">
        <f t="shared" si="954"/>
        <v>0</v>
      </c>
      <c r="CN1628" s="1139">
        <v>0</v>
      </c>
      <c r="CP1628" s="923">
        <f t="shared" si="953"/>
        <v>0</v>
      </c>
      <c r="CZ1628" s="330"/>
    </row>
    <row r="1629" spans="1:104" ht="15" customHeight="1" x14ac:dyDescent="0.25">
      <c r="A1629" s="684">
        <f>MAX($A$6:A1628)+1</f>
        <v>1629</v>
      </c>
      <c r="B1629" s="3">
        <f t="shared" si="959"/>
        <v>17.100000000000001</v>
      </c>
      <c r="C1629" s="11" t="str">
        <f t="shared" si="960"/>
        <v>Quantitative disclosures around right-of-use assets</v>
      </c>
      <c r="D1629" s="11" t="s">
        <v>201</v>
      </c>
      <c r="E1629" s="7" t="s">
        <v>191</v>
      </c>
      <c r="F1629" s="1267"/>
      <c r="G1629" s="1254" t="s">
        <v>191</v>
      </c>
      <c r="H1629" s="6">
        <v>0</v>
      </c>
      <c r="I1629" s="6">
        <v>0</v>
      </c>
      <c r="J1629" s="1254" t="s">
        <v>191</v>
      </c>
      <c r="K1629" s="6">
        <f>SUMIF('alb Note 16  Leases'!$B$12:$B$20,$J1629,'alb Note 16  Leases'!$F$12:$F$20)</f>
        <v>0</v>
      </c>
      <c r="L1629" s="6">
        <f>SUMIF('alb Note 16  Leases'!$B$12:$B$20,$J1629,'alb Note 16  Leases'!$P$12:$P$20)</f>
        <v>0</v>
      </c>
      <c r="M1629" s="10"/>
      <c r="N1629" s="273">
        <f t="shared" si="957"/>
        <v>0</v>
      </c>
      <c r="O1629" s="12"/>
      <c r="P1629" s="12"/>
      <c r="Q1629" s="12"/>
      <c r="R1629" s="12"/>
      <c r="S1629" s="6">
        <f t="shared" si="958"/>
        <v>0</v>
      </c>
      <c r="T1629" s="273">
        <f t="shared" si="931"/>
        <v>0</v>
      </c>
      <c r="U1629" s="6">
        <f t="shared" si="975"/>
        <v>0</v>
      </c>
      <c r="V1629" s="6"/>
      <c r="W1629" s="6">
        <f t="shared" si="932"/>
        <v>0</v>
      </c>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X1629" s="6"/>
      <c r="AY1629" s="6">
        <f>ROUND(AX1629/1000/Update!$B$31*Update!$B$27,0)</f>
        <v>0</v>
      </c>
      <c r="BA1629" s="6"/>
      <c r="BB1629" s="6">
        <f>ROUND(BA1629/1000/Update!$B$31,0)</f>
        <v>0</v>
      </c>
      <c r="BC1629" s="6"/>
      <c r="BD1629" s="29">
        <f t="shared" si="933"/>
        <v>0</v>
      </c>
      <c r="BE1629" s="322"/>
      <c r="BF1629" s="322"/>
      <c r="BG1629" s="322"/>
      <c r="BH1629" s="322"/>
      <c r="BI1629" s="322"/>
      <c r="BJ1629" s="322"/>
      <c r="BK1629" s="29">
        <f t="shared" si="951"/>
        <v>0</v>
      </c>
      <c r="BL1629" s="317"/>
      <c r="BM1629" s="317"/>
      <c r="BN1629" s="317"/>
      <c r="BO1629" s="317"/>
      <c r="BP1629" s="317"/>
      <c r="BQ1629" s="317"/>
      <c r="BR1629" s="317"/>
      <c r="BS1629" s="317"/>
      <c r="BT1629" s="317"/>
      <c r="BU1629" s="317"/>
      <c r="BV1629" s="317"/>
      <c r="BW1629" s="317"/>
      <c r="BX1629" s="317"/>
      <c r="BY1629" s="317"/>
      <c r="BZ1629" s="317"/>
      <c r="CA1629" s="317"/>
      <c r="CB1629" s="317"/>
      <c r="CC1629" s="317"/>
      <c r="CD1629" s="317"/>
      <c r="CE1629" s="317"/>
      <c r="CF1629" s="317"/>
      <c r="CG1629" s="317"/>
      <c r="CH1629" s="317"/>
      <c r="CI1629" s="317"/>
      <c r="CM1629" s="1139">
        <f t="shared" si="954"/>
        <v>0</v>
      </c>
      <c r="CN1629" s="1139">
        <v>0</v>
      </c>
      <c r="CP1629" s="923">
        <f t="shared" si="953"/>
        <v>0</v>
      </c>
      <c r="CZ1629" s="330"/>
    </row>
    <row r="1630" spans="1:104" ht="15" customHeight="1" x14ac:dyDescent="0.25">
      <c r="A1630" s="684">
        <f>MAX($A$6:A1629)+1</f>
        <v>1630</v>
      </c>
      <c r="B1630" s="3">
        <f t="shared" si="959"/>
        <v>17.100000000000001</v>
      </c>
      <c r="C1630" s="11" t="str">
        <f t="shared" si="960"/>
        <v>Quantitative disclosures around right-of-use assets</v>
      </c>
      <c r="D1630" s="11" t="s">
        <v>201</v>
      </c>
      <c r="E1630" s="7" t="s">
        <v>2488</v>
      </c>
      <c r="F1630" s="1267"/>
      <c r="G1630" s="7" t="s">
        <v>2488</v>
      </c>
      <c r="H1630" s="6">
        <v>0</v>
      </c>
      <c r="I1630" s="6">
        <v>0</v>
      </c>
      <c r="J1630" s="7" t="s">
        <v>2488</v>
      </c>
      <c r="K1630" s="6">
        <f>SUMIF('alb Note 16  Leases'!$B$12:$B$20,$J1630,'alb Note 16  Leases'!$F$12:$F$20)</f>
        <v>0</v>
      </c>
      <c r="L1630" s="6">
        <f>SUMIF('alb Note 16  Leases'!$B$12:$B$20,$J1630,'alb Note 16  Leases'!$P$12:$P$20)</f>
        <v>0</v>
      </c>
      <c r="M1630" s="10"/>
      <c r="N1630" s="273">
        <f t="shared" si="957"/>
        <v>0</v>
      </c>
      <c r="O1630" s="12"/>
      <c r="P1630" s="12"/>
      <c r="Q1630" s="12"/>
      <c r="R1630" s="12"/>
      <c r="S1630" s="6">
        <f t="shared" si="958"/>
        <v>0</v>
      </c>
      <c r="T1630" s="273">
        <f t="shared" si="931"/>
        <v>0</v>
      </c>
      <c r="U1630" s="6">
        <f t="shared" si="975"/>
        <v>0</v>
      </c>
      <c r="V1630" s="6"/>
      <c r="W1630" s="6">
        <f t="shared" si="932"/>
        <v>0</v>
      </c>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X1630" s="6"/>
      <c r="AY1630" s="6">
        <f>ROUND(AX1630/1000/Update!$B$31*Update!$B$27,0)</f>
        <v>0</v>
      </c>
      <c r="BA1630" s="6"/>
      <c r="BB1630" s="6">
        <f>ROUND(BA1630/1000/Update!$B$31,0)</f>
        <v>0</v>
      </c>
      <c r="BC1630" s="6"/>
      <c r="BD1630" s="29">
        <f t="shared" si="933"/>
        <v>0</v>
      </c>
      <c r="BE1630" s="322"/>
      <c r="BF1630" s="322"/>
      <c r="BG1630" s="322"/>
      <c r="BH1630" s="322"/>
      <c r="BI1630" s="322"/>
      <c r="BJ1630" s="322"/>
      <c r="BK1630" s="29">
        <f t="shared" si="951"/>
        <v>0</v>
      </c>
      <c r="BL1630" s="317"/>
      <c r="BM1630" s="317"/>
      <c r="BN1630" s="317"/>
      <c r="BO1630" s="317"/>
      <c r="BP1630" s="317"/>
      <c r="BQ1630" s="317"/>
      <c r="BR1630" s="317"/>
      <c r="BS1630" s="317"/>
      <c r="BT1630" s="317"/>
      <c r="BU1630" s="317"/>
      <c r="BV1630" s="317"/>
      <c r="BW1630" s="317"/>
      <c r="BX1630" s="317"/>
      <c r="BY1630" s="317"/>
      <c r="BZ1630" s="317"/>
      <c r="CA1630" s="317"/>
      <c r="CB1630" s="317"/>
      <c r="CC1630" s="317"/>
      <c r="CD1630" s="317"/>
      <c r="CE1630" s="317"/>
      <c r="CF1630" s="317"/>
      <c r="CG1630" s="317"/>
      <c r="CH1630" s="317"/>
      <c r="CI1630" s="317"/>
      <c r="CM1630" s="1139">
        <f t="shared" si="954"/>
        <v>0</v>
      </c>
      <c r="CN1630" s="1139">
        <v>0</v>
      </c>
      <c r="CP1630" s="923">
        <f t="shared" si="953"/>
        <v>0</v>
      </c>
      <c r="CZ1630" s="330"/>
    </row>
    <row r="1631" spans="1:104" ht="15" customHeight="1" x14ac:dyDescent="0.25">
      <c r="A1631" s="684">
        <f>MAX($A$6:A1630)+1</f>
        <v>1631</v>
      </c>
      <c r="B1631" s="3">
        <f t="shared" si="959"/>
        <v>17.100000000000001</v>
      </c>
      <c r="C1631" s="11" t="str">
        <f t="shared" si="960"/>
        <v>Quantitative disclosures around right-of-use assets</v>
      </c>
      <c r="D1631" s="11" t="s">
        <v>201</v>
      </c>
      <c r="E1631" s="7" t="str">
        <f>"At"&amp;Update!$B$22</f>
        <v>At 31 March 2026</v>
      </c>
      <c r="F1631" s="7"/>
      <c r="G1631" s="7" t="str">
        <f>"At"&amp;Update!$B$22</f>
        <v>At 31 March 2026</v>
      </c>
      <c r="H1631" s="6">
        <v>0</v>
      </c>
      <c r="I1631" s="6">
        <v>0</v>
      </c>
      <c r="J1631" s="7" t="str">
        <f>"At"&amp;Update!$B$22</f>
        <v>At 31 March 2026</v>
      </c>
      <c r="K1631" s="6">
        <f>SUMIF('alb Note 16  Leases'!$B$12:$B$20,$J1631,'alb Note 16  Leases'!$F$12:$F$20)</f>
        <v>0</v>
      </c>
      <c r="L1631" s="6">
        <f>SUMIF('alb Note 16  Leases'!$B$12:$B$20,$J1631,'alb Note 16  Leases'!$P$12:$P$20)</f>
        <v>0</v>
      </c>
      <c r="M1631" s="10"/>
      <c r="N1631" s="273">
        <f t="shared" si="957"/>
        <v>0</v>
      </c>
      <c r="O1631" s="12"/>
      <c r="P1631" s="12"/>
      <c r="Q1631" s="12"/>
      <c r="R1631" s="12"/>
      <c r="S1631" s="6">
        <f t="shared" si="958"/>
        <v>0</v>
      </c>
      <c r="T1631" s="273">
        <f t="shared" si="931"/>
        <v>0</v>
      </c>
      <c r="U1631" s="6">
        <f t="shared" si="975"/>
        <v>0</v>
      </c>
      <c r="V1631" s="6"/>
      <c r="W1631" s="6">
        <f t="shared" si="932"/>
        <v>0</v>
      </c>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X1631" s="6"/>
      <c r="AY1631" s="6">
        <f>ROUND(AX1631/1000/Update!$B$31*Update!$B$27,0)</f>
        <v>0</v>
      </c>
      <c r="BA1631" s="6"/>
      <c r="BB1631" s="6">
        <f>ROUND(BA1631/1000/Update!$B$31,0)</f>
        <v>0</v>
      </c>
      <c r="BC1631" s="6"/>
      <c r="BD1631" s="29">
        <f t="shared" si="933"/>
        <v>0</v>
      </c>
      <c r="BE1631" s="317"/>
      <c r="BF1631" s="317"/>
      <c r="BG1631" s="317"/>
      <c r="BH1631" s="317"/>
      <c r="BI1631" s="317"/>
      <c r="BJ1631" s="317"/>
      <c r="BK1631" s="29">
        <f t="shared" si="951"/>
        <v>0</v>
      </c>
      <c r="BL1631" s="317"/>
      <c r="BM1631" s="317"/>
      <c r="BN1631" s="317"/>
      <c r="BO1631" s="317"/>
      <c r="BP1631" s="317"/>
      <c r="BQ1631" s="317"/>
      <c r="BR1631" s="317"/>
      <c r="BS1631" s="317"/>
      <c r="BT1631" s="317"/>
      <c r="BU1631" s="317"/>
      <c r="BV1631" s="317"/>
      <c r="BW1631" s="317"/>
      <c r="BX1631" s="317"/>
      <c r="BY1631" s="317"/>
      <c r="BZ1631" s="317"/>
      <c r="CA1631" s="317"/>
      <c r="CB1631" s="317"/>
      <c r="CC1631" s="317"/>
      <c r="CD1631" s="317"/>
      <c r="CE1631" s="317"/>
      <c r="CF1631" s="317"/>
      <c r="CG1631" s="317"/>
      <c r="CH1631" s="317"/>
      <c r="CI1631" s="317"/>
      <c r="CM1631" s="1139">
        <f t="shared" si="954"/>
        <v>0</v>
      </c>
      <c r="CN1631" s="1139">
        <v>0</v>
      </c>
      <c r="CP1631" s="923">
        <f t="shared" si="953"/>
        <v>0</v>
      </c>
      <c r="CZ1631" s="330"/>
    </row>
    <row r="1632" spans="1:104" ht="15" customHeight="1" x14ac:dyDescent="0.25">
      <c r="A1632" s="684">
        <f>MAX($A$6:A1631)+1</f>
        <v>1632</v>
      </c>
      <c r="B1632" s="3">
        <f t="shared" si="959"/>
        <v>17.100000000000001</v>
      </c>
      <c r="C1632" s="11" t="str">
        <f t="shared" si="960"/>
        <v>Quantitative disclosures around right-of-use assets</v>
      </c>
      <c r="D1632" s="11" t="s">
        <v>201</v>
      </c>
      <c r="E1632" s="7" t="str">
        <f>"At"&amp;Update!$B$20</f>
        <v>At 1 April 2025</v>
      </c>
      <c r="F1632" s="1267"/>
      <c r="G1632" s="1254" t="str">
        <f>"At"&amp;Update!$B$20</f>
        <v>At 1 April 2025</v>
      </c>
      <c r="H1632" s="6">
        <v>0</v>
      </c>
      <c r="I1632" s="6">
        <v>0</v>
      </c>
      <c r="J1632" s="7" t="str">
        <f>"At"&amp;Update!$B$20</f>
        <v>At 1 April 2025</v>
      </c>
      <c r="K1632" s="6">
        <f>SUMIF('alb Note 16  Leases'!$B$23:$B$30,$J1632,'alb Note 16  Leases'!$F$23:$F$30)</f>
        <v>0</v>
      </c>
      <c r="L1632" s="6">
        <f>SUMIF('alb Note 16  Leases'!$B$23:$B$30,$J1632,'alb Note 16  Leases'!$P$23:$P$30)</f>
        <v>0</v>
      </c>
      <c r="M1632" s="10"/>
      <c r="N1632" s="273">
        <f t="shared" si="957"/>
        <v>0</v>
      </c>
      <c r="O1632" s="12"/>
      <c r="P1632" s="12"/>
      <c r="Q1632" s="12"/>
      <c r="R1632" s="12"/>
      <c r="S1632" s="6">
        <f t="shared" si="958"/>
        <v>0</v>
      </c>
      <c r="T1632" s="273">
        <f t="shared" si="931"/>
        <v>0</v>
      </c>
      <c r="U1632" s="6">
        <f t="shared" si="975"/>
        <v>0</v>
      </c>
      <c r="V1632" s="6"/>
      <c r="W1632" s="6">
        <f t="shared" si="932"/>
        <v>0</v>
      </c>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X1632" s="6"/>
      <c r="AY1632" s="6">
        <f>ROUND(AX1632/1000/Update!$B$31*Update!$B$27,0)</f>
        <v>0</v>
      </c>
      <c r="BA1632" s="6"/>
      <c r="BB1632" s="6">
        <f>ROUND(BA1632/1000/Update!$B$31,0)</f>
        <v>0</v>
      </c>
      <c r="BC1632" s="6"/>
      <c r="BD1632" s="29">
        <f t="shared" si="933"/>
        <v>0</v>
      </c>
      <c r="BE1632" s="322"/>
      <c r="BF1632" s="322"/>
      <c r="BG1632" s="322"/>
      <c r="BH1632" s="322"/>
      <c r="BI1632" s="322"/>
      <c r="BJ1632" s="322"/>
      <c r="BK1632" s="29">
        <f t="shared" si="951"/>
        <v>0</v>
      </c>
      <c r="BL1632" s="317"/>
      <c r="BM1632" s="317"/>
      <c r="BN1632" s="317"/>
      <c r="BO1632" s="317"/>
      <c r="BP1632" s="317"/>
      <c r="BQ1632" s="317"/>
      <c r="BR1632" s="317"/>
      <c r="BS1632" s="317"/>
      <c r="BT1632" s="317"/>
      <c r="BU1632" s="317"/>
      <c r="BV1632" s="317"/>
      <c r="BW1632" s="317"/>
      <c r="BX1632" s="317"/>
      <c r="BY1632" s="317"/>
      <c r="BZ1632" s="317"/>
      <c r="CA1632" s="317"/>
      <c r="CB1632" s="317"/>
      <c r="CC1632" s="317"/>
      <c r="CD1632" s="317"/>
      <c r="CE1632" s="317"/>
      <c r="CF1632" s="317"/>
      <c r="CG1632" s="317"/>
      <c r="CH1632" s="317"/>
      <c r="CI1632" s="317"/>
      <c r="CM1632" s="1139">
        <f t="shared" si="954"/>
        <v>0</v>
      </c>
      <c r="CN1632" s="1139">
        <v>0</v>
      </c>
      <c r="CP1632" s="923">
        <f t="shared" si="953"/>
        <v>0</v>
      </c>
      <c r="CZ1632" s="330"/>
    </row>
    <row r="1633" spans="1:104" ht="15" customHeight="1" x14ac:dyDescent="0.25">
      <c r="A1633" s="684">
        <f>MAX($A$6:A1632)+1</f>
        <v>1633</v>
      </c>
      <c r="B1633" s="3">
        <f t="shared" si="959"/>
        <v>17.100000000000001</v>
      </c>
      <c r="C1633" s="11" t="str">
        <f t="shared" si="960"/>
        <v>Quantitative disclosures around right-of-use assets</v>
      </c>
      <c r="D1633" s="11" t="s">
        <v>201</v>
      </c>
      <c r="E1633" s="7" t="s">
        <v>2490</v>
      </c>
      <c r="F1633" s="1267"/>
      <c r="G1633" s="1254" t="s">
        <v>2490</v>
      </c>
      <c r="H1633" s="6">
        <v>0</v>
      </c>
      <c r="I1633" s="6">
        <v>0</v>
      </c>
      <c r="J1633" s="1254" t="s">
        <v>2490</v>
      </c>
      <c r="K1633" s="6">
        <f>SUMIF('alb Note 16  Leases'!$B$23:$B$30,$J1633,'alb Note 16  Leases'!$F$23:$F$30)</f>
        <v>0</v>
      </c>
      <c r="L1633" s="6">
        <f>SUMIF('alb Note 16  Leases'!$B$23:$B$30,$J1633,'alb Note 16  Leases'!$P$23:$P$30)</f>
        <v>0</v>
      </c>
      <c r="M1633" s="10"/>
      <c r="N1633" s="273">
        <f t="shared" si="957"/>
        <v>0</v>
      </c>
      <c r="O1633" s="12"/>
      <c r="P1633" s="12"/>
      <c r="Q1633" s="12"/>
      <c r="R1633" s="12"/>
      <c r="S1633" s="6">
        <f t="shared" si="958"/>
        <v>0</v>
      </c>
      <c r="T1633" s="273">
        <f t="shared" si="931"/>
        <v>0</v>
      </c>
      <c r="U1633" s="6">
        <f t="shared" si="975"/>
        <v>0</v>
      </c>
      <c r="V1633" s="6"/>
      <c r="W1633" s="6">
        <f t="shared" si="932"/>
        <v>0</v>
      </c>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X1633" s="6"/>
      <c r="AY1633" s="6">
        <f>ROUND(AX1633/1000/Update!$B$31*Update!$B$27,0)</f>
        <v>0</v>
      </c>
      <c r="BA1633" s="6"/>
      <c r="BB1633" s="6">
        <f>ROUND(BA1633/1000/Update!$B$31,0)</f>
        <v>0</v>
      </c>
      <c r="BC1633" s="6"/>
      <c r="BD1633" s="29">
        <f t="shared" si="933"/>
        <v>0</v>
      </c>
      <c r="BE1633" s="322"/>
      <c r="BF1633" s="322"/>
      <c r="BG1633" s="322"/>
      <c r="BH1633" s="322"/>
      <c r="BI1633" s="322"/>
      <c r="BJ1633" s="322"/>
      <c r="BK1633" s="29">
        <f t="shared" si="951"/>
        <v>0</v>
      </c>
      <c r="BL1633" s="317"/>
      <c r="BM1633" s="317"/>
      <c r="BN1633" s="317"/>
      <c r="BO1633" s="317"/>
      <c r="BP1633" s="317"/>
      <c r="BQ1633" s="317"/>
      <c r="BR1633" s="317"/>
      <c r="BS1633" s="317"/>
      <c r="BT1633" s="317"/>
      <c r="BU1633" s="317"/>
      <c r="BV1633" s="317"/>
      <c r="BW1633" s="317"/>
      <c r="BX1633" s="317"/>
      <c r="BY1633" s="317"/>
      <c r="BZ1633" s="317"/>
      <c r="CA1633" s="317"/>
      <c r="CB1633" s="317"/>
      <c r="CC1633" s="317"/>
      <c r="CD1633" s="317"/>
      <c r="CE1633" s="317"/>
      <c r="CF1633" s="317"/>
      <c r="CG1633" s="317"/>
      <c r="CH1633" s="317"/>
      <c r="CI1633" s="317"/>
      <c r="CM1633" s="1139">
        <f t="shared" si="954"/>
        <v>0</v>
      </c>
      <c r="CN1633" s="1139">
        <v>0</v>
      </c>
      <c r="CP1633" s="923">
        <f t="shared" si="953"/>
        <v>0</v>
      </c>
      <c r="CZ1633" s="330"/>
    </row>
    <row r="1634" spans="1:104" ht="15" customHeight="1" x14ac:dyDescent="0.25">
      <c r="A1634" s="684">
        <f>MAX($A$6:A1633)+1</f>
        <v>1634</v>
      </c>
      <c r="B1634" s="3">
        <f t="shared" si="959"/>
        <v>17.100000000000001</v>
      </c>
      <c r="C1634" s="11" t="str">
        <f t="shared" si="960"/>
        <v>Quantitative disclosures around right-of-use assets</v>
      </c>
      <c r="D1634" s="11" t="s">
        <v>201</v>
      </c>
      <c r="E1634" s="7" t="s">
        <v>190</v>
      </c>
      <c r="F1634" s="1267"/>
      <c r="G1634" s="7" t="s">
        <v>190</v>
      </c>
      <c r="H1634" s="6">
        <v>0</v>
      </c>
      <c r="I1634" s="6">
        <v>0</v>
      </c>
      <c r="J1634" s="7" t="s">
        <v>190</v>
      </c>
      <c r="K1634" s="6">
        <f>SUMIF('alb Note 16  Leases'!$B$23:$B$30,$J1634,'alb Note 16  Leases'!$F$23:$F$30)</f>
        <v>0</v>
      </c>
      <c r="L1634" s="6">
        <f>SUMIF('alb Note 16  Leases'!$B$23:$B$30,$J1634,'alb Note 16  Leases'!$P$23:$P$30)</f>
        <v>0</v>
      </c>
      <c r="M1634" s="10"/>
      <c r="N1634" s="273">
        <f t="shared" si="957"/>
        <v>0</v>
      </c>
      <c r="O1634" s="12"/>
      <c r="P1634" s="12"/>
      <c r="Q1634" s="12"/>
      <c r="R1634" s="12"/>
      <c r="S1634" s="6">
        <f t="shared" si="958"/>
        <v>0</v>
      </c>
      <c r="T1634" s="273">
        <f t="shared" si="931"/>
        <v>0</v>
      </c>
      <c r="U1634" s="6">
        <f t="shared" si="975"/>
        <v>0</v>
      </c>
      <c r="V1634" s="6"/>
      <c r="W1634" s="6">
        <f t="shared" si="932"/>
        <v>0</v>
      </c>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X1634" s="6"/>
      <c r="AY1634" s="6">
        <f>ROUND(AX1634/1000/Update!$B$31*Update!$B$27,0)</f>
        <v>0</v>
      </c>
      <c r="BA1634" s="6"/>
      <c r="BB1634" s="6">
        <f>ROUND(BA1634/1000/Update!$B$31,0)</f>
        <v>0</v>
      </c>
      <c r="BC1634" s="6"/>
      <c r="BD1634" s="29">
        <f t="shared" si="933"/>
        <v>0</v>
      </c>
      <c r="BE1634" s="322"/>
      <c r="BF1634" s="322"/>
      <c r="BG1634" s="322"/>
      <c r="BH1634" s="322"/>
      <c r="BI1634" s="322"/>
      <c r="BJ1634" s="322"/>
      <c r="BK1634" s="29">
        <f t="shared" si="951"/>
        <v>0</v>
      </c>
      <c r="BL1634" s="317"/>
      <c r="BM1634" s="317"/>
      <c r="BN1634" s="317"/>
      <c r="BO1634" s="317"/>
      <c r="BP1634" s="317"/>
      <c r="BQ1634" s="317"/>
      <c r="BR1634" s="317"/>
      <c r="BS1634" s="317"/>
      <c r="BT1634" s="317"/>
      <c r="BU1634" s="317"/>
      <c r="BV1634" s="317"/>
      <c r="BW1634" s="317"/>
      <c r="BX1634" s="317"/>
      <c r="BY1634" s="317"/>
      <c r="BZ1634" s="317"/>
      <c r="CA1634" s="317"/>
      <c r="CB1634" s="317"/>
      <c r="CC1634" s="317"/>
      <c r="CD1634" s="317"/>
      <c r="CE1634" s="317"/>
      <c r="CF1634" s="317"/>
      <c r="CG1634" s="317"/>
      <c r="CH1634" s="317"/>
      <c r="CI1634" s="317"/>
      <c r="CM1634" s="1139">
        <f t="shared" si="954"/>
        <v>0</v>
      </c>
      <c r="CN1634" s="1139">
        <v>0</v>
      </c>
      <c r="CP1634" s="923">
        <f t="shared" si="953"/>
        <v>0</v>
      </c>
      <c r="CZ1634" s="330"/>
    </row>
    <row r="1635" spans="1:104" ht="15" customHeight="1" x14ac:dyDescent="0.25">
      <c r="A1635" s="684">
        <f>MAX($A$6:A1634)+1</f>
        <v>1635</v>
      </c>
      <c r="B1635" s="3">
        <f t="shared" si="959"/>
        <v>17.100000000000001</v>
      </c>
      <c r="C1635" s="11" t="str">
        <f t="shared" si="960"/>
        <v>Quantitative disclosures around right-of-use assets</v>
      </c>
      <c r="D1635" s="11" t="s">
        <v>201</v>
      </c>
      <c r="E1635" s="7" t="s">
        <v>186</v>
      </c>
      <c r="F1635" s="7"/>
      <c r="G1635" s="7" t="s">
        <v>186</v>
      </c>
      <c r="H1635" s="6">
        <v>0</v>
      </c>
      <c r="I1635" s="6">
        <v>0</v>
      </c>
      <c r="J1635" s="7" t="s">
        <v>186</v>
      </c>
      <c r="K1635" s="6">
        <f>SUMIF('alb Note 16  Leases'!$B$23:$B$30,$J1635,'alb Note 16  Leases'!$F$23:$F$30)</f>
        <v>0</v>
      </c>
      <c r="L1635" s="6">
        <f>SUMIF('alb Note 16  Leases'!$B$23:$B$30,$J1635,'alb Note 16  Leases'!$P$23:$P$30)</f>
        <v>0</v>
      </c>
      <c r="M1635" s="10"/>
      <c r="N1635" s="273">
        <f t="shared" si="957"/>
        <v>0</v>
      </c>
      <c r="O1635" s="12"/>
      <c r="P1635" s="12"/>
      <c r="Q1635" s="12"/>
      <c r="R1635" s="12"/>
      <c r="S1635" s="6">
        <f t="shared" si="958"/>
        <v>0</v>
      </c>
      <c r="T1635" s="273">
        <f t="shared" si="931"/>
        <v>0</v>
      </c>
      <c r="U1635" s="6">
        <f t="shared" si="975"/>
        <v>0</v>
      </c>
      <c r="V1635" s="6"/>
      <c r="W1635" s="6">
        <f t="shared" si="932"/>
        <v>0</v>
      </c>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X1635" s="6"/>
      <c r="AY1635" s="6">
        <f>ROUND(AX1635/1000/Update!$B$31*Update!$B$27,0)</f>
        <v>0</v>
      </c>
      <c r="BA1635" s="6"/>
      <c r="BB1635" s="6">
        <f>ROUND(BA1635/1000/Update!$B$31,0)</f>
        <v>0</v>
      </c>
      <c r="BC1635" s="6"/>
      <c r="BD1635" s="29">
        <f t="shared" si="933"/>
        <v>0</v>
      </c>
      <c r="BE1635" s="317"/>
      <c r="BF1635" s="317"/>
      <c r="BG1635" s="317"/>
      <c r="BH1635" s="317"/>
      <c r="BI1635" s="317"/>
      <c r="BJ1635" s="317"/>
      <c r="BK1635" s="29">
        <f t="shared" si="951"/>
        <v>0</v>
      </c>
      <c r="BL1635" s="317"/>
      <c r="BM1635" s="317"/>
      <c r="BN1635" s="317"/>
      <c r="BO1635" s="317"/>
      <c r="BP1635" s="317"/>
      <c r="BQ1635" s="317"/>
      <c r="BR1635" s="317"/>
      <c r="BS1635" s="317"/>
      <c r="BT1635" s="317"/>
      <c r="BU1635" s="317"/>
      <c r="BV1635" s="317"/>
      <c r="BW1635" s="317"/>
      <c r="BX1635" s="317"/>
      <c r="BY1635" s="317"/>
      <c r="BZ1635" s="317"/>
      <c r="CA1635" s="317"/>
      <c r="CB1635" s="317"/>
      <c r="CC1635" s="317"/>
      <c r="CD1635" s="317"/>
      <c r="CE1635" s="317"/>
      <c r="CF1635" s="317"/>
      <c r="CG1635" s="317"/>
      <c r="CH1635" s="317"/>
      <c r="CI1635" s="317"/>
      <c r="CM1635" s="1139">
        <f t="shared" si="954"/>
        <v>0</v>
      </c>
      <c r="CN1635" s="1139">
        <v>0</v>
      </c>
      <c r="CP1635" s="923">
        <f t="shared" si="953"/>
        <v>0</v>
      </c>
      <c r="CZ1635" s="330"/>
    </row>
    <row r="1636" spans="1:104" ht="15" customHeight="1" x14ac:dyDescent="0.25">
      <c r="A1636" s="684">
        <f>MAX($A$6:A1635)+1</f>
        <v>1636</v>
      </c>
      <c r="B1636" s="3">
        <f t="shared" si="959"/>
        <v>17.100000000000001</v>
      </c>
      <c r="C1636" s="11" t="str">
        <f t="shared" si="960"/>
        <v>Quantitative disclosures around right-of-use assets</v>
      </c>
      <c r="D1636" s="11" t="s">
        <v>201</v>
      </c>
      <c r="E1636" s="7" t="s">
        <v>187</v>
      </c>
      <c r="F1636" s="1267"/>
      <c r="G1636" s="1254" t="s">
        <v>187</v>
      </c>
      <c r="H1636" s="6">
        <v>0</v>
      </c>
      <c r="I1636" s="6">
        <v>0</v>
      </c>
      <c r="J1636" s="1254" t="s">
        <v>187</v>
      </c>
      <c r="K1636" s="6">
        <f>SUMIF('alb Note 16  Leases'!$B$23:$B$30,$J1636,'alb Note 16  Leases'!$F$23:$F$30)</f>
        <v>0</v>
      </c>
      <c r="L1636" s="6">
        <f>SUMIF('alb Note 16  Leases'!$B$23:$B$30,$J1636,'alb Note 16  Leases'!$P$23:$P$30)</f>
        <v>0</v>
      </c>
      <c r="M1636" s="10"/>
      <c r="N1636" s="273">
        <f t="shared" si="957"/>
        <v>0</v>
      </c>
      <c r="O1636" s="12"/>
      <c r="P1636" s="12"/>
      <c r="Q1636" s="12"/>
      <c r="R1636" s="12"/>
      <c r="S1636" s="6">
        <f t="shared" si="958"/>
        <v>0</v>
      </c>
      <c r="T1636" s="273">
        <f t="shared" ref="T1636:T1671" si="976">ROUND(SUM(U1636:Y1636),0)</f>
        <v>0</v>
      </c>
      <c r="U1636" s="6">
        <f t="shared" si="975"/>
        <v>0</v>
      </c>
      <c r="V1636" s="6"/>
      <c r="W1636" s="6">
        <f t="shared" ref="W1636:W1671" si="977">+H1636</f>
        <v>0</v>
      </c>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X1636" s="6"/>
      <c r="AY1636" s="6">
        <f>ROUND(AX1636/1000/Update!$B$31*Update!$B$27,0)</f>
        <v>0</v>
      </c>
      <c r="BA1636" s="6"/>
      <c r="BB1636" s="6">
        <f>ROUND(BA1636/1000/Update!$B$31,0)</f>
        <v>0</v>
      </c>
      <c r="BC1636" s="6"/>
      <c r="BD1636" s="29">
        <f t="shared" ref="BD1636:BD1671" si="978">ROUND(SUM(BE1636:BK1636),0)</f>
        <v>0</v>
      </c>
      <c r="BE1636" s="322"/>
      <c r="BF1636" s="322"/>
      <c r="BG1636" s="322"/>
      <c r="BH1636" s="322"/>
      <c r="BI1636" s="322"/>
      <c r="BJ1636" s="322"/>
      <c r="BK1636" s="29">
        <f t="shared" si="951"/>
        <v>0</v>
      </c>
      <c r="BL1636" s="317"/>
      <c r="BM1636" s="317"/>
      <c r="BN1636" s="317"/>
      <c r="BO1636" s="317"/>
      <c r="BP1636" s="317"/>
      <c r="BQ1636" s="317"/>
      <c r="BR1636" s="317"/>
      <c r="BS1636" s="317"/>
      <c r="BT1636" s="317"/>
      <c r="BU1636" s="317"/>
      <c r="BV1636" s="317"/>
      <c r="BW1636" s="317"/>
      <c r="BX1636" s="317"/>
      <c r="BY1636" s="317"/>
      <c r="BZ1636" s="317"/>
      <c r="CA1636" s="317"/>
      <c r="CB1636" s="317"/>
      <c r="CC1636" s="317"/>
      <c r="CD1636" s="317"/>
      <c r="CE1636" s="317"/>
      <c r="CF1636" s="317"/>
      <c r="CG1636" s="317"/>
      <c r="CH1636" s="317"/>
      <c r="CI1636" s="317"/>
      <c r="CM1636" s="1139">
        <f t="shared" si="954"/>
        <v>0</v>
      </c>
      <c r="CN1636" s="1139">
        <v>0</v>
      </c>
      <c r="CP1636" s="923">
        <f t="shared" si="953"/>
        <v>0</v>
      </c>
      <c r="CZ1636" s="330"/>
    </row>
    <row r="1637" spans="1:104" ht="15" customHeight="1" x14ac:dyDescent="0.25">
      <c r="A1637" s="684">
        <f>MAX($A$6:A1636)+1</f>
        <v>1637</v>
      </c>
      <c r="B1637" s="3">
        <f t="shared" si="959"/>
        <v>17.100000000000001</v>
      </c>
      <c r="C1637" s="11" t="str">
        <f t="shared" si="960"/>
        <v>Quantitative disclosures around right-of-use assets</v>
      </c>
      <c r="D1637" s="11" t="s">
        <v>201</v>
      </c>
      <c r="E1637" s="7" t="s">
        <v>189</v>
      </c>
      <c r="F1637" s="1267"/>
      <c r="G1637" s="1254" t="s">
        <v>189</v>
      </c>
      <c r="H1637" s="6">
        <v>0</v>
      </c>
      <c r="I1637" s="6">
        <v>0</v>
      </c>
      <c r="J1637" s="1254" t="s">
        <v>189</v>
      </c>
      <c r="K1637" s="6">
        <f>SUMIF('alb Note 16  Leases'!$B$23:$B$30,$J1637,'alb Note 16  Leases'!$F$23:$F$30)</f>
        <v>0</v>
      </c>
      <c r="L1637" s="6">
        <f>SUMIF('alb Note 16  Leases'!$B$23:$B$30,$J1637,'alb Note 16  Leases'!$P$23:$P$30)</f>
        <v>0</v>
      </c>
      <c r="M1637" s="10"/>
      <c r="N1637" s="273">
        <f t="shared" si="957"/>
        <v>0</v>
      </c>
      <c r="O1637" s="12"/>
      <c r="P1637" s="12"/>
      <c r="Q1637" s="12"/>
      <c r="R1637" s="12"/>
      <c r="S1637" s="6">
        <f t="shared" si="958"/>
        <v>0</v>
      </c>
      <c r="T1637" s="273">
        <f t="shared" si="976"/>
        <v>0</v>
      </c>
      <c r="U1637" s="6">
        <f t="shared" si="975"/>
        <v>0</v>
      </c>
      <c r="V1637" s="6"/>
      <c r="W1637" s="6">
        <f t="shared" si="977"/>
        <v>0</v>
      </c>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X1637" s="6"/>
      <c r="AY1637" s="6">
        <f>ROUND(AX1637/1000/Update!$B$31*Update!$B$27,0)</f>
        <v>0</v>
      </c>
      <c r="BA1637" s="6"/>
      <c r="BB1637" s="6">
        <f>ROUND(BA1637/1000/Update!$B$31,0)</f>
        <v>0</v>
      </c>
      <c r="BC1637" s="6"/>
      <c r="BD1637" s="29">
        <f t="shared" si="978"/>
        <v>0</v>
      </c>
      <c r="BE1637" s="322"/>
      <c r="BF1637" s="322"/>
      <c r="BG1637" s="322"/>
      <c r="BH1637" s="322"/>
      <c r="BI1637" s="322"/>
      <c r="BJ1637" s="322"/>
      <c r="BK1637" s="29">
        <f t="shared" si="951"/>
        <v>0</v>
      </c>
      <c r="BL1637" s="317"/>
      <c r="BM1637" s="317"/>
      <c r="BN1637" s="317"/>
      <c r="BO1637" s="317"/>
      <c r="BP1637" s="317"/>
      <c r="BQ1637" s="317"/>
      <c r="BR1637" s="317"/>
      <c r="BS1637" s="317"/>
      <c r="BT1637" s="317"/>
      <c r="BU1637" s="317"/>
      <c r="BV1637" s="317"/>
      <c r="BW1637" s="317"/>
      <c r="BX1637" s="317"/>
      <c r="BY1637" s="317"/>
      <c r="BZ1637" s="317"/>
      <c r="CA1637" s="317"/>
      <c r="CB1637" s="317"/>
      <c r="CC1637" s="317"/>
      <c r="CD1637" s="317"/>
      <c r="CE1637" s="317"/>
      <c r="CF1637" s="317"/>
      <c r="CG1637" s="317"/>
      <c r="CH1637" s="317"/>
      <c r="CI1637" s="317"/>
      <c r="CM1637" s="1139">
        <f t="shared" si="954"/>
        <v>0</v>
      </c>
      <c r="CN1637" s="1139">
        <v>0</v>
      </c>
      <c r="CP1637" s="923">
        <f t="shared" si="953"/>
        <v>0</v>
      </c>
      <c r="CZ1637" s="330"/>
    </row>
    <row r="1638" spans="1:104" ht="15" customHeight="1" x14ac:dyDescent="0.25">
      <c r="A1638" s="684">
        <f>MAX($A$6:A1637)+1</f>
        <v>1638</v>
      </c>
      <c r="B1638" s="3">
        <f t="shared" si="959"/>
        <v>17.100000000000001</v>
      </c>
      <c r="C1638" s="11" t="str">
        <f t="shared" si="960"/>
        <v>Quantitative disclosures around right-of-use assets</v>
      </c>
      <c r="D1638" s="11" t="s">
        <v>201</v>
      </c>
      <c r="E1638" s="7" t="s">
        <v>191</v>
      </c>
      <c r="F1638" s="1267"/>
      <c r="G1638" s="7" t="s">
        <v>191</v>
      </c>
      <c r="H1638" s="6">
        <v>0</v>
      </c>
      <c r="I1638" s="6">
        <v>0</v>
      </c>
      <c r="J1638" s="7" t="s">
        <v>191</v>
      </c>
      <c r="K1638" s="6">
        <f>SUMIF('alb Note 16  Leases'!$B$23:$B$30,$J1638,'alb Note 16  Leases'!$F$23:$F$30)</f>
        <v>0</v>
      </c>
      <c r="L1638" s="6">
        <f>SUMIF('alb Note 16  Leases'!$B$23:$B$30,$J1638,'alb Note 16  Leases'!$P$23:$P$30)</f>
        <v>0</v>
      </c>
      <c r="M1638" s="10"/>
      <c r="N1638" s="273">
        <f t="shared" si="957"/>
        <v>0</v>
      </c>
      <c r="O1638" s="12"/>
      <c r="P1638" s="12"/>
      <c r="Q1638" s="12"/>
      <c r="R1638" s="12"/>
      <c r="S1638" s="6">
        <f t="shared" si="958"/>
        <v>0</v>
      </c>
      <c r="T1638" s="273">
        <f t="shared" si="976"/>
        <v>0</v>
      </c>
      <c r="U1638" s="6">
        <f t="shared" si="975"/>
        <v>0</v>
      </c>
      <c r="V1638" s="6"/>
      <c r="W1638" s="6">
        <f t="shared" si="977"/>
        <v>0</v>
      </c>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X1638" s="6"/>
      <c r="AY1638" s="6">
        <f>ROUND(AX1638/1000/Update!$B$31*Update!$B$27,0)</f>
        <v>0</v>
      </c>
      <c r="BA1638" s="6"/>
      <c r="BB1638" s="6">
        <f>ROUND(BA1638/1000/Update!$B$31,0)</f>
        <v>0</v>
      </c>
      <c r="BC1638" s="6"/>
      <c r="BD1638" s="29">
        <f t="shared" si="978"/>
        <v>0</v>
      </c>
      <c r="BE1638" s="322"/>
      <c r="BF1638" s="322"/>
      <c r="BG1638" s="322"/>
      <c r="BH1638" s="322"/>
      <c r="BI1638" s="322"/>
      <c r="BJ1638" s="322"/>
      <c r="BK1638" s="29">
        <f t="shared" si="951"/>
        <v>0</v>
      </c>
      <c r="BL1638" s="317"/>
      <c r="BM1638" s="317"/>
      <c r="BN1638" s="317"/>
      <c r="BO1638" s="317"/>
      <c r="BP1638" s="317"/>
      <c r="BQ1638" s="317"/>
      <c r="BR1638" s="317"/>
      <c r="BS1638" s="317"/>
      <c r="BT1638" s="317"/>
      <c r="BU1638" s="317"/>
      <c r="BV1638" s="317"/>
      <c r="BW1638" s="317"/>
      <c r="BX1638" s="317"/>
      <c r="BY1638" s="317"/>
      <c r="BZ1638" s="317"/>
      <c r="CA1638" s="317"/>
      <c r="CB1638" s="317"/>
      <c r="CC1638" s="317"/>
      <c r="CD1638" s="317"/>
      <c r="CE1638" s="317"/>
      <c r="CF1638" s="317"/>
      <c r="CG1638" s="317"/>
      <c r="CH1638" s="317"/>
      <c r="CI1638" s="317"/>
      <c r="CM1638" s="1139">
        <f t="shared" si="954"/>
        <v>0</v>
      </c>
      <c r="CN1638" s="1139">
        <v>0</v>
      </c>
      <c r="CP1638" s="923">
        <f t="shared" si="953"/>
        <v>0</v>
      </c>
      <c r="CZ1638" s="330"/>
    </row>
    <row r="1639" spans="1:104" ht="15" customHeight="1" x14ac:dyDescent="0.25">
      <c r="A1639" s="684">
        <f>MAX($A$6:A1638)+1</f>
        <v>1639</v>
      </c>
      <c r="B1639" s="3">
        <f t="shared" si="959"/>
        <v>17.100000000000001</v>
      </c>
      <c r="C1639" s="11" t="str">
        <f t="shared" si="960"/>
        <v>Quantitative disclosures around right-of-use assets</v>
      </c>
      <c r="D1639" s="11" t="s">
        <v>201</v>
      </c>
      <c r="E1639" s="7" t="str">
        <f>"At"&amp;Update!$B$22</f>
        <v>At 31 March 2026</v>
      </c>
      <c r="F1639" s="7"/>
      <c r="G1639" s="7" t="str">
        <f>"At"&amp;Update!$B$22</f>
        <v>At 31 March 2026</v>
      </c>
      <c r="H1639" s="6">
        <v>0</v>
      </c>
      <c r="I1639" s="6">
        <v>0</v>
      </c>
      <c r="J1639" s="7" t="str">
        <f>"At"&amp;Update!$B$22</f>
        <v>At 31 March 2026</v>
      </c>
      <c r="K1639" s="6">
        <f>SUMIF('alb Note 16  Leases'!$B$23:$B$30,$J1639,'alb Note 16  Leases'!$F$23:$F$30)</f>
        <v>0</v>
      </c>
      <c r="L1639" s="6">
        <f>SUMIF('alb Note 16  Leases'!$B$23:$B$30,$J1639,'alb Note 16  Leases'!$P$23:$P$30)</f>
        <v>0</v>
      </c>
      <c r="M1639" s="10"/>
      <c r="N1639" s="273">
        <f t="shared" si="957"/>
        <v>0</v>
      </c>
      <c r="O1639" s="12"/>
      <c r="P1639" s="12"/>
      <c r="Q1639" s="12"/>
      <c r="R1639" s="12"/>
      <c r="S1639" s="6">
        <f t="shared" si="958"/>
        <v>0</v>
      </c>
      <c r="T1639" s="273">
        <f t="shared" si="976"/>
        <v>0</v>
      </c>
      <c r="U1639" s="6">
        <f t="shared" si="975"/>
        <v>0</v>
      </c>
      <c r="V1639" s="6"/>
      <c r="W1639" s="6">
        <f t="shared" si="977"/>
        <v>0</v>
      </c>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X1639" s="6"/>
      <c r="AY1639" s="6">
        <f>ROUND(AX1639/1000/Update!$B$31*Update!$B$27,0)</f>
        <v>0</v>
      </c>
      <c r="BA1639" s="6"/>
      <c r="BB1639" s="6">
        <f>ROUND(BA1639/1000/Update!$B$31,0)</f>
        <v>0</v>
      </c>
      <c r="BC1639" s="6"/>
      <c r="BD1639" s="29">
        <f t="shared" si="978"/>
        <v>0</v>
      </c>
      <c r="BE1639" s="317"/>
      <c r="BF1639" s="317"/>
      <c r="BG1639" s="317"/>
      <c r="BH1639" s="317"/>
      <c r="BI1639" s="317"/>
      <c r="BJ1639" s="317"/>
      <c r="BK1639" s="29">
        <f t="shared" si="951"/>
        <v>0</v>
      </c>
      <c r="BL1639" s="317"/>
      <c r="BM1639" s="317"/>
      <c r="BN1639" s="317"/>
      <c r="BO1639" s="317"/>
      <c r="BP1639" s="317"/>
      <c r="BQ1639" s="317"/>
      <c r="BR1639" s="317"/>
      <c r="BS1639" s="317"/>
      <c r="BT1639" s="317"/>
      <c r="BU1639" s="317"/>
      <c r="BV1639" s="317"/>
      <c r="BW1639" s="317"/>
      <c r="BX1639" s="317"/>
      <c r="BY1639" s="317"/>
      <c r="BZ1639" s="317"/>
      <c r="CA1639" s="317"/>
      <c r="CB1639" s="317"/>
      <c r="CC1639" s="317"/>
      <c r="CD1639" s="317"/>
      <c r="CE1639" s="317"/>
      <c r="CF1639" s="317"/>
      <c r="CG1639" s="317"/>
      <c r="CH1639" s="317"/>
      <c r="CI1639" s="317"/>
      <c r="CM1639" s="1139">
        <f t="shared" si="954"/>
        <v>0</v>
      </c>
      <c r="CN1639" s="1139">
        <v>0</v>
      </c>
      <c r="CP1639" s="923">
        <f t="shared" si="953"/>
        <v>0</v>
      </c>
      <c r="CZ1639" s="330"/>
    </row>
    <row r="1640" spans="1:104" ht="15" customHeight="1" x14ac:dyDescent="0.25">
      <c r="A1640" s="701">
        <f>MAX($A$6:A1639)+1</f>
        <v>1640</v>
      </c>
      <c r="B1640" s="1291">
        <f t="shared" si="959"/>
        <v>17.100000000000001</v>
      </c>
      <c r="C1640" s="18" t="str">
        <f t="shared" si="959"/>
        <v>Quantitative disclosures around right-of-use assets</v>
      </c>
      <c r="D1640" s="18" t="s">
        <v>201</v>
      </c>
      <c r="E1640" s="19" t="str">
        <f>"Carrying amount "&amp;Update!$B$22</f>
        <v>Carrying amount  31 March 2026</v>
      </c>
      <c r="F1640" s="20"/>
      <c r="G1640" s="19" t="str">
        <f>"Carrying amount "&amp;Update!$B$22</f>
        <v>Carrying amount  31 March 2026</v>
      </c>
      <c r="H1640" s="14">
        <f>+H1631-H1639</f>
        <v>0</v>
      </c>
      <c r="I1640" s="14">
        <f>+I1631-I1639</f>
        <v>0</v>
      </c>
      <c r="J1640" s="19" t="str">
        <f>"Carrying amount "&amp;Update!$B$22</f>
        <v>Carrying amount  31 March 2026</v>
      </c>
      <c r="K1640" s="256">
        <f>+K1631-K1639</f>
        <v>0</v>
      </c>
      <c r="L1640" s="256">
        <f>+L1631-L1639</f>
        <v>0</v>
      </c>
      <c r="M1640" s="21"/>
      <c r="N1640" s="14">
        <f>ROUND(SUM(O1640:S1640)+T1640+SUM(Z1640:AV1640),0)</f>
        <v>0</v>
      </c>
      <c r="O1640" s="256">
        <f t="shared" ref="O1640" si="979">+O1631-O1639</f>
        <v>0</v>
      </c>
      <c r="P1640" s="256">
        <f t="shared" ref="P1640" si="980">+P1631-P1639</f>
        <v>0</v>
      </c>
      <c r="Q1640" s="256">
        <f t="shared" ref="Q1640" si="981">+Q1631-Q1639</f>
        <v>0</v>
      </c>
      <c r="R1640" s="256">
        <f t="shared" ref="R1640" si="982">+R1631-R1639</f>
        <v>0</v>
      </c>
      <c r="S1640" s="256">
        <f t="shared" ref="S1640" si="983">+S1631-S1639</f>
        <v>0</v>
      </c>
      <c r="T1640" s="256">
        <f t="shared" ref="T1640" si="984">+T1631-T1639</f>
        <v>0</v>
      </c>
      <c r="U1640" s="256">
        <f t="shared" ref="U1640" si="985">+U1631-U1639</f>
        <v>0</v>
      </c>
      <c r="V1640" s="14"/>
      <c r="W1640" s="14">
        <f>+H1640</f>
        <v>0</v>
      </c>
      <c r="X1640" s="14"/>
      <c r="Y1640" s="14"/>
      <c r="Z1640" s="14"/>
      <c r="AA1640" s="14"/>
      <c r="AB1640" s="14"/>
      <c r="AC1640" s="14"/>
      <c r="AD1640" s="14"/>
      <c r="AE1640" s="14"/>
      <c r="AF1640" s="14"/>
      <c r="AG1640" s="14"/>
      <c r="AH1640" s="14"/>
      <c r="AI1640" s="14"/>
      <c r="AJ1640" s="14"/>
      <c r="AK1640" s="14"/>
      <c r="AL1640" s="14"/>
      <c r="AM1640" s="14"/>
      <c r="AN1640" s="14"/>
      <c r="AO1640" s="14"/>
      <c r="AP1640" s="14"/>
      <c r="AQ1640" s="14"/>
      <c r="AR1640" s="14"/>
      <c r="AS1640" s="14"/>
      <c r="AT1640" s="14"/>
      <c r="AU1640" s="14"/>
      <c r="AV1640" s="14"/>
      <c r="AW1640" s="2"/>
      <c r="AX1640" s="14"/>
      <c r="AY1640" s="14"/>
      <c r="AZ1640" s="2"/>
      <c r="BA1640" s="14"/>
      <c r="BB1640" s="14"/>
      <c r="BC1640" s="14"/>
      <c r="BD1640" s="14">
        <f>+BD1631-BD1639</f>
        <v>0</v>
      </c>
      <c r="BE1640" s="14">
        <f t="shared" ref="BE1640" si="986">+BE1631-BE1639</f>
        <v>0</v>
      </c>
      <c r="BF1640" s="14">
        <f t="shared" ref="BF1640" si="987">+BF1631-BF1639</f>
        <v>0</v>
      </c>
      <c r="BG1640" s="14">
        <f t="shared" ref="BG1640" si="988">+BG1631-BG1639</f>
        <v>0</v>
      </c>
      <c r="BH1640" s="14">
        <f t="shared" ref="BH1640" si="989">+BH1631-BH1639</f>
        <v>0</v>
      </c>
      <c r="BI1640" s="14">
        <f t="shared" ref="BI1640" si="990">+BI1631-BI1639</f>
        <v>0</v>
      </c>
      <c r="BJ1640" s="14">
        <f t="shared" ref="BJ1640" si="991">+BJ1631-BJ1639</f>
        <v>0</v>
      </c>
      <c r="BK1640" s="14">
        <f t="shared" ref="BK1640" si="992">+BK1631-BK1639</f>
        <v>0</v>
      </c>
      <c r="BL1640" s="14"/>
      <c r="BM1640" s="14"/>
      <c r="BN1640" s="14"/>
      <c r="BO1640" s="14"/>
      <c r="BP1640" s="14"/>
      <c r="BQ1640" s="14"/>
      <c r="BR1640" s="14"/>
      <c r="BS1640" s="14"/>
      <c r="BT1640" s="324"/>
      <c r="BU1640" s="14"/>
      <c r="BV1640" s="14"/>
      <c r="BW1640" s="14"/>
      <c r="BX1640" s="14"/>
      <c r="BY1640" s="14"/>
      <c r="BZ1640" s="14"/>
      <c r="CA1640" s="14"/>
      <c r="CB1640" s="14"/>
      <c r="CC1640" s="14"/>
      <c r="CD1640" s="14"/>
      <c r="CE1640" s="14"/>
      <c r="CF1640" s="14"/>
      <c r="CG1640" s="14"/>
      <c r="CH1640" s="14"/>
      <c r="CI1640" s="14"/>
      <c r="CJ1640" s="2"/>
      <c r="CK1640" s="2"/>
      <c r="CM1640" s="1450"/>
      <c r="CN1640" s="1450"/>
      <c r="CX1640" s="330"/>
    </row>
    <row r="1641" spans="1:104" ht="15" customHeight="1" x14ac:dyDescent="0.25">
      <c r="A1641" s="684">
        <f>MAX($A$6:A1640)+1</f>
        <v>1641</v>
      </c>
      <c r="B1641" s="3">
        <f>B1639</f>
        <v>17.100000000000001</v>
      </c>
      <c r="C1641" s="11" t="str">
        <f>C1639</f>
        <v>Quantitative disclosures around right-of-use assets</v>
      </c>
      <c r="D1641" s="11" t="s">
        <v>2537</v>
      </c>
      <c r="E1641" s="7" t="str">
        <f>"At"&amp;Update!$B$20</f>
        <v>At 1 April 2025</v>
      </c>
      <c r="F1641" s="7"/>
      <c r="G1641" s="7" t="str">
        <f>"At"&amp;Update!$B$20</f>
        <v>At 1 April 2025</v>
      </c>
      <c r="H1641" s="6">
        <v>0</v>
      </c>
      <c r="I1641" s="6">
        <v>0</v>
      </c>
      <c r="J1641" s="7" t="str">
        <f>"At"&amp;Update!$B$20</f>
        <v>At 1 April 2025</v>
      </c>
      <c r="K1641" s="6">
        <f>SUMIF('alb Note 16  Leases'!$B$12:$B$20,$J1641,'alb Note 16  Leases'!$G$12:$G$20)</f>
        <v>0</v>
      </c>
      <c r="L1641" s="6">
        <f>SUMIF('alb Note 16  Leases'!$B$12:$B$20,$J1641,'alb Note 16  Leases'!$Q$12:$Q$20)</f>
        <v>0</v>
      </c>
      <c r="M1641" s="10"/>
      <c r="N1641" s="273">
        <f t="shared" si="957"/>
        <v>0</v>
      </c>
      <c r="O1641" s="12"/>
      <c r="P1641" s="12"/>
      <c r="Q1641" s="12"/>
      <c r="R1641" s="12"/>
      <c r="S1641" s="6">
        <f t="shared" si="958"/>
        <v>0</v>
      </c>
      <c r="T1641" s="273">
        <f t="shared" si="976"/>
        <v>0</v>
      </c>
      <c r="U1641" s="6">
        <f>SUM(BL1641:BN1641)</f>
        <v>0</v>
      </c>
      <c r="V1641" s="6"/>
      <c r="W1641" s="6">
        <f t="shared" si="977"/>
        <v>0</v>
      </c>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X1641" s="6"/>
      <c r="AY1641" s="6">
        <f>ROUND(AX1641/1000/Update!$B$31*Update!$B$27,0)</f>
        <v>0</v>
      </c>
      <c r="BA1641" s="6"/>
      <c r="BB1641" s="6">
        <f>ROUND(BA1641/1000/Update!$B$31,0)</f>
        <v>0</v>
      </c>
      <c r="BC1641" s="6"/>
      <c r="BD1641" s="29">
        <f t="shared" si="978"/>
        <v>0</v>
      </c>
      <c r="BE1641" s="317"/>
      <c r="BF1641" s="317"/>
      <c r="BG1641" s="317"/>
      <c r="BH1641" s="317"/>
      <c r="BI1641" s="317"/>
      <c r="BJ1641" s="317"/>
      <c r="BK1641" s="29">
        <f t="shared" si="951"/>
        <v>0</v>
      </c>
      <c r="BL1641" s="317"/>
      <c r="BM1641" s="317"/>
      <c r="BN1641" s="317"/>
      <c r="BO1641" s="317"/>
      <c r="BP1641" s="317"/>
      <c r="BQ1641" s="317"/>
      <c r="BR1641" s="317"/>
      <c r="BS1641" s="317"/>
      <c r="BT1641" s="317"/>
      <c r="BU1641" s="317"/>
      <c r="BV1641" s="317"/>
      <c r="BW1641" s="317"/>
      <c r="BX1641" s="317"/>
      <c r="BY1641" s="317"/>
      <c r="BZ1641" s="317"/>
      <c r="CA1641" s="317"/>
      <c r="CB1641" s="317"/>
      <c r="CC1641" s="317"/>
      <c r="CD1641" s="317"/>
      <c r="CE1641" s="317"/>
      <c r="CF1641" s="317"/>
      <c r="CG1641" s="317"/>
      <c r="CH1641" s="317"/>
      <c r="CI1641" s="317"/>
      <c r="CM1641" s="1139">
        <f t="shared" si="954"/>
        <v>0</v>
      </c>
      <c r="CN1641" s="1139">
        <v>0</v>
      </c>
      <c r="CP1641" s="923">
        <f t="shared" si="953"/>
        <v>0</v>
      </c>
      <c r="CZ1641" s="330"/>
    </row>
    <row r="1642" spans="1:104" ht="15" customHeight="1" x14ac:dyDescent="0.25">
      <c r="A1642" s="684">
        <f>MAX($A$6:A1641)+1</f>
        <v>1642</v>
      </c>
      <c r="B1642" s="3">
        <f t="shared" si="959"/>
        <v>17.100000000000001</v>
      </c>
      <c r="C1642" s="11" t="str">
        <f t="shared" si="960"/>
        <v>Quantitative disclosures around right-of-use assets</v>
      </c>
      <c r="D1642" s="11" t="s">
        <v>2537</v>
      </c>
      <c r="E1642" s="7" t="s">
        <v>185</v>
      </c>
      <c r="F1642" s="1267"/>
      <c r="G1642" s="1254" t="s">
        <v>185</v>
      </c>
      <c r="H1642" s="6">
        <v>0</v>
      </c>
      <c r="I1642" s="6">
        <v>0</v>
      </c>
      <c r="J1642" s="1254" t="s">
        <v>185</v>
      </c>
      <c r="K1642" s="6">
        <f>SUMIF('alb Note 16  Leases'!$B$12:$B$20,$J1642,'alb Note 16  Leases'!$G$12:$G$20)</f>
        <v>0</v>
      </c>
      <c r="L1642" s="6">
        <f>SUMIF('alb Note 16  Leases'!$B$12:$B$20,$J1642,'alb Note 16  Leases'!$Q$12:$Q$20)</f>
        <v>0</v>
      </c>
      <c r="M1642" s="10"/>
      <c r="N1642" s="273">
        <f t="shared" si="957"/>
        <v>0</v>
      </c>
      <c r="O1642" s="12"/>
      <c r="P1642" s="12"/>
      <c r="Q1642" s="12"/>
      <c r="R1642" s="12"/>
      <c r="S1642" s="6">
        <f t="shared" si="958"/>
        <v>0</v>
      </c>
      <c r="T1642" s="273">
        <f t="shared" si="976"/>
        <v>0</v>
      </c>
      <c r="U1642" s="6">
        <f t="shared" ref="U1642:U1657" si="993">SUM(BL1642:BN1642)</f>
        <v>0</v>
      </c>
      <c r="V1642" s="6"/>
      <c r="W1642" s="6">
        <f t="shared" si="977"/>
        <v>0</v>
      </c>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X1642" s="6"/>
      <c r="AY1642" s="6">
        <f>ROUND(AX1642/1000/Update!$B$31*Update!$B$27,0)</f>
        <v>0</v>
      </c>
      <c r="BA1642" s="6"/>
      <c r="BB1642" s="6">
        <f>ROUND(BA1642/1000/Update!$B$31,0)</f>
        <v>0</v>
      </c>
      <c r="BC1642" s="6"/>
      <c r="BD1642" s="29">
        <f t="shared" si="978"/>
        <v>0</v>
      </c>
      <c r="BE1642" s="322"/>
      <c r="BF1642" s="322"/>
      <c r="BG1642" s="322"/>
      <c r="BH1642" s="322"/>
      <c r="BI1642" s="322"/>
      <c r="BJ1642" s="322"/>
      <c r="BK1642" s="29">
        <f t="shared" ref="BK1642:BK1678" si="994">ROUND(SUM(BO1642:CI1642),0)</f>
        <v>0</v>
      </c>
      <c r="BL1642" s="317"/>
      <c r="BM1642" s="317"/>
      <c r="BN1642" s="317"/>
      <c r="BO1642" s="317"/>
      <c r="BP1642" s="317"/>
      <c r="BQ1642" s="317"/>
      <c r="BR1642" s="317"/>
      <c r="BS1642" s="317"/>
      <c r="BT1642" s="317"/>
      <c r="BU1642" s="317"/>
      <c r="BV1642" s="317"/>
      <c r="BW1642" s="317"/>
      <c r="BX1642" s="317"/>
      <c r="BY1642" s="317"/>
      <c r="BZ1642" s="317"/>
      <c r="CA1642" s="317"/>
      <c r="CB1642" s="317"/>
      <c r="CC1642" s="317"/>
      <c r="CD1642" s="317"/>
      <c r="CE1642" s="317"/>
      <c r="CF1642" s="317"/>
      <c r="CG1642" s="317"/>
      <c r="CH1642" s="317"/>
      <c r="CI1642" s="317"/>
      <c r="CM1642" s="1139">
        <f t="shared" si="954"/>
        <v>0</v>
      </c>
      <c r="CN1642" s="1139">
        <v>0</v>
      </c>
      <c r="CP1642" s="923">
        <f t="shared" si="953"/>
        <v>0</v>
      </c>
      <c r="CZ1642" s="330"/>
    </row>
    <row r="1643" spans="1:104" ht="15" customHeight="1" x14ac:dyDescent="0.25">
      <c r="A1643" s="684">
        <f>MAX($A$6:A1642)+1</f>
        <v>1643</v>
      </c>
      <c r="B1643" s="3">
        <f t="shared" si="959"/>
        <v>17.100000000000001</v>
      </c>
      <c r="C1643" s="11" t="str">
        <f t="shared" si="960"/>
        <v>Quantitative disclosures around right-of-use assets</v>
      </c>
      <c r="D1643" s="11" t="s">
        <v>2537</v>
      </c>
      <c r="E1643" s="7" t="s">
        <v>208</v>
      </c>
      <c r="F1643" s="1267"/>
      <c r="G1643" s="1254" t="s">
        <v>208</v>
      </c>
      <c r="H1643" s="6">
        <v>0</v>
      </c>
      <c r="I1643" s="6">
        <v>0</v>
      </c>
      <c r="J1643" s="1254" t="s">
        <v>208</v>
      </c>
      <c r="K1643" s="6">
        <f>SUMIF('alb Note 16  Leases'!$B$12:$B$20,$J1643,'alb Note 16  Leases'!$G$12:$G$20)</f>
        <v>0</v>
      </c>
      <c r="L1643" s="6">
        <f>SUMIF('alb Note 16  Leases'!$B$12:$B$20,$J1643,'alb Note 16  Leases'!$Q$12:$Q$20)</f>
        <v>0</v>
      </c>
      <c r="M1643" s="10"/>
      <c r="N1643" s="273">
        <f t="shared" si="957"/>
        <v>0</v>
      </c>
      <c r="O1643" s="12"/>
      <c r="P1643" s="12"/>
      <c r="Q1643" s="12"/>
      <c r="R1643" s="12"/>
      <c r="S1643" s="6">
        <f t="shared" si="958"/>
        <v>0</v>
      </c>
      <c r="T1643" s="273">
        <f t="shared" si="976"/>
        <v>0</v>
      </c>
      <c r="U1643" s="6">
        <f t="shared" si="993"/>
        <v>0</v>
      </c>
      <c r="V1643" s="6"/>
      <c r="W1643" s="6">
        <f t="shared" si="977"/>
        <v>0</v>
      </c>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X1643" s="6"/>
      <c r="AY1643" s="6">
        <f>ROUND(AX1643/1000/Update!$B$31*Update!$B$27,0)</f>
        <v>0</v>
      </c>
      <c r="BA1643" s="6"/>
      <c r="BB1643" s="6">
        <f>ROUND(BA1643/1000/Update!$B$31,0)</f>
        <v>0</v>
      </c>
      <c r="BC1643" s="6"/>
      <c r="BD1643" s="29">
        <f t="shared" si="978"/>
        <v>0</v>
      </c>
      <c r="BE1643" s="322"/>
      <c r="BF1643" s="322"/>
      <c r="BG1643" s="322"/>
      <c r="BH1643" s="322"/>
      <c r="BI1643" s="322"/>
      <c r="BJ1643" s="322"/>
      <c r="BK1643" s="29">
        <f t="shared" si="994"/>
        <v>0</v>
      </c>
      <c r="BL1643" s="317"/>
      <c r="BM1643" s="317"/>
      <c r="BN1643" s="317"/>
      <c r="BO1643" s="317"/>
      <c r="BP1643" s="317"/>
      <c r="BQ1643" s="317"/>
      <c r="BR1643" s="317"/>
      <c r="BS1643" s="317"/>
      <c r="BT1643" s="317"/>
      <c r="BU1643" s="317"/>
      <c r="BV1643" s="317"/>
      <c r="BW1643" s="317"/>
      <c r="BX1643" s="317"/>
      <c r="BY1643" s="317"/>
      <c r="BZ1643" s="317"/>
      <c r="CA1643" s="317"/>
      <c r="CB1643" s="317"/>
      <c r="CC1643" s="317"/>
      <c r="CD1643" s="317"/>
      <c r="CE1643" s="317"/>
      <c r="CF1643" s="317"/>
      <c r="CG1643" s="317"/>
      <c r="CH1643" s="317"/>
      <c r="CI1643" s="317"/>
      <c r="CM1643" s="1139">
        <f t="shared" si="954"/>
        <v>0</v>
      </c>
      <c r="CN1643" s="1139">
        <v>0</v>
      </c>
      <c r="CP1643" s="923">
        <f t="shared" si="953"/>
        <v>0</v>
      </c>
      <c r="CZ1643" s="330"/>
    </row>
    <row r="1644" spans="1:104" ht="15" customHeight="1" x14ac:dyDescent="0.25">
      <c r="A1644" s="684">
        <f>MAX($A$6:A1643)+1</f>
        <v>1644</v>
      </c>
      <c r="B1644" s="3">
        <f t="shared" si="959"/>
        <v>17.100000000000001</v>
      </c>
      <c r="C1644" s="11" t="str">
        <f t="shared" si="960"/>
        <v>Quantitative disclosures around right-of-use assets</v>
      </c>
      <c r="D1644" s="11" t="s">
        <v>2537</v>
      </c>
      <c r="E1644" s="7" t="s">
        <v>186</v>
      </c>
      <c r="F1644" s="1267"/>
      <c r="G1644" s="7" t="s">
        <v>186</v>
      </c>
      <c r="H1644" s="6">
        <v>0</v>
      </c>
      <c r="I1644" s="6">
        <v>0</v>
      </c>
      <c r="J1644" s="7" t="s">
        <v>186</v>
      </c>
      <c r="K1644" s="6">
        <f>SUMIF('alb Note 16  Leases'!$B$12:$B$20,$J1644,'alb Note 16  Leases'!$G$12:$G$20)</f>
        <v>0</v>
      </c>
      <c r="L1644" s="6">
        <f>SUMIF('alb Note 16  Leases'!$B$12:$B$20,$J1644,'alb Note 16  Leases'!$Q$12:$Q$20)</f>
        <v>0</v>
      </c>
      <c r="M1644" s="10"/>
      <c r="N1644" s="273">
        <f t="shared" si="957"/>
        <v>0</v>
      </c>
      <c r="O1644" s="12"/>
      <c r="P1644" s="12"/>
      <c r="Q1644" s="12"/>
      <c r="R1644" s="12"/>
      <c r="S1644" s="6">
        <f t="shared" si="958"/>
        <v>0</v>
      </c>
      <c r="T1644" s="273">
        <f t="shared" si="976"/>
        <v>0</v>
      </c>
      <c r="U1644" s="6">
        <f t="shared" si="993"/>
        <v>0</v>
      </c>
      <c r="V1644" s="6"/>
      <c r="W1644" s="6">
        <f t="shared" si="977"/>
        <v>0</v>
      </c>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X1644" s="6"/>
      <c r="AY1644" s="6">
        <f>ROUND(AX1644/1000/Update!$B$31*Update!$B$27,0)</f>
        <v>0</v>
      </c>
      <c r="BA1644" s="6"/>
      <c r="BB1644" s="6">
        <f>ROUND(BA1644/1000/Update!$B$31,0)</f>
        <v>0</v>
      </c>
      <c r="BC1644" s="6"/>
      <c r="BD1644" s="29">
        <f t="shared" si="978"/>
        <v>0</v>
      </c>
      <c r="BE1644" s="322"/>
      <c r="BF1644" s="322"/>
      <c r="BG1644" s="322"/>
      <c r="BH1644" s="322"/>
      <c r="BI1644" s="322"/>
      <c r="BJ1644" s="322"/>
      <c r="BK1644" s="29">
        <f t="shared" si="994"/>
        <v>0</v>
      </c>
      <c r="BL1644" s="317"/>
      <c r="BM1644" s="317"/>
      <c r="BN1644" s="317"/>
      <c r="BO1644" s="317"/>
      <c r="BP1644" s="317"/>
      <c r="BQ1644" s="317"/>
      <c r="BR1644" s="317"/>
      <c r="BS1644" s="317"/>
      <c r="BT1644" s="317"/>
      <c r="BU1644" s="317"/>
      <c r="BV1644" s="317"/>
      <c r="BW1644" s="317"/>
      <c r="BX1644" s="317"/>
      <c r="BY1644" s="317"/>
      <c r="BZ1644" s="317"/>
      <c r="CA1644" s="317"/>
      <c r="CB1644" s="317"/>
      <c r="CC1644" s="317"/>
      <c r="CD1644" s="317"/>
      <c r="CE1644" s="317"/>
      <c r="CF1644" s="317"/>
      <c r="CG1644" s="317"/>
      <c r="CH1644" s="317"/>
      <c r="CI1644" s="317"/>
      <c r="CM1644" s="1139">
        <f t="shared" si="954"/>
        <v>0</v>
      </c>
      <c r="CN1644" s="1139">
        <v>0</v>
      </c>
      <c r="CP1644" s="923">
        <f t="shared" si="953"/>
        <v>0</v>
      </c>
      <c r="CZ1644" s="330"/>
    </row>
    <row r="1645" spans="1:104" ht="15" customHeight="1" x14ac:dyDescent="0.25">
      <c r="A1645" s="684">
        <f>MAX($A$6:A1644)+1</f>
        <v>1645</v>
      </c>
      <c r="B1645" s="3">
        <f t="shared" si="959"/>
        <v>17.100000000000001</v>
      </c>
      <c r="C1645" s="11" t="str">
        <f t="shared" si="960"/>
        <v>Quantitative disclosures around right-of-use assets</v>
      </c>
      <c r="D1645" s="11" t="s">
        <v>2537</v>
      </c>
      <c r="E1645" s="7" t="s">
        <v>187</v>
      </c>
      <c r="F1645" s="7"/>
      <c r="G1645" s="7" t="s">
        <v>187</v>
      </c>
      <c r="H1645" s="6">
        <v>0</v>
      </c>
      <c r="I1645" s="6">
        <v>0</v>
      </c>
      <c r="J1645" s="7" t="s">
        <v>187</v>
      </c>
      <c r="K1645" s="6">
        <f>SUMIF('alb Note 16  Leases'!$B$12:$B$20,$J1645,'alb Note 16  Leases'!$G$12:$G$20)</f>
        <v>0</v>
      </c>
      <c r="L1645" s="6">
        <f>SUMIF('alb Note 16  Leases'!$B$12:$B$20,$J1645,'alb Note 16  Leases'!$Q$12:$Q$20)</f>
        <v>0</v>
      </c>
      <c r="M1645" s="10"/>
      <c r="N1645" s="273">
        <f t="shared" si="957"/>
        <v>0</v>
      </c>
      <c r="O1645" s="12"/>
      <c r="P1645" s="12"/>
      <c r="Q1645" s="12"/>
      <c r="R1645" s="12"/>
      <c r="S1645" s="6">
        <f t="shared" si="958"/>
        <v>0</v>
      </c>
      <c r="T1645" s="273">
        <f t="shared" si="976"/>
        <v>0</v>
      </c>
      <c r="U1645" s="6">
        <f t="shared" si="993"/>
        <v>0</v>
      </c>
      <c r="V1645" s="6"/>
      <c r="W1645" s="6">
        <f t="shared" si="977"/>
        <v>0</v>
      </c>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X1645" s="6"/>
      <c r="AY1645" s="6">
        <f>ROUND(AX1645/1000/Update!$B$31*Update!$B$27,0)</f>
        <v>0</v>
      </c>
      <c r="BA1645" s="6"/>
      <c r="BB1645" s="6">
        <f>ROUND(BA1645/1000/Update!$B$31,0)</f>
        <v>0</v>
      </c>
      <c r="BC1645" s="6"/>
      <c r="BD1645" s="29">
        <f t="shared" si="978"/>
        <v>0</v>
      </c>
      <c r="BE1645" s="317"/>
      <c r="BF1645" s="317"/>
      <c r="BG1645" s="317"/>
      <c r="BH1645" s="317"/>
      <c r="BI1645" s="317"/>
      <c r="BJ1645" s="317"/>
      <c r="BK1645" s="29">
        <f t="shared" si="994"/>
        <v>0</v>
      </c>
      <c r="BL1645" s="317"/>
      <c r="BM1645" s="317"/>
      <c r="BN1645" s="317"/>
      <c r="BO1645" s="317"/>
      <c r="BP1645" s="317"/>
      <c r="BQ1645" s="317"/>
      <c r="BR1645" s="317"/>
      <c r="BS1645" s="317"/>
      <c r="BT1645" s="317"/>
      <c r="BU1645" s="317"/>
      <c r="BV1645" s="317"/>
      <c r="BW1645" s="317"/>
      <c r="BX1645" s="317"/>
      <c r="BY1645" s="317"/>
      <c r="BZ1645" s="317"/>
      <c r="CA1645" s="317"/>
      <c r="CB1645" s="317"/>
      <c r="CC1645" s="317"/>
      <c r="CD1645" s="317"/>
      <c r="CE1645" s="317"/>
      <c r="CF1645" s="317"/>
      <c r="CG1645" s="317"/>
      <c r="CH1645" s="317"/>
      <c r="CI1645" s="317"/>
      <c r="CM1645" s="1139">
        <f t="shared" si="954"/>
        <v>0</v>
      </c>
      <c r="CN1645" s="1139">
        <v>0</v>
      </c>
      <c r="CP1645" s="923">
        <f t="shared" si="953"/>
        <v>0</v>
      </c>
      <c r="CZ1645" s="330"/>
    </row>
    <row r="1646" spans="1:104" ht="15" customHeight="1" x14ac:dyDescent="0.25">
      <c r="A1646" s="684">
        <f>MAX($A$6:A1645)+1</f>
        <v>1646</v>
      </c>
      <c r="B1646" s="3">
        <f t="shared" si="959"/>
        <v>17.100000000000001</v>
      </c>
      <c r="C1646" s="11" t="str">
        <f t="shared" si="960"/>
        <v>Quantitative disclosures around right-of-use assets</v>
      </c>
      <c r="D1646" s="11" t="s">
        <v>2537</v>
      </c>
      <c r="E1646" s="7" t="s">
        <v>189</v>
      </c>
      <c r="F1646" s="1267"/>
      <c r="G1646" s="1254" t="s">
        <v>189</v>
      </c>
      <c r="H1646" s="6">
        <v>0</v>
      </c>
      <c r="I1646" s="6">
        <v>0</v>
      </c>
      <c r="J1646" s="1254" t="s">
        <v>189</v>
      </c>
      <c r="K1646" s="6">
        <f>SUMIF('alb Note 16  Leases'!$B$12:$B$20,$J1646,'alb Note 16  Leases'!$G$12:$G$20)</f>
        <v>0</v>
      </c>
      <c r="L1646" s="6">
        <f>SUMIF('alb Note 16  Leases'!$B$12:$B$20,$J1646,'alb Note 16  Leases'!$Q$12:$Q$20)</f>
        <v>0</v>
      </c>
      <c r="M1646" s="10"/>
      <c r="N1646" s="273">
        <f t="shared" si="957"/>
        <v>0</v>
      </c>
      <c r="O1646" s="12"/>
      <c r="P1646" s="12"/>
      <c r="Q1646" s="12"/>
      <c r="R1646" s="12"/>
      <c r="S1646" s="6">
        <f t="shared" si="958"/>
        <v>0</v>
      </c>
      <c r="T1646" s="273">
        <f t="shared" si="976"/>
        <v>0</v>
      </c>
      <c r="U1646" s="6">
        <f t="shared" si="993"/>
        <v>0</v>
      </c>
      <c r="V1646" s="6"/>
      <c r="W1646" s="6">
        <f t="shared" si="977"/>
        <v>0</v>
      </c>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X1646" s="6"/>
      <c r="AY1646" s="6">
        <f>ROUND(AX1646/1000/Update!$B$31*Update!$B$27,0)</f>
        <v>0</v>
      </c>
      <c r="BA1646" s="6"/>
      <c r="BB1646" s="6">
        <f>ROUND(BA1646/1000/Update!$B$31,0)</f>
        <v>0</v>
      </c>
      <c r="BC1646" s="6"/>
      <c r="BD1646" s="29">
        <f t="shared" si="978"/>
        <v>0</v>
      </c>
      <c r="BE1646" s="322"/>
      <c r="BF1646" s="322"/>
      <c r="BG1646" s="322"/>
      <c r="BH1646" s="322"/>
      <c r="BI1646" s="322"/>
      <c r="BJ1646" s="322"/>
      <c r="BK1646" s="29">
        <f t="shared" si="994"/>
        <v>0</v>
      </c>
      <c r="BL1646" s="317"/>
      <c r="BM1646" s="317"/>
      <c r="BN1646" s="317"/>
      <c r="BO1646" s="317"/>
      <c r="BP1646" s="317"/>
      <c r="BQ1646" s="317"/>
      <c r="BR1646" s="317"/>
      <c r="BS1646" s="317"/>
      <c r="BT1646" s="317"/>
      <c r="BU1646" s="317"/>
      <c r="BV1646" s="317"/>
      <c r="BW1646" s="317"/>
      <c r="BX1646" s="317"/>
      <c r="BY1646" s="317"/>
      <c r="BZ1646" s="317"/>
      <c r="CA1646" s="317"/>
      <c r="CB1646" s="317"/>
      <c r="CC1646" s="317"/>
      <c r="CD1646" s="317"/>
      <c r="CE1646" s="317"/>
      <c r="CF1646" s="317"/>
      <c r="CG1646" s="317"/>
      <c r="CH1646" s="317"/>
      <c r="CI1646" s="317"/>
      <c r="CM1646" s="1139">
        <f t="shared" si="954"/>
        <v>0</v>
      </c>
      <c r="CN1646" s="1139">
        <v>0</v>
      </c>
      <c r="CP1646" s="923">
        <f t="shared" si="953"/>
        <v>0</v>
      </c>
      <c r="CZ1646" s="330"/>
    </row>
    <row r="1647" spans="1:104" ht="15" customHeight="1" x14ac:dyDescent="0.25">
      <c r="A1647" s="684">
        <f>MAX($A$6:A1646)+1</f>
        <v>1647</v>
      </c>
      <c r="B1647" s="3">
        <f t="shared" si="959"/>
        <v>17.100000000000001</v>
      </c>
      <c r="C1647" s="11" t="str">
        <f t="shared" si="960"/>
        <v>Quantitative disclosures around right-of-use assets</v>
      </c>
      <c r="D1647" s="11" t="s">
        <v>2537</v>
      </c>
      <c r="E1647" s="7" t="s">
        <v>191</v>
      </c>
      <c r="F1647" s="1267"/>
      <c r="G1647" s="1254" t="s">
        <v>191</v>
      </c>
      <c r="H1647" s="6">
        <v>0</v>
      </c>
      <c r="I1647" s="6">
        <v>0</v>
      </c>
      <c r="J1647" s="1254" t="s">
        <v>191</v>
      </c>
      <c r="K1647" s="6">
        <f>SUMIF('alb Note 16  Leases'!$B$12:$B$20,$J1647,'alb Note 16  Leases'!$G$12:$G$20)</f>
        <v>0</v>
      </c>
      <c r="L1647" s="6">
        <f>SUMIF('alb Note 16  Leases'!$B$12:$B$20,$J1647,'alb Note 16  Leases'!$Q$12:$Q$20)</f>
        <v>0</v>
      </c>
      <c r="M1647" s="10"/>
      <c r="N1647" s="273">
        <f t="shared" si="957"/>
        <v>0</v>
      </c>
      <c r="O1647" s="12"/>
      <c r="P1647" s="12"/>
      <c r="Q1647" s="12"/>
      <c r="R1647" s="12"/>
      <c r="S1647" s="6">
        <f t="shared" si="958"/>
        <v>0</v>
      </c>
      <c r="T1647" s="273">
        <f t="shared" si="976"/>
        <v>0</v>
      </c>
      <c r="U1647" s="6">
        <f t="shared" si="993"/>
        <v>0</v>
      </c>
      <c r="V1647" s="6"/>
      <c r="W1647" s="6">
        <f t="shared" si="977"/>
        <v>0</v>
      </c>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X1647" s="6"/>
      <c r="AY1647" s="6">
        <f>ROUND(AX1647/1000/Update!$B$31*Update!$B$27,0)</f>
        <v>0</v>
      </c>
      <c r="BA1647" s="6"/>
      <c r="BB1647" s="6">
        <f>ROUND(BA1647/1000/Update!$B$31,0)</f>
        <v>0</v>
      </c>
      <c r="BC1647" s="6"/>
      <c r="BD1647" s="29">
        <f t="shared" si="978"/>
        <v>0</v>
      </c>
      <c r="BE1647" s="322"/>
      <c r="BF1647" s="322"/>
      <c r="BG1647" s="322"/>
      <c r="BH1647" s="322"/>
      <c r="BI1647" s="322"/>
      <c r="BJ1647" s="322"/>
      <c r="BK1647" s="29">
        <f t="shared" si="994"/>
        <v>0</v>
      </c>
      <c r="BL1647" s="317"/>
      <c r="BM1647" s="317"/>
      <c r="BN1647" s="317"/>
      <c r="BO1647" s="317"/>
      <c r="BP1647" s="317"/>
      <c r="BQ1647" s="317"/>
      <c r="BR1647" s="317"/>
      <c r="BS1647" s="317"/>
      <c r="BT1647" s="317"/>
      <c r="BU1647" s="317"/>
      <c r="BV1647" s="317"/>
      <c r="BW1647" s="317"/>
      <c r="BX1647" s="317"/>
      <c r="BY1647" s="317"/>
      <c r="BZ1647" s="317"/>
      <c r="CA1647" s="317"/>
      <c r="CB1647" s="317"/>
      <c r="CC1647" s="317"/>
      <c r="CD1647" s="317"/>
      <c r="CE1647" s="317"/>
      <c r="CF1647" s="317"/>
      <c r="CG1647" s="317"/>
      <c r="CH1647" s="317"/>
      <c r="CI1647" s="317"/>
      <c r="CM1647" s="1139">
        <f t="shared" si="954"/>
        <v>0</v>
      </c>
      <c r="CN1647" s="1139">
        <v>0</v>
      </c>
      <c r="CP1647" s="923">
        <f t="shared" si="953"/>
        <v>0</v>
      </c>
      <c r="CZ1647" s="330"/>
    </row>
    <row r="1648" spans="1:104" ht="15" customHeight="1" x14ac:dyDescent="0.25">
      <c r="A1648" s="684">
        <f>MAX($A$6:A1647)+1</f>
        <v>1648</v>
      </c>
      <c r="B1648" s="3">
        <f t="shared" si="959"/>
        <v>17.100000000000001</v>
      </c>
      <c r="C1648" s="11" t="str">
        <f t="shared" si="960"/>
        <v>Quantitative disclosures around right-of-use assets</v>
      </c>
      <c r="D1648" s="11" t="s">
        <v>2537</v>
      </c>
      <c r="E1648" s="7" t="s">
        <v>2488</v>
      </c>
      <c r="F1648" s="1267"/>
      <c r="G1648" s="7" t="s">
        <v>2488</v>
      </c>
      <c r="H1648" s="6">
        <v>0</v>
      </c>
      <c r="I1648" s="6">
        <v>0</v>
      </c>
      <c r="J1648" s="7" t="s">
        <v>2488</v>
      </c>
      <c r="K1648" s="6">
        <f>SUMIF('alb Note 16  Leases'!$B$12:$B$20,$J1648,'alb Note 16  Leases'!$G$12:$G$20)</f>
        <v>0</v>
      </c>
      <c r="L1648" s="6">
        <f>SUMIF('alb Note 16  Leases'!$B$12:$B$20,$J1648,'alb Note 16  Leases'!$Q$12:$Q$20)</f>
        <v>0</v>
      </c>
      <c r="M1648" s="10"/>
      <c r="N1648" s="273">
        <f t="shared" si="957"/>
        <v>0</v>
      </c>
      <c r="O1648" s="12"/>
      <c r="P1648" s="12"/>
      <c r="Q1648" s="12"/>
      <c r="R1648" s="12"/>
      <c r="S1648" s="6">
        <f t="shared" si="958"/>
        <v>0</v>
      </c>
      <c r="T1648" s="273">
        <f t="shared" si="976"/>
        <v>0</v>
      </c>
      <c r="U1648" s="6">
        <f t="shared" si="993"/>
        <v>0</v>
      </c>
      <c r="V1648" s="6"/>
      <c r="W1648" s="6">
        <f t="shared" si="977"/>
        <v>0</v>
      </c>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X1648" s="6"/>
      <c r="AY1648" s="6">
        <f>ROUND(AX1648/1000/Update!$B$31*Update!$B$27,0)</f>
        <v>0</v>
      </c>
      <c r="BA1648" s="6"/>
      <c r="BB1648" s="6">
        <f>ROUND(BA1648/1000/Update!$B$31,0)</f>
        <v>0</v>
      </c>
      <c r="BC1648" s="6"/>
      <c r="BD1648" s="29">
        <f t="shared" si="978"/>
        <v>0</v>
      </c>
      <c r="BE1648" s="322"/>
      <c r="BF1648" s="322"/>
      <c r="BG1648" s="322"/>
      <c r="BH1648" s="322"/>
      <c r="BI1648" s="322"/>
      <c r="BJ1648" s="322"/>
      <c r="BK1648" s="29">
        <f t="shared" si="994"/>
        <v>0</v>
      </c>
      <c r="BL1648" s="317"/>
      <c r="BM1648" s="317"/>
      <c r="BN1648" s="317"/>
      <c r="BO1648" s="317"/>
      <c r="BP1648" s="317"/>
      <c r="BQ1648" s="317"/>
      <c r="BR1648" s="317"/>
      <c r="BS1648" s="317"/>
      <c r="BT1648" s="317"/>
      <c r="BU1648" s="317"/>
      <c r="BV1648" s="317"/>
      <c r="BW1648" s="317"/>
      <c r="BX1648" s="317"/>
      <c r="BY1648" s="317"/>
      <c r="BZ1648" s="317"/>
      <c r="CA1648" s="317"/>
      <c r="CB1648" s="317"/>
      <c r="CC1648" s="317"/>
      <c r="CD1648" s="317"/>
      <c r="CE1648" s="317"/>
      <c r="CF1648" s="317"/>
      <c r="CG1648" s="317"/>
      <c r="CH1648" s="317"/>
      <c r="CI1648" s="317"/>
      <c r="CM1648" s="1139">
        <f t="shared" si="954"/>
        <v>0</v>
      </c>
      <c r="CN1648" s="1139">
        <v>0</v>
      </c>
      <c r="CP1648" s="923">
        <f t="shared" si="953"/>
        <v>0</v>
      </c>
      <c r="CZ1648" s="330"/>
    </row>
    <row r="1649" spans="1:104" ht="15" customHeight="1" x14ac:dyDescent="0.25">
      <c r="A1649" s="684">
        <f>MAX($A$6:A1648)+1</f>
        <v>1649</v>
      </c>
      <c r="B1649" s="3">
        <f t="shared" si="959"/>
        <v>17.100000000000001</v>
      </c>
      <c r="C1649" s="11" t="str">
        <f t="shared" si="960"/>
        <v>Quantitative disclosures around right-of-use assets</v>
      </c>
      <c r="D1649" s="11" t="s">
        <v>2537</v>
      </c>
      <c r="E1649" s="7" t="str">
        <f>"At"&amp;Update!$B$22</f>
        <v>At 31 March 2026</v>
      </c>
      <c r="F1649" s="7"/>
      <c r="G1649" s="7" t="str">
        <f>"At"&amp;Update!$B$22</f>
        <v>At 31 March 2026</v>
      </c>
      <c r="H1649" s="6">
        <v>0</v>
      </c>
      <c r="I1649" s="6">
        <v>0</v>
      </c>
      <c r="J1649" s="7" t="str">
        <f>"At"&amp;Update!$B$22</f>
        <v>At 31 March 2026</v>
      </c>
      <c r="K1649" s="6">
        <f>SUMIF('alb Note 16  Leases'!$B$12:$B$20,$J1649,'alb Note 16  Leases'!$G$12:$G$20)</f>
        <v>0</v>
      </c>
      <c r="L1649" s="6">
        <f>SUMIF('alb Note 16  Leases'!$B$12:$B$20,$J1649,'alb Note 16  Leases'!$Q$12:$Q$20)</f>
        <v>0</v>
      </c>
      <c r="M1649" s="10"/>
      <c r="N1649" s="273">
        <f t="shared" si="957"/>
        <v>0</v>
      </c>
      <c r="O1649" s="12"/>
      <c r="P1649" s="12"/>
      <c r="Q1649" s="12"/>
      <c r="R1649" s="12"/>
      <c r="S1649" s="6">
        <f t="shared" si="958"/>
        <v>0</v>
      </c>
      <c r="T1649" s="273">
        <f t="shared" si="976"/>
        <v>0</v>
      </c>
      <c r="U1649" s="6">
        <f t="shared" si="993"/>
        <v>0</v>
      </c>
      <c r="V1649" s="6"/>
      <c r="W1649" s="6">
        <f t="shared" si="977"/>
        <v>0</v>
      </c>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X1649" s="6"/>
      <c r="AY1649" s="6">
        <f>ROUND(AX1649/1000/Update!$B$31*Update!$B$27,0)</f>
        <v>0</v>
      </c>
      <c r="BA1649" s="6"/>
      <c r="BB1649" s="6">
        <f>ROUND(BA1649/1000/Update!$B$31,0)</f>
        <v>0</v>
      </c>
      <c r="BC1649" s="6"/>
      <c r="BD1649" s="29">
        <f t="shared" si="978"/>
        <v>0</v>
      </c>
      <c r="BE1649" s="317"/>
      <c r="BF1649" s="317"/>
      <c r="BG1649" s="317"/>
      <c r="BH1649" s="317"/>
      <c r="BI1649" s="317"/>
      <c r="BJ1649" s="317"/>
      <c r="BK1649" s="29">
        <f t="shared" si="994"/>
        <v>0</v>
      </c>
      <c r="BL1649" s="317"/>
      <c r="BM1649" s="317"/>
      <c r="BN1649" s="317"/>
      <c r="BO1649" s="317"/>
      <c r="BP1649" s="317"/>
      <c r="BQ1649" s="317"/>
      <c r="BR1649" s="317"/>
      <c r="BS1649" s="317"/>
      <c r="BT1649" s="317"/>
      <c r="BU1649" s="317"/>
      <c r="BV1649" s="317"/>
      <c r="BW1649" s="317"/>
      <c r="BX1649" s="317"/>
      <c r="BY1649" s="317"/>
      <c r="BZ1649" s="317"/>
      <c r="CA1649" s="317"/>
      <c r="CB1649" s="317"/>
      <c r="CC1649" s="317"/>
      <c r="CD1649" s="317"/>
      <c r="CE1649" s="317"/>
      <c r="CF1649" s="317"/>
      <c r="CG1649" s="317"/>
      <c r="CH1649" s="317"/>
      <c r="CI1649" s="317"/>
      <c r="CM1649" s="1139">
        <f t="shared" si="954"/>
        <v>0</v>
      </c>
      <c r="CN1649" s="1139">
        <v>0</v>
      </c>
      <c r="CP1649" s="923">
        <f t="shared" si="953"/>
        <v>0</v>
      </c>
      <c r="CZ1649" s="330"/>
    </row>
    <row r="1650" spans="1:104" ht="15" customHeight="1" x14ac:dyDescent="0.25">
      <c r="A1650" s="684">
        <f>MAX($A$6:A1649)+1</f>
        <v>1650</v>
      </c>
      <c r="B1650" s="3">
        <f t="shared" si="959"/>
        <v>17.100000000000001</v>
      </c>
      <c r="C1650" s="11" t="str">
        <f t="shared" si="960"/>
        <v>Quantitative disclosures around right-of-use assets</v>
      </c>
      <c r="D1650" s="11" t="s">
        <v>2537</v>
      </c>
      <c r="E1650" s="7" t="str">
        <f>"At"&amp;Update!$B$20</f>
        <v>At 1 April 2025</v>
      </c>
      <c r="F1650" s="1267"/>
      <c r="G1650" s="1254" t="str">
        <f>"At"&amp;Update!$B$20</f>
        <v>At 1 April 2025</v>
      </c>
      <c r="H1650" s="6">
        <v>0</v>
      </c>
      <c r="I1650" s="6">
        <v>0</v>
      </c>
      <c r="J1650" s="7" t="str">
        <f>"At"&amp;Update!$B$20</f>
        <v>At 1 April 2025</v>
      </c>
      <c r="K1650" s="6">
        <f>SUMIF('alb Note 16  Leases'!$B$23:$B$30,$J1650,'alb Note 16  Leases'!$G$23:$G$30)</f>
        <v>0</v>
      </c>
      <c r="L1650" s="6">
        <f>SUMIF('alb Note 16  Leases'!$B$23:$B$30,$J1650,'alb Note 16  Leases'!$Q$23:$Q$30)</f>
        <v>0</v>
      </c>
      <c r="M1650" s="10"/>
      <c r="N1650" s="273">
        <f t="shared" si="957"/>
        <v>0</v>
      </c>
      <c r="O1650" s="12"/>
      <c r="P1650" s="12"/>
      <c r="Q1650" s="12"/>
      <c r="R1650" s="12"/>
      <c r="S1650" s="6">
        <f t="shared" si="958"/>
        <v>0</v>
      </c>
      <c r="T1650" s="273">
        <f t="shared" si="976"/>
        <v>0</v>
      </c>
      <c r="U1650" s="6">
        <f t="shared" si="993"/>
        <v>0</v>
      </c>
      <c r="V1650" s="6"/>
      <c r="W1650" s="6">
        <f t="shared" si="977"/>
        <v>0</v>
      </c>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X1650" s="6"/>
      <c r="AY1650" s="6">
        <f>ROUND(AX1650/1000/Update!$B$31*Update!$B$27,0)</f>
        <v>0</v>
      </c>
      <c r="BA1650" s="6"/>
      <c r="BB1650" s="6">
        <f>ROUND(BA1650/1000/Update!$B$31,0)</f>
        <v>0</v>
      </c>
      <c r="BC1650" s="6"/>
      <c r="BD1650" s="29">
        <f t="shared" si="978"/>
        <v>0</v>
      </c>
      <c r="BE1650" s="322"/>
      <c r="BF1650" s="322"/>
      <c r="BG1650" s="322"/>
      <c r="BH1650" s="322"/>
      <c r="BI1650" s="322"/>
      <c r="BJ1650" s="322"/>
      <c r="BK1650" s="29">
        <f t="shared" si="994"/>
        <v>0</v>
      </c>
      <c r="BL1650" s="317"/>
      <c r="BM1650" s="317"/>
      <c r="BN1650" s="317"/>
      <c r="BO1650" s="317"/>
      <c r="BP1650" s="317"/>
      <c r="BQ1650" s="317"/>
      <c r="BR1650" s="317"/>
      <c r="BS1650" s="317"/>
      <c r="BT1650" s="317"/>
      <c r="BU1650" s="317"/>
      <c r="BV1650" s="317"/>
      <c r="BW1650" s="317"/>
      <c r="BX1650" s="317"/>
      <c r="BY1650" s="317"/>
      <c r="BZ1650" s="317"/>
      <c r="CA1650" s="317"/>
      <c r="CB1650" s="317"/>
      <c r="CC1650" s="317"/>
      <c r="CD1650" s="317"/>
      <c r="CE1650" s="317"/>
      <c r="CF1650" s="317"/>
      <c r="CG1650" s="317"/>
      <c r="CH1650" s="317"/>
      <c r="CI1650" s="317"/>
      <c r="CM1650" s="1139">
        <f t="shared" si="954"/>
        <v>0</v>
      </c>
      <c r="CN1650" s="1139">
        <v>0</v>
      </c>
      <c r="CP1650" s="923">
        <f t="shared" si="953"/>
        <v>0</v>
      </c>
      <c r="CZ1650" s="330"/>
    </row>
    <row r="1651" spans="1:104" ht="15" customHeight="1" x14ac:dyDescent="0.25">
      <c r="A1651" s="684">
        <f>MAX($A$6:A1650)+1</f>
        <v>1651</v>
      </c>
      <c r="B1651" s="3">
        <f t="shared" si="959"/>
        <v>17.100000000000001</v>
      </c>
      <c r="C1651" s="11" t="str">
        <f t="shared" si="960"/>
        <v>Quantitative disclosures around right-of-use assets</v>
      </c>
      <c r="D1651" s="11" t="s">
        <v>2537</v>
      </c>
      <c r="E1651" s="7" t="s">
        <v>2490</v>
      </c>
      <c r="F1651" s="1267"/>
      <c r="G1651" s="1254" t="s">
        <v>2490</v>
      </c>
      <c r="H1651" s="6">
        <v>0</v>
      </c>
      <c r="I1651" s="6">
        <v>0</v>
      </c>
      <c r="J1651" s="1254" t="s">
        <v>2490</v>
      </c>
      <c r="K1651" s="6">
        <f>SUMIF('alb Note 16  Leases'!$B$23:$B$30,$J1651,'alb Note 16  Leases'!$G$23:$G$30)</f>
        <v>0</v>
      </c>
      <c r="L1651" s="6">
        <f>SUMIF('alb Note 16  Leases'!$B$23:$B$30,$J1651,'alb Note 16  Leases'!$Q$23:$Q$30)</f>
        <v>0</v>
      </c>
      <c r="M1651" s="10"/>
      <c r="N1651" s="273">
        <f t="shared" si="957"/>
        <v>0</v>
      </c>
      <c r="O1651" s="12"/>
      <c r="P1651" s="12"/>
      <c r="Q1651" s="12"/>
      <c r="R1651" s="12"/>
      <c r="S1651" s="6">
        <f t="shared" si="958"/>
        <v>0</v>
      </c>
      <c r="T1651" s="273">
        <f t="shared" si="976"/>
        <v>0</v>
      </c>
      <c r="U1651" s="6">
        <f t="shared" si="993"/>
        <v>0</v>
      </c>
      <c r="V1651" s="6"/>
      <c r="W1651" s="6">
        <f t="shared" si="977"/>
        <v>0</v>
      </c>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X1651" s="6"/>
      <c r="AY1651" s="6">
        <f>ROUND(AX1651/1000/Update!$B$31*Update!$B$27,0)</f>
        <v>0</v>
      </c>
      <c r="BA1651" s="6"/>
      <c r="BB1651" s="6">
        <f>ROUND(BA1651/1000/Update!$B$31,0)</f>
        <v>0</v>
      </c>
      <c r="BC1651" s="6"/>
      <c r="BD1651" s="29">
        <f t="shared" si="978"/>
        <v>0</v>
      </c>
      <c r="BE1651" s="322"/>
      <c r="BF1651" s="322"/>
      <c r="BG1651" s="322"/>
      <c r="BH1651" s="322"/>
      <c r="BI1651" s="322"/>
      <c r="BJ1651" s="322"/>
      <c r="BK1651" s="29">
        <f t="shared" si="994"/>
        <v>0</v>
      </c>
      <c r="BL1651" s="317"/>
      <c r="BM1651" s="317"/>
      <c r="BN1651" s="317"/>
      <c r="BO1651" s="317"/>
      <c r="BP1651" s="317"/>
      <c r="BQ1651" s="317"/>
      <c r="BR1651" s="317"/>
      <c r="BS1651" s="317"/>
      <c r="BT1651" s="317"/>
      <c r="BU1651" s="317"/>
      <c r="BV1651" s="317"/>
      <c r="BW1651" s="317"/>
      <c r="BX1651" s="317"/>
      <c r="BY1651" s="317"/>
      <c r="BZ1651" s="317"/>
      <c r="CA1651" s="317"/>
      <c r="CB1651" s="317"/>
      <c r="CC1651" s="317"/>
      <c r="CD1651" s="317"/>
      <c r="CE1651" s="317"/>
      <c r="CF1651" s="317"/>
      <c r="CG1651" s="317"/>
      <c r="CH1651" s="317"/>
      <c r="CI1651" s="317"/>
      <c r="CM1651" s="1139">
        <f t="shared" si="954"/>
        <v>0</v>
      </c>
      <c r="CN1651" s="1139">
        <v>0</v>
      </c>
      <c r="CP1651" s="923">
        <f t="shared" si="953"/>
        <v>0</v>
      </c>
      <c r="CZ1651" s="330"/>
    </row>
    <row r="1652" spans="1:104" ht="15" customHeight="1" x14ac:dyDescent="0.25">
      <c r="A1652" s="684">
        <f>MAX($A$6:A1651)+1</f>
        <v>1652</v>
      </c>
      <c r="B1652" s="3">
        <f t="shared" si="959"/>
        <v>17.100000000000001</v>
      </c>
      <c r="C1652" s="11" t="str">
        <f t="shared" si="960"/>
        <v>Quantitative disclosures around right-of-use assets</v>
      </c>
      <c r="D1652" s="11" t="s">
        <v>2537</v>
      </c>
      <c r="E1652" s="7" t="s">
        <v>190</v>
      </c>
      <c r="F1652" s="1267"/>
      <c r="G1652" s="7" t="s">
        <v>190</v>
      </c>
      <c r="H1652" s="6">
        <v>0</v>
      </c>
      <c r="I1652" s="6">
        <v>0</v>
      </c>
      <c r="J1652" s="7" t="s">
        <v>190</v>
      </c>
      <c r="K1652" s="6">
        <f>SUMIF('alb Note 16  Leases'!$B$23:$B$30,$J1652,'alb Note 16  Leases'!$G$23:$G$30)</f>
        <v>0</v>
      </c>
      <c r="L1652" s="6">
        <f>SUMIF('alb Note 16  Leases'!$B$23:$B$30,$J1652,'alb Note 16  Leases'!$Q$23:$Q$30)</f>
        <v>0</v>
      </c>
      <c r="M1652" s="10"/>
      <c r="N1652" s="273">
        <f t="shared" si="957"/>
        <v>0</v>
      </c>
      <c r="O1652" s="12"/>
      <c r="P1652" s="12"/>
      <c r="Q1652" s="12"/>
      <c r="R1652" s="12"/>
      <c r="S1652" s="6">
        <f t="shared" si="958"/>
        <v>0</v>
      </c>
      <c r="T1652" s="273">
        <f t="shared" si="976"/>
        <v>0</v>
      </c>
      <c r="U1652" s="6">
        <f t="shared" si="993"/>
        <v>0</v>
      </c>
      <c r="V1652" s="6"/>
      <c r="W1652" s="6">
        <f t="shared" si="977"/>
        <v>0</v>
      </c>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X1652" s="6"/>
      <c r="AY1652" s="6">
        <f>ROUND(AX1652/1000/Update!$B$31*Update!$B$27,0)</f>
        <v>0</v>
      </c>
      <c r="BA1652" s="6"/>
      <c r="BB1652" s="6">
        <f>ROUND(BA1652/1000/Update!$B$31,0)</f>
        <v>0</v>
      </c>
      <c r="BC1652" s="6"/>
      <c r="BD1652" s="29">
        <f t="shared" si="978"/>
        <v>0</v>
      </c>
      <c r="BE1652" s="322"/>
      <c r="BF1652" s="322"/>
      <c r="BG1652" s="322"/>
      <c r="BH1652" s="322"/>
      <c r="BI1652" s="322"/>
      <c r="BJ1652" s="322"/>
      <c r="BK1652" s="29">
        <f t="shared" si="994"/>
        <v>0</v>
      </c>
      <c r="BL1652" s="317"/>
      <c r="BM1652" s="317"/>
      <c r="BN1652" s="317"/>
      <c r="BO1652" s="317"/>
      <c r="BP1652" s="317"/>
      <c r="BQ1652" s="317"/>
      <c r="BR1652" s="317"/>
      <c r="BS1652" s="317"/>
      <c r="BT1652" s="317"/>
      <c r="BU1652" s="317"/>
      <c r="BV1652" s="317"/>
      <c r="BW1652" s="317"/>
      <c r="BX1652" s="317"/>
      <c r="BY1652" s="317"/>
      <c r="BZ1652" s="317"/>
      <c r="CA1652" s="317"/>
      <c r="CB1652" s="317"/>
      <c r="CC1652" s="317"/>
      <c r="CD1652" s="317"/>
      <c r="CE1652" s="317"/>
      <c r="CF1652" s="317"/>
      <c r="CG1652" s="317"/>
      <c r="CH1652" s="317"/>
      <c r="CI1652" s="317"/>
      <c r="CM1652" s="1139">
        <f t="shared" si="954"/>
        <v>0</v>
      </c>
      <c r="CN1652" s="1139">
        <v>0</v>
      </c>
      <c r="CP1652" s="923">
        <f t="shared" si="953"/>
        <v>0</v>
      </c>
      <c r="CZ1652" s="330"/>
    </row>
    <row r="1653" spans="1:104" ht="15" customHeight="1" x14ac:dyDescent="0.25">
      <c r="A1653" s="684">
        <f>MAX($A$6:A1652)+1</f>
        <v>1653</v>
      </c>
      <c r="B1653" s="3">
        <f t="shared" si="959"/>
        <v>17.100000000000001</v>
      </c>
      <c r="C1653" s="11" t="str">
        <f t="shared" si="960"/>
        <v>Quantitative disclosures around right-of-use assets</v>
      </c>
      <c r="D1653" s="11" t="s">
        <v>2537</v>
      </c>
      <c r="E1653" s="7" t="s">
        <v>186</v>
      </c>
      <c r="F1653" s="7"/>
      <c r="G1653" s="7" t="s">
        <v>186</v>
      </c>
      <c r="H1653" s="6">
        <v>0</v>
      </c>
      <c r="I1653" s="6">
        <v>0</v>
      </c>
      <c r="J1653" s="7" t="s">
        <v>186</v>
      </c>
      <c r="K1653" s="6">
        <f>SUMIF('alb Note 16  Leases'!$B$23:$B$30,$J1653,'alb Note 16  Leases'!$G$23:$G$30)</f>
        <v>0</v>
      </c>
      <c r="L1653" s="6">
        <f>SUMIF('alb Note 16  Leases'!$B$23:$B$30,$J1653,'alb Note 16  Leases'!$Q$23:$Q$30)</f>
        <v>0</v>
      </c>
      <c r="M1653" s="10"/>
      <c r="N1653" s="273">
        <f t="shared" si="957"/>
        <v>0</v>
      </c>
      <c r="O1653" s="12"/>
      <c r="P1653" s="12"/>
      <c r="Q1653" s="12"/>
      <c r="R1653" s="12"/>
      <c r="S1653" s="6">
        <f t="shared" si="958"/>
        <v>0</v>
      </c>
      <c r="T1653" s="273">
        <f t="shared" si="976"/>
        <v>0</v>
      </c>
      <c r="U1653" s="6">
        <f t="shared" si="993"/>
        <v>0</v>
      </c>
      <c r="V1653" s="6"/>
      <c r="W1653" s="6">
        <f t="shared" si="977"/>
        <v>0</v>
      </c>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X1653" s="6"/>
      <c r="AY1653" s="6">
        <f>ROUND(AX1653/1000/Update!$B$31*Update!$B$27,0)</f>
        <v>0</v>
      </c>
      <c r="BA1653" s="6"/>
      <c r="BB1653" s="6">
        <f>ROUND(BA1653/1000/Update!$B$31,0)</f>
        <v>0</v>
      </c>
      <c r="BC1653" s="6"/>
      <c r="BD1653" s="29">
        <f t="shared" si="978"/>
        <v>0</v>
      </c>
      <c r="BE1653" s="317"/>
      <c r="BF1653" s="317"/>
      <c r="BG1653" s="317"/>
      <c r="BH1653" s="317"/>
      <c r="BI1653" s="317"/>
      <c r="BJ1653" s="317"/>
      <c r="BK1653" s="29">
        <f t="shared" si="994"/>
        <v>0</v>
      </c>
      <c r="BL1653" s="317"/>
      <c r="BM1653" s="317"/>
      <c r="BN1653" s="317"/>
      <c r="BO1653" s="317"/>
      <c r="BP1653" s="317"/>
      <c r="BQ1653" s="317"/>
      <c r="BR1653" s="317"/>
      <c r="BS1653" s="317"/>
      <c r="BT1653" s="317"/>
      <c r="BU1653" s="317"/>
      <c r="BV1653" s="317"/>
      <c r="BW1653" s="317"/>
      <c r="BX1653" s="317"/>
      <c r="BY1653" s="317"/>
      <c r="BZ1653" s="317"/>
      <c r="CA1653" s="317"/>
      <c r="CB1653" s="317"/>
      <c r="CC1653" s="317"/>
      <c r="CD1653" s="317"/>
      <c r="CE1653" s="317"/>
      <c r="CF1653" s="317"/>
      <c r="CG1653" s="317"/>
      <c r="CH1653" s="317"/>
      <c r="CI1653" s="317"/>
      <c r="CM1653" s="1139">
        <f t="shared" si="954"/>
        <v>0</v>
      </c>
      <c r="CN1653" s="1139">
        <v>0</v>
      </c>
      <c r="CP1653" s="923">
        <f t="shared" si="953"/>
        <v>0</v>
      </c>
      <c r="CZ1653" s="330"/>
    </row>
    <row r="1654" spans="1:104" ht="15" customHeight="1" x14ac:dyDescent="0.25">
      <c r="A1654" s="684">
        <f>MAX($A$6:A1653)+1</f>
        <v>1654</v>
      </c>
      <c r="B1654" s="3">
        <f t="shared" si="959"/>
        <v>17.100000000000001</v>
      </c>
      <c r="C1654" s="11" t="str">
        <f t="shared" si="960"/>
        <v>Quantitative disclosures around right-of-use assets</v>
      </c>
      <c r="D1654" s="11" t="s">
        <v>2537</v>
      </c>
      <c r="E1654" s="7" t="s">
        <v>187</v>
      </c>
      <c r="F1654" s="1267"/>
      <c r="G1654" s="1254" t="s">
        <v>187</v>
      </c>
      <c r="H1654" s="6">
        <v>0</v>
      </c>
      <c r="I1654" s="6">
        <v>0</v>
      </c>
      <c r="J1654" s="1254" t="s">
        <v>187</v>
      </c>
      <c r="K1654" s="6">
        <f>SUMIF('alb Note 16  Leases'!$B$23:$B$30,$J1654,'alb Note 16  Leases'!$G$23:$G$30)</f>
        <v>0</v>
      </c>
      <c r="L1654" s="6">
        <f>SUMIF('alb Note 16  Leases'!$B$23:$B$30,$J1654,'alb Note 16  Leases'!$Q$23:$Q$30)</f>
        <v>0</v>
      </c>
      <c r="M1654" s="10"/>
      <c r="N1654" s="273">
        <f t="shared" ref="N1654:N1678" si="995">ROUND(SUM(O1654:S1654)+T1654+SUM(Z1654:AV1654),0)</f>
        <v>0</v>
      </c>
      <c r="O1654" s="12"/>
      <c r="P1654" s="12"/>
      <c r="Q1654" s="12"/>
      <c r="R1654" s="12"/>
      <c r="S1654" s="6">
        <f t="shared" ref="S1654:S1678" si="996">-IF(ISNUMBER(BD1654),BD1654,0)</f>
        <v>0</v>
      </c>
      <c r="T1654" s="273">
        <f t="shared" si="976"/>
        <v>0</v>
      </c>
      <c r="U1654" s="6">
        <f t="shared" si="993"/>
        <v>0</v>
      </c>
      <c r="V1654" s="6"/>
      <c r="W1654" s="6">
        <f t="shared" si="977"/>
        <v>0</v>
      </c>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X1654" s="6"/>
      <c r="AY1654" s="6">
        <f>ROUND(AX1654/1000/Update!$B$31*Update!$B$27,0)</f>
        <v>0</v>
      </c>
      <c r="BA1654" s="6"/>
      <c r="BB1654" s="6">
        <f>ROUND(BA1654/1000/Update!$B$31,0)</f>
        <v>0</v>
      </c>
      <c r="BC1654" s="6"/>
      <c r="BD1654" s="29">
        <f t="shared" si="978"/>
        <v>0</v>
      </c>
      <c r="BE1654" s="322"/>
      <c r="BF1654" s="322"/>
      <c r="BG1654" s="322"/>
      <c r="BH1654" s="322"/>
      <c r="BI1654" s="322"/>
      <c r="BJ1654" s="322"/>
      <c r="BK1654" s="29">
        <f t="shared" si="994"/>
        <v>0</v>
      </c>
      <c r="BL1654" s="317"/>
      <c r="BM1654" s="317"/>
      <c r="BN1654" s="317"/>
      <c r="BO1654" s="317"/>
      <c r="BP1654" s="317"/>
      <c r="BQ1654" s="317"/>
      <c r="BR1654" s="317"/>
      <c r="BS1654" s="317"/>
      <c r="BT1654" s="317"/>
      <c r="BU1654" s="317"/>
      <c r="BV1654" s="317"/>
      <c r="BW1654" s="317"/>
      <c r="BX1654" s="317"/>
      <c r="BY1654" s="317"/>
      <c r="BZ1654" s="317"/>
      <c r="CA1654" s="317"/>
      <c r="CB1654" s="317"/>
      <c r="CC1654" s="317"/>
      <c r="CD1654" s="317"/>
      <c r="CE1654" s="317"/>
      <c r="CF1654" s="317"/>
      <c r="CG1654" s="317"/>
      <c r="CH1654" s="317"/>
      <c r="CI1654" s="317"/>
      <c r="CM1654" s="1139">
        <f t="shared" si="954"/>
        <v>0</v>
      </c>
      <c r="CN1654" s="1139">
        <v>0</v>
      </c>
      <c r="CP1654" s="923">
        <f t="shared" si="953"/>
        <v>0</v>
      </c>
      <c r="CZ1654" s="330"/>
    </row>
    <row r="1655" spans="1:104" ht="15" customHeight="1" x14ac:dyDescent="0.25">
      <c r="A1655" s="684">
        <f>MAX($A$6:A1654)+1</f>
        <v>1655</v>
      </c>
      <c r="B1655" s="3">
        <f t="shared" ref="B1655:C1676" si="997">B1654</f>
        <v>17.100000000000001</v>
      </c>
      <c r="C1655" s="11" t="str">
        <f t="shared" ref="C1655:C1675" si="998">C1654</f>
        <v>Quantitative disclosures around right-of-use assets</v>
      </c>
      <c r="D1655" s="11" t="s">
        <v>2537</v>
      </c>
      <c r="E1655" s="7" t="s">
        <v>189</v>
      </c>
      <c r="F1655" s="1267"/>
      <c r="G1655" s="1254" t="s">
        <v>189</v>
      </c>
      <c r="H1655" s="6">
        <v>0</v>
      </c>
      <c r="I1655" s="6">
        <v>0</v>
      </c>
      <c r="J1655" s="1254" t="s">
        <v>189</v>
      </c>
      <c r="K1655" s="6">
        <f>SUMIF('alb Note 16  Leases'!$B$23:$B$30,$J1655,'alb Note 16  Leases'!$G$23:$G$30)</f>
        <v>0</v>
      </c>
      <c r="L1655" s="6">
        <f>SUMIF('alb Note 16  Leases'!$B$23:$B$30,$J1655,'alb Note 16  Leases'!$Q$23:$Q$30)</f>
        <v>0</v>
      </c>
      <c r="M1655" s="10"/>
      <c r="N1655" s="273">
        <f t="shared" si="995"/>
        <v>0</v>
      </c>
      <c r="O1655" s="12"/>
      <c r="P1655" s="12"/>
      <c r="Q1655" s="12"/>
      <c r="R1655" s="12"/>
      <c r="S1655" s="6">
        <f t="shared" si="996"/>
        <v>0</v>
      </c>
      <c r="T1655" s="273">
        <f t="shared" si="976"/>
        <v>0</v>
      </c>
      <c r="U1655" s="6">
        <f t="shared" si="993"/>
        <v>0</v>
      </c>
      <c r="V1655" s="6"/>
      <c r="W1655" s="6">
        <f t="shared" si="977"/>
        <v>0</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X1655" s="6"/>
      <c r="AY1655" s="6">
        <f>ROUND(AX1655/1000/Update!$B$31*Update!$B$27,0)</f>
        <v>0</v>
      </c>
      <c r="BA1655" s="6"/>
      <c r="BB1655" s="6">
        <f>ROUND(BA1655/1000/Update!$B$31,0)</f>
        <v>0</v>
      </c>
      <c r="BC1655" s="6"/>
      <c r="BD1655" s="29">
        <f t="shared" si="978"/>
        <v>0</v>
      </c>
      <c r="BE1655" s="322"/>
      <c r="BF1655" s="322"/>
      <c r="BG1655" s="322"/>
      <c r="BH1655" s="322"/>
      <c r="BI1655" s="322"/>
      <c r="BJ1655" s="322"/>
      <c r="BK1655" s="29">
        <f t="shared" si="994"/>
        <v>0</v>
      </c>
      <c r="BL1655" s="317"/>
      <c r="BM1655" s="317"/>
      <c r="BN1655" s="317"/>
      <c r="BO1655" s="317"/>
      <c r="BP1655" s="317"/>
      <c r="BQ1655" s="317"/>
      <c r="BR1655" s="317"/>
      <c r="BS1655" s="317"/>
      <c r="BT1655" s="317"/>
      <c r="BU1655" s="317"/>
      <c r="BV1655" s="317"/>
      <c r="BW1655" s="317"/>
      <c r="BX1655" s="317"/>
      <c r="BY1655" s="317"/>
      <c r="BZ1655" s="317"/>
      <c r="CA1655" s="317"/>
      <c r="CB1655" s="317"/>
      <c r="CC1655" s="317"/>
      <c r="CD1655" s="317"/>
      <c r="CE1655" s="317"/>
      <c r="CF1655" s="317"/>
      <c r="CG1655" s="317"/>
      <c r="CH1655" s="317"/>
      <c r="CI1655" s="317"/>
      <c r="CM1655" s="1139">
        <f t="shared" si="954"/>
        <v>0</v>
      </c>
      <c r="CN1655" s="1139">
        <v>0</v>
      </c>
      <c r="CP1655" s="923">
        <f t="shared" si="953"/>
        <v>0</v>
      </c>
      <c r="CZ1655" s="330"/>
    </row>
    <row r="1656" spans="1:104" ht="15" customHeight="1" x14ac:dyDescent="0.25">
      <c r="A1656" s="684">
        <f>MAX($A$6:A1655)+1</f>
        <v>1656</v>
      </c>
      <c r="B1656" s="3">
        <f t="shared" si="997"/>
        <v>17.100000000000001</v>
      </c>
      <c r="C1656" s="11" t="str">
        <f t="shared" si="998"/>
        <v>Quantitative disclosures around right-of-use assets</v>
      </c>
      <c r="D1656" s="11" t="s">
        <v>2537</v>
      </c>
      <c r="E1656" s="7" t="s">
        <v>191</v>
      </c>
      <c r="F1656" s="1267"/>
      <c r="G1656" s="7" t="s">
        <v>191</v>
      </c>
      <c r="H1656" s="6">
        <v>0</v>
      </c>
      <c r="I1656" s="6">
        <v>0</v>
      </c>
      <c r="J1656" s="7" t="s">
        <v>191</v>
      </c>
      <c r="K1656" s="6">
        <f>SUMIF('alb Note 16  Leases'!$B$23:$B$30,$J1656,'alb Note 16  Leases'!$G$23:$G$30)</f>
        <v>0</v>
      </c>
      <c r="L1656" s="6">
        <f>SUMIF('alb Note 16  Leases'!$B$23:$B$30,$J1656,'alb Note 16  Leases'!$Q$23:$Q$30)</f>
        <v>0</v>
      </c>
      <c r="M1656" s="10"/>
      <c r="N1656" s="273">
        <f t="shared" si="995"/>
        <v>0</v>
      </c>
      <c r="O1656" s="12"/>
      <c r="P1656" s="12"/>
      <c r="Q1656" s="12"/>
      <c r="R1656" s="12"/>
      <c r="S1656" s="6">
        <f t="shared" si="996"/>
        <v>0</v>
      </c>
      <c r="T1656" s="273">
        <f t="shared" si="976"/>
        <v>0</v>
      </c>
      <c r="U1656" s="6">
        <f t="shared" si="993"/>
        <v>0</v>
      </c>
      <c r="V1656" s="6"/>
      <c r="W1656" s="6">
        <f t="shared" si="977"/>
        <v>0</v>
      </c>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X1656" s="6"/>
      <c r="AY1656" s="6">
        <f>ROUND(AX1656/1000/Update!$B$31*Update!$B$27,0)</f>
        <v>0</v>
      </c>
      <c r="BA1656" s="6"/>
      <c r="BB1656" s="6">
        <f>ROUND(BA1656/1000/Update!$B$31,0)</f>
        <v>0</v>
      </c>
      <c r="BC1656" s="6"/>
      <c r="BD1656" s="29">
        <f t="shared" si="978"/>
        <v>0</v>
      </c>
      <c r="BE1656" s="322"/>
      <c r="BF1656" s="322"/>
      <c r="BG1656" s="322"/>
      <c r="BH1656" s="322"/>
      <c r="BI1656" s="322"/>
      <c r="BJ1656" s="322"/>
      <c r="BK1656" s="29">
        <f t="shared" si="994"/>
        <v>0</v>
      </c>
      <c r="BL1656" s="317"/>
      <c r="BM1656" s="317"/>
      <c r="BN1656" s="317"/>
      <c r="BO1656" s="317"/>
      <c r="BP1656" s="317"/>
      <c r="BQ1656" s="317"/>
      <c r="BR1656" s="317"/>
      <c r="BS1656" s="317"/>
      <c r="BT1656" s="317"/>
      <c r="BU1656" s="317"/>
      <c r="BV1656" s="317"/>
      <c r="BW1656" s="317"/>
      <c r="BX1656" s="317"/>
      <c r="BY1656" s="317"/>
      <c r="BZ1656" s="317"/>
      <c r="CA1656" s="317"/>
      <c r="CB1656" s="317"/>
      <c r="CC1656" s="317"/>
      <c r="CD1656" s="317"/>
      <c r="CE1656" s="317"/>
      <c r="CF1656" s="317"/>
      <c r="CG1656" s="317"/>
      <c r="CH1656" s="317"/>
      <c r="CI1656" s="317"/>
      <c r="CM1656" s="1139">
        <f t="shared" si="954"/>
        <v>0</v>
      </c>
      <c r="CN1656" s="1139">
        <v>0</v>
      </c>
      <c r="CP1656" s="923">
        <f t="shared" si="953"/>
        <v>0</v>
      </c>
      <c r="CZ1656" s="330"/>
    </row>
    <row r="1657" spans="1:104" ht="15" customHeight="1" x14ac:dyDescent="0.25">
      <c r="A1657" s="684">
        <f>MAX($A$6:A1656)+1</f>
        <v>1657</v>
      </c>
      <c r="B1657" s="3">
        <f t="shared" si="997"/>
        <v>17.100000000000001</v>
      </c>
      <c r="C1657" s="11" t="str">
        <f t="shared" si="998"/>
        <v>Quantitative disclosures around right-of-use assets</v>
      </c>
      <c r="D1657" s="11" t="s">
        <v>2537</v>
      </c>
      <c r="E1657" s="7" t="str">
        <f>"At"&amp;Update!$B$22</f>
        <v>At 31 March 2026</v>
      </c>
      <c r="F1657" s="7"/>
      <c r="G1657" s="7" t="str">
        <f>"At"&amp;Update!$B$22</f>
        <v>At 31 March 2026</v>
      </c>
      <c r="H1657" s="6">
        <v>0</v>
      </c>
      <c r="I1657" s="6">
        <v>0</v>
      </c>
      <c r="J1657" s="7" t="str">
        <f>"At"&amp;Update!$B$22</f>
        <v>At 31 March 2026</v>
      </c>
      <c r="K1657" s="6">
        <f>SUMIF('alb Note 16  Leases'!$B$23:$B$30,$J1657,'alb Note 16  Leases'!$G$23:$G$30)</f>
        <v>0</v>
      </c>
      <c r="L1657" s="6">
        <f>SUMIF('alb Note 16  Leases'!$B$23:$B$30,$J1657,'alb Note 16  Leases'!$Q$23:$Q$30)</f>
        <v>0</v>
      </c>
      <c r="M1657" s="10"/>
      <c r="N1657" s="273">
        <f t="shared" si="995"/>
        <v>0</v>
      </c>
      <c r="O1657" s="12"/>
      <c r="P1657" s="12"/>
      <c r="Q1657" s="12"/>
      <c r="R1657" s="12"/>
      <c r="S1657" s="6">
        <f t="shared" si="996"/>
        <v>0</v>
      </c>
      <c r="T1657" s="273">
        <f t="shared" si="976"/>
        <v>0</v>
      </c>
      <c r="U1657" s="6">
        <f t="shared" si="993"/>
        <v>0</v>
      </c>
      <c r="V1657" s="6"/>
      <c r="W1657" s="6">
        <f t="shared" si="977"/>
        <v>0</v>
      </c>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X1657" s="6"/>
      <c r="AY1657" s="6">
        <f>ROUND(AX1657/1000/Update!$B$31*Update!$B$27,0)</f>
        <v>0</v>
      </c>
      <c r="BA1657" s="6"/>
      <c r="BB1657" s="6">
        <f>ROUND(BA1657/1000/Update!$B$31,0)</f>
        <v>0</v>
      </c>
      <c r="BC1657" s="6"/>
      <c r="BD1657" s="29">
        <f t="shared" si="978"/>
        <v>0</v>
      </c>
      <c r="BE1657" s="317"/>
      <c r="BF1657" s="317"/>
      <c r="BG1657" s="317"/>
      <c r="BH1657" s="317"/>
      <c r="BI1657" s="317"/>
      <c r="BJ1657" s="317"/>
      <c r="BK1657" s="29">
        <f t="shared" si="994"/>
        <v>0</v>
      </c>
      <c r="BL1657" s="317"/>
      <c r="BM1657" s="317"/>
      <c r="BN1657" s="317"/>
      <c r="BO1657" s="317"/>
      <c r="BP1657" s="317"/>
      <c r="BQ1657" s="317"/>
      <c r="BR1657" s="317"/>
      <c r="BS1657" s="317"/>
      <c r="BT1657" s="317"/>
      <c r="BU1657" s="317"/>
      <c r="BV1657" s="317"/>
      <c r="BW1657" s="317"/>
      <c r="BX1657" s="317"/>
      <c r="BY1657" s="317"/>
      <c r="BZ1657" s="317"/>
      <c r="CA1657" s="317"/>
      <c r="CB1657" s="317"/>
      <c r="CC1657" s="317"/>
      <c r="CD1657" s="317"/>
      <c r="CE1657" s="317"/>
      <c r="CF1657" s="317"/>
      <c r="CG1657" s="317"/>
      <c r="CH1657" s="317"/>
      <c r="CI1657" s="317"/>
      <c r="CM1657" s="1139">
        <f t="shared" si="954"/>
        <v>0</v>
      </c>
      <c r="CN1657" s="1139">
        <v>0</v>
      </c>
      <c r="CP1657" s="923">
        <f t="shared" si="953"/>
        <v>0</v>
      </c>
      <c r="CZ1657" s="330"/>
    </row>
    <row r="1658" spans="1:104" ht="15" customHeight="1" x14ac:dyDescent="0.25">
      <c r="A1658" s="701">
        <f>MAX($A$6:A1657)+1</f>
        <v>1658</v>
      </c>
      <c r="B1658" s="1291">
        <f t="shared" si="997"/>
        <v>17.100000000000001</v>
      </c>
      <c r="C1658" s="18" t="str">
        <f t="shared" si="997"/>
        <v>Quantitative disclosures around right-of-use assets</v>
      </c>
      <c r="D1658" s="18" t="s">
        <v>2537</v>
      </c>
      <c r="E1658" s="19" t="str">
        <f>"Carrying amount "&amp;Update!$B$22</f>
        <v>Carrying amount  31 March 2026</v>
      </c>
      <c r="F1658" s="20"/>
      <c r="G1658" s="19" t="str">
        <f>"Carrying amount "&amp;Update!$B$22</f>
        <v>Carrying amount  31 March 2026</v>
      </c>
      <c r="H1658" s="14">
        <f>+H1649-H1657</f>
        <v>0</v>
      </c>
      <c r="I1658" s="14">
        <f>+I1649-I1657</f>
        <v>0</v>
      </c>
      <c r="J1658" s="19" t="str">
        <f>"Carrying amount "&amp;Update!$B$22</f>
        <v>Carrying amount  31 March 2026</v>
      </c>
      <c r="K1658" s="256">
        <f>+K1649-K1657</f>
        <v>0</v>
      </c>
      <c r="L1658" s="256">
        <f>+L1649-L1657</f>
        <v>0</v>
      </c>
      <c r="M1658" s="21"/>
      <c r="N1658" s="14">
        <f>ROUND(SUM(O1658:S1658)+T1658+SUM(Z1658:AV1658),0)</f>
        <v>0</v>
      </c>
      <c r="O1658" s="256">
        <f t="shared" ref="O1658" si="999">+O1649-O1657</f>
        <v>0</v>
      </c>
      <c r="P1658" s="256">
        <f t="shared" ref="P1658" si="1000">+P1649-P1657</f>
        <v>0</v>
      </c>
      <c r="Q1658" s="256">
        <f t="shared" ref="Q1658" si="1001">+Q1649-Q1657</f>
        <v>0</v>
      </c>
      <c r="R1658" s="256">
        <f t="shared" ref="R1658" si="1002">+R1649-R1657</f>
        <v>0</v>
      </c>
      <c r="S1658" s="256">
        <f t="shared" ref="S1658" si="1003">+S1649-S1657</f>
        <v>0</v>
      </c>
      <c r="T1658" s="256">
        <f t="shared" ref="T1658" si="1004">+T1649-T1657</f>
        <v>0</v>
      </c>
      <c r="U1658" s="256">
        <f t="shared" ref="U1658" si="1005">+U1649-U1657</f>
        <v>0</v>
      </c>
      <c r="V1658" s="14"/>
      <c r="W1658" s="14">
        <f>+H1658</f>
        <v>0</v>
      </c>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2"/>
      <c r="AX1658" s="14"/>
      <c r="AY1658" s="14"/>
      <c r="AZ1658" s="2"/>
      <c r="BA1658" s="14"/>
      <c r="BB1658" s="14"/>
      <c r="BC1658" s="14"/>
      <c r="BD1658" s="14">
        <f>+BD1649-BD1657</f>
        <v>0</v>
      </c>
      <c r="BE1658" s="14">
        <f t="shared" ref="BE1658" si="1006">+BE1649-BE1657</f>
        <v>0</v>
      </c>
      <c r="BF1658" s="14">
        <f t="shared" ref="BF1658" si="1007">+BF1649-BF1657</f>
        <v>0</v>
      </c>
      <c r="BG1658" s="14">
        <f t="shared" ref="BG1658" si="1008">+BG1649-BG1657</f>
        <v>0</v>
      </c>
      <c r="BH1658" s="14">
        <f t="shared" ref="BH1658" si="1009">+BH1649-BH1657</f>
        <v>0</v>
      </c>
      <c r="BI1658" s="14">
        <f t="shared" ref="BI1658" si="1010">+BI1649-BI1657</f>
        <v>0</v>
      </c>
      <c r="BJ1658" s="14">
        <f t="shared" ref="BJ1658" si="1011">+BJ1649-BJ1657</f>
        <v>0</v>
      </c>
      <c r="BK1658" s="14">
        <f t="shared" ref="BK1658" si="1012">+BK1649-BK1657</f>
        <v>0</v>
      </c>
      <c r="BL1658" s="14"/>
      <c r="BM1658" s="14"/>
      <c r="BN1658" s="14"/>
      <c r="BO1658" s="14"/>
      <c r="BP1658" s="14"/>
      <c r="BQ1658" s="14"/>
      <c r="BR1658" s="14"/>
      <c r="BS1658" s="14"/>
      <c r="BT1658" s="324"/>
      <c r="BU1658" s="14"/>
      <c r="BV1658" s="14"/>
      <c r="BW1658" s="14"/>
      <c r="BX1658" s="14"/>
      <c r="BY1658" s="14"/>
      <c r="BZ1658" s="14"/>
      <c r="CA1658" s="14"/>
      <c r="CB1658" s="14"/>
      <c r="CC1658" s="14"/>
      <c r="CD1658" s="14"/>
      <c r="CE1658" s="14"/>
      <c r="CF1658" s="14"/>
      <c r="CG1658" s="14"/>
      <c r="CH1658" s="14"/>
      <c r="CI1658" s="14"/>
      <c r="CJ1658" s="2"/>
      <c r="CK1658" s="2"/>
      <c r="CM1658" s="1450"/>
      <c r="CN1658" s="1450"/>
      <c r="CX1658" s="330"/>
    </row>
    <row r="1659" spans="1:104" ht="15" customHeight="1" x14ac:dyDescent="0.25">
      <c r="A1659" s="684">
        <f>MAX($A$6:A1658)+1</f>
        <v>1659</v>
      </c>
      <c r="B1659" s="3">
        <f>B1657</f>
        <v>17.100000000000001</v>
      </c>
      <c r="C1659" s="11" t="str">
        <f>C1657</f>
        <v>Quantitative disclosures around right-of-use assets</v>
      </c>
      <c r="D1659" s="11" t="s">
        <v>2538</v>
      </c>
      <c r="E1659" s="7" t="str">
        <f>"At"&amp;Update!$B$20</f>
        <v>At 1 April 2025</v>
      </c>
      <c r="F1659" s="7"/>
      <c r="G1659" s="7" t="str">
        <f>"At"&amp;Update!$B$20</f>
        <v>At 1 April 2025</v>
      </c>
      <c r="H1659" s="6">
        <v>0</v>
      </c>
      <c r="I1659" s="6">
        <v>0</v>
      </c>
      <c r="J1659" s="7" t="str">
        <f>"At"&amp;Update!$B$20</f>
        <v>At 1 April 2025</v>
      </c>
      <c r="K1659" s="6">
        <f>SUMIF('alb Note 16  Leases'!$B$12:$B$20,$J1659,'alb Note 16  Leases'!$H$12:$H$20)</f>
        <v>0</v>
      </c>
      <c r="L1659" s="6">
        <f>SUMIF('alb Note 16  Leases'!$B$12:$B$20,$J1659,'alb Note 16  Leases'!$R$12:$R$20)</f>
        <v>0</v>
      </c>
      <c r="M1659" s="10"/>
      <c r="N1659" s="273">
        <f t="shared" si="995"/>
        <v>0</v>
      </c>
      <c r="O1659" s="12"/>
      <c r="P1659" s="12"/>
      <c r="Q1659" s="12"/>
      <c r="R1659" s="12"/>
      <c r="S1659" s="6">
        <f t="shared" si="996"/>
        <v>0</v>
      </c>
      <c r="T1659" s="273">
        <f t="shared" si="976"/>
        <v>0</v>
      </c>
      <c r="U1659" s="6">
        <f>SUM(BL1659:BN1659)</f>
        <v>0</v>
      </c>
      <c r="V1659" s="6"/>
      <c r="W1659" s="6">
        <f t="shared" si="977"/>
        <v>0</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X1659" s="6"/>
      <c r="AY1659" s="6">
        <f>ROUND(AX1659/1000/Update!$B$31*Update!$B$27,0)</f>
        <v>0</v>
      </c>
      <c r="BA1659" s="6"/>
      <c r="BB1659" s="6">
        <f>ROUND(BA1659/1000/Update!$B$31,0)</f>
        <v>0</v>
      </c>
      <c r="BC1659" s="6"/>
      <c r="BD1659" s="29">
        <f t="shared" si="978"/>
        <v>0</v>
      </c>
      <c r="BE1659" s="317"/>
      <c r="BF1659" s="317"/>
      <c r="BG1659" s="317"/>
      <c r="BH1659" s="317"/>
      <c r="BI1659" s="317"/>
      <c r="BJ1659" s="317"/>
      <c r="BK1659" s="29">
        <f t="shared" si="994"/>
        <v>0</v>
      </c>
      <c r="BL1659" s="317"/>
      <c r="BM1659" s="317"/>
      <c r="BN1659" s="317"/>
      <c r="BO1659" s="317"/>
      <c r="BP1659" s="317"/>
      <c r="BQ1659" s="317"/>
      <c r="BR1659" s="317"/>
      <c r="BS1659" s="317"/>
      <c r="BT1659" s="317"/>
      <c r="BU1659" s="317"/>
      <c r="BV1659" s="317"/>
      <c r="BW1659" s="317"/>
      <c r="BX1659" s="317"/>
      <c r="BY1659" s="317"/>
      <c r="BZ1659" s="317"/>
      <c r="CA1659" s="317"/>
      <c r="CB1659" s="317"/>
      <c r="CC1659" s="317"/>
      <c r="CD1659" s="317"/>
      <c r="CE1659" s="317"/>
      <c r="CF1659" s="317"/>
      <c r="CG1659" s="317"/>
      <c r="CH1659" s="317"/>
      <c r="CI1659" s="317"/>
      <c r="CM1659" s="1139">
        <f t="shared" si="954"/>
        <v>0</v>
      </c>
      <c r="CN1659" s="1139">
        <v>0</v>
      </c>
      <c r="CP1659" s="923">
        <f t="shared" si="953"/>
        <v>0</v>
      </c>
      <c r="CZ1659" s="330"/>
    </row>
    <row r="1660" spans="1:104" ht="15" customHeight="1" x14ac:dyDescent="0.25">
      <c r="A1660" s="684">
        <f>MAX($A$6:A1659)+1</f>
        <v>1660</v>
      </c>
      <c r="B1660" s="3">
        <f t="shared" si="997"/>
        <v>17.100000000000001</v>
      </c>
      <c r="C1660" s="11" t="str">
        <f t="shared" si="998"/>
        <v>Quantitative disclosures around right-of-use assets</v>
      </c>
      <c r="D1660" s="11" t="s">
        <v>2538</v>
      </c>
      <c r="E1660" s="7" t="s">
        <v>185</v>
      </c>
      <c r="F1660" s="1267"/>
      <c r="G1660" s="1254" t="s">
        <v>185</v>
      </c>
      <c r="H1660" s="6">
        <v>0</v>
      </c>
      <c r="I1660" s="6">
        <v>0</v>
      </c>
      <c r="J1660" s="1254" t="s">
        <v>185</v>
      </c>
      <c r="K1660" s="6">
        <f>SUMIF('alb Note 16  Leases'!$B$12:$B$20,$J1660,'alb Note 16  Leases'!$H$12:$H$20)</f>
        <v>0</v>
      </c>
      <c r="L1660" s="6">
        <f>SUMIF('alb Note 16  Leases'!$B$12:$B$20,$J1660,'alb Note 16  Leases'!$R$12:$R$20)</f>
        <v>0</v>
      </c>
      <c r="M1660" s="10"/>
      <c r="N1660" s="273">
        <f t="shared" si="995"/>
        <v>0</v>
      </c>
      <c r="O1660" s="12"/>
      <c r="P1660" s="12"/>
      <c r="Q1660" s="12"/>
      <c r="R1660" s="12"/>
      <c r="S1660" s="6">
        <f t="shared" si="996"/>
        <v>0</v>
      </c>
      <c r="T1660" s="273">
        <f t="shared" si="976"/>
        <v>0</v>
      </c>
      <c r="U1660" s="6">
        <f t="shared" ref="U1660:U1675" si="1013">SUM(BL1660:BN1660)</f>
        <v>0</v>
      </c>
      <c r="V1660" s="6"/>
      <c r="W1660" s="6">
        <f t="shared" si="977"/>
        <v>0</v>
      </c>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X1660" s="6"/>
      <c r="AY1660" s="6">
        <f>ROUND(AX1660/1000/Update!$B$31*Update!$B$27,0)</f>
        <v>0</v>
      </c>
      <c r="BA1660" s="6"/>
      <c r="BB1660" s="6">
        <f>ROUND(BA1660/1000/Update!$B$31,0)</f>
        <v>0</v>
      </c>
      <c r="BC1660" s="6"/>
      <c r="BD1660" s="29">
        <f t="shared" si="978"/>
        <v>0</v>
      </c>
      <c r="BE1660" s="322"/>
      <c r="BF1660" s="322"/>
      <c r="BG1660" s="322"/>
      <c r="BH1660" s="322"/>
      <c r="BI1660" s="322"/>
      <c r="BJ1660" s="322"/>
      <c r="BK1660" s="29">
        <f t="shared" si="994"/>
        <v>0</v>
      </c>
      <c r="BL1660" s="317"/>
      <c r="BM1660" s="317"/>
      <c r="BN1660" s="317"/>
      <c r="BO1660" s="317"/>
      <c r="BP1660" s="317"/>
      <c r="BQ1660" s="317"/>
      <c r="BR1660" s="317"/>
      <c r="BS1660" s="317"/>
      <c r="BT1660" s="317"/>
      <c r="BU1660" s="317"/>
      <c r="BV1660" s="317"/>
      <c r="BW1660" s="317"/>
      <c r="BX1660" s="317"/>
      <c r="BY1660" s="317"/>
      <c r="BZ1660" s="317"/>
      <c r="CA1660" s="317"/>
      <c r="CB1660" s="317"/>
      <c r="CC1660" s="317"/>
      <c r="CD1660" s="317"/>
      <c r="CE1660" s="317"/>
      <c r="CF1660" s="317"/>
      <c r="CG1660" s="317"/>
      <c r="CH1660" s="317"/>
      <c r="CI1660" s="317"/>
      <c r="CM1660" s="1139">
        <f t="shared" si="954"/>
        <v>0</v>
      </c>
      <c r="CN1660" s="1139">
        <v>0</v>
      </c>
      <c r="CP1660" s="923">
        <f t="shared" si="953"/>
        <v>0</v>
      </c>
      <c r="CZ1660" s="330"/>
    </row>
    <row r="1661" spans="1:104" ht="15" customHeight="1" x14ac:dyDescent="0.25">
      <c r="A1661" s="684">
        <f>MAX($A$6:A1660)+1</f>
        <v>1661</v>
      </c>
      <c r="B1661" s="3">
        <f t="shared" si="997"/>
        <v>17.100000000000001</v>
      </c>
      <c r="C1661" s="11" t="str">
        <f t="shared" si="998"/>
        <v>Quantitative disclosures around right-of-use assets</v>
      </c>
      <c r="D1661" s="11" t="s">
        <v>2538</v>
      </c>
      <c r="E1661" s="7" t="s">
        <v>208</v>
      </c>
      <c r="F1661" s="1267"/>
      <c r="G1661" s="1254" t="s">
        <v>208</v>
      </c>
      <c r="H1661" s="6">
        <v>0</v>
      </c>
      <c r="I1661" s="6">
        <v>0</v>
      </c>
      <c r="J1661" s="1254" t="s">
        <v>208</v>
      </c>
      <c r="K1661" s="6">
        <f>SUMIF('alb Note 16  Leases'!$B$12:$B$20,$J1661,'alb Note 16  Leases'!$H$12:$H$20)</f>
        <v>0</v>
      </c>
      <c r="L1661" s="6">
        <f>SUMIF('alb Note 16  Leases'!$B$12:$B$20,$J1661,'alb Note 16  Leases'!$R$12:$R$20)</f>
        <v>0</v>
      </c>
      <c r="M1661" s="10"/>
      <c r="N1661" s="273">
        <f t="shared" si="995"/>
        <v>0</v>
      </c>
      <c r="O1661" s="12"/>
      <c r="P1661" s="12"/>
      <c r="Q1661" s="12"/>
      <c r="R1661" s="12"/>
      <c r="S1661" s="6">
        <f t="shared" si="996"/>
        <v>0</v>
      </c>
      <c r="T1661" s="273">
        <f t="shared" si="976"/>
        <v>0</v>
      </c>
      <c r="U1661" s="6">
        <f t="shared" si="1013"/>
        <v>0</v>
      </c>
      <c r="V1661" s="6"/>
      <c r="W1661" s="6">
        <f t="shared" si="977"/>
        <v>0</v>
      </c>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X1661" s="6"/>
      <c r="AY1661" s="6">
        <f>ROUND(AX1661/1000/Update!$B$31*Update!$B$27,0)</f>
        <v>0</v>
      </c>
      <c r="BA1661" s="6"/>
      <c r="BB1661" s="6">
        <f>ROUND(BA1661/1000/Update!$B$31,0)</f>
        <v>0</v>
      </c>
      <c r="BC1661" s="6"/>
      <c r="BD1661" s="29">
        <f t="shared" si="978"/>
        <v>0</v>
      </c>
      <c r="BE1661" s="322"/>
      <c r="BF1661" s="322"/>
      <c r="BG1661" s="322"/>
      <c r="BH1661" s="322"/>
      <c r="BI1661" s="322"/>
      <c r="BJ1661" s="322"/>
      <c r="BK1661" s="29">
        <f t="shared" si="994"/>
        <v>0</v>
      </c>
      <c r="BL1661" s="317"/>
      <c r="BM1661" s="317"/>
      <c r="BN1661" s="317"/>
      <c r="BO1661" s="317"/>
      <c r="BP1661" s="317"/>
      <c r="BQ1661" s="317"/>
      <c r="BR1661" s="317"/>
      <c r="BS1661" s="317"/>
      <c r="BT1661" s="317"/>
      <c r="BU1661" s="317"/>
      <c r="BV1661" s="317"/>
      <c r="BW1661" s="317"/>
      <c r="BX1661" s="317"/>
      <c r="BY1661" s="317"/>
      <c r="BZ1661" s="317"/>
      <c r="CA1661" s="317"/>
      <c r="CB1661" s="317"/>
      <c r="CC1661" s="317"/>
      <c r="CD1661" s="317"/>
      <c r="CE1661" s="317"/>
      <c r="CF1661" s="317"/>
      <c r="CG1661" s="317"/>
      <c r="CH1661" s="317"/>
      <c r="CI1661" s="317"/>
      <c r="CM1661" s="1139">
        <f t="shared" si="954"/>
        <v>0</v>
      </c>
      <c r="CN1661" s="1139">
        <v>0</v>
      </c>
      <c r="CP1661" s="923">
        <f t="shared" si="953"/>
        <v>0</v>
      </c>
      <c r="CZ1661" s="330"/>
    </row>
    <row r="1662" spans="1:104" ht="15" customHeight="1" x14ac:dyDescent="0.25">
      <c r="A1662" s="684">
        <f>MAX($A$6:A1661)+1</f>
        <v>1662</v>
      </c>
      <c r="B1662" s="3">
        <f t="shared" si="997"/>
        <v>17.100000000000001</v>
      </c>
      <c r="C1662" s="11" t="str">
        <f t="shared" si="998"/>
        <v>Quantitative disclosures around right-of-use assets</v>
      </c>
      <c r="D1662" s="11" t="s">
        <v>2538</v>
      </c>
      <c r="E1662" s="7" t="s">
        <v>186</v>
      </c>
      <c r="F1662" s="1267"/>
      <c r="G1662" s="7" t="s">
        <v>186</v>
      </c>
      <c r="H1662" s="6">
        <v>0</v>
      </c>
      <c r="I1662" s="6">
        <v>0</v>
      </c>
      <c r="J1662" s="7" t="s">
        <v>186</v>
      </c>
      <c r="K1662" s="6">
        <f>SUMIF('alb Note 16  Leases'!$B$12:$B$20,$J1662,'alb Note 16  Leases'!$H$12:$H$20)</f>
        <v>0</v>
      </c>
      <c r="L1662" s="6">
        <f>SUMIF('alb Note 16  Leases'!$B$12:$B$20,$J1662,'alb Note 16  Leases'!$R$12:$R$20)</f>
        <v>0</v>
      </c>
      <c r="M1662" s="10"/>
      <c r="N1662" s="273">
        <f t="shared" si="995"/>
        <v>0</v>
      </c>
      <c r="O1662" s="12"/>
      <c r="P1662" s="12"/>
      <c r="Q1662" s="12"/>
      <c r="R1662" s="12"/>
      <c r="S1662" s="6">
        <f t="shared" si="996"/>
        <v>0</v>
      </c>
      <c r="T1662" s="273">
        <f t="shared" si="976"/>
        <v>0</v>
      </c>
      <c r="U1662" s="6">
        <f t="shared" si="1013"/>
        <v>0</v>
      </c>
      <c r="V1662" s="6"/>
      <c r="W1662" s="6">
        <f t="shared" si="977"/>
        <v>0</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X1662" s="6"/>
      <c r="AY1662" s="6">
        <f>ROUND(AX1662/1000/Update!$B$31*Update!$B$27,0)</f>
        <v>0</v>
      </c>
      <c r="BA1662" s="6"/>
      <c r="BB1662" s="6">
        <f>ROUND(BA1662/1000/Update!$B$31,0)</f>
        <v>0</v>
      </c>
      <c r="BC1662" s="6"/>
      <c r="BD1662" s="29">
        <f t="shared" si="978"/>
        <v>0</v>
      </c>
      <c r="BE1662" s="322"/>
      <c r="BF1662" s="322"/>
      <c r="BG1662" s="322"/>
      <c r="BH1662" s="322"/>
      <c r="BI1662" s="322"/>
      <c r="BJ1662" s="322"/>
      <c r="BK1662" s="29">
        <f t="shared" si="994"/>
        <v>0</v>
      </c>
      <c r="BL1662" s="317"/>
      <c r="BM1662" s="317"/>
      <c r="BN1662" s="317"/>
      <c r="BO1662" s="317"/>
      <c r="BP1662" s="317"/>
      <c r="BQ1662" s="317"/>
      <c r="BR1662" s="317"/>
      <c r="BS1662" s="317"/>
      <c r="BT1662" s="317"/>
      <c r="BU1662" s="317"/>
      <c r="BV1662" s="317"/>
      <c r="BW1662" s="317"/>
      <c r="BX1662" s="317"/>
      <c r="BY1662" s="317"/>
      <c r="BZ1662" s="317"/>
      <c r="CA1662" s="317"/>
      <c r="CB1662" s="317"/>
      <c r="CC1662" s="317"/>
      <c r="CD1662" s="317"/>
      <c r="CE1662" s="317"/>
      <c r="CF1662" s="317"/>
      <c r="CG1662" s="317"/>
      <c r="CH1662" s="317"/>
      <c r="CI1662" s="317"/>
      <c r="CM1662" s="1139">
        <f t="shared" si="954"/>
        <v>0</v>
      </c>
      <c r="CN1662" s="1139">
        <v>0</v>
      </c>
      <c r="CP1662" s="923">
        <f t="shared" si="953"/>
        <v>0</v>
      </c>
      <c r="CZ1662" s="330"/>
    </row>
    <row r="1663" spans="1:104" ht="15" customHeight="1" x14ac:dyDescent="0.25">
      <c r="A1663" s="684">
        <f>MAX($A$6:A1662)+1</f>
        <v>1663</v>
      </c>
      <c r="B1663" s="3">
        <f t="shared" si="997"/>
        <v>17.100000000000001</v>
      </c>
      <c r="C1663" s="11" t="str">
        <f t="shared" si="998"/>
        <v>Quantitative disclosures around right-of-use assets</v>
      </c>
      <c r="D1663" s="11" t="s">
        <v>2538</v>
      </c>
      <c r="E1663" s="7" t="s">
        <v>187</v>
      </c>
      <c r="F1663" s="7"/>
      <c r="G1663" s="7" t="s">
        <v>187</v>
      </c>
      <c r="H1663" s="6">
        <v>0</v>
      </c>
      <c r="I1663" s="6">
        <v>0</v>
      </c>
      <c r="J1663" s="7" t="s">
        <v>187</v>
      </c>
      <c r="K1663" s="6">
        <f>SUMIF('alb Note 16  Leases'!$B$12:$B$20,$J1663,'alb Note 16  Leases'!$H$12:$H$20)</f>
        <v>0</v>
      </c>
      <c r="L1663" s="6">
        <f>SUMIF('alb Note 16  Leases'!$B$12:$B$20,$J1663,'alb Note 16  Leases'!$R$12:$R$20)</f>
        <v>0</v>
      </c>
      <c r="M1663" s="10"/>
      <c r="N1663" s="273">
        <f t="shared" si="995"/>
        <v>0</v>
      </c>
      <c r="O1663" s="12"/>
      <c r="P1663" s="12"/>
      <c r="Q1663" s="12"/>
      <c r="R1663" s="12"/>
      <c r="S1663" s="6">
        <f t="shared" si="996"/>
        <v>0</v>
      </c>
      <c r="T1663" s="273">
        <f t="shared" si="976"/>
        <v>0</v>
      </c>
      <c r="U1663" s="6">
        <f t="shared" si="1013"/>
        <v>0</v>
      </c>
      <c r="V1663" s="6"/>
      <c r="W1663" s="6">
        <f t="shared" si="977"/>
        <v>0</v>
      </c>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X1663" s="6"/>
      <c r="AY1663" s="6">
        <f>ROUND(AX1663/1000/Update!$B$31*Update!$B$27,0)</f>
        <v>0</v>
      </c>
      <c r="BA1663" s="6"/>
      <c r="BB1663" s="6">
        <f>ROUND(BA1663/1000/Update!$B$31,0)</f>
        <v>0</v>
      </c>
      <c r="BC1663" s="6"/>
      <c r="BD1663" s="29">
        <f t="shared" si="978"/>
        <v>0</v>
      </c>
      <c r="BE1663" s="317"/>
      <c r="BF1663" s="317"/>
      <c r="BG1663" s="317"/>
      <c r="BH1663" s="317"/>
      <c r="BI1663" s="317"/>
      <c r="BJ1663" s="317"/>
      <c r="BK1663" s="29">
        <f t="shared" si="994"/>
        <v>0</v>
      </c>
      <c r="BL1663" s="317"/>
      <c r="BM1663" s="317"/>
      <c r="BN1663" s="317"/>
      <c r="BO1663" s="317"/>
      <c r="BP1663" s="317"/>
      <c r="BQ1663" s="317"/>
      <c r="BR1663" s="317"/>
      <c r="BS1663" s="317"/>
      <c r="BT1663" s="317"/>
      <c r="BU1663" s="317"/>
      <c r="BV1663" s="317"/>
      <c r="BW1663" s="317"/>
      <c r="BX1663" s="317"/>
      <c r="BY1663" s="317"/>
      <c r="BZ1663" s="317"/>
      <c r="CA1663" s="317"/>
      <c r="CB1663" s="317"/>
      <c r="CC1663" s="317"/>
      <c r="CD1663" s="317"/>
      <c r="CE1663" s="317"/>
      <c r="CF1663" s="317"/>
      <c r="CG1663" s="317"/>
      <c r="CH1663" s="317"/>
      <c r="CI1663" s="317"/>
      <c r="CM1663" s="1139">
        <f t="shared" si="954"/>
        <v>0</v>
      </c>
      <c r="CN1663" s="1139">
        <v>0</v>
      </c>
      <c r="CP1663" s="923">
        <f t="shared" si="953"/>
        <v>0</v>
      </c>
      <c r="CZ1663" s="330"/>
    </row>
    <row r="1664" spans="1:104" ht="15" customHeight="1" x14ac:dyDescent="0.25">
      <c r="A1664" s="684">
        <f>MAX($A$6:A1663)+1</f>
        <v>1664</v>
      </c>
      <c r="B1664" s="3">
        <f t="shared" si="997"/>
        <v>17.100000000000001</v>
      </c>
      <c r="C1664" s="11" t="str">
        <f t="shared" si="998"/>
        <v>Quantitative disclosures around right-of-use assets</v>
      </c>
      <c r="D1664" s="11" t="s">
        <v>2538</v>
      </c>
      <c r="E1664" s="7" t="s">
        <v>189</v>
      </c>
      <c r="F1664" s="1267"/>
      <c r="G1664" s="1254" t="s">
        <v>189</v>
      </c>
      <c r="H1664" s="6">
        <v>0</v>
      </c>
      <c r="I1664" s="6">
        <v>0</v>
      </c>
      <c r="J1664" s="1254" t="s">
        <v>189</v>
      </c>
      <c r="K1664" s="6">
        <f>SUMIF('alb Note 16  Leases'!$B$12:$B$20,$J1664,'alb Note 16  Leases'!$H$12:$H$20)</f>
        <v>0</v>
      </c>
      <c r="L1664" s="6">
        <f>SUMIF('alb Note 16  Leases'!$B$12:$B$20,$J1664,'alb Note 16  Leases'!$R$12:$R$20)</f>
        <v>0</v>
      </c>
      <c r="M1664" s="10"/>
      <c r="N1664" s="273">
        <f t="shared" si="995"/>
        <v>0</v>
      </c>
      <c r="O1664" s="12"/>
      <c r="P1664" s="12"/>
      <c r="Q1664" s="12"/>
      <c r="R1664" s="12"/>
      <c r="S1664" s="6">
        <f t="shared" si="996"/>
        <v>0</v>
      </c>
      <c r="T1664" s="273">
        <f t="shared" si="976"/>
        <v>0</v>
      </c>
      <c r="U1664" s="6">
        <f t="shared" si="1013"/>
        <v>0</v>
      </c>
      <c r="V1664" s="6"/>
      <c r="W1664" s="6">
        <f t="shared" si="977"/>
        <v>0</v>
      </c>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X1664" s="6"/>
      <c r="AY1664" s="6">
        <f>ROUND(AX1664/1000/Update!$B$31*Update!$B$27,0)</f>
        <v>0</v>
      </c>
      <c r="BA1664" s="6"/>
      <c r="BB1664" s="6">
        <f>ROUND(BA1664/1000/Update!$B$31,0)</f>
        <v>0</v>
      </c>
      <c r="BC1664" s="6"/>
      <c r="BD1664" s="29">
        <f t="shared" si="978"/>
        <v>0</v>
      </c>
      <c r="BE1664" s="322"/>
      <c r="BF1664" s="322"/>
      <c r="BG1664" s="322"/>
      <c r="BH1664" s="322"/>
      <c r="BI1664" s="322"/>
      <c r="BJ1664" s="322"/>
      <c r="BK1664" s="29">
        <f t="shared" si="994"/>
        <v>0</v>
      </c>
      <c r="BL1664" s="317"/>
      <c r="BM1664" s="317"/>
      <c r="BN1664" s="317"/>
      <c r="BO1664" s="317"/>
      <c r="BP1664" s="317"/>
      <c r="BQ1664" s="317"/>
      <c r="BR1664" s="317"/>
      <c r="BS1664" s="317"/>
      <c r="BT1664" s="317"/>
      <c r="BU1664" s="317"/>
      <c r="BV1664" s="317"/>
      <c r="BW1664" s="317"/>
      <c r="BX1664" s="317"/>
      <c r="BY1664" s="317"/>
      <c r="BZ1664" s="317"/>
      <c r="CA1664" s="317"/>
      <c r="CB1664" s="317"/>
      <c r="CC1664" s="317"/>
      <c r="CD1664" s="317"/>
      <c r="CE1664" s="317"/>
      <c r="CF1664" s="317"/>
      <c r="CG1664" s="317"/>
      <c r="CH1664" s="317"/>
      <c r="CI1664" s="317"/>
      <c r="CM1664" s="1139">
        <f t="shared" si="954"/>
        <v>0</v>
      </c>
      <c r="CN1664" s="1139">
        <v>0</v>
      </c>
      <c r="CP1664" s="923">
        <f t="shared" si="953"/>
        <v>0</v>
      </c>
      <c r="CZ1664" s="330"/>
    </row>
    <row r="1665" spans="1:104" ht="15" customHeight="1" x14ac:dyDescent="0.25">
      <c r="A1665" s="684">
        <f>MAX($A$6:A1664)+1</f>
        <v>1665</v>
      </c>
      <c r="B1665" s="3">
        <f t="shared" si="997"/>
        <v>17.100000000000001</v>
      </c>
      <c r="C1665" s="11" t="str">
        <f t="shared" si="998"/>
        <v>Quantitative disclosures around right-of-use assets</v>
      </c>
      <c r="D1665" s="11" t="s">
        <v>2538</v>
      </c>
      <c r="E1665" s="7" t="s">
        <v>191</v>
      </c>
      <c r="F1665" s="1267"/>
      <c r="G1665" s="1254" t="s">
        <v>191</v>
      </c>
      <c r="H1665" s="6">
        <v>0</v>
      </c>
      <c r="I1665" s="6">
        <v>0</v>
      </c>
      <c r="J1665" s="1254" t="s">
        <v>191</v>
      </c>
      <c r="K1665" s="6">
        <f>SUMIF('alb Note 16  Leases'!$B$12:$B$20,$J1665,'alb Note 16  Leases'!$H$12:$H$20)</f>
        <v>0</v>
      </c>
      <c r="L1665" s="6">
        <f>SUMIF('alb Note 16  Leases'!$B$12:$B$20,$J1665,'alb Note 16  Leases'!$R$12:$R$20)</f>
        <v>0</v>
      </c>
      <c r="M1665" s="10"/>
      <c r="N1665" s="273">
        <f t="shared" si="995"/>
        <v>0</v>
      </c>
      <c r="O1665" s="12"/>
      <c r="P1665" s="12"/>
      <c r="Q1665" s="12"/>
      <c r="R1665" s="12"/>
      <c r="S1665" s="6">
        <f t="shared" si="996"/>
        <v>0</v>
      </c>
      <c r="T1665" s="273">
        <f t="shared" si="976"/>
        <v>0</v>
      </c>
      <c r="U1665" s="6">
        <f t="shared" si="1013"/>
        <v>0</v>
      </c>
      <c r="V1665" s="6"/>
      <c r="W1665" s="6">
        <f t="shared" si="977"/>
        <v>0</v>
      </c>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X1665" s="6"/>
      <c r="AY1665" s="6">
        <f>ROUND(AX1665/1000/Update!$B$31*Update!$B$27,0)</f>
        <v>0</v>
      </c>
      <c r="BA1665" s="6"/>
      <c r="BB1665" s="6">
        <f>ROUND(BA1665/1000/Update!$B$31,0)</f>
        <v>0</v>
      </c>
      <c r="BC1665" s="6"/>
      <c r="BD1665" s="29">
        <f t="shared" si="978"/>
        <v>0</v>
      </c>
      <c r="BE1665" s="322"/>
      <c r="BF1665" s="322"/>
      <c r="BG1665" s="322"/>
      <c r="BH1665" s="322"/>
      <c r="BI1665" s="322"/>
      <c r="BJ1665" s="322"/>
      <c r="BK1665" s="29">
        <f t="shared" si="994"/>
        <v>0</v>
      </c>
      <c r="BL1665" s="317"/>
      <c r="BM1665" s="317"/>
      <c r="BN1665" s="317"/>
      <c r="BO1665" s="317"/>
      <c r="BP1665" s="317"/>
      <c r="BQ1665" s="317"/>
      <c r="BR1665" s="317"/>
      <c r="BS1665" s="317"/>
      <c r="BT1665" s="317"/>
      <c r="BU1665" s="317"/>
      <c r="BV1665" s="317"/>
      <c r="BW1665" s="317"/>
      <c r="BX1665" s="317"/>
      <c r="BY1665" s="317"/>
      <c r="BZ1665" s="317"/>
      <c r="CA1665" s="317"/>
      <c r="CB1665" s="317"/>
      <c r="CC1665" s="317"/>
      <c r="CD1665" s="317"/>
      <c r="CE1665" s="317"/>
      <c r="CF1665" s="317"/>
      <c r="CG1665" s="317"/>
      <c r="CH1665" s="317"/>
      <c r="CI1665" s="317"/>
      <c r="CM1665" s="1139">
        <f t="shared" si="954"/>
        <v>0</v>
      </c>
      <c r="CN1665" s="1139">
        <v>0</v>
      </c>
      <c r="CP1665" s="923">
        <f t="shared" si="953"/>
        <v>0</v>
      </c>
      <c r="CZ1665" s="330"/>
    </row>
    <row r="1666" spans="1:104" ht="15" customHeight="1" x14ac:dyDescent="0.25">
      <c r="A1666" s="684">
        <f>MAX($A$6:A1665)+1</f>
        <v>1666</v>
      </c>
      <c r="B1666" s="3">
        <f t="shared" si="997"/>
        <v>17.100000000000001</v>
      </c>
      <c r="C1666" s="11" t="str">
        <f t="shared" si="998"/>
        <v>Quantitative disclosures around right-of-use assets</v>
      </c>
      <c r="D1666" s="11" t="s">
        <v>2538</v>
      </c>
      <c r="E1666" s="7" t="s">
        <v>2488</v>
      </c>
      <c r="F1666" s="1267"/>
      <c r="G1666" s="7" t="s">
        <v>2488</v>
      </c>
      <c r="H1666" s="6">
        <v>0</v>
      </c>
      <c r="I1666" s="6">
        <v>0</v>
      </c>
      <c r="J1666" s="7" t="s">
        <v>2488</v>
      </c>
      <c r="K1666" s="6">
        <f>SUMIF('alb Note 16  Leases'!$B$12:$B$20,$J1666,'alb Note 16  Leases'!$H$12:$H$20)</f>
        <v>0</v>
      </c>
      <c r="L1666" s="6">
        <f>SUMIF('alb Note 16  Leases'!$B$12:$B$20,$J1666,'alb Note 16  Leases'!$R$12:$R$20)</f>
        <v>0</v>
      </c>
      <c r="M1666" s="10"/>
      <c r="N1666" s="273">
        <f t="shared" si="995"/>
        <v>0</v>
      </c>
      <c r="O1666" s="12"/>
      <c r="P1666" s="12"/>
      <c r="Q1666" s="12"/>
      <c r="R1666" s="12"/>
      <c r="S1666" s="6">
        <f t="shared" si="996"/>
        <v>0</v>
      </c>
      <c r="T1666" s="273">
        <f t="shared" si="976"/>
        <v>0</v>
      </c>
      <c r="U1666" s="6">
        <f t="shared" si="1013"/>
        <v>0</v>
      </c>
      <c r="V1666" s="6"/>
      <c r="W1666" s="6">
        <f t="shared" si="977"/>
        <v>0</v>
      </c>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X1666" s="6"/>
      <c r="AY1666" s="6">
        <f>ROUND(AX1666/1000/Update!$B$31*Update!$B$27,0)</f>
        <v>0</v>
      </c>
      <c r="BA1666" s="6"/>
      <c r="BB1666" s="6">
        <f>ROUND(BA1666/1000/Update!$B$31,0)</f>
        <v>0</v>
      </c>
      <c r="BC1666" s="6"/>
      <c r="BD1666" s="29">
        <f t="shared" si="978"/>
        <v>0</v>
      </c>
      <c r="BE1666" s="322"/>
      <c r="BF1666" s="322"/>
      <c r="BG1666" s="322"/>
      <c r="BH1666" s="322"/>
      <c r="BI1666" s="322"/>
      <c r="BJ1666" s="322"/>
      <c r="BK1666" s="29">
        <f t="shared" si="994"/>
        <v>0</v>
      </c>
      <c r="BL1666" s="317"/>
      <c r="BM1666" s="317"/>
      <c r="BN1666" s="317"/>
      <c r="BO1666" s="317"/>
      <c r="BP1666" s="317"/>
      <c r="BQ1666" s="317"/>
      <c r="BR1666" s="317"/>
      <c r="BS1666" s="317"/>
      <c r="BT1666" s="317"/>
      <c r="BU1666" s="317"/>
      <c r="BV1666" s="317"/>
      <c r="BW1666" s="317"/>
      <c r="BX1666" s="317"/>
      <c r="BY1666" s="317"/>
      <c r="BZ1666" s="317"/>
      <c r="CA1666" s="317"/>
      <c r="CB1666" s="317"/>
      <c r="CC1666" s="317"/>
      <c r="CD1666" s="317"/>
      <c r="CE1666" s="317"/>
      <c r="CF1666" s="317"/>
      <c r="CG1666" s="317"/>
      <c r="CH1666" s="317"/>
      <c r="CI1666" s="317"/>
      <c r="CM1666" s="1139">
        <f t="shared" si="954"/>
        <v>0</v>
      </c>
      <c r="CN1666" s="1139">
        <v>0</v>
      </c>
      <c r="CP1666" s="923">
        <f t="shared" si="953"/>
        <v>0</v>
      </c>
      <c r="CZ1666" s="330"/>
    </row>
    <row r="1667" spans="1:104" ht="15" customHeight="1" x14ac:dyDescent="0.25">
      <c r="A1667" s="684">
        <f>MAX($A$6:A1666)+1</f>
        <v>1667</v>
      </c>
      <c r="B1667" s="3">
        <f t="shared" si="997"/>
        <v>17.100000000000001</v>
      </c>
      <c r="C1667" s="11" t="str">
        <f t="shared" si="998"/>
        <v>Quantitative disclosures around right-of-use assets</v>
      </c>
      <c r="D1667" s="11" t="s">
        <v>2538</v>
      </c>
      <c r="E1667" s="7" t="str">
        <f>"At"&amp;Update!$B$22</f>
        <v>At 31 March 2026</v>
      </c>
      <c r="F1667" s="7"/>
      <c r="G1667" s="7" t="str">
        <f>"At"&amp;Update!$B$22</f>
        <v>At 31 March 2026</v>
      </c>
      <c r="H1667" s="6">
        <v>0</v>
      </c>
      <c r="I1667" s="6">
        <v>0</v>
      </c>
      <c r="J1667" s="7" t="str">
        <f>"At"&amp;Update!$B$22</f>
        <v>At 31 March 2026</v>
      </c>
      <c r="K1667" s="6">
        <f>SUMIF('alb Note 16  Leases'!$B$12:$B$20,$J1667,'alb Note 16  Leases'!$H$12:$H$20)</f>
        <v>0</v>
      </c>
      <c r="L1667" s="6">
        <f>SUMIF('alb Note 16  Leases'!$B$12:$B$20,$J1667,'alb Note 16  Leases'!$R$12:$R$20)</f>
        <v>0</v>
      </c>
      <c r="M1667" s="10"/>
      <c r="N1667" s="273">
        <f t="shared" si="995"/>
        <v>0</v>
      </c>
      <c r="O1667" s="12"/>
      <c r="P1667" s="12"/>
      <c r="Q1667" s="12"/>
      <c r="R1667" s="12"/>
      <c r="S1667" s="6">
        <f t="shared" si="996"/>
        <v>0</v>
      </c>
      <c r="T1667" s="273">
        <f t="shared" si="976"/>
        <v>0</v>
      </c>
      <c r="U1667" s="6">
        <f t="shared" si="1013"/>
        <v>0</v>
      </c>
      <c r="V1667" s="6"/>
      <c r="W1667" s="6">
        <f t="shared" si="977"/>
        <v>0</v>
      </c>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X1667" s="6"/>
      <c r="AY1667" s="6">
        <f>ROUND(AX1667/1000/Update!$B$31*Update!$B$27,0)</f>
        <v>0</v>
      </c>
      <c r="BA1667" s="6"/>
      <c r="BB1667" s="6">
        <f>ROUND(BA1667/1000/Update!$B$31,0)</f>
        <v>0</v>
      </c>
      <c r="BC1667" s="6"/>
      <c r="BD1667" s="29">
        <f t="shared" si="978"/>
        <v>0</v>
      </c>
      <c r="BE1667" s="317"/>
      <c r="BF1667" s="317"/>
      <c r="BG1667" s="317"/>
      <c r="BH1667" s="317"/>
      <c r="BI1667" s="317"/>
      <c r="BJ1667" s="317"/>
      <c r="BK1667" s="29">
        <f t="shared" si="994"/>
        <v>0</v>
      </c>
      <c r="BL1667" s="317"/>
      <c r="BM1667" s="317"/>
      <c r="BN1667" s="317"/>
      <c r="BO1667" s="317"/>
      <c r="BP1667" s="317"/>
      <c r="BQ1667" s="317"/>
      <c r="BR1667" s="317"/>
      <c r="BS1667" s="317"/>
      <c r="BT1667" s="317"/>
      <c r="BU1667" s="317"/>
      <c r="BV1667" s="317"/>
      <c r="BW1667" s="317"/>
      <c r="BX1667" s="317"/>
      <c r="BY1667" s="317"/>
      <c r="BZ1667" s="317"/>
      <c r="CA1667" s="317"/>
      <c r="CB1667" s="317"/>
      <c r="CC1667" s="317"/>
      <c r="CD1667" s="317"/>
      <c r="CE1667" s="317"/>
      <c r="CF1667" s="317"/>
      <c r="CG1667" s="317"/>
      <c r="CH1667" s="317"/>
      <c r="CI1667" s="317"/>
      <c r="CM1667" s="1139">
        <f t="shared" si="954"/>
        <v>0</v>
      </c>
      <c r="CN1667" s="1139">
        <v>0</v>
      </c>
      <c r="CP1667" s="923">
        <f t="shared" si="953"/>
        <v>0</v>
      </c>
      <c r="CZ1667" s="330"/>
    </row>
    <row r="1668" spans="1:104" ht="15" customHeight="1" x14ac:dyDescent="0.25">
      <c r="A1668" s="684">
        <f>MAX($A$6:A1667)+1</f>
        <v>1668</v>
      </c>
      <c r="B1668" s="3">
        <f t="shared" si="997"/>
        <v>17.100000000000001</v>
      </c>
      <c r="C1668" s="11" t="str">
        <f t="shared" si="998"/>
        <v>Quantitative disclosures around right-of-use assets</v>
      </c>
      <c r="D1668" s="11" t="s">
        <v>2538</v>
      </c>
      <c r="E1668" s="7" t="str">
        <f>"At"&amp;Update!$B$20</f>
        <v>At 1 April 2025</v>
      </c>
      <c r="F1668" s="1267"/>
      <c r="G1668" s="1254" t="str">
        <f>"At"&amp;Update!$B$20</f>
        <v>At 1 April 2025</v>
      </c>
      <c r="H1668" s="6">
        <v>0</v>
      </c>
      <c r="I1668" s="6">
        <v>0</v>
      </c>
      <c r="J1668" s="7" t="str">
        <f>"At"&amp;Update!$B$20</f>
        <v>At 1 April 2025</v>
      </c>
      <c r="K1668" s="6">
        <f>SUMIF('alb Note 16  Leases'!$B$23:$B$30,$J1668,'alb Note 16  Leases'!$H$23:$H$30)</f>
        <v>0</v>
      </c>
      <c r="L1668" s="6">
        <f>SUMIF('alb Note 16  Leases'!$B$23:$B$30,$J1668,'alb Note 16  Leases'!$R$23:$R$30)</f>
        <v>0</v>
      </c>
      <c r="M1668" s="10"/>
      <c r="N1668" s="273">
        <f t="shared" si="995"/>
        <v>0</v>
      </c>
      <c r="O1668" s="12"/>
      <c r="P1668" s="12"/>
      <c r="Q1668" s="12"/>
      <c r="R1668" s="12"/>
      <c r="S1668" s="6">
        <f t="shared" si="996"/>
        <v>0</v>
      </c>
      <c r="T1668" s="273">
        <f t="shared" si="976"/>
        <v>0</v>
      </c>
      <c r="U1668" s="6">
        <f t="shared" si="1013"/>
        <v>0</v>
      </c>
      <c r="V1668" s="6"/>
      <c r="W1668" s="6">
        <f t="shared" si="977"/>
        <v>0</v>
      </c>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X1668" s="6"/>
      <c r="AY1668" s="6">
        <f>ROUND(AX1668/1000/Update!$B$31*Update!$B$27,0)</f>
        <v>0</v>
      </c>
      <c r="BA1668" s="6"/>
      <c r="BB1668" s="6">
        <f>ROUND(BA1668/1000/Update!$B$31,0)</f>
        <v>0</v>
      </c>
      <c r="BC1668" s="6"/>
      <c r="BD1668" s="29">
        <f t="shared" si="978"/>
        <v>0</v>
      </c>
      <c r="BE1668" s="322"/>
      <c r="BF1668" s="322"/>
      <c r="BG1668" s="322"/>
      <c r="BH1668" s="322"/>
      <c r="BI1668" s="322"/>
      <c r="BJ1668" s="322"/>
      <c r="BK1668" s="29">
        <f t="shared" si="994"/>
        <v>0</v>
      </c>
      <c r="BL1668" s="317"/>
      <c r="BM1668" s="317"/>
      <c r="BN1668" s="317"/>
      <c r="BO1668" s="317"/>
      <c r="BP1668" s="317"/>
      <c r="BQ1668" s="317"/>
      <c r="BR1668" s="317"/>
      <c r="BS1668" s="317"/>
      <c r="BT1668" s="317"/>
      <c r="BU1668" s="317"/>
      <c r="BV1668" s="317"/>
      <c r="BW1668" s="317"/>
      <c r="BX1668" s="317"/>
      <c r="BY1668" s="317"/>
      <c r="BZ1668" s="317"/>
      <c r="CA1668" s="317"/>
      <c r="CB1668" s="317"/>
      <c r="CC1668" s="317"/>
      <c r="CD1668" s="317"/>
      <c r="CE1668" s="317"/>
      <c r="CF1668" s="317"/>
      <c r="CG1668" s="317"/>
      <c r="CH1668" s="317"/>
      <c r="CI1668" s="317"/>
      <c r="CM1668" s="1139">
        <f t="shared" si="954"/>
        <v>0</v>
      </c>
      <c r="CN1668" s="1139">
        <v>0</v>
      </c>
      <c r="CP1668" s="923">
        <f t="shared" si="953"/>
        <v>0</v>
      </c>
      <c r="CZ1668" s="330"/>
    </row>
    <row r="1669" spans="1:104" ht="15" customHeight="1" x14ac:dyDescent="0.25">
      <c r="A1669" s="684">
        <f>MAX($A$6:A1668)+1</f>
        <v>1669</v>
      </c>
      <c r="B1669" s="3">
        <f t="shared" si="997"/>
        <v>17.100000000000001</v>
      </c>
      <c r="C1669" s="11" t="str">
        <f t="shared" si="998"/>
        <v>Quantitative disclosures around right-of-use assets</v>
      </c>
      <c r="D1669" s="11" t="s">
        <v>2538</v>
      </c>
      <c r="E1669" s="7" t="s">
        <v>2490</v>
      </c>
      <c r="F1669" s="1267"/>
      <c r="G1669" s="1254" t="s">
        <v>2490</v>
      </c>
      <c r="H1669" s="6">
        <v>0</v>
      </c>
      <c r="I1669" s="6">
        <v>0</v>
      </c>
      <c r="J1669" s="1254" t="s">
        <v>2490</v>
      </c>
      <c r="K1669" s="6">
        <f>SUMIF('alb Note 16  Leases'!$B$23:$B$30,$J1669,'alb Note 16  Leases'!$H$23:$H$30)</f>
        <v>0</v>
      </c>
      <c r="L1669" s="6">
        <f>SUMIF('alb Note 16  Leases'!$B$23:$B$30,$J1669,'alb Note 16  Leases'!$R$23:$R$30)</f>
        <v>0</v>
      </c>
      <c r="M1669" s="10"/>
      <c r="N1669" s="273">
        <f t="shared" si="995"/>
        <v>0</v>
      </c>
      <c r="O1669" s="12"/>
      <c r="P1669" s="12"/>
      <c r="Q1669" s="12"/>
      <c r="R1669" s="12"/>
      <c r="S1669" s="6">
        <f t="shared" si="996"/>
        <v>0</v>
      </c>
      <c r="T1669" s="273">
        <f t="shared" si="976"/>
        <v>0</v>
      </c>
      <c r="U1669" s="6">
        <f t="shared" si="1013"/>
        <v>0</v>
      </c>
      <c r="V1669" s="6"/>
      <c r="W1669" s="6">
        <f t="shared" si="977"/>
        <v>0</v>
      </c>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X1669" s="6"/>
      <c r="AY1669" s="6">
        <f>ROUND(AX1669/1000/Update!$B$31*Update!$B$27,0)</f>
        <v>0</v>
      </c>
      <c r="BA1669" s="6"/>
      <c r="BB1669" s="6">
        <f>ROUND(BA1669/1000/Update!$B$31,0)</f>
        <v>0</v>
      </c>
      <c r="BC1669" s="6"/>
      <c r="BD1669" s="29">
        <f t="shared" si="978"/>
        <v>0</v>
      </c>
      <c r="BE1669" s="322"/>
      <c r="BF1669" s="322"/>
      <c r="BG1669" s="322"/>
      <c r="BH1669" s="322"/>
      <c r="BI1669" s="322"/>
      <c r="BJ1669" s="322"/>
      <c r="BK1669" s="29">
        <f t="shared" si="994"/>
        <v>0</v>
      </c>
      <c r="BL1669" s="317"/>
      <c r="BM1669" s="317"/>
      <c r="BN1669" s="317"/>
      <c r="BO1669" s="317"/>
      <c r="BP1669" s="317"/>
      <c r="BQ1669" s="317"/>
      <c r="BR1669" s="317"/>
      <c r="BS1669" s="317"/>
      <c r="BT1669" s="317"/>
      <c r="BU1669" s="317"/>
      <c r="BV1669" s="317"/>
      <c r="BW1669" s="317"/>
      <c r="BX1669" s="317"/>
      <c r="BY1669" s="317"/>
      <c r="BZ1669" s="317"/>
      <c r="CA1669" s="317"/>
      <c r="CB1669" s="317"/>
      <c r="CC1669" s="317"/>
      <c r="CD1669" s="317"/>
      <c r="CE1669" s="317"/>
      <c r="CF1669" s="317"/>
      <c r="CG1669" s="317"/>
      <c r="CH1669" s="317"/>
      <c r="CI1669" s="317"/>
      <c r="CM1669" s="1139">
        <f t="shared" si="954"/>
        <v>0</v>
      </c>
      <c r="CN1669" s="1139">
        <v>0</v>
      </c>
      <c r="CP1669" s="923">
        <f t="shared" si="953"/>
        <v>0</v>
      </c>
      <c r="CZ1669" s="330"/>
    </row>
    <row r="1670" spans="1:104" ht="15" customHeight="1" x14ac:dyDescent="0.25">
      <c r="A1670" s="684">
        <f>MAX($A$6:A1669)+1</f>
        <v>1670</v>
      </c>
      <c r="B1670" s="3">
        <f t="shared" si="997"/>
        <v>17.100000000000001</v>
      </c>
      <c r="C1670" s="11" t="str">
        <f t="shared" si="998"/>
        <v>Quantitative disclosures around right-of-use assets</v>
      </c>
      <c r="D1670" s="11" t="s">
        <v>2538</v>
      </c>
      <c r="E1670" s="7" t="s">
        <v>190</v>
      </c>
      <c r="F1670" s="1267"/>
      <c r="G1670" s="7" t="s">
        <v>190</v>
      </c>
      <c r="H1670" s="6">
        <v>0</v>
      </c>
      <c r="I1670" s="6">
        <v>0</v>
      </c>
      <c r="J1670" s="7" t="s">
        <v>190</v>
      </c>
      <c r="K1670" s="6">
        <f>SUMIF('alb Note 16  Leases'!$B$23:$B$30,$J1670,'alb Note 16  Leases'!$H$23:$H$30)</f>
        <v>0</v>
      </c>
      <c r="L1670" s="6">
        <f>SUMIF('alb Note 16  Leases'!$B$23:$B$30,$J1670,'alb Note 16  Leases'!$R$23:$R$30)</f>
        <v>0</v>
      </c>
      <c r="M1670" s="10"/>
      <c r="N1670" s="273">
        <f t="shared" si="995"/>
        <v>0</v>
      </c>
      <c r="O1670" s="12"/>
      <c r="P1670" s="12"/>
      <c r="Q1670" s="12"/>
      <c r="R1670" s="12"/>
      <c r="S1670" s="6">
        <f t="shared" si="996"/>
        <v>0</v>
      </c>
      <c r="T1670" s="273">
        <f t="shared" si="976"/>
        <v>0</v>
      </c>
      <c r="U1670" s="6">
        <f t="shared" si="1013"/>
        <v>0</v>
      </c>
      <c r="V1670" s="6"/>
      <c r="W1670" s="6">
        <f t="shared" si="977"/>
        <v>0</v>
      </c>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X1670" s="6"/>
      <c r="AY1670" s="6">
        <f>ROUND(AX1670/1000/Update!$B$31*Update!$B$27,0)</f>
        <v>0</v>
      </c>
      <c r="BA1670" s="6"/>
      <c r="BB1670" s="6">
        <f>ROUND(BA1670/1000/Update!$B$31,0)</f>
        <v>0</v>
      </c>
      <c r="BC1670" s="6"/>
      <c r="BD1670" s="29">
        <f t="shared" si="978"/>
        <v>0</v>
      </c>
      <c r="BE1670" s="322"/>
      <c r="BF1670" s="322"/>
      <c r="BG1670" s="322"/>
      <c r="BH1670" s="322"/>
      <c r="BI1670" s="322"/>
      <c r="BJ1670" s="322"/>
      <c r="BK1670" s="29">
        <f t="shared" si="994"/>
        <v>0</v>
      </c>
      <c r="BL1670" s="317"/>
      <c r="BM1670" s="317"/>
      <c r="BN1670" s="317"/>
      <c r="BO1670" s="317"/>
      <c r="BP1670" s="317"/>
      <c r="BQ1670" s="317"/>
      <c r="BR1670" s="317"/>
      <c r="BS1670" s="317"/>
      <c r="BT1670" s="317"/>
      <c r="BU1670" s="317"/>
      <c r="BV1670" s="317"/>
      <c r="BW1670" s="317"/>
      <c r="BX1670" s="317"/>
      <c r="BY1670" s="317"/>
      <c r="BZ1670" s="317"/>
      <c r="CA1670" s="317"/>
      <c r="CB1670" s="317"/>
      <c r="CC1670" s="317"/>
      <c r="CD1670" s="317"/>
      <c r="CE1670" s="317"/>
      <c r="CF1670" s="317"/>
      <c r="CG1670" s="317"/>
      <c r="CH1670" s="317"/>
      <c r="CI1670" s="317"/>
      <c r="CM1670" s="1139">
        <f t="shared" si="954"/>
        <v>0</v>
      </c>
      <c r="CN1670" s="1139">
        <v>0</v>
      </c>
      <c r="CP1670" s="923">
        <f t="shared" si="953"/>
        <v>0</v>
      </c>
      <c r="CZ1670" s="330"/>
    </row>
    <row r="1671" spans="1:104" ht="15" customHeight="1" x14ac:dyDescent="0.25">
      <c r="A1671" s="684">
        <f>MAX($A$6:A1670)+1</f>
        <v>1671</v>
      </c>
      <c r="B1671" s="3">
        <f t="shared" si="997"/>
        <v>17.100000000000001</v>
      </c>
      <c r="C1671" s="11" t="str">
        <f t="shared" si="998"/>
        <v>Quantitative disclosures around right-of-use assets</v>
      </c>
      <c r="D1671" s="11" t="s">
        <v>2538</v>
      </c>
      <c r="E1671" s="7" t="s">
        <v>186</v>
      </c>
      <c r="F1671" s="7"/>
      <c r="G1671" s="7" t="s">
        <v>186</v>
      </c>
      <c r="H1671" s="6">
        <v>0</v>
      </c>
      <c r="I1671" s="6">
        <v>0</v>
      </c>
      <c r="J1671" s="7" t="s">
        <v>186</v>
      </c>
      <c r="K1671" s="6">
        <f>SUMIF('alb Note 16  Leases'!$B$23:$B$30,$J1671,'alb Note 16  Leases'!$H$23:$H$30)</f>
        <v>0</v>
      </c>
      <c r="L1671" s="6">
        <f>SUMIF('alb Note 16  Leases'!$B$23:$B$30,$J1671,'alb Note 16  Leases'!$R$23:$R$30)</f>
        <v>0</v>
      </c>
      <c r="M1671" s="10"/>
      <c r="N1671" s="273">
        <f t="shared" si="995"/>
        <v>0</v>
      </c>
      <c r="O1671" s="12"/>
      <c r="P1671" s="12"/>
      <c r="Q1671" s="12"/>
      <c r="R1671" s="12"/>
      <c r="S1671" s="6">
        <f t="shared" si="996"/>
        <v>0</v>
      </c>
      <c r="T1671" s="273">
        <f t="shared" si="976"/>
        <v>0</v>
      </c>
      <c r="U1671" s="6">
        <f t="shared" si="1013"/>
        <v>0</v>
      </c>
      <c r="V1671" s="6"/>
      <c r="W1671" s="6">
        <f t="shared" si="977"/>
        <v>0</v>
      </c>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X1671" s="6"/>
      <c r="AY1671" s="6">
        <f>ROUND(AX1671/1000/Update!$B$31*Update!$B$27,0)</f>
        <v>0</v>
      </c>
      <c r="BA1671" s="6"/>
      <c r="BB1671" s="6">
        <f>ROUND(BA1671/1000/Update!$B$31,0)</f>
        <v>0</v>
      </c>
      <c r="BC1671" s="6"/>
      <c r="BD1671" s="29">
        <f t="shared" si="978"/>
        <v>0</v>
      </c>
      <c r="BE1671" s="317"/>
      <c r="BF1671" s="317"/>
      <c r="BG1671" s="317"/>
      <c r="BH1671" s="317"/>
      <c r="BI1671" s="317"/>
      <c r="BJ1671" s="317"/>
      <c r="BK1671" s="29">
        <f t="shared" si="994"/>
        <v>0</v>
      </c>
      <c r="BL1671" s="317"/>
      <c r="BM1671" s="317"/>
      <c r="BN1671" s="317"/>
      <c r="BO1671" s="317"/>
      <c r="BP1671" s="317"/>
      <c r="BQ1671" s="317"/>
      <c r="BR1671" s="317"/>
      <c r="BS1671" s="317"/>
      <c r="BT1671" s="317"/>
      <c r="BU1671" s="317"/>
      <c r="BV1671" s="317"/>
      <c r="BW1671" s="317"/>
      <c r="BX1671" s="317"/>
      <c r="BY1671" s="317"/>
      <c r="BZ1671" s="317"/>
      <c r="CA1671" s="317"/>
      <c r="CB1671" s="317"/>
      <c r="CC1671" s="317"/>
      <c r="CD1671" s="317"/>
      <c r="CE1671" s="317"/>
      <c r="CF1671" s="317"/>
      <c r="CG1671" s="317"/>
      <c r="CH1671" s="317"/>
      <c r="CI1671" s="317"/>
      <c r="CM1671" s="1139">
        <f t="shared" si="954"/>
        <v>0</v>
      </c>
      <c r="CN1671" s="1139">
        <v>0</v>
      </c>
      <c r="CP1671" s="923">
        <f t="shared" si="953"/>
        <v>0</v>
      </c>
      <c r="CZ1671" s="330"/>
    </row>
    <row r="1672" spans="1:104" ht="15" customHeight="1" x14ac:dyDescent="0.25">
      <c r="A1672" s="684">
        <f>MAX($A$6:A1671)+1</f>
        <v>1672</v>
      </c>
      <c r="B1672" s="3">
        <f t="shared" si="997"/>
        <v>17.100000000000001</v>
      </c>
      <c r="C1672" s="11" t="str">
        <f t="shared" si="998"/>
        <v>Quantitative disclosures around right-of-use assets</v>
      </c>
      <c r="D1672" s="11" t="s">
        <v>2538</v>
      </c>
      <c r="E1672" s="7" t="s">
        <v>187</v>
      </c>
      <c r="F1672" s="1267"/>
      <c r="G1672" s="1254" t="s">
        <v>187</v>
      </c>
      <c r="H1672" s="6">
        <v>0</v>
      </c>
      <c r="I1672" s="6">
        <v>0</v>
      </c>
      <c r="J1672" s="1254" t="s">
        <v>187</v>
      </c>
      <c r="K1672" s="6">
        <f>SUMIF('alb Note 16  Leases'!$B$23:$B$30,$J1672,'alb Note 16  Leases'!$H$23:$H$30)</f>
        <v>0</v>
      </c>
      <c r="L1672" s="6">
        <f>SUMIF('alb Note 16  Leases'!$B$23:$B$30,$J1672,'alb Note 16  Leases'!$R$23:$R$30)</f>
        <v>0</v>
      </c>
      <c r="M1672" s="10"/>
      <c r="N1672" s="273">
        <f t="shared" si="995"/>
        <v>0</v>
      </c>
      <c r="O1672" s="12"/>
      <c r="P1672" s="12"/>
      <c r="Q1672" s="12"/>
      <c r="R1672" s="12"/>
      <c r="S1672" s="6">
        <f t="shared" si="996"/>
        <v>0</v>
      </c>
      <c r="T1672" s="273">
        <f t="shared" ref="T1672:T1678" si="1014">ROUND(SUM(U1672:Y1672),0)</f>
        <v>0</v>
      </c>
      <c r="U1672" s="6">
        <f t="shared" si="1013"/>
        <v>0</v>
      </c>
      <c r="V1672" s="6"/>
      <c r="W1672" s="6">
        <f t="shared" ref="W1672:W1678" si="1015">+H1672</f>
        <v>0</v>
      </c>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X1672" s="6"/>
      <c r="AY1672" s="6">
        <f>ROUND(AX1672/1000/Update!$B$31*Update!$B$27,0)</f>
        <v>0</v>
      </c>
      <c r="BA1672" s="6"/>
      <c r="BB1672" s="6">
        <f>ROUND(BA1672/1000/Update!$B$31,0)</f>
        <v>0</v>
      </c>
      <c r="BC1672" s="6"/>
      <c r="BD1672" s="29">
        <f t="shared" ref="BD1672:BD1678" si="1016">ROUND(SUM(BE1672:BK1672),0)</f>
        <v>0</v>
      </c>
      <c r="BE1672" s="322"/>
      <c r="BF1672" s="322"/>
      <c r="BG1672" s="322"/>
      <c r="BH1672" s="322"/>
      <c r="BI1672" s="322"/>
      <c r="BJ1672" s="322"/>
      <c r="BK1672" s="29">
        <f t="shared" si="994"/>
        <v>0</v>
      </c>
      <c r="BL1672" s="317"/>
      <c r="BM1672" s="317"/>
      <c r="BN1672" s="317"/>
      <c r="BO1672" s="317"/>
      <c r="BP1672" s="317"/>
      <c r="BQ1672" s="317"/>
      <c r="BR1672" s="317"/>
      <c r="BS1672" s="317"/>
      <c r="BT1672" s="317"/>
      <c r="BU1672" s="317"/>
      <c r="BV1672" s="317"/>
      <c r="BW1672" s="317"/>
      <c r="BX1672" s="317"/>
      <c r="BY1672" s="317"/>
      <c r="BZ1672" s="317"/>
      <c r="CA1672" s="317"/>
      <c r="CB1672" s="317"/>
      <c r="CC1672" s="317"/>
      <c r="CD1672" s="317"/>
      <c r="CE1672" s="317"/>
      <c r="CF1672" s="317"/>
      <c r="CG1672" s="317"/>
      <c r="CH1672" s="317"/>
      <c r="CI1672" s="317"/>
      <c r="CM1672" s="1139">
        <f t="shared" si="954"/>
        <v>0</v>
      </c>
      <c r="CN1672" s="1139">
        <v>0</v>
      </c>
      <c r="CP1672" s="923">
        <f t="shared" si="953"/>
        <v>0</v>
      </c>
      <c r="CZ1672" s="330"/>
    </row>
    <row r="1673" spans="1:104" ht="15" customHeight="1" x14ac:dyDescent="0.25">
      <c r="A1673" s="684">
        <f>MAX($A$6:A1672)+1</f>
        <v>1673</v>
      </c>
      <c r="B1673" s="3">
        <f t="shared" si="997"/>
        <v>17.100000000000001</v>
      </c>
      <c r="C1673" s="11" t="str">
        <f t="shared" si="998"/>
        <v>Quantitative disclosures around right-of-use assets</v>
      </c>
      <c r="D1673" s="11" t="s">
        <v>2538</v>
      </c>
      <c r="E1673" s="7" t="s">
        <v>189</v>
      </c>
      <c r="F1673" s="1267"/>
      <c r="G1673" s="1254" t="s">
        <v>189</v>
      </c>
      <c r="H1673" s="6">
        <v>0</v>
      </c>
      <c r="I1673" s="6">
        <v>0</v>
      </c>
      <c r="J1673" s="1254" t="s">
        <v>189</v>
      </c>
      <c r="K1673" s="6">
        <f>SUMIF('alb Note 16  Leases'!$B$23:$B$30,$J1673,'alb Note 16  Leases'!$H$23:$H$30)</f>
        <v>0</v>
      </c>
      <c r="L1673" s="6">
        <f>SUMIF('alb Note 16  Leases'!$B$23:$B$30,$J1673,'alb Note 16  Leases'!$R$23:$R$30)</f>
        <v>0</v>
      </c>
      <c r="M1673" s="10"/>
      <c r="N1673" s="273">
        <f t="shared" si="995"/>
        <v>0</v>
      </c>
      <c r="O1673" s="12"/>
      <c r="P1673" s="12"/>
      <c r="Q1673" s="12"/>
      <c r="R1673" s="12"/>
      <c r="S1673" s="6">
        <f t="shared" si="996"/>
        <v>0</v>
      </c>
      <c r="T1673" s="273">
        <f t="shared" si="1014"/>
        <v>0</v>
      </c>
      <c r="U1673" s="6">
        <f t="shared" si="1013"/>
        <v>0</v>
      </c>
      <c r="V1673" s="6"/>
      <c r="W1673" s="6">
        <f t="shared" si="1015"/>
        <v>0</v>
      </c>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X1673" s="6"/>
      <c r="AY1673" s="6">
        <f>ROUND(AX1673/1000/Update!$B$31*Update!$B$27,0)</f>
        <v>0</v>
      </c>
      <c r="BA1673" s="6"/>
      <c r="BB1673" s="6">
        <f>ROUND(BA1673/1000/Update!$B$31,0)</f>
        <v>0</v>
      </c>
      <c r="BC1673" s="6"/>
      <c r="BD1673" s="29">
        <f t="shared" si="1016"/>
        <v>0</v>
      </c>
      <c r="BE1673" s="322"/>
      <c r="BF1673" s="322"/>
      <c r="BG1673" s="322"/>
      <c r="BH1673" s="322"/>
      <c r="BI1673" s="322"/>
      <c r="BJ1673" s="322"/>
      <c r="BK1673" s="29">
        <f t="shared" si="994"/>
        <v>0</v>
      </c>
      <c r="BL1673" s="317"/>
      <c r="BM1673" s="317"/>
      <c r="BN1673" s="317"/>
      <c r="BO1673" s="317"/>
      <c r="BP1673" s="317"/>
      <c r="BQ1673" s="317"/>
      <c r="BR1673" s="317"/>
      <c r="BS1673" s="317"/>
      <c r="BT1673" s="317"/>
      <c r="BU1673" s="317"/>
      <c r="BV1673" s="317"/>
      <c r="BW1673" s="317"/>
      <c r="BX1673" s="317"/>
      <c r="BY1673" s="317"/>
      <c r="BZ1673" s="317"/>
      <c r="CA1673" s="317"/>
      <c r="CB1673" s="317"/>
      <c r="CC1673" s="317"/>
      <c r="CD1673" s="317"/>
      <c r="CE1673" s="317"/>
      <c r="CF1673" s="317"/>
      <c r="CG1673" s="317"/>
      <c r="CH1673" s="317"/>
      <c r="CI1673" s="317"/>
      <c r="CM1673" s="1139">
        <f t="shared" si="954"/>
        <v>0</v>
      </c>
      <c r="CN1673" s="1139">
        <v>0</v>
      </c>
      <c r="CP1673" s="923">
        <f t="shared" si="953"/>
        <v>0</v>
      </c>
      <c r="CZ1673" s="330"/>
    </row>
    <row r="1674" spans="1:104" ht="15" customHeight="1" x14ac:dyDescent="0.25">
      <c r="A1674" s="684">
        <f>MAX($A$6:A1673)+1</f>
        <v>1674</v>
      </c>
      <c r="B1674" s="3">
        <f t="shared" si="997"/>
        <v>17.100000000000001</v>
      </c>
      <c r="C1674" s="11" t="str">
        <f t="shared" si="998"/>
        <v>Quantitative disclosures around right-of-use assets</v>
      </c>
      <c r="D1674" s="11" t="s">
        <v>2538</v>
      </c>
      <c r="E1674" s="7" t="s">
        <v>191</v>
      </c>
      <c r="F1674" s="1267"/>
      <c r="G1674" s="7" t="s">
        <v>191</v>
      </c>
      <c r="H1674" s="6">
        <v>0</v>
      </c>
      <c r="I1674" s="6">
        <v>0</v>
      </c>
      <c r="J1674" s="7" t="s">
        <v>191</v>
      </c>
      <c r="K1674" s="6">
        <f>SUMIF('alb Note 16  Leases'!$B$23:$B$30,$J1674,'alb Note 16  Leases'!$H$23:$H$30)</f>
        <v>0</v>
      </c>
      <c r="L1674" s="6">
        <f>SUMIF('alb Note 16  Leases'!$B$23:$B$30,$J1674,'alb Note 16  Leases'!$R$23:$R$30)</f>
        <v>0</v>
      </c>
      <c r="M1674" s="10"/>
      <c r="N1674" s="273">
        <f t="shared" si="995"/>
        <v>0</v>
      </c>
      <c r="O1674" s="12"/>
      <c r="P1674" s="12"/>
      <c r="Q1674" s="12"/>
      <c r="R1674" s="12"/>
      <c r="S1674" s="6">
        <f t="shared" si="996"/>
        <v>0</v>
      </c>
      <c r="T1674" s="273">
        <f t="shared" si="1014"/>
        <v>0</v>
      </c>
      <c r="U1674" s="6">
        <f t="shared" si="1013"/>
        <v>0</v>
      </c>
      <c r="V1674" s="6"/>
      <c r="W1674" s="6">
        <f t="shared" si="1015"/>
        <v>0</v>
      </c>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X1674" s="6"/>
      <c r="AY1674" s="6">
        <f>ROUND(AX1674/1000/Update!$B$31*Update!$B$27,0)</f>
        <v>0</v>
      </c>
      <c r="BA1674" s="6"/>
      <c r="BB1674" s="6">
        <f>ROUND(BA1674/1000/Update!$B$31,0)</f>
        <v>0</v>
      </c>
      <c r="BC1674" s="6"/>
      <c r="BD1674" s="29">
        <f t="shared" si="1016"/>
        <v>0</v>
      </c>
      <c r="BE1674" s="322"/>
      <c r="BF1674" s="322"/>
      <c r="BG1674" s="322"/>
      <c r="BH1674" s="322"/>
      <c r="BI1674" s="322"/>
      <c r="BJ1674" s="322"/>
      <c r="BK1674" s="29">
        <f t="shared" si="994"/>
        <v>0</v>
      </c>
      <c r="BL1674" s="317"/>
      <c r="BM1674" s="317"/>
      <c r="BN1674" s="317"/>
      <c r="BO1674" s="317"/>
      <c r="BP1674" s="317"/>
      <c r="BQ1674" s="317"/>
      <c r="BR1674" s="317"/>
      <c r="BS1674" s="317"/>
      <c r="BT1674" s="317"/>
      <c r="BU1674" s="317"/>
      <c r="BV1674" s="317"/>
      <c r="BW1674" s="317"/>
      <c r="BX1674" s="317"/>
      <c r="BY1674" s="317"/>
      <c r="BZ1674" s="317"/>
      <c r="CA1674" s="317"/>
      <c r="CB1674" s="317"/>
      <c r="CC1674" s="317"/>
      <c r="CD1674" s="317"/>
      <c r="CE1674" s="317"/>
      <c r="CF1674" s="317"/>
      <c r="CG1674" s="317"/>
      <c r="CH1674" s="317"/>
      <c r="CI1674" s="317"/>
      <c r="CM1674" s="1139">
        <f t="shared" si="954"/>
        <v>0</v>
      </c>
      <c r="CN1674" s="1139">
        <v>0</v>
      </c>
      <c r="CP1674" s="923">
        <f t="shared" si="953"/>
        <v>0</v>
      </c>
      <c r="CZ1674" s="330"/>
    </row>
    <row r="1675" spans="1:104" ht="15" customHeight="1" x14ac:dyDescent="0.25">
      <c r="A1675" s="684">
        <f>MAX($A$6:A1674)+1</f>
        <v>1675</v>
      </c>
      <c r="B1675" s="3">
        <f t="shared" si="997"/>
        <v>17.100000000000001</v>
      </c>
      <c r="C1675" s="11" t="str">
        <f t="shared" si="998"/>
        <v>Quantitative disclosures around right-of-use assets</v>
      </c>
      <c r="D1675" s="11" t="s">
        <v>2538</v>
      </c>
      <c r="E1675" s="7" t="str">
        <f>"At"&amp;Update!$B$22</f>
        <v>At 31 March 2026</v>
      </c>
      <c r="F1675" s="7"/>
      <c r="G1675" s="7" t="str">
        <f>"At"&amp;Update!$B$22</f>
        <v>At 31 March 2026</v>
      </c>
      <c r="H1675" s="6">
        <v>0</v>
      </c>
      <c r="I1675" s="6">
        <v>0</v>
      </c>
      <c r="J1675" s="7" t="str">
        <f>"At"&amp;Update!$B$22</f>
        <v>At 31 March 2026</v>
      </c>
      <c r="K1675" s="6">
        <f>SUMIF('alb Note 16  Leases'!$B$23:$B$30,$J1675,'alb Note 16  Leases'!$H$23:$H$30)</f>
        <v>0</v>
      </c>
      <c r="L1675" s="6">
        <f>SUMIF('alb Note 16  Leases'!$B$23:$B$30,$J1675,'alb Note 16  Leases'!$R$23:$R$30)</f>
        <v>0</v>
      </c>
      <c r="M1675" s="10"/>
      <c r="N1675" s="273">
        <f t="shared" si="995"/>
        <v>0</v>
      </c>
      <c r="O1675" s="12"/>
      <c r="P1675" s="12"/>
      <c r="Q1675" s="12"/>
      <c r="R1675" s="12"/>
      <c r="S1675" s="6">
        <f t="shared" si="996"/>
        <v>0</v>
      </c>
      <c r="T1675" s="273">
        <f t="shared" si="1014"/>
        <v>0</v>
      </c>
      <c r="U1675" s="6">
        <f t="shared" si="1013"/>
        <v>0</v>
      </c>
      <c r="V1675" s="6"/>
      <c r="W1675" s="6">
        <f t="shared" si="1015"/>
        <v>0</v>
      </c>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X1675" s="6"/>
      <c r="AY1675" s="6">
        <f>ROUND(AX1675/1000/Update!$B$31*Update!$B$27,0)</f>
        <v>0</v>
      </c>
      <c r="BA1675" s="6"/>
      <c r="BB1675" s="6">
        <f>ROUND(BA1675/1000/Update!$B$31,0)</f>
        <v>0</v>
      </c>
      <c r="BC1675" s="6"/>
      <c r="BD1675" s="29">
        <f t="shared" si="1016"/>
        <v>0</v>
      </c>
      <c r="BE1675" s="317"/>
      <c r="BF1675" s="317"/>
      <c r="BG1675" s="317"/>
      <c r="BH1675" s="317"/>
      <c r="BI1675" s="317"/>
      <c r="BJ1675" s="317"/>
      <c r="BK1675" s="29">
        <f t="shared" si="994"/>
        <v>0</v>
      </c>
      <c r="BL1675" s="317"/>
      <c r="BM1675" s="317"/>
      <c r="BN1675" s="317"/>
      <c r="BO1675" s="317"/>
      <c r="BP1675" s="317"/>
      <c r="BQ1675" s="317"/>
      <c r="BR1675" s="317"/>
      <c r="BS1675" s="317"/>
      <c r="BT1675" s="317"/>
      <c r="BU1675" s="317"/>
      <c r="BV1675" s="317"/>
      <c r="BW1675" s="317"/>
      <c r="BX1675" s="317"/>
      <c r="BY1675" s="317"/>
      <c r="BZ1675" s="317"/>
      <c r="CA1675" s="317"/>
      <c r="CB1675" s="317"/>
      <c r="CC1675" s="317"/>
      <c r="CD1675" s="317"/>
      <c r="CE1675" s="317"/>
      <c r="CF1675" s="317"/>
      <c r="CG1675" s="317"/>
      <c r="CH1675" s="317"/>
      <c r="CI1675" s="317"/>
      <c r="CM1675" s="1139">
        <f t="shared" si="954"/>
        <v>0</v>
      </c>
      <c r="CN1675" s="1139">
        <v>0</v>
      </c>
      <c r="CP1675" s="923">
        <f t="shared" si="953"/>
        <v>0</v>
      </c>
      <c r="CZ1675" s="330"/>
    </row>
    <row r="1676" spans="1:104" ht="15" customHeight="1" x14ac:dyDescent="0.25">
      <c r="A1676" s="701">
        <f>MAX($A$6:A1675)+1</f>
        <v>1676</v>
      </c>
      <c r="B1676" s="1291">
        <f t="shared" si="997"/>
        <v>17.100000000000001</v>
      </c>
      <c r="C1676" s="18" t="str">
        <f t="shared" si="997"/>
        <v>Quantitative disclosures around right-of-use assets</v>
      </c>
      <c r="D1676" s="18" t="s">
        <v>2538</v>
      </c>
      <c r="E1676" s="19" t="str">
        <f>"Carrying amount "&amp;Update!$B$22</f>
        <v>Carrying amount  31 March 2026</v>
      </c>
      <c r="F1676" s="20"/>
      <c r="G1676" s="19" t="str">
        <f>"Carrying amount "&amp;Update!$B$22</f>
        <v>Carrying amount  31 March 2026</v>
      </c>
      <c r="H1676" s="14">
        <f>+H1667-H1675</f>
        <v>0</v>
      </c>
      <c r="I1676" s="14">
        <f>+I1667-I1675</f>
        <v>0</v>
      </c>
      <c r="J1676" s="19" t="str">
        <f>"Carrying amount "&amp;Update!$B$22</f>
        <v>Carrying amount  31 March 2026</v>
      </c>
      <c r="K1676" s="256">
        <f>+K1667-K1675</f>
        <v>0</v>
      </c>
      <c r="L1676" s="256">
        <f>+L1667-L1675</f>
        <v>0</v>
      </c>
      <c r="M1676" s="21"/>
      <c r="N1676" s="14">
        <f>ROUND(SUM(O1676:S1676)+T1676+SUM(Z1676:AV1676),0)</f>
        <v>0</v>
      </c>
      <c r="O1676" s="256">
        <f t="shared" ref="O1676" si="1017">+O1667-O1675</f>
        <v>0</v>
      </c>
      <c r="P1676" s="256">
        <f t="shared" ref="P1676" si="1018">+P1667-P1675</f>
        <v>0</v>
      </c>
      <c r="Q1676" s="256">
        <f t="shared" ref="Q1676" si="1019">+Q1667-Q1675</f>
        <v>0</v>
      </c>
      <c r="R1676" s="256">
        <f t="shared" ref="R1676" si="1020">+R1667-R1675</f>
        <v>0</v>
      </c>
      <c r="S1676" s="256">
        <f t="shared" ref="S1676" si="1021">+S1667-S1675</f>
        <v>0</v>
      </c>
      <c r="T1676" s="256">
        <f t="shared" ref="T1676" si="1022">+T1667-T1675</f>
        <v>0</v>
      </c>
      <c r="U1676" s="256">
        <f t="shared" ref="U1676" si="1023">+U1667-U1675</f>
        <v>0</v>
      </c>
      <c r="V1676" s="14"/>
      <c r="W1676" s="14">
        <f>+H1676</f>
        <v>0</v>
      </c>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2"/>
      <c r="AX1676" s="14"/>
      <c r="AY1676" s="14"/>
      <c r="AZ1676" s="2"/>
      <c r="BA1676" s="14"/>
      <c r="BB1676" s="14"/>
      <c r="BC1676" s="14"/>
      <c r="BD1676" s="14">
        <f>+BD1667-BD1675</f>
        <v>0</v>
      </c>
      <c r="BE1676" s="14">
        <f t="shared" ref="BE1676" si="1024">+BE1667-BE1675</f>
        <v>0</v>
      </c>
      <c r="BF1676" s="14">
        <f t="shared" ref="BF1676" si="1025">+BF1667-BF1675</f>
        <v>0</v>
      </c>
      <c r="BG1676" s="14">
        <f t="shared" ref="BG1676" si="1026">+BG1667-BG1675</f>
        <v>0</v>
      </c>
      <c r="BH1676" s="14">
        <f t="shared" ref="BH1676" si="1027">+BH1667-BH1675</f>
        <v>0</v>
      </c>
      <c r="BI1676" s="14">
        <f t="shared" ref="BI1676" si="1028">+BI1667-BI1675</f>
        <v>0</v>
      </c>
      <c r="BJ1676" s="14">
        <f t="shared" ref="BJ1676" si="1029">+BJ1667-BJ1675</f>
        <v>0</v>
      </c>
      <c r="BK1676" s="14">
        <f t="shared" ref="BK1676" si="1030">+BK1667-BK1675</f>
        <v>0</v>
      </c>
      <c r="BL1676" s="14"/>
      <c r="BM1676" s="14"/>
      <c r="BN1676" s="14"/>
      <c r="BO1676" s="14"/>
      <c r="BP1676" s="14"/>
      <c r="BQ1676" s="14"/>
      <c r="BR1676" s="14"/>
      <c r="BS1676" s="14"/>
      <c r="BT1676" s="324"/>
      <c r="BU1676" s="14"/>
      <c r="BV1676" s="14"/>
      <c r="BW1676" s="14"/>
      <c r="BX1676" s="14"/>
      <c r="BY1676" s="14"/>
      <c r="BZ1676" s="14"/>
      <c r="CA1676" s="14"/>
      <c r="CB1676" s="14"/>
      <c r="CC1676" s="14"/>
      <c r="CD1676" s="14"/>
      <c r="CE1676" s="14"/>
      <c r="CF1676" s="14"/>
      <c r="CG1676" s="14"/>
      <c r="CH1676" s="14"/>
      <c r="CI1676" s="14"/>
      <c r="CJ1676" s="2"/>
      <c r="CK1676" s="2"/>
      <c r="CM1676" s="1450"/>
      <c r="CN1676" s="1450"/>
      <c r="CX1676" s="330"/>
    </row>
    <row r="1677" spans="1:104" ht="15" customHeight="1" x14ac:dyDescent="0.25">
      <c r="A1677" s="684">
        <f>MAX($A$6:A1676)+1</f>
        <v>1677</v>
      </c>
      <c r="B1677" s="3">
        <f>B1585</f>
        <v>17.100000000000001</v>
      </c>
      <c r="C1677" s="11" t="str">
        <f>C1585</f>
        <v>Quantitative disclosures around right-of-use assets</v>
      </c>
      <c r="D1677" s="11" t="s">
        <v>181</v>
      </c>
      <c r="E1677" s="7" t="str">
        <f>"At"&amp;Update!$B$20</f>
        <v>At 1 April 2025</v>
      </c>
      <c r="F1677" s="1267"/>
      <c r="G1677" s="1254" t="str">
        <f>"At"&amp;Update!$B$20</f>
        <v>At 1 April 2025</v>
      </c>
      <c r="H1677" s="6">
        <v>0</v>
      </c>
      <c r="I1677" s="6">
        <v>0</v>
      </c>
      <c r="J1677" s="7" t="str">
        <f>"At"&amp;Update!$B$20</f>
        <v>At 1 April 2025</v>
      </c>
      <c r="K1677" s="6">
        <f>SUMIF('alb Note 16  Leases'!$B$12:$B$20,$J1677,'alb Note 16  Leases'!$I$12:$I$20)</f>
        <v>0</v>
      </c>
      <c r="L1677" s="6">
        <f>SUMIF('alb Note 16  Leases'!$B$12:$B$20,$J1677,'alb Note 16  Leases'!$S$12:$S$20)</f>
        <v>0</v>
      </c>
      <c r="M1677" s="10"/>
      <c r="N1677" s="273">
        <f t="shared" si="995"/>
        <v>0</v>
      </c>
      <c r="O1677" s="12"/>
      <c r="P1677" s="12"/>
      <c r="Q1677" s="12"/>
      <c r="R1677" s="12"/>
      <c r="S1677" s="6">
        <f t="shared" si="996"/>
        <v>0</v>
      </c>
      <c r="T1677" s="273">
        <f t="shared" si="1014"/>
        <v>0</v>
      </c>
      <c r="U1677" s="6">
        <f>SUM(BL1677:BN1677)</f>
        <v>0</v>
      </c>
      <c r="V1677" s="6"/>
      <c r="W1677" s="6">
        <f t="shared" si="1015"/>
        <v>0</v>
      </c>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X1677" s="6"/>
      <c r="AY1677" s="6">
        <f>ROUND(AX1677/1000/Update!$B$31*Update!$B$27,0)</f>
        <v>0</v>
      </c>
      <c r="BA1677" s="6"/>
      <c r="BB1677" s="6">
        <f>ROUND(BA1677/1000/Update!$B$31,0)</f>
        <v>0</v>
      </c>
      <c r="BC1677" s="6"/>
      <c r="BD1677" s="29">
        <f t="shared" si="1016"/>
        <v>0</v>
      </c>
      <c r="BE1677" s="322"/>
      <c r="BF1677" s="322"/>
      <c r="BG1677" s="322"/>
      <c r="BH1677" s="322"/>
      <c r="BI1677" s="322"/>
      <c r="BJ1677" s="322"/>
      <c r="BK1677" s="29">
        <f t="shared" si="994"/>
        <v>0</v>
      </c>
      <c r="BL1677" s="317"/>
      <c r="BM1677" s="317"/>
      <c r="BN1677" s="317"/>
      <c r="BO1677" s="317"/>
      <c r="BP1677" s="317"/>
      <c r="BQ1677" s="317"/>
      <c r="BR1677" s="317"/>
      <c r="BS1677" s="317"/>
      <c r="BT1677" s="317"/>
      <c r="BU1677" s="317"/>
      <c r="BV1677" s="317"/>
      <c r="BW1677" s="317"/>
      <c r="BX1677" s="317"/>
      <c r="BY1677" s="317"/>
      <c r="BZ1677" s="317"/>
      <c r="CA1677" s="317"/>
      <c r="CB1677" s="317"/>
      <c r="CC1677" s="317"/>
      <c r="CD1677" s="317"/>
      <c r="CE1677" s="317"/>
      <c r="CF1677" s="317"/>
      <c r="CG1677" s="317"/>
      <c r="CH1677" s="317"/>
      <c r="CI1677" s="317"/>
      <c r="CM1677" s="1139">
        <f t="shared" si="954"/>
        <v>0</v>
      </c>
      <c r="CN1677" s="1139">
        <v>0</v>
      </c>
      <c r="CP1677" s="923">
        <f t="shared" si="953"/>
        <v>0</v>
      </c>
      <c r="CZ1677" s="330"/>
    </row>
    <row r="1678" spans="1:104" ht="15" customHeight="1" x14ac:dyDescent="0.25">
      <c r="A1678" s="684">
        <f>MAX($A$6:A1677)+1</f>
        <v>1678</v>
      </c>
      <c r="B1678" s="3">
        <f t="shared" ref="B1678:B1684" si="1031">B1677</f>
        <v>17.100000000000001</v>
      </c>
      <c r="C1678" s="11" t="str">
        <f t="shared" ref="C1678:C1684" si="1032">C1677</f>
        <v>Quantitative disclosures around right-of-use assets</v>
      </c>
      <c r="D1678" s="11" t="s">
        <v>181</v>
      </c>
      <c r="E1678" s="7" t="s">
        <v>185</v>
      </c>
      <c r="F1678" s="1267"/>
      <c r="G1678" s="1254" t="s">
        <v>185</v>
      </c>
      <c r="H1678" s="6">
        <v>0</v>
      </c>
      <c r="I1678" s="6">
        <v>0</v>
      </c>
      <c r="J1678" s="1254" t="s">
        <v>185</v>
      </c>
      <c r="K1678" s="6">
        <f>SUMIF('alb Note 16  Leases'!$B$12:$B$20,$J1678,'alb Note 16  Leases'!$I$12:$I$20)</f>
        <v>0</v>
      </c>
      <c r="L1678" s="6">
        <f>SUMIF('alb Note 16  Leases'!$B$12:$B$20,$J1678,'alb Note 16  Leases'!$S$12:$S$20)</f>
        <v>0</v>
      </c>
      <c r="M1678" s="10"/>
      <c r="N1678" s="273">
        <f t="shared" si="995"/>
        <v>0</v>
      </c>
      <c r="O1678" s="12"/>
      <c r="P1678" s="12"/>
      <c r="Q1678" s="12"/>
      <c r="R1678" s="12"/>
      <c r="S1678" s="6">
        <f t="shared" si="996"/>
        <v>0</v>
      </c>
      <c r="T1678" s="273">
        <f t="shared" si="1014"/>
        <v>0</v>
      </c>
      <c r="U1678" s="6">
        <f>SUM(BL1678:BN1678)</f>
        <v>0</v>
      </c>
      <c r="V1678" s="6"/>
      <c r="W1678" s="6">
        <f t="shared" si="1015"/>
        <v>0</v>
      </c>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X1678" s="6"/>
      <c r="AY1678" s="6">
        <f>ROUND(AX1678/1000/Update!$B$31*Update!$B$27,0)</f>
        <v>0</v>
      </c>
      <c r="BA1678" s="6"/>
      <c r="BB1678" s="6">
        <f>ROUND(BA1678/1000/Update!$B$31,0)</f>
        <v>0</v>
      </c>
      <c r="BC1678" s="6"/>
      <c r="BD1678" s="29">
        <f t="shared" si="1016"/>
        <v>0</v>
      </c>
      <c r="BE1678" s="322"/>
      <c r="BF1678" s="322"/>
      <c r="BG1678" s="322"/>
      <c r="BH1678" s="322"/>
      <c r="BI1678" s="322"/>
      <c r="BJ1678" s="322"/>
      <c r="BK1678" s="29">
        <f t="shared" si="994"/>
        <v>0</v>
      </c>
      <c r="BL1678" s="317"/>
      <c r="BM1678" s="317"/>
      <c r="BN1678" s="317"/>
      <c r="BO1678" s="317"/>
      <c r="BP1678" s="317"/>
      <c r="BQ1678" s="317"/>
      <c r="BR1678" s="317"/>
      <c r="BS1678" s="317"/>
      <c r="BT1678" s="317"/>
      <c r="BU1678" s="317"/>
      <c r="BV1678" s="317"/>
      <c r="BW1678" s="317"/>
      <c r="BX1678" s="317"/>
      <c r="BY1678" s="317"/>
      <c r="BZ1678" s="317"/>
      <c r="CA1678" s="317"/>
      <c r="CB1678" s="317"/>
      <c r="CC1678" s="317"/>
      <c r="CD1678" s="317"/>
      <c r="CE1678" s="317"/>
      <c r="CF1678" s="317"/>
      <c r="CG1678" s="317"/>
      <c r="CH1678" s="317"/>
      <c r="CI1678" s="317"/>
      <c r="CM1678" s="1139">
        <f t="shared" si="954"/>
        <v>0</v>
      </c>
      <c r="CN1678" s="1139">
        <v>0</v>
      </c>
      <c r="CP1678" s="923">
        <f t="shared" ref="CP1678:CP1743" si="1033">-V1678+BL1678+BM1678+BN1678+CM1678</f>
        <v>0</v>
      </c>
      <c r="CZ1678" s="330"/>
    </row>
    <row r="1679" spans="1:104" ht="15" customHeight="1" x14ac:dyDescent="0.25">
      <c r="A1679" s="684">
        <f>MAX($A$6:A1678)+1</f>
        <v>1679</v>
      </c>
      <c r="B1679" s="3">
        <f t="shared" si="1031"/>
        <v>17.100000000000001</v>
      </c>
      <c r="C1679" s="11" t="str">
        <f t="shared" si="1032"/>
        <v>Quantitative disclosures around right-of-use assets</v>
      </c>
      <c r="D1679" s="11" t="s">
        <v>181</v>
      </c>
      <c r="E1679" s="7" t="s">
        <v>208</v>
      </c>
      <c r="F1679" s="1267"/>
      <c r="G1679" s="1254" t="s">
        <v>208</v>
      </c>
      <c r="H1679" s="6">
        <v>0</v>
      </c>
      <c r="I1679" s="6">
        <v>0</v>
      </c>
      <c r="J1679" s="1254" t="s">
        <v>208</v>
      </c>
      <c r="K1679" s="6">
        <f>SUMIF('alb Note 16  Leases'!$B$12:$B$20,$J1679,'alb Note 16  Leases'!$I$12:$I$20)</f>
        <v>0</v>
      </c>
      <c r="L1679" s="6">
        <f>SUMIF('alb Note 16  Leases'!$B$12:$B$20,$J1679,'alb Note 16  Leases'!$S$12:$S$20)</f>
        <v>0</v>
      </c>
      <c r="M1679" s="10"/>
      <c r="N1679" s="273">
        <f t="shared" ref="N1679:N1684" si="1034">ROUND(SUM(O1679:S1679)+T1679+SUM(Z1679:AV1679),0)</f>
        <v>0</v>
      </c>
      <c r="O1679" s="12"/>
      <c r="P1679" s="12"/>
      <c r="Q1679" s="12"/>
      <c r="R1679" s="12"/>
      <c r="S1679" s="6">
        <f t="shared" ref="S1679:S1684" si="1035">-IF(ISNUMBER(BD1679),BD1679,0)</f>
        <v>0</v>
      </c>
      <c r="T1679" s="273">
        <f t="shared" ref="T1679:T1684" si="1036">ROUND(SUM(U1679:Y1679),0)</f>
        <v>0</v>
      </c>
      <c r="U1679" s="6">
        <f t="shared" ref="U1679:U1684" si="1037">SUM(BL1679:BN1679)</f>
        <v>0</v>
      </c>
      <c r="V1679" s="6"/>
      <c r="W1679" s="6">
        <f t="shared" ref="W1679:W1684" si="1038">+H1679</f>
        <v>0</v>
      </c>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X1679" s="6"/>
      <c r="AY1679" s="6">
        <f>ROUND(AX1679/1000/Update!$B$31*Update!$B$27,0)</f>
        <v>0</v>
      </c>
      <c r="BA1679" s="6"/>
      <c r="BB1679" s="6">
        <f>ROUND(BA1679/1000/Update!$B$31,0)</f>
        <v>0</v>
      </c>
      <c r="BC1679" s="6"/>
      <c r="BD1679" s="29">
        <f t="shared" ref="BD1679:BD1684" si="1039">ROUND(SUM(BE1679:BK1679),0)</f>
        <v>0</v>
      </c>
      <c r="BE1679" s="322"/>
      <c r="BF1679" s="322"/>
      <c r="BG1679" s="322"/>
      <c r="BH1679" s="322"/>
      <c r="BI1679" s="322"/>
      <c r="BJ1679" s="322"/>
      <c r="BK1679" s="29">
        <f t="shared" ref="BK1679:BK1684" si="1040">ROUND(SUM(BO1679:CI1679),0)</f>
        <v>0</v>
      </c>
      <c r="BL1679" s="317"/>
      <c r="BM1679" s="317"/>
      <c r="BN1679" s="317"/>
      <c r="BO1679" s="317"/>
      <c r="BP1679" s="317"/>
      <c r="BQ1679" s="317"/>
      <c r="BR1679" s="317"/>
      <c r="BS1679" s="317"/>
      <c r="BT1679" s="317"/>
      <c r="BU1679" s="317"/>
      <c r="BV1679" s="317"/>
      <c r="BW1679" s="317"/>
      <c r="BX1679" s="317"/>
      <c r="BY1679" s="317"/>
      <c r="BZ1679" s="317"/>
      <c r="CA1679" s="317"/>
      <c r="CB1679" s="317"/>
      <c r="CC1679" s="317"/>
      <c r="CD1679" s="317"/>
      <c r="CE1679" s="317"/>
      <c r="CF1679" s="317"/>
      <c r="CG1679" s="317"/>
      <c r="CH1679" s="317"/>
      <c r="CI1679" s="317"/>
      <c r="CM1679" s="1139">
        <f t="shared" ref="CM1679:CM1744" si="1041">+U1679+V1679</f>
        <v>0</v>
      </c>
      <c r="CN1679" s="1139">
        <v>0</v>
      </c>
      <c r="CP1679" s="923">
        <f t="shared" si="1033"/>
        <v>0</v>
      </c>
      <c r="CZ1679" s="330"/>
    </row>
    <row r="1680" spans="1:104" ht="15" customHeight="1" x14ac:dyDescent="0.25">
      <c r="A1680" s="684">
        <f>MAX($A$6:A1679)+1</f>
        <v>1680</v>
      </c>
      <c r="B1680" s="3">
        <f t="shared" si="1031"/>
        <v>17.100000000000001</v>
      </c>
      <c r="C1680" s="11" t="str">
        <f t="shared" si="1032"/>
        <v>Quantitative disclosures around right-of-use assets</v>
      </c>
      <c r="D1680" s="11" t="s">
        <v>181</v>
      </c>
      <c r="E1680" s="7" t="s">
        <v>186</v>
      </c>
      <c r="F1680" s="1267"/>
      <c r="G1680" s="1254" t="s">
        <v>186</v>
      </c>
      <c r="H1680" s="6">
        <v>0</v>
      </c>
      <c r="I1680" s="6">
        <v>0</v>
      </c>
      <c r="J1680" s="1254" t="s">
        <v>186</v>
      </c>
      <c r="K1680" s="6">
        <f>SUMIF('alb Note 16  Leases'!$B$12:$B$20,$J1680,'alb Note 16  Leases'!$I$12:$I$20)</f>
        <v>0</v>
      </c>
      <c r="L1680" s="6">
        <f>SUMIF('alb Note 16  Leases'!$B$12:$B$20,$J1680,'alb Note 16  Leases'!$S$12:$S$20)</f>
        <v>0</v>
      </c>
      <c r="M1680" s="10"/>
      <c r="N1680" s="273">
        <f t="shared" si="1034"/>
        <v>0</v>
      </c>
      <c r="O1680" s="12"/>
      <c r="P1680" s="12"/>
      <c r="Q1680" s="12"/>
      <c r="R1680" s="12"/>
      <c r="S1680" s="6">
        <f t="shared" si="1035"/>
        <v>0</v>
      </c>
      <c r="T1680" s="273">
        <f t="shared" si="1036"/>
        <v>0</v>
      </c>
      <c r="U1680" s="6">
        <f t="shared" si="1037"/>
        <v>0</v>
      </c>
      <c r="V1680" s="6"/>
      <c r="W1680" s="6">
        <f t="shared" si="1038"/>
        <v>0</v>
      </c>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X1680" s="6"/>
      <c r="AY1680" s="6">
        <f>ROUND(AX1680/1000/Update!$B$31*Update!$B$27,0)</f>
        <v>0</v>
      </c>
      <c r="BA1680" s="6"/>
      <c r="BB1680" s="6">
        <f>ROUND(BA1680/1000/Update!$B$31,0)</f>
        <v>0</v>
      </c>
      <c r="BC1680" s="6"/>
      <c r="BD1680" s="29">
        <f t="shared" si="1039"/>
        <v>0</v>
      </c>
      <c r="BE1680" s="322"/>
      <c r="BF1680" s="322"/>
      <c r="BG1680" s="322"/>
      <c r="BH1680" s="322"/>
      <c r="BI1680" s="322"/>
      <c r="BJ1680" s="322"/>
      <c r="BK1680" s="29">
        <f t="shared" si="1040"/>
        <v>0</v>
      </c>
      <c r="BL1680" s="317"/>
      <c r="BM1680" s="317"/>
      <c r="BN1680" s="317"/>
      <c r="BO1680" s="317"/>
      <c r="BP1680" s="317"/>
      <c r="BQ1680" s="317"/>
      <c r="BR1680" s="317"/>
      <c r="BS1680" s="317"/>
      <c r="BT1680" s="317"/>
      <c r="BU1680" s="317"/>
      <c r="BV1680" s="317"/>
      <c r="BW1680" s="317"/>
      <c r="BX1680" s="317"/>
      <c r="BY1680" s="317"/>
      <c r="BZ1680" s="317"/>
      <c r="CA1680" s="317"/>
      <c r="CB1680" s="317"/>
      <c r="CC1680" s="317"/>
      <c r="CD1680" s="317"/>
      <c r="CE1680" s="317"/>
      <c r="CF1680" s="317"/>
      <c r="CG1680" s="317"/>
      <c r="CH1680" s="317"/>
      <c r="CI1680" s="317"/>
      <c r="CM1680" s="1139">
        <f t="shared" si="1041"/>
        <v>0</v>
      </c>
      <c r="CN1680" s="1139">
        <v>0</v>
      </c>
      <c r="CP1680" s="923">
        <f t="shared" si="1033"/>
        <v>0</v>
      </c>
      <c r="CZ1680" s="330"/>
    </row>
    <row r="1681" spans="1:104" ht="15" customHeight="1" x14ac:dyDescent="0.25">
      <c r="A1681" s="684">
        <f>MAX($A$6:A1680)+1</f>
        <v>1681</v>
      </c>
      <c r="B1681" s="3">
        <f t="shared" si="1031"/>
        <v>17.100000000000001</v>
      </c>
      <c r="C1681" s="11" t="str">
        <f t="shared" si="1032"/>
        <v>Quantitative disclosures around right-of-use assets</v>
      </c>
      <c r="D1681" s="11" t="s">
        <v>181</v>
      </c>
      <c r="E1681" s="7" t="s">
        <v>187</v>
      </c>
      <c r="F1681" s="1267"/>
      <c r="G1681" s="1254" t="s">
        <v>187</v>
      </c>
      <c r="H1681" s="6">
        <v>0</v>
      </c>
      <c r="I1681" s="6">
        <v>0</v>
      </c>
      <c r="J1681" s="1254" t="s">
        <v>187</v>
      </c>
      <c r="K1681" s="6">
        <f>SUMIF('alb Note 16  Leases'!$B$12:$B$20,$J1681,'alb Note 16  Leases'!$I$12:$I$20)</f>
        <v>0</v>
      </c>
      <c r="L1681" s="6">
        <f>SUMIF('alb Note 16  Leases'!$B$12:$B$20,$J1681,'alb Note 16  Leases'!$S$12:$S$20)</f>
        <v>0</v>
      </c>
      <c r="M1681" s="10"/>
      <c r="N1681" s="273">
        <f t="shared" si="1034"/>
        <v>0</v>
      </c>
      <c r="O1681" s="12"/>
      <c r="P1681" s="12"/>
      <c r="Q1681" s="12"/>
      <c r="R1681" s="12"/>
      <c r="S1681" s="6">
        <f t="shared" si="1035"/>
        <v>0</v>
      </c>
      <c r="T1681" s="273">
        <f t="shared" si="1036"/>
        <v>0</v>
      </c>
      <c r="U1681" s="6">
        <f t="shared" si="1037"/>
        <v>0</v>
      </c>
      <c r="V1681" s="6"/>
      <c r="W1681" s="6">
        <f t="shared" si="1038"/>
        <v>0</v>
      </c>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X1681" s="6"/>
      <c r="AY1681" s="6">
        <f>ROUND(AX1681/1000/Update!$B$31*Update!$B$27,0)</f>
        <v>0</v>
      </c>
      <c r="BA1681" s="6"/>
      <c r="BB1681" s="6">
        <f>ROUND(BA1681/1000/Update!$B$31,0)</f>
        <v>0</v>
      </c>
      <c r="BC1681" s="6"/>
      <c r="BD1681" s="29">
        <f t="shared" si="1039"/>
        <v>0</v>
      </c>
      <c r="BE1681" s="322"/>
      <c r="BF1681" s="322"/>
      <c r="BG1681" s="322"/>
      <c r="BH1681" s="322"/>
      <c r="BI1681" s="322"/>
      <c r="BJ1681" s="322"/>
      <c r="BK1681" s="29">
        <f t="shared" si="1040"/>
        <v>0</v>
      </c>
      <c r="BL1681" s="317"/>
      <c r="BM1681" s="317"/>
      <c r="BN1681" s="317"/>
      <c r="BO1681" s="317"/>
      <c r="BP1681" s="317"/>
      <c r="BQ1681" s="317"/>
      <c r="BR1681" s="317"/>
      <c r="BS1681" s="317"/>
      <c r="BT1681" s="317"/>
      <c r="BU1681" s="317"/>
      <c r="BV1681" s="317"/>
      <c r="BW1681" s="317"/>
      <c r="BX1681" s="317"/>
      <c r="BY1681" s="317"/>
      <c r="BZ1681" s="317"/>
      <c r="CA1681" s="317"/>
      <c r="CB1681" s="317"/>
      <c r="CC1681" s="317"/>
      <c r="CD1681" s="317"/>
      <c r="CE1681" s="317"/>
      <c r="CF1681" s="317"/>
      <c r="CG1681" s="317"/>
      <c r="CH1681" s="317"/>
      <c r="CI1681" s="317"/>
      <c r="CM1681" s="1139">
        <f t="shared" si="1041"/>
        <v>0</v>
      </c>
      <c r="CN1681" s="1139">
        <v>0</v>
      </c>
      <c r="CP1681" s="923">
        <f t="shared" si="1033"/>
        <v>0</v>
      </c>
      <c r="CZ1681" s="330"/>
    </row>
    <row r="1682" spans="1:104" ht="15" customHeight="1" x14ac:dyDescent="0.25">
      <c r="A1682" s="684">
        <f>MAX($A$6:A1681)+1</f>
        <v>1682</v>
      </c>
      <c r="B1682" s="3">
        <f t="shared" si="1031"/>
        <v>17.100000000000001</v>
      </c>
      <c r="C1682" s="11" t="str">
        <f t="shared" si="1032"/>
        <v>Quantitative disclosures around right-of-use assets</v>
      </c>
      <c r="D1682" s="11" t="s">
        <v>181</v>
      </c>
      <c r="E1682" s="7" t="s">
        <v>189</v>
      </c>
      <c r="F1682" s="1267"/>
      <c r="G1682" s="1254" t="s">
        <v>189</v>
      </c>
      <c r="H1682" s="6">
        <v>0</v>
      </c>
      <c r="I1682" s="6">
        <v>0</v>
      </c>
      <c r="J1682" s="1254" t="s">
        <v>189</v>
      </c>
      <c r="K1682" s="6">
        <f>SUMIF('alb Note 16  Leases'!$B$12:$B$20,$J1682,'alb Note 16  Leases'!$I$12:$I$20)</f>
        <v>0</v>
      </c>
      <c r="L1682" s="6">
        <f>SUMIF('alb Note 16  Leases'!$B$12:$B$20,$J1682,'alb Note 16  Leases'!$S$12:$S$20)</f>
        <v>0</v>
      </c>
      <c r="M1682" s="10"/>
      <c r="N1682" s="273">
        <f t="shared" si="1034"/>
        <v>0</v>
      </c>
      <c r="O1682" s="12"/>
      <c r="P1682" s="12"/>
      <c r="Q1682" s="12"/>
      <c r="R1682" s="12"/>
      <c r="S1682" s="6">
        <f t="shared" si="1035"/>
        <v>0</v>
      </c>
      <c r="T1682" s="273">
        <f t="shared" si="1036"/>
        <v>0</v>
      </c>
      <c r="U1682" s="6">
        <f t="shared" si="1037"/>
        <v>0</v>
      </c>
      <c r="V1682" s="6"/>
      <c r="W1682" s="6">
        <f t="shared" si="1038"/>
        <v>0</v>
      </c>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X1682" s="6"/>
      <c r="AY1682" s="6">
        <f>ROUND(AX1682/1000/Update!$B$31*Update!$B$27,0)</f>
        <v>0</v>
      </c>
      <c r="BA1682" s="6"/>
      <c r="BB1682" s="6">
        <f>ROUND(BA1682/1000/Update!$B$31,0)</f>
        <v>0</v>
      </c>
      <c r="BC1682" s="6"/>
      <c r="BD1682" s="29">
        <f t="shared" si="1039"/>
        <v>0</v>
      </c>
      <c r="BE1682" s="322"/>
      <c r="BF1682" s="322"/>
      <c r="BG1682" s="322"/>
      <c r="BH1682" s="322"/>
      <c r="BI1682" s="322"/>
      <c r="BJ1682" s="322"/>
      <c r="BK1682" s="29">
        <f t="shared" si="1040"/>
        <v>0</v>
      </c>
      <c r="BL1682" s="317"/>
      <c r="BM1682" s="317"/>
      <c r="BN1682" s="317"/>
      <c r="BO1682" s="317"/>
      <c r="BP1682" s="317"/>
      <c r="BQ1682" s="317"/>
      <c r="BR1682" s="317"/>
      <c r="BS1682" s="317"/>
      <c r="BT1682" s="317"/>
      <c r="BU1682" s="317"/>
      <c r="BV1682" s="317"/>
      <c r="BW1682" s="317"/>
      <c r="BX1682" s="317"/>
      <c r="BY1682" s="317"/>
      <c r="BZ1682" s="317"/>
      <c r="CA1682" s="317"/>
      <c r="CB1682" s="317"/>
      <c r="CC1682" s="317"/>
      <c r="CD1682" s="317"/>
      <c r="CE1682" s="317"/>
      <c r="CF1682" s="317"/>
      <c r="CG1682" s="317"/>
      <c r="CH1682" s="317"/>
      <c r="CI1682" s="317"/>
      <c r="CM1682" s="1139">
        <f t="shared" si="1041"/>
        <v>0</v>
      </c>
      <c r="CN1682" s="1139">
        <v>0</v>
      </c>
      <c r="CP1682" s="923">
        <f t="shared" si="1033"/>
        <v>0</v>
      </c>
      <c r="CZ1682" s="330"/>
    </row>
    <row r="1683" spans="1:104" ht="15" customHeight="1" x14ac:dyDescent="0.25">
      <c r="A1683" s="684">
        <f>MAX($A$6:A1682)+1</f>
        <v>1683</v>
      </c>
      <c r="B1683" s="3">
        <f t="shared" si="1031"/>
        <v>17.100000000000001</v>
      </c>
      <c r="C1683" s="11" t="str">
        <f t="shared" si="1032"/>
        <v>Quantitative disclosures around right-of-use assets</v>
      </c>
      <c r="D1683" s="11" t="s">
        <v>181</v>
      </c>
      <c r="E1683" s="7" t="s">
        <v>191</v>
      </c>
      <c r="F1683" s="1267"/>
      <c r="G1683" s="1254" t="s">
        <v>191</v>
      </c>
      <c r="H1683" s="6">
        <v>0</v>
      </c>
      <c r="I1683" s="6">
        <v>0</v>
      </c>
      <c r="J1683" s="1254" t="s">
        <v>191</v>
      </c>
      <c r="K1683" s="6">
        <f>SUMIF('alb Note 16  Leases'!$B$12:$B$20,$J1683,'alb Note 16  Leases'!$I$12:$I$20)</f>
        <v>0</v>
      </c>
      <c r="L1683" s="6">
        <f>SUMIF('alb Note 16  Leases'!$B$12:$B$20,$J1683,'alb Note 16  Leases'!$S$12:$S$20)</f>
        <v>0</v>
      </c>
      <c r="M1683" s="10"/>
      <c r="N1683" s="273">
        <f t="shared" si="1034"/>
        <v>0</v>
      </c>
      <c r="O1683" s="12"/>
      <c r="P1683" s="12"/>
      <c r="Q1683" s="12"/>
      <c r="R1683" s="12"/>
      <c r="S1683" s="6">
        <f t="shared" si="1035"/>
        <v>0</v>
      </c>
      <c r="T1683" s="273">
        <f t="shared" si="1036"/>
        <v>0</v>
      </c>
      <c r="U1683" s="6">
        <f t="shared" si="1037"/>
        <v>0</v>
      </c>
      <c r="V1683" s="6"/>
      <c r="W1683" s="6">
        <f t="shared" si="1038"/>
        <v>0</v>
      </c>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X1683" s="6"/>
      <c r="AY1683" s="6">
        <f>ROUND(AX1683/1000/Update!$B$31*Update!$B$27,0)</f>
        <v>0</v>
      </c>
      <c r="BA1683" s="6"/>
      <c r="BB1683" s="6">
        <f>ROUND(BA1683/1000/Update!$B$31,0)</f>
        <v>0</v>
      </c>
      <c r="BC1683" s="6"/>
      <c r="BD1683" s="29">
        <f t="shared" si="1039"/>
        <v>0</v>
      </c>
      <c r="BE1683" s="322"/>
      <c r="BF1683" s="322"/>
      <c r="BG1683" s="322"/>
      <c r="BH1683" s="322"/>
      <c r="BI1683" s="322"/>
      <c r="BJ1683" s="322"/>
      <c r="BK1683" s="29">
        <f t="shared" si="1040"/>
        <v>0</v>
      </c>
      <c r="BL1683" s="317"/>
      <c r="BM1683" s="317"/>
      <c r="BN1683" s="317"/>
      <c r="BO1683" s="317"/>
      <c r="BP1683" s="317"/>
      <c r="BQ1683" s="317"/>
      <c r="BR1683" s="317"/>
      <c r="BS1683" s="317"/>
      <c r="BT1683" s="317"/>
      <c r="BU1683" s="317"/>
      <c r="BV1683" s="317"/>
      <c r="BW1683" s="317"/>
      <c r="BX1683" s="317"/>
      <c r="BY1683" s="317"/>
      <c r="BZ1683" s="317"/>
      <c r="CA1683" s="317"/>
      <c r="CB1683" s="317"/>
      <c r="CC1683" s="317"/>
      <c r="CD1683" s="317"/>
      <c r="CE1683" s="317"/>
      <c r="CF1683" s="317"/>
      <c r="CG1683" s="317"/>
      <c r="CH1683" s="317"/>
      <c r="CI1683" s="317"/>
      <c r="CM1683" s="1139">
        <f t="shared" si="1041"/>
        <v>0</v>
      </c>
      <c r="CN1683" s="1139">
        <v>0</v>
      </c>
      <c r="CP1683" s="923">
        <f t="shared" si="1033"/>
        <v>0</v>
      </c>
      <c r="CZ1683" s="330"/>
    </row>
    <row r="1684" spans="1:104" ht="15" customHeight="1" x14ac:dyDescent="0.25">
      <c r="A1684" s="684">
        <f>MAX($A$6:A1683)+1</f>
        <v>1684</v>
      </c>
      <c r="B1684" s="3">
        <f t="shared" si="1031"/>
        <v>17.100000000000001</v>
      </c>
      <c r="C1684" s="11" t="str">
        <f t="shared" si="1032"/>
        <v>Quantitative disclosures around right-of-use assets</v>
      </c>
      <c r="D1684" s="11" t="s">
        <v>181</v>
      </c>
      <c r="E1684" s="7" t="s">
        <v>2488</v>
      </c>
      <c r="F1684" s="1267"/>
      <c r="G1684" s="1254" t="s">
        <v>2488</v>
      </c>
      <c r="H1684" s="6">
        <v>0</v>
      </c>
      <c r="I1684" s="6">
        <v>0</v>
      </c>
      <c r="J1684" s="1254" t="s">
        <v>2488</v>
      </c>
      <c r="K1684" s="6">
        <f>SUMIF('alb Note 16  Leases'!$B$12:$B$20,$J1684,'alb Note 16  Leases'!$I$12:$I$20)</f>
        <v>0</v>
      </c>
      <c r="L1684" s="6">
        <f>SUMIF('alb Note 16  Leases'!$B$12:$B$20,$J1684,'alb Note 16  Leases'!$S$12:$S$20)</f>
        <v>0</v>
      </c>
      <c r="M1684" s="10"/>
      <c r="N1684" s="273">
        <f t="shared" si="1034"/>
        <v>0</v>
      </c>
      <c r="O1684" s="12"/>
      <c r="P1684" s="12"/>
      <c r="Q1684" s="12"/>
      <c r="R1684" s="12"/>
      <c r="S1684" s="6">
        <f t="shared" si="1035"/>
        <v>0</v>
      </c>
      <c r="T1684" s="273">
        <f t="shared" si="1036"/>
        <v>0</v>
      </c>
      <c r="U1684" s="6">
        <f t="shared" si="1037"/>
        <v>0</v>
      </c>
      <c r="V1684" s="6"/>
      <c r="W1684" s="6">
        <f t="shared" si="1038"/>
        <v>0</v>
      </c>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X1684" s="6"/>
      <c r="AY1684" s="6">
        <f>ROUND(AX1684/1000/Update!$B$31*Update!$B$27,0)</f>
        <v>0</v>
      </c>
      <c r="BA1684" s="6"/>
      <c r="BB1684" s="6">
        <f>ROUND(BA1684/1000/Update!$B$31,0)</f>
        <v>0</v>
      </c>
      <c r="BC1684" s="6"/>
      <c r="BD1684" s="29">
        <f t="shared" si="1039"/>
        <v>0</v>
      </c>
      <c r="BE1684" s="322"/>
      <c r="BF1684" s="322"/>
      <c r="BG1684" s="322"/>
      <c r="BH1684" s="322"/>
      <c r="BI1684" s="322"/>
      <c r="BJ1684" s="322"/>
      <c r="BK1684" s="29">
        <f t="shared" si="1040"/>
        <v>0</v>
      </c>
      <c r="BL1684" s="317"/>
      <c r="BM1684" s="317"/>
      <c r="BN1684" s="317"/>
      <c r="BO1684" s="317"/>
      <c r="BP1684" s="317"/>
      <c r="BQ1684" s="317"/>
      <c r="BR1684" s="317"/>
      <c r="BS1684" s="317"/>
      <c r="BT1684" s="317"/>
      <c r="BU1684" s="317"/>
      <c r="BV1684" s="317"/>
      <c r="BW1684" s="317"/>
      <c r="BX1684" s="317"/>
      <c r="BY1684" s="317"/>
      <c r="BZ1684" s="317"/>
      <c r="CA1684" s="317"/>
      <c r="CB1684" s="317"/>
      <c r="CC1684" s="317"/>
      <c r="CD1684" s="317"/>
      <c r="CE1684" s="317"/>
      <c r="CF1684" s="317"/>
      <c r="CG1684" s="317"/>
      <c r="CH1684" s="317"/>
      <c r="CI1684" s="317"/>
      <c r="CM1684" s="1139">
        <f t="shared" si="1041"/>
        <v>0</v>
      </c>
      <c r="CN1684" s="1139">
        <v>0</v>
      </c>
      <c r="CP1684" s="923">
        <f t="shared" si="1033"/>
        <v>0</v>
      </c>
      <c r="CZ1684" s="330"/>
    </row>
    <row r="1685" spans="1:104" ht="15" customHeight="1" x14ac:dyDescent="0.25">
      <c r="A1685" s="684">
        <f>MAX($A$6:A1684)+1</f>
        <v>1685</v>
      </c>
      <c r="B1685" s="3">
        <f>B1678</f>
        <v>17.100000000000001</v>
      </c>
      <c r="C1685" s="11" t="str">
        <f>C1678</f>
        <v>Quantitative disclosures around right-of-use assets</v>
      </c>
      <c r="D1685" s="11" t="s">
        <v>181</v>
      </c>
      <c r="E1685" s="7" t="s">
        <v>2492</v>
      </c>
      <c r="F1685" s="1267"/>
      <c r="G1685" s="7" t="str">
        <f>"At"&amp;Update!$B$22</f>
        <v>At 31 March 2026</v>
      </c>
      <c r="H1685" s="6">
        <v>0</v>
      </c>
      <c r="I1685" s="6">
        <v>0</v>
      </c>
      <c r="J1685" s="7" t="str">
        <f>"At"&amp;Update!$B$22</f>
        <v>At 31 March 2026</v>
      </c>
      <c r="K1685" s="6">
        <f>SUMIF('alb Note 16  Leases'!$B$12:$B$20,$J1685,'alb Note 16  Leases'!$I$12:$I$20)</f>
        <v>0</v>
      </c>
      <c r="L1685" s="6">
        <f>SUMIF('alb Note 16  Leases'!$B$12:$B$20,$J1685,'alb Note 16  Leases'!$S$12:$S$20)</f>
        <v>0</v>
      </c>
      <c r="M1685" s="10"/>
      <c r="N1685" s="273">
        <f t="shared" ref="N1685:N1719" si="1042">ROUND(SUM(O1685:S1685)+T1685+SUM(Z1685:AV1685),0)</f>
        <v>0</v>
      </c>
      <c r="O1685" s="12"/>
      <c r="P1685" s="12"/>
      <c r="Q1685" s="12"/>
      <c r="R1685" s="12"/>
      <c r="S1685" s="6">
        <f t="shared" ref="S1685:S1702" si="1043">-IF(ISNUMBER(BD1685),BD1685,0)</f>
        <v>0</v>
      </c>
      <c r="T1685" s="273">
        <f t="shared" ref="T1685:T1702" si="1044">ROUND(SUM(U1685:Y1685),0)</f>
        <v>0</v>
      </c>
      <c r="U1685" s="6">
        <f t="shared" ref="U1685:U1702" si="1045">SUM(BL1685:BN1685)</f>
        <v>0</v>
      </c>
      <c r="V1685" s="6"/>
      <c r="W1685" s="6">
        <f t="shared" ref="W1685:W1702" si="1046">+H1685</f>
        <v>0</v>
      </c>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X1685" s="6"/>
      <c r="AY1685" s="6">
        <f>ROUND(AX1685/1000/Update!$B$31*Update!$B$27,0)</f>
        <v>0</v>
      </c>
      <c r="BA1685" s="6"/>
      <c r="BB1685" s="6">
        <f>ROUND(BA1685/1000/Update!$B$31,0)</f>
        <v>0</v>
      </c>
      <c r="BC1685" s="6"/>
      <c r="BD1685" s="29">
        <f t="shared" ref="BD1685:BD1718" si="1047">ROUND(SUM(BE1685:BK1685),0)</f>
        <v>0</v>
      </c>
      <c r="BE1685" s="322"/>
      <c r="BF1685" s="322"/>
      <c r="BG1685" s="322"/>
      <c r="BH1685" s="322"/>
      <c r="BI1685" s="322"/>
      <c r="BJ1685" s="322"/>
      <c r="BK1685" s="29">
        <f t="shared" ref="BK1685:BK1718" si="1048">ROUND(SUM(BO1685:CI1685),0)</f>
        <v>0</v>
      </c>
      <c r="BL1685" s="317"/>
      <c r="BM1685" s="317"/>
      <c r="BN1685" s="317"/>
      <c r="BO1685" s="317"/>
      <c r="BP1685" s="317"/>
      <c r="BQ1685" s="317"/>
      <c r="BR1685" s="317"/>
      <c r="BS1685" s="317"/>
      <c r="BT1685" s="317"/>
      <c r="BU1685" s="317"/>
      <c r="BV1685" s="317"/>
      <c r="BW1685" s="317"/>
      <c r="BX1685" s="317"/>
      <c r="BY1685" s="317"/>
      <c r="BZ1685" s="317"/>
      <c r="CA1685" s="317"/>
      <c r="CB1685" s="317"/>
      <c r="CC1685" s="317"/>
      <c r="CD1685" s="317"/>
      <c r="CE1685" s="317"/>
      <c r="CF1685" s="317"/>
      <c r="CG1685" s="317"/>
      <c r="CH1685" s="317"/>
      <c r="CI1685" s="317"/>
      <c r="CM1685" s="1139">
        <f t="shared" si="1041"/>
        <v>0</v>
      </c>
      <c r="CN1685" s="1139">
        <v>0</v>
      </c>
      <c r="CP1685" s="923">
        <f t="shared" si="1033"/>
        <v>0</v>
      </c>
      <c r="CZ1685" s="330"/>
    </row>
    <row r="1686" spans="1:104" ht="15" customHeight="1" x14ac:dyDescent="0.25">
      <c r="A1686" s="684">
        <f>MAX($A$6:A1685)+1</f>
        <v>1686</v>
      </c>
      <c r="B1686" s="3">
        <f t="shared" ref="B1686:C1690" si="1049">B1685</f>
        <v>17.100000000000001</v>
      </c>
      <c r="C1686" s="11" t="str">
        <f t="shared" si="1049"/>
        <v>Quantitative disclosures around right-of-use assets</v>
      </c>
      <c r="D1686" s="11" t="s">
        <v>181</v>
      </c>
      <c r="E1686" s="7" t="str">
        <f>"At"&amp;Update!$B$20</f>
        <v>At 1 April 2025</v>
      </c>
      <c r="F1686" s="7"/>
      <c r="G1686" s="1254" t="str">
        <f>"At"&amp;Update!$B$20</f>
        <v>At 1 April 2025</v>
      </c>
      <c r="H1686" s="6">
        <v>0</v>
      </c>
      <c r="I1686" s="6">
        <v>0</v>
      </c>
      <c r="J1686" s="7" t="str">
        <f>"At"&amp;Update!$B$20</f>
        <v>At 1 April 2025</v>
      </c>
      <c r="K1686" s="6">
        <f>SUMIF('alb Note 16  Leases'!$B$23:$B$30,$J1686,'alb Note 16  Leases'!$I$23:$I$30)</f>
        <v>0</v>
      </c>
      <c r="L1686" s="6">
        <f>SUMIF('alb Note 16  Leases'!$B$23:$B$30,$J1686,'alb Note 16  Leases'!$S$23:$S$30)</f>
        <v>0</v>
      </c>
      <c r="M1686" s="10"/>
      <c r="N1686" s="273">
        <f t="shared" si="1042"/>
        <v>0</v>
      </c>
      <c r="O1686" s="12"/>
      <c r="P1686" s="12"/>
      <c r="Q1686" s="12"/>
      <c r="R1686" s="12"/>
      <c r="S1686" s="6">
        <f t="shared" si="1043"/>
        <v>0</v>
      </c>
      <c r="T1686" s="273">
        <f t="shared" si="1044"/>
        <v>0</v>
      </c>
      <c r="U1686" s="6">
        <f t="shared" si="1045"/>
        <v>0</v>
      </c>
      <c r="V1686" s="6"/>
      <c r="W1686" s="6">
        <f t="shared" si="1046"/>
        <v>0</v>
      </c>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X1686" s="6"/>
      <c r="AY1686" s="6">
        <f>ROUND(AX1686/1000/Update!$B$31*Update!$B$27,0)</f>
        <v>0</v>
      </c>
      <c r="BA1686" s="6"/>
      <c r="BB1686" s="6">
        <f>ROUND(BA1686/1000/Update!$B$31,0)</f>
        <v>0</v>
      </c>
      <c r="BC1686" s="6"/>
      <c r="BD1686" s="29">
        <f t="shared" si="1047"/>
        <v>0</v>
      </c>
      <c r="BE1686" s="317"/>
      <c r="BF1686" s="317"/>
      <c r="BG1686" s="317"/>
      <c r="BH1686" s="317"/>
      <c r="BI1686" s="317"/>
      <c r="BJ1686" s="317"/>
      <c r="BK1686" s="29">
        <f t="shared" si="1048"/>
        <v>0</v>
      </c>
      <c r="BL1686" s="317"/>
      <c r="BM1686" s="317"/>
      <c r="BN1686" s="317"/>
      <c r="BO1686" s="317"/>
      <c r="BP1686" s="317"/>
      <c r="BQ1686" s="317"/>
      <c r="BR1686" s="317"/>
      <c r="BS1686" s="317"/>
      <c r="BT1686" s="317"/>
      <c r="BU1686" s="317"/>
      <c r="BV1686" s="317"/>
      <c r="BW1686" s="317"/>
      <c r="BX1686" s="317"/>
      <c r="BY1686" s="317"/>
      <c r="BZ1686" s="317"/>
      <c r="CA1686" s="317"/>
      <c r="CB1686" s="317"/>
      <c r="CC1686" s="317"/>
      <c r="CD1686" s="317"/>
      <c r="CE1686" s="317"/>
      <c r="CF1686" s="317"/>
      <c r="CG1686" s="317"/>
      <c r="CH1686" s="317"/>
      <c r="CI1686" s="317"/>
      <c r="CM1686" s="1139">
        <f t="shared" si="1041"/>
        <v>0</v>
      </c>
      <c r="CN1686" s="1139">
        <v>0</v>
      </c>
      <c r="CP1686" s="923">
        <f t="shared" si="1033"/>
        <v>0</v>
      </c>
      <c r="CZ1686" s="330"/>
    </row>
    <row r="1687" spans="1:104" ht="15" customHeight="1" x14ac:dyDescent="0.25">
      <c r="A1687" s="684">
        <f>MAX($A$6:A1686)+1</f>
        <v>1687</v>
      </c>
      <c r="B1687" s="3">
        <f t="shared" si="1049"/>
        <v>17.100000000000001</v>
      </c>
      <c r="C1687" s="11" t="str">
        <f t="shared" si="1049"/>
        <v>Quantitative disclosures around right-of-use assets</v>
      </c>
      <c r="D1687" s="11" t="s">
        <v>181</v>
      </c>
      <c r="E1687" s="7" t="s">
        <v>2490</v>
      </c>
      <c r="F1687" s="1267"/>
      <c r="G1687" s="1254" t="s">
        <v>2490</v>
      </c>
      <c r="H1687" s="6">
        <v>0</v>
      </c>
      <c r="I1687" s="6">
        <v>0</v>
      </c>
      <c r="J1687" s="1254" t="s">
        <v>2490</v>
      </c>
      <c r="K1687" s="6">
        <f>SUMIF('alb Note 16  Leases'!$B$23:$B$30,$J1687,'alb Note 16  Leases'!$I$23:$I$30)</f>
        <v>0</v>
      </c>
      <c r="L1687" s="6">
        <f>SUMIF('alb Note 16  Leases'!$B$23:$B$30,$J1687,'alb Note 16  Leases'!$S$23:$S$30)</f>
        <v>0</v>
      </c>
      <c r="M1687" s="10"/>
      <c r="N1687" s="273">
        <f t="shared" si="1042"/>
        <v>0</v>
      </c>
      <c r="O1687" s="12"/>
      <c r="P1687" s="12"/>
      <c r="Q1687" s="12"/>
      <c r="R1687" s="12"/>
      <c r="S1687" s="6">
        <f t="shared" si="1043"/>
        <v>0</v>
      </c>
      <c r="T1687" s="273">
        <f t="shared" si="1044"/>
        <v>0</v>
      </c>
      <c r="U1687" s="6">
        <f t="shared" si="1045"/>
        <v>0</v>
      </c>
      <c r="V1687" s="6"/>
      <c r="W1687" s="6">
        <f t="shared" si="1046"/>
        <v>0</v>
      </c>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X1687" s="6"/>
      <c r="AY1687" s="6">
        <f>ROUND(AX1687/1000/Update!$B$31*Update!$B$27,0)</f>
        <v>0</v>
      </c>
      <c r="BA1687" s="6"/>
      <c r="BB1687" s="6">
        <f>ROUND(BA1687/1000/Update!$B$31,0)</f>
        <v>0</v>
      </c>
      <c r="BC1687" s="6"/>
      <c r="BD1687" s="29">
        <f t="shared" si="1047"/>
        <v>0</v>
      </c>
      <c r="BE1687" s="322"/>
      <c r="BF1687" s="322"/>
      <c r="BG1687" s="322"/>
      <c r="BH1687" s="322"/>
      <c r="BI1687" s="322"/>
      <c r="BJ1687" s="322"/>
      <c r="BK1687" s="29">
        <f t="shared" si="1048"/>
        <v>0</v>
      </c>
      <c r="BL1687" s="317"/>
      <c r="BM1687" s="317"/>
      <c r="BN1687" s="317"/>
      <c r="BO1687" s="317"/>
      <c r="BP1687" s="317"/>
      <c r="BQ1687" s="317"/>
      <c r="BR1687" s="317"/>
      <c r="BS1687" s="317"/>
      <c r="BT1687" s="317"/>
      <c r="BU1687" s="317"/>
      <c r="BV1687" s="317"/>
      <c r="BW1687" s="317"/>
      <c r="BX1687" s="317"/>
      <c r="BY1687" s="317"/>
      <c r="BZ1687" s="317"/>
      <c r="CA1687" s="317"/>
      <c r="CB1687" s="317"/>
      <c r="CC1687" s="317"/>
      <c r="CD1687" s="317"/>
      <c r="CE1687" s="317"/>
      <c r="CF1687" s="317"/>
      <c r="CG1687" s="317"/>
      <c r="CH1687" s="317"/>
      <c r="CI1687" s="317"/>
      <c r="CM1687" s="1139">
        <f t="shared" si="1041"/>
        <v>0</v>
      </c>
      <c r="CN1687" s="1139">
        <v>0</v>
      </c>
      <c r="CP1687" s="923">
        <f t="shared" si="1033"/>
        <v>0</v>
      </c>
      <c r="CZ1687" s="330"/>
    </row>
    <row r="1688" spans="1:104" ht="15" customHeight="1" x14ac:dyDescent="0.25">
      <c r="A1688" s="684">
        <f>MAX($A$6:A1687)+1</f>
        <v>1688</v>
      </c>
      <c r="B1688" s="3">
        <f t="shared" si="1049"/>
        <v>17.100000000000001</v>
      </c>
      <c r="C1688" s="11" t="str">
        <f t="shared" si="1049"/>
        <v>Quantitative disclosures around right-of-use assets</v>
      </c>
      <c r="D1688" s="11" t="s">
        <v>181</v>
      </c>
      <c r="E1688" s="7" t="s">
        <v>190</v>
      </c>
      <c r="F1688" s="1267"/>
      <c r="G1688" s="1254" t="s">
        <v>190</v>
      </c>
      <c r="H1688" s="6">
        <v>0</v>
      </c>
      <c r="I1688" s="6">
        <v>0</v>
      </c>
      <c r="J1688" s="1254" t="s">
        <v>190</v>
      </c>
      <c r="K1688" s="6">
        <f>SUMIF('alb Note 16  Leases'!$B$23:$B$30,$J1688,'alb Note 16  Leases'!$I$23:$I$30)</f>
        <v>0</v>
      </c>
      <c r="L1688" s="6">
        <f>SUMIF('alb Note 16  Leases'!$B$23:$B$30,$J1688,'alb Note 16  Leases'!$S$23:$S$30)</f>
        <v>0</v>
      </c>
      <c r="M1688" s="10"/>
      <c r="N1688" s="273">
        <f t="shared" si="1042"/>
        <v>0</v>
      </c>
      <c r="O1688" s="12"/>
      <c r="P1688" s="12"/>
      <c r="Q1688" s="12"/>
      <c r="R1688" s="12"/>
      <c r="S1688" s="6">
        <f t="shared" si="1043"/>
        <v>0</v>
      </c>
      <c r="T1688" s="273">
        <f t="shared" si="1044"/>
        <v>0</v>
      </c>
      <c r="U1688" s="6">
        <f t="shared" si="1045"/>
        <v>0</v>
      </c>
      <c r="V1688" s="6"/>
      <c r="W1688" s="6">
        <f t="shared" si="1046"/>
        <v>0</v>
      </c>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X1688" s="6"/>
      <c r="AY1688" s="6">
        <f>ROUND(AX1688/1000/Update!$B$31*Update!$B$27,0)</f>
        <v>0</v>
      </c>
      <c r="BA1688" s="6"/>
      <c r="BB1688" s="6">
        <f>ROUND(BA1688/1000/Update!$B$31,0)</f>
        <v>0</v>
      </c>
      <c r="BC1688" s="6"/>
      <c r="BD1688" s="29">
        <f t="shared" si="1047"/>
        <v>0</v>
      </c>
      <c r="BE1688" s="322"/>
      <c r="BF1688" s="322"/>
      <c r="BG1688" s="322"/>
      <c r="BH1688" s="322"/>
      <c r="BI1688" s="322"/>
      <c r="BJ1688" s="322"/>
      <c r="BK1688" s="29">
        <f t="shared" si="1048"/>
        <v>0</v>
      </c>
      <c r="BL1688" s="317"/>
      <c r="BM1688" s="317"/>
      <c r="BN1688" s="317"/>
      <c r="BO1688" s="317"/>
      <c r="BP1688" s="317"/>
      <c r="BQ1688" s="317"/>
      <c r="BR1688" s="317"/>
      <c r="BS1688" s="317"/>
      <c r="BT1688" s="317"/>
      <c r="BU1688" s="317"/>
      <c r="BV1688" s="317"/>
      <c r="BW1688" s="317"/>
      <c r="BX1688" s="317"/>
      <c r="BY1688" s="317"/>
      <c r="BZ1688" s="317"/>
      <c r="CA1688" s="317"/>
      <c r="CB1688" s="317"/>
      <c r="CC1688" s="317"/>
      <c r="CD1688" s="317"/>
      <c r="CE1688" s="317"/>
      <c r="CF1688" s="317"/>
      <c r="CG1688" s="317"/>
      <c r="CH1688" s="317"/>
      <c r="CI1688" s="317"/>
      <c r="CM1688" s="1139">
        <f t="shared" si="1041"/>
        <v>0</v>
      </c>
      <c r="CN1688" s="1139">
        <v>0</v>
      </c>
      <c r="CP1688" s="923">
        <f t="shared" si="1033"/>
        <v>0</v>
      </c>
      <c r="CZ1688" s="330"/>
    </row>
    <row r="1689" spans="1:104" ht="15" customHeight="1" x14ac:dyDescent="0.25">
      <c r="A1689" s="684">
        <f>MAX($A$6:A1688)+1</f>
        <v>1689</v>
      </c>
      <c r="B1689" s="3">
        <f t="shared" si="1049"/>
        <v>17.100000000000001</v>
      </c>
      <c r="C1689" s="11" t="str">
        <f t="shared" si="1049"/>
        <v>Quantitative disclosures around right-of-use assets</v>
      </c>
      <c r="D1689" s="11" t="s">
        <v>181</v>
      </c>
      <c r="E1689" s="7" t="s">
        <v>186</v>
      </c>
      <c r="F1689" s="1267"/>
      <c r="G1689" s="7" t="s">
        <v>186</v>
      </c>
      <c r="H1689" s="6">
        <v>0</v>
      </c>
      <c r="I1689" s="6">
        <v>0</v>
      </c>
      <c r="J1689" s="7" t="s">
        <v>186</v>
      </c>
      <c r="K1689" s="6">
        <f>SUMIF('alb Note 16  Leases'!$B$23:$B$30,$J1689,'alb Note 16  Leases'!$I$23:$I$30)</f>
        <v>0</v>
      </c>
      <c r="L1689" s="6">
        <f>SUMIF('alb Note 16  Leases'!$B$23:$B$30,$J1689,'alb Note 16  Leases'!$S$23:$S$30)</f>
        <v>0</v>
      </c>
      <c r="M1689" s="10"/>
      <c r="N1689" s="273">
        <f t="shared" si="1042"/>
        <v>0</v>
      </c>
      <c r="O1689" s="12"/>
      <c r="P1689" s="12"/>
      <c r="Q1689" s="12"/>
      <c r="R1689" s="12"/>
      <c r="S1689" s="6">
        <f t="shared" si="1043"/>
        <v>0</v>
      </c>
      <c r="T1689" s="273">
        <f t="shared" si="1044"/>
        <v>0</v>
      </c>
      <c r="U1689" s="6">
        <f t="shared" si="1045"/>
        <v>0</v>
      </c>
      <c r="V1689" s="6"/>
      <c r="W1689" s="6">
        <f t="shared" si="1046"/>
        <v>0</v>
      </c>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X1689" s="6"/>
      <c r="AY1689" s="6">
        <f>ROUND(AX1689/1000/Update!$B$31*Update!$B$27,0)</f>
        <v>0</v>
      </c>
      <c r="BA1689" s="6"/>
      <c r="BB1689" s="6">
        <f>ROUND(BA1689/1000/Update!$B$31,0)</f>
        <v>0</v>
      </c>
      <c r="BC1689" s="6"/>
      <c r="BD1689" s="29">
        <f t="shared" si="1047"/>
        <v>0</v>
      </c>
      <c r="BE1689" s="322"/>
      <c r="BF1689" s="322"/>
      <c r="BG1689" s="322"/>
      <c r="BH1689" s="322"/>
      <c r="BI1689" s="322"/>
      <c r="BJ1689" s="322"/>
      <c r="BK1689" s="29">
        <f t="shared" si="1048"/>
        <v>0</v>
      </c>
      <c r="BL1689" s="317"/>
      <c r="BM1689" s="317"/>
      <c r="BN1689" s="317"/>
      <c r="BO1689" s="317"/>
      <c r="BP1689" s="317"/>
      <c r="BQ1689" s="317"/>
      <c r="BR1689" s="317"/>
      <c r="BS1689" s="317"/>
      <c r="BT1689" s="317"/>
      <c r="BU1689" s="317"/>
      <c r="BV1689" s="317"/>
      <c r="BW1689" s="317"/>
      <c r="BX1689" s="317"/>
      <c r="BY1689" s="317"/>
      <c r="BZ1689" s="317"/>
      <c r="CA1689" s="317"/>
      <c r="CB1689" s="317"/>
      <c r="CC1689" s="317"/>
      <c r="CD1689" s="317"/>
      <c r="CE1689" s="317"/>
      <c r="CF1689" s="317"/>
      <c r="CG1689" s="317"/>
      <c r="CH1689" s="317"/>
      <c r="CI1689" s="317"/>
      <c r="CM1689" s="1139">
        <f t="shared" si="1041"/>
        <v>0</v>
      </c>
      <c r="CN1689" s="1139">
        <v>0</v>
      </c>
      <c r="CP1689" s="923">
        <f t="shared" si="1033"/>
        <v>0</v>
      </c>
      <c r="CZ1689" s="330"/>
    </row>
    <row r="1690" spans="1:104" ht="15" customHeight="1" x14ac:dyDescent="0.25">
      <c r="A1690" s="684">
        <f>MAX($A$6:A1689)+1</f>
        <v>1690</v>
      </c>
      <c r="B1690" s="3">
        <f t="shared" si="1049"/>
        <v>17.100000000000001</v>
      </c>
      <c r="C1690" s="11" t="str">
        <f t="shared" si="1049"/>
        <v>Quantitative disclosures around right-of-use assets</v>
      </c>
      <c r="D1690" s="11" t="s">
        <v>181</v>
      </c>
      <c r="E1690" s="7" t="s">
        <v>187</v>
      </c>
      <c r="F1690" s="7"/>
      <c r="G1690" s="7" t="s">
        <v>187</v>
      </c>
      <c r="H1690" s="6">
        <v>0</v>
      </c>
      <c r="I1690" s="6">
        <v>0</v>
      </c>
      <c r="J1690" s="7" t="s">
        <v>187</v>
      </c>
      <c r="K1690" s="6">
        <f>SUMIF('alb Note 16  Leases'!$B$23:$B$30,$J1690,'alb Note 16  Leases'!$I$23:$I$30)</f>
        <v>0</v>
      </c>
      <c r="L1690" s="6">
        <f>SUMIF('alb Note 16  Leases'!$B$23:$B$30,$J1690,'alb Note 16  Leases'!$S$23:$S$30)</f>
        <v>0</v>
      </c>
      <c r="M1690" s="10"/>
      <c r="N1690" s="273">
        <f t="shared" si="1042"/>
        <v>0</v>
      </c>
      <c r="O1690" s="12"/>
      <c r="P1690" s="12"/>
      <c r="Q1690" s="12"/>
      <c r="R1690" s="12"/>
      <c r="S1690" s="6">
        <f t="shared" si="1043"/>
        <v>0</v>
      </c>
      <c r="T1690" s="273">
        <f t="shared" si="1044"/>
        <v>0</v>
      </c>
      <c r="U1690" s="6">
        <f t="shared" si="1045"/>
        <v>0</v>
      </c>
      <c r="V1690" s="6"/>
      <c r="W1690" s="6">
        <f t="shared" si="1046"/>
        <v>0</v>
      </c>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X1690" s="6"/>
      <c r="AY1690" s="6">
        <f>ROUND(AX1690/1000/Update!$B$31*Update!$B$27,0)</f>
        <v>0</v>
      </c>
      <c r="BA1690" s="6"/>
      <c r="BB1690" s="6">
        <f>ROUND(BA1690/1000/Update!$B$31,0)</f>
        <v>0</v>
      </c>
      <c r="BC1690" s="6"/>
      <c r="BD1690" s="29">
        <f t="shared" si="1047"/>
        <v>0</v>
      </c>
      <c r="BE1690" s="317"/>
      <c r="BF1690" s="317"/>
      <c r="BG1690" s="317"/>
      <c r="BH1690" s="317"/>
      <c r="BI1690" s="317"/>
      <c r="BJ1690" s="317"/>
      <c r="BK1690" s="29">
        <f t="shared" si="1048"/>
        <v>0</v>
      </c>
      <c r="BL1690" s="317"/>
      <c r="BM1690" s="317"/>
      <c r="BN1690" s="317"/>
      <c r="BO1690" s="317"/>
      <c r="BP1690" s="317"/>
      <c r="BQ1690" s="317"/>
      <c r="BR1690" s="317"/>
      <c r="BS1690" s="317"/>
      <c r="BT1690" s="317"/>
      <c r="BU1690" s="317"/>
      <c r="BV1690" s="317"/>
      <c r="BW1690" s="317"/>
      <c r="BX1690" s="317"/>
      <c r="BY1690" s="317"/>
      <c r="BZ1690" s="317"/>
      <c r="CA1690" s="317"/>
      <c r="CB1690" s="317"/>
      <c r="CC1690" s="317"/>
      <c r="CD1690" s="317"/>
      <c r="CE1690" s="317"/>
      <c r="CF1690" s="317"/>
      <c r="CG1690" s="317"/>
      <c r="CH1690" s="317"/>
      <c r="CI1690" s="317"/>
      <c r="CM1690" s="1139">
        <f t="shared" si="1041"/>
        <v>0</v>
      </c>
      <c r="CN1690" s="1139">
        <v>0</v>
      </c>
      <c r="CP1690" s="923">
        <f t="shared" si="1033"/>
        <v>0</v>
      </c>
      <c r="CZ1690" s="330"/>
    </row>
    <row r="1691" spans="1:104" ht="15" customHeight="1" x14ac:dyDescent="0.25">
      <c r="A1691" s="684">
        <f>MAX($A$6:A1690)+1</f>
        <v>1691</v>
      </c>
      <c r="B1691" s="3">
        <f t="shared" ref="B1691:C1701" si="1050">B1690</f>
        <v>17.100000000000001</v>
      </c>
      <c r="C1691" s="11" t="str">
        <f t="shared" ref="C1691:C1701" si="1051">C1690</f>
        <v>Quantitative disclosures around right-of-use assets</v>
      </c>
      <c r="D1691" s="11" t="s">
        <v>181</v>
      </c>
      <c r="E1691" s="7" t="s">
        <v>189</v>
      </c>
      <c r="F1691" s="1267"/>
      <c r="G1691" s="1254" t="s">
        <v>189</v>
      </c>
      <c r="H1691" s="6">
        <v>0</v>
      </c>
      <c r="I1691" s="6">
        <v>0</v>
      </c>
      <c r="J1691" s="1254" t="s">
        <v>189</v>
      </c>
      <c r="K1691" s="6">
        <f>SUMIF('alb Note 16  Leases'!$B$23:$B$30,$J1691,'alb Note 16  Leases'!$I$23:$I$30)</f>
        <v>0</v>
      </c>
      <c r="L1691" s="6">
        <f>SUMIF('alb Note 16  Leases'!$B$23:$B$30,$J1691,'alb Note 16  Leases'!$S$23:$S$30)</f>
        <v>0</v>
      </c>
      <c r="M1691" s="10"/>
      <c r="N1691" s="273">
        <f t="shared" si="1042"/>
        <v>0</v>
      </c>
      <c r="O1691" s="12"/>
      <c r="P1691" s="12"/>
      <c r="Q1691" s="12"/>
      <c r="R1691" s="12"/>
      <c r="S1691" s="6">
        <f t="shared" si="1043"/>
        <v>0</v>
      </c>
      <c r="T1691" s="273">
        <f t="shared" si="1044"/>
        <v>0</v>
      </c>
      <c r="U1691" s="6">
        <f t="shared" si="1045"/>
        <v>0</v>
      </c>
      <c r="V1691" s="6"/>
      <c r="W1691" s="6">
        <f t="shared" si="1046"/>
        <v>0</v>
      </c>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X1691" s="6"/>
      <c r="AY1691" s="6">
        <f>ROUND(AX1691/1000/Update!$B$31*Update!$B$27,0)</f>
        <v>0</v>
      </c>
      <c r="BA1691" s="6"/>
      <c r="BB1691" s="6">
        <f>ROUND(BA1691/1000/Update!$B$31,0)</f>
        <v>0</v>
      </c>
      <c r="BC1691" s="6"/>
      <c r="BD1691" s="29">
        <f t="shared" si="1047"/>
        <v>0</v>
      </c>
      <c r="BE1691" s="322"/>
      <c r="BF1691" s="322"/>
      <c r="BG1691" s="322"/>
      <c r="BH1691" s="322"/>
      <c r="BI1691" s="322"/>
      <c r="BJ1691" s="322"/>
      <c r="BK1691" s="29">
        <f t="shared" si="1048"/>
        <v>0</v>
      </c>
      <c r="BL1691" s="317"/>
      <c r="BM1691" s="317"/>
      <c r="BN1691" s="317"/>
      <c r="BO1691" s="317"/>
      <c r="BP1691" s="317"/>
      <c r="BQ1691" s="317"/>
      <c r="BR1691" s="317"/>
      <c r="BS1691" s="317"/>
      <c r="BT1691" s="317"/>
      <c r="BU1691" s="317"/>
      <c r="BV1691" s="317"/>
      <c r="BW1691" s="317"/>
      <c r="BX1691" s="317"/>
      <c r="BY1691" s="317"/>
      <c r="BZ1691" s="317"/>
      <c r="CA1691" s="317"/>
      <c r="CB1691" s="317"/>
      <c r="CC1691" s="317"/>
      <c r="CD1691" s="317"/>
      <c r="CE1691" s="317"/>
      <c r="CF1691" s="317"/>
      <c r="CG1691" s="317"/>
      <c r="CH1691" s="317"/>
      <c r="CI1691" s="317"/>
      <c r="CM1691" s="1139">
        <f t="shared" si="1041"/>
        <v>0</v>
      </c>
      <c r="CN1691" s="1139">
        <v>0</v>
      </c>
      <c r="CP1691" s="923">
        <f t="shared" si="1033"/>
        <v>0</v>
      </c>
      <c r="CZ1691" s="330"/>
    </row>
    <row r="1692" spans="1:104" ht="15" customHeight="1" x14ac:dyDescent="0.25">
      <c r="A1692" s="684">
        <f>MAX($A$6:A1691)+1</f>
        <v>1692</v>
      </c>
      <c r="B1692" s="3">
        <f t="shared" si="1050"/>
        <v>17.100000000000001</v>
      </c>
      <c r="C1692" s="11" t="str">
        <f t="shared" si="1051"/>
        <v>Quantitative disclosures around right-of-use assets</v>
      </c>
      <c r="D1692" s="11" t="s">
        <v>181</v>
      </c>
      <c r="E1692" s="7" t="s">
        <v>191</v>
      </c>
      <c r="F1692" s="1267"/>
      <c r="G1692" s="1254" t="s">
        <v>191</v>
      </c>
      <c r="H1692" s="6">
        <v>0</v>
      </c>
      <c r="I1692" s="6">
        <v>0</v>
      </c>
      <c r="J1692" s="1254" t="s">
        <v>191</v>
      </c>
      <c r="K1692" s="6">
        <f>SUMIF('alb Note 16  Leases'!$B$23:$B$30,$J1692,'alb Note 16  Leases'!$I$23:$I$30)</f>
        <v>0</v>
      </c>
      <c r="L1692" s="6">
        <f>SUMIF('alb Note 16  Leases'!$B$23:$B$30,$J1692,'alb Note 16  Leases'!$S$23:$S$30)</f>
        <v>0</v>
      </c>
      <c r="M1692" s="10"/>
      <c r="N1692" s="273">
        <f t="shared" si="1042"/>
        <v>0</v>
      </c>
      <c r="O1692" s="12"/>
      <c r="P1692" s="12"/>
      <c r="Q1692" s="12"/>
      <c r="R1692" s="12"/>
      <c r="S1692" s="6">
        <f t="shared" si="1043"/>
        <v>0</v>
      </c>
      <c r="T1692" s="273">
        <f t="shared" si="1044"/>
        <v>0</v>
      </c>
      <c r="U1692" s="6">
        <f t="shared" si="1045"/>
        <v>0</v>
      </c>
      <c r="V1692" s="6"/>
      <c r="W1692" s="6">
        <f t="shared" si="1046"/>
        <v>0</v>
      </c>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X1692" s="6"/>
      <c r="AY1692" s="6">
        <f>ROUND(AX1692/1000/Update!$B$31*Update!$B$27,0)</f>
        <v>0</v>
      </c>
      <c r="BA1692" s="6"/>
      <c r="BB1692" s="6">
        <f>ROUND(BA1692/1000/Update!$B$31,0)</f>
        <v>0</v>
      </c>
      <c r="BC1692" s="6"/>
      <c r="BD1692" s="29">
        <f t="shared" si="1047"/>
        <v>0</v>
      </c>
      <c r="BE1692" s="322"/>
      <c r="BF1692" s="322"/>
      <c r="BG1692" s="322"/>
      <c r="BH1692" s="322"/>
      <c r="BI1692" s="322"/>
      <c r="BJ1692" s="322"/>
      <c r="BK1692" s="29">
        <f t="shared" si="1048"/>
        <v>0</v>
      </c>
      <c r="BL1692" s="317"/>
      <c r="BM1692" s="317"/>
      <c r="BN1692" s="317"/>
      <c r="BO1692" s="317"/>
      <c r="BP1692" s="317"/>
      <c r="BQ1692" s="317"/>
      <c r="BR1692" s="317"/>
      <c r="BS1692" s="317"/>
      <c r="BT1692" s="317"/>
      <c r="BU1692" s="317"/>
      <c r="BV1692" s="317"/>
      <c r="BW1692" s="317"/>
      <c r="BX1692" s="317"/>
      <c r="BY1692" s="317"/>
      <c r="BZ1692" s="317"/>
      <c r="CA1692" s="317"/>
      <c r="CB1692" s="317"/>
      <c r="CC1692" s="317"/>
      <c r="CD1692" s="317"/>
      <c r="CE1692" s="317"/>
      <c r="CF1692" s="317"/>
      <c r="CG1692" s="317"/>
      <c r="CH1692" s="317"/>
      <c r="CI1692" s="317"/>
      <c r="CM1692" s="1139">
        <f t="shared" si="1041"/>
        <v>0</v>
      </c>
      <c r="CN1692" s="1139">
        <v>0</v>
      </c>
      <c r="CP1692" s="923">
        <f t="shared" si="1033"/>
        <v>0</v>
      </c>
      <c r="CZ1692" s="330"/>
    </row>
    <row r="1693" spans="1:104" ht="15" customHeight="1" x14ac:dyDescent="0.25">
      <c r="A1693" s="684">
        <f>MAX($A$6:A1692)+1</f>
        <v>1693</v>
      </c>
      <c r="B1693" s="3">
        <f t="shared" si="1050"/>
        <v>17.100000000000001</v>
      </c>
      <c r="C1693" s="11" t="str">
        <f t="shared" si="1051"/>
        <v>Quantitative disclosures around right-of-use assets</v>
      </c>
      <c r="D1693" s="11" t="s">
        <v>181</v>
      </c>
      <c r="E1693" s="7" t="s">
        <v>2492</v>
      </c>
      <c r="F1693" s="1267"/>
      <c r="G1693" s="7" t="str">
        <f>"At"&amp;Update!$B$22</f>
        <v>At 31 March 2026</v>
      </c>
      <c r="H1693" s="6">
        <v>0</v>
      </c>
      <c r="I1693" s="6">
        <v>0</v>
      </c>
      <c r="J1693" s="7" t="str">
        <f>"At"&amp;Update!$B$22</f>
        <v>At 31 March 2026</v>
      </c>
      <c r="K1693" s="6">
        <f>SUMIF('alb Note 16  Leases'!$B$23:$B$30,$J1693,'alb Note 16  Leases'!$I$23:$I$30)</f>
        <v>0</v>
      </c>
      <c r="L1693" s="6">
        <f>SUMIF('alb Note 16  Leases'!$B$23:$B$30,$J1693,'alb Note 16  Leases'!$S$23:$S$30)</f>
        <v>0</v>
      </c>
      <c r="M1693" s="10"/>
      <c r="N1693" s="273">
        <f t="shared" si="1042"/>
        <v>0</v>
      </c>
      <c r="O1693" s="12"/>
      <c r="P1693" s="12"/>
      <c r="Q1693" s="12"/>
      <c r="R1693" s="12"/>
      <c r="S1693" s="6">
        <f t="shared" si="1043"/>
        <v>0</v>
      </c>
      <c r="T1693" s="273">
        <f t="shared" si="1044"/>
        <v>0</v>
      </c>
      <c r="U1693" s="6">
        <f t="shared" si="1045"/>
        <v>0</v>
      </c>
      <c r="V1693" s="6"/>
      <c r="W1693" s="6">
        <f t="shared" si="1046"/>
        <v>0</v>
      </c>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X1693" s="6"/>
      <c r="AY1693" s="6">
        <f>ROUND(AX1693/1000/Update!$B$31*Update!$B$27,0)</f>
        <v>0</v>
      </c>
      <c r="BA1693" s="6"/>
      <c r="BB1693" s="6">
        <f>ROUND(BA1693/1000/Update!$B$31,0)</f>
        <v>0</v>
      </c>
      <c r="BC1693" s="6"/>
      <c r="BD1693" s="29">
        <f t="shared" si="1047"/>
        <v>0</v>
      </c>
      <c r="BE1693" s="322"/>
      <c r="BF1693" s="322"/>
      <c r="BG1693" s="322"/>
      <c r="BH1693" s="322"/>
      <c r="BI1693" s="322"/>
      <c r="BJ1693" s="322"/>
      <c r="BK1693" s="29">
        <f t="shared" si="1048"/>
        <v>0</v>
      </c>
      <c r="BL1693" s="317"/>
      <c r="BM1693" s="317"/>
      <c r="BN1693" s="317"/>
      <c r="BO1693" s="317"/>
      <c r="BP1693" s="317"/>
      <c r="BQ1693" s="317"/>
      <c r="BR1693" s="317"/>
      <c r="BS1693" s="317"/>
      <c r="BT1693" s="317"/>
      <c r="BU1693" s="317"/>
      <c r="BV1693" s="317"/>
      <c r="BW1693" s="317"/>
      <c r="BX1693" s="317"/>
      <c r="BY1693" s="317"/>
      <c r="BZ1693" s="317"/>
      <c r="CA1693" s="317"/>
      <c r="CB1693" s="317"/>
      <c r="CC1693" s="317"/>
      <c r="CD1693" s="317"/>
      <c r="CE1693" s="317"/>
      <c r="CF1693" s="317"/>
      <c r="CG1693" s="317"/>
      <c r="CH1693" s="317"/>
      <c r="CI1693" s="317"/>
      <c r="CM1693" s="1139">
        <f t="shared" si="1041"/>
        <v>0</v>
      </c>
      <c r="CN1693" s="1139">
        <v>0</v>
      </c>
      <c r="CP1693" s="923">
        <f t="shared" si="1033"/>
        <v>0</v>
      </c>
      <c r="CZ1693" s="330"/>
    </row>
    <row r="1694" spans="1:104" ht="15" customHeight="1" x14ac:dyDescent="0.25">
      <c r="A1694" s="701">
        <f>MAX($A$6:A1693)+1</f>
        <v>1694</v>
      </c>
      <c r="B1694" s="1291">
        <f t="shared" si="1050"/>
        <v>17.100000000000001</v>
      </c>
      <c r="C1694" s="18" t="str">
        <f t="shared" si="1050"/>
        <v>Quantitative disclosures around right-of-use assets</v>
      </c>
      <c r="D1694" s="18" t="s">
        <v>181</v>
      </c>
      <c r="E1694" s="19" t="str">
        <f>"Carrying amount "&amp;Update!$B$22</f>
        <v>Carrying amount  31 March 2026</v>
      </c>
      <c r="F1694" s="20"/>
      <c r="G1694" s="19" t="str">
        <f>"Carrying amount "&amp;Update!$B$22</f>
        <v>Carrying amount  31 March 2026</v>
      </c>
      <c r="H1694" s="14">
        <f>+H1685-H1693</f>
        <v>0</v>
      </c>
      <c r="I1694" s="14">
        <f>+I1685-I1693</f>
        <v>0</v>
      </c>
      <c r="J1694" s="19" t="str">
        <f>"Carrying amount "&amp;Update!$B$22</f>
        <v>Carrying amount  31 March 2026</v>
      </c>
      <c r="K1694" s="256">
        <f>+K1685-K1693</f>
        <v>0</v>
      </c>
      <c r="L1694" s="256">
        <f>+L1685-L1693</f>
        <v>0</v>
      </c>
      <c r="M1694" s="21"/>
      <c r="N1694" s="14">
        <f>ROUND(SUM(O1694:S1694)+T1694+SUM(Z1694:AV1694),0)</f>
        <v>0</v>
      </c>
      <c r="O1694" s="256">
        <f t="shared" ref="O1694" si="1052">+O1685-O1693</f>
        <v>0</v>
      </c>
      <c r="P1694" s="256">
        <f t="shared" ref="P1694" si="1053">+P1685-P1693</f>
        <v>0</v>
      </c>
      <c r="Q1694" s="256">
        <f t="shared" ref="Q1694" si="1054">+Q1685-Q1693</f>
        <v>0</v>
      </c>
      <c r="R1694" s="256">
        <f t="shared" ref="R1694" si="1055">+R1685-R1693</f>
        <v>0</v>
      </c>
      <c r="S1694" s="256">
        <f t="shared" ref="S1694" si="1056">+S1685-S1693</f>
        <v>0</v>
      </c>
      <c r="T1694" s="256">
        <f t="shared" ref="T1694" si="1057">+T1685-T1693</f>
        <v>0</v>
      </c>
      <c r="U1694" s="256">
        <f t="shared" ref="U1694" si="1058">+U1685-U1693</f>
        <v>0</v>
      </c>
      <c r="V1694" s="14"/>
      <c r="W1694" s="14">
        <f>+H1694</f>
        <v>0</v>
      </c>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2"/>
      <c r="AX1694" s="14"/>
      <c r="AY1694" s="14"/>
      <c r="AZ1694" s="2"/>
      <c r="BA1694" s="14"/>
      <c r="BB1694" s="14"/>
      <c r="BC1694" s="14"/>
      <c r="BD1694" s="14">
        <f>+BD1685-BD1693</f>
        <v>0</v>
      </c>
      <c r="BE1694" s="14">
        <f t="shared" ref="BE1694" si="1059">+BE1685-BE1693</f>
        <v>0</v>
      </c>
      <c r="BF1694" s="14">
        <f t="shared" ref="BF1694" si="1060">+BF1685-BF1693</f>
        <v>0</v>
      </c>
      <c r="BG1694" s="14">
        <f t="shared" ref="BG1694" si="1061">+BG1685-BG1693</f>
        <v>0</v>
      </c>
      <c r="BH1694" s="14">
        <f t="shared" ref="BH1694" si="1062">+BH1685-BH1693</f>
        <v>0</v>
      </c>
      <c r="BI1694" s="14">
        <f t="shared" ref="BI1694" si="1063">+BI1685-BI1693</f>
        <v>0</v>
      </c>
      <c r="BJ1694" s="14">
        <f t="shared" ref="BJ1694" si="1064">+BJ1685-BJ1693</f>
        <v>0</v>
      </c>
      <c r="BK1694" s="14">
        <f t="shared" ref="BK1694" si="1065">+BK1685-BK1693</f>
        <v>0</v>
      </c>
      <c r="BL1694" s="14"/>
      <c r="BM1694" s="14"/>
      <c r="BN1694" s="14"/>
      <c r="BO1694" s="14"/>
      <c r="BP1694" s="14"/>
      <c r="BQ1694" s="14"/>
      <c r="BR1694" s="14"/>
      <c r="BS1694" s="14"/>
      <c r="BT1694" s="324"/>
      <c r="BU1694" s="14"/>
      <c r="BV1694" s="14"/>
      <c r="BW1694" s="14"/>
      <c r="BX1694" s="14"/>
      <c r="BY1694" s="14"/>
      <c r="BZ1694" s="14"/>
      <c r="CA1694" s="14"/>
      <c r="CB1694" s="14"/>
      <c r="CC1694" s="14"/>
      <c r="CD1694" s="14"/>
      <c r="CE1694" s="14"/>
      <c r="CF1694" s="14"/>
      <c r="CG1694" s="14"/>
      <c r="CH1694" s="14"/>
      <c r="CI1694" s="14"/>
      <c r="CJ1694" s="2"/>
      <c r="CK1694" s="2"/>
      <c r="CM1694" s="1450"/>
      <c r="CN1694" s="1450"/>
      <c r="CX1694" s="330"/>
    </row>
    <row r="1695" spans="1:104" ht="15" customHeight="1" x14ac:dyDescent="0.25">
      <c r="A1695" s="701">
        <f>MAX($A$6:A1694)+1</f>
        <v>1695</v>
      </c>
      <c r="B1695" s="1291">
        <f t="shared" si="1050"/>
        <v>17.100000000000001</v>
      </c>
      <c r="C1695" s="299" t="s">
        <v>2853</v>
      </c>
      <c r="D1695" s="18"/>
      <c r="E1695" s="19" t="str">
        <f>"Carrying amount "&amp;Update!$B$22</f>
        <v>Carrying amount  31 March 2026</v>
      </c>
      <c r="F1695" s="20"/>
      <c r="G1695" s="19" t="str">
        <f>"Carrying amount "&amp;Update!$B$22</f>
        <v>Carrying amount  31 March 2026</v>
      </c>
      <c r="H1695" s="14">
        <f>+H1694+H1676+H1658+H1640+H1622+H1604+H1586</f>
        <v>366</v>
      </c>
      <c r="I1695" s="14">
        <f>+I1694+I1676+I1658+I1640+I1622+I1604+I1586</f>
        <v>0</v>
      </c>
      <c r="J1695" s="19" t="str">
        <f>"Carrying amount "&amp;Update!$B$22</f>
        <v>Carrying amount  31 March 2026</v>
      </c>
      <c r="K1695" s="256">
        <f t="shared" ref="K1695:L1695" si="1066">+K1694+K1676+K1658+K1640+K1622+K1604+K1586</f>
        <v>0</v>
      </c>
      <c r="L1695" s="256">
        <f t="shared" si="1066"/>
        <v>0</v>
      </c>
      <c r="M1695" s="21"/>
      <c r="N1695" s="256">
        <f t="shared" ref="N1695:S1695" si="1067">+N1694+N1676+N1658+N1640+N1622+N1604+N1586</f>
        <v>366</v>
      </c>
      <c r="O1695" s="256">
        <f t="shared" si="1067"/>
        <v>0</v>
      </c>
      <c r="P1695" s="256">
        <f t="shared" si="1067"/>
        <v>0</v>
      </c>
      <c r="Q1695" s="256">
        <f t="shared" si="1067"/>
        <v>0</v>
      </c>
      <c r="R1695" s="256">
        <f t="shared" si="1067"/>
        <v>0</v>
      </c>
      <c r="S1695" s="256">
        <f t="shared" si="1067"/>
        <v>0</v>
      </c>
      <c r="T1695" s="256">
        <f>+T1694+T1676+T1658+T1640+T1622+T1604+T1586</f>
        <v>366</v>
      </c>
      <c r="U1695" s="256">
        <f>+U1694+U1676+U1658+U1640+U1622+U1604+U1586</f>
        <v>0</v>
      </c>
      <c r="V1695" s="14"/>
      <c r="W1695" s="14">
        <f>+H1695</f>
        <v>366</v>
      </c>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2"/>
      <c r="AX1695" s="14"/>
      <c r="AY1695" s="14"/>
      <c r="AZ1695" s="2"/>
      <c r="BA1695" s="14"/>
      <c r="BB1695" s="14"/>
      <c r="BC1695" s="14"/>
      <c r="BD1695" s="14"/>
      <c r="BE1695" s="14"/>
      <c r="BF1695" s="14"/>
      <c r="BG1695" s="14"/>
      <c r="BH1695" s="14"/>
      <c r="BI1695" s="14"/>
      <c r="BJ1695" s="14"/>
      <c r="BK1695" s="14"/>
      <c r="BL1695" s="14"/>
      <c r="BM1695" s="14"/>
      <c r="BN1695" s="14"/>
      <c r="BO1695" s="14"/>
      <c r="BP1695" s="14"/>
      <c r="BQ1695" s="14"/>
      <c r="BR1695" s="14"/>
      <c r="BS1695" s="14"/>
      <c r="BT1695" s="324"/>
      <c r="BU1695" s="14"/>
      <c r="BV1695" s="14"/>
      <c r="BW1695" s="14"/>
      <c r="BX1695" s="14"/>
      <c r="BY1695" s="14"/>
      <c r="BZ1695" s="14"/>
      <c r="CA1695" s="14"/>
      <c r="CB1695" s="14"/>
      <c r="CC1695" s="14"/>
      <c r="CD1695" s="14"/>
      <c r="CE1695" s="14"/>
      <c r="CF1695" s="14"/>
      <c r="CG1695" s="14"/>
      <c r="CH1695" s="14"/>
      <c r="CI1695" s="14"/>
      <c r="CJ1695" s="2"/>
      <c r="CK1695" s="2"/>
      <c r="CM1695" s="1450"/>
      <c r="CN1695" s="1450"/>
      <c r="CX1695" s="330"/>
    </row>
    <row r="1696" spans="1:104" ht="15" customHeight="1" x14ac:dyDescent="0.25">
      <c r="A1696" s="684">
        <f>MAX($A$6:A1695)+1</f>
        <v>1696</v>
      </c>
      <c r="B1696" s="3">
        <f>B1693</f>
        <v>17.100000000000001</v>
      </c>
      <c r="C1696" s="11" t="str">
        <f>C1693</f>
        <v>Quantitative disclosures around right-of-use assets</v>
      </c>
      <c r="D1696" s="11" t="s">
        <v>195</v>
      </c>
      <c r="E1696" s="7" t="s">
        <v>2491</v>
      </c>
      <c r="F1696" s="1267"/>
      <c r="G1696" s="7" t="s">
        <v>2491</v>
      </c>
      <c r="H1696" s="6">
        <v>0</v>
      </c>
      <c r="I1696" s="6"/>
      <c r="J1696" s="7" t="s">
        <v>2491</v>
      </c>
      <c r="K1696" s="6">
        <f>SUMIF('alb Note 16  Leases'!$B$34,$J1696,'alb Note 16  Leases'!$C$34)</f>
        <v>0</v>
      </c>
      <c r="L1696" s="6"/>
      <c r="M1696" s="10"/>
      <c r="N1696" s="273">
        <f t="shared" si="1042"/>
        <v>0</v>
      </c>
      <c r="O1696" s="12"/>
      <c r="P1696" s="12"/>
      <c r="Q1696" s="12"/>
      <c r="R1696" s="12"/>
      <c r="S1696" s="6">
        <f t="shared" si="1043"/>
        <v>0</v>
      </c>
      <c r="T1696" s="273">
        <f t="shared" si="1044"/>
        <v>0</v>
      </c>
      <c r="U1696" s="6">
        <f t="shared" si="1045"/>
        <v>0</v>
      </c>
      <c r="V1696" s="6"/>
      <c r="W1696" s="6">
        <f t="shared" si="1046"/>
        <v>0</v>
      </c>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X1696" s="6"/>
      <c r="AY1696" s="6">
        <f>ROUND(AX1696/1000/Update!$B$31*Update!$B$27,0)</f>
        <v>0</v>
      </c>
      <c r="BA1696" s="6"/>
      <c r="BB1696" s="6">
        <f>ROUND(BA1696/1000/Update!$B$31,0)</f>
        <v>0</v>
      </c>
      <c r="BC1696" s="6"/>
      <c r="BD1696" s="29">
        <f t="shared" si="1047"/>
        <v>0</v>
      </c>
      <c r="BE1696" s="322"/>
      <c r="BF1696" s="322"/>
      <c r="BG1696" s="322"/>
      <c r="BH1696" s="322"/>
      <c r="BI1696" s="322"/>
      <c r="BJ1696" s="322"/>
      <c r="BK1696" s="29">
        <f t="shared" si="1048"/>
        <v>0</v>
      </c>
      <c r="BL1696" s="317"/>
      <c r="BM1696" s="317"/>
      <c r="BN1696" s="317"/>
      <c r="BO1696" s="317"/>
      <c r="BP1696" s="317"/>
      <c r="BQ1696" s="317"/>
      <c r="BR1696" s="317"/>
      <c r="BS1696" s="317"/>
      <c r="BT1696" s="317"/>
      <c r="BU1696" s="317"/>
      <c r="BV1696" s="317"/>
      <c r="BW1696" s="317"/>
      <c r="BX1696" s="317"/>
      <c r="BY1696" s="317"/>
      <c r="BZ1696" s="317"/>
      <c r="CA1696" s="317"/>
      <c r="CB1696" s="317"/>
      <c r="CC1696" s="317"/>
      <c r="CD1696" s="317"/>
      <c r="CE1696" s="317"/>
      <c r="CF1696" s="317"/>
      <c r="CG1696" s="317"/>
      <c r="CH1696" s="317"/>
      <c r="CI1696" s="317"/>
      <c r="CM1696" s="1139">
        <f t="shared" si="1041"/>
        <v>0</v>
      </c>
      <c r="CN1696" s="1139">
        <v>0</v>
      </c>
      <c r="CP1696" s="923">
        <f t="shared" si="1033"/>
        <v>0</v>
      </c>
      <c r="CZ1696" s="330"/>
    </row>
    <row r="1697" spans="1:104" ht="15" customHeight="1" x14ac:dyDescent="0.25">
      <c r="A1697" s="684">
        <f>MAX($A$6:A1696)+1</f>
        <v>1697</v>
      </c>
      <c r="B1697" s="3">
        <f t="shared" si="1050"/>
        <v>17.100000000000001</v>
      </c>
      <c r="C1697" s="11" t="str">
        <f t="shared" si="1051"/>
        <v>Quantitative disclosures around right-of-use assets</v>
      </c>
      <c r="D1697" s="11" t="s">
        <v>196</v>
      </c>
      <c r="E1697" s="7" t="s">
        <v>2491</v>
      </c>
      <c r="F1697" s="1267"/>
      <c r="G1697" s="7" t="s">
        <v>2491</v>
      </c>
      <c r="H1697" s="6">
        <v>0</v>
      </c>
      <c r="I1697" s="6"/>
      <c r="J1697" s="7" t="s">
        <v>2491</v>
      </c>
      <c r="K1697" s="6">
        <f>SUMIF('alb Note 16  Leases'!$B$34,$J1697,'alb Note 16  Leases'!$D$34)</f>
        <v>0</v>
      </c>
      <c r="L1697" s="6"/>
      <c r="M1697" s="10"/>
      <c r="N1697" s="273">
        <f t="shared" si="1042"/>
        <v>0</v>
      </c>
      <c r="O1697" s="12"/>
      <c r="P1697" s="12"/>
      <c r="Q1697" s="12"/>
      <c r="R1697" s="12"/>
      <c r="S1697" s="6">
        <f t="shared" si="1043"/>
        <v>0</v>
      </c>
      <c r="T1697" s="273">
        <f t="shared" si="1044"/>
        <v>0</v>
      </c>
      <c r="U1697" s="6">
        <f t="shared" si="1045"/>
        <v>0</v>
      </c>
      <c r="V1697" s="6"/>
      <c r="W1697" s="6">
        <f t="shared" si="1046"/>
        <v>0</v>
      </c>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X1697" s="6"/>
      <c r="AY1697" s="6">
        <f>ROUND(AX1697/1000/Update!$B$31*Update!$B$27,0)</f>
        <v>0</v>
      </c>
      <c r="BA1697" s="6"/>
      <c r="BB1697" s="6">
        <f>ROUND(BA1697/1000/Update!$B$31,0)</f>
        <v>0</v>
      </c>
      <c r="BC1697" s="6"/>
      <c r="BD1697" s="29">
        <f t="shared" si="1047"/>
        <v>0</v>
      </c>
      <c r="BE1697" s="322"/>
      <c r="BF1697" s="322"/>
      <c r="BG1697" s="322"/>
      <c r="BH1697" s="322"/>
      <c r="BI1697" s="322"/>
      <c r="BJ1697" s="322"/>
      <c r="BK1697" s="29">
        <f t="shared" si="1048"/>
        <v>0</v>
      </c>
      <c r="BL1697" s="317"/>
      <c r="BM1697" s="317"/>
      <c r="BN1697" s="317"/>
      <c r="BO1697" s="317"/>
      <c r="BP1697" s="317"/>
      <c r="BQ1697" s="317"/>
      <c r="BR1697" s="317"/>
      <c r="BS1697" s="317"/>
      <c r="BT1697" s="317"/>
      <c r="BU1697" s="317"/>
      <c r="BV1697" s="317"/>
      <c r="BW1697" s="317"/>
      <c r="BX1697" s="317"/>
      <c r="BY1697" s="317"/>
      <c r="BZ1697" s="317"/>
      <c r="CA1697" s="317"/>
      <c r="CB1697" s="317"/>
      <c r="CC1697" s="317"/>
      <c r="CD1697" s="317"/>
      <c r="CE1697" s="317"/>
      <c r="CF1697" s="317"/>
      <c r="CG1697" s="317"/>
      <c r="CH1697" s="317"/>
      <c r="CI1697" s="317"/>
      <c r="CM1697" s="1139">
        <f t="shared" si="1041"/>
        <v>0</v>
      </c>
      <c r="CN1697" s="1139">
        <v>0</v>
      </c>
      <c r="CP1697" s="923">
        <f t="shared" si="1033"/>
        <v>0</v>
      </c>
      <c r="CZ1697" s="330"/>
    </row>
    <row r="1698" spans="1:104" ht="15" customHeight="1" x14ac:dyDescent="0.25">
      <c r="A1698" s="684">
        <f>MAX($A$6:A1697)+1</f>
        <v>1698</v>
      </c>
      <c r="B1698" s="3">
        <f t="shared" si="1050"/>
        <v>17.100000000000001</v>
      </c>
      <c r="C1698" s="11" t="str">
        <f t="shared" si="1051"/>
        <v>Quantitative disclosures around right-of-use assets</v>
      </c>
      <c r="D1698" s="11" t="s">
        <v>200</v>
      </c>
      <c r="E1698" s="7" t="s">
        <v>2491</v>
      </c>
      <c r="F1698" s="1267"/>
      <c r="G1698" s="7" t="s">
        <v>2491</v>
      </c>
      <c r="H1698" s="6">
        <v>0</v>
      </c>
      <c r="I1698" s="6"/>
      <c r="J1698" s="7" t="s">
        <v>2491</v>
      </c>
      <c r="K1698" s="6">
        <f>SUMIF('alb Note 16  Leases'!$B$34,$J1698,'alb Note 16  Leases'!$E$34)</f>
        <v>0</v>
      </c>
      <c r="L1698" s="6"/>
      <c r="M1698" s="10"/>
      <c r="N1698" s="273">
        <f t="shared" si="1042"/>
        <v>0</v>
      </c>
      <c r="O1698" s="12"/>
      <c r="P1698" s="12"/>
      <c r="Q1698" s="12"/>
      <c r="R1698" s="12"/>
      <c r="S1698" s="6">
        <f t="shared" si="1043"/>
        <v>0</v>
      </c>
      <c r="T1698" s="273">
        <f t="shared" si="1044"/>
        <v>0</v>
      </c>
      <c r="U1698" s="6">
        <f t="shared" si="1045"/>
        <v>0</v>
      </c>
      <c r="V1698" s="6"/>
      <c r="W1698" s="6">
        <f t="shared" si="1046"/>
        <v>0</v>
      </c>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X1698" s="6"/>
      <c r="AY1698" s="6">
        <f>ROUND(AX1698/1000/Update!$B$31*Update!$B$27,0)</f>
        <v>0</v>
      </c>
      <c r="BA1698" s="6"/>
      <c r="BB1698" s="6">
        <f>ROUND(BA1698/1000/Update!$B$31,0)</f>
        <v>0</v>
      </c>
      <c r="BC1698" s="6"/>
      <c r="BD1698" s="29">
        <f t="shared" si="1047"/>
        <v>0</v>
      </c>
      <c r="BE1698" s="322"/>
      <c r="BF1698" s="322"/>
      <c r="BG1698" s="322"/>
      <c r="BH1698" s="322"/>
      <c r="BI1698" s="322"/>
      <c r="BJ1698" s="322"/>
      <c r="BK1698" s="29">
        <f t="shared" si="1048"/>
        <v>0</v>
      </c>
      <c r="BL1698" s="317"/>
      <c r="BM1698" s="317"/>
      <c r="BN1698" s="317"/>
      <c r="BO1698" s="317"/>
      <c r="BP1698" s="317"/>
      <c r="BQ1698" s="317"/>
      <c r="BR1698" s="317"/>
      <c r="BS1698" s="317"/>
      <c r="BT1698" s="317"/>
      <c r="BU1698" s="317"/>
      <c r="BV1698" s="317"/>
      <c r="BW1698" s="317"/>
      <c r="BX1698" s="317"/>
      <c r="BY1698" s="317"/>
      <c r="BZ1698" s="317"/>
      <c r="CA1698" s="317"/>
      <c r="CB1698" s="317"/>
      <c r="CC1698" s="317"/>
      <c r="CD1698" s="317"/>
      <c r="CE1698" s="317"/>
      <c r="CF1698" s="317"/>
      <c r="CG1698" s="317"/>
      <c r="CH1698" s="317"/>
      <c r="CI1698" s="317"/>
      <c r="CM1698" s="1139">
        <f t="shared" si="1041"/>
        <v>0</v>
      </c>
      <c r="CN1698" s="1139">
        <v>0</v>
      </c>
      <c r="CP1698" s="923">
        <f t="shared" si="1033"/>
        <v>0</v>
      </c>
      <c r="CZ1698" s="330"/>
    </row>
    <row r="1699" spans="1:104" ht="15" customHeight="1" x14ac:dyDescent="0.25">
      <c r="A1699" s="684">
        <f>MAX($A$6:A1698)+1</f>
        <v>1699</v>
      </c>
      <c r="B1699" s="3">
        <f t="shared" si="1050"/>
        <v>17.100000000000001</v>
      </c>
      <c r="C1699" s="11" t="str">
        <f t="shared" si="1051"/>
        <v>Quantitative disclosures around right-of-use assets</v>
      </c>
      <c r="D1699" s="11" t="s">
        <v>201</v>
      </c>
      <c r="E1699" s="7" t="s">
        <v>2491</v>
      </c>
      <c r="F1699" s="1267"/>
      <c r="G1699" s="7" t="s">
        <v>2491</v>
      </c>
      <c r="H1699" s="6">
        <v>0</v>
      </c>
      <c r="I1699" s="6"/>
      <c r="J1699" s="7" t="s">
        <v>2491</v>
      </c>
      <c r="K1699" s="6">
        <f>SUMIF('alb Note 16  Leases'!$B$34,$J1699,'alb Note 16  Leases'!$F$34)</f>
        <v>0</v>
      </c>
      <c r="L1699" s="6"/>
      <c r="M1699" s="10"/>
      <c r="N1699" s="273">
        <f t="shared" si="1042"/>
        <v>0</v>
      </c>
      <c r="O1699" s="12"/>
      <c r="P1699" s="12"/>
      <c r="Q1699" s="12"/>
      <c r="R1699" s="12"/>
      <c r="S1699" s="6">
        <f t="shared" si="1043"/>
        <v>0</v>
      </c>
      <c r="T1699" s="273">
        <f t="shared" si="1044"/>
        <v>0</v>
      </c>
      <c r="U1699" s="6">
        <f t="shared" si="1045"/>
        <v>0</v>
      </c>
      <c r="V1699" s="6"/>
      <c r="W1699" s="6">
        <f t="shared" si="1046"/>
        <v>0</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X1699" s="6"/>
      <c r="AY1699" s="6">
        <f>ROUND(AX1699/1000/Update!$B$31*Update!$B$27,0)</f>
        <v>0</v>
      </c>
      <c r="BA1699" s="6"/>
      <c r="BB1699" s="6">
        <f>ROUND(BA1699/1000/Update!$B$31,0)</f>
        <v>0</v>
      </c>
      <c r="BC1699" s="6"/>
      <c r="BD1699" s="29">
        <f t="shared" si="1047"/>
        <v>0</v>
      </c>
      <c r="BE1699" s="322"/>
      <c r="BF1699" s="322"/>
      <c r="BG1699" s="322"/>
      <c r="BH1699" s="322"/>
      <c r="BI1699" s="322"/>
      <c r="BJ1699" s="322"/>
      <c r="BK1699" s="29">
        <f t="shared" si="1048"/>
        <v>0</v>
      </c>
      <c r="BL1699" s="317"/>
      <c r="BM1699" s="317"/>
      <c r="BN1699" s="317"/>
      <c r="BO1699" s="317"/>
      <c r="BP1699" s="317"/>
      <c r="BQ1699" s="317"/>
      <c r="BR1699" s="317"/>
      <c r="BS1699" s="317"/>
      <c r="BT1699" s="317"/>
      <c r="BU1699" s="317"/>
      <c r="BV1699" s="317"/>
      <c r="BW1699" s="317"/>
      <c r="BX1699" s="317"/>
      <c r="BY1699" s="317"/>
      <c r="BZ1699" s="317"/>
      <c r="CA1699" s="317"/>
      <c r="CB1699" s="317"/>
      <c r="CC1699" s="317"/>
      <c r="CD1699" s="317"/>
      <c r="CE1699" s="317"/>
      <c r="CF1699" s="317"/>
      <c r="CG1699" s="317"/>
      <c r="CH1699" s="317"/>
      <c r="CI1699" s="317"/>
      <c r="CM1699" s="1139">
        <f t="shared" si="1041"/>
        <v>0</v>
      </c>
      <c r="CN1699" s="1139">
        <v>0</v>
      </c>
      <c r="CP1699" s="923">
        <f t="shared" si="1033"/>
        <v>0</v>
      </c>
      <c r="CZ1699" s="330"/>
    </row>
    <row r="1700" spans="1:104" ht="15" customHeight="1" x14ac:dyDescent="0.25">
      <c r="A1700" s="684">
        <f>MAX($A$6:A1699)+1</f>
        <v>1700</v>
      </c>
      <c r="B1700" s="3">
        <f t="shared" si="1050"/>
        <v>17.100000000000001</v>
      </c>
      <c r="C1700" s="11" t="str">
        <f t="shared" si="1051"/>
        <v>Quantitative disclosures around right-of-use assets</v>
      </c>
      <c r="D1700" s="11" t="s">
        <v>2537</v>
      </c>
      <c r="E1700" s="7" t="s">
        <v>2491</v>
      </c>
      <c r="F1700" s="1267"/>
      <c r="G1700" s="7" t="s">
        <v>2491</v>
      </c>
      <c r="H1700" s="6">
        <v>0</v>
      </c>
      <c r="I1700" s="6"/>
      <c r="J1700" s="7" t="s">
        <v>2491</v>
      </c>
      <c r="K1700" s="6">
        <f>SUMIF('alb Note 16  Leases'!$B$34,$J1700,'alb Note 16  Leases'!$G$34)</f>
        <v>0</v>
      </c>
      <c r="L1700" s="6"/>
      <c r="M1700" s="10"/>
      <c r="N1700" s="273">
        <f t="shared" si="1042"/>
        <v>0</v>
      </c>
      <c r="O1700" s="12"/>
      <c r="P1700" s="12"/>
      <c r="Q1700" s="12"/>
      <c r="R1700" s="12"/>
      <c r="S1700" s="6">
        <f t="shared" si="1043"/>
        <v>0</v>
      </c>
      <c r="T1700" s="273">
        <f t="shared" si="1044"/>
        <v>0</v>
      </c>
      <c r="U1700" s="6">
        <f t="shared" si="1045"/>
        <v>0</v>
      </c>
      <c r="V1700" s="6"/>
      <c r="W1700" s="6">
        <f t="shared" si="1046"/>
        <v>0</v>
      </c>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X1700" s="6"/>
      <c r="AY1700" s="6">
        <f>ROUND(AX1700/1000/Update!$B$31*Update!$B$27,0)</f>
        <v>0</v>
      </c>
      <c r="BA1700" s="6"/>
      <c r="BB1700" s="6">
        <f>ROUND(BA1700/1000/Update!$B$31,0)</f>
        <v>0</v>
      </c>
      <c r="BC1700" s="6"/>
      <c r="BD1700" s="29">
        <f t="shared" si="1047"/>
        <v>0</v>
      </c>
      <c r="BE1700" s="322"/>
      <c r="BF1700" s="322"/>
      <c r="BG1700" s="322"/>
      <c r="BH1700" s="322"/>
      <c r="BI1700" s="322"/>
      <c r="BJ1700" s="322"/>
      <c r="BK1700" s="29">
        <f t="shared" si="1048"/>
        <v>0</v>
      </c>
      <c r="BL1700" s="317"/>
      <c r="BM1700" s="317"/>
      <c r="BN1700" s="317"/>
      <c r="BO1700" s="317"/>
      <c r="BP1700" s="317"/>
      <c r="BQ1700" s="317"/>
      <c r="BR1700" s="317"/>
      <c r="BS1700" s="317"/>
      <c r="BT1700" s="317"/>
      <c r="BU1700" s="317"/>
      <c r="BV1700" s="317"/>
      <c r="BW1700" s="317"/>
      <c r="BX1700" s="317"/>
      <c r="BY1700" s="317"/>
      <c r="BZ1700" s="317"/>
      <c r="CA1700" s="317"/>
      <c r="CB1700" s="317"/>
      <c r="CC1700" s="317"/>
      <c r="CD1700" s="317"/>
      <c r="CE1700" s="317"/>
      <c r="CF1700" s="317"/>
      <c r="CG1700" s="317"/>
      <c r="CH1700" s="317"/>
      <c r="CI1700" s="317"/>
      <c r="CM1700" s="1139">
        <f t="shared" si="1041"/>
        <v>0</v>
      </c>
      <c r="CN1700" s="1139">
        <v>0</v>
      </c>
      <c r="CP1700" s="923">
        <f t="shared" si="1033"/>
        <v>0</v>
      </c>
      <c r="CZ1700" s="330"/>
    </row>
    <row r="1701" spans="1:104" ht="15" customHeight="1" x14ac:dyDescent="0.25">
      <c r="A1701" s="684">
        <f>MAX($A$6:A1700)+1</f>
        <v>1701</v>
      </c>
      <c r="B1701" s="3">
        <f t="shared" si="1050"/>
        <v>17.100000000000001</v>
      </c>
      <c r="C1701" s="11" t="str">
        <f t="shared" si="1051"/>
        <v>Quantitative disclosures around right-of-use assets</v>
      </c>
      <c r="D1701" s="11" t="s">
        <v>2538</v>
      </c>
      <c r="E1701" s="7" t="s">
        <v>2491</v>
      </c>
      <c r="F1701" s="1267"/>
      <c r="G1701" s="7" t="s">
        <v>2491</v>
      </c>
      <c r="H1701" s="6">
        <v>0</v>
      </c>
      <c r="I1701" s="6"/>
      <c r="J1701" s="7" t="s">
        <v>2491</v>
      </c>
      <c r="K1701" s="6">
        <f>SUMIF('alb Note 16  Leases'!$B$34,$J1701,'alb Note 16  Leases'!$H$34)</f>
        <v>0</v>
      </c>
      <c r="L1701" s="6"/>
      <c r="M1701" s="10"/>
      <c r="N1701" s="273">
        <f t="shared" si="1042"/>
        <v>0</v>
      </c>
      <c r="O1701" s="12"/>
      <c r="P1701" s="12"/>
      <c r="Q1701" s="12"/>
      <c r="R1701" s="12"/>
      <c r="S1701" s="6">
        <f t="shared" si="1043"/>
        <v>0</v>
      </c>
      <c r="T1701" s="273">
        <f t="shared" si="1044"/>
        <v>0</v>
      </c>
      <c r="U1701" s="6">
        <f t="shared" si="1045"/>
        <v>0</v>
      </c>
      <c r="V1701" s="6"/>
      <c r="W1701" s="6">
        <f t="shared" si="1046"/>
        <v>0</v>
      </c>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X1701" s="6"/>
      <c r="AY1701" s="6">
        <f>ROUND(AX1701/1000/Update!$B$31*Update!$B$27,0)</f>
        <v>0</v>
      </c>
      <c r="BA1701" s="6"/>
      <c r="BB1701" s="6">
        <f>ROUND(BA1701/1000/Update!$B$31,0)</f>
        <v>0</v>
      </c>
      <c r="BC1701" s="6"/>
      <c r="BD1701" s="29">
        <f t="shared" si="1047"/>
        <v>0</v>
      </c>
      <c r="BE1701" s="322"/>
      <c r="BF1701" s="322"/>
      <c r="BG1701" s="322"/>
      <c r="BH1701" s="322"/>
      <c r="BI1701" s="322"/>
      <c r="BJ1701" s="322"/>
      <c r="BK1701" s="29">
        <f t="shared" si="1048"/>
        <v>0</v>
      </c>
      <c r="BL1701" s="317"/>
      <c r="BM1701" s="317"/>
      <c r="BN1701" s="317"/>
      <c r="BO1701" s="317"/>
      <c r="BP1701" s="317"/>
      <c r="BQ1701" s="317"/>
      <c r="BR1701" s="317"/>
      <c r="BS1701" s="317"/>
      <c r="BT1701" s="317"/>
      <c r="BU1701" s="317"/>
      <c r="BV1701" s="317"/>
      <c r="BW1701" s="317"/>
      <c r="BX1701" s="317"/>
      <c r="BY1701" s="317"/>
      <c r="BZ1701" s="317"/>
      <c r="CA1701" s="317"/>
      <c r="CB1701" s="317"/>
      <c r="CC1701" s="317"/>
      <c r="CD1701" s="317"/>
      <c r="CE1701" s="317"/>
      <c r="CF1701" s="317"/>
      <c r="CG1701" s="317"/>
      <c r="CH1701" s="317"/>
      <c r="CI1701" s="317"/>
      <c r="CM1701" s="1139">
        <f t="shared" si="1041"/>
        <v>0</v>
      </c>
      <c r="CN1701" s="1139">
        <v>0</v>
      </c>
      <c r="CP1701" s="923">
        <f t="shared" si="1033"/>
        <v>0</v>
      </c>
      <c r="CZ1701" s="330"/>
    </row>
    <row r="1702" spans="1:104" ht="15" customHeight="1" x14ac:dyDescent="0.25">
      <c r="A1702" s="684">
        <f>MAX($A$6:A1701)+1</f>
        <v>1702</v>
      </c>
      <c r="B1702" s="3">
        <f>B1696</f>
        <v>17.100000000000001</v>
      </c>
      <c r="C1702" s="11" t="str">
        <f>C1696</f>
        <v>Quantitative disclosures around right-of-use assets</v>
      </c>
      <c r="D1702" s="11" t="s">
        <v>181</v>
      </c>
      <c r="E1702" s="7" t="s">
        <v>2491</v>
      </c>
      <c r="F1702" s="1267"/>
      <c r="G1702" s="7" t="s">
        <v>2491</v>
      </c>
      <c r="H1702" s="6">
        <v>0</v>
      </c>
      <c r="I1702" s="6"/>
      <c r="J1702" s="7" t="s">
        <v>2491</v>
      </c>
      <c r="K1702" s="6">
        <f>SUMIF('alb Note 16  Leases'!$B$34,$J1702,'alb Note 16  Leases'!$I$34)</f>
        <v>0</v>
      </c>
      <c r="L1702" s="6"/>
      <c r="M1702" s="10"/>
      <c r="N1702" s="273">
        <f t="shared" si="1042"/>
        <v>0</v>
      </c>
      <c r="O1702" s="12"/>
      <c r="P1702" s="12"/>
      <c r="Q1702" s="12"/>
      <c r="R1702" s="12"/>
      <c r="S1702" s="6">
        <f t="shared" si="1043"/>
        <v>0</v>
      </c>
      <c r="T1702" s="273">
        <f t="shared" si="1044"/>
        <v>0</v>
      </c>
      <c r="U1702" s="6">
        <f t="shared" si="1045"/>
        <v>0</v>
      </c>
      <c r="V1702" s="6"/>
      <c r="W1702" s="6">
        <f t="shared" si="1046"/>
        <v>0</v>
      </c>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X1702" s="6"/>
      <c r="AY1702" s="6">
        <f>ROUND(AX1702/1000/Update!$B$31*Update!$B$27,0)</f>
        <v>0</v>
      </c>
      <c r="BA1702" s="6"/>
      <c r="BB1702" s="6">
        <f>ROUND(BA1702/1000/Update!$B$31,0)</f>
        <v>0</v>
      </c>
      <c r="BC1702" s="6"/>
      <c r="BD1702" s="29">
        <f t="shared" si="1047"/>
        <v>0</v>
      </c>
      <c r="BE1702" s="322"/>
      <c r="BF1702" s="322"/>
      <c r="BG1702" s="322"/>
      <c r="BH1702" s="322"/>
      <c r="BI1702" s="322"/>
      <c r="BJ1702" s="322"/>
      <c r="BK1702" s="29">
        <f t="shared" si="1048"/>
        <v>0</v>
      </c>
      <c r="BL1702" s="317"/>
      <c r="BM1702" s="317"/>
      <c r="BN1702" s="317"/>
      <c r="BO1702" s="317"/>
      <c r="BP1702" s="317"/>
      <c r="BQ1702" s="317"/>
      <c r="BR1702" s="317"/>
      <c r="BS1702" s="317"/>
      <c r="BT1702" s="317"/>
      <c r="BU1702" s="317"/>
      <c r="BV1702" s="317"/>
      <c r="BW1702" s="317"/>
      <c r="BX1702" s="317"/>
      <c r="BY1702" s="317"/>
      <c r="BZ1702" s="317"/>
      <c r="CA1702" s="317"/>
      <c r="CB1702" s="317"/>
      <c r="CC1702" s="317"/>
      <c r="CD1702" s="317"/>
      <c r="CE1702" s="317"/>
      <c r="CF1702" s="317"/>
      <c r="CG1702" s="317"/>
      <c r="CH1702" s="317"/>
      <c r="CI1702" s="317"/>
      <c r="CM1702" s="1139">
        <f t="shared" si="1041"/>
        <v>0</v>
      </c>
      <c r="CN1702" s="1139">
        <v>0</v>
      </c>
      <c r="CP1702" s="923">
        <f t="shared" si="1033"/>
        <v>0</v>
      </c>
      <c r="CZ1702" s="330"/>
    </row>
    <row r="1703" spans="1:104" ht="18.75" customHeight="1" x14ac:dyDescent="0.25">
      <c r="A1703" s="1297">
        <f>MAX($A$6:A1702)+1</f>
        <v>1703</v>
      </c>
      <c r="B1703" s="1295">
        <f>SUMIF(Update!$B$33:$B$106,C1703,Update!$A$33:$A$106)</f>
        <v>17.200000000000003</v>
      </c>
      <c r="C1703" s="696" t="s">
        <v>2409</v>
      </c>
      <c r="D1703" s="695"/>
      <c r="E1703" s="696" t="str">
        <f>B1703&amp;" "&amp;C1703</f>
        <v>17.2 Quantitative disclosures around lease liabilities</v>
      </c>
      <c r="F1703" s="697"/>
      <c r="G1703" s="697"/>
      <c r="H1703" s="695"/>
      <c r="I1703" s="695"/>
      <c r="J1703" s="698" t="s">
        <v>286</v>
      </c>
      <c r="K1703" s="699">
        <f>SUMIF('alb Note 16  Leases'!$A:$A,$J1703,'alb Note 16  Leases'!$B:$B)</f>
        <v>0</v>
      </c>
      <c r="L1703" s="699">
        <f>SUMIF('alb Note 16  Leases'!$A:$A,$J1703,'alb Note 16  Leases'!$B:$B)</f>
        <v>0</v>
      </c>
      <c r="M1703" s="695"/>
      <c r="N1703" s="713">
        <f t="shared" si="1042"/>
        <v>0</v>
      </c>
      <c r="O1703" s="695"/>
      <c r="P1703" s="695"/>
      <c r="Q1703" s="695"/>
      <c r="R1703" s="695"/>
      <c r="S1703" s="695">
        <f t="shared" ref="S1703:S1754" si="1068">-IF(ISNUMBER(BD1703),BD1703,0)</f>
        <v>0</v>
      </c>
      <c r="T1703" s="713">
        <f t="shared" ref="T1703:T1713" si="1069">ROUND(SUM(U1703:Y1703),0)</f>
        <v>0</v>
      </c>
      <c r="U1703" s="695"/>
      <c r="V1703" s="695"/>
      <c r="W1703" s="695"/>
      <c r="X1703" s="695"/>
      <c r="Y1703" s="695"/>
      <c r="Z1703" s="695"/>
      <c r="AA1703" s="695"/>
      <c r="AB1703" s="695"/>
      <c r="AC1703" s="695"/>
      <c r="AD1703" s="695"/>
      <c r="AE1703" s="695"/>
      <c r="AF1703" s="695"/>
      <c r="AG1703" s="695"/>
      <c r="AH1703" s="695"/>
      <c r="AI1703" s="695"/>
      <c r="AJ1703" s="695"/>
      <c r="AK1703" s="695"/>
      <c r="AL1703" s="695"/>
      <c r="AM1703" s="695"/>
      <c r="AN1703" s="695"/>
      <c r="AO1703" s="695"/>
      <c r="AP1703" s="695"/>
      <c r="AQ1703" s="695"/>
      <c r="AR1703" s="695"/>
      <c r="AS1703" s="695"/>
      <c r="AT1703" s="695"/>
      <c r="AU1703" s="695"/>
      <c r="AV1703" s="695"/>
      <c r="AW1703" s="700"/>
      <c r="AX1703" s="700"/>
      <c r="AY1703" s="700">
        <f>ROUND(AX1703/1000/Update!$B$31*Update!$B$27,0)</f>
        <v>0</v>
      </c>
      <c r="AZ1703" s="700"/>
      <c r="BA1703" s="700"/>
      <c r="BB1703" s="700">
        <f>ROUND(BA1703/1000/Update!$B$31,0)</f>
        <v>0</v>
      </c>
      <c r="BC1703" s="700"/>
      <c r="BD1703" s="721">
        <f t="shared" si="1047"/>
        <v>0</v>
      </c>
      <c r="BE1703" s="700"/>
      <c r="BF1703" s="700"/>
      <c r="BG1703" s="700"/>
      <c r="BH1703" s="700"/>
      <c r="BI1703" s="700"/>
      <c r="BJ1703" s="700"/>
      <c r="BK1703" s="721">
        <f t="shared" si="1048"/>
        <v>0</v>
      </c>
      <c r="BL1703" s="700"/>
      <c r="BM1703" s="700"/>
      <c r="BN1703" s="700"/>
      <c r="BO1703" s="700"/>
      <c r="BP1703" s="700"/>
      <c r="BQ1703" s="700"/>
      <c r="BR1703" s="700"/>
      <c r="BS1703" s="700"/>
      <c r="BT1703" s="700"/>
      <c r="BU1703" s="700"/>
      <c r="BV1703" s="700"/>
      <c r="BW1703" s="700"/>
      <c r="BX1703" s="700"/>
      <c r="BY1703" s="700"/>
      <c r="BZ1703" s="700"/>
      <c r="CA1703" s="700"/>
      <c r="CB1703" s="700"/>
      <c r="CC1703" s="700"/>
      <c r="CD1703" s="700"/>
      <c r="CE1703" s="700"/>
      <c r="CF1703" s="700"/>
      <c r="CG1703" s="700"/>
      <c r="CH1703" s="700"/>
      <c r="CI1703" s="700"/>
      <c r="CJ1703" s="700"/>
      <c r="CK1703" s="700"/>
      <c r="CM1703" s="700">
        <f t="shared" si="1041"/>
        <v>0</v>
      </c>
      <c r="CN1703" s="700">
        <v>0</v>
      </c>
      <c r="CP1703" s="923">
        <f t="shared" si="1033"/>
        <v>0</v>
      </c>
      <c r="CZ1703" s="330"/>
    </row>
    <row r="1704" spans="1:104" ht="15" customHeight="1" x14ac:dyDescent="0.25">
      <c r="A1704" s="684">
        <f>MAX($A$6:A1703)+1</f>
        <v>1704</v>
      </c>
      <c r="B1704" s="3">
        <f>B1703</f>
        <v>17.200000000000003</v>
      </c>
      <c r="C1704" s="11" t="str">
        <f>C1703</f>
        <v>Quantitative disclosures around lease liabilities</v>
      </c>
      <c r="D1704" s="11" t="s">
        <v>196</v>
      </c>
      <c r="E1704" s="7" t="s">
        <v>216</v>
      </c>
      <c r="F1704" s="7"/>
      <c r="G1704" s="1281" t="s">
        <v>216</v>
      </c>
      <c r="H1704" s="6">
        <v>0</v>
      </c>
      <c r="I1704" s="6">
        <v>0</v>
      </c>
      <c r="J1704" s="1257" t="s">
        <v>216</v>
      </c>
      <c r="K1704" s="251">
        <f>SUMIF('alb Note 16  Leases'!$B$42:$B$49,$J1704,'alb Note 16  Leases'!$D$42:$D$49)</f>
        <v>0</v>
      </c>
      <c r="L1704" s="251">
        <f>SUMIF('alb Note 16  Leases'!$B$42:$B$49,$J1704,'alb Note 16  Leases'!$H$42:$H$49)</f>
        <v>0</v>
      </c>
      <c r="M1704" s="10"/>
      <c r="N1704" s="273">
        <f t="shared" si="1042"/>
        <v>0</v>
      </c>
      <c r="O1704" s="12"/>
      <c r="P1704" s="12"/>
      <c r="Q1704" s="12"/>
      <c r="R1704" s="12"/>
      <c r="S1704" s="6">
        <f t="shared" si="1068"/>
        <v>0</v>
      </c>
      <c r="T1704" s="273">
        <f t="shared" si="1069"/>
        <v>0</v>
      </c>
      <c r="U1704" s="6">
        <f t="shared" ref="U1704:U1713" si="1070">SUM(BL1704:BN1704)</f>
        <v>0</v>
      </c>
      <c r="V1704" s="6"/>
      <c r="W1704" s="6">
        <f t="shared" ref="W1704:W1713" si="1071">+H1704</f>
        <v>0</v>
      </c>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X1704" s="6"/>
      <c r="AY1704" s="6">
        <f>ROUND(AX1704/1000/Update!$B$31*Update!$B$27,0)</f>
        <v>0</v>
      </c>
      <c r="BA1704" s="6"/>
      <c r="BB1704" s="6">
        <f>ROUND(BA1704/1000/Update!$B$31,0)</f>
        <v>0</v>
      </c>
      <c r="BC1704" s="6"/>
      <c r="BD1704" s="29">
        <f t="shared" si="1047"/>
        <v>0</v>
      </c>
      <c r="BE1704" s="317"/>
      <c r="BF1704" s="317"/>
      <c r="BG1704" s="317"/>
      <c r="BH1704" s="317"/>
      <c r="BI1704" s="317"/>
      <c r="BJ1704" s="317"/>
      <c r="BK1704" s="29">
        <f t="shared" si="1048"/>
        <v>0</v>
      </c>
      <c r="BL1704" s="317"/>
      <c r="BM1704" s="317"/>
      <c r="BN1704" s="317"/>
      <c r="BO1704" s="317"/>
      <c r="BP1704" s="317"/>
      <c r="BQ1704" s="317"/>
      <c r="BR1704" s="317"/>
      <c r="BS1704" s="317"/>
      <c r="BT1704" s="317"/>
      <c r="BU1704" s="317"/>
      <c r="BV1704" s="317"/>
      <c r="BW1704" s="317"/>
      <c r="BX1704" s="317"/>
      <c r="BY1704" s="317"/>
      <c r="BZ1704" s="317"/>
      <c r="CA1704" s="317"/>
      <c r="CB1704" s="317"/>
      <c r="CC1704" s="317"/>
      <c r="CD1704" s="317"/>
      <c r="CE1704" s="317"/>
      <c r="CF1704" s="317"/>
      <c r="CG1704" s="317"/>
      <c r="CH1704" s="317"/>
      <c r="CI1704" s="317"/>
      <c r="CM1704" s="1139">
        <f t="shared" si="1041"/>
        <v>0</v>
      </c>
      <c r="CN1704" s="1139">
        <v>0</v>
      </c>
      <c r="CP1704" s="923">
        <f t="shared" si="1033"/>
        <v>0</v>
      </c>
      <c r="CZ1704" s="330"/>
    </row>
    <row r="1705" spans="1:104" ht="30" customHeight="1" x14ac:dyDescent="0.25">
      <c r="A1705" s="684">
        <f>MAX($A$6:A1704)+1</f>
        <v>1705</v>
      </c>
      <c r="B1705" s="3">
        <f t="shared" ref="B1705:B1713" si="1072">B1704</f>
        <v>17.200000000000003</v>
      </c>
      <c r="C1705" s="11" t="str">
        <f>C1704</f>
        <v>Quantitative disclosures around lease liabilities</v>
      </c>
      <c r="D1705" s="11" t="s">
        <v>196</v>
      </c>
      <c r="E1705" s="7" t="s">
        <v>218</v>
      </c>
      <c r="F1705" s="7"/>
      <c r="G1705" s="1281" t="s">
        <v>218</v>
      </c>
      <c r="H1705" s="6">
        <v>0</v>
      </c>
      <c r="I1705" s="6">
        <v>0</v>
      </c>
      <c r="J1705" s="1257" t="s">
        <v>218</v>
      </c>
      <c r="K1705" s="251">
        <f>SUMIF('alb Note 16  Leases'!$B$42:$B$49,$J1705,'alb Note 16  Leases'!$D$42:$D$49)</f>
        <v>0</v>
      </c>
      <c r="L1705" s="251">
        <f>SUMIF('alb Note 16  Leases'!$B$42:$B$49,$J1705,'alb Note 16  Leases'!$H$42:$H$49)</f>
        <v>0</v>
      </c>
      <c r="M1705" s="10"/>
      <c r="N1705" s="273">
        <f t="shared" si="1042"/>
        <v>0</v>
      </c>
      <c r="O1705" s="12"/>
      <c r="P1705" s="12"/>
      <c r="Q1705" s="12"/>
      <c r="R1705" s="12"/>
      <c r="S1705" s="6">
        <f t="shared" si="1068"/>
        <v>0</v>
      </c>
      <c r="T1705" s="273">
        <f t="shared" si="1069"/>
        <v>0</v>
      </c>
      <c r="U1705" s="6">
        <f t="shared" si="1070"/>
        <v>0</v>
      </c>
      <c r="V1705" s="6"/>
      <c r="W1705" s="6">
        <f t="shared" si="1071"/>
        <v>0</v>
      </c>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X1705" s="6"/>
      <c r="AY1705" s="6">
        <f>ROUND(AX1705/1000/Update!$B$31*Update!$B$27,0)</f>
        <v>0</v>
      </c>
      <c r="BA1705" s="6"/>
      <c r="BB1705" s="6">
        <f>ROUND(BA1705/1000/Update!$B$31,0)</f>
        <v>0</v>
      </c>
      <c r="BC1705" s="6"/>
      <c r="BD1705" s="29">
        <f t="shared" si="1047"/>
        <v>0</v>
      </c>
      <c r="BE1705" s="317"/>
      <c r="BF1705" s="317"/>
      <c r="BG1705" s="317"/>
      <c r="BH1705" s="317"/>
      <c r="BI1705" s="317"/>
      <c r="BJ1705" s="317"/>
      <c r="BK1705" s="29">
        <f t="shared" si="1048"/>
        <v>0</v>
      </c>
      <c r="BL1705" s="317"/>
      <c r="BM1705" s="317"/>
      <c r="BN1705" s="317"/>
      <c r="BO1705" s="317"/>
      <c r="BP1705" s="317"/>
      <c r="BQ1705" s="317"/>
      <c r="BR1705" s="317"/>
      <c r="BS1705" s="317"/>
      <c r="BT1705" s="317"/>
      <c r="BU1705" s="317"/>
      <c r="BV1705" s="317"/>
      <c r="BW1705" s="317"/>
      <c r="BX1705" s="317"/>
      <c r="BY1705" s="317"/>
      <c r="BZ1705" s="317"/>
      <c r="CA1705" s="317"/>
      <c r="CB1705" s="317"/>
      <c r="CC1705" s="317"/>
      <c r="CD1705" s="317"/>
      <c r="CE1705" s="317"/>
      <c r="CF1705" s="317"/>
      <c r="CG1705" s="317"/>
      <c r="CH1705" s="317"/>
      <c r="CI1705" s="317"/>
      <c r="CM1705" s="1139">
        <f t="shared" si="1041"/>
        <v>0</v>
      </c>
      <c r="CN1705" s="1139">
        <v>0</v>
      </c>
      <c r="CP1705" s="923">
        <f t="shared" si="1033"/>
        <v>0</v>
      </c>
      <c r="CZ1705" s="330"/>
    </row>
    <row r="1706" spans="1:104" ht="15" customHeight="1" x14ac:dyDescent="0.25">
      <c r="A1706" s="684">
        <f>MAX($A$6:A1705)+1</f>
        <v>1706</v>
      </c>
      <c r="B1706" s="3">
        <f t="shared" si="1072"/>
        <v>17.200000000000003</v>
      </c>
      <c r="C1706" s="11" t="str">
        <f>C1705</f>
        <v>Quantitative disclosures around lease liabilities</v>
      </c>
      <c r="D1706" s="11" t="s">
        <v>196</v>
      </c>
      <c r="E1706" s="7" t="s">
        <v>217</v>
      </c>
      <c r="F1706" s="7"/>
      <c r="G1706" s="1281" t="s">
        <v>217</v>
      </c>
      <c r="H1706" s="6">
        <v>0</v>
      </c>
      <c r="I1706" s="6">
        <v>0</v>
      </c>
      <c r="J1706" s="1257" t="s">
        <v>217</v>
      </c>
      <c r="K1706" s="251">
        <f>SUMIF('alb Note 16  Leases'!$B$42:$B$49,$J1706,'alb Note 16  Leases'!$D$42:$D$49)</f>
        <v>0</v>
      </c>
      <c r="L1706" s="251">
        <f>SUMIF('alb Note 16  Leases'!$B$42:$B$49,$J1706,'alb Note 16  Leases'!$H$42:$H$49)</f>
        <v>0</v>
      </c>
      <c r="M1706" s="10"/>
      <c r="N1706" s="273">
        <f t="shared" si="1042"/>
        <v>0</v>
      </c>
      <c r="O1706" s="12"/>
      <c r="P1706" s="12"/>
      <c r="Q1706" s="12"/>
      <c r="R1706" s="12"/>
      <c r="S1706" s="6">
        <f t="shared" si="1068"/>
        <v>0</v>
      </c>
      <c r="T1706" s="273">
        <f t="shared" si="1069"/>
        <v>0</v>
      </c>
      <c r="U1706" s="6">
        <f t="shared" si="1070"/>
        <v>0</v>
      </c>
      <c r="V1706" s="6"/>
      <c r="W1706" s="6">
        <f t="shared" si="1071"/>
        <v>0</v>
      </c>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X1706" s="6"/>
      <c r="AY1706" s="6">
        <f>ROUND(AX1706/1000/Update!$B$31*Update!$B$27,0)</f>
        <v>0</v>
      </c>
      <c r="BA1706" s="6"/>
      <c r="BB1706" s="6">
        <f>ROUND(BA1706/1000/Update!$B$31,0)</f>
        <v>0</v>
      </c>
      <c r="BC1706" s="6"/>
      <c r="BD1706" s="29">
        <f t="shared" si="1047"/>
        <v>0</v>
      </c>
      <c r="BE1706" s="317"/>
      <c r="BF1706" s="317"/>
      <c r="BG1706" s="317"/>
      <c r="BH1706" s="317"/>
      <c r="BI1706" s="317"/>
      <c r="BJ1706" s="317"/>
      <c r="BK1706" s="29">
        <f t="shared" si="1048"/>
        <v>0</v>
      </c>
      <c r="BL1706" s="317"/>
      <c r="BM1706" s="317"/>
      <c r="BN1706" s="317"/>
      <c r="BO1706" s="317"/>
      <c r="BP1706" s="317"/>
      <c r="BQ1706" s="317"/>
      <c r="BR1706" s="317"/>
      <c r="BS1706" s="317"/>
      <c r="BT1706" s="317"/>
      <c r="BU1706" s="317"/>
      <c r="BV1706" s="317"/>
      <c r="BW1706" s="317"/>
      <c r="BX1706" s="317"/>
      <c r="BY1706" s="317"/>
      <c r="BZ1706" s="317"/>
      <c r="CA1706" s="317"/>
      <c r="CB1706" s="317"/>
      <c r="CC1706" s="317"/>
      <c r="CD1706" s="317"/>
      <c r="CE1706" s="317"/>
      <c r="CF1706" s="317"/>
      <c r="CG1706" s="317"/>
      <c r="CH1706" s="317"/>
      <c r="CI1706" s="317"/>
      <c r="CM1706" s="1139">
        <f t="shared" si="1041"/>
        <v>0</v>
      </c>
      <c r="CN1706" s="1139">
        <v>0</v>
      </c>
      <c r="CP1706" s="923">
        <f t="shared" si="1033"/>
        <v>0</v>
      </c>
      <c r="CZ1706" s="330"/>
    </row>
    <row r="1707" spans="1:104" ht="15" customHeight="1" x14ac:dyDescent="0.25">
      <c r="A1707" s="684">
        <f>MAX($A$6:A1706)+1</f>
        <v>1707</v>
      </c>
      <c r="B1707" s="3">
        <f t="shared" si="1072"/>
        <v>17.200000000000003</v>
      </c>
      <c r="C1707" s="11" t="str">
        <f>C1706</f>
        <v>Quantitative disclosures around lease liabilities</v>
      </c>
      <c r="D1707" s="11" t="s">
        <v>196</v>
      </c>
      <c r="E1707" s="7" t="s">
        <v>659</v>
      </c>
      <c r="F1707" s="7"/>
      <c r="G1707" s="1281" t="s">
        <v>642</v>
      </c>
      <c r="H1707" s="6">
        <v>0</v>
      </c>
      <c r="I1707" s="6">
        <v>0</v>
      </c>
      <c r="J1707" s="1257" t="s">
        <v>642</v>
      </c>
      <c r="K1707" s="251">
        <f>SUMIF('alb Note 16  Leases'!$B$42:$B$49,$J1707,'alb Note 16  Leases'!$D$42:$D$49)</f>
        <v>0</v>
      </c>
      <c r="L1707" s="251">
        <f>SUMIF('alb Note 16  Leases'!$B$42:$B$49,$J1707,'alb Note 16  Leases'!$H$42:$H$49)</f>
        <v>0</v>
      </c>
      <c r="M1707" s="10"/>
      <c r="N1707" s="273">
        <f t="shared" si="1042"/>
        <v>0</v>
      </c>
      <c r="O1707" s="12"/>
      <c r="P1707" s="12"/>
      <c r="Q1707" s="12"/>
      <c r="R1707" s="12"/>
      <c r="S1707" s="6">
        <f t="shared" si="1068"/>
        <v>0</v>
      </c>
      <c r="T1707" s="273">
        <f t="shared" si="1069"/>
        <v>0</v>
      </c>
      <c r="U1707" s="6">
        <f t="shared" si="1070"/>
        <v>0</v>
      </c>
      <c r="V1707" s="6"/>
      <c r="W1707" s="6">
        <f t="shared" si="1071"/>
        <v>0</v>
      </c>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X1707" s="6"/>
      <c r="AY1707" s="6">
        <f>ROUND(AX1707/1000/Update!$B$31*Update!$B$27,0)</f>
        <v>0</v>
      </c>
      <c r="BA1707" s="6"/>
      <c r="BB1707" s="6">
        <f>ROUND(BA1707/1000/Update!$B$31,0)</f>
        <v>0</v>
      </c>
      <c r="BC1707" s="6"/>
      <c r="BD1707" s="29">
        <f t="shared" si="1047"/>
        <v>0</v>
      </c>
      <c r="BE1707" s="317"/>
      <c r="BF1707" s="317"/>
      <c r="BG1707" s="317"/>
      <c r="BH1707" s="317"/>
      <c r="BI1707" s="317"/>
      <c r="BJ1707" s="317"/>
      <c r="BK1707" s="29">
        <f t="shared" si="1048"/>
        <v>0</v>
      </c>
      <c r="BL1707" s="317"/>
      <c r="BM1707" s="317"/>
      <c r="BN1707" s="317"/>
      <c r="BO1707" s="317"/>
      <c r="BP1707" s="317"/>
      <c r="BQ1707" s="317"/>
      <c r="BR1707" s="317"/>
      <c r="BS1707" s="317"/>
      <c r="BT1707" s="317"/>
      <c r="BU1707" s="317"/>
      <c r="BV1707" s="317"/>
      <c r="BW1707" s="317"/>
      <c r="BX1707" s="317"/>
      <c r="BY1707" s="317"/>
      <c r="BZ1707" s="317"/>
      <c r="CA1707" s="317"/>
      <c r="CB1707" s="317"/>
      <c r="CC1707" s="317"/>
      <c r="CD1707" s="317"/>
      <c r="CE1707" s="317"/>
      <c r="CF1707" s="317"/>
      <c r="CG1707" s="317"/>
      <c r="CH1707" s="317"/>
      <c r="CI1707" s="317"/>
      <c r="CM1707" s="1139">
        <f t="shared" si="1041"/>
        <v>0</v>
      </c>
      <c r="CN1707" s="1139">
        <v>0</v>
      </c>
      <c r="CP1707" s="923">
        <f t="shared" si="1033"/>
        <v>0</v>
      </c>
      <c r="CZ1707" s="330"/>
    </row>
    <row r="1708" spans="1:104" ht="15" customHeight="1" x14ac:dyDescent="0.25">
      <c r="A1708" s="684">
        <f>MAX($A$6:A1707)+1</f>
        <v>1708</v>
      </c>
      <c r="B1708" s="3">
        <f t="shared" si="1072"/>
        <v>17.200000000000003</v>
      </c>
      <c r="C1708" s="11" t="str">
        <f>C1706</f>
        <v>Quantitative disclosures around lease liabilities</v>
      </c>
      <c r="D1708" s="11" t="s">
        <v>181</v>
      </c>
      <c r="E1708" s="7" t="s">
        <v>216</v>
      </c>
      <c r="F1708" s="7"/>
      <c r="G1708" s="1281" t="s">
        <v>216</v>
      </c>
      <c r="H1708" s="6">
        <v>0</v>
      </c>
      <c r="I1708" s="6">
        <v>0</v>
      </c>
      <c r="J1708" s="1257" t="s">
        <v>216</v>
      </c>
      <c r="K1708" s="251">
        <f>SUMIF('alb Note 16  Leases'!$B$50:$B$58,$J1708,'alb Note 16  Leases'!$D$50:$D$58)</f>
        <v>0</v>
      </c>
      <c r="L1708" s="251">
        <f>SUMIF('alb Note 16  Leases'!$B$50:$B$58,$J1708,'alb Note 16  Leases'!$H$50:$H$58)</f>
        <v>0</v>
      </c>
      <c r="M1708" s="10"/>
      <c r="N1708" s="273">
        <f t="shared" si="1042"/>
        <v>0</v>
      </c>
      <c r="O1708" s="12"/>
      <c r="P1708" s="12"/>
      <c r="Q1708" s="12"/>
      <c r="R1708" s="12"/>
      <c r="S1708" s="6">
        <f t="shared" si="1068"/>
        <v>0</v>
      </c>
      <c r="T1708" s="273">
        <f t="shared" si="1069"/>
        <v>0</v>
      </c>
      <c r="U1708" s="6">
        <f t="shared" si="1070"/>
        <v>0</v>
      </c>
      <c r="V1708" s="6"/>
      <c r="W1708" s="6">
        <f t="shared" si="1071"/>
        <v>0</v>
      </c>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X1708" s="6"/>
      <c r="AY1708" s="6">
        <f>ROUND(AX1708/1000/Update!$B$31*Update!$B$27,0)</f>
        <v>0</v>
      </c>
      <c r="BA1708" s="6"/>
      <c r="BB1708" s="6">
        <f>ROUND(BA1708/1000/Update!$B$31,0)</f>
        <v>0</v>
      </c>
      <c r="BC1708" s="6"/>
      <c r="BD1708" s="29">
        <f t="shared" si="1047"/>
        <v>0</v>
      </c>
      <c r="BE1708" s="317"/>
      <c r="BF1708" s="317"/>
      <c r="BG1708" s="317"/>
      <c r="BH1708" s="317"/>
      <c r="BI1708" s="317"/>
      <c r="BJ1708" s="317"/>
      <c r="BK1708" s="29">
        <f t="shared" si="1048"/>
        <v>0</v>
      </c>
      <c r="BL1708" s="317"/>
      <c r="BM1708" s="317"/>
      <c r="BN1708" s="317"/>
      <c r="BO1708" s="317"/>
      <c r="BP1708" s="317"/>
      <c r="BQ1708" s="317"/>
      <c r="BR1708" s="317"/>
      <c r="BS1708" s="317"/>
      <c r="BT1708" s="317"/>
      <c r="BU1708" s="317"/>
      <c r="BV1708" s="317"/>
      <c r="BW1708" s="317"/>
      <c r="BX1708" s="317"/>
      <c r="BY1708" s="317"/>
      <c r="BZ1708" s="317"/>
      <c r="CA1708" s="317"/>
      <c r="CB1708" s="317"/>
      <c r="CC1708" s="317"/>
      <c r="CD1708" s="317"/>
      <c r="CE1708" s="317"/>
      <c r="CF1708" s="317"/>
      <c r="CG1708" s="317"/>
      <c r="CH1708" s="317"/>
      <c r="CI1708" s="317"/>
      <c r="CM1708" s="1139">
        <f t="shared" si="1041"/>
        <v>0</v>
      </c>
      <c r="CN1708" s="1139">
        <v>0</v>
      </c>
      <c r="CP1708" s="923">
        <f t="shared" si="1033"/>
        <v>0</v>
      </c>
      <c r="CZ1708" s="330"/>
    </row>
    <row r="1709" spans="1:104" ht="30" customHeight="1" x14ac:dyDescent="0.25">
      <c r="A1709" s="684">
        <f>MAX($A$6:A1708)+1</f>
        <v>1709</v>
      </c>
      <c r="B1709" s="3">
        <f t="shared" si="1072"/>
        <v>17.200000000000003</v>
      </c>
      <c r="C1709" s="11" t="str">
        <f>C1708</f>
        <v>Quantitative disclosures around lease liabilities</v>
      </c>
      <c r="D1709" s="11" t="s">
        <v>181</v>
      </c>
      <c r="E1709" s="7" t="s">
        <v>218</v>
      </c>
      <c r="F1709" s="7"/>
      <c r="G1709" s="1281" t="s">
        <v>218</v>
      </c>
      <c r="H1709" s="6">
        <v>0</v>
      </c>
      <c r="I1709" s="6">
        <v>0</v>
      </c>
      <c r="J1709" s="1257" t="s">
        <v>218</v>
      </c>
      <c r="K1709" s="251">
        <f>SUMIF('alb Note 16  Leases'!$B$50:$B$58,$J1709,'alb Note 16  Leases'!$D$50:$D$58)</f>
        <v>0</v>
      </c>
      <c r="L1709" s="251">
        <f>SUMIF('alb Note 16  Leases'!$B$50:$B$58,$J1709,'alb Note 16  Leases'!$H$50:$H$58)</f>
        <v>0</v>
      </c>
      <c r="M1709" s="10"/>
      <c r="N1709" s="273">
        <f t="shared" si="1042"/>
        <v>0</v>
      </c>
      <c r="O1709" s="12"/>
      <c r="P1709" s="12"/>
      <c r="Q1709" s="12"/>
      <c r="R1709" s="12"/>
      <c r="S1709" s="6">
        <f t="shared" si="1068"/>
        <v>0</v>
      </c>
      <c r="T1709" s="273">
        <f t="shared" si="1069"/>
        <v>0</v>
      </c>
      <c r="U1709" s="6">
        <f t="shared" si="1070"/>
        <v>0</v>
      </c>
      <c r="V1709" s="6"/>
      <c r="W1709" s="6">
        <f t="shared" si="1071"/>
        <v>0</v>
      </c>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X1709" s="6"/>
      <c r="AY1709" s="6">
        <f>ROUND(AX1709/1000/Update!$B$31*Update!$B$27,0)</f>
        <v>0</v>
      </c>
      <c r="BA1709" s="6"/>
      <c r="BB1709" s="6">
        <f>ROUND(BA1709/1000/Update!$B$31,0)</f>
        <v>0</v>
      </c>
      <c r="BC1709" s="6"/>
      <c r="BD1709" s="29">
        <f t="shared" si="1047"/>
        <v>0</v>
      </c>
      <c r="BE1709" s="317"/>
      <c r="BF1709" s="317"/>
      <c r="BG1709" s="317"/>
      <c r="BH1709" s="317"/>
      <c r="BI1709" s="317"/>
      <c r="BJ1709" s="317"/>
      <c r="BK1709" s="29">
        <f t="shared" si="1048"/>
        <v>0</v>
      </c>
      <c r="BL1709" s="317"/>
      <c r="BM1709" s="317"/>
      <c r="BN1709" s="317"/>
      <c r="BO1709" s="317"/>
      <c r="BP1709" s="317"/>
      <c r="BQ1709" s="317"/>
      <c r="BR1709" s="317"/>
      <c r="BS1709" s="317"/>
      <c r="BT1709" s="317"/>
      <c r="BU1709" s="317"/>
      <c r="BV1709" s="317"/>
      <c r="BW1709" s="317"/>
      <c r="BX1709" s="317"/>
      <c r="BY1709" s="317"/>
      <c r="BZ1709" s="317"/>
      <c r="CA1709" s="317"/>
      <c r="CB1709" s="317"/>
      <c r="CC1709" s="317"/>
      <c r="CD1709" s="317"/>
      <c r="CE1709" s="317"/>
      <c r="CF1709" s="317"/>
      <c r="CG1709" s="317"/>
      <c r="CH1709" s="317"/>
      <c r="CI1709" s="317"/>
      <c r="CM1709" s="1139">
        <f t="shared" si="1041"/>
        <v>0</v>
      </c>
      <c r="CN1709" s="1139">
        <v>0</v>
      </c>
      <c r="CP1709" s="923">
        <f t="shared" si="1033"/>
        <v>0</v>
      </c>
      <c r="CZ1709" s="330"/>
    </row>
    <row r="1710" spans="1:104" ht="15" customHeight="1" x14ac:dyDescent="0.25">
      <c r="A1710" s="684">
        <f>MAX($A$6:A1709)+1</f>
        <v>1710</v>
      </c>
      <c r="B1710" s="3">
        <f t="shared" si="1072"/>
        <v>17.200000000000003</v>
      </c>
      <c r="C1710" s="11" t="str">
        <f>C1708</f>
        <v>Quantitative disclosures around lease liabilities</v>
      </c>
      <c r="D1710" s="11" t="s">
        <v>181</v>
      </c>
      <c r="E1710" s="7" t="s">
        <v>217</v>
      </c>
      <c r="F1710" s="7"/>
      <c r="G1710" s="1281" t="s">
        <v>217</v>
      </c>
      <c r="H1710" s="6">
        <v>0</v>
      </c>
      <c r="I1710" s="6">
        <v>0</v>
      </c>
      <c r="J1710" s="1257" t="s">
        <v>217</v>
      </c>
      <c r="K1710" s="251">
        <f>SUMIF('alb Note 16  Leases'!$B$50:$B$58,$J1710,'alb Note 16  Leases'!$D$50:$D$58)</f>
        <v>0</v>
      </c>
      <c r="L1710" s="251">
        <f>SUMIF('alb Note 16  Leases'!$B$50:$B$58,$J1710,'alb Note 16  Leases'!$H$50:$H$58)</f>
        <v>0</v>
      </c>
      <c r="M1710" s="10"/>
      <c r="N1710" s="273">
        <f t="shared" si="1042"/>
        <v>0</v>
      </c>
      <c r="O1710" s="12"/>
      <c r="P1710" s="12"/>
      <c r="Q1710" s="12"/>
      <c r="R1710" s="12"/>
      <c r="S1710" s="6">
        <f t="shared" si="1068"/>
        <v>0</v>
      </c>
      <c r="T1710" s="273">
        <f t="shared" si="1069"/>
        <v>0</v>
      </c>
      <c r="U1710" s="6">
        <f t="shared" si="1070"/>
        <v>0</v>
      </c>
      <c r="V1710" s="6"/>
      <c r="W1710" s="6">
        <f t="shared" si="1071"/>
        <v>0</v>
      </c>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X1710" s="6"/>
      <c r="AY1710" s="6">
        <f>ROUND(AX1710/1000/Update!$B$31*Update!$B$27,0)</f>
        <v>0</v>
      </c>
      <c r="BA1710" s="6"/>
      <c r="BB1710" s="6">
        <f>ROUND(BA1710/1000/Update!$B$31,0)</f>
        <v>0</v>
      </c>
      <c r="BC1710" s="6"/>
      <c r="BD1710" s="29">
        <f t="shared" si="1047"/>
        <v>0</v>
      </c>
      <c r="BE1710" s="317"/>
      <c r="BF1710" s="317"/>
      <c r="BG1710" s="317"/>
      <c r="BH1710" s="317"/>
      <c r="BI1710" s="317"/>
      <c r="BJ1710" s="317"/>
      <c r="BK1710" s="29">
        <f t="shared" si="1048"/>
        <v>0</v>
      </c>
      <c r="BL1710" s="317"/>
      <c r="BM1710" s="317"/>
      <c r="BN1710" s="317"/>
      <c r="BO1710" s="317"/>
      <c r="BP1710" s="317"/>
      <c r="BQ1710" s="317"/>
      <c r="BR1710" s="317"/>
      <c r="BS1710" s="317"/>
      <c r="BT1710" s="317"/>
      <c r="BU1710" s="317"/>
      <c r="BV1710" s="317"/>
      <c r="BW1710" s="317"/>
      <c r="BX1710" s="317"/>
      <c r="BY1710" s="317"/>
      <c r="BZ1710" s="317"/>
      <c r="CA1710" s="317"/>
      <c r="CB1710" s="317"/>
      <c r="CC1710" s="317"/>
      <c r="CD1710" s="317"/>
      <c r="CE1710" s="317"/>
      <c r="CF1710" s="317"/>
      <c r="CG1710" s="317"/>
      <c r="CH1710" s="317"/>
      <c r="CI1710" s="317"/>
      <c r="CM1710" s="1139">
        <f t="shared" si="1041"/>
        <v>0</v>
      </c>
      <c r="CN1710" s="1139">
        <v>0</v>
      </c>
      <c r="CP1710" s="923">
        <f t="shared" si="1033"/>
        <v>0</v>
      </c>
      <c r="CZ1710" s="330"/>
    </row>
    <row r="1711" spans="1:104" ht="15" customHeight="1" x14ac:dyDescent="0.25">
      <c r="A1711" s="684">
        <f>MAX($A$6:A1710)+1</f>
        <v>1711</v>
      </c>
      <c r="B1711" s="3">
        <f t="shared" si="1072"/>
        <v>17.200000000000003</v>
      </c>
      <c r="C1711" s="11" t="str">
        <f>C1709</f>
        <v>Quantitative disclosures around lease liabilities</v>
      </c>
      <c r="D1711" s="11" t="s">
        <v>181</v>
      </c>
      <c r="E1711" s="7" t="s">
        <v>659</v>
      </c>
      <c r="F1711" s="7"/>
      <c r="G1711" s="1281" t="s">
        <v>642</v>
      </c>
      <c r="H1711" s="6">
        <v>0</v>
      </c>
      <c r="I1711" s="6">
        <v>0</v>
      </c>
      <c r="J1711" s="1257" t="s">
        <v>642</v>
      </c>
      <c r="K1711" s="251">
        <f>SUMIF('alb Note 16  Leases'!$B$50:$B$58,$J1711,'alb Note 16  Leases'!$D$50:$D$58)</f>
        <v>0</v>
      </c>
      <c r="L1711" s="251">
        <f>SUMIF('alb Note 16  Leases'!$B$50:$B$58,$J1711,'alb Note 16  Leases'!$H$50:$H$58)</f>
        <v>0</v>
      </c>
      <c r="M1711" s="10"/>
      <c r="N1711" s="273">
        <f t="shared" si="1042"/>
        <v>0</v>
      </c>
      <c r="O1711" s="12"/>
      <c r="P1711" s="12"/>
      <c r="Q1711" s="12"/>
      <c r="R1711" s="12"/>
      <c r="S1711" s="6">
        <f t="shared" si="1068"/>
        <v>0</v>
      </c>
      <c r="T1711" s="273">
        <f t="shared" si="1069"/>
        <v>0</v>
      </c>
      <c r="U1711" s="6">
        <f t="shared" si="1070"/>
        <v>0</v>
      </c>
      <c r="V1711" s="6"/>
      <c r="W1711" s="6">
        <f t="shared" si="1071"/>
        <v>0</v>
      </c>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X1711" s="6"/>
      <c r="AY1711" s="6">
        <f>ROUND(AX1711/1000/Update!$B$31*Update!$B$27,0)</f>
        <v>0</v>
      </c>
      <c r="BA1711" s="6"/>
      <c r="BB1711" s="6">
        <f>ROUND(BA1711/1000/Update!$B$31,0)</f>
        <v>0</v>
      </c>
      <c r="BC1711" s="6"/>
      <c r="BD1711" s="29">
        <f t="shared" si="1047"/>
        <v>0</v>
      </c>
      <c r="BE1711" s="317"/>
      <c r="BF1711" s="317"/>
      <c r="BG1711" s="317"/>
      <c r="BH1711" s="317"/>
      <c r="BI1711" s="317"/>
      <c r="BJ1711" s="317"/>
      <c r="BK1711" s="29">
        <f t="shared" si="1048"/>
        <v>0</v>
      </c>
      <c r="BL1711" s="317"/>
      <c r="BM1711" s="317"/>
      <c r="BN1711" s="317"/>
      <c r="BO1711" s="317"/>
      <c r="BP1711" s="317"/>
      <c r="BQ1711" s="317"/>
      <c r="BR1711" s="317"/>
      <c r="BS1711" s="317"/>
      <c r="BT1711" s="317"/>
      <c r="BU1711" s="317"/>
      <c r="BV1711" s="317"/>
      <c r="BW1711" s="317"/>
      <c r="BX1711" s="317"/>
      <c r="BY1711" s="317"/>
      <c r="BZ1711" s="317"/>
      <c r="CA1711" s="317"/>
      <c r="CB1711" s="317"/>
      <c r="CC1711" s="317"/>
      <c r="CD1711" s="317"/>
      <c r="CE1711" s="317"/>
      <c r="CF1711" s="317"/>
      <c r="CG1711" s="317"/>
      <c r="CH1711" s="317"/>
      <c r="CI1711" s="317"/>
      <c r="CM1711" s="1139">
        <f t="shared" si="1041"/>
        <v>0</v>
      </c>
      <c r="CN1711" s="1139">
        <v>0</v>
      </c>
      <c r="CP1711" s="923">
        <f t="shared" si="1033"/>
        <v>0</v>
      </c>
      <c r="CZ1711" s="330"/>
    </row>
    <row r="1712" spans="1:104" ht="15" customHeight="1" x14ac:dyDescent="0.25">
      <c r="A1712" s="701">
        <f>MAX($A$6:A1711)+1</f>
        <v>1712</v>
      </c>
      <c r="B1712" s="1291">
        <f t="shared" si="1072"/>
        <v>17.200000000000003</v>
      </c>
      <c r="C1712" s="11" t="str">
        <f>C1710</f>
        <v>Quantitative disclosures around lease liabilities</v>
      </c>
      <c r="D1712" s="18" t="s">
        <v>2413</v>
      </c>
      <c r="E1712" s="19" t="s">
        <v>2413</v>
      </c>
      <c r="F1712" s="19"/>
      <c r="G1712" s="1278" t="s">
        <v>2413</v>
      </c>
      <c r="H1712" s="14">
        <v>0</v>
      </c>
      <c r="I1712" s="14">
        <v>0</v>
      </c>
      <c r="J1712" s="1258" t="s">
        <v>2413</v>
      </c>
      <c r="K1712" s="256">
        <f>SUMIF('alb Note 16  Leases'!$B$60:$B$62,$J1712,'alb Note 16  Leases'!$D$60:$D$62)</f>
        <v>0</v>
      </c>
      <c r="L1712" s="256">
        <f>SUMIF('alb Note 16  Leases'!$B$60:$B$62,$J1712,'alb Note 16  Leases'!$H$60:$H$62)</f>
        <v>0</v>
      </c>
      <c r="M1712" s="14"/>
      <c r="N1712" s="14">
        <f t="shared" si="1042"/>
        <v>0</v>
      </c>
      <c r="O1712" s="14"/>
      <c r="P1712" s="14"/>
      <c r="Q1712" s="14"/>
      <c r="R1712" s="14"/>
      <c r="S1712" s="14">
        <f>-IF(ISNUMBER(BD1712),BD1712,0)</f>
        <v>0</v>
      </c>
      <c r="T1712" s="14">
        <f t="shared" si="1069"/>
        <v>0</v>
      </c>
      <c r="U1712" s="14">
        <f>SUM(BL1712:BN1712)</f>
        <v>0</v>
      </c>
      <c r="V1712" s="14"/>
      <c r="W1712" s="14">
        <f>+H1712</f>
        <v>0</v>
      </c>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2"/>
      <c r="AX1712" s="14"/>
      <c r="AY1712" s="14">
        <f>ROUND(AX1712/1000/Update!$B$31*Update!$B$27,0)</f>
        <v>0</v>
      </c>
      <c r="AZ1712" s="2"/>
      <c r="BA1712" s="14"/>
      <c r="BB1712" s="14">
        <f>ROUND(BA1712/1000/Update!$B$31,0)</f>
        <v>0</v>
      </c>
      <c r="BC1712" s="14"/>
      <c r="BD1712" s="14">
        <f t="shared" si="1047"/>
        <v>0</v>
      </c>
      <c r="BE1712" s="318"/>
      <c r="BF1712" s="318"/>
      <c r="BG1712" s="318"/>
      <c r="BH1712" s="318"/>
      <c r="BI1712" s="318"/>
      <c r="BJ1712" s="318"/>
      <c r="BK1712" s="14">
        <f t="shared" si="1048"/>
        <v>0</v>
      </c>
      <c r="BL1712" s="318"/>
      <c r="BM1712" s="318"/>
      <c r="BN1712" s="318"/>
      <c r="BO1712" s="318"/>
      <c r="BP1712" s="318"/>
      <c r="BQ1712" s="318"/>
      <c r="BR1712" s="318"/>
      <c r="BS1712" s="318"/>
      <c r="BT1712" s="318"/>
      <c r="BU1712" s="318"/>
      <c r="BV1712" s="318"/>
      <c r="BW1712" s="318"/>
      <c r="BX1712" s="318"/>
      <c r="BY1712" s="318"/>
      <c r="BZ1712" s="318"/>
      <c r="CA1712" s="318"/>
      <c r="CB1712" s="318"/>
      <c r="CC1712" s="318"/>
      <c r="CD1712" s="318"/>
      <c r="CE1712" s="318"/>
      <c r="CF1712" s="318"/>
      <c r="CG1712" s="318"/>
      <c r="CH1712" s="318"/>
      <c r="CI1712" s="318"/>
      <c r="CJ1712" s="2"/>
      <c r="CK1712" s="2"/>
      <c r="CM1712" s="1140">
        <f t="shared" si="1041"/>
        <v>0</v>
      </c>
      <c r="CN1712" s="1140">
        <v>0</v>
      </c>
      <c r="CP1712" s="923">
        <f t="shared" si="1033"/>
        <v>0</v>
      </c>
      <c r="CZ1712" s="330"/>
    </row>
    <row r="1713" spans="1:104" ht="15" customHeight="1" x14ac:dyDescent="0.25">
      <c r="A1713" s="701">
        <f>MAX($A$6:A1712)+1</f>
        <v>1713</v>
      </c>
      <c r="B1713" s="1291">
        <f t="shared" si="1072"/>
        <v>17.200000000000003</v>
      </c>
      <c r="C1713" s="11" t="str">
        <f>C1711</f>
        <v>Quantitative disclosures around lease liabilities</v>
      </c>
      <c r="D1713" s="18" t="s">
        <v>2414</v>
      </c>
      <c r="E1713" s="19" t="s">
        <v>2414</v>
      </c>
      <c r="F1713" s="19"/>
      <c r="G1713" s="1278" t="s">
        <v>2414</v>
      </c>
      <c r="H1713" s="14">
        <v>0</v>
      </c>
      <c r="I1713" s="14">
        <v>0</v>
      </c>
      <c r="J1713" s="1258" t="s">
        <v>2414</v>
      </c>
      <c r="K1713" s="256">
        <f>SUMIF('alb Note 16  Leases'!$B$60:$B$62,$J1713,'alb Note 16  Leases'!$D$60:$D$62)</f>
        <v>0</v>
      </c>
      <c r="L1713" s="256">
        <f>SUMIF('alb Note 16  Leases'!$B$60:$B$62,$J1713,'alb Note 16  Leases'!$H$60:$H$62)</f>
        <v>0</v>
      </c>
      <c r="M1713" s="14"/>
      <c r="N1713" s="14">
        <f t="shared" si="1042"/>
        <v>0</v>
      </c>
      <c r="O1713" s="14"/>
      <c r="P1713" s="14"/>
      <c r="Q1713" s="14"/>
      <c r="R1713" s="14"/>
      <c r="S1713" s="14">
        <f>-IF(ISNUMBER(BD1713),BD1713,0)</f>
        <v>0</v>
      </c>
      <c r="T1713" s="14">
        <f t="shared" si="1069"/>
        <v>0</v>
      </c>
      <c r="U1713" s="14">
        <f t="shared" si="1070"/>
        <v>0</v>
      </c>
      <c r="V1713" s="14"/>
      <c r="W1713" s="14">
        <f t="shared" si="1071"/>
        <v>0</v>
      </c>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2"/>
      <c r="AX1713" s="14"/>
      <c r="AY1713" s="14">
        <f>ROUND(AX1713/1000/Update!$B$31*Update!$B$27,0)</f>
        <v>0</v>
      </c>
      <c r="AZ1713" s="2"/>
      <c r="BA1713" s="14"/>
      <c r="BB1713" s="14">
        <f>ROUND(BA1713/1000/Update!$B$31,0)</f>
        <v>0</v>
      </c>
      <c r="BC1713" s="14"/>
      <c r="BD1713" s="14">
        <f t="shared" si="1047"/>
        <v>0</v>
      </c>
      <c r="BE1713" s="318"/>
      <c r="BF1713" s="318"/>
      <c r="BG1713" s="318"/>
      <c r="BH1713" s="318"/>
      <c r="BI1713" s="318"/>
      <c r="BJ1713" s="318"/>
      <c r="BK1713" s="14">
        <f t="shared" si="1048"/>
        <v>0</v>
      </c>
      <c r="BL1713" s="318"/>
      <c r="BM1713" s="318"/>
      <c r="BN1713" s="318"/>
      <c r="BO1713" s="318"/>
      <c r="BP1713" s="318"/>
      <c r="BQ1713" s="318"/>
      <c r="BR1713" s="318"/>
      <c r="BS1713" s="318"/>
      <c r="BT1713" s="318"/>
      <c r="BU1713" s="318"/>
      <c r="BV1713" s="318"/>
      <c r="BW1713" s="318"/>
      <c r="BX1713" s="318"/>
      <c r="BY1713" s="318"/>
      <c r="BZ1713" s="318"/>
      <c r="CA1713" s="318"/>
      <c r="CB1713" s="318"/>
      <c r="CC1713" s="318"/>
      <c r="CD1713" s="318"/>
      <c r="CE1713" s="318"/>
      <c r="CF1713" s="318"/>
      <c r="CG1713" s="318"/>
      <c r="CH1713" s="318"/>
      <c r="CI1713" s="318"/>
      <c r="CJ1713" s="2"/>
      <c r="CK1713" s="2"/>
      <c r="CM1713" s="1140">
        <f t="shared" si="1041"/>
        <v>0</v>
      </c>
      <c r="CN1713" s="1140">
        <v>0</v>
      </c>
      <c r="CP1713" s="923">
        <f t="shared" si="1033"/>
        <v>0</v>
      </c>
      <c r="CZ1713" s="330"/>
    </row>
    <row r="1714" spans="1:104" ht="18.75" customHeight="1" x14ac:dyDescent="0.25">
      <c r="A1714" s="1297">
        <f>MAX($A$6:A1713)+1</f>
        <v>1714</v>
      </c>
      <c r="B1714" s="1295">
        <f>SUMIF(Update!$B$33:$B$106,C1714,Update!$A$33:$A$106)</f>
        <v>17.300000000000004</v>
      </c>
      <c r="C1714" s="696" t="s">
        <v>2410</v>
      </c>
      <c r="D1714" s="695"/>
      <c r="E1714" s="696" t="str">
        <f>B1714&amp;" "&amp;C1714</f>
        <v>17.3 Quantitative disclosures around elements in the Statement of Comprehensive Net Expenditure</v>
      </c>
      <c r="F1714" s="697"/>
      <c r="G1714" s="697"/>
      <c r="H1714" s="695"/>
      <c r="I1714" s="695"/>
      <c r="J1714" s="698" t="s">
        <v>286</v>
      </c>
      <c r="K1714" s="699">
        <f>SUMIF('alb Note 16  Leases'!$A:$A,$J1714,'alb Note 16  Leases'!$B:$B)</f>
        <v>0</v>
      </c>
      <c r="L1714" s="699">
        <f>SUMIF('alb Note 16  Leases'!$A:$A,$J1714,'alb Note 16  Leases'!$E:$E)</f>
        <v>0</v>
      </c>
      <c r="M1714" s="695"/>
      <c r="N1714" s="713">
        <f t="shared" si="1042"/>
        <v>0</v>
      </c>
      <c r="O1714" s="695"/>
      <c r="P1714" s="695"/>
      <c r="Q1714" s="695"/>
      <c r="R1714" s="695"/>
      <c r="S1714" s="695">
        <f t="shared" si="1068"/>
        <v>0</v>
      </c>
      <c r="T1714" s="713">
        <f t="shared" ref="T1714:T1720" si="1073">ROUND(SUM(U1714:Y1714),0)</f>
        <v>0</v>
      </c>
      <c r="U1714" s="695"/>
      <c r="V1714" s="695"/>
      <c r="W1714" s="695"/>
      <c r="X1714" s="695"/>
      <c r="Y1714" s="695"/>
      <c r="Z1714" s="695"/>
      <c r="AA1714" s="695"/>
      <c r="AB1714" s="695"/>
      <c r="AC1714" s="695"/>
      <c r="AD1714" s="695"/>
      <c r="AE1714" s="695"/>
      <c r="AF1714" s="695"/>
      <c r="AG1714" s="695"/>
      <c r="AH1714" s="695"/>
      <c r="AI1714" s="695"/>
      <c r="AJ1714" s="695"/>
      <c r="AK1714" s="695"/>
      <c r="AL1714" s="695"/>
      <c r="AM1714" s="695"/>
      <c r="AN1714" s="695"/>
      <c r="AO1714" s="695"/>
      <c r="AP1714" s="695"/>
      <c r="AQ1714" s="695"/>
      <c r="AR1714" s="695"/>
      <c r="AS1714" s="695"/>
      <c r="AT1714" s="695"/>
      <c r="AU1714" s="695"/>
      <c r="AV1714" s="695"/>
      <c r="AW1714" s="700"/>
      <c r="AX1714" s="700"/>
      <c r="AY1714" s="700">
        <f>ROUND(AX1714/1000/Update!$B$31*Update!$B$27,0)</f>
        <v>0</v>
      </c>
      <c r="AZ1714" s="700"/>
      <c r="BA1714" s="700"/>
      <c r="BB1714" s="700">
        <f>ROUND(BA1714/1000/Update!$B$31,0)</f>
        <v>0</v>
      </c>
      <c r="BC1714" s="700"/>
      <c r="BD1714" s="721">
        <f t="shared" si="1047"/>
        <v>0</v>
      </c>
      <c r="BE1714" s="700"/>
      <c r="BF1714" s="700"/>
      <c r="BG1714" s="700"/>
      <c r="BH1714" s="700"/>
      <c r="BI1714" s="700"/>
      <c r="BJ1714" s="700"/>
      <c r="BK1714" s="721">
        <f t="shared" si="1048"/>
        <v>0</v>
      </c>
      <c r="BL1714" s="700"/>
      <c r="BM1714" s="700"/>
      <c r="BN1714" s="700"/>
      <c r="BO1714" s="700"/>
      <c r="BP1714" s="700"/>
      <c r="BQ1714" s="700"/>
      <c r="BR1714" s="700"/>
      <c r="BS1714" s="700"/>
      <c r="BT1714" s="700"/>
      <c r="BU1714" s="700"/>
      <c r="BV1714" s="700"/>
      <c r="BW1714" s="700"/>
      <c r="BX1714" s="700"/>
      <c r="BY1714" s="700"/>
      <c r="BZ1714" s="700"/>
      <c r="CA1714" s="700"/>
      <c r="CB1714" s="700"/>
      <c r="CC1714" s="700"/>
      <c r="CD1714" s="700"/>
      <c r="CE1714" s="700"/>
      <c r="CF1714" s="700"/>
      <c r="CG1714" s="700"/>
      <c r="CH1714" s="700"/>
      <c r="CI1714" s="700"/>
      <c r="CJ1714" s="700"/>
      <c r="CK1714" s="700"/>
      <c r="CM1714" s="700">
        <f t="shared" si="1041"/>
        <v>0</v>
      </c>
      <c r="CN1714" s="700">
        <v>0</v>
      </c>
      <c r="CP1714" s="923">
        <f t="shared" si="1033"/>
        <v>0</v>
      </c>
      <c r="CZ1714" s="330"/>
    </row>
    <row r="1715" spans="1:104" ht="24.75" customHeight="1" x14ac:dyDescent="0.25">
      <c r="A1715" s="684">
        <f>MAX($A$6:A1714)+1</f>
        <v>1715</v>
      </c>
      <c r="B1715" s="3">
        <f t="shared" ref="B1715:C1718" si="1074">B1714</f>
        <v>17.300000000000004</v>
      </c>
      <c r="C1715" s="11" t="str">
        <f t="shared" si="1074"/>
        <v>Quantitative disclosures around elements in the Statement of Comprehensive Net Expenditure</v>
      </c>
      <c r="D1715" s="11"/>
      <c r="E1715" s="7" t="s">
        <v>2415</v>
      </c>
      <c r="F1715" s="7"/>
      <c r="G1715" s="1254" t="s">
        <v>2415</v>
      </c>
      <c r="H1715" s="6">
        <v>0</v>
      </c>
      <c r="I1715" s="6">
        <v>0</v>
      </c>
      <c r="J1715" s="1254" t="s">
        <v>2415</v>
      </c>
      <c r="K1715" s="6">
        <f>SUMIF('alb Note 16  Leases'!$B$72:$B$78,$J1715,'alb Note 16  Leases'!$D$72:$D$78)</f>
        <v>0</v>
      </c>
      <c r="L1715" s="251">
        <f>SUMIF('alb Note 16  Leases'!$B$72:$B$78,$J1715,'alb Note 16  Leases'!$H$72:$H$78)</f>
        <v>0</v>
      </c>
      <c r="M1715" s="10"/>
      <c r="N1715" s="273">
        <f t="shared" si="1042"/>
        <v>0</v>
      </c>
      <c r="O1715" s="12"/>
      <c r="P1715" s="12"/>
      <c r="Q1715" s="12"/>
      <c r="R1715" s="12"/>
      <c r="S1715" s="6">
        <f t="shared" si="1068"/>
        <v>0</v>
      </c>
      <c r="T1715" s="273">
        <f t="shared" si="1073"/>
        <v>0</v>
      </c>
      <c r="U1715" s="6">
        <f>SUM(BL1715:BN1715)</f>
        <v>0</v>
      </c>
      <c r="V1715" s="6"/>
      <c r="W1715" s="6">
        <f>+H1715</f>
        <v>0</v>
      </c>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X1715" s="6"/>
      <c r="AY1715" s="6">
        <f>ROUND(AX1715/1000/Update!$B$31*Update!$B$27,0)</f>
        <v>0</v>
      </c>
      <c r="BA1715" s="6"/>
      <c r="BB1715" s="6">
        <f>ROUND(BA1715/1000/Update!$B$31,0)</f>
        <v>0</v>
      </c>
      <c r="BC1715" s="6"/>
      <c r="BD1715" s="29">
        <f t="shared" si="1047"/>
        <v>0</v>
      </c>
      <c r="BE1715" s="317"/>
      <c r="BF1715" s="317"/>
      <c r="BG1715" s="317"/>
      <c r="BH1715" s="317"/>
      <c r="BI1715" s="317"/>
      <c r="BJ1715" s="317"/>
      <c r="BK1715" s="29">
        <f t="shared" si="1048"/>
        <v>0</v>
      </c>
      <c r="BL1715" s="317"/>
      <c r="BM1715" s="317"/>
      <c r="BN1715" s="317"/>
      <c r="BO1715" s="317"/>
      <c r="BP1715" s="317"/>
      <c r="BQ1715" s="317"/>
      <c r="BR1715" s="317"/>
      <c r="BS1715" s="317"/>
      <c r="BT1715" s="317"/>
      <c r="BU1715" s="317"/>
      <c r="BV1715" s="317"/>
      <c r="BW1715" s="317"/>
      <c r="BX1715" s="317"/>
      <c r="BY1715" s="317"/>
      <c r="BZ1715" s="317"/>
      <c r="CA1715" s="317"/>
      <c r="CB1715" s="317"/>
      <c r="CC1715" s="317"/>
      <c r="CD1715" s="317"/>
      <c r="CE1715" s="317"/>
      <c r="CF1715" s="317"/>
      <c r="CG1715" s="317"/>
      <c r="CH1715" s="317"/>
      <c r="CI1715" s="317"/>
      <c r="CM1715" s="1139">
        <f t="shared" si="1041"/>
        <v>0</v>
      </c>
      <c r="CN1715" s="1139">
        <v>0</v>
      </c>
      <c r="CP1715" s="923">
        <f t="shared" si="1033"/>
        <v>0</v>
      </c>
      <c r="CZ1715" s="330"/>
    </row>
    <row r="1716" spans="1:104" ht="30" customHeight="1" x14ac:dyDescent="0.25">
      <c r="A1716" s="684">
        <f>MAX($A$6:A1715)+1</f>
        <v>1716</v>
      </c>
      <c r="B1716" s="3">
        <f t="shared" si="1074"/>
        <v>17.300000000000004</v>
      </c>
      <c r="C1716" s="11" t="str">
        <f t="shared" si="1074"/>
        <v>Quantitative disclosures around elements in the Statement of Comprehensive Net Expenditure</v>
      </c>
      <c r="D1716" s="11"/>
      <c r="E1716" s="7" t="s">
        <v>2416</v>
      </c>
      <c r="F1716" s="7"/>
      <c r="G1716" s="1254" t="s">
        <v>2416</v>
      </c>
      <c r="H1716" s="6">
        <v>0</v>
      </c>
      <c r="I1716" s="6">
        <v>0</v>
      </c>
      <c r="J1716" s="1254" t="s">
        <v>2416</v>
      </c>
      <c r="K1716" s="6">
        <f>SUMIF('alb Note 16  Leases'!$B$72:$B$78,$J1716,'alb Note 16  Leases'!$D$72:$D$78)</f>
        <v>0</v>
      </c>
      <c r="L1716" s="251">
        <f>SUMIF('alb Note 16  Leases'!$B$72:$B$78,$J1716,'alb Note 16  Leases'!$H$72:$H$78)</f>
        <v>0</v>
      </c>
      <c r="M1716" s="10"/>
      <c r="N1716" s="273">
        <f t="shared" si="1042"/>
        <v>0</v>
      </c>
      <c r="O1716" s="12"/>
      <c r="P1716" s="12"/>
      <c r="Q1716" s="12"/>
      <c r="R1716" s="12"/>
      <c r="S1716" s="6">
        <f t="shared" si="1068"/>
        <v>0</v>
      </c>
      <c r="T1716" s="273">
        <f t="shared" si="1073"/>
        <v>0</v>
      </c>
      <c r="U1716" s="6">
        <f>SUM(BL1716:BN1716)</f>
        <v>0</v>
      </c>
      <c r="V1716" s="6"/>
      <c r="W1716" s="6">
        <f>+H1716</f>
        <v>0</v>
      </c>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X1716" s="6"/>
      <c r="AY1716" s="6">
        <f>ROUND(AX1716/1000/Update!$B$31*Update!$B$27,0)</f>
        <v>0</v>
      </c>
      <c r="BA1716" s="6"/>
      <c r="BB1716" s="6">
        <f>ROUND(BA1716/1000/Update!$B$31,0)</f>
        <v>0</v>
      </c>
      <c r="BC1716" s="6"/>
      <c r="BD1716" s="29">
        <f t="shared" si="1047"/>
        <v>0</v>
      </c>
      <c r="BE1716" s="317"/>
      <c r="BF1716" s="317"/>
      <c r="BG1716" s="317"/>
      <c r="BH1716" s="317"/>
      <c r="BI1716" s="317"/>
      <c r="BJ1716" s="317"/>
      <c r="BK1716" s="29">
        <f t="shared" si="1048"/>
        <v>0</v>
      </c>
      <c r="BL1716" s="317"/>
      <c r="BM1716" s="317"/>
      <c r="BN1716" s="317"/>
      <c r="BO1716" s="317"/>
      <c r="BP1716" s="317"/>
      <c r="BQ1716" s="317"/>
      <c r="BR1716" s="317"/>
      <c r="BS1716" s="317"/>
      <c r="BT1716" s="317"/>
      <c r="BU1716" s="317"/>
      <c r="BV1716" s="317"/>
      <c r="BW1716" s="317"/>
      <c r="BX1716" s="317"/>
      <c r="BY1716" s="317"/>
      <c r="BZ1716" s="317"/>
      <c r="CA1716" s="317"/>
      <c r="CB1716" s="317"/>
      <c r="CC1716" s="317"/>
      <c r="CD1716" s="317"/>
      <c r="CE1716" s="317"/>
      <c r="CF1716" s="317"/>
      <c r="CG1716" s="317"/>
      <c r="CH1716" s="317"/>
      <c r="CI1716" s="317"/>
      <c r="CM1716" s="1139">
        <f t="shared" si="1041"/>
        <v>0</v>
      </c>
      <c r="CN1716" s="1139">
        <v>0</v>
      </c>
      <c r="CP1716" s="923">
        <f t="shared" si="1033"/>
        <v>0</v>
      </c>
      <c r="CZ1716" s="330"/>
    </row>
    <row r="1717" spans="1:104" ht="28.5" customHeight="1" x14ac:dyDescent="0.25">
      <c r="A1717" s="684">
        <f>MAX($A$6:A1716)+1</f>
        <v>1717</v>
      </c>
      <c r="B1717" s="3">
        <f t="shared" si="1074"/>
        <v>17.300000000000004</v>
      </c>
      <c r="C1717" s="11" t="str">
        <f t="shared" si="1074"/>
        <v>Quantitative disclosures around elements in the Statement of Comprehensive Net Expenditure</v>
      </c>
      <c r="D1717" s="11"/>
      <c r="E1717" s="7" t="s">
        <v>2417</v>
      </c>
      <c r="F1717" s="7"/>
      <c r="G1717" s="1254" t="s">
        <v>2417</v>
      </c>
      <c r="H1717" s="6">
        <v>0</v>
      </c>
      <c r="I1717" s="6">
        <v>0</v>
      </c>
      <c r="J1717" s="1254" t="s">
        <v>2417</v>
      </c>
      <c r="K1717" s="6">
        <f>SUMIF('alb Note 16  Leases'!$B$72:$B$78,$J1717,'alb Note 16  Leases'!$D$72:$D$78)</f>
        <v>0</v>
      </c>
      <c r="L1717" s="251">
        <f>SUMIF('alb Note 16  Leases'!$B$72:$B$78,$J1717,'alb Note 16  Leases'!$H$72:$H$78)</f>
        <v>0</v>
      </c>
      <c r="M1717" s="10"/>
      <c r="N1717" s="273">
        <f t="shared" si="1042"/>
        <v>0</v>
      </c>
      <c r="O1717" s="12"/>
      <c r="P1717" s="12"/>
      <c r="Q1717" s="12"/>
      <c r="R1717" s="12"/>
      <c r="S1717" s="6">
        <f t="shared" si="1068"/>
        <v>0</v>
      </c>
      <c r="T1717" s="273">
        <f t="shared" si="1073"/>
        <v>0</v>
      </c>
      <c r="U1717" s="6">
        <f>SUM(BL1717:BN1717)</f>
        <v>0</v>
      </c>
      <c r="V1717" s="6"/>
      <c r="W1717" s="6">
        <f>+H1717</f>
        <v>0</v>
      </c>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X1717" s="6"/>
      <c r="AY1717" s="6">
        <f>ROUND(AX1717/1000/Update!$B$31*Update!$B$27,0)</f>
        <v>0</v>
      </c>
      <c r="BA1717" s="6"/>
      <c r="BB1717" s="6">
        <f>ROUND(BA1717/1000/Update!$B$31,0)</f>
        <v>0</v>
      </c>
      <c r="BC1717" s="6"/>
      <c r="BD1717" s="29">
        <f t="shared" si="1047"/>
        <v>0</v>
      </c>
      <c r="BE1717" s="317"/>
      <c r="BF1717" s="317"/>
      <c r="BG1717" s="317"/>
      <c r="BH1717" s="317"/>
      <c r="BI1717" s="317"/>
      <c r="BJ1717" s="317"/>
      <c r="BK1717" s="29">
        <f t="shared" si="1048"/>
        <v>0</v>
      </c>
      <c r="BL1717" s="317"/>
      <c r="BM1717" s="317"/>
      <c r="BN1717" s="317"/>
      <c r="BO1717" s="317"/>
      <c r="BP1717" s="317"/>
      <c r="BQ1717" s="317"/>
      <c r="BR1717" s="317"/>
      <c r="BS1717" s="317"/>
      <c r="BT1717" s="317"/>
      <c r="BU1717" s="317"/>
      <c r="BV1717" s="317"/>
      <c r="BW1717" s="317"/>
      <c r="BX1717" s="317"/>
      <c r="BY1717" s="317"/>
      <c r="BZ1717" s="317"/>
      <c r="CA1717" s="317"/>
      <c r="CB1717" s="317"/>
      <c r="CC1717" s="317"/>
      <c r="CD1717" s="317"/>
      <c r="CE1717" s="317"/>
      <c r="CF1717" s="317"/>
      <c r="CG1717" s="317"/>
      <c r="CH1717" s="317"/>
      <c r="CI1717" s="317"/>
      <c r="CM1717" s="1139">
        <f t="shared" si="1041"/>
        <v>0</v>
      </c>
      <c r="CN1717" s="1139">
        <v>0</v>
      </c>
      <c r="CP1717" s="923">
        <f t="shared" si="1033"/>
        <v>0</v>
      </c>
      <c r="CZ1717" s="330"/>
    </row>
    <row r="1718" spans="1:104" ht="43.5" customHeight="1" x14ac:dyDescent="0.25">
      <c r="A1718" s="684">
        <f>MAX($A$6:A1717)+1</f>
        <v>1718</v>
      </c>
      <c r="B1718" s="3">
        <f t="shared" si="1074"/>
        <v>17.300000000000004</v>
      </c>
      <c r="C1718" s="11" t="str">
        <f t="shared" si="1074"/>
        <v>Quantitative disclosures around elements in the Statement of Comprehensive Net Expenditure</v>
      </c>
      <c r="D1718" s="11"/>
      <c r="E1718" s="7" t="s">
        <v>2418</v>
      </c>
      <c r="F1718" s="7"/>
      <c r="G1718" s="1254" t="s">
        <v>2418</v>
      </c>
      <c r="H1718" s="6">
        <v>0</v>
      </c>
      <c r="I1718" s="6">
        <v>0</v>
      </c>
      <c r="J1718" s="1254" t="s">
        <v>2418</v>
      </c>
      <c r="K1718" s="6">
        <f>SUMIF('alb Note 16  Leases'!$B$72:$B$78,$J1718,'alb Note 16  Leases'!$D$72:$D$78)</f>
        <v>0</v>
      </c>
      <c r="L1718" s="251">
        <f>SUMIF('alb Note 16  Leases'!$B$72:$B$78,$J1718,'alb Note 16  Leases'!$H$72:$H$78)</f>
        <v>0</v>
      </c>
      <c r="M1718" s="10"/>
      <c r="N1718" s="273">
        <f t="shared" si="1042"/>
        <v>0</v>
      </c>
      <c r="O1718" s="12"/>
      <c r="P1718" s="12"/>
      <c r="Q1718" s="12"/>
      <c r="R1718" s="12"/>
      <c r="S1718" s="6">
        <f t="shared" si="1068"/>
        <v>0</v>
      </c>
      <c r="T1718" s="273">
        <f t="shared" si="1073"/>
        <v>0</v>
      </c>
      <c r="U1718" s="6">
        <f>SUM(BL1718:BN1718)</f>
        <v>0</v>
      </c>
      <c r="V1718" s="6"/>
      <c r="W1718" s="6">
        <f>+H1718</f>
        <v>0</v>
      </c>
      <c r="X1718" s="6"/>
      <c r="Y1718" s="6"/>
      <c r="Z1718" s="6"/>
      <c r="AA1718" s="6"/>
      <c r="AB1718" s="6"/>
      <c r="AC1718" s="6"/>
      <c r="AD1718" s="6"/>
      <c r="AE1718" s="6"/>
      <c r="AF1718" s="6"/>
      <c r="AG1718" s="6"/>
      <c r="AH1718" s="6"/>
      <c r="AI1718" s="6"/>
      <c r="AJ1718" s="6"/>
      <c r="AK1718" s="6"/>
      <c r="AL1718" s="6"/>
      <c r="AM1718" s="6"/>
      <c r="AN1718" s="6"/>
      <c r="AO1718" s="1190"/>
      <c r="AP1718" s="6"/>
      <c r="AQ1718" s="6"/>
      <c r="AR1718" s="6"/>
      <c r="AS1718" s="6"/>
      <c r="AT1718" s="6"/>
      <c r="AU1718" s="6"/>
      <c r="AV1718" s="6"/>
      <c r="AX1718" s="6"/>
      <c r="AY1718" s="6">
        <f>ROUND(AX1718/1000/Update!$B$31*Update!$B$27,0)</f>
        <v>0</v>
      </c>
      <c r="BA1718" s="6"/>
      <c r="BB1718" s="6">
        <f>ROUND(BA1718/1000/Update!$B$31,0)</f>
        <v>0</v>
      </c>
      <c r="BC1718" s="6"/>
      <c r="BD1718" s="29">
        <f t="shared" si="1047"/>
        <v>0</v>
      </c>
      <c r="BE1718" s="317"/>
      <c r="BF1718" s="317"/>
      <c r="BG1718" s="317"/>
      <c r="BH1718" s="317"/>
      <c r="BI1718" s="317"/>
      <c r="BJ1718" s="317"/>
      <c r="BK1718" s="29">
        <f t="shared" si="1048"/>
        <v>0</v>
      </c>
      <c r="BL1718" s="317"/>
      <c r="BM1718" s="317"/>
      <c r="BN1718" s="317"/>
      <c r="BO1718" s="317"/>
      <c r="BP1718" s="317"/>
      <c r="BQ1718" s="317"/>
      <c r="BR1718" s="317"/>
      <c r="BS1718" s="317"/>
      <c r="BT1718" s="317"/>
      <c r="BU1718" s="317"/>
      <c r="BV1718" s="317"/>
      <c r="BW1718" s="317"/>
      <c r="BX1718" s="317"/>
      <c r="BY1718" s="317"/>
      <c r="BZ1718" s="317"/>
      <c r="CA1718" s="317"/>
      <c r="CB1718" s="317"/>
      <c r="CC1718" s="317"/>
      <c r="CD1718" s="317"/>
      <c r="CE1718" s="317"/>
      <c r="CF1718" s="317"/>
      <c r="CG1718" s="317"/>
      <c r="CH1718" s="317"/>
      <c r="CI1718" s="317"/>
      <c r="CM1718" s="1139">
        <f t="shared" si="1041"/>
        <v>0</v>
      </c>
      <c r="CN1718" s="1139">
        <v>0</v>
      </c>
      <c r="CP1718" s="923">
        <f t="shared" si="1033"/>
        <v>0</v>
      </c>
      <c r="CZ1718" s="330"/>
    </row>
    <row r="1719" spans="1:104" ht="18.75" customHeight="1" x14ac:dyDescent="0.25">
      <c r="A1719" s="1297">
        <f>MAX($A$6:A1718)+1</f>
        <v>1719</v>
      </c>
      <c r="B1719" s="1295">
        <f>SUMIF(Update!$B$33:$B$106,C1719,Update!$A$33:$A$106)</f>
        <v>17.400000000000006</v>
      </c>
      <c r="C1719" s="696" t="s">
        <v>2411</v>
      </c>
      <c r="D1719" s="695"/>
      <c r="E1719" s="696" t="str">
        <f>B1719&amp;" "&amp;C1719</f>
        <v>17.4 Quantitative disclosures around cash outflow for leases</v>
      </c>
      <c r="F1719" s="697"/>
      <c r="G1719" s="697"/>
      <c r="H1719" s="695"/>
      <c r="I1719" s="695"/>
      <c r="J1719" s="698" t="s">
        <v>286</v>
      </c>
      <c r="K1719" s="699" t="e">
        <f>SUMIF(#REF!,$J1719,#REF!)</f>
        <v>#REF!</v>
      </c>
      <c r="L1719" s="699" t="e">
        <f>SUMIF(#REF!,$J1719,#REF!)</f>
        <v>#REF!</v>
      </c>
      <c r="M1719" s="695"/>
      <c r="N1719" s="713">
        <f t="shared" si="1042"/>
        <v>0</v>
      </c>
      <c r="O1719" s="695"/>
      <c r="P1719" s="695"/>
      <c r="Q1719" s="695"/>
      <c r="R1719" s="695"/>
      <c r="S1719" s="695">
        <f t="shared" si="1068"/>
        <v>0</v>
      </c>
      <c r="T1719" s="713">
        <f t="shared" si="1073"/>
        <v>0</v>
      </c>
      <c r="U1719" s="695"/>
      <c r="V1719" s="695"/>
      <c r="W1719" s="695"/>
      <c r="X1719" s="695"/>
      <c r="Y1719" s="695"/>
      <c r="Z1719" s="695"/>
      <c r="AA1719" s="695"/>
      <c r="AB1719" s="695"/>
      <c r="AC1719" s="695"/>
      <c r="AD1719" s="695"/>
      <c r="AE1719" s="695"/>
      <c r="AF1719" s="695"/>
      <c r="AG1719" s="695"/>
      <c r="AH1719" s="695"/>
      <c r="AI1719" s="695"/>
      <c r="AJ1719" s="695"/>
      <c r="AK1719" s="695"/>
      <c r="AL1719" s="695"/>
      <c r="AM1719" s="695"/>
      <c r="AN1719" s="695"/>
      <c r="AO1719" s="695"/>
      <c r="AP1719" s="695"/>
      <c r="AQ1719" s="695"/>
      <c r="AR1719" s="695"/>
      <c r="AS1719" s="695"/>
      <c r="AT1719" s="695"/>
      <c r="AU1719" s="695"/>
      <c r="AV1719" s="695"/>
      <c r="AW1719" s="700"/>
      <c r="AX1719" s="700"/>
      <c r="AY1719" s="700">
        <f>ROUND(AX1719/1000/Update!$B$31*Update!$B$27,0)</f>
        <v>0</v>
      </c>
      <c r="AZ1719" s="700"/>
      <c r="BA1719" s="700"/>
      <c r="BB1719" s="700">
        <f>ROUND(BA1719/1000/Update!$B$31,0)</f>
        <v>0</v>
      </c>
      <c r="BC1719" s="700"/>
      <c r="BD1719" s="721">
        <f t="shared" ref="BD1719:BD1740" si="1075">ROUND(SUM(BE1719:BK1719),0)</f>
        <v>0</v>
      </c>
      <c r="BE1719" s="700"/>
      <c r="BF1719" s="700"/>
      <c r="BG1719" s="700"/>
      <c r="BH1719" s="700"/>
      <c r="BI1719" s="700"/>
      <c r="BJ1719" s="700"/>
      <c r="BK1719" s="721">
        <f t="shared" ref="BK1719:BK1750" si="1076">ROUND(SUM(BO1719:CI1719),0)</f>
        <v>0</v>
      </c>
      <c r="BL1719" s="700"/>
      <c r="BM1719" s="700"/>
      <c r="BN1719" s="700"/>
      <c r="BO1719" s="700"/>
      <c r="BP1719" s="700"/>
      <c r="BQ1719" s="700"/>
      <c r="BR1719" s="700"/>
      <c r="BS1719" s="700"/>
      <c r="BT1719" s="700"/>
      <c r="BU1719" s="700"/>
      <c r="BV1719" s="700"/>
      <c r="BW1719" s="700"/>
      <c r="BX1719" s="700"/>
      <c r="BY1719" s="700"/>
      <c r="BZ1719" s="700"/>
      <c r="CA1719" s="700"/>
      <c r="CB1719" s="700"/>
      <c r="CC1719" s="700"/>
      <c r="CD1719" s="700"/>
      <c r="CE1719" s="700"/>
      <c r="CF1719" s="700"/>
      <c r="CG1719" s="700"/>
      <c r="CH1719" s="700"/>
      <c r="CI1719" s="700"/>
      <c r="CJ1719" s="700"/>
      <c r="CK1719" s="700"/>
      <c r="CM1719" s="700">
        <f t="shared" si="1041"/>
        <v>0</v>
      </c>
      <c r="CN1719" s="700">
        <v>0</v>
      </c>
      <c r="CP1719" s="923">
        <f t="shared" si="1033"/>
        <v>0</v>
      </c>
      <c r="CZ1719" s="330"/>
    </row>
    <row r="1720" spans="1:104" ht="15" customHeight="1" x14ac:dyDescent="0.25">
      <c r="A1720" s="684">
        <f>MAX($A$6:A1719)+1</f>
        <v>1720</v>
      </c>
      <c r="B1720" s="3">
        <f>B1719</f>
        <v>17.400000000000006</v>
      </c>
      <c r="C1720" s="11" t="str">
        <f>C1719</f>
        <v>Quantitative disclosures around cash outflow for leases</v>
      </c>
      <c r="D1720" s="11"/>
      <c r="E1720" s="931" t="s">
        <v>2419</v>
      </c>
      <c r="F1720" s="7"/>
      <c r="G1720" s="1254" t="s">
        <v>2419</v>
      </c>
      <c r="H1720" s="6">
        <v>0</v>
      </c>
      <c r="I1720" s="6">
        <v>0</v>
      </c>
      <c r="J1720" s="1254" t="s">
        <v>2419</v>
      </c>
      <c r="K1720" s="6">
        <f>SUMIF('alb Note 16  Leases'!$B$86:$B$86,$J1720,'alb Note 16  Leases'!$D$86:$D$86)</f>
        <v>0</v>
      </c>
      <c r="L1720" s="251">
        <f>SUMIF('alb Note 16  Leases'!$B$86:$B$86,$J1720,'alb Note 16  Leases'!$H$86:$H$86)</f>
        <v>0</v>
      </c>
      <c r="M1720" s="10"/>
      <c r="N1720" s="273">
        <f t="shared" ref="N1720:N1754" si="1077">ROUND(SUM(O1720:S1720)+T1720+SUM(Z1720:AV1720),0)</f>
        <v>0</v>
      </c>
      <c r="O1720" s="12"/>
      <c r="P1720" s="12"/>
      <c r="Q1720" s="12"/>
      <c r="R1720" s="12"/>
      <c r="S1720" s="12">
        <f t="shared" si="1068"/>
        <v>0</v>
      </c>
      <c r="T1720" s="273">
        <f t="shared" si="1073"/>
        <v>0</v>
      </c>
      <c r="U1720" s="6">
        <f>SUM(BL1720:BN1720)</f>
        <v>0</v>
      </c>
      <c r="V1720" s="6"/>
      <c r="W1720" s="6">
        <f>+H1720</f>
        <v>0</v>
      </c>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X1720" s="14"/>
      <c r="AY1720" s="14">
        <f>ROUND(AX1720/1000/Update!$B$31*Update!$B$27,0)</f>
        <v>0</v>
      </c>
      <c r="BA1720" s="14"/>
      <c r="BB1720" s="14">
        <f>ROUND(BA1720/1000/Update!$B$31,0)</f>
        <v>0</v>
      </c>
      <c r="BC1720" s="14"/>
      <c r="BD1720" s="29">
        <f t="shared" si="1075"/>
        <v>0</v>
      </c>
      <c r="BE1720" s="317"/>
      <c r="BF1720" s="317"/>
      <c r="BG1720" s="317"/>
      <c r="BH1720" s="317"/>
      <c r="BI1720" s="317"/>
      <c r="BJ1720" s="317"/>
      <c r="BK1720" s="29">
        <f t="shared" si="1076"/>
        <v>0</v>
      </c>
      <c r="BL1720" s="317"/>
      <c r="BM1720" s="317"/>
      <c r="BN1720" s="317"/>
      <c r="BO1720" s="317"/>
      <c r="BP1720" s="317"/>
      <c r="BQ1720" s="317"/>
      <c r="BR1720" s="317"/>
      <c r="BS1720" s="317"/>
      <c r="BT1720" s="317"/>
      <c r="BU1720" s="317"/>
      <c r="BV1720" s="317"/>
      <c r="BW1720" s="317"/>
      <c r="BX1720" s="317"/>
      <c r="BY1720" s="317"/>
      <c r="BZ1720" s="317"/>
      <c r="CA1720" s="317"/>
      <c r="CB1720" s="317"/>
      <c r="CC1720" s="317"/>
      <c r="CD1720" s="317"/>
      <c r="CE1720" s="317"/>
      <c r="CF1720" s="317"/>
      <c r="CG1720" s="317"/>
      <c r="CH1720" s="317"/>
      <c r="CI1720" s="317"/>
      <c r="CM1720" s="1139">
        <f t="shared" si="1041"/>
        <v>0</v>
      </c>
      <c r="CN1720" s="1139">
        <v>0</v>
      </c>
      <c r="CP1720" s="923">
        <f t="shared" si="1033"/>
        <v>0</v>
      </c>
      <c r="CZ1720" s="330"/>
    </row>
    <row r="1721" spans="1:104" ht="18.75" customHeight="1" x14ac:dyDescent="0.25">
      <c r="A1721" s="1297">
        <f>MAX($A$6:A1720)+1</f>
        <v>1721</v>
      </c>
      <c r="B1721" s="1295">
        <f>SUMIF(Update!$B$33:$B$106,C1721,Update!$A$33:$A$106)</f>
        <v>18</v>
      </c>
      <c r="C1721" s="696" t="s">
        <v>644</v>
      </c>
      <c r="D1721" s="695"/>
      <c r="E1721" s="696" t="str">
        <f>B1721&amp;" "&amp;C1721</f>
        <v>18 Commitments under PFI and other service concession arrangements</v>
      </c>
      <c r="F1721" s="697"/>
      <c r="G1721" s="697"/>
      <c r="H1721" s="695"/>
      <c r="I1721" s="695"/>
      <c r="J1721" s="698" t="s">
        <v>286</v>
      </c>
      <c r="K1721" s="699"/>
      <c r="L1721" s="699">
        <v>0</v>
      </c>
      <c r="M1721" s="695"/>
      <c r="N1721" s="713">
        <f t="shared" si="1077"/>
        <v>0</v>
      </c>
      <c r="O1721" s="695"/>
      <c r="P1721" s="695"/>
      <c r="Q1721" s="695"/>
      <c r="R1721" s="695"/>
      <c r="S1721" s="695">
        <f t="shared" si="1068"/>
        <v>0</v>
      </c>
      <c r="T1721" s="713">
        <f t="shared" ref="T1721:T1727" si="1078">ROUND(SUM(U1721:Y1721),0)</f>
        <v>0</v>
      </c>
      <c r="U1721" s="695"/>
      <c r="V1721" s="695"/>
      <c r="W1721" s="695"/>
      <c r="X1721" s="695"/>
      <c r="Y1721" s="695"/>
      <c r="Z1721" s="695"/>
      <c r="AA1721" s="695"/>
      <c r="AB1721" s="695"/>
      <c r="AC1721" s="695"/>
      <c r="AD1721" s="695"/>
      <c r="AE1721" s="695"/>
      <c r="AF1721" s="695"/>
      <c r="AG1721" s="695"/>
      <c r="AH1721" s="695"/>
      <c r="AI1721" s="695"/>
      <c r="AJ1721" s="695"/>
      <c r="AK1721" s="695"/>
      <c r="AL1721" s="695"/>
      <c r="AM1721" s="695"/>
      <c r="AN1721" s="695"/>
      <c r="AO1721" s="695"/>
      <c r="AP1721" s="695"/>
      <c r="AQ1721" s="695"/>
      <c r="AR1721" s="695"/>
      <c r="AS1721" s="695"/>
      <c r="AT1721" s="695"/>
      <c r="AU1721" s="695"/>
      <c r="AV1721" s="695"/>
      <c r="AW1721" s="700"/>
      <c r="AX1721" s="700"/>
      <c r="AY1721" s="700">
        <f>ROUND(AX1721/1000/Update!$B$31*Update!$B$27,0)</f>
        <v>0</v>
      </c>
      <c r="AZ1721" s="700"/>
      <c r="BA1721" s="700"/>
      <c r="BB1721" s="700">
        <f>ROUND(BA1721/1000/Update!$B$31,0)</f>
        <v>0</v>
      </c>
      <c r="BC1721" s="700"/>
      <c r="BD1721" s="721">
        <f t="shared" si="1075"/>
        <v>0</v>
      </c>
      <c r="BE1721" s="700"/>
      <c r="BF1721" s="700"/>
      <c r="BG1721" s="700"/>
      <c r="BH1721" s="700"/>
      <c r="BI1721" s="700"/>
      <c r="BJ1721" s="700"/>
      <c r="BK1721" s="721">
        <f t="shared" si="1076"/>
        <v>0</v>
      </c>
      <c r="BL1721" s="700"/>
      <c r="BM1721" s="700"/>
      <c r="BN1721" s="700"/>
      <c r="BO1721" s="700"/>
      <c r="BP1721" s="700"/>
      <c r="BQ1721" s="700"/>
      <c r="BR1721" s="700"/>
      <c r="BS1721" s="700"/>
      <c r="BT1721" s="700"/>
      <c r="BU1721" s="700"/>
      <c r="BV1721" s="700"/>
      <c r="BW1721" s="700"/>
      <c r="BX1721" s="700"/>
      <c r="BY1721" s="700"/>
      <c r="BZ1721" s="700"/>
      <c r="CA1721" s="700"/>
      <c r="CB1721" s="700"/>
      <c r="CC1721" s="700"/>
      <c r="CD1721" s="700"/>
      <c r="CE1721" s="700"/>
      <c r="CF1721" s="700"/>
      <c r="CG1721" s="700"/>
      <c r="CH1721" s="700"/>
      <c r="CI1721" s="700"/>
      <c r="CJ1721" s="700"/>
      <c r="CK1721" s="700"/>
      <c r="CM1721" s="700">
        <f t="shared" si="1041"/>
        <v>0</v>
      </c>
      <c r="CN1721" s="700">
        <v>0</v>
      </c>
      <c r="CP1721" s="923">
        <f t="shared" si="1033"/>
        <v>0</v>
      </c>
      <c r="CZ1721" s="330"/>
    </row>
    <row r="1722" spans="1:104" ht="18.75" customHeight="1" x14ac:dyDescent="0.25">
      <c r="A1722" s="1297">
        <f>MAX($A$6:A1721)+1</f>
        <v>1722</v>
      </c>
      <c r="B1722" s="1295">
        <f>SUMIF(Update!$B$33:$B$106,C1722,Update!$A$33:$A$106)</f>
        <v>18.100000000000001</v>
      </c>
      <c r="C1722" s="696" t="s">
        <v>645</v>
      </c>
      <c r="D1722" s="695"/>
      <c r="E1722" s="696" t="str">
        <f>B1722&amp;" "&amp;C1722</f>
        <v>18.1 Off balance sheet (SoFP)</v>
      </c>
      <c r="F1722" s="697"/>
      <c r="G1722" s="697" t="s">
        <v>286</v>
      </c>
      <c r="H1722" s="695"/>
      <c r="I1722" s="695"/>
      <c r="J1722" s="698" t="s">
        <v>286</v>
      </c>
      <c r="K1722" s="699">
        <f>SUMIF('alb Note 17 - Commitments PFI'!$A:$A,$J1722,'alb Note 17 - Commitments PFI'!$B:$B)</f>
        <v>0</v>
      </c>
      <c r="L1722" s="699">
        <v>0</v>
      </c>
      <c r="M1722" s="695"/>
      <c r="N1722" s="713">
        <f t="shared" si="1077"/>
        <v>0</v>
      </c>
      <c r="O1722" s="695"/>
      <c r="P1722" s="695"/>
      <c r="Q1722" s="695"/>
      <c r="R1722" s="695"/>
      <c r="S1722" s="695">
        <f t="shared" si="1068"/>
        <v>0</v>
      </c>
      <c r="T1722" s="713">
        <f t="shared" si="1078"/>
        <v>0</v>
      </c>
      <c r="U1722" s="695"/>
      <c r="V1722" s="695"/>
      <c r="W1722" s="695"/>
      <c r="X1722" s="695"/>
      <c r="Y1722" s="695"/>
      <c r="Z1722" s="695"/>
      <c r="AA1722" s="695"/>
      <c r="AB1722" s="695"/>
      <c r="AC1722" s="695"/>
      <c r="AD1722" s="695"/>
      <c r="AE1722" s="695"/>
      <c r="AF1722" s="695"/>
      <c r="AG1722" s="695"/>
      <c r="AH1722" s="695"/>
      <c r="AI1722" s="695"/>
      <c r="AJ1722" s="695"/>
      <c r="AK1722" s="695"/>
      <c r="AL1722" s="695"/>
      <c r="AM1722" s="695"/>
      <c r="AN1722" s="695"/>
      <c r="AO1722" s="695"/>
      <c r="AP1722" s="695"/>
      <c r="AQ1722" s="695"/>
      <c r="AR1722" s="695"/>
      <c r="AS1722" s="695"/>
      <c r="AT1722" s="695"/>
      <c r="AU1722" s="695"/>
      <c r="AV1722" s="695"/>
      <c r="AW1722" s="700"/>
      <c r="AX1722" s="700"/>
      <c r="AY1722" s="700">
        <f>ROUND(AX1722/1000/Update!$B$31*Update!$B$27,0)</f>
        <v>0</v>
      </c>
      <c r="AZ1722" s="700"/>
      <c r="BA1722" s="700"/>
      <c r="BB1722" s="700">
        <f>ROUND(BA1722/1000/Update!$B$31,0)</f>
        <v>0</v>
      </c>
      <c r="BC1722" s="700"/>
      <c r="BD1722" s="721">
        <f t="shared" si="1075"/>
        <v>0</v>
      </c>
      <c r="BE1722" s="700"/>
      <c r="BF1722" s="700"/>
      <c r="BG1722" s="700"/>
      <c r="BH1722" s="700"/>
      <c r="BI1722" s="700"/>
      <c r="BJ1722" s="700"/>
      <c r="BK1722" s="721">
        <f t="shared" si="1076"/>
        <v>0</v>
      </c>
      <c r="BL1722" s="700"/>
      <c r="BM1722" s="700"/>
      <c r="BN1722" s="700"/>
      <c r="BO1722" s="700"/>
      <c r="BP1722" s="700"/>
      <c r="BQ1722" s="700"/>
      <c r="BR1722" s="700"/>
      <c r="BS1722" s="700"/>
      <c r="BT1722" s="700"/>
      <c r="BU1722" s="700"/>
      <c r="BV1722" s="700"/>
      <c r="BW1722" s="700"/>
      <c r="BX1722" s="700"/>
      <c r="BY1722" s="700"/>
      <c r="BZ1722" s="700"/>
      <c r="CA1722" s="700"/>
      <c r="CB1722" s="700"/>
      <c r="CC1722" s="700"/>
      <c r="CD1722" s="700"/>
      <c r="CE1722" s="700"/>
      <c r="CF1722" s="700"/>
      <c r="CG1722" s="700"/>
      <c r="CH1722" s="700"/>
      <c r="CI1722" s="700"/>
      <c r="CJ1722" s="700"/>
      <c r="CK1722" s="700"/>
      <c r="CM1722" s="700">
        <f t="shared" si="1041"/>
        <v>0</v>
      </c>
      <c r="CN1722" s="700">
        <v>0</v>
      </c>
      <c r="CP1722" s="923">
        <f t="shared" si="1033"/>
        <v>0</v>
      </c>
      <c r="CZ1722" s="330"/>
    </row>
    <row r="1723" spans="1:104" ht="15" customHeight="1" x14ac:dyDescent="0.25">
      <c r="A1723" s="684">
        <f>MAX($A$6:A1722)+1</f>
        <v>1723</v>
      </c>
      <c r="B1723" s="3">
        <f>B1722</f>
        <v>18.100000000000001</v>
      </c>
      <c r="C1723" s="11" t="str">
        <f t="shared" ref="C1723:C1741" si="1079">C1722</f>
        <v>Off balance sheet (SoFP)</v>
      </c>
      <c r="D1723" s="11"/>
      <c r="E1723" s="7" t="s">
        <v>216</v>
      </c>
      <c r="F1723" s="7"/>
      <c r="G1723" s="1254" t="s">
        <v>216</v>
      </c>
      <c r="H1723" s="6">
        <v>0</v>
      </c>
      <c r="I1723" s="6"/>
      <c r="J1723" s="1257" t="s">
        <v>795</v>
      </c>
      <c r="K1723" s="251">
        <f>SUMIF('alb Note 17 - Commitments PFI'!$A:$A,$J1723,'alb Note 17 - Commitments PFI'!$B:$B)</f>
        <v>0</v>
      </c>
      <c r="L1723" s="251">
        <f>SUMIF('alb Note 17 - Commitments PFI'!$A:$A,$J1723,'alb Note 17 - Commitments PFI'!$E:$E)</f>
        <v>0</v>
      </c>
      <c r="M1723" s="10"/>
      <c r="N1723" s="273">
        <f t="shared" si="1077"/>
        <v>0</v>
      </c>
      <c r="O1723" s="12"/>
      <c r="P1723" s="12"/>
      <c r="Q1723" s="12"/>
      <c r="R1723" s="12"/>
      <c r="S1723" s="6">
        <f t="shared" si="1068"/>
        <v>0</v>
      </c>
      <c r="T1723" s="273">
        <f t="shared" si="1078"/>
        <v>0</v>
      </c>
      <c r="U1723" s="6">
        <f t="shared" ref="U1723:U1728" si="1080">SUM(BL1723:BN1723)</f>
        <v>0</v>
      </c>
      <c r="V1723" s="6"/>
      <c r="W1723" s="6">
        <f t="shared" ref="W1723:W1743" si="1081">+H1723</f>
        <v>0</v>
      </c>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X1723" s="6"/>
      <c r="AY1723" s="6">
        <f>ROUND(AX1723/1000/Update!$B$31*Update!$B$27,0)</f>
        <v>0</v>
      </c>
      <c r="BA1723" s="6"/>
      <c r="BB1723" s="6">
        <f>ROUND(BA1723/1000/Update!$B$31,0)</f>
        <v>0</v>
      </c>
      <c r="BC1723" s="6"/>
      <c r="BD1723" s="29">
        <f t="shared" si="1075"/>
        <v>0</v>
      </c>
      <c r="BE1723" s="317"/>
      <c r="BF1723" s="317"/>
      <c r="BG1723" s="317"/>
      <c r="BH1723" s="317"/>
      <c r="BI1723" s="317"/>
      <c r="BJ1723" s="317"/>
      <c r="BK1723" s="29">
        <f t="shared" si="1076"/>
        <v>0</v>
      </c>
      <c r="BL1723" s="317"/>
      <c r="BM1723" s="317"/>
      <c r="BN1723" s="317"/>
      <c r="BO1723" s="317"/>
      <c r="BP1723" s="317"/>
      <c r="BQ1723" s="317"/>
      <c r="BR1723" s="317"/>
      <c r="BS1723" s="317"/>
      <c r="BT1723" s="317"/>
      <c r="BU1723" s="317"/>
      <c r="BV1723" s="317"/>
      <c r="BW1723" s="317"/>
      <c r="BX1723" s="317"/>
      <c r="BY1723" s="317"/>
      <c r="BZ1723" s="317"/>
      <c r="CA1723" s="317"/>
      <c r="CB1723" s="317"/>
      <c r="CC1723" s="317"/>
      <c r="CD1723" s="317"/>
      <c r="CE1723" s="317"/>
      <c r="CF1723" s="317"/>
      <c r="CG1723" s="317"/>
      <c r="CH1723" s="317"/>
      <c r="CI1723" s="317"/>
      <c r="CM1723" s="1139">
        <f t="shared" si="1041"/>
        <v>0</v>
      </c>
      <c r="CN1723" s="1139">
        <v>0</v>
      </c>
      <c r="CP1723" s="923">
        <f t="shared" si="1033"/>
        <v>0</v>
      </c>
      <c r="CZ1723" s="330"/>
    </row>
    <row r="1724" spans="1:104" ht="30" customHeight="1" x14ac:dyDescent="0.25">
      <c r="A1724" s="684">
        <f>MAX($A$6:A1723)+1</f>
        <v>1724</v>
      </c>
      <c r="B1724" s="3">
        <f>B1723</f>
        <v>18.100000000000001</v>
      </c>
      <c r="C1724" s="11" t="str">
        <f t="shared" si="1079"/>
        <v>Off balance sheet (SoFP)</v>
      </c>
      <c r="D1724" s="11"/>
      <c r="E1724" s="7" t="s">
        <v>218</v>
      </c>
      <c r="F1724" s="7"/>
      <c r="G1724" s="1254" t="s">
        <v>218</v>
      </c>
      <c r="H1724" s="6">
        <v>0</v>
      </c>
      <c r="I1724" s="6"/>
      <c r="J1724" s="1257" t="s">
        <v>796</v>
      </c>
      <c r="K1724" s="251">
        <f>SUMIF('alb Note 17 - Commitments PFI'!$A:$A,$J1724,'alb Note 17 - Commitments PFI'!$B:$B)</f>
        <v>0</v>
      </c>
      <c r="L1724" s="251">
        <f>SUMIF('alb Note 17 - Commitments PFI'!$A:$A,$J1724,'alb Note 17 - Commitments PFI'!$E:$E)</f>
        <v>0</v>
      </c>
      <c r="M1724" s="10"/>
      <c r="N1724" s="273">
        <f t="shared" si="1077"/>
        <v>0</v>
      </c>
      <c r="O1724" s="12"/>
      <c r="P1724" s="12"/>
      <c r="Q1724" s="12"/>
      <c r="R1724" s="12"/>
      <c r="S1724" s="6">
        <f t="shared" si="1068"/>
        <v>0</v>
      </c>
      <c r="T1724" s="273">
        <f t="shared" si="1078"/>
        <v>0</v>
      </c>
      <c r="U1724" s="6">
        <f t="shared" si="1080"/>
        <v>0</v>
      </c>
      <c r="V1724" s="6"/>
      <c r="W1724" s="6">
        <f t="shared" si="1081"/>
        <v>0</v>
      </c>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X1724" s="6"/>
      <c r="AY1724" s="6">
        <f>ROUND(AX1724/1000/Update!$B$31*Update!$B$27,0)</f>
        <v>0</v>
      </c>
      <c r="BA1724" s="6"/>
      <c r="BB1724" s="6">
        <f>ROUND(BA1724/1000/Update!$B$31,0)</f>
        <v>0</v>
      </c>
      <c r="BC1724" s="6"/>
      <c r="BD1724" s="29">
        <f t="shared" si="1075"/>
        <v>0</v>
      </c>
      <c r="BE1724" s="317"/>
      <c r="BF1724" s="317"/>
      <c r="BG1724" s="317"/>
      <c r="BH1724" s="317"/>
      <c r="BI1724" s="317"/>
      <c r="BJ1724" s="317"/>
      <c r="BK1724" s="29">
        <f t="shared" si="1076"/>
        <v>0</v>
      </c>
      <c r="BL1724" s="317"/>
      <c r="BM1724" s="317"/>
      <c r="BN1724" s="317"/>
      <c r="BO1724" s="317"/>
      <c r="BP1724" s="317"/>
      <c r="BQ1724" s="317"/>
      <c r="BR1724" s="317"/>
      <c r="BS1724" s="317"/>
      <c r="BT1724" s="317"/>
      <c r="BU1724" s="317"/>
      <c r="BV1724" s="317"/>
      <c r="BW1724" s="317"/>
      <c r="BX1724" s="317"/>
      <c r="BY1724" s="317"/>
      <c r="BZ1724" s="317"/>
      <c r="CA1724" s="317"/>
      <c r="CB1724" s="317"/>
      <c r="CC1724" s="317"/>
      <c r="CD1724" s="317"/>
      <c r="CE1724" s="317"/>
      <c r="CF1724" s="317"/>
      <c r="CG1724" s="317"/>
      <c r="CH1724" s="317"/>
      <c r="CI1724" s="317"/>
      <c r="CM1724" s="1139">
        <f t="shared" si="1041"/>
        <v>0</v>
      </c>
      <c r="CN1724" s="1139">
        <v>0</v>
      </c>
      <c r="CP1724" s="923">
        <f t="shared" si="1033"/>
        <v>0</v>
      </c>
      <c r="CZ1724" s="330"/>
    </row>
    <row r="1725" spans="1:104" ht="15" customHeight="1" x14ac:dyDescent="0.25">
      <c r="A1725" s="684">
        <f>MAX($A$6:A1724)+1</f>
        <v>1725</v>
      </c>
      <c r="B1725" s="3">
        <f>B1724</f>
        <v>18.100000000000001</v>
      </c>
      <c r="C1725" s="11" t="str">
        <f t="shared" si="1079"/>
        <v>Off balance sheet (SoFP)</v>
      </c>
      <c r="D1725" s="11"/>
      <c r="E1725" s="7" t="s">
        <v>217</v>
      </c>
      <c r="F1725" s="7"/>
      <c r="G1725" s="1254" t="s">
        <v>217</v>
      </c>
      <c r="H1725" s="6">
        <v>0</v>
      </c>
      <c r="I1725" s="6"/>
      <c r="J1725" s="1257" t="s">
        <v>797</v>
      </c>
      <c r="K1725" s="251">
        <f>SUMIF('alb Note 17 - Commitments PFI'!$A:$A,$J1725,'alb Note 17 - Commitments PFI'!$B:$B)</f>
        <v>0</v>
      </c>
      <c r="L1725" s="251">
        <f>SUMIF('alb Note 17 - Commitments PFI'!$A:$A,$J1725,'alb Note 17 - Commitments PFI'!$E:$E)</f>
        <v>0</v>
      </c>
      <c r="M1725" s="10"/>
      <c r="N1725" s="273">
        <f t="shared" si="1077"/>
        <v>0</v>
      </c>
      <c r="O1725" s="12"/>
      <c r="P1725" s="12"/>
      <c r="Q1725" s="12"/>
      <c r="R1725" s="12"/>
      <c r="S1725" s="6">
        <f t="shared" si="1068"/>
        <v>0</v>
      </c>
      <c r="T1725" s="273">
        <f t="shared" si="1078"/>
        <v>0</v>
      </c>
      <c r="U1725" s="6">
        <f t="shared" si="1080"/>
        <v>0</v>
      </c>
      <c r="V1725" s="6"/>
      <c r="W1725" s="6">
        <f t="shared" si="1081"/>
        <v>0</v>
      </c>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X1725" s="6"/>
      <c r="AY1725" s="6">
        <f>ROUND(AX1725/1000/Update!$B$31*Update!$B$27,0)</f>
        <v>0</v>
      </c>
      <c r="BA1725" s="6"/>
      <c r="BB1725" s="6">
        <f>ROUND(BA1725/1000/Update!$B$31,0)</f>
        <v>0</v>
      </c>
      <c r="BC1725" s="6"/>
      <c r="BD1725" s="29">
        <f t="shared" si="1075"/>
        <v>0</v>
      </c>
      <c r="BE1725" s="317"/>
      <c r="BF1725" s="317"/>
      <c r="BG1725" s="317"/>
      <c r="BH1725" s="317"/>
      <c r="BI1725" s="317"/>
      <c r="BJ1725" s="317"/>
      <c r="BK1725" s="29">
        <f t="shared" si="1076"/>
        <v>0</v>
      </c>
      <c r="BL1725" s="317"/>
      <c r="BM1725" s="317"/>
      <c r="BN1725" s="317"/>
      <c r="BO1725" s="317"/>
      <c r="BP1725" s="317"/>
      <c r="BQ1725" s="317"/>
      <c r="BR1725" s="317"/>
      <c r="BS1725" s="317"/>
      <c r="BT1725" s="317"/>
      <c r="BU1725" s="317"/>
      <c r="BV1725" s="317"/>
      <c r="BW1725" s="317"/>
      <c r="BX1725" s="317"/>
      <c r="BY1725" s="317"/>
      <c r="BZ1725" s="317"/>
      <c r="CA1725" s="317"/>
      <c r="CB1725" s="317"/>
      <c r="CC1725" s="317"/>
      <c r="CD1725" s="317"/>
      <c r="CE1725" s="317"/>
      <c r="CF1725" s="317"/>
      <c r="CG1725" s="317"/>
      <c r="CH1725" s="317"/>
      <c r="CI1725" s="317"/>
      <c r="CM1725" s="1139">
        <f t="shared" si="1041"/>
        <v>0</v>
      </c>
      <c r="CN1725" s="1139">
        <v>0</v>
      </c>
      <c r="CP1725" s="923">
        <f t="shared" si="1033"/>
        <v>0</v>
      </c>
      <c r="CZ1725" s="330"/>
    </row>
    <row r="1726" spans="1:104" ht="30" customHeight="1" x14ac:dyDescent="0.25">
      <c r="A1726" s="684">
        <f>MAX($A$6:A1725)+1</f>
        <v>1726</v>
      </c>
      <c r="B1726" s="3">
        <f>B1725</f>
        <v>18.100000000000001</v>
      </c>
      <c r="C1726" s="11" t="str">
        <f t="shared" si="1079"/>
        <v>Off balance sheet (SoFP)</v>
      </c>
      <c r="D1726" s="11"/>
      <c r="E1726" s="7" t="s">
        <v>882</v>
      </c>
      <c r="F1726" s="7"/>
      <c r="G1726" s="1254" t="s">
        <v>286</v>
      </c>
      <c r="H1726" s="6">
        <v>0</v>
      </c>
      <c r="I1726" s="6"/>
      <c r="J1726" s="1257" t="s">
        <v>882</v>
      </c>
      <c r="K1726" s="251">
        <f>SUMIF('alb Note 17 - Commitments PFI'!$A:$A,$J1726,'alb Note 17 - Commitments PFI'!$B:$B)</f>
        <v>0</v>
      </c>
      <c r="L1726" s="251">
        <f>SUMIF('alb Note 17 - Commitments PFI'!$A:$A,$J1726,'alb Note 17 - Commitments PFI'!$E:$E)</f>
        <v>0</v>
      </c>
      <c r="M1726" s="10"/>
      <c r="N1726" s="273">
        <f t="shared" si="1077"/>
        <v>0</v>
      </c>
      <c r="O1726" s="6"/>
      <c r="P1726" s="12"/>
      <c r="Q1726" s="12"/>
      <c r="R1726" s="12"/>
      <c r="S1726" s="6">
        <f t="shared" si="1068"/>
        <v>0</v>
      </c>
      <c r="T1726" s="273">
        <f t="shared" si="1078"/>
        <v>0</v>
      </c>
      <c r="U1726" s="6">
        <f t="shared" si="1080"/>
        <v>0</v>
      </c>
      <c r="V1726" s="6"/>
      <c r="W1726" s="6">
        <f t="shared" si="1081"/>
        <v>0</v>
      </c>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X1726" s="6"/>
      <c r="AY1726" s="6"/>
      <c r="BA1726" s="6"/>
      <c r="BB1726" s="6"/>
      <c r="BC1726" s="6"/>
      <c r="BD1726" s="29">
        <f t="shared" si="1075"/>
        <v>0</v>
      </c>
      <c r="BE1726" s="317"/>
      <c r="BF1726" s="317"/>
      <c r="BG1726" s="317"/>
      <c r="BH1726" s="317"/>
      <c r="BI1726" s="317"/>
      <c r="BJ1726" s="317"/>
      <c r="BK1726" s="29">
        <f t="shared" si="1076"/>
        <v>0</v>
      </c>
      <c r="BL1726" s="317"/>
      <c r="BM1726" s="317"/>
      <c r="BN1726" s="317"/>
      <c r="BO1726" s="317"/>
      <c r="BP1726" s="317"/>
      <c r="BQ1726" s="317"/>
      <c r="BR1726" s="317"/>
      <c r="BS1726" s="317"/>
      <c r="BT1726" s="317"/>
      <c r="BU1726" s="317"/>
      <c r="BV1726" s="317"/>
      <c r="BW1726" s="317"/>
      <c r="BX1726" s="317"/>
      <c r="BY1726" s="317"/>
      <c r="BZ1726" s="317"/>
      <c r="CA1726" s="317"/>
      <c r="CB1726" s="317"/>
      <c r="CC1726" s="317"/>
      <c r="CD1726" s="317"/>
      <c r="CE1726" s="317"/>
      <c r="CF1726" s="317"/>
      <c r="CG1726" s="317"/>
      <c r="CH1726" s="317"/>
      <c r="CI1726" s="317"/>
      <c r="CM1726" s="1139">
        <f t="shared" si="1041"/>
        <v>0</v>
      </c>
      <c r="CN1726" s="1139">
        <v>0</v>
      </c>
      <c r="CP1726" s="923">
        <f t="shared" si="1033"/>
        <v>0</v>
      </c>
      <c r="CZ1726" s="330"/>
    </row>
    <row r="1727" spans="1:104" ht="63.75" customHeight="1" x14ac:dyDescent="0.25">
      <c r="A1727" s="684">
        <f>MAX($A$6:A1726)+1</f>
        <v>1727</v>
      </c>
      <c r="B1727" s="3">
        <f>B1726</f>
        <v>18.100000000000001</v>
      </c>
      <c r="C1727" s="11" t="str">
        <f t="shared" si="1079"/>
        <v>Off balance sheet (SoFP)</v>
      </c>
      <c r="D1727" s="11"/>
      <c r="E1727" s="1254" t="s">
        <v>1655</v>
      </c>
      <c r="F1727" s="7"/>
      <c r="G1727" s="1254"/>
      <c r="H1727" s="6"/>
      <c r="I1727" s="6"/>
      <c r="J1727" s="1254" t="s">
        <v>1655</v>
      </c>
      <c r="K1727" s="251">
        <f>SUMIF('alb Note 17 - Commitments PFI'!$A:$A,$J1727,'alb Note 17 - Commitments PFI'!$B:$B)</f>
        <v>0</v>
      </c>
      <c r="L1727" s="251"/>
      <c r="M1727" s="10"/>
      <c r="N1727" s="273">
        <f t="shared" si="1077"/>
        <v>0</v>
      </c>
      <c r="O1727" s="12"/>
      <c r="P1727" s="12"/>
      <c r="Q1727" s="12"/>
      <c r="R1727" s="12"/>
      <c r="S1727" s="6"/>
      <c r="T1727" s="273">
        <f t="shared" si="1078"/>
        <v>0</v>
      </c>
      <c r="U1727" s="6">
        <f t="shared" si="1080"/>
        <v>0</v>
      </c>
      <c r="V1727" s="6"/>
      <c r="W1727" s="6">
        <f t="shared" si="1081"/>
        <v>0</v>
      </c>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X1727" s="6"/>
      <c r="AY1727" s="6"/>
      <c r="BA1727" s="6"/>
      <c r="BB1727" s="6"/>
      <c r="BC1727" s="6"/>
      <c r="BD1727" s="29">
        <f t="shared" si="1075"/>
        <v>0</v>
      </c>
      <c r="BE1727" s="317"/>
      <c r="BF1727" s="317"/>
      <c r="BG1727" s="317"/>
      <c r="BH1727" s="317"/>
      <c r="BI1727" s="317"/>
      <c r="BJ1727" s="317"/>
      <c r="BK1727" s="29">
        <f t="shared" si="1076"/>
        <v>0</v>
      </c>
      <c r="BL1727" s="317"/>
      <c r="BM1727" s="317"/>
      <c r="BN1727" s="317"/>
      <c r="BO1727" s="317"/>
      <c r="BP1727" s="317"/>
      <c r="BQ1727" s="317"/>
      <c r="BR1727" s="317"/>
      <c r="BS1727" s="317"/>
      <c r="BT1727" s="317"/>
      <c r="BU1727" s="317"/>
      <c r="BV1727" s="317"/>
      <c r="BW1727" s="317"/>
      <c r="BX1727" s="317"/>
      <c r="BY1727" s="317"/>
      <c r="BZ1727" s="317"/>
      <c r="CA1727" s="317"/>
      <c r="CB1727" s="317"/>
      <c r="CC1727" s="317"/>
      <c r="CD1727" s="317"/>
      <c r="CE1727" s="317"/>
      <c r="CF1727" s="317"/>
      <c r="CG1727" s="317"/>
      <c r="CH1727" s="317"/>
      <c r="CI1727" s="317"/>
      <c r="CM1727" s="1139">
        <f t="shared" si="1041"/>
        <v>0</v>
      </c>
      <c r="CN1727" s="1139">
        <v>0</v>
      </c>
      <c r="CP1727" s="923">
        <f t="shared" si="1033"/>
        <v>0</v>
      </c>
      <c r="CZ1727" s="330"/>
    </row>
    <row r="1728" spans="1:104" ht="15" customHeight="1" x14ac:dyDescent="0.25">
      <c r="A1728" s="684">
        <f>MAX($A$6:A1727)+1</f>
        <v>1728</v>
      </c>
      <c r="B1728" s="3">
        <f>B1726</f>
        <v>18.100000000000001</v>
      </c>
      <c r="C1728" s="11" t="str">
        <f>C1726</f>
        <v>Off balance sheet (SoFP)</v>
      </c>
      <c r="D1728" s="11"/>
      <c r="E1728" s="1257" t="s">
        <v>1840</v>
      </c>
      <c r="F1728" s="7"/>
      <c r="G1728" s="1257" t="s">
        <v>1655</v>
      </c>
      <c r="H1728" s="253"/>
      <c r="I1728" s="6"/>
      <c r="J1728" s="1257" t="s">
        <v>1839</v>
      </c>
      <c r="K1728" s="298">
        <f>'alb Note 17 - Commitments PFI'!$A$19</f>
        <v>0</v>
      </c>
      <c r="L1728" s="1256">
        <f>'alb Note 17 - Commitments PFI'!$A$19</f>
        <v>0</v>
      </c>
      <c r="M1728" s="10"/>
      <c r="N1728" s="273">
        <f t="shared" si="1077"/>
        <v>0</v>
      </c>
      <c r="O1728" s="12"/>
      <c r="P1728" s="12"/>
      <c r="Q1728" s="12"/>
      <c r="R1728" s="12"/>
      <c r="S1728" s="6">
        <f t="shared" si="1068"/>
        <v>0</v>
      </c>
      <c r="T1728" s="273">
        <v>0</v>
      </c>
      <c r="U1728" s="6">
        <f t="shared" si="1080"/>
        <v>0</v>
      </c>
      <c r="V1728" s="6"/>
      <c r="W1728" s="6">
        <f t="shared" si="1081"/>
        <v>0</v>
      </c>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X1728" s="6"/>
      <c r="AY1728" s="6"/>
      <c r="BA1728" s="6"/>
      <c r="BB1728" s="6"/>
      <c r="BC1728" s="6"/>
      <c r="BD1728" s="29">
        <f t="shared" si="1075"/>
        <v>0</v>
      </c>
      <c r="BE1728" s="860"/>
      <c r="BF1728" s="860"/>
      <c r="BG1728" s="860"/>
      <c r="BH1728" s="860"/>
      <c r="BI1728" s="860"/>
      <c r="BJ1728" s="860"/>
      <c r="BK1728" s="29">
        <f t="shared" si="1076"/>
        <v>0</v>
      </c>
      <c r="BL1728" s="860"/>
      <c r="BM1728" s="860"/>
      <c r="BN1728" s="860"/>
      <c r="BO1728" s="860"/>
      <c r="BP1728" s="860"/>
      <c r="BQ1728" s="860"/>
      <c r="BR1728" s="860"/>
      <c r="BS1728" s="860"/>
      <c r="BT1728" s="860"/>
      <c r="BU1728" s="860"/>
      <c r="BV1728" s="860"/>
      <c r="BW1728" s="860"/>
      <c r="BX1728" s="860"/>
      <c r="BY1728" s="860"/>
      <c r="BZ1728" s="860"/>
      <c r="CA1728" s="860"/>
      <c r="CB1728" s="860"/>
      <c r="CC1728" s="860"/>
      <c r="CD1728" s="860"/>
      <c r="CE1728" s="860"/>
      <c r="CF1728" s="860"/>
      <c r="CG1728" s="860"/>
      <c r="CH1728" s="860"/>
      <c r="CI1728" s="860"/>
      <c r="CM1728" s="1500">
        <f t="shared" si="1041"/>
        <v>0</v>
      </c>
      <c r="CN1728" s="1500">
        <v>0</v>
      </c>
      <c r="CP1728" s="923">
        <f t="shared" si="1033"/>
        <v>0</v>
      </c>
      <c r="CZ1728" s="330"/>
    </row>
    <row r="1729" spans="1:104" ht="18.75" customHeight="1" x14ac:dyDescent="0.25">
      <c r="A1729" s="1297">
        <f>MAX($A$6:A1728)+1</f>
        <v>1729</v>
      </c>
      <c r="B1729" s="1295">
        <f>SUMIF(Update!$B$33:$B$106,C1729,Update!$A$33:$A$106)</f>
        <v>18.200000000000003</v>
      </c>
      <c r="C1729" s="696" t="s">
        <v>651</v>
      </c>
      <c r="D1729" s="695"/>
      <c r="E1729" s="696" t="str">
        <f>B1729&amp;" "&amp;C1729</f>
        <v>18.2 On balance sheet (SoFP)</v>
      </c>
      <c r="F1729" s="697"/>
      <c r="G1729" s="697" t="s">
        <v>651</v>
      </c>
      <c r="H1729" s="695"/>
      <c r="I1729" s="695"/>
      <c r="J1729" s="698" t="s">
        <v>286</v>
      </c>
      <c r="K1729" s="699">
        <f>SUMIF('alb Note 17 - Commitments PFI'!$A:$A,$J1729,'alb Note 17 - Commitments PFI'!$B:$B)</f>
        <v>0</v>
      </c>
      <c r="L1729" s="699">
        <f>SUMIF('alb Note 17 - Commitments PFI'!$A:$A,$J1729,'alb Note 17 - Commitments PFI'!$E:$E)</f>
        <v>0</v>
      </c>
      <c r="M1729" s="695"/>
      <c r="N1729" s="713">
        <f t="shared" si="1077"/>
        <v>0</v>
      </c>
      <c r="O1729" s="695"/>
      <c r="P1729" s="695"/>
      <c r="Q1729" s="695"/>
      <c r="R1729" s="695"/>
      <c r="S1729" s="695">
        <f t="shared" si="1068"/>
        <v>0</v>
      </c>
      <c r="T1729" s="713">
        <f t="shared" ref="T1729:T1734" si="1082">ROUND(SUM(U1729:Y1729),0)</f>
        <v>0</v>
      </c>
      <c r="U1729" s="695"/>
      <c r="V1729" s="695"/>
      <c r="W1729" s="695"/>
      <c r="X1729" s="695"/>
      <c r="Y1729" s="695"/>
      <c r="Z1729" s="695"/>
      <c r="AA1729" s="695"/>
      <c r="AB1729" s="695"/>
      <c r="AC1729" s="695"/>
      <c r="AD1729" s="695"/>
      <c r="AE1729" s="695"/>
      <c r="AF1729" s="695"/>
      <c r="AG1729" s="695"/>
      <c r="AH1729" s="695"/>
      <c r="AI1729" s="695"/>
      <c r="AJ1729" s="695"/>
      <c r="AK1729" s="695"/>
      <c r="AL1729" s="695"/>
      <c r="AM1729" s="695"/>
      <c r="AN1729" s="695"/>
      <c r="AO1729" s="695"/>
      <c r="AP1729" s="695"/>
      <c r="AQ1729" s="695"/>
      <c r="AR1729" s="695"/>
      <c r="AS1729" s="695"/>
      <c r="AT1729" s="695"/>
      <c r="AU1729" s="695"/>
      <c r="AV1729" s="695"/>
      <c r="AW1729" s="700"/>
      <c r="AX1729" s="700"/>
      <c r="AY1729" s="700">
        <f>ROUND(AX1729/1000/Update!$B$31*Update!$B$27,0)</f>
        <v>0</v>
      </c>
      <c r="AZ1729" s="700"/>
      <c r="BA1729" s="700"/>
      <c r="BB1729" s="700">
        <f>ROUND(BA1729/1000/Update!$B$31,0)</f>
        <v>0</v>
      </c>
      <c r="BC1729" s="700"/>
      <c r="BD1729" s="721">
        <f t="shared" si="1075"/>
        <v>0</v>
      </c>
      <c r="BE1729" s="700"/>
      <c r="BF1729" s="700"/>
      <c r="BG1729" s="700"/>
      <c r="BH1729" s="700"/>
      <c r="BI1729" s="700"/>
      <c r="BJ1729" s="700"/>
      <c r="BK1729" s="721">
        <f t="shared" si="1076"/>
        <v>0</v>
      </c>
      <c r="BL1729" s="700"/>
      <c r="BM1729" s="700"/>
      <c r="BN1729" s="700"/>
      <c r="BO1729" s="700"/>
      <c r="BP1729" s="700"/>
      <c r="BQ1729" s="700"/>
      <c r="BR1729" s="700"/>
      <c r="BS1729" s="700"/>
      <c r="BT1729" s="700"/>
      <c r="BU1729" s="700"/>
      <c r="BV1729" s="700"/>
      <c r="BW1729" s="700"/>
      <c r="BX1729" s="700"/>
      <c r="BY1729" s="700"/>
      <c r="BZ1729" s="700"/>
      <c r="CA1729" s="700"/>
      <c r="CB1729" s="700"/>
      <c r="CC1729" s="700"/>
      <c r="CD1729" s="700"/>
      <c r="CE1729" s="700"/>
      <c r="CF1729" s="700"/>
      <c r="CG1729" s="700"/>
      <c r="CH1729" s="700"/>
      <c r="CI1729" s="700"/>
      <c r="CJ1729" s="700"/>
      <c r="CK1729" s="700"/>
      <c r="CM1729" s="700">
        <f t="shared" si="1041"/>
        <v>0</v>
      </c>
      <c r="CN1729" s="700">
        <v>0</v>
      </c>
      <c r="CP1729" s="923">
        <f t="shared" si="1033"/>
        <v>0</v>
      </c>
      <c r="CZ1729" s="330"/>
    </row>
    <row r="1730" spans="1:104" ht="15" customHeight="1" x14ac:dyDescent="0.25">
      <c r="A1730" s="684">
        <f>MAX($A$6:A1729)+1</f>
        <v>1730</v>
      </c>
      <c r="B1730" s="3">
        <f>B1729</f>
        <v>18.200000000000003</v>
      </c>
      <c r="C1730" s="11" t="str">
        <f t="shared" si="1079"/>
        <v>On balance sheet (SoFP)</v>
      </c>
      <c r="D1730" s="11"/>
      <c r="E1730" s="7" t="s">
        <v>2371</v>
      </c>
      <c r="F1730" s="7"/>
      <c r="G1730" s="1257" t="s">
        <v>2371</v>
      </c>
      <c r="H1730" s="6">
        <v>0</v>
      </c>
      <c r="I1730" s="6"/>
      <c r="J1730" s="1257" t="s">
        <v>2371</v>
      </c>
      <c r="K1730" s="251">
        <f>SUMIF('alb Note 17 - Commitments PFI'!$A:$A,$J1730,'alb Note 17 - Commitments PFI'!$B:$B)</f>
        <v>0</v>
      </c>
      <c r="L1730" s="251">
        <f>SUMIF('alb Note 17 - Commitments PFI'!$A:$A,$J1730,'alb Note 17 - Commitments PFI'!$E:$E)</f>
        <v>0</v>
      </c>
      <c r="M1730" s="10"/>
      <c r="N1730" s="273">
        <f t="shared" si="1077"/>
        <v>0</v>
      </c>
      <c r="O1730" s="12"/>
      <c r="P1730" s="12"/>
      <c r="Q1730" s="12"/>
      <c r="R1730" s="12"/>
      <c r="S1730" s="6">
        <f t="shared" si="1068"/>
        <v>0</v>
      </c>
      <c r="T1730" s="273">
        <f t="shared" si="1082"/>
        <v>0</v>
      </c>
      <c r="U1730" s="6">
        <f>SUM(BL1730:BN1730)</f>
        <v>0</v>
      </c>
      <c r="V1730" s="6"/>
      <c r="W1730" s="6">
        <f t="shared" si="1081"/>
        <v>0</v>
      </c>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X1730" s="6"/>
      <c r="AY1730" s="6">
        <f>ROUND(AX1730/1000/Update!$B$31*Update!$B$27,0)</f>
        <v>0</v>
      </c>
      <c r="BA1730" s="6"/>
      <c r="BB1730" s="6">
        <f>ROUND(BA1730/1000/Update!$B$31,0)</f>
        <v>0</v>
      </c>
      <c r="BC1730" s="6"/>
      <c r="BD1730" s="29">
        <f t="shared" si="1075"/>
        <v>0</v>
      </c>
      <c r="BE1730" s="317"/>
      <c r="BF1730" s="317"/>
      <c r="BG1730" s="317"/>
      <c r="BH1730" s="317"/>
      <c r="BI1730" s="317"/>
      <c r="BJ1730" s="317"/>
      <c r="BK1730" s="29">
        <f t="shared" si="1076"/>
        <v>0</v>
      </c>
      <c r="BL1730" s="317"/>
      <c r="BM1730" s="317"/>
      <c r="BN1730" s="317"/>
      <c r="BO1730" s="317"/>
      <c r="BP1730" s="317"/>
      <c r="BQ1730" s="317"/>
      <c r="BR1730" s="317"/>
      <c r="BS1730" s="317"/>
      <c r="BT1730" s="317"/>
      <c r="BU1730" s="317"/>
      <c r="BV1730" s="317"/>
      <c r="BW1730" s="317"/>
      <c r="BX1730" s="317"/>
      <c r="BY1730" s="317"/>
      <c r="BZ1730" s="317"/>
      <c r="CA1730" s="317"/>
      <c r="CB1730" s="317"/>
      <c r="CC1730" s="317"/>
      <c r="CD1730" s="317"/>
      <c r="CE1730" s="317"/>
      <c r="CF1730" s="317"/>
      <c r="CG1730" s="317"/>
      <c r="CH1730" s="317"/>
      <c r="CI1730" s="317"/>
      <c r="CM1730" s="1139">
        <f t="shared" si="1041"/>
        <v>0</v>
      </c>
      <c r="CN1730" s="1139">
        <v>0</v>
      </c>
      <c r="CP1730" s="923">
        <f t="shared" si="1033"/>
        <v>0</v>
      </c>
      <c r="CZ1730" s="330"/>
    </row>
    <row r="1731" spans="1:104" ht="15" customHeight="1" x14ac:dyDescent="0.25">
      <c r="A1731" s="684">
        <f>MAX($A$6:A1730)+1</f>
        <v>1731</v>
      </c>
      <c r="B1731" s="3">
        <f>B1730</f>
        <v>18.200000000000003</v>
      </c>
      <c r="C1731" s="11" t="str">
        <f t="shared" si="1079"/>
        <v>On balance sheet (SoFP)</v>
      </c>
      <c r="D1731" s="11"/>
      <c r="E1731" s="7" t="s">
        <v>656</v>
      </c>
      <c r="F1731" s="7"/>
      <c r="G1731" s="1254" t="s">
        <v>656</v>
      </c>
      <c r="H1731" s="6">
        <v>0</v>
      </c>
      <c r="I1731" s="6"/>
      <c r="J1731" s="1257" t="s">
        <v>883</v>
      </c>
      <c r="K1731" s="251">
        <f>SUMIF('alb Note 17 - Commitments PFI'!$A:$A,$J1731,'alb Note 17 - Commitments PFI'!$B:$B)</f>
        <v>0</v>
      </c>
      <c r="L1731" s="251">
        <f>SUMIF('alb Note 17 - Commitments PFI'!$A:$A,$J1731,'alb Note 17 - Commitments PFI'!$E:$E)</f>
        <v>0</v>
      </c>
      <c r="M1731" s="10"/>
      <c r="N1731" s="273">
        <f t="shared" si="1077"/>
        <v>0</v>
      </c>
      <c r="O1731" s="12"/>
      <c r="P1731" s="12"/>
      <c r="Q1731" s="12"/>
      <c r="R1731" s="12"/>
      <c r="S1731" s="6">
        <f t="shared" si="1068"/>
        <v>0</v>
      </c>
      <c r="T1731" s="273">
        <f t="shared" si="1082"/>
        <v>0</v>
      </c>
      <c r="U1731" s="6">
        <f>SUM(BL1731:BN1731)</f>
        <v>0</v>
      </c>
      <c r="V1731" s="6"/>
      <c r="W1731" s="6">
        <f t="shared" si="1081"/>
        <v>0</v>
      </c>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X1731" s="6"/>
      <c r="AY1731" s="6">
        <f>ROUND(AX1731/1000/Update!$B$31*Update!$B$27,0)</f>
        <v>0</v>
      </c>
      <c r="BA1731" s="6"/>
      <c r="BB1731" s="6">
        <f>ROUND(BA1731/1000/Update!$B$31,0)</f>
        <v>0</v>
      </c>
      <c r="BC1731" s="6"/>
      <c r="BD1731" s="29">
        <f t="shared" si="1075"/>
        <v>0</v>
      </c>
      <c r="BE1731" s="317"/>
      <c r="BF1731" s="317"/>
      <c r="BG1731" s="317"/>
      <c r="BH1731" s="317"/>
      <c r="BI1731" s="317"/>
      <c r="BJ1731" s="317"/>
      <c r="BK1731" s="29">
        <f t="shared" si="1076"/>
        <v>0</v>
      </c>
      <c r="BL1731" s="317"/>
      <c r="BM1731" s="317"/>
      <c r="BN1731" s="317"/>
      <c r="BO1731" s="317"/>
      <c r="BP1731" s="317"/>
      <c r="BQ1731" s="317"/>
      <c r="BR1731" s="317"/>
      <c r="BS1731" s="317"/>
      <c r="BT1731" s="317"/>
      <c r="BU1731" s="317"/>
      <c r="BV1731" s="317"/>
      <c r="BW1731" s="317"/>
      <c r="BX1731" s="317"/>
      <c r="BY1731" s="317"/>
      <c r="BZ1731" s="317"/>
      <c r="CA1731" s="317"/>
      <c r="CB1731" s="317"/>
      <c r="CC1731" s="317"/>
      <c r="CD1731" s="317"/>
      <c r="CE1731" s="317"/>
      <c r="CF1731" s="317"/>
      <c r="CG1731" s="317"/>
      <c r="CH1731" s="317"/>
      <c r="CI1731" s="317"/>
      <c r="CM1731" s="1139">
        <f t="shared" si="1041"/>
        <v>0</v>
      </c>
      <c r="CN1731" s="1139">
        <v>0</v>
      </c>
      <c r="CP1731" s="923">
        <f t="shared" si="1033"/>
        <v>0</v>
      </c>
      <c r="CZ1731" s="330"/>
    </row>
    <row r="1732" spans="1:104" ht="30" customHeight="1" x14ac:dyDescent="0.25">
      <c r="A1732" s="684">
        <f>MAX($A$6:A1731)+1</f>
        <v>1732</v>
      </c>
      <c r="B1732" s="3">
        <f>B1731</f>
        <v>18.200000000000003</v>
      </c>
      <c r="C1732" s="11" t="str">
        <f t="shared" si="1079"/>
        <v>On balance sheet (SoFP)</v>
      </c>
      <c r="D1732" s="11"/>
      <c r="E1732" s="7" t="s">
        <v>657</v>
      </c>
      <c r="F1732" s="7"/>
      <c r="G1732" s="1254" t="s">
        <v>657</v>
      </c>
      <c r="H1732" s="6">
        <v>0</v>
      </c>
      <c r="I1732" s="6"/>
      <c r="J1732" s="1257" t="s">
        <v>884</v>
      </c>
      <c r="K1732" s="251">
        <f>SUMIF('alb Note 17 - Commitments PFI'!$A:$A,$J1732,'alb Note 17 - Commitments PFI'!$B:$B)</f>
        <v>0</v>
      </c>
      <c r="L1732" s="251">
        <f>SUMIF('alb Note 17 - Commitments PFI'!$A:$A,$J1732,'alb Note 17 - Commitments PFI'!$E:$E)</f>
        <v>0</v>
      </c>
      <c r="M1732" s="10"/>
      <c r="N1732" s="273">
        <f t="shared" si="1077"/>
        <v>0</v>
      </c>
      <c r="O1732" s="12"/>
      <c r="P1732" s="12"/>
      <c r="Q1732" s="12"/>
      <c r="R1732" s="12"/>
      <c r="S1732" s="6">
        <f t="shared" si="1068"/>
        <v>0</v>
      </c>
      <c r="T1732" s="273">
        <f t="shared" si="1082"/>
        <v>0</v>
      </c>
      <c r="U1732" s="6">
        <f>SUM(BL1732:BN1732)</f>
        <v>0</v>
      </c>
      <c r="V1732" s="6"/>
      <c r="W1732" s="6">
        <f t="shared" si="1081"/>
        <v>0</v>
      </c>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X1732" s="6"/>
      <c r="AY1732" s="6">
        <f>ROUND(AX1732/1000/Update!$B$31*Update!$B$27,0)</f>
        <v>0</v>
      </c>
      <c r="BA1732" s="6"/>
      <c r="BB1732" s="6">
        <f>ROUND(BA1732/1000/Update!$B$31,0)</f>
        <v>0</v>
      </c>
      <c r="BC1732" s="6"/>
      <c r="BD1732" s="29">
        <f t="shared" si="1075"/>
        <v>0</v>
      </c>
      <c r="BE1732" s="317"/>
      <c r="BF1732" s="317"/>
      <c r="BG1732" s="317"/>
      <c r="BH1732" s="317"/>
      <c r="BI1732" s="317"/>
      <c r="BJ1732" s="317"/>
      <c r="BK1732" s="29">
        <f t="shared" si="1076"/>
        <v>0</v>
      </c>
      <c r="BL1732" s="317"/>
      <c r="BM1732" s="317"/>
      <c r="BN1732" s="317"/>
      <c r="BO1732" s="317"/>
      <c r="BP1732" s="317"/>
      <c r="BQ1732" s="317"/>
      <c r="BR1732" s="317"/>
      <c r="BS1732" s="317"/>
      <c r="BT1732" s="317"/>
      <c r="BU1732" s="317"/>
      <c r="BV1732" s="317"/>
      <c r="BW1732" s="317"/>
      <c r="BX1732" s="317"/>
      <c r="BY1732" s="317"/>
      <c r="BZ1732" s="317"/>
      <c r="CA1732" s="317"/>
      <c r="CB1732" s="317"/>
      <c r="CC1732" s="317"/>
      <c r="CD1732" s="317"/>
      <c r="CE1732" s="317"/>
      <c r="CF1732" s="317"/>
      <c r="CG1732" s="317"/>
      <c r="CH1732" s="317"/>
      <c r="CI1732" s="317"/>
      <c r="CM1732" s="1139">
        <f t="shared" si="1041"/>
        <v>0</v>
      </c>
      <c r="CN1732" s="1139">
        <v>0</v>
      </c>
      <c r="CP1732" s="923">
        <f t="shared" si="1033"/>
        <v>0</v>
      </c>
      <c r="CZ1732" s="330"/>
    </row>
    <row r="1733" spans="1:104" ht="15" customHeight="1" x14ac:dyDescent="0.25">
      <c r="A1733" s="684">
        <f>MAX($A$6:A1732)+1</f>
        <v>1733</v>
      </c>
      <c r="B1733" s="3">
        <f>B1732</f>
        <v>18.200000000000003</v>
      </c>
      <c r="C1733" s="11" t="str">
        <f t="shared" si="1079"/>
        <v>On balance sheet (SoFP)</v>
      </c>
      <c r="D1733" s="11"/>
      <c r="E1733" s="7" t="s">
        <v>658</v>
      </c>
      <c r="F1733" s="7"/>
      <c r="G1733" s="1254" t="s">
        <v>658</v>
      </c>
      <c r="H1733" s="6">
        <v>0</v>
      </c>
      <c r="I1733" s="6"/>
      <c r="J1733" s="1257" t="s">
        <v>885</v>
      </c>
      <c r="K1733" s="251">
        <f>SUMIF('alb Note 17 - Commitments PFI'!$A:$A,$J1733,'alb Note 17 - Commitments PFI'!$B:$B)</f>
        <v>0</v>
      </c>
      <c r="L1733" s="251">
        <f>SUMIF('alb Note 17 - Commitments PFI'!$A:$A,$J1733,'alb Note 17 - Commitments PFI'!$E:$E)</f>
        <v>0</v>
      </c>
      <c r="M1733" s="10"/>
      <c r="N1733" s="273">
        <f t="shared" si="1077"/>
        <v>0</v>
      </c>
      <c r="O1733" s="12"/>
      <c r="P1733" s="12"/>
      <c r="Q1733" s="12"/>
      <c r="R1733" s="12"/>
      <c r="S1733" s="6">
        <f t="shared" si="1068"/>
        <v>0</v>
      </c>
      <c r="T1733" s="273">
        <f t="shared" si="1082"/>
        <v>0</v>
      </c>
      <c r="U1733" s="6">
        <f>SUM(BL1733:BN1733)</f>
        <v>0</v>
      </c>
      <c r="V1733" s="6"/>
      <c r="W1733" s="6">
        <f t="shared" si="1081"/>
        <v>0</v>
      </c>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X1733" s="6"/>
      <c r="AY1733" s="6">
        <f>ROUND(AX1733/1000/Update!$B$31*Update!$B$27,0)</f>
        <v>0</v>
      </c>
      <c r="BA1733" s="6"/>
      <c r="BB1733" s="6">
        <f>ROUND(BA1733/1000/Update!$B$31,0)</f>
        <v>0</v>
      </c>
      <c r="BC1733" s="6"/>
      <c r="BD1733" s="29">
        <f t="shared" si="1075"/>
        <v>0</v>
      </c>
      <c r="BE1733" s="317"/>
      <c r="BF1733" s="317"/>
      <c r="BG1733" s="317"/>
      <c r="BH1733" s="317"/>
      <c r="BI1733" s="317"/>
      <c r="BJ1733" s="317"/>
      <c r="BK1733" s="29">
        <f t="shared" si="1076"/>
        <v>0</v>
      </c>
      <c r="BL1733" s="317"/>
      <c r="BM1733" s="317"/>
      <c r="BN1733" s="317"/>
      <c r="BO1733" s="317"/>
      <c r="BP1733" s="317"/>
      <c r="BQ1733" s="317"/>
      <c r="BR1733" s="317"/>
      <c r="BS1733" s="317"/>
      <c r="BT1733" s="317"/>
      <c r="BU1733" s="317"/>
      <c r="BV1733" s="317"/>
      <c r="BW1733" s="317"/>
      <c r="BX1733" s="317"/>
      <c r="BY1733" s="317"/>
      <c r="BZ1733" s="317"/>
      <c r="CA1733" s="317"/>
      <c r="CB1733" s="317"/>
      <c r="CC1733" s="317"/>
      <c r="CD1733" s="317"/>
      <c r="CE1733" s="317"/>
      <c r="CF1733" s="317"/>
      <c r="CG1733" s="317"/>
      <c r="CH1733" s="317"/>
      <c r="CI1733" s="317"/>
      <c r="CM1733" s="1139">
        <f t="shared" si="1041"/>
        <v>0</v>
      </c>
      <c r="CN1733" s="1139">
        <v>0</v>
      </c>
      <c r="CP1733" s="923">
        <f t="shared" si="1033"/>
        <v>0</v>
      </c>
      <c r="CZ1733" s="330"/>
    </row>
    <row r="1734" spans="1:104" ht="15" customHeight="1" x14ac:dyDescent="0.25">
      <c r="A1734" s="684">
        <f>MAX($A$6:A1733)+1</f>
        <v>1734</v>
      </c>
      <c r="B1734" s="3">
        <f>B1733</f>
        <v>18.200000000000003</v>
      </c>
      <c r="C1734" s="11" t="str">
        <f t="shared" si="1079"/>
        <v>On balance sheet (SoFP)</v>
      </c>
      <c r="D1734" s="11"/>
      <c r="E1734" s="1257" t="s">
        <v>1009</v>
      </c>
      <c r="F1734" s="7"/>
      <c r="G1734" s="1257" t="s">
        <v>1656</v>
      </c>
      <c r="H1734" s="253"/>
      <c r="I1734" s="6"/>
      <c r="J1734" s="1257" t="s">
        <v>1009</v>
      </c>
      <c r="K1734" s="298">
        <f>'alb Note 17 - Commitments PFI'!$A$37</f>
        <v>0</v>
      </c>
      <c r="L1734" s="1256">
        <f>'alb Note 17 - Commitments PFI'!$A$37</f>
        <v>0</v>
      </c>
      <c r="M1734" s="10"/>
      <c r="N1734" s="273">
        <f t="shared" si="1077"/>
        <v>0</v>
      </c>
      <c r="O1734" s="12"/>
      <c r="P1734" s="12"/>
      <c r="Q1734" s="12"/>
      <c r="R1734" s="12"/>
      <c r="S1734" s="6">
        <f t="shared" si="1068"/>
        <v>0</v>
      </c>
      <c r="T1734" s="273">
        <f t="shared" si="1082"/>
        <v>0</v>
      </c>
      <c r="U1734" s="6">
        <f>SUM(BL1734:BN1734)</f>
        <v>0</v>
      </c>
      <c r="V1734" s="6"/>
      <c r="W1734" s="6">
        <f t="shared" si="1081"/>
        <v>0</v>
      </c>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X1734" s="6"/>
      <c r="AY1734" s="6"/>
      <c r="BA1734" s="6"/>
      <c r="BB1734" s="6"/>
      <c r="BC1734" s="6"/>
      <c r="BD1734" s="29">
        <f t="shared" si="1075"/>
        <v>0</v>
      </c>
      <c r="BE1734" s="860"/>
      <c r="BF1734" s="860"/>
      <c r="BG1734" s="860"/>
      <c r="BH1734" s="860"/>
      <c r="BI1734" s="860"/>
      <c r="BJ1734" s="860"/>
      <c r="BK1734" s="29">
        <f t="shared" si="1076"/>
        <v>0</v>
      </c>
      <c r="BL1734" s="860"/>
      <c r="BM1734" s="860"/>
      <c r="BN1734" s="860"/>
      <c r="BO1734" s="860"/>
      <c r="BP1734" s="860"/>
      <c r="BQ1734" s="860"/>
      <c r="BR1734" s="860"/>
      <c r="BS1734" s="860"/>
      <c r="BT1734" s="860"/>
      <c r="BU1734" s="860"/>
      <c r="BV1734" s="860"/>
      <c r="BW1734" s="860"/>
      <c r="BX1734" s="860"/>
      <c r="BY1734" s="860"/>
      <c r="BZ1734" s="860"/>
      <c r="CA1734" s="860"/>
      <c r="CB1734" s="860"/>
      <c r="CC1734" s="860"/>
      <c r="CD1734" s="860"/>
      <c r="CE1734" s="860"/>
      <c r="CF1734" s="860"/>
      <c r="CG1734" s="860"/>
      <c r="CH1734" s="860"/>
      <c r="CI1734" s="860"/>
      <c r="CM1734" s="1500">
        <f t="shared" si="1041"/>
        <v>0</v>
      </c>
      <c r="CN1734" s="1500">
        <v>0</v>
      </c>
      <c r="CP1734" s="923">
        <f t="shared" si="1033"/>
        <v>0</v>
      </c>
      <c r="CZ1734" s="330"/>
    </row>
    <row r="1735" spans="1:104" ht="15" customHeight="1" x14ac:dyDescent="0.25">
      <c r="A1735" s="684">
        <f>MAX($A$6:A1734)+1</f>
        <v>1735</v>
      </c>
      <c r="B1735" s="3">
        <f>B1733</f>
        <v>18.200000000000003</v>
      </c>
      <c r="C1735" s="11" t="str">
        <f>C1733</f>
        <v>On balance sheet (SoFP)</v>
      </c>
      <c r="D1735" s="11"/>
      <c r="E1735" s="13" t="s">
        <v>146</v>
      </c>
      <c r="F1735" s="13"/>
      <c r="G1735" s="1254" t="s">
        <v>146</v>
      </c>
      <c r="H1735" s="6">
        <v>0</v>
      </c>
      <c r="I1735" s="6"/>
      <c r="J1735" s="1268" t="s">
        <v>286</v>
      </c>
      <c r="K1735" s="256">
        <f>SUM(K1731:K1733)</f>
        <v>0</v>
      </c>
      <c r="L1735" s="256">
        <f>SUM(L1731:L1733)</f>
        <v>0</v>
      </c>
      <c r="M1735" s="14">
        <f>SUM(M1731:M1733)</f>
        <v>0</v>
      </c>
      <c r="N1735" s="14">
        <f t="shared" si="1077"/>
        <v>0</v>
      </c>
      <c r="O1735" s="14">
        <f t="shared" ref="O1735:W1735" si="1083">SUM(O1731:O1733)</f>
        <v>0</v>
      </c>
      <c r="P1735" s="14">
        <f t="shared" si="1083"/>
        <v>0</v>
      </c>
      <c r="Q1735" s="14">
        <f t="shared" si="1083"/>
        <v>0</v>
      </c>
      <c r="R1735" s="14">
        <f t="shared" si="1083"/>
        <v>0</v>
      </c>
      <c r="S1735" s="14">
        <f t="shared" si="1068"/>
        <v>0</v>
      </c>
      <c r="T1735" s="14">
        <f t="shared" si="1083"/>
        <v>0</v>
      </c>
      <c r="U1735" s="14">
        <f t="shared" si="1083"/>
        <v>0</v>
      </c>
      <c r="V1735" s="14">
        <f t="shared" si="1083"/>
        <v>0</v>
      </c>
      <c r="W1735" s="14">
        <f t="shared" si="1083"/>
        <v>0</v>
      </c>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X1735" s="14">
        <f>SUM(AX1731:AX1733)</f>
        <v>0</v>
      </c>
      <c r="AY1735" s="14">
        <f>ROUND(AX1735/1000/Update!$B$31*Update!$B$27,0)</f>
        <v>0</v>
      </c>
      <c r="BA1735" s="14">
        <f>SUM(BA1731:BA1733)</f>
        <v>0</v>
      </c>
      <c r="BB1735" s="14">
        <f>ROUND(BA1735/1000/Update!$B$31,0)</f>
        <v>0</v>
      </c>
      <c r="BC1735" s="14"/>
      <c r="BD1735" s="14">
        <f t="shared" si="1075"/>
        <v>0</v>
      </c>
      <c r="BE1735" s="318">
        <f t="shared" ref="BE1735:BJ1735" si="1084">SUM(BE1731:BE1733)</f>
        <v>0</v>
      </c>
      <c r="BF1735" s="318">
        <f t="shared" si="1084"/>
        <v>0</v>
      </c>
      <c r="BG1735" s="318">
        <f t="shared" si="1084"/>
        <v>0</v>
      </c>
      <c r="BH1735" s="318">
        <f t="shared" si="1084"/>
        <v>0</v>
      </c>
      <c r="BI1735" s="318">
        <f t="shared" si="1084"/>
        <v>0</v>
      </c>
      <c r="BJ1735" s="318">
        <f t="shared" si="1084"/>
        <v>0</v>
      </c>
      <c r="BK1735" s="14">
        <f t="shared" si="1076"/>
        <v>0</v>
      </c>
      <c r="BL1735" s="318"/>
      <c r="BM1735" s="318"/>
      <c r="BN1735" s="318"/>
      <c r="BO1735" s="318"/>
      <c r="BP1735" s="318"/>
      <c r="BQ1735" s="318"/>
      <c r="BR1735" s="318"/>
      <c r="BS1735" s="318"/>
      <c r="BT1735" s="318"/>
      <c r="BU1735" s="318"/>
      <c r="BV1735" s="318"/>
      <c r="BW1735" s="318"/>
      <c r="BX1735" s="318"/>
      <c r="BY1735" s="318"/>
      <c r="BZ1735" s="318"/>
      <c r="CA1735" s="318"/>
      <c r="CB1735" s="318"/>
      <c r="CC1735" s="318"/>
      <c r="CD1735" s="318"/>
      <c r="CE1735" s="318"/>
      <c r="CF1735" s="318"/>
      <c r="CG1735" s="318"/>
      <c r="CH1735" s="318"/>
      <c r="CI1735" s="318"/>
      <c r="CM1735" s="1140">
        <f t="shared" si="1041"/>
        <v>0</v>
      </c>
      <c r="CN1735" s="1140">
        <v>0</v>
      </c>
      <c r="CP1735" s="923">
        <f t="shared" si="1033"/>
        <v>0</v>
      </c>
      <c r="CZ1735" s="330"/>
    </row>
    <row r="1736" spans="1:104" ht="15" customHeight="1" x14ac:dyDescent="0.25">
      <c r="A1736" s="684">
        <f>MAX($A$6:A1735)+1</f>
        <v>1736</v>
      </c>
      <c r="B1736" s="3">
        <f t="shared" ref="B1736:C1743" si="1085">B1735</f>
        <v>18.200000000000003</v>
      </c>
      <c r="C1736" s="11" t="str">
        <f t="shared" si="1079"/>
        <v>On balance sheet (SoFP)</v>
      </c>
      <c r="D1736" s="11"/>
      <c r="E1736" s="7" t="s">
        <v>659</v>
      </c>
      <c r="F1736" s="7"/>
      <c r="G1736" s="1254" t="s">
        <v>659</v>
      </c>
      <c r="H1736" s="6">
        <v>0</v>
      </c>
      <c r="I1736" s="6"/>
      <c r="J1736" s="1257" t="s">
        <v>659</v>
      </c>
      <c r="K1736" s="251">
        <f>SUMIF('alb Note 17 - Commitments PFI'!$A:$A,$J1736,'alb Note 17 - Commitments PFI'!$B:$B)</f>
        <v>0</v>
      </c>
      <c r="L1736" s="251">
        <f>SUMIF('alb Note 17 - Commitments PFI'!$A:$A,$J1736,'alb Note 17 - Commitments PFI'!$E:$E)</f>
        <v>0</v>
      </c>
      <c r="M1736" s="10"/>
      <c r="N1736" s="273">
        <f t="shared" si="1077"/>
        <v>0</v>
      </c>
      <c r="O1736" s="12"/>
      <c r="P1736" s="12"/>
      <c r="Q1736" s="12"/>
      <c r="R1736" s="12"/>
      <c r="S1736" s="6">
        <f t="shared" si="1068"/>
        <v>0</v>
      </c>
      <c r="T1736" s="273">
        <f>ROUND(SUM(U1736:Y1736),0)</f>
        <v>0</v>
      </c>
      <c r="U1736" s="6">
        <f>SUM(BL1736:BN1736)</f>
        <v>0</v>
      </c>
      <c r="V1736" s="6"/>
      <c r="W1736" s="6">
        <f t="shared" si="1081"/>
        <v>0</v>
      </c>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X1736" s="6"/>
      <c r="AY1736" s="6">
        <f>ROUND(AX1736/1000/Update!$B$31*Update!$B$27,0)</f>
        <v>0</v>
      </c>
      <c r="BA1736" s="6"/>
      <c r="BB1736" s="6">
        <f>ROUND(BA1736/1000/Update!$B$31,0)</f>
        <v>0</v>
      </c>
      <c r="BC1736" s="6"/>
      <c r="BD1736" s="29">
        <f t="shared" si="1075"/>
        <v>0</v>
      </c>
      <c r="BE1736" s="317"/>
      <c r="BF1736" s="317"/>
      <c r="BG1736" s="317"/>
      <c r="BH1736" s="317"/>
      <c r="BI1736" s="317"/>
      <c r="BJ1736" s="317"/>
      <c r="BK1736" s="29">
        <f t="shared" si="1076"/>
        <v>0</v>
      </c>
      <c r="BL1736" s="317"/>
      <c r="BM1736" s="317"/>
      <c r="BN1736" s="317"/>
      <c r="BO1736" s="317"/>
      <c r="BP1736" s="317"/>
      <c r="BQ1736" s="317"/>
      <c r="BR1736" s="317"/>
      <c r="BS1736" s="317"/>
      <c r="BT1736" s="317"/>
      <c r="BU1736" s="317"/>
      <c r="BV1736" s="317"/>
      <c r="BW1736" s="317"/>
      <c r="BX1736" s="317"/>
      <c r="BY1736" s="317"/>
      <c r="BZ1736" s="317"/>
      <c r="CA1736" s="317"/>
      <c r="CB1736" s="317"/>
      <c r="CC1736" s="317"/>
      <c r="CD1736" s="317"/>
      <c r="CE1736" s="317"/>
      <c r="CF1736" s="317"/>
      <c r="CG1736" s="317"/>
      <c r="CH1736" s="317"/>
      <c r="CI1736" s="317"/>
      <c r="CM1736" s="1139">
        <f t="shared" si="1041"/>
        <v>0</v>
      </c>
      <c r="CN1736" s="1139">
        <v>0</v>
      </c>
      <c r="CP1736" s="923">
        <f t="shared" si="1033"/>
        <v>0</v>
      </c>
      <c r="CZ1736" s="330"/>
    </row>
    <row r="1737" spans="1:104" ht="15" customHeight="1" x14ac:dyDescent="0.25">
      <c r="A1737" s="684">
        <f>MAX($A$6:A1736)+1</f>
        <v>1737</v>
      </c>
      <c r="B1737" s="3">
        <f t="shared" si="1085"/>
        <v>18.200000000000003</v>
      </c>
      <c r="C1737" s="11" t="str">
        <f t="shared" si="1079"/>
        <v>On balance sheet (SoFP)</v>
      </c>
      <c r="D1737" s="11"/>
      <c r="E1737" s="13" t="s">
        <v>660</v>
      </c>
      <c r="F1737" s="13"/>
      <c r="G1737" s="1254" t="s">
        <v>660</v>
      </c>
      <c r="H1737" s="6">
        <v>0</v>
      </c>
      <c r="I1737" s="6"/>
      <c r="J1737" s="1268" t="s">
        <v>286</v>
      </c>
      <c r="K1737" s="256">
        <f>K1735-K1736</f>
        <v>0</v>
      </c>
      <c r="L1737" s="256">
        <f>L1735-L1736</f>
        <v>0</v>
      </c>
      <c r="M1737" s="14">
        <f>M1735-M1736</f>
        <v>0</v>
      </c>
      <c r="N1737" s="14">
        <f t="shared" si="1077"/>
        <v>0</v>
      </c>
      <c r="O1737" s="14">
        <f t="shared" ref="O1737:W1737" si="1086">O1735-O1736</f>
        <v>0</v>
      </c>
      <c r="P1737" s="14">
        <f t="shared" si="1086"/>
        <v>0</v>
      </c>
      <c r="Q1737" s="14">
        <f t="shared" si="1086"/>
        <v>0</v>
      </c>
      <c r="R1737" s="14">
        <f t="shared" si="1086"/>
        <v>0</v>
      </c>
      <c r="S1737" s="14">
        <f t="shared" si="1068"/>
        <v>0</v>
      </c>
      <c r="T1737" s="14">
        <f t="shared" si="1086"/>
        <v>0</v>
      </c>
      <c r="U1737" s="14">
        <f t="shared" si="1086"/>
        <v>0</v>
      </c>
      <c r="V1737" s="14">
        <f t="shared" si="1086"/>
        <v>0</v>
      </c>
      <c r="W1737" s="14">
        <f t="shared" si="1086"/>
        <v>0</v>
      </c>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X1737" s="14">
        <f>AX1735-AX1736</f>
        <v>0</v>
      </c>
      <c r="AY1737" s="14">
        <f>ROUND(AX1737/1000/Update!$B$31*Update!$B$27,0)</f>
        <v>0</v>
      </c>
      <c r="BA1737" s="14">
        <f>BA1735-BA1736</f>
        <v>0</v>
      </c>
      <c r="BB1737" s="14">
        <f>ROUND(BA1737/1000/Update!$B$31,0)</f>
        <v>0</v>
      </c>
      <c r="BC1737" s="14"/>
      <c r="BD1737" s="14">
        <f t="shared" si="1075"/>
        <v>0</v>
      </c>
      <c r="BE1737" s="318">
        <f t="shared" ref="BE1737:BJ1737" si="1087">BE1735-BE1736</f>
        <v>0</v>
      </c>
      <c r="BF1737" s="318">
        <f t="shared" si="1087"/>
        <v>0</v>
      </c>
      <c r="BG1737" s="318">
        <f t="shared" si="1087"/>
        <v>0</v>
      </c>
      <c r="BH1737" s="318">
        <f t="shared" si="1087"/>
        <v>0</v>
      </c>
      <c r="BI1737" s="318">
        <f t="shared" si="1087"/>
        <v>0</v>
      </c>
      <c r="BJ1737" s="318">
        <f t="shared" si="1087"/>
        <v>0</v>
      </c>
      <c r="BK1737" s="14">
        <f t="shared" si="1076"/>
        <v>0</v>
      </c>
      <c r="BL1737" s="318"/>
      <c r="BM1737" s="318"/>
      <c r="BN1737" s="318"/>
      <c r="BO1737" s="318"/>
      <c r="BP1737" s="318"/>
      <c r="BQ1737" s="318"/>
      <c r="BR1737" s="318"/>
      <c r="BS1737" s="318"/>
      <c r="BT1737" s="318"/>
      <c r="BU1737" s="318"/>
      <c r="BV1737" s="318"/>
      <c r="BW1737" s="318"/>
      <c r="BX1737" s="318"/>
      <c r="BY1737" s="318"/>
      <c r="BZ1737" s="318"/>
      <c r="CA1737" s="318"/>
      <c r="CB1737" s="318"/>
      <c r="CC1737" s="318"/>
      <c r="CD1737" s="318"/>
      <c r="CE1737" s="318"/>
      <c r="CF1737" s="318"/>
      <c r="CG1737" s="318"/>
      <c r="CH1737" s="318"/>
      <c r="CI1737" s="318"/>
      <c r="CM1737" s="1140">
        <f t="shared" si="1041"/>
        <v>0</v>
      </c>
      <c r="CN1737" s="1140">
        <v>0</v>
      </c>
      <c r="CP1737" s="923">
        <f t="shared" si="1033"/>
        <v>0</v>
      </c>
      <c r="CZ1737" s="330"/>
    </row>
    <row r="1738" spans="1:104" ht="15" customHeight="1" x14ac:dyDescent="0.25">
      <c r="A1738" s="684">
        <f>MAX($A$6:A1737)+1</f>
        <v>1738</v>
      </c>
      <c r="B1738" s="3">
        <f t="shared" si="1085"/>
        <v>18.200000000000003</v>
      </c>
      <c r="C1738" s="11" t="str">
        <f t="shared" si="1079"/>
        <v>On balance sheet (SoFP)</v>
      </c>
      <c r="D1738" s="11"/>
      <c r="E1738" s="13" t="s">
        <v>661</v>
      </c>
      <c r="F1738" s="13"/>
      <c r="G1738" s="1254" t="s">
        <v>286</v>
      </c>
      <c r="H1738" s="6">
        <v>0</v>
      </c>
      <c r="I1738" s="6"/>
      <c r="J1738" s="1257" t="s">
        <v>286</v>
      </c>
      <c r="K1738" s="251">
        <f>SUMIF('alb Note 17 - Commitments PFI'!$A:$A,$J1738,'alb Note 17 - Commitments PFI'!$B:$B)</f>
        <v>0</v>
      </c>
      <c r="L1738" s="251">
        <f>SUMIF('alb Note 17 - Commitments PFI'!$A:$A,$J1738,'alb Note 17 - Commitments PFI'!$E:$E)</f>
        <v>0</v>
      </c>
      <c r="M1738" s="10"/>
      <c r="N1738" s="273">
        <f t="shared" si="1077"/>
        <v>0</v>
      </c>
      <c r="O1738" s="12"/>
      <c r="P1738" s="12"/>
      <c r="Q1738" s="12"/>
      <c r="R1738" s="12"/>
      <c r="S1738" s="6">
        <f t="shared" si="1068"/>
        <v>0</v>
      </c>
      <c r="T1738" s="273">
        <f>ROUND(SUM(U1738:Y1738),0)</f>
        <v>0</v>
      </c>
      <c r="U1738" s="6">
        <f>SUM(BL1738:BN1738)</f>
        <v>0</v>
      </c>
      <c r="V1738" s="6"/>
      <c r="W1738" s="6">
        <f t="shared" si="1081"/>
        <v>0</v>
      </c>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X1738" s="6"/>
      <c r="AY1738" s="6">
        <f>ROUND(AX1738/1000/Update!$B$31*Update!$B$27,0)</f>
        <v>0</v>
      </c>
      <c r="BA1738" s="6"/>
      <c r="BB1738" s="6">
        <f>ROUND(BA1738/1000/Update!$B$31,0)</f>
        <v>0</v>
      </c>
      <c r="BC1738" s="6"/>
      <c r="BD1738" s="29">
        <f t="shared" si="1075"/>
        <v>0</v>
      </c>
      <c r="BE1738" s="317"/>
      <c r="BF1738" s="317"/>
      <c r="BG1738" s="317"/>
      <c r="BH1738" s="317"/>
      <c r="BI1738" s="317"/>
      <c r="BJ1738" s="317"/>
      <c r="BK1738" s="29">
        <f t="shared" si="1076"/>
        <v>0</v>
      </c>
      <c r="BL1738" s="317"/>
      <c r="BM1738" s="317"/>
      <c r="BN1738" s="317"/>
      <c r="BO1738" s="317"/>
      <c r="BP1738" s="317"/>
      <c r="BQ1738" s="317"/>
      <c r="BR1738" s="317"/>
      <c r="BS1738" s="317"/>
      <c r="BT1738" s="317"/>
      <c r="BU1738" s="317"/>
      <c r="BV1738" s="317"/>
      <c r="BW1738" s="317"/>
      <c r="BX1738" s="317"/>
      <c r="BY1738" s="317"/>
      <c r="BZ1738" s="317"/>
      <c r="CA1738" s="317"/>
      <c r="CB1738" s="317"/>
      <c r="CC1738" s="317"/>
      <c r="CD1738" s="317"/>
      <c r="CE1738" s="317"/>
      <c r="CF1738" s="317"/>
      <c r="CG1738" s="317"/>
      <c r="CH1738" s="317"/>
      <c r="CI1738" s="317"/>
      <c r="CM1738" s="1139">
        <f t="shared" si="1041"/>
        <v>0</v>
      </c>
      <c r="CN1738" s="1139">
        <v>0</v>
      </c>
      <c r="CP1738" s="923">
        <f t="shared" si="1033"/>
        <v>0</v>
      </c>
      <c r="CZ1738" s="330"/>
    </row>
    <row r="1739" spans="1:104" ht="15" customHeight="1" x14ac:dyDescent="0.25">
      <c r="A1739" s="684">
        <f>MAX($A$6:A1738)+1</f>
        <v>1739</v>
      </c>
      <c r="B1739" s="3">
        <f t="shared" si="1085"/>
        <v>18.200000000000003</v>
      </c>
      <c r="C1739" s="11" t="str">
        <f t="shared" si="1079"/>
        <v>On balance sheet (SoFP)</v>
      </c>
      <c r="D1739" s="11"/>
      <c r="E1739" s="7" t="s">
        <v>656</v>
      </c>
      <c r="F1739" s="7"/>
      <c r="G1739" s="1254" t="s">
        <v>656</v>
      </c>
      <c r="H1739" s="6">
        <v>0</v>
      </c>
      <c r="I1739" s="6"/>
      <c r="J1739" s="1257" t="s">
        <v>656</v>
      </c>
      <c r="K1739" s="251">
        <f>SUMIF('alb Note 17 - Commitments PFI'!$A:$A,$J1739,'alb Note 17 - Commitments PFI'!$B:$B)</f>
        <v>0</v>
      </c>
      <c r="L1739" s="251">
        <f>SUMIF('alb Note 17 - Commitments PFI'!$A:$A,$J1739,'alb Note 17 - Commitments PFI'!$E:$E)</f>
        <v>0</v>
      </c>
      <c r="M1739" s="10"/>
      <c r="N1739" s="273">
        <f t="shared" si="1077"/>
        <v>0</v>
      </c>
      <c r="O1739" s="12"/>
      <c r="P1739" s="12"/>
      <c r="Q1739" s="12"/>
      <c r="R1739" s="12"/>
      <c r="S1739" s="6">
        <f t="shared" si="1068"/>
        <v>0</v>
      </c>
      <c r="T1739" s="273">
        <f>ROUND(SUM(U1739:Y1739),0)</f>
        <v>0</v>
      </c>
      <c r="U1739" s="6">
        <f>SUM(BL1739:BN1739)</f>
        <v>0</v>
      </c>
      <c r="V1739" s="6"/>
      <c r="W1739" s="6">
        <f t="shared" si="1081"/>
        <v>0</v>
      </c>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X1739" s="6"/>
      <c r="AY1739" s="6">
        <f>ROUND(AX1739/1000/Update!$B$31*Update!$B$27,0)</f>
        <v>0</v>
      </c>
      <c r="BA1739" s="6"/>
      <c r="BB1739" s="6">
        <f>ROUND(BA1739/1000/Update!$B$31,0)</f>
        <v>0</v>
      </c>
      <c r="BC1739" s="6"/>
      <c r="BD1739" s="29">
        <f t="shared" si="1075"/>
        <v>0</v>
      </c>
      <c r="BE1739" s="317"/>
      <c r="BF1739" s="317"/>
      <c r="BG1739" s="317"/>
      <c r="BH1739" s="317"/>
      <c r="BI1739" s="317"/>
      <c r="BJ1739" s="317"/>
      <c r="BK1739" s="29">
        <f t="shared" si="1076"/>
        <v>0</v>
      </c>
      <c r="BL1739" s="317"/>
      <c r="BM1739" s="317"/>
      <c r="BN1739" s="317"/>
      <c r="BO1739" s="317"/>
      <c r="BP1739" s="317"/>
      <c r="BQ1739" s="317"/>
      <c r="BR1739" s="317"/>
      <c r="BS1739" s="317"/>
      <c r="BT1739" s="317"/>
      <c r="BU1739" s="317"/>
      <c r="BV1739" s="317"/>
      <c r="BW1739" s="317"/>
      <c r="BX1739" s="317"/>
      <c r="BY1739" s="317"/>
      <c r="BZ1739" s="317"/>
      <c r="CA1739" s="317"/>
      <c r="CB1739" s="317"/>
      <c r="CC1739" s="317"/>
      <c r="CD1739" s="317"/>
      <c r="CE1739" s="317"/>
      <c r="CF1739" s="317"/>
      <c r="CG1739" s="317"/>
      <c r="CH1739" s="317"/>
      <c r="CI1739" s="317"/>
      <c r="CM1739" s="1139">
        <f t="shared" si="1041"/>
        <v>0</v>
      </c>
      <c r="CN1739" s="1139">
        <v>0</v>
      </c>
      <c r="CP1739" s="923">
        <f t="shared" si="1033"/>
        <v>0</v>
      </c>
      <c r="CZ1739" s="330"/>
    </row>
    <row r="1740" spans="1:104" ht="30" customHeight="1" x14ac:dyDescent="0.25">
      <c r="A1740" s="684">
        <f>MAX($A$6:A1739)+1</f>
        <v>1740</v>
      </c>
      <c r="B1740" s="3">
        <f t="shared" si="1085"/>
        <v>18.200000000000003</v>
      </c>
      <c r="C1740" s="11" t="str">
        <f>C1737</f>
        <v>On balance sheet (SoFP)</v>
      </c>
      <c r="D1740" s="11"/>
      <c r="E1740" s="7" t="s">
        <v>657</v>
      </c>
      <c r="F1740" s="7"/>
      <c r="G1740" s="1254" t="s">
        <v>657</v>
      </c>
      <c r="H1740" s="6">
        <v>0</v>
      </c>
      <c r="I1740" s="6"/>
      <c r="J1740" s="1257" t="s">
        <v>657</v>
      </c>
      <c r="K1740" s="251">
        <f>SUMIF('alb Note 17 - Commitments PFI'!$A:$A,$J1740,'alb Note 17 - Commitments PFI'!$B:$B)</f>
        <v>0</v>
      </c>
      <c r="L1740" s="251">
        <f>SUMIF('alb Note 17 - Commitments PFI'!$A:$A,$J1740,'alb Note 17 - Commitments PFI'!$E:$E)</f>
        <v>0</v>
      </c>
      <c r="M1740" s="10"/>
      <c r="N1740" s="273">
        <f t="shared" si="1077"/>
        <v>0</v>
      </c>
      <c r="O1740" s="12"/>
      <c r="P1740" s="12"/>
      <c r="Q1740" s="12"/>
      <c r="R1740" s="12"/>
      <c r="S1740" s="6">
        <f t="shared" si="1068"/>
        <v>0</v>
      </c>
      <c r="T1740" s="273">
        <f>ROUND(SUM(U1740:Y1740),0)</f>
        <v>0</v>
      </c>
      <c r="U1740" s="6">
        <f>SUM(BL1740:BN1740)</f>
        <v>0</v>
      </c>
      <c r="V1740" s="6"/>
      <c r="W1740" s="6">
        <f t="shared" si="1081"/>
        <v>0</v>
      </c>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X1740" s="6"/>
      <c r="AY1740" s="6">
        <f>ROUND(AX1740/1000/Update!$B$31*Update!$B$27,0)</f>
        <v>0</v>
      </c>
      <c r="BA1740" s="6"/>
      <c r="BB1740" s="6">
        <f>ROUND(BA1740/1000/Update!$B$31,0)</f>
        <v>0</v>
      </c>
      <c r="BC1740" s="6"/>
      <c r="BD1740" s="29">
        <f t="shared" si="1075"/>
        <v>0</v>
      </c>
      <c r="BE1740" s="317"/>
      <c r="BF1740" s="317"/>
      <c r="BG1740" s="317"/>
      <c r="BH1740" s="317"/>
      <c r="BI1740" s="317"/>
      <c r="BJ1740" s="317"/>
      <c r="BK1740" s="29">
        <f t="shared" si="1076"/>
        <v>0</v>
      </c>
      <c r="BL1740" s="317"/>
      <c r="BM1740" s="317"/>
      <c r="BN1740" s="317"/>
      <c r="BO1740" s="317"/>
      <c r="BP1740" s="317"/>
      <c r="BQ1740" s="317"/>
      <c r="BR1740" s="317"/>
      <c r="BS1740" s="317"/>
      <c r="BT1740" s="317"/>
      <c r="BU1740" s="317"/>
      <c r="BV1740" s="317"/>
      <c r="BW1740" s="317"/>
      <c r="BX1740" s="317"/>
      <c r="BY1740" s="317"/>
      <c r="BZ1740" s="317"/>
      <c r="CA1740" s="317"/>
      <c r="CB1740" s="317"/>
      <c r="CC1740" s="317"/>
      <c r="CD1740" s="317"/>
      <c r="CE1740" s="317"/>
      <c r="CF1740" s="317"/>
      <c r="CG1740" s="317"/>
      <c r="CH1740" s="317"/>
      <c r="CI1740" s="317"/>
      <c r="CM1740" s="1139">
        <f t="shared" si="1041"/>
        <v>0</v>
      </c>
      <c r="CN1740" s="1139">
        <v>0</v>
      </c>
      <c r="CP1740" s="923">
        <f t="shared" si="1033"/>
        <v>0</v>
      </c>
      <c r="CZ1740" s="330"/>
    </row>
    <row r="1741" spans="1:104" ht="15" customHeight="1" x14ac:dyDescent="0.25">
      <c r="A1741" s="684">
        <f>MAX($A$6:A1740)+1</f>
        <v>1741</v>
      </c>
      <c r="B1741" s="3">
        <f t="shared" si="1085"/>
        <v>18.200000000000003</v>
      </c>
      <c r="C1741" s="11" t="str">
        <f t="shared" si="1079"/>
        <v>On balance sheet (SoFP)</v>
      </c>
      <c r="D1741" s="11"/>
      <c r="E1741" s="7" t="s">
        <v>658</v>
      </c>
      <c r="F1741" s="7"/>
      <c r="G1741" s="1254" t="s">
        <v>658</v>
      </c>
      <c r="H1741" s="6">
        <v>0</v>
      </c>
      <c r="I1741" s="6"/>
      <c r="J1741" s="1257" t="s">
        <v>658</v>
      </c>
      <c r="K1741" s="251">
        <f>SUMIF('alb Note 17 - Commitments PFI'!$A:$A,$J1741,'alb Note 17 - Commitments PFI'!$B:$B)</f>
        <v>0</v>
      </c>
      <c r="L1741" s="251">
        <f>SUMIF('alb Note 17 - Commitments PFI'!$A:$A,$J1741,'alb Note 17 - Commitments PFI'!$E:$E)</f>
        <v>0</v>
      </c>
      <c r="M1741" s="10"/>
      <c r="N1741" s="273">
        <f t="shared" si="1077"/>
        <v>0</v>
      </c>
      <c r="O1741" s="12"/>
      <c r="P1741" s="12"/>
      <c r="Q1741" s="12"/>
      <c r="R1741" s="12"/>
      <c r="S1741" s="6">
        <f t="shared" si="1068"/>
        <v>0</v>
      </c>
      <c r="T1741" s="273">
        <f>ROUND(SUM(U1741:Y1741),0)</f>
        <v>0</v>
      </c>
      <c r="U1741" s="6">
        <f>SUM(BL1741:BN1741)</f>
        <v>0</v>
      </c>
      <c r="V1741" s="6"/>
      <c r="W1741" s="6">
        <f t="shared" si="1081"/>
        <v>0</v>
      </c>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X1741" s="6"/>
      <c r="AY1741" s="6">
        <f>ROUND(AX1741/1000/Update!$B$31*Update!$B$27,0)</f>
        <v>0</v>
      </c>
      <c r="BA1741" s="6"/>
      <c r="BB1741" s="6">
        <f>ROUND(BA1741/1000/Update!$B$31,0)</f>
        <v>0</v>
      </c>
      <c r="BC1741" s="6"/>
      <c r="BD1741" s="29">
        <f t="shared" ref="BD1741:BD1754" si="1088">ROUND(SUM(BE1741:BK1741),0)</f>
        <v>0</v>
      </c>
      <c r="BE1741" s="317"/>
      <c r="BF1741" s="317"/>
      <c r="BG1741" s="317"/>
      <c r="BH1741" s="317"/>
      <c r="BI1741" s="317"/>
      <c r="BJ1741" s="317"/>
      <c r="BK1741" s="29">
        <f t="shared" si="1076"/>
        <v>0</v>
      </c>
      <c r="BL1741" s="317"/>
      <c r="BM1741" s="317"/>
      <c r="BN1741" s="317"/>
      <c r="BO1741" s="317"/>
      <c r="BP1741" s="317"/>
      <c r="BQ1741" s="317"/>
      <c r="BR1741" s="317"/>
      <c r="BS1741" s="317"/>
      <c r="BT1741" s="317"/>
      <c r="BU1741" s="317"/>
      <c r="BV1741" s="317"/>
      <c r="BW1741" s="317"/>
      <c r="BX1741" s="317"/>
      <c r="BY1741" s="317"/>
      <c r="BZ1741" s="317"/>
      <c r="CA1741" s="317"/>
      <c r="CB1741" s="317"/>
      <c r="CC1741" s="317"/>
      <c r="CD1741" s="317"/>
      <c r="CE1741" s="317"/>
      <c r="CF1741" s="317"/>
      <c r="CG1741" s="317"/>
      <c r="CH1741" s="317"/>
      <c r="CI1741" s="317"/>
      <c r="CM1741" s="1139">
        <f t="shared" si="1041"/>
        <v>0</v>
      </c>
      <c r="CN1741" s="1139">
        <v>0</v>
      </c>
      <c r="CP1741" s="923">
        <f t="shared" si="1033"/>
        <v>0</v>
      </c>
      <c r="CZ1741" s="330"/>
    </row>
    <row r="1742" spans="1:104" ht="15" customHeight="1" x14ac:dyDescent="0.25">
      <c r="A1742" s="701">
        <f>MAX($A$6:A1741)+1</f>
        <v>1742</v>
      </c>
      <c r="B1742" s="1291">
        <f t="shared" si="1085"/>
        <v>18.200000000000003</v>
      </c>
      <c r="C1742" s="18" t="str">
        <f>C1741</f>
        <v>On balance sheet (SoFP)</v>
      </c>
      <c r="D1742" s="18"/>
      <c r="E1742" s="19" t="s">
        <v>146</v>
      </c>
      <c r="F1742" s="19"/>
      <c r="G1742" s="28"/>
      <c r="H1742" s="14">
        <f>SUM(H1739:H1741)</f>
        <v>0</v>
      </c>
      <c r="I1742" s="14"/>
      <c r="J1742" s="1258" t="s">
        <v>286</v>
      </c>
      <c r="K1742" s="256">
        <f>SUM(K1739:K1741)</f>
        <v>0</v>
      </c>
      <c r="L1742" s="256">
        <f>SUM(L1739:L1741)</f>
        <v>0</v>
      </c>
      <c r="M1742" s="14">
        <f>SUM(M1739:M1741)</f>
        <v>0</v>
      </c>
      <c r="N1742" s="14">
        <f t="shared" si="1077"/>
        <v>0</v>
      </c>
      <c r="O1742" s="14">
        <f t="shared" ref="O1742:W1742" si="1089">SUM(O1739:O1741)</f>
        <v>0</v>
      </c>
      <c r="P1742" s="14">
        <f t="shared" si="1089"/>
        <v>0</v>
      </c>
      <c r="Q1742" s="14">
        <f t="shared" si="1089"/>
        <v>0</v>
      </c>
      <c r="R1742" s="14">
        <f t="shared" si="1089"/>
        <v>0</v>
      </c>
      <c r="S1742" s="14">
        <f t="shared" si="1068"/>
        <v>0</v>
      </c>
      <c r="T1742" s="14">
        <f t="shared" si="1089"/>
        <v>0</v>
      </c>
      <c r="U1742" s="14">
        <f t="shared" si="1089"/>
        <v>0</v>
      </c>
      <c r="V1742" s="14">
        <f t="shared" si="1089"/>
        <v>0</v>
      </c>
      <c r="W1742" s="14">
        <f t="shared" si="1089"/>
        <v>0</v>
      </c>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2"/>
      <c r="AX1742" s="14">
        <f>SUM(AX1739:AX1741)</f>
        <v>0</v>
      </c>
      <c r="AY1742" s="14">
        <f>ROUND(AX1742/1000/Update!$B$31*Update!$B$27,0)</f>
        <v>0</v>
      </c>
      <c r="AZ1742" s="2"/>
      <c r="BA1742" s="14">
        <f>SUM(BA1739:BA1741)</f>
        <v>0</v>
      </c>
      <c r="BB1742" s="14">
        <f>ROUND(BA1742/1000/Update!$B$31,0)</f>
        <v>0</v>
      </c>
      <c r="BC1742" s="14"/>
      <c r="BD1742" s="14">
        <f t="shared" si="1088"/>
        <v>0</v>
      </c>
      <c r="BE1742" s="318">
        <f t="shared" ref="BE1742:BJ1742" si="1090">SUM(BE1739:BE1741)</f>
        <v>0</v>
      </c>
      <c r="BF1742" s="318">
        <f t="shared" si="1090"/>
        <v>0</v>
      </c>
      <c r="BG1742" s="318">
        <f t="shared" si="1090"/>
        <v>0</v>
      </c>
      <c r="BH1742" s="318">
        <f t="shared" si="1090"/>
        <v>0</v>
      </c>
      <c r="BI1742" s="318">
        <f t="shared" si="1090"/>
        <v>0</v>
      </c>
      <c r="BJ1742" s="318">
        <f t="shared" si="1090"/>
        <v>0</v>
      </c>
      <c r="BK1742" s="14">
        <f t="shared" si="1076"/>
        <v>0</v>
      </c>
      <c r="BL1742" s="318"/>
      <c r="BM1742" s="318"/>
      <c r="BN1742" s="318"/>
      <c r="BO1742" s="318"/>
      <c r="BP1742" s="318"/>
      <c r="BQ1742" s="318"/>
      <c r="BR1742" s="318"/>
      <c r="BS1742" s="318"/>
      <c r="BT1742" s="318"/>
      <c r="BU1742" s="318"/>
      <c r="BV1742" s="318"/>
      <c r="BW1742" s="318"/>
      <c r="BX1742" s="318"/>
      <c r="BY1742" s="318"/>
      <c r="BZ1742" s="318"/>
      <c r="CA1742" s="318"/>
      <c r="CB1742" s="318"/>
      <c r="CC1742" s="318"/>
      <c r="CD1742" s="318"/>
      <c r="CE1742" s="318"/>
      <c r="CF1742" s="318"/>
      <c r="CG1742" s="318"/>
      <c r="CH1742" s="318"/>
      <c r="CI1742" s="318"/>
      <c r="CJ1742" s="2"/>
      <c r="CK1742" s="2"/>
      <c r="CM1742" s="1140">
        <f t="shared" si="1041"/>
        <v>0</v>
      </c>
      <c r="CN1742" s="1140">
        <v>0</v>
      </c>
      <c r="CP1742" s="923">
        <f t="shared" si="1033"/>
        <v>0</v>
      </c>
      <c r="CZ1742" s="330"/>
    </row>
    <row r="1743" spans="1:104" ht="75" customHeight="1" x14ac:dyDescent="0.25">
      <c r="A1743" s="684">
        <f>MAX($A$6:A1742)+1</f>
        <v>1743</v>
      </c>
      <c r="B1743" s="3">
        <f t="shared" si="1085"/>
        <v>18.200000000000003</v>
      </c>
      <c r="C1743" s="11" t="str">
        <f t="shared" si="1085"/>
        <v>On balance sheet (SoFP)</v>
      </c>
      <c r="D1743" s="11"/>
      <c r="E1743" s="1254" t="s">
        <v>1723</v>
      </c>
      <c r="F1743" s="15"/>
      <c r="G1743" s="26"/>
      <c r="H1743" s="1190"/>
      <c r="I1743" s="6"/>
      <c r="J1743" s="1254" t="s">
        <v>1723</v>
      </c>
      <c r="K1743" s="251">
        <f>SUMIF('alb Note 17 - Commitments PFI'!$A:$A,$J1743,'alb Note 17 - Commitments PFI'!$B:$B)</f>
        <v>0</v>
      </c>
      <c r="L1743" s="251"/>
      <c r="M1743" s="10"/>
      <c r="N1743" s="273">
        <f t="shared" si="1077"/>
        <v>0</v>
      </c>
      <c r="O1743" s="12"/>
      <c r="P1743" s="12"/>
      <c r="Q1743" s="12"/>
      <c r="R1743" s="12"/>
      <c r="S1743" s="6"/>
      <c r="T1743" s="273">
        <f>ROUND(SUM(U1743:Y1743),0)</f>
        <v>0</v>
      </c>
      <c r="U1743" s="6">
        <f>SUM(BL1743:BN1743)</f>
        <v>0</v>
      </c>
      <c r="V1743" s="6"/>
      <c r="W1743" s="6">
        <f t="shared" si="1081"/>
        <v>0</v>
      </c>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X1743" s="6"/>
      <c r="AY1743" s="6"/>
      <c r="BA1743" s="6"/>
      <c r="BB1743" s="6"/>
      <c r="BC1743" s="6"/>
      <c r="BD1743" s="29"/>
      <c r="BE1743" s="322"/>
      <c r="BF1743" s="322"/>
      <c r="BG1743" s="322"/>
      <c r="BH1743" s="322"/>
      <c r="BI1743" s="322"/>
      <c r="BJ1743" s="322"/>
      <c r="BK1743" s="29">
        <f t="shared" si="1076"/>
        <v>0</v>
      </c>
      <c r="BL1743" s="322"/>
      <c r="BM1743" s="322"/>
      <c r="BN1743" s="322"/>
      <c r="BO1743" s="322"/>
      <c r="BP1743" s="322"/>
      <c r="BQ1743" s="322"/>
      <c r="BR1743" s="322"/>
      <c r="BS1743" s="322"/>
      <c r="BT1743" s="322"/>
      <c r="BU1743" s="322"/>
      <c r="BV1743" s="322"/>
      <c r="BW1743" s="322"/>
      <c r="BX1743" s="322"/>
      <c r="BY1743" s="322"/>
      <c r="BZ1743" s="322"/>
      <c r="CA1743" s="322"/>
      <c r="CB1743" s="322"/>
      <c r="CC1743" s="322"/>
      <c r="CD1743" s="322"/>
      <c r="CE1743" s="322"/>
      <c r="CF1743" s="322"/>
      <c r="CG1743" s="322"/>
      <c r="CH1743" s="322"/>
      <c r="CI1743" s="322"/>
      <c r="CM1743" s="1139">
        <f t="shared" si="1041"/>
        <v>0</v>
      </c>
      <c r="CN1743" s="1139"/>
      <c r="CP1743" s="923">
        <f t="shared" si="1033"/>
        <v>0</v>
      </c>
      <c r="CZ1743" s="330"/>
    </row>
    <row r="1744" spans="1:104" ht="18.75" customHeight="1" x14ac:dyDescent="0.25">
      <c r="A1744" s="1297">
        <f>MAX($A$6:A1743)+1</f>
        <v>1744</v>
      </c>
      <c r="B1744" s="1295">
        <f>SUMIF(Update!$B$33:$B$106,C1744,Update!$A$33:$A$106)</f>
        <v>19</v>
      </c>
      <c r="C1744" s="696" t="s">
        <v>664</v>
      </c>
      <c r="D1744" s="695"/>
      <c r="E1744" s="696" t="str">
        <f>B1744&amp;" "&amp;C1744</f>
        <v>19 Capital and other commitments</v>
      </c>
      <c r="F1744" s="697"/>
      <c r="G1744" s="697"/>
      <c r="H1744" s="695"/>
      <c r="I1744" s="695"/>
      <c r="J1744" s="698" t="s">
        <v>286</v>
      </c>
      <c r="K1744" s="699">
        <f>SUMIF('alb Note 18 - Capital commits'!$A:$A,$J1744,'alb Note 18 - Capital commits'!$B:$B)</f>
        <v>0</v>
      </c>
      <c r="L1744" s="699">
        <f>SUMIF('alb Note 18 - Capital commits'!$A:$A,$J1744,'alb Note 18 - Capital commits'!$E:$E)</f>
        <v>0</v>
      </c>
      <c r="M1744" s="695"/>
      <c r="N1744" s="713">
        <f t="shared" si="1077"/>
        <v>0</v>
      </c>
      <c r="O1744" s="695"/>
      <c r="P1744" s="695"/>
      <c r="Q1744" s="695"/>
      <c r="R1744" s="695"/>
      <c r="S1744" s="695">
        <f t="shared" si="1068"/>
        <v>0</v>
      </c>
      <c r="T1744" s="713">
        <f>ROUND(SUM(U1744:Y1744),0)</f>
        <v>0</v>
      </c>
      <c r="U1744" s="695"/>
      <c r="V1744" s="695"/>
      <c r="W1744" s="695"/>
      <c r="X1744" s="695"/>
      <c r="Y1744" s="695"/>
      <c r="Z1744" s="695"/>
      <c r="AA1744" s="695"/>
      <c r="AB1744" s="695"/>
      <c r="AC1744" s="695"/>
      <c r="AD1744" s="695"/>
      <c r="AE1744" s="695"/>
      <c r="AF1744" s="695"/>
      <c r="AG1744" s="695"/>
      <c r="AH1744" s="695"/>
      <c r="AI1744" s="695"/>
      <c r="AJ1744" s="695"/>
      <c r="AK1744" s="695"/>
      <c r="AL1744" s="695"/>
      <c r="AM1744" s="695"/>
      <c r="AN1744" s="695"/>
      <c r="AO1744" s="695"/>
      <c r="AP1744" s="695"/>
      <c r="AQ1744" s="695"/>
      <c r="AR1744" s="695"/>
      <c r="AS1744" s="695"/>
      <c r="AT1744" s="695"/>
      <c r="AU1744" s="695"/>
      <c r="AV1744" s="695"/>
      <c r="AW1744" s="700"/>
      <c r="AX1744" s="700"/>
      <c r="AY1744" s="700">
        <f>ROUND(AX1744/1000/Update!$B$31*Update!$B$27,0)</f>
        <v>0</v>
      </c>
      <c r="AZ1744" s="700"/>
      <c r="BA1744" s="700"/>
      <c r="BB1744" s="700">
        <f>ROUND(BA1744/1000/Update!$B$31,0)</f>
        <v>0</v>
      </c>
      <c r="BC1744" s="700"/>
      <c r="BD1744" s="721">
        <f t="shared" si="1088"/>
        <v>0</v>
      </c>
      <c r="BE1744" s="700"/>
      <c r="BF1744" s="700"/>
      <c r="BG1744" s="700"/>
      <c r="BH1744" s="700"/>
      <c r="BI1744" s="700"/>
      <c r="BJ1744" s="700"/>
      <c r="BK1744" s="721">
        <f t="shared" si="1076"/>
        <v>0</v>
      </c>
      <c r="BL1744" s="700"/>
      <c r="BM1744" s="700"/>
      <c r="BN1744" s="700"/>
      <c r="BO1744" s="700"/>
      <c r="BP1744" s="700"/>
      <c r="BQ1744" s="700"/>
      <c r="BR1744" s="700"/>
      <c r="BS1744" s="700"/>
      <c r="BT1744" s="700"/>
      <c r="BU1744" s="700"/>
      <c r="BV1744" s="700"/>
      <c r="BW1744" s="700"/>
      <c r="BX1744" s="700"/>
      <c r="BY1744" s="700"/>
      <c r="BZ1744" s="700"/>
      <c r="CA1744" s="700"/>
      <c r="CB1744" s="700"/>
      <c r="CC1744" s="700"/>
      <c r="CD1744" s="700"/>
      <c r="CE1744" s="700"/>
      <c r="CF1744" s="700"/>
      <c r="CG1744" s="700"/>
      <c r="CH1744" s="700"/>
      <c r="CI1744" s="700"/>
      <c r="CJ1744" s="700"/>
      <c r="CK1744" s="700"/>
      <c r="CM1744" s="700">
        <f t="shared" si="1041"/>
        <v>0</v>
      </c>
      <c r="CN1744" s="700">
        <v>0</v>
      </c>
      <c r="CP1744" s="923">
        <f t="shared" ref="CP1744:CP1802" si="1091">-V1744+BL1744+BM1744+BN1744+CM1744</f>
        <v>0</v>
      </c>
      <c r="CZ1744" s="330"/>
    </row>
    <row r="1745" spans="1:104" ht="18.75" customHeight="1" x14ac:dyDescent="0.25">
      <c r="A1745" s="1297">
        <f>MAX($A$6:A1744)+1</f>
        <v>1745</v>
      </c>
      <c r="B1745" s="1295">
        <f>SUMIF(Update!$B$33:$B$106,C1745,Update!$A$33:$A$106)</f>
        <v>19</v>
      </c>
      <c r="C1745" s="696" t="str">
        <f>C1744</f>
        <v>Capital and other commitments</v>
      </c>
      <c r="D1745" s="695"/>
      <c r="E1745" s="696" t="str">
        <f>B1745&amp;" "&amp;C1745</f>
        <v>19 Capital and other commitments</v>
      </c>
      <c r="F1745" s="697"/>
      <c r="G1745" s="697" t="s">
        <v>286</v>
      </c>
      <c r="H1745" s="695"/>
      <c r="I1745" s="695"/>
      <c r="J1745" s="698" t="s">
        <v>886</v>
      </c>
      <c r="K1745" s="699">
        <f>SUMIF('alb Note 18 - Capital commits'!$A:$A,$J1745,'alb Note 18 - Capital commits'!$B:$B)</f>
        <v>0</v>
      </c>
      <c r="L1745" s="699">
        <f>SUMIF('alb Note 18 - Capital commits'!$A:$A,$J1745,'alb Note 18 - Capital commits'!$E:$E)</f>
        <v>0</v>
      </c>
      <c r="M1745" s="695"/>
      <c r="N1745" s="713">
        <f t="shared" si="1077"/>
        <v>0</v>
      </c>
      <c r="O1745" s="695"/>
      <c r="P1745" s="695"/>
      <c r="Q1745" s="695"/>
      <c r="R1745" s="695"/>
      <c r="S1745" s="695">
        <f t="shared" si="1068"/>
        <v>0</v>
      </c>
      <c r="T1745" s="713">
        <f>ROUND(SUM(U1745:Y1745),0)</f>
        <v>0</v>
      </c>
      <c r="U1745" s="695"/>
      <c r="V1745" s="695"/>
      <c r="W1745" s="695"/>
      <c r="X1745" s="695"/>
      <c r="Y1745" s="695"/>
      <c r="Z1745" s="695"/>
      <c r="AA1745" s="695"/>
      <c r="AB1745" s="695"/>
      <c r="AC1745" s="695"/>
      <c r="AD1745" s="695"/>
      <c r="AE1745" s="695"/>
      <c r="AF1745" s="695"/>
      <c r="AG1745" s="695"/>
      <c r="AH1745" s="695"/>
      <c r="AI1745" s="695"/>
      <c r="AJ1745" s="695"/>
      <c r="AK1745" s="695"/>
      <c r="AL1745" s="695"/>
      <c r="AM1745" s="695"/>
      <c r="AN1745" s="695"/>
      <c r="AO1745" s="695"/>
      <c r="AP1745" s="695"/>
      <c r="AQ1745" s="695"/>
      <c r="AR1745" s="695"/>
      <c r="AS1745" s="695"/>
      <c r="AT1745" s="695"/>
      <c r="AU1745" s="695"/>
      <c r="AV1745" s="695"/>
      <c r="AW1745" s="700"/>
      <c r="AX1745" s="700"/>
      <c r="AY1745" s="700">
        <f>ROUND(AX1745/1000/Update!$B$31*Update!$B$27,0)</f>
        <v>0</v>
      </c>
      <c r="AZ1745" s="700"/>
      <c r="BA1745" s="700"/>
      <c r="BB1745" s="700">
        <f>ROUND(BA1745/1000/Update!$B$31,0)</f>
        <v>0</v>
      </c>
      <c r="BC1745" s="700"/>
      <c r="BD1745" s="721">
        <f t="shared" si="1088"/>
        <v>0</v>
      </c>
      <c r="BE1745" s="700"/>
      <c r="BF1745" s="700"/>
      <c r="BG1745" s="700"/>
      <c r="BH1745" s="700"/>
      <c r="BI1745" s="700"/>
      <c r="BJ1745" s="700"/>
      <c r="BK1745" s="721">
        <f t="shared" si="1076"/>
        <v>0</v>
      </c>
      <c r="BL1745" s="700"/>
      <c r="BM1745" s="700"/>
      <c r="BN1745" s="700"/>
      <c r="BO1745" s="700"/>
      <c r="BP1745" s="700"/>
      <c r="BQ1745" s="700"/>
      <c r="BR1745" s="700"/>
      <c r="BS1745" s="700"/>
      <c r="BT1745" s="700"/>
      <c r="BU1745" s="700"/>
      <c r="BV1745" s="700"/>
      <c r="BW1745" s="700"/>
      <c r="BX1745" s="700"/>
      <c r="BY1745" s="700"/>
      <c r="BZ1745" s="700"/>
      <c r="CA1745" s="700"/>
      <c r="CB1745" s="700"/>
      <c r="CC1745" s="700"/>
      <c r="CD1745" s="700"/>
      <c r="CE1745" s="700"/>
      <c r="CF1745" s="700"/>
      <c r="CG1745" s="700"/>
      <c r="CH1745" s="700"/>
      <c r="CI1745" s="700"/>
      <c r="CJ1745" s="700"/>
      <c r="CK1745" s="700"/>
      <c r="CM1745" s="700">
        <f t="shared" ref="CM1745:CM1803" si="1092">+U1745+V1745</f>
        <v>0</v>
      </c>
      <c r="CN1745" s="700">
        <v>0</v>
      </c>
      <c r="CP1745" s="923">
        <f t="shared" si="1091"/>
        <v>0</v>
      </c>
      <c r="CZ1745" s="330"/>
    </row>
    <row r="1746" spans="1:104" ht="15" customHeight="1" x14ac:dyDescent="0.25">
      <c r="A1746" s="684">
        <f>MAX($A$6:A1745)+1</f>
        <v>1746</v>
      </c>
      <c r="B1746" s="3">
        <f>B1745</f>
        <v>19</v>
      </c>
      <c r="C1746" s="11" t="str">
        <f>C1745</f>
        <v>Capital and other commitments</v>
      </c>
      <c r="D1746" s="11"/>
      <c r="E1746" s="7" t="s">
        <v>288</v>
      </c>
      <c r="F1746" s="7"/>
      <c r="G1746" s="1254" t="s">
        <v>288</v>
      </c>
      <c r="H1746" s="6">
        <v>0</v>
      </c>
      <c r="I1746" s="6">
        <v>0</v>
      </c>
      <c r="J1746" s="1257" t="s">
        <v>825</v>
      </c>
      <c r="K1746" s="251">
        <f>SUMIF('alb Note 18 - Capital commits'!$A:$A,$J1746,'alb Note 18 - Capital commits'!$B:$B)</f>
        <v>0</v>
      </c>
      <c r="L1746" s="251">
        <f>SUMIF('alb Note 18 - Capital commits'!$A:$A,$J1746,'alb Note 18 - Capital commits'!$E:$E)</f>
        <v>0</v>
      </c>
      <c r="M1746" s="10"/>
      <c r="N1746" s="273">
        <f t="shared" si="1077"/>
        <v>0</v>
      </c>
      <c r="O1746" s="12"/>
      <c r="P1746" s="12"/>
      <c r="Q1746" s="12"/>
      <c r="R1746" s="12"/>
      <c r="S1746" s="6">
        <f t="shared" si="1068"/>
        <v>0</v>
      </c>
      <c r="T1746" s="273">
        <f>ROUND(SUM(U1746:Y1746),0)</f>
        <v>0</v>
      </c>
      <c r="U1746" s="6">
        <f>SUM(BL1746:BN1746)</f>
        <v>0</v>
      </c>
      <c r="V1746" s="6"/>
      <c r="W1746" s="6">
        <f>+H1746</f>
        <v>0</v>
      </c>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X1746" s="6"/>
      <c r="AY1746" s="6">
        <f>ROUND(AX1746/1000/Update!$B$31*Update!$B$27,0)</f>
        <v>0</v>
      </c>
      <c r="BA1746" s="6"/>
      <c r="BB1746" s="6">
        <f>ROUND(BA1746/1000/Update!$B$31,0)</f>
        <v>0</v>
      </c>
      <c r="BC1746" s="6"/>
      <c r="BD1746" s="29">
        <f t="shared" si="1088"/>
        <v>0</v>
      </c>
      <c r="BE1746" s="317"/>
      <c r="BF1746" s="317"/>
      <c r="BG1746" s="317"/>
      <c r="BH1746" s="317"/>
      <c r="BI1746" s="317"/>
      <c r="BJ1746" s="317"/>
      <c r="BK1746" s="29">
        <f t="shared" si="1076"/>
        <v>0</v>
      </c>
      <c r="BL1746" s="317"/>
      <c r="BM1746" s="317"/>
      <c r="BN1746" s="317"/>
      <c r="BO1746" s="317"/>
      <c r="BP1746" s="317"/>
      <c r="BQ1746" s="317"/>
      <c r="BR1746" s="317"/>
      <c r="BS1746" s="317"/>
      <c r="BT1746" s="317"/>
      <c r="BU1746" s="317"/>
      <c r="BV1746" s="317"/>
      <c r="BW1746" s="317"/>
      <c r="BX1746" s="317"/>
      <c r="BY1746" s="317"/>
      <c r="BZ1746" s="317"/>
      <c r="CA1746" s="317"/>
      <c r="CB1746" s="317"/>
      <c r="CC1746" s="317"/>
      <c r="CD1746" s="317"/>
      <c r="CE1746" s="317"/>
      <c r="CF1746" s="317"/>
      <c r="CG1746" s="317"/>
      <c r="CH1746" s="317"/>
      <c r="CI1746" s="317"/>
      <c r="CM1746" s="1139">
        <f t="shared" si="1092"/>
        <v>0</v>
      </c>
      <c r="CN1746" s="1139">
        <v>0</v>
      </c>
      <c r="CP1746" s="923">
        <f t="shared" si="1091"/>
        <v>0</v>
      </c>
      <c r="CZ1746" s="330"/>
    </row>
    <row r="1747" spans="1:104" ht="15" customHeight="1" x14ac:dyDescent="0.25">
      <c r="A1747" s="684">
        <f>MAX($A$6:A1746)+1</f>
        <v>1747</v>
      </c>
      <c r="B1747" s="3">
        <f>B1746</f>
        <v>19</v>
      </c>
      <c r="C1747" s="11" t="str">
        <f>C1746</f>
        <v>Capital and other commitments</v>
      </c>
      <c r="D1747" s="11"/>
      <c r="E1747" s="7" t="s">
        <v>289</v>
      </c>
      <c r="F1747" s="7"/>
      <c r="G1747" s="1254" t="s">
        <v>289</v>
      </c>
      <c r="H1747" s="6">
        <v>0</v>
      </c>
      <c r="I1747" s="6">
        <v>0</v>
      </c>
      <c r="J1747" s="1257" t="s">
        <v>289</v>
      </c>
      <c r="K1747" s="251">
        <f>SUMIF('alb Note 18 - Capital commits'!$A:$A,$J1747,'alb Note 18 - Capital commits'!$B:$B)</f>
        <v>0</v>
      </c>
      <c r="L1747" s="251">
        <f>SUMIF('alb Note 18 - Capital commits'!$A:$A,$J1747,'alb Note 18 - Capital commits'!$E:$E)</f>
        <v>0</v>
      </c>
      <c r="M1747" s="10"/>
      <c r="N1747" s="273">
        <f t="shared" si="1077"/>
        <v>0</v>
      </c>
      <c r="O1747" s="12"/>
      <c r="P1747" s="12"/>
      <c r="Q1747" s="12"/>
      <c r="R1747" s="12"/>
      <c r="S1747" s="6">
        <f t="shared" si="1068"/>
        <v>0</v>
      </c>
      <c r="T1747" s="273">
        <f>ROUND(SUM(U1747:Y1747),0)</f>
        <v>0</v>
      </c>
      <c r="U1747" s="6">
        <f>SUM(BL1747:BN1747)</f>
        <v>0</v>
      </c>
      <c r="V1747" s="6"/>
      <c r="W1747" s="6">
        <f>+H1747</f>
        <v>0</v>
      </c>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X1747" s="6"/>
      <c r="AY1747" s="6">
        <f>ROUND(AX1747/1000/Update!$B$31*Update!$B$27,0)</f>
        <v>0</v>
      </c>
      <c r="BA1747" s="6"/>
      <c r="BB1747" s="6">
        <f>ROUND(BA1747/1000/Update!$B$31,0)</f>
        <v>0</v>
      </c>
      <c r="BC1747" s="6"/>
      <c r="BD1747" s="29">
        <f t="shared" si="1088"/>
        <v>0</v>
      </c>
      <c r="BE1747" s="317"/>
      <c r="BF1747" s="317"/>
      <c r="BG1747" s="317"/>
      <c r="BH1747" s="317"/>
      <c r="BI1747" s="317"/>
      <c r="BJ1747" s="317"/>
      <c r="BK1747" s="29">
        <f t="shared" si="1076"/>
        <v>0</v>
      </c>
      <c r="BL1747" s="317"/>
      <c r="BM1747" s="317"/>
      <c r="BN1747" s="317"/>
      <c r="BO1747" s="317"/>
      <c r="BP1747" s="317"/>
      <c r="BQ1747" s="317"/>
      <c r="BR1747" s="317"/>
      <c r="BS1747" s="317"/>
      <c r="BT1747" s="317"/>
      <c r="BU1747" s="317"/>
      <c r="BV1747" s="317"/>
      <c r="BW1747" s="317"/>
      <c r="BX1747" s="317"/>
      <c r="BY1747" s="317"/>
      <c r="BZ1747" s="317"/>
      <c r="CA1747" s="317"/>
      <c r="CB1747" s="317"/>
      <c r="CC1747" s="317"/>
      <c r="CD1747" s="317"/>
      <c r="CE1747" s="317"/>
      <c r="CF1747" s="317"/>
      <c r="CG1747" s="317"/>
      <c r="CH1747" s="317"/>
      <c r="CI1747" s="317"/>
      <c r="CM1747" s="1139">
        <f t="shared" si="1092"/>
        <v>0</v>
      </c>
      <c r="CN1747" s="1139">
        <v>0</v>
      </c>
      <c r="CP1747" s="923">
        <f t="shared" si="1091"/>
        <v>0</v>
      </c>
      <c r="CZ1747" s="330"/>
    </row>
    <row r="1748" spans="1:104" ht="15" customHeight="1" x14ac:dyDescent="0.25">
      <c r="A1748" s="701">
        <f>MAX($A$6:A1747)+1</f>
        <v>1748</v>
      </c>
      <c r="B1748" s="1291">
        <f>B1747</f>
        <v>19</v>
      </c>
      <c r="C1748" s="18" t="str">
        <f>C1747</f>
        <v>Capital and other commitments</v>
      </c>
      <c r="D1748" s="18"/>
      <c r="E1748" s="19" t="s">
        <v>146</v>
      </c>
      <c r="F1748" s="19"/>
      <c r="G1748" s="28"/>
      <c r="H1748" s="14">
        <f>SUM(H1744:H1747)</f>
        <v>0</v>
      </c>
      <c r="I1748" s="14">
        <f>SUM(I1744:I1747)</f>
        <v>0</v>
      </c>
      <c r="J1748" s="1258" t="s">
        <v>286</v>
      </c>
      <c r="K1748" s="256">
        <f>SUM(K1744:K1747)</f>
        <v>0</v>
      </c>
      <c r="L1748" s="256">
        <f>SUM(L1744:L1747)</f>
        <v>0</v>
      </c>
      <c r="M1748" s="14">
        <f>SUM(M1744:M1747)</f>
        <v>0</v>
      </c>
      <c r="N1748" s="14">
        <f t="shared" si="1077"/>
        <v>0</v>
      </c>
      <c r="O1748" s="14">
        <f t="shared" ref="O1748:W1748" si="1093">SUM(O1744:O1747)</f>
        <v>0</v>
      </c>
      <c r="P1748" s="14">
        <f t="shared" si="1093"/>
        <v>0</v>
      </c>
      <c r="Q1748" s="14">
        <f t="shared" si="1093"/>
        <v>0</v>
      </c>
      <c r="R1748" s="14">
        <f t="shared" si="1093"/>
        <v>0</v>
      </c>
      <c r="S1748" s="14">
        <f t="shared" si="1068"/>
        <v>0</v>
      </c>
      <c r="T1748" s="14">
        <f t="shared" si="1093"/>
        <v>0</v>
      </c>
      <c r="U1748" s="14">
        <f t="shared" si="1093"/>
        <v>0</v>
      </c>
      <c r="V1748" s="14">
        <f t="shared" si="1093"/>
        <v>0</v>
      </c>
      <c r="W1748" s="14">
        <f t="shared" si="1093"/>
        <v>0</v>
      </c>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2"/>
      <c r="AX1748" s="14">
        <f>SUM(AX1745:AX1747)</f>
        <v>0</v>
      </c>
      <c r="AY1748" s="14">
        <f>ROUND(AX1748/1000/Update!$B$31*Update!$B$27,0)</f>
        <v>0</v>
      </c>
      <c r="AZ1748" s="2"/>
      <c r="BA1748" s="14">
        <f>SUM(BA1745:BA1747)</f>
        <v>0</v>
      </c>
      <c r="BB1748" s="14">
        <f>ROUND(BA1748/1000/Update!$B$31,0)</f>
        <v>0</v>
      </c>
      <c r="BC1748" s="14"/>
      <c r="BD1748" s="14">
        <f t="shared" si="1088"/>
        <v>0</v>
      </c>
      <c r="BE1748" s="318">
        <f t="shared" ref="BE1748:BJ1748" si="1094">SUM(BE1745:BE1747)</f>
        <v>0</v>
      </c>
      <c r="BF1748" s="318">
        <f t="shared" si="1094"/>
        <v>0</v>
      </c>
      <c r="BG1748" s="318">
        <f t="shared" si="1094"/>
        <v>0</v>
      </c>
      <c r="BH1748" s="318">
        <f t="shared" si="1094"/>
        <v>0</v>
      </c>
      <c r="BI1748" s="318">
        <f t="shared" si="1094"/>
        <v>0</v>
      </c>
      <c r="BJ1748" s="318">
        <f t="shared" si="1094"/>
        <v>0</v>
      </c>
      <c r="BK1748" s="14">
        <f t="shared" si="1076"/>
        <v>0</v>
      </c>
      <c r="BL1748" s="318"/>
      <c r="BM1748" s="318"/>
      <c r="BN1748" s="318"/>
      <c r="BO1748" s="318"/>
      <c r="BP1748" s="318"/>
      <c r="BQ1748" s="318"/>
      <c r="BR1748" s="318"/>
      <c r="BS1748" s="318"/>
      <c r="BT1748" s="318"/>
      <c r="BU1748" s="318"/>
      <c r="BV1748" s="318"/>
      <c r="BW1748" s="318"/>
      <c r="BX1748" s="318"/>
      <c r="BY1748" s="318"/>
      <c r="BZ1748" s="318"/>
      <c r="CA1748" s="318"/>
      <c r="CB1748" s="318"/>
      <c r="CC1748" s="318"/>
      <c r="CD1748" s="318"/>
      <c r="CE1748" s="318"/>
      <c r="CF1748" s="318"/>
      <c r="CG1748" s="318"/>
      <c r="CH1748" s="318"/>
      <c r="CI1748" s="318"/>
      <c r="CJ1748" s="2"/>
      <c r="CK1748" s="2"/>
      <c r="CM1748" s="1140">
        <f t="shared" si="1092"/>
        <v>0</v>
      </c>
      <c r="CN1748" s="1140">
        <v>0</v>
      </c>
      <c r="CP1748" s="923">
        <f t="shared" si="1091"/>
        <v>0</v>
      </c>
      <c r="CZ1748" s="330"/>
    </row>
    <row r="1749" spans="1:104" ht="18.75" customHeight="1" x14ac:dyDescent="0.25">
      <c r="A1749" s="1297">
        <f>MAX($A$6:A1748)+1</f>
        <v>1749</v>
      </c>
      <c r="B1749" s="1295">
        <f>SUMIF(Update!$B$33:$B$106,C1749,Update!$A$33:$A$106)</f>
        <v>97.500000000000028</v>
      </c>
      <c r="C1749" s="696" t="s">
        <v>667</v>
      </c>
      <c r="D1749" s="695"/>
      <c r="E1749" s="696" t="str">
        <f>B1749&amp;" "&amp;C1749</f>
        <v>97.5 Other financial commitments</v>
      </c>
      <c r="F1749" s="697"/>
      <c r="G1749" s="697" t="s">
        <v>286</v>
      </c>
      <c r="H1749" s="695"/>
      <c r="I1749" s="695"/>
      <c r="J1749" s="698" t="s">
        <v>887</v>
      </c>
      <c r="K1749" s="699">
        <f>SUMIF('alb Note 18.2 - Other fin comm'!$A:$A,$J1749,'alb Note 18.2 - Other fin comm'!$B:$B)</f>
        <v>0</v>
      </c>
      <c r="L1749" s="699">
        <f>SUMIF('alb Note 18.2 - Other fin comm'!$A:$A,$J1749,'alb Note 18.2 - Other fin comm'!$E:$E)</f>
        <v>0</v>
      </c>
      <c r="M1749" s="695"/>
      <c r="N1749" s="713">
        <f t="shared" si="1077"/>
        <v>0</v>
      </c>
      <c r="O1749" s="695"/>
      <c r="P1749" s="695"/>
      <c r="Q1749" s="695"/>
      <c r="R1749" s="695"/>
      <c r="S1749" s="695">
        <f t="shared" si="1068"/>
        <v>0</v>
      </c>
      <c r="T1749" s="713">
        <f>ROUND(SUM(U1749:Y1749),0)</f>
        <v>0</v>
      </c>
      <c r="U1749" s="695"/>
      <c r="V1749" s="695"/>
      <c r="W1749" s="695"/>
      <c r="X1749" s="695"/>
      <c r="Y1749" s="695"/>
      <c r="Z1749" s="695"/>
      <c r="AA1749" s="695"/>
      <c r="AB1749" s="695"/>
      <c r="AC1749" s="695"/>
      <c r="AD1749" s="695"/>
      <c r="AE1749" s="695"/>
      <c r="AF1749" s="695"/>
      <c r="AG1749" s="695"/>
      <c r="AH1749" s="695"/>
      <c r="AI1749" s="695"/>
      <c r="AJ1749" s="695"/>
      <c r="AK1749" s="695"/>
      <c r="AL1749" s="695"/>
      <c r="AM1749" s="695"/>
      <c r="AN1749" s="695"/>
      <c r="AO1749" s="695"/>
      <c r="AP1749" s="695"/>
      <c r="AQ1749" s="695"/>
      <c r="AR1749" s="695"/>
      <c r="AS1749" s="695"/>
      <c r="AT1749" s="695"/>
      <c r="AU1749" s="695"/>
      <c r="AV1749" s="695"/>
      <c r="AW1749" s="700"/>
      <c r="AX1749" s="700"/>
      <c r="AY1749" s="700">
        <f>ROUND(AX1749/1000/Update!$B$31*Update!$B$27,0)</f>
        <v>0</v>
      </c>
      <c r="AZ1749" s="700"/>
      <c r="BA1749" s="700"/>
      <c r="BB1749" s="700">
        <f>ROUND(BA1749/1000/Update!$B$31,0)</f>
        <v>0</v>
      </c>
      <c r="BC1749" s="700"/>
      <c r="BD1749" s="721">
        <f t="shared" si="1088"/>
        <v>0</v>
      </c>
      <c r="BE1749" s="700"/>
      <c r="BF1749" s="700"/>
      <c r="BG1749" s="700"/>
      <c r="BH1749" s="700"/>
      <c r="BI1749" s="700"/>
      <c r="BJ1749" s="700"/>
      <c r="BK1749" s="721">
        <f t="shared" si="1076"/>
        <v>0</v>
      </c>
      <c r="BL1749" s="700"/>
      <c r="BM1749" s="700"/>
      <c r="BN1749" s="700"/>
      <c r="BO1749" s="700"/>
      <c r="BP1749" s="700"/>
      <c r="BQ1749" s="700"/>
      <c r="BR1749" s="700"/>
      <c r="BS1749" s="700"/>
      <c r="BT1749" s="700"/>
      <c r="BU1749" s="700"/>
      <c r="BV1749" s="700"/>
      <c r="BW1749" s="700"/>
      <c r="BX1749" s="700"/>
      <c r="BY1749" s="700"/>
      <c r="BZ1749" s="700"/>
      <c r="CA1749" s="700"/>
      <c r="CB1749" s="700"/>
      <c r="CC1749" s="700"/>
      <c r="CD1749" s="700"/>
      <c r="CE1749" s="700"/>
      <c r="CF1749" s="700"/>
      <c r="CG1749" s="700"/>
      <c r="CH1749" s="700"/>
      <c r="CI1749" s="700"/>
      <c r="CJ1749" s="700"/>
      <c r="CK1749" s="700"/>
      <c r="CM1749" s="700">
        <f t="shared" si="1092"/>
        <v>0</v>
      </c>
      <c r="CN1749" s="700">
        <v>0</v>
      </c>
      <c r="CP1749" s="923">
        <f t="shared" si="1091"/>
        <v>0</v>
      </c>
      <c r="CZ1749" s="330"/>
    </row>
    <row r="1750" spans="1:104" ht="81" customHeight="1" x14ac:dyDescent="0.25">
      <c r="A1750" s="684">
        <f>MAX($A$6:A1749)+1</f>
        <v>1750</v>
      </c>
      <c r="B1750" s="1301">
        <f>B1749</f>
        <v>97.500000000000028</v>
      </c>
      <c r="C1750" s="11" t="str">
        <f>C1748</f>
        <v>Capital and other commitments</v>
      </c>
      <c r="D1750" s="1250" t="s">
        <v>1725</v>
      </c>
      <c r="E1750" s="1250" t="s">
        <v>1725</v>
      </c>
      <c r="F1750" s="15"/>
      <c r="G1750" s="1254"/>
      <c r="H1750" s="1190"/>
      <c r="I1750" s="6"/>
      <c r="J1750" s="1269" t="s">
        <v>1819</v>
      </c>
      <c r="K1750" s="1185">
        <f>'alb Note 18.2 - Other fin comm'!A8</f>
        <v>0</v>
      </c>
      <c r="L1750" s="266"/>
      <c r="M1750" s="10"/>
      <c r="N1750" s="273">
        <f>ROUND(SUM(O1750:S1750)+T1750+SUM(Z1750:AV1750),0)</f>
        <v>0</v>
      </c>
      <c r="O1750" s="12"/>
      <c r="P1750" s="12"/>
      <c r="Q1750" s="12"/>
      <c r="R1750" s="12"/>
      <c r="S1750" s="6">
        <f>-IF(ISNUMBER(BD1750),BD1750,0)</f>
        <v>0</v>
      </c>
      <c r="T1750" s="273">
        <f>ROUND(SUM(U1750:Y1750),0)</f>
        <v>0</v>
      </c>
      <c r="U1750" s="6">
        <f>SUM(BL1750:BN1750)</f>
        <v>0</v>
      </c>
      <c r="V1750" s="6"/>
      <c r="W1750" s="6">
        <f>+H1750</f>
        <v>0</v>
      </c>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X1750" s="6"/>
      <c r="AY1750" s="6">
        <f>ROUND(AX1750/1000/Update!$B$31*Update!$B$27,0)</f>
        <v>0</v>
      </c>
      <c r="BA1750" s="6"/>
      <c r="BB1750" s="6">
        <f>ROUND(BA1750/1000/Update!$B$31,0)</f>
        <v>0</v>
      </c>
      <c r="BC1750" s="6"/>
      <c r="BD1750" s="29">
        <f t="shared" si="1088"/>
        <v>0</v>
      </c>
      <c r="BE1750" s="317"/>
      <c r="BF1750" s="317"/>
      <c r="BG1750" s="317"/>
      <c r="BH1750" s="317"/>
      <c r="BI1750" s="317"/>
      <c r="BJ1750" s="317"/>
      <c r="BK1750" s="29">
        <f t="shared" si="1076"/>
        <v>0</v>
      </c>
      <c r="BL1750" s="317"/>
      <c r="BM1750" s="317"/>
      <c r="BN1750" s="317"/>
      <c r="BO1750" s="317"/>
      <c r="BP1750" s="317"/>
      <c r="BQ1750" s="317"/>
      <c r="BR1750" s="317"/>
      <c r="BS1750" s="317"/>
      <c r="BT1750" s="317"/>
      <c r="BU1750" s="317"/>
      <c r="BV1750" s="317"/>
      <c r="BW1750" s="317"/>
      <c r="BX1750" s="317"/>
      <c r="BY1750" s="317"/>
      <c r="BZ1750" s="317"/>
      <c r="CA1750" s="317"/>
      <c r="CB1750" s="317"/>
      <c r="CC1750" s="317"/>
      <c r="CD1750" s="317"/>
      <c r="CE1750" s="317"/>
      <c r="CF1750" s="317"/>
      <c r="CG1750" s="317"/>
      <c r="CH1750" s="317"/>
      <c r="CI1750" s="317"/>
      <c r="CM1750" s="1139">
        <f t="shared" si="1092"/>
        <v>0</v>
      </c>
      <c r="CN1750" s="1139">
        <v>0</v>
      </c>
      <c r="CP1750" s="923">
        <f t="shared" si="1091"/>
        <v>0</v>
      </c>
      <c r="CZ1750" s="330"/>
    </row>
    <row r="1751" spans="1:104" ht="15" customHeight="1" x14ac:dyDescent="0.25">
      <c r="A1751" s="684">
        <f>MAX($A$6:A1750)+1</f>
        <v>1751</v>
      </c>
      <c r="B1751" s="1301">
        <f>B1750</f>
        <v>97.500000000000028</v>
      </c>
      <c r="C1751" s="11" t="str">
        <f>C1749</f>
        <v>Other financial commitments</v>
      </c>
      <c r="D1751" s="11"/>
      <c r="E1751" s="7" t="s">
        <v>216</v>
      </c>
      <c r="F1751" s="7"/>
      <c r="G1751" s="1254" t="s">
        <v>216</v>
      </c>
      <c r="H1751" s="6">
        <v>0</v>
      </c>
      <c r="I1751" s="6">
        <v>0</v>
      </c>
      <c r="J1751" s="1257" t="s">
        <v>795</v>
      </c>
      <c r="K1751" s="251">
        <f>SUMIF('alb Note 18.2 - Other fin comm'!$A:$A,$J1751,'alb Note 18.2 - Other fin comm'!$B:$B)</f>
        <v>0</v>
      </c>
      <c r="L1751" s="251">
        <f>SUMIF('alb Note 18.2 - Other fin comm'!$A:$A,$J1751,'alb Note 18.2 - Other fin comm'!$E:$E)</f>
        <v>0</v>
      </c>
      <c r="M1751" s="10"/>
      <c r="N1751" s="273">
        <f t="shared" si="1077"/>
        <v>0</v>
      </c>
      <c r="O1751" s="12"/>
      <c r="P1751" s="12"/>
      <c r="Q1751" s="12"/>
      <c r="R1751" s="12"/>
      <c r="S1751" s="6">
        <f t="shared" si="1068"/>
        <v>0</v>
      </c>
      <c r="T1751" s="273">
        <f>ROUND(SUM(U1751:Y1751),0)</f>
        <v>0</v>
      </c>
      <c r="U1751" s="6">
        <f>SUM(BL1751:BN1751)</f>
        <v>0</v>
      </c>
      <c r="V1751" s="6"/>
      <c r="W1751" s="6">
        <f>+H1751</f>
        <v>0</v>
      </c>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X1751" s="6"/>
      <c r="AY1751" s="6">
        <f>ROUND(AX1751/1000/Update!$B$31*Update!$B$27,0)</f>
        <v>0</v>
      </c>
      <c r="BA1751" s="6"/>
      <c r="BB1751" s="6">
        <f>ROUND(BA1751/1000/Update!$B$31,0)</f>
        <v>0</v>
      </c>
      <c r="BC1751" s="6"/>
      <c r="BD1751" s="29">
        <f t="shared" si="1088"/>
        <v>0</v>
      </c>
      <c r="BE1751" s="317"/>
      <c r="BF1751" s="317"/>
      <c r="BG1751" s="317"/>
      <c r="BH1751" s="317"/>
      <c r="BI1751" s="317"/>
      <c r="BJ1751" s="317"/>
      <c r="BK1751" s="29">
        <f t="shared" ref="BK1751:BK1765" si="1095">ROUND(SUM(BO1751:CI1751),0)</f>
        <v>0</v>
      </c>
      <c r="BL1751" s="317"/>
      <c r="BM1751" s="317"/>
      <c r="BN1751" s="317"/>
      <c r="BO1751" s="317"/>
      <c r="BP1751" s="317"/>
      <c r="BQ1751" s="317"/>
      <c r="BR1751" s="317"/>
      <c r="BS1751" s="317"/>
      <c r="BT1751" s="317"/>
      <c r="BU1751" s="317"/>
      <c r="BV1751" s="317"/>
      <c r="BW1751" s="317"/>
      <c r="BX1751" s="317"/>
      <c r="BY1751" s="317"/>
      <c r="BZ1751" s="317"/>
      <c r="CA1751" s="317"/>
      <c r="CB1751" s="317"/>
      <c r="CC1751" s="317"/>
      <c r="CD1751" s="317"/>
      <c r="CE1751" s="317"/>
      <c r="CF1751" s="317"/>
      <c r="CG1751" s="317"/>
      <c r="CH1751" s="317"/>
      <c r="CI1751" s="317"/>
      <c r="CM1751" s="1139">
        <f t="shared" si="1092"/>
        <v>0</v>
      </c>
      <c r="CN1751" s="1139">
        <v>0</v>
      </c>
      <c r="CP1751" s="923">
        <f t="shared" si="1091"/>
        <v>0</v>
      </c>
      <c r="CZ1751" s="330"/>
    </row>
    <row r="1752" spans="1:104" ht="30" customHeight="1" x14ac:dyDescent="0.25">
      <c r="A1752" s="684">
        <f>MAX($A$6:A1751)+1</f>
        <v>1752</v>
      </c>
      <c r="B1752" s="1301">
        <f t="shared" ref="B1752:C1754" si="1096">B1751</f>
        <v>97.500000000000028</v>
      </c>
      <c r="C1752" s="11" t="str">
        <f t="shared" si="1096"/>
        <v>Other financial commitments</v>
      </c>
      <c r="D1752" s="11"/>
      <c r="E1752" s="7" t="s">
        <v>218</v>
      </c>
      <c r="F1752" s="7"/>
      <c r="G1752" s="1254" t="s">
        <v>218</v>
      </c>
      <c r="H1752" s="6">
        <v>0</v>
      </c>
      <c r="I1752" s="6">
        <v>0</v>
      </c>
      <c r="J1752" s="1257" t="s">
        <v>796</v>
      </c>
      <c r="K1752" s="251">
        <f>SUMIF('alb Note 18.2 - Other fin comm'!$A:$A,$J1752,'alb Note 18.2 - Other fin comm'!$B:$B)</f>
        <v>0</v>
      </c>
      <c r="L1752" s="251">
        <f>SUMIF('alb Note 18.2 - Other fin comm'!$A:$A,$J1752,'alb Note 18.2 - Other fin comm'!$E:$E)</f>
        <v>0</v>
      </c>
      <c r="M1752" s="10"/>
      <c r="N1752" s="273">
        <f t="shared" si="1077"/>
        <v>0</v>
      </c>
      <c r="O1752" s="12"/>
      <c r="P1752" s="12"/>
      <c r="Q1752" s="12"/>
      <c r="R1752" s="12"/>
      <c r="S1752" s="6">
        <f t="shared" si="1068"/>
        <v>0</v>
      </c>
      <c r="T1752" s="273">
        <f>ROUND(SUM(U1752:Y1752),0)</f>
        <v>0</v>
      </c>
      <c r="U1752" s="6">
        <f>SUM(BL1752:BN1752)</f>
        <v>0</v>
      </c>
      <c r="V1752" s="6"/>
      <c r="W1752" s="6">
        <f>+H1752</f>
        <v>0</v>
      </c>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X1752" s="6"/>
      <c r="AY1752" s="6">
        <f>ROUND(AX1752/1000/Update!$B$31*Update!$B$27,0)</f>
        <v>0</v>
      </c>
      <c r="BA1752" s="6"/>
      <c r="BB1752" s="6">
        <f>ROUND(BA1752/1000/Update!$B$31,0)</f>
        <v>0</v>
      </c>
      <c r="BC1752" s="6"/>
      <c r="BD1752" s="29">
        <f t="shared" si="1088"/>
        <v>0</v>
      </c>
      <c r="BE1752" s="317"/>
      <c r="BF1752" s="317"/>
      <c r="BG1752" s="317"/>
      <c r="BH1752" s="317"/>
      <c r="BI1752" s="317"/>
      <c r="BJ1752" s="317"/>
      <c r="BK1752" s="29">
        <f t="shared" si="1095"/>
        <v>0</v>
      </c>
      <c r="BL1752" s="317"/>
      <c r="BM1752" s="317"/>
      <c r="BN1752" s="317"/>
      <c r="BO1752" s="317"/>
      <c r="BP1752" s="317"/>
      <c r="BQ1752" s="317"/>
      <c r="BR1752" s="317"/>
      <c r="BS1752" s="317"/>
      <c r="BT1752" s="317"/>
      <c r="BU1752" s="317"/>
      <c r="BV1752" s="317"/>
      <c r="BW1752" s="317"/>
      <c r="BX1752" s="317"/>
      <c r="BY1752" s="317"/>
      <c r="BZ1752" s="317"/>
      <c r="CA1752" s="317"/>
      <c r="CB1752" s="317"/>
      <c r="CC1752" s="317"/>
      <c r="CD1752" s="317"/>
      <c r="CE1752" s="317"/>
      <c r="CF1752" s="317"/>
      <c r="CG1752" s="317"/>
      <c r="CH1752" s="317"/>
      <c r="CI1752" s="317"/>
      <c r="CM1752" s="1139">
        <f t="shared" si="1092"/>
        <v>0</v>
      </c>
      <c r="CN1752" s="1139">
        <v>0</v>
      </c>
      <c r="CP1752" s="923">
        <f t="shared" si="1091"/>
        <v>0</v>
      </c>
      <c r="CZ1752" s="330"/>
    </row>
    <row r="1753" spans="1:104" ht="15" customHeight="1" x14ac:dyDescent="0.25">
      <c r="A1753" s="684">
        <f>MAX($A$6:A1752)+1</f>
        <v>1753</v>
      </c>
      <c r="B1753" s="1301">
        <f t="shared" si="1096"/>
        <v>97.500000000000028</v>
      </c>
      <c r="C1753" s="11" t="str">
        <f t="shared" si="1096"/>
        <v>Other financial commitments</v>
      </c>
      <c r="D1753" s="11"/>
      <c r="E1753" s="7" t="s">
        <v>217</v>
      </c>
      <c r="F1753" s="7"/>
      <c r="G1753" s="1254" t="s">
        <v>217</v>
      </c>
      <c r="H1753" s="6">
        <v>0</v>
      </c>
      <c r="I1753" s="6">
        <v>0</v>
      </c>
      <c r="J1753" s="1257" t="s">
        <v>797</v>
      </c>
      <c r="K1753" s="251">
        <f>SUMIF('alb Note 18.2 - Other fin comm'!$A:$A,$J1753,'alb Note 18.2 - Other fin comm'!$B:$B)</f>
        <v>0</v>
      </c>
      <c r="L1753" s="251">
        <f>SUMIF('alb Note 18.2 - Other fin comm'!$A:$A,$J1753,'alb Note 18.2 - Other fin comm'!$E:$E)</f>
        <v>0</v>
      </c>
      <c r="M1753" s="10"/>
      <c r="N1753" s="273">
        <f t="shared" si="1077"/>
        <v>0</v>
      </c>
      <c r="O1753" s="12"/>
      <c r="P1753" s="12"/>
      <c r="Q1753" s="12"/>
      <c r="R1753" s="12"/>
      <c r="S1753" s="6">
        <f t="shared" si="1068"/>
        <v>0</v>
      </c>
      <c r="T1753" s="273">
        <f>ROUND(SUM(U1753:Y1753),0)</f>
        <v>0</v>
      </c>
      <c r="U1753" s="6">
        <f>SUM(BL1753:BN1753)</f>
        <v>0</v>
      </c>
      <c r="V1753" s="6"/>
      <c r="W1753" s="6">
        <f>+H1753</f>
        <v>0</v>
      </c>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X1753" s="6"/>
      <c r="AY1753" s="6">
        <f>ROUND(AX1753/1000/Update!$B$31*Update!$B$27,0)</f>
        <v>0</v>
      </c>
      <c r="BA1753" s="6"/>
      <c r="BB1753" s="6">
        <f>ROUND(BA1753/1000/Update!$B$31,0)</f>
        <v>0</v>
      </c>
      <c r="BC1753" s="6"/>
      <c r="BD1753" s="29">
        <f t="shared" si="1088"/>
        <v>0</v>
      </c>
      <c r="BE1753" s="317"/>
      <c r="BF1753" s="317"/>
      <c r="BG1753" s="317"/>
      <c r="BH1753" s="317"/>
      <c r="BI1753" s="317"/>
      <c r="BJ1753" s="317"/>
      <c r="BK1753" s="29">
        <f t="shared" si="1095"/>
        <v>0</v>
      </c>
      <c r="BL1753" s="317"/>
      <c r="BM1753" s="317"/>
      <c r="BN1753" s="317"/>
      <c r="BO1753" s="317"/>
      <c r="BP1753" s="317"/>
      <c r="BQ1753" s="317"/>
      <c r="BR1753" s="317"/>
      <c r="BS1753" s="317"/>
      <c r="BT1753" s="317"/>
      <c r="BU1753" s="317"/>
      <c r="BV1753" s="317"/>
      <c r="BW1753" s="317"/>
      <c r="BX1753" s="317"/>
      <c r="BY1753" s="317"/>
      <c r="BZ1753" s="317"/>
      <c r="CA1753" s="317"/>
      <c r="CB1753" s="317"/>
      <c r="CC1753" s="317"/>
      <c r="CD1753" s="317"/>
      <c r="CE1753" s="317"/>
      <c r="CF1753" s="317"/>
      <c r="CG1753" s="317"/>
      <c r="CH1753" s="317"/>
      <c r="CI1753" s="317"/>
      <c r="CM1753" s="1139">
        <f t="shared" si="1092"/>
        <v>0</v>
      </c>
      <c r="CN1753" s="1139">
        <v>0</v>
      </c>
      <c r="CP1753" s="923">
        <f t="shared" si="1091"/>
        <v>0</v>
      </c>
      <c r="CZ1753" s="330"/>
    </row>
    <row r="1754" spans="1:104" ht="15" customHeight="1" x14ac:dyDescent="0.25">
      <c r="A1754" s="701">
        <f>MAX($A$6:A1753)+1</f>
        <v>1754</v>
      </c>
      <c r="B1754" s="1302">
        <f t="shared" si="1096"/>
        <v>97.500000000000028</v>
      </c>
      <c r="C1754" s="18" t="str">
        <f t="shared" si="1096"/>
        <v>Other financial commitments</v>
      </c>
      <c r="D1754" s="18"/>
      <c r="E1754" s="19" t="s">
        <v>146</v>
      </c>
      <c r="F1754" s="19"/>
      <c r="G1754" s="28"/>
      <c r="H1754" s="14">
        <f>SUM(H1749:H1753)</f>
        <v>0</v>
      </c>
      <c r="I1754" s="14">
        <f>SUM(I1749:I1753)</f>
        <v>0</v>
      </c>
      <c r="J1754" s="1258" t="s">
        <v>286</v>
      </c>
      <c r="K1754" s="256">
        <f>SUM(K1749:K1753)</f>
        <v>0</v>
      </c>
      <c r="L1754" s="256">
        <f>SUM(L1749:L1753)</f>
        <v>0</v>
      </c>
      <c r="M1754" s="14">
        <f>SUM(M1749:M1753)</f>
        <v>0</v>
      </c>
      <c r="N1754" s="14">
        <f t="shared" si="1077"/>
        <v>0</v>
      </c>
      <c r="O1754" s="14">
        <f t="shared" ref="O1754:W1754" si="1097">SUM(O1749:O1753)</f>
        <v>0</v>
      </c>
      <c r="P1754" s="14">
        <f t="shared" si="1097"/>
        <v>0</v>
      </c>
      <c r="Q1754" s="14">
        <f t="shared" si="1097"/>
        <v>0</v>
      </c>
      <c r="R1754" s="14">
        <f t="shared" si="1097"/>
        <v>0</v>
      </c>
      <c r="S1754" s="14">
        <f t="shared" si="1068"/>
        <v>0</v>
      </c>
      <c r="T1754" s="14">
        <f t="shared" si="1097"/>
        <v>0</v>
      </c>
      <c r="U1754" s="14">
        <f t="shared" si="1097"/>
        <v>0</v>
      </c>
      <c r="V1754" s="14">
        <f t="shared" si="1097"/>
        <v>0</v>
      </c>
      <c r="W1754" s="14">
        <f t="shared" si="1097"/>
        <v>0</v>
      </c>
      <c r="X1754" s="14"/>
      <c r="Y1754" s="14"/>
      <c r="Z1754" s="14"/>
      <c r="AA1754" s="14"/>
      <c r="AB1754" s="14"/>
      <c r="AC1754" s="14"/>
      <c r="AD1754" s="14"/>
      <c r="AE1754" s="14"/>
      <c r="AF1754" s="14"/>
      <c r="AG1754" s="14"/>
      <c r="AH1754" s="14"/>
      <c r="AI1754" s="14"/>
      <c r="AJ1754" s="14"/>
      <c r="AK1754" s="14"/>
      <c r="AL1754" s="14"/>
      <c r="AM1754" s="14"/>
      <c r="AN1754" s="14"/>
      <c r="AO1754" s="14"/>
      <c r="AP1754" s="14"/>
      <c r="AQ1754" s="14"/>
      <c r="AR1754" s="14"/>
      <c r="AS1754" s="14"/>
      <c r="AT1754" s="14"/>
      <c r="AU1754" s="14"/>
      <c r="AV1754" s="14"/>
      <c r="AW1754" s="2"/>
      <c r="AX1754" s="14">
        <f>SUM(AX1749:AX1753)</f>
        <v>0</v>
      </c>
      <c r="AY1754" s="14">
        <f>ROUND(AX1754/1000/Update!$B$31*Update!$B$27,0)</f>
        <v>0</v>
      </c>
      <c r="AZ1754" s="2"/>
      <c r="BA1754" s="14">
        <f>SUM(BA1749:BA1753)</f>
        <v>0</v>
      </c>
      <c r="BB1754" s="14">
        <f>ROUND(BA1754/1000/Update!$B$31,0)</f>
        <v>0</v>
      </c>
      <c r="BC1754" s="14"/>
      <c r="BD1754" s="14">
        <f t="shared" si="1088"/>
        <v>0</v>
      </c>
      <c r="BE1754" s="318">
        <f t="shared" ref="BE1754:BJ1754" si="1098">SUM(BE1749:BE1753)</f>
        <v>0</v>
      </c>
      <c r="BF1754" s="318">
        <f t="shared" si="1098"/>
        <v>0</v>
      </c>
      <c r="BG1754" s="318">
        <f t="shared" si="1098"/>
        <v>0</v>
      </c>
      <c r="BH1754" s="318">
        <f t="shared" si="1098"/>
        <v>0</v>
      </c>
      <c r="BI1754" s="318">
        <f t="shared" si="1098"/>
        <v>0</v>
      </c>
      <c r="BJ1754" s="318">
        <f t="shared" si="1098"/>
        <v>0</v>
      </c>
      <c r="BK1754" s="14">
        <f t="shared" si="1095"/>
        <v>0</v>
      </c>
      <c r="BL1754" s="318"/>
      <c r="BM1754" s="318"/>
      <c r="BN1754" s="318"/>
      <c r="BO1754" s="318"/>
      <c r="BP1754" s="318"/>
      <c r="BQ1754" s="318"/>
      <c r="BR1754" s="318"/>
      <c r="BS1754" s="318"/>
      <c r="BT1754" s="318"/>
      <c r="BU1754" s="318"/>
      <c r="BV1754" s="318"/>
      <c r="BW1754" s="318"/>
      <c r="BX1754" s="318"/>
      <c r="BY1754" s="318"/>
      <c r="BZ1754" s="318"/>
      <c r="CA1754" s="318"/>
      <c r="CB1754" s="318"/>
      <c r="CC1754" s="318"/>
      <c r="CD1754" s="318"/>
      <c r="CE1754" s="318"/>
      <c r="CF1754" s="318"/>
      <c r="CG1754" s="318"/>
      <c r="CH1754" s="318"/>
      <c r="CI1754" s="318"/>
      <c r="CJ1754" s="2"/>
      <c r="CK1754" s="2"/>
      <c r="CM1754" s="1140">
        <f t="shared" si="1092"/>
        <v>0</v>
      </c>
      <c r="CN1754" s="1140">
        <v>0</v>
      </c>
      <c r="CP1754" s="923">
        <f t="shared" si="1091"/>
        <v>0</v>
      </c>
      <c r="CZ1754" s="330"/>
    </row>
    <row r="1755" spans="1:104" ht="18.75" customHeight="1" x14ac:dyDescent="0.25">
      <c r="A1755" s="1297">
        <f>MAX($A$6:A1754)+1</f>
        <v>1755</v>
      </c>
      <c r="B1755" s="1295">
        <f>SUMIF(Update!$B$33:$B$106,C1755,Update!$A$33:$A$106)</f>
        <v>20</v>
      </c>
      <c r="C1755" s="696" t="s">
        <v>821</v>
      </c>
      <c r="D1755" s="695"/>
      <c r="E1755" s="696" t="str">
        <f>B1755&amp;" "&amp;C1755</f>
        <v>20 Related Party Transactions</v>
      </c>
      <c r="F1755" s="697"/>
      <c r="G1755" s="697"/>
      <c r="H1755" s="695"/>
      <c r="I1755" s="695"/>
      <c r="J1755" s="698" t="s">
        <v>286</v>
      </c>
      <c r="K1755" s="699">
        <f>SUMIF('alb Note 15.1- Financial Guar'!$A:$A,$J$1555,'alb Note 15.1- Financial Guar'!$E:$E)</f>
        <v>0</v>
      </c>
      <c r="L1755" s="699">
        <f>SUMIF('alb Note 15.1- Financial Guar'!$A:$A,$J$1555,'alb Note 15.1- Financial Guar'!$E:$E)</f>
        <v>0</v>
      </c>
      <c r="M1755" s="695"/>
      <c r="N1755" s="713">
        <f>ROUND(SUM(O1755:S1755)+T1755+SUM(Z1755:AV1755),0)</f>
        <v>0</v>
      </c>
      <c r="O1755" s="695"/>
      <c r="P1755" s="695"/>
      <c r="Q1755" s="695"/>
      <c r="R1755" s="695"/>
      <c r="S1755" s="695">
        <f t="shared" ref="S1755:S1765" si="1099">-IF(ISNUMBER(BD1755),BD1755,0)</f>
        <v>0</v>
      </c>
      <c r="T1755" s="713">
        <f t="shared" ref="T1755:T1764" si="1100">ROUND(SUM(U1755:Y1755),0)</f>
        <v>0</v>
      </c>
      <c r="U1755" s="695"/>
      <c r="V1755" s="695"/>
      <c r="W1755" s="695"/>
      <c r="X1755" s="695"/>
      <c r="Y1755" s="695"/>
      <c r="Z1755" s="695"/>
      <c r="AA1755" s="695"/>
      <c r="AB1755" s="695"/>
      <c r="AC1755" s="695"/>
      <c r="AD1755" s="695"/>
      <c r="AE1755" s="695"/>
      <c r="AF1755" s="695"/>
      <c r="AG1755" s="695"/>
      <c r="AH1755" s="695"/>
      <c r="AI1755" s="695"/>
      <c r="AJ1755" s="695"/>
      <c r="AK1755" s="695"/>
      <c r="AL1755" s="695"/>
      <c r="AM1755" s="695"/>
      <c r="AN1755" s="695"/>
      <c r="AO1755" s="695"/>
      <c r="AP1755" s="695"/>
      <c r="AQ1755" s="695"/>
      <c r="AR1755" s="695"/>
      <c r="AS1755" s="695"/>
      <c r="AT1755" s="695"/>
      <c r="AU1755" s="695"/>
      <c r="AV1755" s="695"/>
      <c r="AW1755" s="700"/>
      <c r="AX1755" s="700"/>
      <c r="AY1755" s="700">
        <f>ROUND(AX1755/1000/Update!$B$31*Update!$B$27,0)</f>
        <v>0</v>
      </c>
      <c r="AZ1755" s="700"/>
      <c r="BA1755" s="700"/>
      <c r="BB1755" s="700">
        <f>ROUND(BA1755/1000/Update!$B$31,0)</f>
        <v>0</v>
      </c>
      <c r="BC1755" s="700"/>
      <c r="BD1755" s="721">
        <f>ROUND(SUM(BE1755:BK1755),0)</f>
        <v>0</v>
      </c>
      <c r="BE1755" s="700"/>
      <c r="BF1755" s="700"/>
      <c r="BG1755" s="700"/>
      <c r="BH1755" s="700"/>
      <c r="BI1755" s="700"/>
      <c r="BJ1755" s="700"/>
      <c r="BK1755" s="721">
        <f t="shared" si="1095"/>
        <v>0</v>
      </c>
      <c r="BL1755" s="700"/>
      <c r="BM1755" s="700"/>
      <c r="BN1755" s="700"/>
      <c r="BO1755" s="700"/>
      <c r="BP1755" s="700"/>
      <c r="BQ1755" s="700"/>
      <c r="BR1755" s="700"/>
      <c r="BS1755" s="700"/>
      <c r="BT1755" s="700"/>
      <c r="BU1755" s="700"/>
      <c r="BV1755" s="700"/>
      <c r="BW1755" s="700"/>
      <c r="BX1755" s="700"/>
      <c r="BY1755" s="700"/>
      <c r="BZ1755" s="700"/>
      <c r="CA1755" s="700"/>
      <c r="CB1755" s="700"/>
      <c r="CC1755" s="700"/>
      <c r="CD1755" s="700"/>
      <c r="CE1755" s="700"/>
      <c r="CF1755" s="700"/>
      <c r="CG1755" s="700"/>
      <c r="CH1755" s="700"/>
      <c r="CI1755" s="700"/>
      <c r="CJ1755" s="700"/>
      <c r="CK1755" s="700"/>
      <c r="CM1755" s="700">
        <f t="shared" si="1092"/>
        <v>0</v>
      </c>
      <c r="CN1755" s="700">
        <v>0</v>
      </c>
      <c r="CP1755" s="923">
        <f t="shared" si="1091"/>
        <v>0</v>
      </c>
      <c r="CZ1755" s="330"/>
    </row>
    <row r="1756" spans="1:104" ht="15" customHeight="1" x14ac:dyDescent="0.25">
      <c r="A1756" s="684">
        <f>MAX($A$6:A1755)+1</f>
        <v>1756</v>
      </c>
      <c r="B1756" s="3">
        <f t="shared" ref="B1756:C1759" si="1101">B1755</f>
        <v>20</v>
      </c>
      <c r="C1756" s="11" t="str">
        <f t="shared" si="1101"/>
        <v>Related Party Transactions</v>
      </c>
      <c r="D1756" s="11"/>
      <c r="E1756" s="7" t="s">
        <v>286</v>
      </c>
      <c r="F1756" s="15"/>
      <c r="G1756" s="1254" t="s">
        <v>286</v>
      </c>
      <c r="H1756" s="6"/>
      <c r="I1756" s="6"/>
      <c r="J1756" s="1257" t="s">
        <v>821</v>
      </c>
      <c r="K1756" s="1256">
        <v>0</v>
      </c>
      <c r="L1756" s="266"/>
      <c r="M1756" s="10"/>
      <c r="N1756" s="273">
        <f>ROUND(SUM(O1756:S1756)+T1756+SUM(Z1756:AV1756),0)</f>
        <v>0</v>
      </c>
      <c r="O1756" s="12"/>
      <c r="P1756" s="12"/>
      <c r="Q1756" s="12"/>
      <c r="R1756" s="12"/>
      <c r="S1756" s="6">
        <f t="shared" si="1099"/>
        <v>0</v>
      </c>
      <c r="T1756" s="273">
        <f t="shared" si="1100"/>
        <v>0</v>
      </c>
      <c r="U1756" s="6">
        <f>SUM(BL1756:BN1756)</f>
        <v>0</v>
      </c>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X1756" s="6"/>
      <c r="AY1756" s="6">
        <f>ROUND(AX1756/1000/Update!$B$31*Update!$B$27,0)</f>
        <v>0</v>
      </c>
      <c r="BA1756" s="6"/>
      <c r="BB1756" s="6">
        <f>ROUND(BA1756/1000/Update!$B$31,0)</f>
        <v>0</v>
      </c>
      <c r="BC1756" s="6"/>
      <c r="BD1756" s="29">
        <f>ROUND(SUM(BE1756:BK1756),0)</f>
        <v>0</v>
      </c>
      <c r="BE1756" s="860"/>
      <c r="BF1756" s="860"/>
      <c r="BG1756" s="860"/>
      <c r="BH1756" s="860"/>
      <c r="BI1756" s="860"/>
      <c r="BJ1756" s="860"/>
      <c r="BK1756" s="6">
        <f t="shared" si="1095"/>
        <v>0</v>
      </c>
      <c r="BL1756" s="860"/>
      <c r="BM1756" s="860"/>
      <c r="BN1756" s="860"/>
      <c r="BO1756" s="860"/>
      <c r="BP1756" s="860"/>
      <c r="BQ1756" s="860"/>
      <c r="BR1756" s="860"/>
      <c r="BS1756" s="860"/>
      <c r="BT1756" s="860"/>
      <c r="BU1756" s="860"/>
      <c r="BV1756" s="860"/>
      <c r="BW1756" s="860"/>
      <c r="BX1756" s="860"/>
      <c r="BY1756" s="860"/>
      <c r="BZ1756" s="860"/>
      <c r="CA1756" s="860"/>
      <c r="CB1756" s="860"/>
      <c r="CC1756" s="860"/>
      <c r="CD1756" s="860"/>
      <c r="CE1756" s="860"/>
      <c r="CF1756" s="860"/>
      <c r="CG1756" s="860"/>
      <c r="CH1756" s="860"/>
      <c r="CI1756" s="860"/>
      <c r="CM1756" s="1500">
        <f t="shared" si="1092"/>
        <v>0</v>
      </c>
      <c r="CN1756" s="1500">
        <v>0</v>
      </c>
      <c r="CP1756" s="923">
        <f t="shared" si="1091"/>
        <v>0</v>
      </c>
      <c r="CZ1756" s="330"/>
    </row>
    <row r="1757" spans="1:104" ht="15" customHeight="1" x14ac:dyDescent="0.25">
      <c r="A1757" s="684">
        <f>MAX($A$6:A1756)+1</f>
        <v>1757</v>
      </c>
      <c r="B1757" s="3">
        <f t="shared" si="1101"/>
        <v>20</v>
      </c>
      <c r="C1757" s="11" t="str">
        <f t="shared" si="1101"/>
        <v>Related Party Transactions</v>
      </c>
      <c r="D1757" s="11"/>
      <c r="E1757" s="7" t="s">
        <v>286</v>
      </c>
      <c r="F1757" s="15"/>
      <c r="G1757" s="1254" t="s">
        <v>286</v>
      </c>
      <c r="H1757" s="6"/>
      <c r="I1757" s="6"/>
      <c r="J1757" s="1257" t="s">
        <v>1976</v>
      </c>
      <c r="K1757" s="1256" t="e">
        <f>#REF!</f>
        <v>#REF!</v>
      </c>
      <c r="L1757" s="266"/>
      <c r="M1757" s="10"/>
      <c r="N1757" s="273">
        <f>ROUND(SUM(O1757:S1757)+T1757+SUM(Z1757:AV1757),0)</f>
        <v>0</v>
      </c>
      <c r="O1757" s="12"/>
      <c r="P1757" s="12"/>
      <c r="Q1757" s="12"/>
      <c r="R1757" s="12"/>
      <c r="S1757" s="6">
        <f t="shared" si="1099"/>
        <v>0</v>
      </c>
      <c r="T1757" s="273">
        <f t="shared" si="1100"/>
        <v>0</v>
      </c>
      <c r="U1757" s="6">
        <f>SUM(BL1757:BN1757)</f>
        <v>0</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X1757" s="6"/>
      <c r="AY1757" s="6">
        <f>ROUND(AX1757/1000/Update!$B$31*Update!$B$27,0)</f>
        <v>0</v>
      </c>
      <c r="BA1757" s="6"/>
      <c r="BB1757" s="6">
        <f>ROUND(BA1757/1000/Update!$B$31,0)</f>
        <v>0</v>
      </c>
      <c r="BC1757" s="6"/>
      <c r="BD1757" s="29">
        <f>ROUND(SUM(BE1757:BK1757),0)</f>
        <v>0</v>
      </c>
      <c r="BE1757" s="860"/>
      <c r="BF1757" s="860"/>
      <c r="BG1757" s="860"/>
      <c r="BH1757" s="860"/>
      <c r="BI1757" s="860"/>
      <c r="BJ1757" s="860"/>
      <c r="BK1757" s="6">
        <f t="shared" si="1095"/>
        <v>0</v>
      </c>
      <c r="BL1757" s="860"/>
      <c r="BM1757" s="860"/>
      <c r="BN1757" s="860"/>
      <c r="BO1757" s="860"/>
      <c r="BP1757" s="860"/>
      <c r="BQ1757" s="860"/>
      <c r="BR1757" s="860"/>
      <c r="BS1757" s="860"/>
      <c r="BT1757" s="860"/>
      <c r="BU1757" s="860"/>
      <c r="BV1757" s="860"/>
      <c r="BW1757" s="860"/>
      <c r="BX1757" s="860"/>
      <c r="BY1757" s="860"/>
      <c r="BZ1757" s="860"/>
      <c r="CA1757" s="860"/>
      <c r="CB1757" s="860"/>
      <c r="CC1757" s="860"/>
      <c r="CD1757" s="860"/>
      <c r="CE1757" s="860"/>
      <c r="CF1757" s="860"/>
      <c r="CG1757" s="860"/>
      <c r="CH1757" s="860"/>
      <c r="CI1757" s="860"/>
      <c r="CM1757" s="1500">
        <f t="shared" si="1092"/>
        <v>0</v>
      </c>
      <c r="CN1757" s="1500">
        <v>0</v>
      </c>
      <c r="CP1757" s="923">
        <f t="shared" si="1091"/>
        <v>0</v>
      </c>
      <c r="CZ1757" s="330"/>
    </row>
    <row r="1758" spans="1:104" ht="15" customHeight="1" x14ac:dyDescent="0.25">
      <c r="A1758" s="684">
        <f>MAX($A$6:A1757)+1</f>
        <v>1758</v>
      </c>
      <c r="B1758" s="3">
        <f t="shared" si="1101"/>
        <v>20</v>
      </c>
      <c r="C1758" s="11" t="str">
        <f t="shared" si="1101"/>
        <v>Related Party Transactions</v>
      </c>
      <c r="D1758" s="11"/>
      <c r="E1758" s="7" t="s">
        <v>286</v>
      </c>
      <c r="F1758" s="15"/>
      <c r="G1758" s="1254" t="s">
        <v>286</v>
      </c>
      <c r="H1758" s="6"/>
      <c r="I1758" s="6"/>
      <c r="J1758" s="1257" t="s">
        <v>286</v>
      </c>
      <c r="K1758" s="266"/>
      <c r="L1758" s="266"/>
      <c r="M1758" s="10"/>
      <c r="N1758" s="273">
        <f>ROUND(SUM(O1758:S1758)+T1758+SUM(Z1758:AV1758),0)</f>
        <v>0</v>
      </c>
      <c r="O1758" s="12"/>
      <c r="P1758" s="12"/>
      <c r="Q1758" s="12"/>
      <c r="R1758" s="12"/>
      <c r="S1758" s="6">
        <f t="shared" si="1099"/>
        <v>0</v>
      </c>
      <c r="T1758" s="273">
        <f t="shared" si="1100"/>
        <v>0</v>
      </c>
      <c r="U1758" s="6">
        <f>SUM(BL1758:BN1758)</f>
        <v>0</v>
      </c>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X1758" s="6"/>
      <c r="AY1758" s="6">
        <f>ROUND(AX1758/1000/Update!$B$31*Update!$B$27,0)</f>
        <v>0</v>
      </c>
      <c r="BA1758" s="6"/>
      <c r="BB1758" s="6">
        <f>ROUND(BA1758/1000/Update!$B$31,0)</f>
        <v>0</v>
      </c>
      <c r="BC1758" s="6"/>
      <c r="BD1758" s="29">
        <f>ROUND(SUM(BE1758:BK1758),0)</f>
        <v>0</v>
      </c>
      <c r="BE1758" s="860"/>
      <c r="BF1758" s="860"/>
      <c r="BG1758" s="860"/>
      <c r="BH1758" s="860"/>
      <c r="BI1758" s="860"/>
      <c r="BJ1758" s="860"/>
      <c r="BK1758" s="6">
        <f t="shared" si="1095"/>
        <v>0</v>
      </c>
      <c r="BL1758" s="860"/>
      <c r="BM1758" s="860"/>
      <c r="BN1758" s="860"/>
      <c r="BO1758" s="860"/>
      <c r="BP1758" s="860"/>
      <c r="BQ1758" s="860"/>
      <c r="BR1758" s="860"/>
      <c r="BS1758" s="860"/>
      <c r="BT1758" s="860"/>
      <c r="BU1758" s="860"/>
      <c r="BV1758" s="860"/>
      <c r="BW1758" s="860"/>
      <c r="BX1758" s="860"/>
      <c r="BY1758" s="860"/>
      <c r="BZ1758" s="860"/>
      <c r="CA1758" s="860"/>
      <c r="CB1758" s="860"/>
      <c r="CC1758" s="860"/>
      <c r="CD1758" s="860"/>
      <c r="CE1758" s="860"/>
      <c r="CF1758" s="860"/>
      <c r="CG1758" s="860"/>
      <c r="CH1758" s="860"/>
      <c r="CI1758" s="860"/>
      <c r="CM1758" s="1500">
        <f t="shared" si="1092"/>
        <v>0</v>
      </c>
      <c r="CN1758" s="1500">
        <v>0</v>
      </c>
      <c r="CP1758" s="923">
        <f t="shared" si="1091"/>
        <v>0</v>
      </c>
      <c r="CZ1758" s="330"/>
    </row>
    <row r="1759" spans="1:104" ht="15" customHeight="1" x14ac:dyDescent="0.25">
      <c r="A1759" s="684">
        <f>MAX($A$6:A1758)+1</f>
        <v>1759</v>
      </c>
      <c r="B1759" s="3">
        <f t="shared" si="1101"/>
        <v>20</v>
      </c>
      <c r="C1759" s="11" t="str">
        <f t="shared" si="1101"/>
        <v>Related Party Transactions</v>
      </c>
      <c r="D1759" s="11"/>
      <c r="E1759" s="7" t="s">
        <v>286</v>
      </c>
      <c r="F1759" s="7"/>
      <c r="G1759" s="1254" t="s">
        <v>286</v>
      </c>
      <c r="H1759" s="6"/>
      <c r="I1759" s="6"/>
      <c r="J1759" s="1257" t="s">
        <v>286</v>
      </c>
      <c r="K1759" s="266">
        <f>SUMIF('alb Note 15.1- Financial Guar'!$A:$A,$J$1555,'alb Note 15.1- Financial Guar'!$E:$E)</f>
        <v>0</v>
      </c>
      <c r="L1759" s="266">
        <f>SUMIF('alb Note 15.1- Financial Guar'!$A:$A,$J$1555,'alb Note 15.1- Financial Guar'!$E:$E)</f>
        <v>0</v>
      </c>
      <c r="M1759" s="10"/>
      <c r="N1759" s="273">
        <f>ROUND(SUM(O1759:S1759)+T1759+SUM(Z1759:AV1759),0)</f>
        <v>0</v>
      </c>
      <c r="O1759" s="12"/>
      <c r="P1759" s="12"/>
      <c r="Q1759" s="12"/>
      <c r="R1759" s="12"/>
      <c r="S1759" s="6">
        <f t="shared" si="1099"/>
        <v>0</v>
      </c>
      <c r="T1759" s="273">
        <f t="shared" si="1100"/>
        <v>0</v>
      </c>
      <c r="U1759" s="6">
        <f>SUM(BL1759:BN1759)</f>
        <v>0</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X1759" s="6"/>
      <c r="AY1759" s="6">
        <f>ROUND(AX1759/1000/Update!$B$31*Update!$B$27,0)</f>
        <v>0</v>
      </c>
      <c r="BA1759" s="6"/>
      <c r="BB1759" s="6">
        <f>ROUND(BA1759/1000/Update!$B$31,0)</f>
        <v>0</v>
      </c>
      <c r="BC1759" s="6"/>
      <c r="BD1759" s="29">
        <f>ROUND(SUM(BE1759:BK1759),0)</f>
        <v>0</v>
      </c>
      <c r="BE1759" s="322"/>
      <c r="BF1759" s="322"/>
      <c r="BG1759" s="322"/>
      <c r="BH1759" s="322"/>
      <c r="BI1759" s="322"/>
      <c r="BJ1759" s="322"/>
      <c r="BK1759" s="29">
        <f t="shared" si="1095"/>
        <v>0</v>
      </c>
      <c r="BL1759" s="322"/>
      <c r="BM1759" s="322"/>
      <c r="BN1759" s="322"/>
      <c r="BO1759" s="322"/>
      <c r="BP1759" s="322"/>
      <c r="BQ1759" s="322"/>
      <c r="BR1759" s="322"/>
      <c r="BS1759" s="322"/>
      <c r="BT1759" s="322"/>
      <c r="BU1759" s="322"/>
      <c r="BV1759" s="322"/>
      <c r="BW1759" s="322"/>
      <c r="BX1759" s="322"/>
      <c r="BY1759" s="322"/>
      <c r="BZ1759" s="322"/>
      <c r="CA1759" s="322"/>
      <c r="CB1759" s="322"/>
      <c r="CC1759" s="322"/>
      <c r="CD1759" s="322"/>
      <c r="CE1759" s="322"/>
      <c r="CF1759" s="322"/>
      <c r="CG1759" s="322"/>
      <c r="CH1759" s="322"/>
      <c r="CI1759" s="322"/>
      <c r="CM1759" s="1139">
        <f t="shared" si="1092"/>
        <v>0</v>
      </c>
      <c r="CN1759" s="1139">
        <v>0</v>
      </c>
      <c r="CP1759" s="923">
        <f t="shared" si="1091"/>
        <v>0</v>
      </c>
      <c r="CZ1759" s="330"/>
    </row>
    <row r="1760" spans="1:104" ht="18.75" customHeight="1" x14ac:dyDescent="0.25">
      <c r="A1760" s="1297">
        <f>MAX($A$6:A1759)+1</f>
        <v>1760</v>
      </c>
      <c r="B1760" s="1295">
        <f>SUMIF(Update!$B$33:$B$106,C1760,Update!$A$33:$A$106)</f>
        <v>21</v>
      </c>
      <c r="C1760" s="696" t="s">
        <v>1112</v>
      </c>
      <c r="D1760" s="695"/>
      <c r="E1760" s="696" t="str">
        <f>B1760&amp;" "&amp;C1760</f>
        <v>21 Third Party Assets</v>
      </c>
      <c r="F1760" s="697"/>
      <c r="G1760" s="697" t="s">
        <v>286</v>
      </c>
      <c r="H1760" s="695"/>
      <c r="I1760" s="695"/>
      <c r="J1760" s="698" t="s">
        <v>286</v>
      </c>
      <c r="K1760" s="699">
        <f>SUMIF('alb Note 20 Third Party Assets'!$A:$A,$J1760,'alb Note 20 Third Party Assets'!$B:$B)</f>
        <v>0</v>
      </c>
      <c r="L1760" s="699">
        <f>SUMIF('alb Note 20 Third Party Assets'!$A:$A,$J1760,'alb Note 20 Third Party Assets'!$B:$B)</f>
        <v>0</v>
      </c>
      <c r="M1760" s="695"/>
      <c r="N1760" s="713">
        <f t="shared" ref="N1760:N1765" si="1102">ROUND(SUM(O1760:S1760)+T1760+SUM(Z1760:AV1760),0)</f>
        <v>0</v>
      </c>
      <c r="O1760" s="695"/>
      <c r="P1760" s="695"/>
      <c r="Q1760" s="695"/>
      <c r="R1760" s="695"/>
      <c r="S1760" s="695">
        <f t="shared" si="1099"/>
        <v>0</v>
      </c>
      <c r="T1760" s="713">
        <f t="shared" si="1100"/>
        <v>0</v>
      </c>
      <c r="U1760" s="695"/>
      <c r="V1760" s="695"/>
      <c r="W1760" s="695"/>
      <c r="X1760" s="695"/>
      <c r="Y1760" s="695"/>
      <c r="Z1760" s="695"/>
      <c r="AA1760" s="695"/>
      <c r="AB1760" s="695"/>
      <c r="AC1760" s="695"/>
      <c r="AD1760" s="695"/>
      <c r="AE1760" s="695"/>
      <c r="AF1760" s="695"/>
      <c r="AG1760" s="695"/>
      <c r="AH1760" s="695"/>
      <c r="AI1760" s="695"/>
      <c r="AJ1760" s="695"/>
      <c r="AK1760" s="695"/>
      <c r="AL1760" s="695"/>
      <c r="AM1760" s="695"/>
      <c r="AN1760" s="695"/>
      <c r="AO1760" s="695"/>
      <c r="AP1760" s="695"/>
      <c r="AQ1760" s="695"/>
      <c r="AR1760" s="695"/>
      <c r="AS1760" s="695"/>
      <c r="AT1760" s="695"/>
      <c r="AU1760" s="695"/>
      <c r="AV1760" s="695"/>
      <c r="AW1760" s="700"/>
      <c r="AX1760" s="700"/>
      <c r="AY1760" s="700">
        <f>ROUND(AX1760/1000/Update!$B$31*Update!$B$27,0)</f>
        <v>0</v>
      </c>
      <c r="AZ1760" s="700"/>
      <c r="BA1760" s="700"/>
      <c r="BB1760" s="700">
        <f>ROUND(BA1760/1000/Update!$B$31,0)</f>
        <v>0</v>
      </c>
      <c r="BC1760" s="700"/>
      <c r="BD1760" s="721">
        <f t="shared" ref="BD1760:BD1765" si="1103">ROUND(SUM(BE1760:BK1760),0)</f>
        <v>0</v>
      </c>
      <c r="BE1760" s="700"/>
      <c r="BF1760" s="700"/>
      <c r="BG1760" s="700"/>
      <c r="BH1760" s="700"/>
      <c r="BI1760" s="700"/>
      <c r="BJ1760" s="700"/>
      <c r="BK1760" s="721">
        <f t="shared" si="1095"/>
        <v>0</v>
      </c>
      <c r="BL1760" s="700"/>
      <c r="BM1760" s="700"/>
      <c r="BN1760" s="700"/>
      <c r="BO1760" s="700"/>
      <c r="BP1760" s="700"/>
      <c r="BQ1760" s="700"/>
      <c r="BR1760" s="700"/>
      <c r="BS1760" s="700"/>
      <c r="BT1760" s="700"/>
      <c r="BU1760" s="700"/>
      <c r="BV1760" s="700"/>
      <c r="BW1760" s="700"/>
      <c r="BX1760" s="700"/>
      <c r="BY1760" s="700"/>
      <c r="BZ1760" s="700"/>
      <c r="CA1760" s="700"/>
      <c r="CB1760" s="700"/>
      <c r="CC1760" s="700"/>
      <c r="CD1760" s="700"/>
      <c r="CE1760" s="700"/>
      <c r="CF1760" s="700"/>
      <c r="CG1760" s="700"/>
      <c r="CH1760" s="700"/>
      <c r="CI1760" s="700"/>
      <c r="CJ1760" s="700"/>
      <c r="CK1760" s="700"/>
      <c r="CM1760" s="700">
        <f t="shared" si="1092"/>
        <v>0</v>
      </c>
      <c r="CN1760" s="700">
        <v>0</v>
      </c>
      <c r="CP1760" s="923">
        <f t="shared" si="1091"/>
        <v>0</v>
      </c>
      <c r="CZ1760" s="330"/>
    </row>
    <row r="1761" spans="1:104" ht="89.25" customHeight="1" x14ac:dyDescent="0.25">
      <c r="A1761" s="684">
        <f>MAX($A$6:A1760)+1</f>
        <v>1761</v>
      </c>
      <c r="B1761" s="3">
        <f>B1760</f>
        <v>21</v>
      </c>
      <c r="C1761" s="11" t="str">
        <f>C1760</f>
        <v>Third Party Assets</v>
      </c>
      <c r="D1761" s="11"/>
      <c r="E1761" s="7"/>
      <c r="F1761" s="7"/>
      <c r="G1761" s="1254" t="s">
        <v>671</v>
      </c>
      <c r="H1761" s="6">
        <v>0</v>
      </c>
      <c r="I1761" s="6"/>
      <c r="J1761" s="1269" t="s">
        <v>1820</v>
      </c>
      <c r="K1761" s="1185">
        <f>'alb Note 20 Third Party Assets'!A20</f>
        <v>0</v>
      </c>
      <c r="L1761" s="266"/>
      <c r="M1761" s="10"/>
      <c r="N1761" s="273">
        <f>ROUND(SUM(O1761:S1761)+T1761+SUM(Z1761:AV1761),0)</f>
        <v>0</v>
      </c>
      <c r="O1761" s="12"/>
      <c r="P1761" s="12"/>
      <c r="Q1761" s="12"/>
      <c r="R1761" s="12"/>
      <c r="S1761" s="6">
        <f t="shared" si="1099"/>
        <v>0</v>
      </c>
      <c r="T1761" s="273">
        <f t="shared" si="1100"/>
        <v>0</v>
      </c>
      <c r="U1761" s="6">
        <f>SUM(BL1761:BN1761)</f>
        <v>0</v>
      </c>
      <c r="V1761" s="6"/>
      <c r="W1761" s="6">
        <f>+H1761</f>
        <v>0</v>
      </c>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X1761" s="6"/>
      <c r="AY1761" s="6">
        <f>ROUND(AX1761/1000/Update!$B$31*Update!$B$27,0)</f>
        <v>0</v>
      </c>
      <c r="BA1761" s="6"/>
      <c r="BB1761" s="6">
        <f>ROUND(BA1761/1000/Update!$B$31,0)</f>
        <v>0</v>
      </c>
      <c r="BC1761" s="6"/>
      <c r="BD1761" s="29">
        <f>ROUND(SUM(BE1761:BK1761),0)</f>
        <v>0</v>
      </c>
      <c r="BE1761" s="322"/>
      <c r="BF1761" s="322"/>
      <c r="BG1761" s="322"/>
      <c r="BH1761" s="322"/>
      <c r="BI1761" s="322"/>
      <c r="BJ1761" s="322"/>
      <c r="BK1761" s="29">
        <f t="shared" si="1095"/>
        <v>0</v>
      </c>
      <c r="BL1761" s="322"/>
      <c r="BM1761" s="322"/>
      <c r="BN1761" s="322"/>
      <c r="BO1761" s="322"/>
      <c r="BP1761" s="322"/>
      <c r="BQ1761" s="322"/>
      <c r="BR1761" s="322"/>
      <c r="BS1761" s="322"/>
      <c r="BT1761" s="322"/>
      <c r="BU1761" s="322"/>
      <c r="BV1761" s="322"/>
      <c r="BW1761" s="322"/>
      <c r="BX1761" s="322"/>
      <c r="BY1761" s="322"/>
      <c r="BZ1761" s="322"/>
      <c r="CA1761" s="322"/>
      <c r="CB1761" s="322"/>
      <c r="CC1761" s="322"/>
      <c r="CD1761" s="322"/>
      <c r="CE1761" s="322"/>
      <c r="CF1761" s="322"/>
      <c r="CG1761" s="322"/>
      <c r="CH1761" s="322"/>
      <c r="CI1761" s="322"/>
      <c r="CM1761" s="1139">
        <f t="shared" si="1092"/>
        <v>0</v>
      </c>
      <c r="CN1761" s="1139">
        <v>0</v>
      </c>
      <c r="CP1761" s="923">
        <f t="shared" si="1091"/>
        <v>0</v>
      </c>
      <c r="CZ1761" s="330"/>
    </row>
    <row r="1762" spans="1:104" ht="38.25" customHeight="1" x14ac:dyDescent="0.25">
      <c r="A1762" s="684">
        <f>MAX($A$6:A1761)+1</f>
        <v>1762</v>
      </c>
      <c r="B1762" s="3">
        <f>B1761</f>
        <v>21</v>
      </c>
      <c r="C1762" s="11" t="str">
        <f>C1760</f>
        <v>Third Party Assets</v>
      </c>
      <c r="D1762" s="11"/>
      <c r="E1762" s="7" t="s">
        <v>671</v>
      </c>
      <c r="F1762" s="7"/>
      <c r="G1762" s="1254" t="s">
        <v>671</v>
      </c>
      <c r="H1762" s="6">
        <v>0</v>
      </c>
      <c r="I1762" s="6"/>
      <c r="J1762" s="1257" t="s">
        <v>671</v>
      </c>
      <c r="K1762" s="251">
        <f>SUMIF('alb Note 20 Third Party Assets'!$A:$A,$J1762,'alb Note 20 Third Party Assets'!$B:$B)</f>
        <v>0</v>
      </c>
      <c r="L1762" s="251">
        <f>SUMIF('alb Note 20 Third Party Assets'!$A:$A,$J1762,'alb Note 20 Third Party Assets'!$E:$E)</f>
        <v>0</v>
      </c>
      <c r="M1762" s="10"/>
      <c r="N1762" s="273">
        <f t="shared" si="1102"/>
        <v>0</v>
      </c>
      <c r="O1762" s="12"/>
      <c r="P1762" s="12"/>
      <c r="Q1762" s="12"/>
      <c r="R1762" s="12"/>
      <c r="S1762" s="6">
        <f t="shared" si="1099"/>
        <v>0</v>
      </c>
      <c r="T1762" s="273">
        <f t="shared" si="1100"/>
        <v>0</v>
      </c>
      <c r="U1762" s="6">
        <f>SUM(BL1762:BN1762)</f>
        <v>0</v>
      </c>
      <c r="V1762" s="6"/>
      <c r="W1762" s="6">
        <f>+H1762</f>
        <v>0</v>
      </c>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X1762" s="6"/>
      <c r="AY1762" s="6">
        <f>ROUND(AX1762/1000/Update!$B$31*Update!$B$27,0)</f>
        <v>0</v>
      </c>
      <c r="BA1762" s="6"/>
      <c r="BB1762" s="6">
        <f>ROUND(BA1762/1000/Update!$B$31,0)</f>
        <v>0</v>
      </c>
      <c r="BC1762" s="6"/>
      <c r="BD1762" s="29">
        <f t="shared" si="1103"/>
        <v>0</v>
      </c>
      <c r="BE1762" s="322"/>
      <c r="BF1762" s="322"/>
      <c r="BG1762" s="322"/>
      <c r="BH1762" s="322"/>
      <c r="BI1762" s="322"/>
      <c r="BJ1762" s="322"/>
      <c r="BK1762" s="29">
        <f t="shared" si="1095"/>
        <v>0</v>
      </c>
      <c r="BL1762" s="322"/>
      <c r="BM1762" s="322"/>
      <c r="BN1762" s="322"/>
      <c r="BO1762" s="322"/>
      <c r="BP1762" s="322"/>
      <c r="BQ1762" s="322"/>
      <c r="BR1762" s="322"/>
      <c r="BS1762" s="322"/>
      <c r="BT1762" s="322"/>
      <c r="BU1762" s="322"/>
      <c r="BV1762" s="322"/>
      <c r="BW1762" s="322"/>
      <c r="BX1762" s="322"/>
      <c r="BY1762" s="322"/>
      <c r="BZ1762" s="322"/>
      <c r="CA1762" s="322"/>
      <c r="CB1762" s="322"/>
      <c r="CC1762" s="322"/>
      <c r="CD1762" s="322"/>
      <c r="CE1762" s="322"/>
      <c r="CF1762" s="322"/>
      <c r="CG1762" s="322"/>
      <c r="CH1762" s="322"/>
      <c r="CI1762" s="322"/>
      <c r="CM1762" s="1139">
        <f t="shared" si="1092"/>
        <v>0</v>
      </c>
      <c r="CN1762" s="1139">
        <v>0</v>
      </c>
      <c r="CP1762" s="923">
        <f t="shared" si="1091"/>
        <v>0</v>
      </c>
      <c r="CZ1762" s="330"/>
    </row>
    <row r="1763" spans="1:104" ht="15" customHeight="1" x14ac:dyDescent="0.25">
      <c r="A1763" s="684">
        <f>MAX($A$6:A1762)+1</f>
        <v>1763</v>
      </c>
      <c r="B1763" s="3">
        <f>B1762</f>
        <v>21</v>
      </c>
      <c r="C1763" s="11" t="str">
        <f>C1762</f>
        <v>Third Party Assets</v>
      </c>
      <c r="D1763" s="11"/>
      <c r="E1763" s="7" t="s">
        <v>672</v>
      </c>
      <c r="F1763" s="7"/>
      <c r="G1763" s="1254" t="s">
        <v>672</v>
      </c>
      <c r="H1763" s="6">
        <v>0</v>
      </c>
      <c r="I1763" s="6"/>
      <c r="J1763" s="1257" t="s">
        <v>672</v>
      </c>
      <c r="K1763" s="251">
        <f>SUMIF('alb Note 20 Third Party Assets'!$A:$A,$J1763,'alb Note 20 Third Party Assets'!$B:$B)</f>
        <v>0</v>
      </c>
      <c r="L1763" s="251">
        <f>SUMIF('alb Note 20 Third Party Assets'!$A:$A,$J1763,'alb Note 20 Third Party Assets'!$E:$E)</f>
        <v>0</v>
      </c>
      <c r="M1763" s="10"/>
      <c r="N1763" s="273">
        <f t="shared" si="1102"/>
        <v>0</v>
      </c>
      <c r="O1763" s="12"/>
      <c r="P1763" s="12"/>
      <c r="Q1763" s="12"/>
      <c r="R1763" s="12"/>
      <c r="S1763" s="6">
        <f t="shared" si="1099"/>
        <v>0</v>
      </c>
      <c r="T1763" s="273">
        <f t="shared" si="1100"/>
        <v>0</v>
      </c>
      <c r="U1763" s="6">
        <f>SUM(BL1763:BN1763)</f>
        <v>0</v>
      </c>
      <c r="V1763" s="6"/>
      <c r="W1763" s="6">
        <f>+H1763</f>
        <v>0</v>
      </c>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X1763" s="6"/>
      <c r="AY1763" s="6">
        <f>ROUND(AX1763/1000/Update!$B$31*Update!$B$27,0)</f>
        <v>0</v>
      </c>
      <c r="BA1763" s="6"/>
      <c r="BB1763" s="6">
        <f>ROUND(BA1763/1000/Update!$B$31,0)</f>
        <v>0</v>
      </c>
      <c r="BC1763" s="6"/>
      <c r="BD1763" s="29">
        <f>ROUND(SUM(BE1763:BK1763),0)</f>
        <v>0</v>
      </c>
      <c r="BE1763" s="322"/>
      <c r="BF1763" s="322"/>
      <c r="BG1763" s="322"/>
      <c r="BH1763" s="322"/>
      <c r="BI1763" s="322"/>
      <c r="BJ1763" s="322"/>
      <c r="BK1763" s="29">
        <f t="shared" si="1095"/>
        <v>0</v>
      </c>
      <c r="BL1763" s="322"/>
      <c r="BM1763" s="322"/>
      <c r="BN1763" s="322"/>
      <c r="BO1763" s="322"/>
      <c r="BP1763" s="322"/>
      <c r="BQ1763" s="322"/>
      <c r="BR1763" s="322"/>
      <c r="BS1763" s="322"/>
      <c r="BT1763" s="322"/>
      <c r="BU1763" s="322"/>
      <c r="BV1763" s="322"/>
      <c r="BW1763" s="322"/>
      <c r="BX1763" s="322"/>
      <c r="BY1763" s="322"/>
      <c r="BZ1763" s="322"/>
      <c r="CA1763" s="322"/>
      <c r="CB1763" s="322"/>
      <c r="CC1763" s="322"/>
      <c r="CD1763" s="322"/>
      <c r="CE1763" s="322"/>
      <c r="CF1763" s="322"/>
      <c r="CG1763" s="322"/>
      <c r="CH1763" s="322"/>
      <c r="CI1763" s="322"/>
      <c r="CM1763" s="1139">
        <f t="shared" si="1092"/>
        <v>0</v>
      </c>
      <c r="CN1763" s="1139">
        <v>0</v>
      </c>
      <c r="CP1763" s="923">
        <f t="shared" si="1091"/>
        <v>0</v>
      </c>
      <c r="CZ1763" s="330"/>
    </row>
    <row r="1764" spans="1:104" ht="15" customHeight="1" x14ac:dyDescent="0.25">
      <c r="A1764" s="684">
        <f>MAX($A$6:A1763)+1</f>
        <v>1764</v>
      </c>
      <c r="B1764" s="3">
        <f>B1763</f>
        <v>21</v>
      </c>
      <c r="C1764" s="11" t="str">
        <f>C1763</f>
        <v>Third Party Assets</v>
      </c>
      <c r="D1764" s="11"/>
      <c r="E1764" s="7" t="s">
        <v>181</v>
      </c>
      <c r="F1764" s="7"/>
      <c r="G1764" s="1254" t="s">
        <v>181</v>
      </c>
      <c r="H1764" s="6">
        <v>0</v>
      </c>
      <c r="I1764" s="6"/>
      <c r="J1764" s="1257" t="s">
        <v>181</v>
      </c>
      <c r="K1764" s="251">
        <f>SUMIF('alb Note 20 Third Party Assets'!$A:$A,$J1764,'alb Note 20 Third Party Assets'!$B:$B)</f>
        <v>0</v>
      </c>
      <c r="L1764" s="251">
        <f>SUMIF('alb Note 20 Third Party Assets'!$A:$A,$J1764,'alb Note 20 Third Party Assets'!$E:$E)</f>
        <v>0</v>
      </c>
      <c r="M1764" s="10"/>
      <c r="N1764" s="273">
        <f t="shared" si="1102"/>
        <v>0</v>
      </c>
      <c r="O1764" s="12"/>
      <c r="P1764" s="12"/>
      <c r="Q1764" s="12"/>
      <c r="R1764" s="12"/>
      <c r="S1764" s="6">
        <f t="shared" si="1099"/>
        <v>0</v>
      </c>
      <c r="T1764" s="273">
        <f t="shared" si="1100"/>
        <v>0</v>
      </c>
      <c r="U1764" s="6">
        <f>SUM(BL1764:BN1764)</f>
        <v>0</v>
      </c>
      <c r="V1764" s="6"/>
      <c r="W1764" s="6">
        <f>+H1764</f>
        <v>0</v>
      </c>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X1764" s="6"/>
      <c r="AY1764" s="6">
        <f>ROUND(AX1764/1000/Update!$B$31*Update!$B$27,0)</f>
        <v>0</v>
      </c>
      <c r="BA1764" s="6"/>
      <c r="BB1764" s="6">
        <f>ROUND(BA1764/1000/Update!$B$31,0)</f>
        <v>0</v>
      </c>
      <c r="BC1764" s="6"/>
      <c r="BD1764" s="29">
        <f t="shared" si="1103"/>
        <v>0</v>
      </c>
      <c r="BE1764" s="322"/>
      <c r="BF1764" s="322"/>
      <c r="BG1764" s="322"/>
      <c r="BH1764" s="322"/>
      <c r="BI1764" s="322"/>
      <c r="BJ1764" s="322"/>
      <c r="BK1764" s="29">
        <f t="shared" si="1095"/>
        <v>0</v>
      </c>
      <c r="BL1764" s="322"/>
      <c r="BM1764" s="322"/>
      <c r="BN1764" s="322"/>
      <c r="BO1764" s="322"/>
      <c r="BP1764" s="322"/>
      <c r="BQ1764" s="322"/>
      <c r="BR1764" s="322"/>
      <c r="BS1764" s="322"/>
      <c r="BT1764" s="322"/>
      <c r="BU1764" s="322"/>
      <c r="BV1764" s="322"/>
      <c r="BW1764" s="322"/>
      <c r="BX1764" s="322"/>
      <c r="BY1764" s="322"/>
      <c r="BZ1764" s="322"/>
      <c r="CA1764" s="322"/>
      <c r="CB1764" s="322"/>
      <c r="CC1764" s="322"/>
      <c r="CD1764" s="322"/>
      <c r="CE1764" s="322"/>
      <c r="CF1764" s="322"/>
      <c r="CG1764" s="322"/>
      <c r="CH1764" s="322"/>
      <c r="CI1764" s="322"/>
      <c r="CM1764" s="1139">
        <f t="shared" si="1092"/>
        <v>0</v>
      </c>
      <c r="CN1764" s="1139">
        <v>0</v>
      </c>
      <c r="CP1764" s="923">
        <f t="shared" si="1091"/>
        <v>0</v>
      </c>
      <c r="CZ1764" s="330"/>
    </row>
    <row r="1765" spans="1:104" ht="15" customHeight="1" x14ac:dyDescent="0.25">
      <c r="A1765" s="701">
        <f>MAX($A$6:A1764)+1</f>
        <v>1765</v>
      </c>
      <c r="B1765" s="1291">
        <f>B1764</f>
        <v>21</v>
      </c>
      <c r="C1765" s="18" t="str">
        <f>C1764</f>
        <v>Third Party Assets</v>
      </c>
      <c r="D1765" s="18"/>
      <c r="E1765" s="19" t="s">
        <v>146</v>
      </c>
      <c r="F1765" s="19"/>
      <c r="G1765" s="28"/>
      <c r="H1765" s="14">
        <f>SUM(H1762:H1764)</f>
        <v>0</v>
      </c>
      <c r="I1765" s="14"/>
      <c r="J1765" s="1258" t="s">
        <v>820</v>
      </c>
      <c r="K1765" s="256">
        <f>SUM(K1760:K1764)</f>
        <v>0</v>
      </c>
      <c r="L1765" s="256">
        <f>SUM(L1760:L1764)</f>
        <v>0</v>
      </c>
      <c r="M1765" s="14">
        <f t="shared" ref="M1765:V1765" si="1104">SUM(M1760:M1764)</f>
        <v>0</v>
      </c>
      <c r="N1765" s="14">
        <f t="shared" si="1102"/>
        <v>0</v>
      </c>
      <c r="O1765" s="14">
        <f t="shared" si="1104"/>
        <v>0</v>
      </c>
      <c r="P1765" s="14">
        <f t="shared" si="1104"/>
        <v>0</v>
      </c>
      <c r="Q1765" s="14">
        <f t="shared" si="1104"/>
        <v>0</v>
      </c>
      <c r="R1765" s="14">
        <f t="shared" si="1104"/>
        <v>0</v>
      </c>
      <c r="S1765" s="14">
        <f t="shared" si="1099"/>
        <v>0</v>
      </c>
      <c r="T1765" s="14">
        <f>SUM(T1760:T1764)</f>
        <v>0</v>
      </c>
      <c r="U1765" s="14">
        <f>SUM(U1760:U1764)</f>
        <v>0</v>
      </c>
      <c r="V1765" s="14">
        <f t="shared" si="1104"/>
        <v>0</v>
      </c>
      <c r="W1765" s="14">
        <f>SUM(W1760:W1764)</f>
        <v>0</v>
      </c>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c r="AS1765" s="14"/>
      <c r="AT1765" s="14"/>
      <c r="AU1765" s="14"/>
      <c r="AV1765" s="14"/>
      <c r="AW1765" s="2"/>
      <c r="AX1765" s="14">
        <f>SUM(AX1760:AX1764)</f>
        <v>0</v>
      </c>
      <c r="AY1765" s="14">
        <f>ROUND(AX1765/1000/Update!$B$31*Update!$B$27,0)</f>
        <v>0</v>
      </c>
      <c r="AZ1765" s="2"/>
      <c r="BA1765" s="14">
        <f>SUM(BA1760:BA1764)</f>
        <v>0</v>
      </c>
      <c r="BB1765" s="14">
        <f>ROUND(BA1765/1000/Update!$B$31,0)</f>
        <v>0</v>
      </c>
      <c r="BC1765" s="14"/>
      <c r="BD1765" s="14">
        <f t="shared" si="1103"/>
        <v>0</v>
      </c>
      <c r="BE1765" s="318">
        <f t="shared" ref="BE1765:BJ1765" si="1105">SUM(BE1760:BE1764)</f>
        <v>0</v>
      </c>
      <c r="BF1765" s="318">
        <f t="shared" si="1105"/>
        <v>0</v>
      </c>
      <c r="BG1765" s="318">
        <f t="shared" si="1105"/>
        <v>0</v>
      </c>
      <c r="BH1765" s="318">
        <f t="shared" si="1105"/>
        <v>0</v>
      </c>
      <c r="BI1765" s="318">
        <f t="shared" si="1105"/>
        <v>0</v>
      </c>
      <c r="BJ1765" s="318">
        <f t="shared" si="1105"/>
        <v>0</v>
      </c>
      <c r="BK1765" s="14">
        <f t="shared" si="1095"/>
        <v>0</v>
      </c>
      <c r="BL1765" s="318"/>
      <c r="BM1765" s="318"/>
      <c r="BN1765" s="318"/>
      <c r="BO1765" s="318"/>
      <c r="BP1765" s="318"/>
      <c r="BQ1765" s="318"/>
      <c r="BR1765" s="318"/>
      <c r="BS1765" s="318"/>
      <c r="BT1765" s="318"/>
      <c r="BU1765" s="318"/>
      <c r="BV1765" s="318"/>
      <c r="BW1765" s="318"/>
      <c r="BX1765" s="318"/>
      <c r="BY1765" s="318"/>
      <c r="BZ1765" s="318"/>
      <c r="CA1765" s="318"/>
      <c r="CB1765" s="318"/>
      <c r="CC1765" s="318"/>
      <c r="CD1765" s="318"/>
      <c r="CE1765" s="318"/>
      <c r="CF1765" s="318"/>
      <c r="CG1765" s="318"/>
      <c r="CH1765" s="318"/>
      <c r="CI1765" s="318"/>
      <c r="CJ1765" s="2"/>
      <c r="CK1765" s="2"/>
      <c r="CM1765" s="1140">
        <f t="shared" si="1092"/>
        <v>0</v>
      </c>
      <c r="CN1765" s="1140">
        <v>0</v>
      </c>
      <c r="CP1765" s="923">
        <f t="shared" si="1091"/>
        <v>0</v>
      </c>
      <c r="CZ1765" s="330"/>
    </row>
    <row r="1766" spans="1:104" ht="18.75" customHeight="1" x14ac:dyDescent="0.25">
      <c r="A1766" s="1297">
        <f>MAX($A$6:A1765)+1</f>
        <v>1766</v>
      </c>
      <c r="B1766" s="1295">
        <f>SUMIF(Update!$B$33:$B$106,C1766,Update!$A$33:$A$106)</f>
        <v>22.1</v>
      </c>
      <c r="C1766" s="696" t="s">
        <v>1247</v>
      </c>
      <c r="D1766" s="695"/>
      <c r="E1766" s="696"/>
      <c r="F1766" s="697"/>
      <c r="G1766" s="697"/>
      <c r="H1766" s="695"/>
      <c r="I1766" s="695"/>
      <c r="J1766" s="1010"/>
      <c r="K1766" s="1010"/>
      <c r="L1766" s="1010"/>
      <c r="M1766" s="1010"/>
      <c r="N1766" s="713"/>
      <c r="O1766" s="695"/>
      <c r="P1766" s="695"/>
      <c r="Q1766" s="695"/>
      <c r="R1766" s="695"/>
      <c r="S1766" s="695"/>
      <c r="T1766" s="713"/>
      <c r="U1766" s="695"/>
      <c r="V1766" s="695"/>
      <c r="W1766" s="695"/>
      <c r="X1766" s="695"/>
      <c r="Y1766" s="695"/>
      <c r="Z1766" s="695"/>
      <c r="AA1766" s="695"/>
      <c r="AB1766" s="695"/>
      <c r="AC1766" s="695"/>
      <c r="AD1766" s="695"/>
      <c r="AE1766" s="695"/>
      <c r="AF1766" s="695"/>
      <c r="AG1766" s="695"/>
      <c r="AH1766" s="695"/>
      <c r="AI1766" s="695"/>
      <c r="AJ1766" s="695"/>
      <c r="AK1766" s="695"/>
      <c r="AL1766" s="695"/>
      <c r="AM1766" s="695"/>
      <c r="AN1766" s="695"/>
      <c r="AO1766" s="695"/>
      <c r="AP1766" s="695"/>
      <c r="AQ1766" s="695"/>
      <c r="AR1766" s="695"/>
      <c r="AS1766" s="695"/>
      <c r="AT1766" s="695"/>
      <c r="AU1766" s="695"/>
      <c r="AV1766" s="695"/>
      <c r="AW1766" s="700"/>
      <c r="AX1766" s="700"/>
      <c r="AY1766" s="700"/>
      <c r="AZ1766" s="700"/>
      <c r="BA1766" s="700"/>
      <c r="BB1766" s="700"/>
      <c r="BC1766" s="700"/>
      <c r="BD1766" s="721"/>
      <c r="BE1766" s="700"/>
      <c r="BF1766" s="700"/>
      <c r="BG1766" s="700"/>
      <c r="BH1766" s="700"/>
      <c r="BI1766" s="700"/>
      <c r="BJ1766" s="700"/>
      <c r="BK1766" s="721"/>
      <c r="BL1766" s="700"/>
      <c r="BM1766" s="700"/>
      <c r="BN1766" s="700"/>
      <c r="BO1766" s="700"/>
      <c r="BP1766" s="700"/>
      <c r="BQ1766" s="700"/>
      <c r="BR1766" s="700"/>
      <c r="BS1766" s="700"/>
      <c r="BT1766" s="700"/>
      <c r="BU1766" s="700"/>
      <c r="BV1766" s="700"/>
      <c r="BW1766" s="700"/>
      <c r="BX1766" s="700"/>
      <c r="BY1766" s="700"/>
      <c r="BZ1766" s="700"/>
      <c r="CA1766" s="700"/>
      <c r="CB1766" s="700"/>
      <c r="CC1766" s="700"/>
      <c r="CD1766" s="700"/>
      <c r="CE1766" s="700"/>
      <c r="CF1766" s="700"/>
      <c r="CG1766" s="700"/>
      <c r="CH1766" s="700"/>
      <c r="CI1766" s="700"/>
      <c r="CJ1766" s="700"/>
      <c r="CK1766" s="700"/>
      <c r="CM1766" s="700">
        <f t="shared" si="1092"/>
        <v>0</v>
      </c>
      <c r="CN1766" s="700"/>
      <c r="CP1766" s="923">
        <f t="shared" si="1091"/>
        <v>0</v>
      </c>
      <c r="CZ1766" s="330"/>
    </row>
    <row r="1767" spans="1:104" ht="15" customHeight="1" x14ac:dyDescent="0.25">
      <c r="A1767" s="684">
        <f>MAX($A$6:A1766)+1</f>
        <v>1767</v>
      </c>
      <c r="B1767" s="3">
        <f>B1766</f>
        <v>22.1</v>
      </c>
      <c r="C1767" s="11" t="str">
        <f>C1766</f>
        <v>Revenue Resource Limit</v>
      </c>
      <c r="D1767" s="11"/>
      <c r="E1767" s="1254" t="s">
        <v>2545</v>
      </c>
      <c r="F1767" s="7"/>
      <c r="G1767" s="1254" t="s">
        <v>286</v>
      </c>
      <c r="H1767" s="267"/>
      <c r="I1767" s="267"/>
      <c r="J1767" s="1254" t="s">
        <v>2545</v>
      </c>
      <c r="K1767" s="1185">
        <f>SUMIF('alb Note 22 - RRL &amp; CRL'!$A$13:$A$48,J1767,'alb Note 22 - RRL &amp; CRL'!$C$13:$C$48)</f>
        <v>0</v>
      </c>
      <c r="L1767" s="1185"/>
      <c r="M1767" s="10"/>
      <c r="N1767" s="273">
        <f t="shared" ref="N1767:N1775" si="1106">ROUND(SUM(O1767:S1767)+T1767+SUM(Z1767:AV1767),0)</f>
        <v>0</v>
      </c>
      <c r="O1767" s="12"/>
      <c r="P1767" s="12"/>
      <c r="Q1767" s="12"/>
      <c r="R1767" s="12"/>
      <c r="S1767" s="6">
        <f t="shared" ref="S1767:S1775" si="1107">-IF(ISNUMBER(BD1767),BD1767,0)</f>
        <v>0</v>
      </c>
      <c r="T1767" s="273">
        <f>ROUND(SUM(U1767:Y1767),0)</f>
        <v>0</v>
      </c>
      <c r="U1767" s="6">
        <f t="shared" ref="U1767:U1775" si="1108">SUM(BL1767:BN1767)</f>
        <v>0</v>
      </c>
      <c r="V1767" s="6"/>
      <c r="W1767" s="6">
        <f t="shared" ref="W1767:W1775" si="1109">+H1767</f>
        <v>0</v>
      </c>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X1767" s="6"/>
      <c r="AY1767" s="6">
        <f>ROUND(AX1767/1000/Update!$B$31*Update!$B$27,0)</f>
        <v>0</v>
      </c>
      <c r="BA1767" s="6"/>
      <c r="BB1767" s="6">
        <f>ROUND(BA1767/1000/Update!$B$31,0)</f>
        <v>0</v>
      </c>
      <c r="BC1767" s="6"/>
      <c r="BD1767" s="29">
        <f t="shared" ref="BD1767:BD1775" si="1110">ROUND(SUM(BE1767:BK1767),0)</f>
        <v>0</v>
      </c>
      <c r="BE1767" s="1191"/>
      <c r="BF1767" s="1191"/>
      <c r="BG1767" s="1191"/>
      <c r="BH1767" s="1191"/>
      <c r="BI1767" s="1191"/>
      <c r="BJ1767" s="1191"/>
      <c r="BK1767" s="29">
        <f t="shared" ref="BK1767:BK1775" si="1111">ROUND(SUM(BO1767:CI1767),0)</f>
        <v>0</v>
      </c>
      <c r="BL1767" s="1191"/>
      <c r="BM1767" s="1191"/>
      <c r="BN1767" s="1191"/>
      <c r="BO1767" s="1191"/>
      <c r="BP1767" s="1191"/>
      <c r="BQ1767" s="1191"/>
      <c r="BR1767" s="1191"/>
      <c r="BS1767" s="1191"/>
      <c r="BT1767" s="1191"/>
      <c r="BU1767" s="1191"/>
      <c r="BV1767" s="1191"/>
      <c r="BW1767" s="1191"/>
      <c r="BX1767" s="1191"/>
      <c r="BY1767" s="1191"/>
      <c r="BZ1767" s="1191"/>
      <c r="CA1767" s="1191"/>
      <c r="CB1767" s="1191"/>
      <c r="CC1767" s="1191"/>
      <c r="CD1767" s="1191"/>
      <c r="CE1767" s="1191"/>
      <c r="CF1767" s="1191"/>
      <c r="CG1767" s="1191"/>
      <c r="CH1767" s="1191"/>
      <c r="CI1767" s="1191"/>
      <c r="CM1767" s="1139">
        <f t="shared" si="1092"/>
        <v>0</v>
      </c>
      <c r="CN1767" s="1139">
        <v>0</v>
      </c>
      <c r="CP1767" s="923">
        <f t="shared" si="1091"/>
        <v>0</v>
      </c>
      <c r="CZ1767" s="330"/>
    </row>
    <row r="1768" spans="1:104" ht="15" customHeight="1" x14ac:dyDescent="0.25">
      <c r="A1768" s="684">
        <f>MAX($A$6:A1767)+1</f>
        <v>1768</v>
      </c>
      <c r="B1768" s="3">
        <f>B1767</f>
        <v>22.1</v>
      </c>
      <c r="C1768" s="11" t="str">
        <f t="shared" ref="C1768:C1796" si="1112">C1767</f>
        <v>Revenue Resource Limit</v>
      </c>
      <c r="D1768" s="11"/>
      <c r="E1768" s="1254" t="s">
        <v>4</v>
      </c>
      <c r="F1768" s="13"/>
      <c r="G1768" s="1254" t="s">
        <v>286</v>
      </c>
      <c r="H1768" s="1510"/>
      <c r="I1768" s="1510"/>
      <c r="J1768" s="1254" t="s">
        <v>4</v>
      </c>
      <c r="K1768" s="1185">
        <f>SUMIF('alb Note 22 - RRL &amp; CRL'!$A$13:$A$48,J1768,'alb Note 22 - RRL &amp; CRL'!$C$13:$C$48)</f>
        <v>0</v>
      </c>
      <c r="L1768" s="1454"/>
      <c r="M1768" s="1290"/>
      <c r="N1768" s="273">
        <f t="shared" si="1106"/>
        <v>0</v>
      </c>
      <c r="O1768" s="1290"/>
      <c r="P1768" s="1290"/>
      <c r="Q1768" s="1290"/>
      <c r="R1768" s="1290"/>
      <c r="S1768" s="6">
        <f t="shared" si="1107"/>
        <v>0</v>
      </c>
      <c r="T1768" s="273">
        <f t="shared" ref="T1768:T1797" si="1113">ROUND(SUM(U1768:Y1768),0)</f>
        <v>0</v>
      </c>
      <c r="U1768" s="1290">
        <f t="shared" si="1108"/>
        <v>0</v>
      </c>
      <c r="V1768" s="1290"/>
      <c r="W1768" s="6">
        <f t="shared" si="1109"/>
        <v>0</v>
      </c>
      <c r="X1768" s="1290"/>
      <c r="Y1768" s="1290"/>
      <c r="Z1768" s="1290"/>
      <c r="AA1768" s="1290"/>
      <c r="AB1768" s="1290"/>
      <c r="AC1768" s="1290"/>
      <c r="AD1768" s="1290"/>
      <c r="AE1768" s="1290"/>
      <c r="AF1768" s="1290"/>
      <c r="AG1768" s="1290"/>
      <c r="AH1768" s="1290"/>
      <c r="AI1768" s="1290"/>
      <c r="AJ1768" s="1290"/>
      <c r="AK1768" s="1290"/>
      <c r="AL1768" s="1290"/>
      <c r="AM1768" s="1290"/>
      <c r="AN1768" s="1290"/>
      <c r="AO1768" s="1290"/>
      <c r="AP1768" s="1290"/>
      <c r="AQ1768" s="1290"/>
      <c r="AR1768" s="1290"/>
      <c r="AS1768" s="1290"/>
      <c r="AT1768" s="1290"/>
      <c r="AU1768" s="1290"/>
      <c r="AV1768" s="1290"/>
      <c r="AW1768" s="2"/>
      <c r="AX1768" s="1290"/>
      <c r="AY1768" s="6">
        <f>ROUND(AX1768/1000/Update!$B$31*Update!$B$27,0)</f>
        <v>0</v>
      </c>
      <c r="AZ1768" s="2"/>
      <c r="BA1768" s="1290"/>
      <c r="BB1768" s="6">
        <f>ROUND(BA1768/1000/Update!$B$31,0)</f>
        <v>0</v>
      </c>
      <c r="BC1768" s="1290"/>
      <c r="BD1768" s="29">
        <f t="shared" si="1110"/>
        <v>0</v>
      </c>
      <c r="BE1768" s="1455"/>
      <c r="BF1768" s="1455"/>
      <c r="BG1768" s="1455"/>
      <c r="BH1768" s="1455"/>
      <c r="BI1768" s="1455"/>
      <c r="BJ1768" s="1455"/>
      <c r="BK1768" s="29">
        <f t="shared" si="1111"/>
        <v>0</v>
      </c>
      <c r="BL1768" s="1455"/>
      <c r="BM1768" s="1455"/>
      <c r="BN1768" s="1455"/>
      <c r="BO1768" s="1455"/>
      <c r="BP1768" s="1455"/>
      <c r="BQ1768" s="1455"/>
      <c r="BR1768" s="1455"/>
      <c r="BS1768" s="1455"/>
      <c r="BT1768" s="1455"/>
      <c r="BU1768" s="1455"/>
      <c r="BV1768" s="1455"/>
      <c r="BW1768" s="1455"/>
      <c r="BX1768" s="1455"/>
      <c r="BY1768" s="1455"/>
      <c r="BZ1768" s="1455"/>
      <c r="CA1768" s="1455"/>
      <c r="CB1768" s="1455"/>
      <c r="CC1768" s="1455"/>
      <c r="CD1768" s="1455"/>
      <c r="CE1768" s="1455"/>
      <c r="CF1768" s="1455"/>
      <c r="CG1768" s="1191"/>
      <c r="CH1768" s="1455"/>
      <c r="CI1768" s="1455"/>
      <c r="CJ1768" s="2"/>
      <c r="CK1768" s="2"/>
      <c r="CM1768" s="1140">
        <f t="shared" si="1092"/>
        <v>0</v>
      </c>
      <c r="CN1768" s="1140">
        <v>0</v>
      </c>
      <c r="CP1768" s="923">
        <f t="shared" si="1091"/>
        <v>0</v>
      </c>
      <c r="CZ1768" s="1456"/>
    </row>
    <row r="1769" spans="1:104" ht="15" customHeight="1" x14ac:dyDescent="0.25">
      <c r="A1769" s="684">
        <f>MAX($A$6:A1768)+1</f>
        <v>1769</v>
      </c>
      <c r="B1769" s="3">
        <f>B1768</f>
        <v>22.1</v>
      </c>
      <c r="C1769" s="11" t="str">
        <f t="shared" si="1112"/>
        <v>Revenue Resource Limit</v>
      </c>
      <c r="D1769" s="11"/>
      <c r="E1769" s="1254" t="s">
        <v>22</v>
      </c>
      <c r="F1769" s="13"/>
      <c r="G1769" s="1254" t="s">
        <v>286</v>
      </c>
      <c r="H1769" s="1510"/>
      <c r="I1769" s="1510"/>
      <c r="J1769" s="1254" t="s">
        <v>22</v>
      </c>
      <c r="K1769" s="1185">
        <f>SUMIF('alb Note 22 - RRL &amp; CRL'!$A$13:$A$48,J1769,'alb Note 22 - RRL &amp; CRL'!$C$13:$C$48)</f>
        <v>0</v>
      </c>
      <c r="L1769" s="1454"/>
      <c r="M1769" s="1290"/>
      <c r="N1769" s="273">
        <f t="shared" si="1106"/>
        <v>0</v>
      </c>
      <c r="O1769" s="1290"/>
      <c r="P1769" s="1290"/>
      <c r="Q1769" s="1290"/>
      <c r="R1769" s="1290"/>
      <c r="S1769" s="6">
        <f t="shared" si="1107"/>
        <v>0</v>
      </c>
      <c r="T1769" s="273">
        <f t="shared" si="1113"/>
        <v>0</v>
      </c>
      <c r="U1769" s="1290">
        <f t="shared" si="1108"/>
        <v>0</v>
      </c>
      <c r="V1769" s="1290"/>
      <c r="W1769" s="6">
        <f t="shared" si="1109"/>
        <v>0</v>
      </c>
      <c r="X1769" s="1290"/>
      <c r="Y1769" s="1290"/>
      <c r="Z1769" s="1290"/>
      <c r="AA1769" s="1290"/>
      <c r="AB1769" s="1290"/>
      <c r="AC1769" s="1290"/>
      <c r="AD1769" s="1290"/>
      <c r="AE1769" s="1290"/>
      <c r="AF1769" s="1290"/>
      <c r="AG1769" s="1290"/>
      <c r="AH1769" s="1290"/>
      <c r="AI1769" s="1290"/>
      <c r="AJ1769" s="1290"/>
      <c r="AK1769" s="1290"/>
      <c r="AL1769" s="1290"/>
      <c r="AM1769" s="1290"/>
      <c r="AN1769" s="1290"/>
      <c r="AO1769" s="1290"/>
      <c r="AP1769" s="1290"/>
      <c r="AQ1769" s="1290"/>
      <c r="AR1769" s="1290"/>
      <c r="AS1769" s="1290"/>
      <c r="AT1769" s="1290"/>
      <c r="AU1769" s="1290"/>
      <c r="AV1769" s="1290"/>
      <c r="AW1769" s="2"/>
      <c r="AX1769" s="1290"/>
      <c r="AY1769" s="6">
        <f>ROUND(AX1769/1000/Update!$B$31*Update!$B$27,0)</f>
        <v>0</v>
      </c>
      <c r="AZ1769" s="2"/>
      <c r="BA1769" s="1290"/>
      <c r="BB1769" s="6">
        <f>ROUND(BA1769/1000/Update!$B$31,0)</f>
        <v>0</v>
      </c>
      <c r="BC1769" s="1290"/>
      <c r="BD1769" s="29">
        <f t="shared" si="1110"/>
        <v>0</v>
      </c>
      <c r="BE1769" s="1455"/>
      <c r="BF1769" s="1455"/>
      <c r="BG1769" s="1455"/>
      <c r="BH1769" s="1455"/>
      <c r="BI1769" s="1455"/>
      <c r="BJ1769" s="1455"/>
      <c r="BK1769" s="29">
        <f t="shared" si="1111"/>
        <v>0</v>
      </c>
      <c r="BL1769" s="1455"/>
      <c r="BM1769" s="1455"/>
      <c r="BN1769" s="1455"/>
      <c r="BO1769" s="1455"/>
      <c r="BP1769" s="1455"/>
      <c r="BQ1769" s="1455"/>
      <c r="BR1769" s="1455"/>
      <c r="BS1769" s="1455"/>
      <c r="BT1769" s="1455"/>
      <c r="BU1769" s="1455"/>
      <c r="BV1769" s="1455"/>
      <c r="BW1769" s="1455"/>
      <c r="BX1769" s="1455"/>
      <c r="BY1769" s="1455"/>
      <c r="BZ1769" s="1455"/>
      <c r="CA1769" s="1455"/>
      <c r="CB1769" s="1455"/>
      <c r="CC1769" s="1455"/>
      <c r="CD1769" s="1455"/>
      <c r="CE1769" s="1455"/>
      <c r="CF1769" s="1455"/>
      <c r="CG1769" s="1191"/>
      <c r="CH1769" s="1455"/>
      <c r="CI1769" s="1455"/>
      <c r="CJ1769" s="2"/>
      <c r="CK1769" s="2"/>
      <c r="CM1769" s="1140">
        <f t="shared" si="1092"/>
        <v>0</v>
      </c>
      <c r="CN1769" s="1140">
        <v>0</v>
      </c>
      <c r="CP1769" s="923">
        <f t="shared" si="1091"/>
        <v>0</v>
      </c>
      <c r="CZ1769" s="1456"/>
    </row>
    <row r="1770" spans="1:104" ht="15" customHeight="1" x14ac:dyDescent="0.25">
      <c r="A1770" s="684">
        <f>MAX($A$6:A1769)+1</f>
        <v>1770</v>
      </c>
      <c r="B1770" s="3">
        <f>B1769</f>
        <v>22.1</v>
      </c>
      <c r="C1770" s="11" t="str">
        <f t="shared" si="1112"/>
        <v>Revenue Resource Limit</v>
      </c>
      <c r="D1770" s="11"/>
      <c r="E1770" s="1254" t="s">
        <v>2546</v>
      </c>
      <c r="F1770" s="13"/>
      <c r="G1770" s="1254" t="s">
        <v>286</v>
      </c>
      <c r="H1770" s="1510"/>
      <c r="I1770" s="1510"/>
      <c r="J1770" s="1254" t="s">
        <v>2546</v>
      </c>
      <c r="K1770" s="1185">
        <f>SUMIF('alb Note 22 - RRL &amp; CRL'!$A$13:$A$48,J1770,'alb Note 22 - RRL &amp; CRL'!$C$13:$C$48)</f>
        <v>0</v>
      </c>
      <c r="L1770" s="1454"/>
      <c r="M1770" s="1290"/>
      <c r="N1770" s="273">
        <f t="shared" si="1106"/>
        <v>0</v>
      </c>
      <c r="O1770" s="1290"/>
      <c r="P1770" s="1290"/>
      <c r="Q1770" s="1290"/>
      <c r="R1770" s="1290"/>
      <c r="S1770" s="6">
        <f t="shared" si="1107"/>
        <v>0</v>
      </c>
      <c r="T1770" s="273">
        <f t="shared" si="1113"/>
        <v>0</v>
      </c>
      <c r="U1770" s="1290">
        <f t="shared" si="1108"/>
        <v>0</v>
      </c>
      <c r="V1770" s="1290"/>
      <c r="W1770" s="6">
        <f t="shared" si="1109"/>
        <v>0</v>
      </c>
      <c r="X1770" s="1290"/>
      <c r="Y1770" s="1290"/>
      <c r="Z1770" s="1290"/>
      <c r="AA1770" s="1290"/>
      <c r="AB1770" s="1290"/>
      <c r="AC1770" s="1290"/>
      <c r="AD1770" s="1290"/>
      <c r="AE1770" s="1290"/>
      <c r="AF1770" s="1290"/>
      <c r="AG1770" s="1290"/>
      <c r="AH1770" s="1290"/>
      <c r="AI1770" s="1290"/>
      <c r="AJ1770" s="1290"/>
      <c r="AK1770" s="1290"/>
      <c r="AL1770" s="1290"/>
      <c r="AM1770" s="1290"/>
      <c r="AN1770" s="1290"/>
      <c r="AO1770" s="1290"/>
      <c r="AP1770" s="1290"/>
      <c r="AQ1770" s="1290"/>
      <c r="AR1770" s="1290"/>
      <c r="AS1770" s="1290"/>
      <c r="AT1770" s="1290"/>
      <c r="AU1770" s="1290"/>
      <c r="AV1770" s="1290"/>
      <c r="AW1770" s="2"/>
      <c r="AX1770" s="1290"/>
      <c r="AY1770" s="6">
        <f>ROUND(AX1770/1000/Update!$B$31*Update!$B$27,0)</f>
        <v>0</v>
      </c>
      <c r="AZ1770" s="2"/>
      <c r="BA1770" s="1290"/>
      <c r="BB1770" s="6">
        <f>ROUND(BA1770/1000/Update!$B$31,0)</f>
        <v>0</v>
      </c>
      <c r="BC1770" s="1290"/>
      <c r="BD1770" s="29">
        <f t="shared" si="1110"/>
        <v>0</v>
      </c>
      <c r="BE1770" s="1455"/>
      <c r="BF1770" s="1455"/>
      <c r="BG1770" s="1455"/>
      <c r="BH1770" s="1455"/>
      <c r="BI1770" s="1455"/>
      <c r="BJ1770" s="1455"/>
      <c r="BK1770" s="29">
        <f t="shared" si="1111"/>
        <v>0</v>
      </c>
      <c r="BL1770" s="1455"/>
      <c r="BM1770" s="1455"/>
      <c r="BN1770" s="1455"/>
      <c r="BO1770" s="1455"/>
      <c r="BP1770" s="1455"/>
      <c r="BQ1770" s="1455"/>
      <c r="BR1770" s="1455"/>
      <c r="BS1770" s="1455"/>
      <c r="BT1770" s="1455"/>
      <c r="BU1770" s="1455"/>
      <c r="BV1770" s="1455"/>
      <c r="BW1770" s="1455"/>
      <c r="BX1770" s="1455"/>
      <c r="BY1770" s="1455"/>
      <c r="BZ1770" s="1455"/>
      <c r="CA1770" s="1455"/>
      <c r="CB1770" s="1455"/>
      <c r="CC1770" s="1455"/>
      <c r="CD1770" s="1455"/>
      <c r="CE1770" s="1455"/>
      <c r="CF1770" s="1455"/>
      <c r="CG1770" s="1191"/>
      <c r="CH1770" s="1455"/>
      <c r="CI1770" s="1455"/>
      <c r="CJ1770" s="2"/>
      <c r="CK1770" s="2"/>
      <c r="CM1770" s="1140">
        <f t="shared" si="1092"/>
        <v>0</v>
      </c>
      <c r="CN1770" s="1140">
        <v>0</v>
      </c>
      <c r="CP1770" s="923">
        <f t="shared" si="1091"/>
        <v>0</v>
      </c>
      <c r="CZ1770" s="1456"/>
    </row>
    <row r="1771" spans="1:104" ht="15" customHeight="1" x14ac:dyDescent="0.25">
      <c r="A1771" s="684">
        <f>MAX($A$6:A1770)+1</f>
        <v>1771</v>
      </c>
      <c r="B1771" s="3">
        <f>B1770</f>
        <v>22.1</v>
      </c>
      <c r="C1771" s="11" t="str">
        <f t="shared" si="1112"/>
        <v>Revenue Resource Limit</v>
      </c>
      <c r="D1771" s="11"/>
      <c r="E1771" s="1269" t="str">
        <f>+J1771</f>
        <v>Other (please specify)</v>
      </c>
      <c r="F1771" s="13"/>
      <c r="G1771" s="1254" t="s">
        <v>286</v>
      </c>
      <c r="H1771" s="1510"/>
      <c r="I1771" s="1510"/>
      <c r="J1771" s="1269" t="s">
        <v>2547</v>
      </c>
      <c r="K1771" s="1185">
        <f>SUMIF('alb Note 22 - RRL &amp; CRL'!$A$13:$A$48,J1771,'alb Note 22 - RRL &amp; CRL'!$C$13:$C$48)</f>
        <v>0</v>
      </c>
      <c r="L1771" s="1454"/>
      <c r="M1771" s="1290"/>
      <c r="N1771" s="273">
        <f t="shared" si="1106"/>
        <v>0</v>
      </c>
      <c r="O1771" s="1290"/>
      <c r="P1771" s="1290"/>
      <c r="Q1771" s="1290"/>
      <c r="R1771" s="1290"/>
      <c r="S1771" s="6">
        <f t="shared" si="1107"/>
        <v>0</v>
      </c>
      <c r="T1771" s="273">
        <f t="shared" si="1113"/>
        <v>0</v>
      </c>
      <c r="U1771" s="1290">
        <f t="shared" si="1108"/>
        <v>0</v>
      </c>
      <c r="V1771" s="1290"/>
      <c r="W1771" s="6">
        <f t="shared" si="1109"/>
        <v>0</v>
      </c>
      <c r="X1771" s="1290"/>
      <c r="Y1771" s="1290"/>
      <c r="Z1771" s="1290"/>
      <c r="AA1771" s="1290"/>
      <c r="AB1771" s="1290"/>
      <c r="AC1771" s="1290"/>
      <c r="AD1771" s="1290"/>
      <c r="AE1771" s="1290"/>
      <c r="AF1771" s="1290"/>
      <c r="AG1771" s="1290"/>
      <c r="AH1771" s="1290"/>
      <c r="AI1771" s="1290"/>
      <c r="AJ1771" s="1290"/>
      <c r="AK1771" s="1290"/>
      <c r="AL1771" s="1290"/>
      <c r="AM1771" s="1290"/>
      <c r="AN1771" s="1290"/>
      <c r="AO1771" s="1290"/>
      <c r="AP1771" s="1290"/>
      <c r="AQ1771" s="1290"/>
      <c r="AR1771" s="1290"/>
      <c r="AS1771" s="1290"/>
      <c r="AT1771" s="1290"/>
      <c r="AU1771" s="1290"/>
      <c r="AV1771" s="1290"/>
      <c r="AW1771" s="2"/>
      <c r="AX1771" s="1290"/>
      <c r="AY1771" s="6">
        <f>ROUND(AX1771/1000/Update!$B$31*Update!$B$27,0)</f>
        <v>0</v>
      </c>
      <c r="AZ1771" s="2"/>
      <c r="BA1771" s="1290"/>
      <c r="BB1771" s="6">
        <f>ROUND(BA1771/1000/Update!$B$31,0)</f>
        <v>0</v>
      </c>
      <c r="BC1771" s="1290"/>
      <c r="BD1771" s="29">
        <f t="shared" si="1110"/>
        <v>0</v>
      </c>
      <c r="BE1771" s="1455"/>
      <c r="BF1771" s="1455"/>
      <c r="BG1771" s="1455"/>
      <c r="BH1771" s="1455"/>
      <c r="BI1771" s="1455"/>
      <c r="BJ1771" s="1455"/>
      <c r="BK1771" s="29">
        <f t="shared" si="1111"/>
        <v>0</v>
      </c>
      <c r="BL1771" s="1455"/>
      <c r="BM1771" s="1455"/>
      <c r="BN1771" s="1455"/>
      <c r="BO1771" s="1455"/>
      <c r="BP1771" s="1455"/>
      <c r="BQ1771" s="1455"/>
      <c r="BR1771" s="1455"/>
      <c r="BS1771" s="1455"/>
      <c r="BT1771" s="1455"/>
      <c r="BU1771" s="1455"/>
      <c r="BV1771" s="1455"/>
      <c r="BW1771" s="1455"/>
      <c r="BX1771" s="1455"/>
      <c r="BY1771" s="1455"/>
      <c r="BZ1771" s="1455"/>
      <c r="CA1771" s="1455"/>
      <c r="CB1771" s="1455"/>
      <c r="CC1771" s="1455"/>
      <c r="CD1771" s="1455"/>
      <c r="CE1771" s="1455"/>
      <c r="CF1771" s="1455"/>
      <c r="CG1771" s="1191"/>
      <c r="CH1771" s="1455"/>
      <c r="CI1771" s="1455"/>
      <c r="CJ1771" s="2"/>
      <c r="CK1771" s="2"/>
      <c r="CM1771" s="1140">
        <f t="shared" si="1092"/>
        <v>0</v>
      </c>
      <c r="CN1771" s="1140">
        <v>0</v>
      </c>
      <c r="CP1771" s="923">
        <f t="shared" si="1091"/>
        <v>0</v>
      </c>
      <c r="CZ1771" s="1456"/>
    </row>
    <row r="1772" spans="1:104" ht="15" customHeight="1" x14ac:dyDescent="0.25">
      <c r="A1772" s="684">
        <f>MAX($A$6:A1771)+1</f>
        <v>1772</v>
      </c>
      <c r="B1772" s="3">
        <f>B1771</f>
        <v>22.1</v>
      </c>
      <c r="C1772" s="11" t="str">
        <f t="shared" si="1112"/>
        <v>Revenue Resource Limit</v>
      </c>
      <c r="D1772" s="11"/>
      <c r="E1772" s="1269">
        <f>+J1772</f>
        <v>0</v>
      </c>
      <c r="F1772" s="13"/>
      <c r="G1772" s="1254" t="s">
        <v>286</v>
      </c>
      <c r="H1772" s="1510"/>
      <c r="I1772" s="1510"/>
      <c r="J1772" s="1269">
        <f>+'alb Note 22 - RRL &amp; CRL'!A18</f>
        <v>0</v>
      </c>
      <c r="K1772" s="1185">
        <f>SUMIF('alb Note 22 - RRL &amp; CRL'!$A$13:$A$48,J1772,'alb Note 22 - RRL &amp; CRL'!$C$13:$C$48)</f>
        <v>0</v>
      </c>
      <c r="L1772" s="1454"/>
      <c r="M1772" s="1290"/>
      <c r="N1772" s="273">
        <f t="shared" si="1106"/>
        <v>0</v>
      </c>
      <c r="O1772" s="1290"/>
      <c r="P1772" s="1290"/>
      <c r="Q1772" s="1290"/>
      <c r="R1772" s="1290"/>
      <c r="S1772" s="6">
        <f t="shared" si="1107"/>
        <v>0</v>
      </c>
      <c r="T1772" s="273">
        <f>ROUND(SUM(U1772:Y1772),0)</f>
        <v>0</v>
      </c>
      <c r="U1772" s="1290">
        <f t="shared" si="1108"/>
        <v>0</v>
      </c>
      <c r="V1772" s="1290"/>
      <c r="W1772" s="6">
        <f t="shared" si="1109"/>
        <v>0</v>
      </c>
      <c r="X1772" s="1290"/>
      <c r="Y1772" s="1290"/>
      <c r="Z1772" s="1290"/>
      <c r="AA1772" s="1290"/>
      <c r="AB1772" s="1290"/>
      <c r="AC1772" s="1290"/>
      <c r="AD1772" s="1290"/>
      <c r="AE1772" s="1290"/>
      <c r="AF1772" s="1290"/>
      <c r="AG1772" s="1290"/>
      <c r="AH1772" s="1290"/>
      <c r="AI1772" s="1290"/>
      <c r="AJ1772" s="1290"/>
      <c r="AK1772" s="1290"/>
      <c r="AL1772" s="1290"/>
      <c r="AM1772" s="1290"/>
      <c r="AN1772" s="1290"/>
      <c r="AO1772" s="1290"/>
      <c r="AP1772" s="1290"/>
      <c r="AQ1772" s="1290"/>
      <c r="AR1772" s="1290"/>
      <c r="AS1772" s="1290"/>
      <c r="AT1772" s="1290"/>
      <c r="AU1772" s="1290"/>
      <c r="AV1772" s="1290"/>
      <c r="AW1772" s="2"/>
      <c r="AX1772" s="1290"/>
      <c r="AY1772" s="6">
        <f>ROUND(AX1772/1000/Update!$B$31*Update!$B$27,0)</f>
        <v>0</v>
      </c>
      <c r="AZ1772" s="2"/>
      <c r="BA1772" s="1290"/>
      <c r="BB1772" s="6">
        <f>ROUND(BA1772/1000/Update!$B$31,0)</f>
        <v>0</v>
      </c>
      <c r="BC1772" s="1290"/>
      <c r="BD1772" s="29">
        <f t="shared" si="1110"/>
        <v>0</v>
      </c>
      <c r="BE1772" s="1455"/>
      <c r="BF1772" s="1455"/>
      <c r="BG1772" s="1455"/>
      <c r="BH1772" s="1455"/>
      <c r="BI1772" s="1455"/>
      <c r="BJ1772" s="1455"/>
      <c r="BK1772" s="29">
        <f t="shared" si="1111"/>
        <v>0</v>
      </c>
      <c r="BL1772" s="1455"/>
      <c r="BM1772" s="1455"/>
      <c r="BN1772" s="1455"/>
      <c r="BO1772" s="1455"/>
      <c r="BP1772" s="1455"/>
      <c r="BQ1772" s="1455"/>
      <c r="BR1772" s="1455"/>
      <c r="BS1772" s="1455"/>
      <c r="BT1772" s="1455"/>
      <c r="BU1772" s="1455"/>
      <c r="BV1772" s="1455"/>
      <c r="BW1772" s="1455"/>
      <c r="BX1772" s="1455"/>
      <c r="BY1772" s="1455"/>
      <c r="BZ1772" s="1455"/>
      <c r="CA1772" s="1455"/>
      <c r="CB1772" s="1455"/>
      <c r="CC1772" s="1455"/>
      <c r="CD1772" s="1455"/>
      <c r="CE1772" s="1455"/>
      <c r="CF1772" s="1191"/>
      <c r="CG1772" s="1455"/>
      <c r="CH1772" s="1455"/>
      <c r="CI1772" s="2"/>
      <c r="CJ1772" s="2"/>
      <c r="CL1772" s="1140">
        <v>0</v>
      </c>
      <c r="CM1772" s="1140">
        <f t="shared" si="1092"/>
        <v>0</v>
      </c>
      <c r="CP1772" s="923">
        <f t="shared" si="1091"/>
        <v>0</v>
      </c>
      <c r="CY1772" s="1456"/>
    </row>
    <row r="1773" spans="1:104" ht="15" customHeight="1" x14ac:dyDescent="0.25">
      <c r="A1773" s="684">
        <f>MAX($A$6:A1772)+1</f>
        <v>1773</v>
      </c>
      <c r="B1773" s="3">
        <f>B1771</f>
        <v>22.1</v>
      </c>
      <c r="C1773" s="11" t="str">
        <f>C1771</f>
        <v>Revenue Resource Limit</v>
      </c>
      <c r="D1773" s="11"/>
      <c r="E1773" s="1269">
        <f>+J1773</f>
        <v>0</v>
      </c>
      <c r="F1773" s="13"/>
      <c r="G1773" s="1254" t="s">
        <v>286</v>
      </c>
      <c r="H1773" s="1510"/>
      <c r="I1773" s="1510"/>
      <c r="J1773" s="1269">
        <f>+'alb Note 22 - RRL &amp; CRL'!A19</f>
        <v>0</v>
      </c>
      <c r="K1773" s="1185">
        <f>SUMIF('alb Note 22 - RRL &amp; CRL'!$A$13:$A$48,J1773,'alb Note 22 - RRL &amp; CRL'!$C$13:$C$48)</f>
        <v>0</v>
      </c>
      <c r="L1773" s="1454"/>
      <c r="M1773" s="1290"/>
      <c r="N1773" s="273">
        <f t="shared" si="1106"/>
        <v>0</v>
      </c>
      <c r="O1773" s="1290"/>
      <c r="P1773" s="1290"/>
      <c r="Q1773" s="1290"/>
      <c r="R1773" s="1290"/>
      <c r="S1773" s="6">
        <f t="shared" si="1107"/>
        <v>0</v>
      </c>
      <c r="T1773" s="273">
        <f t="shared" si="1113"/>
        <v>0</v>
      </c>
      <c r="U1773" s="1290">
        <f t="shared" si="1108"/>
        <v>0</v>
      </c>
      <c r="V1773" s="1290"/>
      <c r="W1773" s="6">
        <f t="shared" si="1109"/>
        <v>0</v>
      </c>
      <c r="X1773" s="1290"/>
      <c r="Y1773" s="1290"/>
      <c r="Z1773" s="1290"/>
      <c r="AA1773" s="1290"/>
      <c r="AB1773" s="1290"/>
      <c r="AC1773" s="1290"/>
      <c r="AD1773" s="1290"/>
      <c r="AE1773" s="1290"/>
      <c r="AF1773" s="1290"/>
      <c r="AG1773" s="1290"/>
      <c r="AH1773" s="1290"/>
      <c r="AI1773" s="1290"/>
      <c r="AJ1773" s="1290"/>
      <c r="AK1773" s="1290"/>
      <c r="AL1773" s="1290"/>
      <c r="AM1773" s="1290"/>
      <c r="AN1773" s="1290"/>
      <c r="AO1773" s="1290"/>
      <c r="AP1773" s="1290"/>
      <c r="AQ1773" s="1290"/>
      <c r="AR1773" s="1290"/>
      <c r="AS1773" s="1290"/>
      <c r="AT1773" s="1290"/>
      <c r="AU1773" s="1290"/>
      <c r="AV1773" s="1290"/>
      <c r="AW1773" s="2"/>
      <c r="AX1773" s="1290"/>
      <c r="AY1773" s="6">
        <f>ROUND(AX1773/1000/Update!$B$31*Update!$B$27,0)</f>
        <v>0</v>
      </c>
      <c r="AZ1773" s="2"/>
      <c r="BA1773" s="1290"/>
      <c r="BB1773" s="6">
        <f>ROUND(BA1773/1000/Update!$B$31,0)</f>
        <v>0</v>
      </c>
      <c r="BC1773" s="1290"/>
      <c r="BD1773" s="29">
        <f t="shared" si="1110"/>
        <v>0</v>
      </c>
      <c r="BE1773" s="1455"/>
      <c r="BF1773" s="1455"/>
      <c r="BG1773" s="1455"/>
      <c r="BH1773" s="1455"/>
      <c r="BI1773" s="1455"/>
      <c r="BJ1773" s="1455"/>
      <c r="BK1773" s="29">
        <f t="shared" si="1111"/>
        <v>0</v>
      </c>
      <c r="BL1773" s="1455"/>
      <c r="BM1773" s="1455"/>
      <c r="BN1773" s="1455"/>
      <c r="BO1773" s="1455"/>
      <c r="BP1773" s="1455"/>
      <c r="BQ1773" s="1455"/>
      <c r="BR1773" s="1455"/>
      <c r="BS1773" s="1455"/>
      <c r="BT1773" s="1455"/>
      <c r="BU1773" s="1455"/>
      <c r="BV1773" s="1455"/>
      <c r="BW1773" s="1455"/>
      <c r="BX1773" s="1455"/>
      <c r="BY1773" s="1455"/>
      <c r="BZ1773" s="1455"/>
      <c r="CA1773" s="1455"/>
      <c r="CB1773" s="1455"/>
      <c r="CC1773" s="1455"/>
      <c r="CD1773" s="1455"/>
      <c r="CE1773" s="1455"/>
      <c r="CF1773" s="1455"/>
      <c r="CG1773" s="1191"/>
      <c r="CH1773" s="1455"/>
      <c r="CI1773" s="1455"/>
      <c r="CJ1773" s="2"/>
      <c r="CK1773" s="2"/>
      <c r="CM1773" s="1140">
        <f t="shared" si="1092"/>
        <v>0</v>
      </c>
      <c r="CN1773" s="1140">
        <v>0</v>
      </c>
      <c r="CP1773" s="923">
        <f t="shared" si="1091"/>
        <v>0</v>
      </c>
      <c r="CZ1773" s="1456"/>
    </row>
    <row r="1774" spans="1:104" ht="15" customHeight="1" x14ac:dyDescent="0.25">
      <c r="A1774" s="701">
        <f>MAX($A$6:A1773)+1</f>
        <v>1774</v>
      </c>
      <c r="B1774" s="1291">
        <f>B1773</f>
        <v>22.1</v>
      </c>
      <c r="C1774" s="18" t="str">
        <f t="shared" si="1112"/>
        <v>Revenue Resource Limit</v>
      </c>
      <c r="D1774" s="18"/>
      <c r="E1774" s="1511" t="s">
        <v>2548</v>
      </c>
      <c r="F1774" s="19"/>
      <c r="G1774" s="28" t="s">
        <v>286</v>
      </c>
      <c r="H1774" s="14"/>
      <c r="I1774" s="14"/>
      <c r="J1774" s="1511" t="s">
        <v>2548</v>
      </c>
      <c r="K1774" s="1185">
        <f>SUMIF('alb Note 22 - RRL &amp; CRL'!$A$13:$A$48,J1774,'alb Note 22 - RRL &amp; CRL'!$C$13:$C$48)</f>
        <v>0</v>
      </c>
      <c r="L1774" s="256"/>
      <c r="M1774" s="14"/>
      <c r="N1774" s="14">
        <f t="shared" si="1106"/>
        <v>0</v>
      </c>
      <c r="O1774" s="14"/>
      <c r="P1774" s="14"/>
      <c r="Q1774" s="14"/>
      <c r="R1774" s="14"/>
      <c r="S1774" s="14">
        <f t="shared" si="1107"/>
        <v>0</v>
      </c>
      <c r="T1774" s="14">
        <f t="shared" si="1113"/>
        <v>0</v>
      </c>
      <c r="U1774" s="14">
        <f t="shared" si="1108"/>
        <v>0</v>
      </c>
      <c r="V1774" s="14"/>
      <c r="W1774" s="14">
        <f t="shared" si="1109"/>
        <v>0</v>
      </c>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2"/>
      <c r="AX1774" s="14"/>
      <c r="AY1774" s="14">
        <f>ROUND(AX1774/1000/Update!$B$31*Update!$B$27,0)</f>
        <v>0</v>
      </c>
      <c r="AZ1774" s="2"/>
      <c r="BA1774" s="14"/>
      <c r="BB1774" s="14">
        <f>ROUND(BA1774/1000/Update!$B$31,0)</f>
        <v>0</v>
      </c>
      <c r="BC1774" s="14"/>
      <c r="BD1774" s="14">
        <f t="shared" si="1110"/>
        <v>0</v>
      </c>
      <c r="BE1774" s="318"/>
      <c r="BF1774" s="318"/>
      <c r="BG1774" s="318"/>
      <c r="BH1774" s="318"/>
      <c r="BI1774" s="318"/>
      <c r="BJ1774" s="318"/>
      <c r="BK1774" s="14">
        <f t="shared" si="1111"/>
        <v>0</v>
      </c>
      <c r="BL1774" s="318"/>
      <c r="BM1774" s="318"/>
      <c r="BN1774" s="318"/>
      <c r="BO1774" s="318"/>
      <c r="BP1774" s="318"/>
      <c r="BQ1774" s="318"/>
      <c r="BR1774" s="318"/>
      <c r="BS1774" s="318"/>
      <c r="BT1774" s="318"/>
      <c r="BU1774" s="318"/>
      <c r="BV1774" s="318"/>
      <c r="BW1774" s="318"/>
      <c r="BX1774" s="318"/>
      <c r="BY1774" s="318"/>
      <c r="BZ1774" s="318"/>
      <c r="CA1774" s="318"/>
      <c r="CB1774" s="318"/>
      <c r="CC1774" s="318"/>
      <c r="CD1774" s="318"/>
      <c r="CE1774" s="318"/>
      <c r="CF1774" s="318"/>
      <c r="CG1774" s="318"/>
      <c r="CH1774" s="318"/>
      <c r="CI1774" s="318"/>
      <c r="CJ1774" s="2"/>
      <c r="CK1774" s="2"/>
      <c r="CM1774" s="1140">
        <f t="shared" si="1092"/>
        <v>0</v>
      </c>
      <c r="CN1774" s="1140">
        <v>0</v>
      </c>
      <c r="CP1774" s="923">
        <f t="shared" si="1091"/>
        <v>0</v>
      </c>
      <c r="CZ1774" s="330"/>
    </row>
    <row r="1775" spans="1:104" x14ac:dyDescent="0.25">
      <c r="A1775" s="684">
        <f>MAX($A$6:A1774)+1</f>
        <v>1775</v>
      </c>
      <c r="B1775" s="3">
        <f>B1774</f>
        <v>22.1</v>
      </c>
      <c r="C1775" s="11" t="str">
        <f t="shared" si="1112"/>
        <v>Revenue Resource Limit</v>
      </c>
      <c r="D1775" s="11"/>
      <c r="E1775" s="1269" t="str">
        <f>+J1775</f>
        <v>Organisation (please specify)</v>
      </c>
      <c r="F1775" s="13"/>
      <c r="G1775" s="1254" t="s">
        <v>286</v>
      </c>
      <c r="H1775" s="1510"/>
      <c r="I1775" s="1510"/>
      <c r="J1775" s="1269" t="s">
        <v>2761</v>
      </c>
      <c r="K1775" s="1185">
        <f>SUMIF('alb Note 22 - RRL &amp; CRL'!$A$13:$A$48,J1775,'alb Note 22 - RRL &amp; CRL'!$C$13:$C$48)</f>
        <v>0</v>
      </c>
      <c r="L1775" s="1454"/>
      <c r="M1775" s="1290"/>
      <c r="N1775" s="273">
        <f t="shared" si="1106"/>
        <v>0</v>
      </c>
      <c r="O1775" s="1290"/>
      <c r="P1775" s="1290"/>
      <c r="Q1775" s="1290"/>
      <c r="R1775" s="1290"/>
      <c r="S1775" s="6">
        <f t="shared" si="1107"/>
        <v>0</v>
      </c>
      <c r="T1775" s="273">
        <f t="shared" si="1113"/>
        <v>0</v>
      </c>
      <c r="U1775" s="1290">
        <f t="shared" si="1108"/>
        <v>0</v>
      </c>
      <c r="V1775" s="1290"/>
      <c r="W1775" s="6">
        <f t="shared" si="1109"/>
        <v>0</v>
      </c>
      <c r="X1775" s="1290"/>
      <c r="Y1775" s="1290"/>
      <c r="Z1775" s="1290"/>
      <c r="AA1775" s="1290"/>
      <c r="AB1775" s="1290"/>
      <c r="AC1775" s="1290"/>
      <c r="AD1775" s="1290"/>
      <c r="AE1775" s="1290"/>
      <c r="AF1775" s="1290"/>
      <c r="AG1775" s="1290"/>
      <c r="AH1775" s="1290"/>
      <c r="AI1775" s="1290"/>
      <c r="AJ1775" s="1290"/>
      <c r="AK1775" s="1290"/>
      <c r="AL1775" s="1290"/>
      <c r="AM1775" s="1290"/>
      <c r="AN1775" s="1290"/>
      <c r="AO1775" s="1290"/>
      <c r="AP1775" s="1290"/>
      <c r="AQ1775" s="1290"/>
      <c r="AR1775" s="1290"/>
      <c r="AS1775" s="1290"/>
      <c r="AT1775" s="1290"/>
      <c r="AU1775" s="1290"/>
      <c r="AV1775" s="1290"/>
      <c r="AW1775" s="2"/>
      <c r="AX1775" s="1290"/>
      <c r="AY1775" s="6">
        <f>ROUND(AX1775/1000/Update!$B$31*Update!$B$27,0)</f>
        <v>0</v>
      </c>
      <c r="AZ1775" s="2"/>
      <c r="BA1775" s="1290"/>
      <c r="BB1775" s="6">
        <f>ROUND(BA1775/1000/Update!$B$31,0)</f>
        <v>0</v>
      </c>
      <c r="BC1775" s="1290"/>
      <c r="BD1775" s="29">
        <f t="shared" si="1110"/>
        <v>0</v>
      </c>
      <c r="BE1775" s="1455"/>
      <c r="BF1775" s="1455"/>
      <c r="BG1775" s="1455"/>
      <c r="BH1775" s="1455"/>
      <c r="BI1775" s="1455"/>
      <c r="BJ1775" s="1455"/>
      <c r="BK1775" s="29">
        <f t="shared" si="1111"/>
        <v>0</v>
      </c>
      <c r="BL1775" s="1455"/>
      <c r="BM1775" s="1455"/>
      <c r="BN1775" s="1455"/>
      <c r="BO1775" s="1455"/>
      <c r="BP1775" s="1455"/>
      <c r="BQ1775" s="1455"/>
      <c r="BR1775" s="1455"/>
      <c r="BS1775" s="1455"/>
      <c r="BT1775" s="1455"/>
      <c r="BU1775" s="1455"/>
      <c r="BV1775" s="1455"/>
      <c r="BW1775" s="1455"/>
      <c r="BX1775" s="1455"/>
      <c r="BY1775" s="1455"/>
      <c r="BZ1775" s="1455"/>
      <c r="CA1775" s="1455"/>
      <c r="CB1775" s="1455"/>
      <c r="CC1775" s="1455"/>
      <c r="CD1775" s="1455"/>
      <c r="CE1775" s="1455"/>
      <c r="CF1775" s="1455"/>
      <c r="CG1775" s="1191"/>
      <c r="CH1775" s="1455"/>
      <c r="CI1775" s="1455"/>
      <c r="CJ1775" s="2"/>
      <c r="CK1775" s="2"/>
      <c r="CM1775" s="1140">
        <f t="shared" si="1092"/>
        <v>0</v>
      </c>
      <c r="CN1775" s="1140">
        <v>0</v>
      </c>
      <c r="CP1775" s="923">
        <f t="shared" si="1091"/>
        <v>0</v>
      </c>
      <c r="CZ1775" s="1456"/>
    </row>
    <row r="1776" spans="1:104" x14ac:dyDescent="0.25">
      <c r="A1776" s="684">
        <f>MAX($A$6:A1775)+1</f>
        <v>1776</v>
      </c>
      <c r="B1776" s="3">
        <f t="shared" ref="B1776:B1781" si="1114">B1775</f>
        <v>22.1</v>
      </c>
      <c r="C1776" s="11" t="str">
        <f t="shared" si="1112"/>
        <v>Revenue Resource Limit</v>
      </c>
      <c r="D1776" s="11"/>
      <c r="E1776" s="1269">
        <f t="shared" ref="E1776:E1780" si="1115">+J1776</f>
        <v>0</v>
      </c>
      <c r="F1776" s="13"/>
      <c r="G1776" s="1254" t="s">
        <v>286</v>
      </c>
      <c r="H1776" s="1510"/>
      <c r="I1776" s="1510"/>
      <c r="J1776" s="1269">
        <f>+'alb Note 22 - RRL &amp; CRL'!A24</f>
        <v>0</v>
      </c>
      <c r="K1776" s="1185">
        <f>SUMIF('alb Note 22 - RRL &amp; CRL'!$A$13:$A$48,J1776,'alb Note 22 - RRL &amp; CRL'!$C$13:$C$48)</f>
        <v>0</v>
      </c>
      <c r="L1776" s="1454"/>
      <c r="M1776" s="1290"/>
      <c r="N1776" s="273">
        <f t="shared" ref="N1776:N1780" si="1116">ROUND(SUM(O1776:S1776)+T1776+SUM(Z1776:AV1776),0)</f>
        <v>1000</v>
      </c>
      <c r="O1776" s="1290"/>
      <c r="P1776" s="1290"/>
      <c r="Q1776" s="1290"/>
      <c r="R1776" s="1290"/>
      <c r="S1776" s="6"/>
      <c r="T1776" s="273">
        <f t="shared" si="1113"/>
        <v>1000</v>
      </c>
      <c r="U1776" s="1290"/>
      <c r="V1776" s="1290"/>
      <c r="W1776" s="6"/>
      <c r="X1776" s="1290">
        <v>1000</v>
      </c>
      <c r="Y1776" s="1290"/>
      <c r="Z1776" s="1290"/>
      <c r="AA1776" s="1290"/>
      <c r="AB1776" s="1290"/>
      <c r="AC1776" s="1290"/>
      <c r="AD1776" s="1290"/>
      <c r="AE1776" s="1290"/>
      <c r="AF1776" s="1290"/>
      <c r="AG1776" s="1290"/>
      <c r="AH1776" s="1290"/>
      <c r="AI1776" s="1290"/>
      <c r="AJ1776" s="1290"/>
      <c r="AK1776" s="1290"/>
      <c r="AL1776" s="1290"/>
      <c r="AM1776" s="1290"/>
      <c r="AN1776" s="1290"/>
      <c r="AO1776" s="1290"/>
      <c r="AP1776" s="1290"/>
      <c r="AQ1776" s="1290"/>
      <c r="AR1776" s="1290"/>
      <c r="AS1776" s="1290"/>
      <c r="AT1776" s="1290"/>
      <c r="AU1776" s="1290"/>
      <c r="AV1776" s="1290"/>
      <c r="AW1776" s="2"/>
      <c r="AX1776" s="1290"/>
      <c r="AY1776" s="6"/>
      <c r="AZ1776" s="2"/>
      <c r="BA1776" s="1290"/>
      <c r="BB1776" s="6"/>
      <c r="BC1776" s="1290"/>
      <c r="BD1776" s="29"/>
      <c r="BE1776" s="1455"/>
      <c r="BF1776" s="1455"/>
      <c r="BG1776" s="1455"/>
      <c r="BH1776" s="1455"/>
      <c r="BI1776" s="1455"/>
      <c r="BJ1776" s="1455"/>
      <c r="BK1776" s="29"/>
      <c r="BL1776" s="1455"/>
      <c r="BM1776" s="1455"/>
      <c r="BN1776" s="1455"/>
      <c r="BO1776" s="1455"/>
      <c r="BP1776" s="1455"/>
      <c r="BQ1776" s="1455"/>
      <c r="BR1776" s="1455"/>
      <c r="BS1776" s="1455"/>
      <c r="BT1776" s="1455"/>
      <c r="BU1776" s="1455"/>
      <c r="BV1776" s="1455"/>
      <c r="BW1776" s="1455"/>
      <c r="BX1776" s="1455"/>
      <c r="BY1776" s="1455"/>
      <c r="BZ1776" s="1455"/>
      <c r="CA1776" s="1455"/>
      <c r="CB1776" s="1455"/>
      <c r="CC1776" s="1455"/>
      <c r="CD1776" s="1455"/>
      <c r="CE1776" s="1455"/>
      <c r="CF1776" s="1455"/>
      <c r="CG1776" s="1191"/>
      <c r="CH1776" s="1455"/>
      <c r="CI1776" s="1455"/>
      <c r="CJ1776" s="2"/>
      <c r="CK1776" s="2"/>
      <c r="CM1776" s="1140">
        <f t="shared" si="1092"/>
        <v>0</v>
      </c>
      <c r="CN1776" s="1140"/>
      <c r="CP1776" s="923">
        <f t="shared" si="1091"/>
        <v>0</v>
      </c>
      <c r="CZ1776" s="1456"/>
    </row>
    <row r="1777" spans="1:104" x14ac:dyDescent="0.25">
      <c r="A1777" s="684">
        <f>MAX($A$6:A1776)+1</f>
        <v>1777</v>
      </c>
      <c r="B1777" s="3">
        <f t="shared" si="1114"/>
        <v>22.1</v>
      </c>
      <c r="C1777" s="11" t="str">
        <f t="shared" si="1112"/>
        <v>Revenue Resource Limit</v>
      </c>
      <c r="D1777" s="11"/>
      <c r="E1777" s="1269">
        <f t="shared" si="1115"/>
        <v>0</v>
      </c>
      <c r="F1777" s="13"/>
      <c r="G1777" s="1254" t="s">
        <v>286</v>
      </c>
      <c r="H1777" s="1510"/>
      <c r="I1777" s="1510"/>
      <c r="J1777" s="1269">
        <f>+'alb Note 22 - RRL &amp; CRL'!A25</f>
        <v>0</v>
      </c>
      <c r="K1777" s="1185">
        <f>SUMIF('alb Note 22 - RRL &amp; CRL'!$A$13:$A$48,J1777,'alb Note 22 - RRL &amp; CRL'!$C$13:$C$48)</f>
        <v>0</v>
      </c>
      <c r="L1777" s="1454"/>
      <c r="M1777" s="1290"/>
      <c r="N1777" s="273">
        <f t="shared" si="1116"/>
        <v>2000</v>
      </c>
      <c r="O1777" s="1290"/>
      <c r="P1777" s="1290"/>
      <c r="Q1777" s="1290"/>
      <c r="R1777" s="1290"/>
      <c r="S1777" s="6"/>
      <c r="T1777" s="273">
        <f t="shared" si="1113"/>
        <v>2000</v>
      </c>
      <c r="U1777" s="1290"/>
      <c r="V1777" s="1290"/>
      <c r="W1777" s="6"/>
      <c r="X1777" s="1290">
        <v>2000</v>
      </c>
      <c r="Y1777" s="1290"/>
      <c r="Z1777" s="1290"/>
      <c r="AA1777" s="1290"/>
      <c r="AB1777" s="1290"/>
      <c r="AC1777" s="1290"/>
      <c r="AD1777" s="1290"/>
      <c r="AE1777" s="1290"/>
      <c r="AF1777" s="1290"/>
      <c r="AG1777" s="1290"/>
      <c r="AH1777" s="1290"/>
      <c r="AI1777" s="1290"/>
      <c r="AJ1777" s="1290"/>
      <c r="AK1777" s="1290"/>
      <c r="AL1777" s="1290"/>
      <c r="AM1777" s="1290"/>
      <c r="AN1777" s="1290"/>
      <c r="AO1777" s="1290"/>
      <c r="AP1777" s="1290"/>
      <c r="AQ1777" s="1290"/>
      <c r="AR1777" s="1290"/>
      <c r="AS1777" s="1290"/>
      <c r="AT1777" s="1290"/>
      <c r="AU1777" s="1290"/>
      <c r="AV1777" s="1290"/>
      <c r="AW1777" s="2"/>
      <c r="AX1777" s="1290"/>
      <c r="AY1777" s="6"/>
      <c r="AZ1777" s="2"/>
      <c r="BA1777" s="1290"/>
      <c r="BB1777" s="6"/>
      <c r="BC1777" s="1290"/>
      <c r="BD1777" s="29"/>
      <c r="BE1777" s="1455"/>
      <c r="BF1777" s="1455"/>
      <c r="BG1777" s="1455"/>
      <c r="BH1777" s="1455"/>
      <c r="BI1777" s="1455"/>
      <c r="BJ1777" s="1455"/>
      <c r="BK1777" s="29"/>
      <c r="BL1777" s="1455"/>
      <c r="BM1777" s="1455"/>
      <c r="BN1777" s="1455"/>
      <c r="BO1777" s="1455"/>
      <c r="BP1777" s="1455"/>
      <c r="BQ1777" s="1455"/>
      <c r="BR1777" s="1455"/>
      <c r="BS1777" s="1455"/>
      <c r="BT1777" s="1455"/>
      <c r="BU1777" s="1455"/>
      <c r="BV1777" s="1455"/>
      <c r="BW1777" s="1455"/>
      <c r="BX1777" s="1455"/>
      <c r="BY1777" s="1455"/>
      <c r="BZ1777" s="1455"/>
      <c r="CA1777" s="1455"/>
      <c r="CB1777" s="1455"/>
      <c r="CC1777" s="1455"/>
      <c r="CD1777" s="1455"/>
      <c r="CE1777" s="1455"/>
      <c r="CF1777" s="1455"/>
      <c r="CG1777" s="1191"/>
      <c r="CH1777" s="1455"/>
      <c r="CI1777" s="1455"/>
      <c r="CJ1777" s="2"/>
      <c r="CK1777" s="2"/>
      <c r="CM1777" s="1140">
        <f t="shared" si="1092"/>
        <v>0</v>
      </c>
      <c r="CN1777" s="1140"/>
      <c r="CP1777" s="923">
        <f t="shared" si="1091"/>
        <v>0</v>
      </c>
      <c r="CZ1777" s="1456"/>
    </row>
    <row r="1778" spans="1:104" x14ac:dyDescent="0.25">
      <c r="A1778" s="684">
        <f>MAX($A$6:A1777)+1</f>
        <v>1778</v>
      </c>
      <c r="B1778" s="3">
        <f t="shared" si="1114"/>
        <v>22.1</v>
      </c>
      <c r="C1778" s="11" t="str">
        <f t="shared" si="1112"/>
        <v>Revenue Resource Limit</v>
      </c>
      <c r="D1778" s="11"/>
      <c r="E1778" s="1269">
        <f t="shared" si="1115"/>
        <v>0</v>
      </c>
      <c r="F1778" s="13"/>
      <c r="G1778" s="1254" t="s">
        <v>286</v>
      </c>
      <c r="H1778" s="1510"/>
      <c r="I1778" s="1510"/>
      <c r="J1778" s="1269">
        <f>+'alb Note 22 - RRL &amp; CRL'!A26</f>
        <v>0</v>
      </c>
      <c r="K1778" s="1185">
        <f>SUMIF('alb Note 22 - RRL &amp; CRL'!$A$13:$A$48,J1778,'alb Note 22 - RRL &amp; CRL'!$C$13:$C$48)</f>
        <v>0</v>
      </c>
      <c r="L1778" s="1454"/>
      <c r="M1778" s="1290"/>
      <c r="N1778" s="273">
        <f t="shared" si="1116"/>
        <v>3000</v>
      </c>
      <c r="O1778" s="1290"/>
      <c r="P1778" s="1290"/>
      <c r="Q1778" s="1290"/>
      <c r="R1778" s="1290"/>
      <c r="S1778" s="6"/>
      <c r="T1778" s="273">
        <f t="shared" si="1113"/>
        <v>3000</v>
      </c>
      <c r="U1778" s="1290"/>
      <c r="V1778" s="1290"/>
      <c r="W1778" s="6"/>
      <c r="X1778" s="1290">
        <v>3000</v>
      </c>
      <c r="Y1778" s="1290"/>
      <c r="Z1778" s="1290"/>
      <c r="AA1778" s="1290"/>
      <c r="AB1778" s="1290"/>
      <c r="AC1778" s="1290"/>
      <c r="AD1778" s="1290"/>
      <c r="AE1778" s="1290"/>
      <c r="AF1778" s="1290"/>
      <c r="AG1778" s="1290"/>
      <c r="AH1778" s="1290"/>
      <c r="AI1778" s="1290"/>
      <c r="AJ1778" s="1290"/>
      <c r="AK1778" s="1290"/>
      <c r="AL1778" s="1290"/>
      <c r="AM1778" s="1290"/>
      <c r="AN1778" s="1290"/>
      <c r="AO1778" s="1290"/>
      <c r="AP1778" s="1290"/>
      <c r="AQ1778" s="1290"/>
      <c r="AR1778" s="1290"/>
      <c r="AS1778" s="1290"/>
      <c r="AT1778" s="1290"/>
      <c r="AU1778" s="1290"/>
      <c r="AV1778" s="1290"/>
      <c r="AW1778" s="2"/>
      <c r="AX1778" s="1290"/>
      <c r="AY1778" s="6"/>
      <c r="AZ1778" s="2"/>
      <c r="BA1778" s="1290"/>
      <c r="BB1778" s="6"/>
      <c r="BC1778" s="1290"/>
      <c r="BD1778" s="29"/>
      <c r="BE1778" s="1455"/>
      <c r="BF1778" s="1455"/>
      <c r="BG1778" s="1455"/>
      <c r="BH1778" s="1455"/>
      <c r="BI1778" s="1455"/>
      <c r="BJ1778" s="1455"/>
      <c r="BK1778" s="29"/>
      <c r="BL1778" s="1455"/>
      <c r="BM1778" s="1455"/>
      <c r="BN1778" s="1455"/>
      <c r="BO1778" s="1455"/>
      <c r="BP1778" s="1455"/>
      <c r="BQ1778" s="1455"/>
      <c r="BR1778" s="1455"/>
      <c r="BS1778" s="1455"/>
      <c r="BT1778" s="1455"/>
      <c r="BU1778" s="1455"/>
      <c r="BV1778" s="1455"/>
      <c r="BW1778" s="1455"/>
      <c r="BX1778" s="1455"/>
      <c r="BY1778" s="1455"/>
      <c r="BZ1778" s="1455"/>
      <c r="CA1778" s="1455"/>
      <c r="CB1778" s="1455"/>
      <c r="CC1778" s="1455"/>
      <c r="CD1778" s="1455"/>
      <c r="CE1778" s="1455"/>
      <c r="CF1778" s="1455"/>
      <c r="CG1778" s="1191"/>
      <c r="CH1778" s="1455"/>
      <c r="CI1778" s="1455"/>
      <c r="CJ1778" s="2"/>
      <c r="CK1778" s="2"/>
      <c r="CM1778" s="1140">
        <f t="shared" si="1092"/>
        <v>0</v>
      </c>
      <c r="CN1778" s="1140"/>
      <c r="CP1778" s="923">
        <f t="shared" si="1091"/>
        <v>0</v>
      </c>
      <c r="CZ1778" s="1456"/>
    </row>
    <row r="1779" spans="1:104" x14ac:dyDescent="0.25">
      <c r="A1779" s="684">
        <f>MAX($A$6:A1778)+1</f>
        <v>1779</v>
      </c>
      <c r="B1779" s="3">
        <f t="shared" si="1114"/>
        <v>22.1</v>
      </c>
      <c r="C1779" s="11" t="str">
        <f t="shared" si="1112"/>
        <v>Revenue Resource Limit</v>
      </c>
      <c r="D1779" s="11"/>
      <c r="E1779" s="1269">
        <f t="shared" si="1115"/>
        <v>0</v>
      </c>
      <c r="F1779" s="13"/>
      <c r="G1779" s="1254" t="s">
        <v>286</v>
      </c>
      <c r="H1779" s="1510"/>
      <c r="I1779" s="1510"/>
      <c r="J1779" s="1269">
        <f>+'alb Note 22 - RRL &amp; CRL'!A27</f>
        <v>0</v>
      </c>
      <c r="K1779" s="1185">
        <f>SUMIF('alb Note 22 - RRL &amp; CRL'!$A$13:$A$48,J1779,'alb Note 22 - RRL &amp; CRL'!$C$13:$C$48)</f>
        <v>0</v>
      </c>
      <c r="L1779" s="1454"/>
      <c r="M1779" s="1290"/>
      <c r="N1779" s="273">
        <f t="shared" si="1116"/>
        <v>4000</v>
      </c>
      <c r="O1779" s="1290"/>
      <c r="P1779" s="1290"/>
      <c r="Q1779" s="1290"/>
      <c r="R1779" s="1290"/>
      <c r="S1779" s="6"/>
      <c r="T1779" s="273">
        <f t="shared" si="1113"/>
        <v>4000</v>
      </c>
      <c r="U1779" s="1290"/>
      <c r="V1779" s="1290"/>
      <c r="W1779" s="6"/>
      <c r="X1779" s="1290">
        <v>4000</v>
      </c>
      <c r="Y1779" s="1290"/>
      <c r="Z1779" s="1290"/>
      <c r="AA1779" s="1290"/>
      <c r="AB1779" s="1290"/>
      <c r="AC1779" s="1290"/>
      <c r="AD1779" s="1290"/>
      <c r="AE1779" s="1290"/>
      <c r="AF1779" s="1290"/>
      <c r="AG1779" s="1290"/>
      <c r="AH1779" s="1290"/>
      <c r="AI1779" s="1290"/>
      <c r="AJ1779" s="1290"/>
      <c r="AK1779" s="1290"/>
      <c r="AL1779" s="1290"/>
      <c r="AM1779" s="1290"/>
      <c r="AN1779" s="1290"/>
      <c r="AO1779" s="1290"/>
      <c r="AP1779" s="1290"/>
      <c r="AQ1779" s="1290"/>
      <c r="AR1779" s="1290"/>
      <c r="AS1779" s="1290"/>
      <c r="AT1779" s="1290"/>
      <c r="AU1779" s="1290"/>
      <c r="AV1779" s="1290"/>
      <c r="AW1779" s="2"/>
      <c r="AX1779" s="1290"/>
      <c r="AY1779" s="6"/>
      <c r="AZ1779" s="2"/>
      <c r="BA1779" s="1290"/>
      <c r="BB1779" s="6"/>
      <c r="BC1779" s="1290"/>
      <c r="BD1779" s="29"/>
      <c r="BE1779" s="1455"/>
      <c r="BF1779" s="1455"/>
      <c r="BG1779" s="1455"/>
      <c r="BH1779" s="1455"/>
      <c r="BI1779" s="1455"/>
      <c r="BJ1779" s="1455"/>
      <c r="BK1779" s="29"/>
      <c r="BL1779" s="1455"/>
      <c r="BM1779" s="1455"/>
      <c r="BN1779" s="1455"/>
      <c r="BO1779" s="1455"/>
      <c r="BP1779" s="1455"/>
      <c r="BQ1779" s="1455"/>
      <c r="BR1779" s="1455"/>
      <c r="BS1779" s="1455"/>
      <c r="BT1779" s="1455"/>
      <c r="BU1779" s="1455"/>
      <c r="BV1779" s="1455"/>
      <c r="BW1779" s="1455"/>
      <c r="BX1779" s="1455"/>
      <c r="BY1779" s="1455"/>
      <c r="BZ1779" s="1455"/>
      <c r="CA1779" s="1455"/>
      <c r="CB1779" s="1455"/>
      <c r="CC1779" s="1455"/>
      <c r="CD1779" s="1455"/>
      <c r="CE1779" s="1455"/>
      <c r="CF1779" s="1455"/>
      <c r="CG1779" s="1191"/>
      <c r="CH1779" s="1455"/>
      <c r="CI1779" s="1455"/>
      <c r="CJ1779" s="2"/>
      <c r="CK1779" s="2"/>
      <c r="CM1779" s="1140">
        <f t="shared" si="1092"/>
        <v>0</v>
      </c>
      <c r="CN1779" s="1140"/>
      <c r="CP1779" s="923">
        <f t="shared" si="1091"/>
        <v>0</v>
      </c>
      <c r="CZ1779" s="1456"/>
    </row>
    <row r="1780" spans="1:104" x14ac:dyDescent="0.25">
      <c r="A1780" s="684">
        <f>MAX($A$6:A1779)+1</f>
        <v>1780</v>
      </c>
      <c r="B1780" s="3">
        <f t="shared" si="1114"/>
        <v>22.1</v>
      </c>
      <c r="C1780" s="11" t="str">
        <f t="shared" si="1112"/>
        <v>Revenue Resource Limit</v>
      </c>
      <c r="D1780" s="11"/>
      <c r="E1780" s="1269">
        <f t="shared" si="1115"/>
        <v>0</v>
      </c>
      <c r="F1780" s="13"/>
      <c r="G1780" s="1254" t="s">
        <v>286</v>
      </c>
      <c r="H1780" s="1510"/>
      <c r="I1780" s="1510"/>
      <c r="J1780" s="1269">
        <f>+'alb Note 22 - RRL &amp; CRL'!A28</f>
        <v>0</v>
      </c>
      <c r="K1780" s="1185">
        <f>SUMIF('alb Note 22 - RRL &amp; CRL'!$A$13:$A$48,J1780,'alb Note 22 - RRL &amp; CRL'!$C$13:$C$48)</f>
        <v>0</v>
      </c>
      <c r="L1780" s="1454"/>
      <c r="M1780" s="1290"/>
      <c r="N1780" s="273">
        <f t="shared" si="1116"/>
        <v>5000</v>
      </c>
      <c r="O1780" s="1290"/>
      <c r="P1780" s="1290"/>
      <c r="Q1780" s="1290"/>
      <c r="R1780" s="1290"/>
      <c r="S1780" s="6"/>
      <c r="T1780" s="273">
        <f t="shared" si="1113"/>
        <v>5000</v>
      </c>
      <c r="U1780" s="1290"/>
      <c r="V1780" s="1290"/>
      <c r="W1780" s="6"/>
      <c r="X1780" s="1290">
        <v>5000</v>
      </c>
      <c r="Y1780" s="1290"/>
      <c r="Z1780" s="1290"/>
      <c r="AA1780" s="1290"/>
      <c r="AB1780" s="1290"/>
      <c r="AC1780" s="1290"/>
      <c r="AD1780" s="1290"/>
      <c r="AE1780" s="1290"/>
      <c r="AF1780" s="1290"/>
      <c r="AG1780" s="1290"/>
      <c r="AH1780" s="1290"/>
      <c r="AI1780" s="1290"/>
      <c r="AJ1780" s="1290"/>
      <c r="AK1780" s="1290"/>
      <c r="AL1780" s="1290"/>
      <c r="AM1780" s="1290"/>
      <c r="AN1780" s="1290"/>
      <c r="AO1780" s="1290"/>
      <c r="AP1780" s="1290"/>
      <c r="AQ1780" s="1290"/>
      <c r="AR1780" s="1290"/>
      <c r="AS1780" s="1290"/>
      <c r="AT1780" s="1290"/>
      <c r="AU1780" s="1290"/>
      <c r="AV1780" s="1290"/>
      <c r="AW1780" s="2"/>
      <c r="AX1780" s="1290"/>
      <c r="AY1780" s="6"/>
      <c r="AZ1780" s="2"/>
      <c r="BA1780" s="1290"/>
      <c r="BB1780" s="6"/>
      <c r="BC1780" s="1290"/>
      <c r="BD1780" s="29"/>
      <c r="BE1780" s="1455"/>
      <c r="BF1780" s="1455"/>
      <c r="BG1780" s="1455"/>
      <c r="BH1780" s="1455"/>
      <c r="BI1780" s="1455"/>
      <c r="BJ1780" s="1455"/>
      <c r="BK1780" s="29"/>
      <c r="BL1780" s="1455"/>
      <c r="BM1780" s="1455"/>
      <c r="BN1780" s="1455"/>
      <c r="BO1780" s="1455"/>
      <c r="BP1780" s="1455"/>
      <c r="BQ1780" s="1455"/>
      <c r="BR1780" s="1455"/>
      <c r="BS1780" s="1455"/>
      <c r="BT1780" s="1455"/>
      <c r="BU1780" s="1455"/>
      <c r="BV1780" s="1455"/>
      <c r="BW1780" s="1455"/>
      <c r="BX1780" s="1455"/>
      <c r="BY1780" s="1455"/>
      <c r="BZ1780" s="1455"/>
      <c r="CA1780" s="1455"/>
      <c r="CB1780" s="1455"/>
      <c r="CC1780" s="1455"/>
      <c r="CD1780" s="1455"/>
      <c r="CE1780" s="1455"/>
      <c r="CF1780" s="1455"/>
      <c r="CG1780" s="1191"/>
      <c r="CH1780" s="1455"/>
      <c r="CI1780" s="1455"/>
      <c r="CJ1780" s="2"/>
      <c r="CK1780" s="2"/>
      <c r="CM1780" s="1140">
        <f t="shared" si="1092"/>
        <v>0</v>
      </c>
      <c r="CN1780" s="1140"/>
      <c r="CP1780" s="923">
        <f t="shared" si="1091"/>
        <v>0</v>
      </c>
      <c r="CZ1780" s="1456"/>
    </row>
    <row r="1781" spans="1:104" ht="15" customHeight="1" x14ac:dyDescent="0.25">
      <c r="A1781" s="701">
        <f>MAX($A$6:A1780)+1</f>
        <v>1781</v>
      </c>
      <c r="B1781" s="1291">
        <f t="shared" si="1114"/>
        <v>22.1</v>
      </c>
      <c r="C1781" s="18" t="str">
        <f t="shared" si="1112"/>
        <v>Revenue Resource Limit</v>
      </c>
      <c r="D1781" s="18"/>
      <c r="E1781" s="1511" t="s">
        <v>2549</v>
      </c>
      <c r="F1781" s="19"/>
      <c r="G1781" s="28" t="s">
        <v>286</v>
      </c>
      <c r="H1781" s="14"/>
      <c r="I1781" s="14"/>
      <c r="J1781" s="1511" t="s">
        <v>2549</v>
      </c>
      <c r="K1781" s="1185">
        <f>SUMIF('alb Note 22 - RRL &amp; CRL'!$A$13:$A$48,J1781,'alb Note 22 - RRL &amp; CRL'!$C$13:$C$48)</f>
        <v>0</v>
      </c>
      <c r="L1781" s="256"/>
      <c r="M1781" s="14"/>
      <c r="N1781" s="14">
        <f>SUM(N1775:N1780)</f>
        <v>15000</v>
      </c>
      <c r="O1781" s="14">
        <f t="shared" ref="O1781:T1781" si="1117">SUM(O1775:O1780)</f>
        <v>0</v>
      </c>
      <c r="P1781" s="14">
        <f t="shared" si="1117"/>
        <v>0</v>
      </c>
      <c r="Q1781" s="14">
        <f t="shared" si="1117"/>
        <v>0</v>
      </c>
      <c r="R1781" s="14">
        <f t="shared" si="1117"/>
        <v>0</v>
      </c>
      <c r="S1781" s="14">
        <f t="shared" si="1117"/>
        <v>0</v>
      </c>
      <c r="T1781" s="14">
        <f t="shared" si="1117"/>
        <v>15000</v>
      </c>
      <c r="U1781" s="14"/>
      <c r="V1781" s="14"/>
      <c r="W1781" s="14"/>
      <c r="X1781" s="14">
        <v>15000</v>
      </c>
      <c r="Y1781" s="14"/>
      <c r="Z1781" s="14"/>
      <c r="AA1781" s="14"/>
      <c r="AB1781" s="14"/>
      <c r="AC1781" s="14"/>
      <c r="AD1781" s="14"/>
      <c r="AE1781" s="14"/>
      <c r="AF1781" s="14"/>
      <c r="AG1781" s="14"/>
      <c r="AH1781" s="14"/>
      <c r="AI1781" s="14"/>
      <c r="AJ1781" s="14"/>
      <c r="AK1781" s="14"/>
      <c r="AL1781" s="14"/>
      <c r="AM1781" s="14"/>
      <c r="AN1781" s="14"/>
      <c r="AO1781" s="14"/>
      <c r="AP1781" s="14"/>
      <c r="AQ1781" s="14"/>
      <c r="AR1781" s="14"/>
      <c r="AS1781" s="14"/>
      <c r="AT1781" s="14"/>
      <c r="AU1781" s="14"/>
      <c r="AV1781" s="14"/>
      <c r="AW1781" s="2"/>
      <c r="AX1781" s="14"/>
      <c r="AY1781" s="14"/>
      <c r="AZ1781" s="2"/>
      <c r="BA1781" s="14"/>
      <c r="BB1781" s="14"/>
      <c r="BC1781" s="14"/>
      <c r="BD1781" s="14"/>
      <c r="BE1781" s="318"/>
      <c r="BF1781" s="318"/>
      <c r="BG1781" s="318"/>
      <c r="BH1781" s="318"/>
      <c r="BI1781" s="318"/>
      <c r="BJ1781" s="318"/>
      <c r="BK1781" s="14"/>
      <c r="BL1781" s="318"/>
      <c r="BM1781" s="318"/>
      <c r="BN1781" s="318"/>
      <c r="BO1781" s="318"/>
      <c r="BP1781" s="318"/>
      <c r="BQ1781" s="318"/>
      <c r="BR1781" s="318"/>
      <c r="BS1781" s="318"/>
      <c r="BT1781" s="318"/>
      <c r="BU1781" s="318"/>
      <c r="BV1781" s="318"/>
      <c r="BW1781" s="318"/>
      <c r="BX1781" s="318"/>
      <c r="BY1781" s="318"/>
      <c r="BZ1781" s="318"/>
      <c r="CA1781" s="318"/>
      <c r="CB1781" s="318"/>
      <c r="CC1781" s="318"/>
      <c r="CD1781" s="318"/>
      <c r="CE1781" s="318"/>
      <c r="CF1781" s="318"/>
      <c r="CG1781" s="318"/>
      <c r="CH1781" s="318"/>
      <c r="CI1781" s="318"/>
      <c r="CJ1781" s="2"/>
      <c r="CK1781" s="2"/>
      <c r="CM1781" s="1140">
        <f t="shared" si="1092"/>
        <v>0</v>
      </c>
      <c r="CN1781" s="1140"/>
      <c r="CP1781" s="923">
        <f t="shared" si="1091"/>
        <v>0</v>
      </c>
      <c r="CZ1781" s="330"/>
    </row>
    <row r="1782" spans="1:104" ht="15" customHeight="1" x14ac:dyDescent="0.25">
      <c r="A1782" s="701">
        <f>MAX($A$6:A1781)+1</f>
        <v>1782</v>
      </c>
      <c r="B1782" s="1291">
        <f t="shared" ref="B1782:B1786" si="1118">B1781</f>
        <v>22.1</v>
      </c>
      <c r="C1782" s="18" t="str">
        <f t="shared" si="1112"/>
        <v>Revenue Resource Limit</v>
      </c>
      <c r="D1782" s="18"/>
      <c r="E1782" s="1511" t="s">
        <v>2550</v>
      </c>
      <c r="F1782" s="19"/>
      <c r="G1782" s="28" t="s">
        <v>286</v>
      </c>
      <c r="H1782" s="14"/>
      <c r="I1782" s="14"/>
      <c r="J1782" s="1511" t="s">
        <v>2550</v>
      </c>
      <c r="K1782" s="1185">
        <f>SUMIF('alb Note 22 - RRL &amp; CRL'!$A$13:$A$48,J1782,'alb Note 22 - RRL &amp; CRL'!$C$13:$C$48)</f>
        <v>0</v>
      </c>
      <c r="L1782" s="256"/>
      <c r="M1782" s="14"/>
      <c r="N1782" s="14">
        <f>+N1781+N1774</f>
        <v>15000</v>
      </c>
      <c r="O1782" s="14">
        <f t="shared" ref="O1782:T1782" si="1119">+O1781+O1774</f>
        <v>0</v>
      </c>
      <c r="P1782" s="14">
        <f t="shared" si="1119"/>
        <v>0</v>
      </c>
      <c r="Q1782" s="14">
        <f t="shared" si="1119"/>
        <v>0</v>
      </c>
      <c r="R1782" s="14">
        <f t="shared" si="1119"/>
        <v>0</v>
      </c>
      <c r="S1782" s="14">
        <f t="shared" si="1119"/>
        <v>0</v>
      </c>
      <c r="T1782" s="14">
        <f t="shared" si="1119"/>
        <v>15000</v>
      </c>
      <c r="U1782" s="14"/>
      <c r="V1782" s="14"/>
      <c r="W1782" s="14"/>
      <c r="X1782" s="14">
        <v>15000</v>
      </c>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2"/>
      <c r="AX1782" s="14"/>
      <c r="AY1782" s="14"/>
      <c r="AZ1782" s="2"/>
      <c r="BA1782" s="14"/>
      <c r="BB1782" s="14"/>
      <c r="BC1782" s="14"/>
      <c r="BD1782" s="14"/>
      <c r="BE1782" s="318"/>
      <c r="BF1782" s="318"/>
      <c r="BG1782" s="318"/>
      <c r="BH1782" s="318"/>
      <c r="BI1782" s="318"/>
      <c r="BJ1782" s="318"/>
      <c r="BK1782" s="14"/>
      <c r="BL1782" s="318"/>
      <c r="BM1782" s="318"/>
      <c r="BN1782" s="318"/>
      <c r="BO1782" s="318"/>
      <c r="BP1782" s="318"/>
      <c r="BQ1782" s="318"/>
      <c r="BR1782" s="318"/>
      <c r="BS1782" s="318"/>
      <c r="BT1782" s="318"/>
      <c r="BU1782" s="318"/>
      <c r="BV1782" s="318"/>
      <c r="BW1782" s="318"/>
      <c r="BX1782" s="318"/>
      <c r="BY1782" s="318"/>
      <c r="BZ1782" s="318"/>
      <c r="CA1782" s="318"/>
      <c r="CB1782" s="318"/>
      <c r="CC1782" s="318"/>
      <c r="CD1782" s="318"/>
      <c r="CE1782" s="318"/>
      <c r="CF1782" s="318"/>
      <c r="CG1782" s="318"/>
      <c r="CH1782" s="318"/>
      <c r="CI1782" s="318"/>
      <c r="CJ1782" s="2"/>
      <c r="CK1782" s="2"/>
      <c r="CM1782" s="1140">
        <f t="shared" si="1092"/>
        <v>0</v>
      </c>
      <c r="CN1782" s="1140"/>
      <c r="CP1782" s="923">
        <f t="shared" si="1091"/>
        <v>0</v>
      </c>
      <c r="CZ1782" s="330"/>
    </row>
    <row r="1783" spans="1:104" x14ac:dyDescent="0.25">
      <c r="A1783" s="684">
        <f>MAX($A$6:A1782)+1</f>
        <v>1783</v>
      </c>
      <c r="B1783" s="3">
        <f t="shared" si="1118"/>
        <v>22.1</v>
      </c>
      <c r="C1783" s="11" t="str">
        <f t="shared" si="1112"/>
        <v>Revenue Resource Limit</v>
      </c>
      <c r="D1783" s="11"/>
      <c r="E1783" s="1277" t="s">
        <v>2551</v>
      </c>
      <c r="F1783" s="13"/>
      <c r="G1783" s="1277"/>
      <c r="H1783" s="1510"/>
      <c r="I1783" s="1510"/>
      <c r="J1783" s="1277" t="s">
        <v>2551</v>
      </c>
      <c r="K1783" s="1185">
        <f>SUMIF('alb Note 22 - RRL &amp; CRL'!$A$13:$A$48,J1783,'alb Note 22 - RRL &amp; CRL'!$C$13:$C$48)</f>
        <v>0</v>
      </c>
      <c r="L1783" s="1454"/>
      <c r="M1783" s="1290"/>
      <c r="N1783" s="273">
        <f>ROUND(SUM(O1783:S1783)+T1783+SUM(Z1783:AV1783),0)</f>
        <v>0</v>
      </c>
      <c r="O1783" s="1290"/>
      <c r="P1783" s="1290"/>
      <c r="Q1783" s="1290"/>
      <c r="R1783" s="1290"/>
      <c r="S1783" s="6"/>
      <c r="T1783" s="273">
        <f t="shared" si="1113"/>
        <v>0</v>
      </c>
      <c r="U1783" s="1290"/>
      <c r="V1783" s="1290"/>
      <c r="W1783" s="6"/>
      <c r="X1783" s="1290"/>
      <c r="Y1783" s="1290"/>
      <c r="Z1783" s="1290"/>
      <c r="AA1783" s="1290"/>
      <c r="AB1783" s="1290"/>
      <c r="AC1783" s="1290"/>
      <c r="AD1783" s="1290"/>
      <c r="AE1783" s="1290"/>
      <c r="AF1783" s="1290"/>
      <c r="AG1783" s="1290"/>
      <c r="AH1783" s="1290"/>
      <c r="AI1783" s="1290"/>
      <c r="AJ1783" s="1290"/>
      <c r="AK1783" s="1290"/>
      <c r="AL1783" s="1290"/>
      <c r="AM1783" s="1290"/>
      <c r="AN1783" s="1290"/>
      <c r="AO1783" s="1290"/>
      <c r="AP1783" s="1290"/>
      <c r="AQ1783" s="1290"/>
      <c r="AR1783" s="1290"/>
      <c r="AS1783" s="1290"/>
      <c r="AT1783" s="1290"/>
      <c r="AU1783" s="1290"/>
      <c r="AV1783" s="1290"/>
      <c r="AW1783" s="2"/>
      <c r="AX1783" s="1290"/>
      <c r="AY1783" s="6"/>
      <c r="AZ1783" s="2"/>
      <c r="BA1783" s="1290"/>
      <c r="BB1783" s="6"/>
      <c r="BC1783" s="1290"/>
      <c r="BD1783" s="29"/>
      <c r="BE1783" s="1455"/>
      <c r="BF1783" s="1455"/>
      <c r="BG1783" s="1455"/>
      <c r="BH1783" s="1455"/>
      <c r="BI1783" s="1455"/>
      <c r="BJ1783" s="1455"/>
      <c r="BK1783" s="29"/>
      <c r="BL1783" s="1455"/>
      <c r="BM1783" s="1455"/>
      <c r="BN1783" s="1455"/>
      <c r="BO1783" s="1455"/>
      <c r="BP1783" s="1455"/>
      <c r="BQ1783" s="1455"/>
      <c r="BR1783" s="1455"/>
      <c r="BS1783" s="1455"/>
      <c r="BT1783" s="1455"/>
      <c r="BU1783" s="1455"/>
      <c r="BV1783" s="1455"/>
      <c r="BW1783" s="1455"/>
      <c r="BX1783" s="1455"/>
      <c r="BY1783" s="1455"/>
      <c r="BZ1783" s="1455"/>
      <c r="CA1783" s="1455"/>
      <c r="CB1783" s="1455"/>
      <c r="CC1783" s="1455"/>
      <c r="CD1783" s="1455"/>
      <c r="CE1783" s="1455"/>
      <c r="CF1783" s="1455"/>
      <c r="CG1783" s="1191"/>
      <c r="CH1783" s="1455"/>
      <c r="CI1783" s="1455"/>
      <c r="CJ1783" s="2"/>
      <c r="CK1783" s="2"/>
      <c r="CM1783" s="1140">
        <f t="shared" si="1092"/>
        <v>0</v>
      </c>
      <c r="CN1783" s="1140"/>
      <c r="CP1783" s="923">
        <f t="shared" si="1091"/>
        <v>0</v>
      </c>
      <c r="CZ1783" s="1456"/>
    </row>
    <row r="1784" spans="1:104" x14ac:dyDescent="0.25">
      <c r="A1784" s="684">
        <f>MAX($A$6:A1783)+1</f>
        <v>1784</v>
      </c>
      <c r="B1784" s="3">
        <f t="shared" si="1118"/>
        <v>22.1</v>
      </c>
      <c r="C1784" s="11" t="str">
        <f t="shared" si="1112"/>
        <v>Revenue Resource Limit</v>
      </c>
      <c r="D1784" s="11"/>
      <c r="E1784" s="1254" t="s">
        <v>2552</v>
      </c>
      <c r="F1784" s="13"/>
      <c r="G1784" s="1254" t="s">
        <v>286</v>
      </c>
      <c r="H1784" s="1510"/>
      <c r="I1784" s="1510"/>
      <c r="J1784" s="1254" t="s">
        <v>2552</v>
      </c>
      <c r="K1784" s="1185">
        <f>SUMIF('alb Note 22 - RRL &amp; CRL'!$A$13:$A$48,J1784,'alb Note 22 - RRL &amp; CRL'!$C$13:$C$48)</f>
        <v>0</v>
      </c>
      <c r="L1784" s="1454"/>
      <c r="M1784" s="1290"/>
      <c r="N1784" s="273">
        <f>ROUND(SUM(O1784:S1784)+T1784+SUM(Z1784:AV1784),0)</f>
        <v>0</v>
      </c>
      <c r="O1784" s="1290"/>
      <c r="P1784" s="1290"/>
      <c r="Q1784" s="1290"/>
      <c r="R1784" s="1290"/>
      <c r="S1784" s="6"/>
      <c r="T1784" s="273">
        <f t="shared" si="1113"/>
        <v>0</v>
      </c>
      <c r="U1784" s="1290"/>
      <c r="V1784" s="1290"/>
      <c r="W1784" s="6"/>
      <c r="X1784" s="1290"/>
      <c r="Y1784" s="1290"/>
      <c r="Z1784" s="1290"/>
      <c r="AA1784" s="1290"/>
      <c r="AB1784" s="1290"/>
      <c r="AC1784" s="1290"/>
      <c r="AD1784" s="1290"/>
      <c r="AE1784" s="1290"/>
      <c r="AF1784" s="1290"/>
      <c r="AG1784" s="1290"/>
      <c r="AH1784" s="1290"/>
      <c r="AI1784" s="1290"/>
      <c r="AJ1784" s="1290"/>
      <c r="AK1784" s="1290"/>
      <c r="AL1784" s="1290"/>
      <c r="AM1784" s="1290"/>
      <c r="AN1784" s="1290"/>
      <c r="AO1784" s="1290"/>
      <c r="AP1784" s="1290"/>
      <c r="AQ1784" s="1290"/>
      <c r="AR1784" s="1290"/>
      <c r="AS1784" s="1290"/>
      <c r="AT1784" s="1290"/>
      <c r="AU1784" s="1290"/>
      <c r="AV1784" s="1290"/>
      <c r="AW1784" s="2"/>
      <c r="AX1784" s="1290"/>
      <c r="AY1784" s="6"/>
      <c r="AZ1784" s="2"/>
      <c r="BA1784" s="1290"/>
      <c r="BB1784" s="6"/>
      <c r="BC1784" s="1290"/>
      <c r="BD1784" s="29"/>
      <c r="BE1784" s="1455"/>
      <c r="BF1784" s="1455"/>
      <c r="BG1784" s="1455"/>
      <c r="BH1784" s="1455"/>
      <c r="BI1784" s="1455"/>
      <c r="BJ1784" s="1455"/>
      <c r="BK1784" s="29"/>
      <c r="BL1784" s="1455"/>
      <c r="BM1784" s="1455"/>
      <c r="BN1784" s="1455"/>
      <c r="BO1784" s="1455"/>
      <c r="BP1784" s="1455"/>
      <c r="BQ1784" s="1455"/>
      <c r="BR1784" s="1455"/>
      <c r="BS1784" s="1455"/>
      <c r="BT1784" s="1455"/>
      <c r="BU1784" s="1455"/>
      <c r="BV1784" s="1455"/>
      <c r="BW1784" s="1455"/>
      <c r="BX1784" s="1455"/>
      <c r="BY1784" s="1455"/>
      <c r="BZ1784" s="1455"/>
      <c r="CA1784" s="1455"/>
      <c r="CB1784" s="1455"/>
      <c r="CC1784" s="1455"/>
      <c r="CD1784" s="1455"/>
      <c r="CE1784" s="1455"/>
      <c r="CF1784" s="1455"/>
      <c r="CG1784" s="1191"/>
      <c r="CH1784" s="1455"/>
      <c r="CI1784" s="1455"/>
      <c r="CJ1784" s="2"/>
      <c r="CK1784" s="2"/>
      <c r="CM1784" s="1140">
        <f t="shared" si="1092"/>
        <v>0</v>
      </c>
      <c r="CN1784" s="1140"/>
      <c r="CP1784" s="923">
        <f t="shared" si="1091"/>
        <v>0</v>
      </c>
      <c r="CZ1784" s="1456"/>
    </row>
    <row r="1785" spans="1:104" ht="25.5" x14ac:dyDescent="0.25">
      <c r="A1785" s="684">
        <f>MAX($A$6:A1784)+1</f>
        <v>1785</v>
      </c>
      <c r="B1785" s="3">
        <f t="shared" si="1118"/>
        <v>22.1</v>
      </c>
      <c r="C1785" s="11" t="str">
        <f t="shared" si="1112"/>
        <v>Revenue Resource Limit</v>
      </c>
      <c r="D1785" s="11"/>
      <c r="E1785" s="1277" t="s">
        <v>2553</v>
      </c>
      <c r="F1785" s="1277"/>
      <c r="G1785" s="1277"/>
      <c r="H1785" s="1510"/>
      <c r="I1785" s="1510"/>
      <c r="J1785" s="1277" t="s">
        <v>2553</v>
      </c>
      <c r="K1785" s="1185">
        <f>SUMIF('alb Note 22 - RRL &amp; CRL'!$A$13:$A$48,J1785,'alb Note 22 - RRL &amp; CRL'!$C$13:$C$48)</f>
        <v>0</v>
      </c>
      <c r="L1785" s="1454"/>
      <c r="M1785" s="1290"/>
      <c r="N1785" s="273">
        <f t="shared" ref="N1785:N1796" si="1120">ROUND(SUM(O1785:S1785)+T1785+SUM(Z1785:AV1785),0)</f>
        <v>0</v>
      </c>
      <c r="O1785" s="1290"/>
      <c r="P1785" s="1290"/>
      <c r="Q1785" s="1290"/>
      <c r="R1785" s="1290"/>
      <c r="S1785" s="6"/>
      <c r="T1785" s="273">
        <f>ROUND(SUM(U1785:Y1785),0)</f>
        <v>0</v>
      </c>
      <c r="U1785" s="1290"/>
      <c r="V1785" s="1290"/>
      <c r="W1785" s="6"/>
      <c r="X1785" s="1290"/>
      <c r="Y1785" s="1290"/>
      <c r="Z1785" s="1290"/>
      <c r="AA1785" s="1290"/>
      <c r="AB1785" s="1290"/>
      <c r="AC1785" s="1290"/>
      <c r="AD1785" s="1290"/>
      <c r="AE1785" s="1290"/>
      <c r="AF1785" s="1290"/>
      <c r="AG1785" s="1290"/>
      <c r="AH1785" s="1290"/>
      <c r="AI1785" s="1290"/>
      <c r="AJ1785" s="1290"/>
      <c r="AK1785" s="1290"/>
      <c r="AL1785" s="1290"/>
      <c r="AM1785" s="1290"/>
      <c r="AN1785" s="1290"/>
      <c r="AO1785" s="1290"/>
      <c r="AP1785" s="1290"/>
      <c r="AQ1785" s="1290"/>
      <c r="AR1785" s="1290"/>
      <c r="AS1785" s="1290"/>
      <c r="AT1785" s="1290"/>
      <c r="AU1785" s="1290"/>
      <c r="AV1785" s="1290"/>
      <c r="AW1785" s="2"/>
      <c r="AX1785" s="1290"/>
      <c r="AY1785" s="6"/>
      <c r="AZ1785" s="2"/>
      <c r="BA1785" s="1290"/>
      <c r="BB1785" s="6"/>
      <c r="BC1785" s="1290"/>
      <c r="BD1785" s="29"/>
      <c r="BE1785" s="1455"/>
      <c r="BF1785" s="1455"/>
      <c r="BG1785" s="1455"/>
      <c r="BH1785" s="1455"/>
      <c r="BI1785" s="1455"/>
      <c r="BJ1785" s="1455"/>
      <c r="BK1785" s="29"/>
      <c r="BL1785" s="1455"/>
      <c r="BM1785" s="1455"/>
      <c r="BN1785" s="1455"/>
      <c r="BO1785" s="1455"/>
      <c r="BP1785" s="1455"/>
      <c r="BQ1785" s="1455"/>
      <c r="BR1785" s="1455"/>
      <c r="BS1785" s="1455"/>
      <c r="BT1785" s="1455"/>
      <c r="BU1785" s="1455"/>
      <c r="BV1785" s="1455"/>
      <c r="BW1785" s="1455"/>
      <c r="BX1785" s="1455"/>
      <c r="BY1785" s="1455"/>
      <c r="BZ1785" s="1455"/>
      <c r="CA1785" s="1455"/>
      <c r="CB1785" s="1455"/>
      <c r="CC1785" s="1455"/>
      <c r="CD1785" s="1455"/>
      <c r="CE1785" s="1455"/>
      <c r="CF1785" s="1455"/>
      <c r="CG1785" s="1191"/>
      <c r="CH1785" s="1455"/>
      <c r="CI1785" s="1455"/>
      <c r="CJ1785" s="2"/>
      <c r="CK1785" s="2"/>
      <c r="CM1785" s="1140">
        <f t="shared" si="1092"/>
        <v>0</v>
      </c>
      <c r="CN1785" s="1140"/>
      <c r="CP1785" s="923">
        <f t="shared" si="1091"/>
        <v>0</v>
      </c>
      <c r="CZ1785" s="1456"/>
    </row>
    <row r="1786" spans="1:104" x14ac:dyDescent="0.25">
      <c r="A1786" s="684">
        <f>MAX($A$6:A1785)+1</f>
        <v>1786</v>
      </c>
      <c r="B1786" s="3">
        <f t="shared" si="1118"/>
        <v>22.1</v>
      </c>
      <c r="C1786" s="11" t="str">
        <f t="shared" si="1112"/>
        <v>Revenue Resource Limit</v>
      </c>
      <c r="D1786" s="11"/>
      <c r="E1786" s="1254" t="s">
        <v>2554</v>
      </c>
      <c r="F1786" s="13"/>
      <c r="G1786" s="1254" t="s">
        <v>286</v>
      </c>
      <c r="H1786" s="1510"/>
      <c r="I1786" s="1510"/>
      <c r="J1786" s="1254" t="s">
        <v>2554</v>
      </c>
      <c r="K1786" s="1185">
        <f>SUMIF('alb Note 22 - RRL &amp; CRL'!$A$13:$A$48,J1786,'alb Note 22 - RRL &amp; CRL'!$C$13:$C$48)</f>
        <v>0</v>
      </c>
      <c r="L1786" s="1454"/>
      <c r="M1786" s="1290"/>
      <c r="N1786" s="273">
        <f t="shared" si="1120"/>
        <v>0</v>
      </c>
      <c r="O1786" s="1290"/>
      <c r="P1786" s="1290"/>
      <c r="Q1786" s="1290"/>
      <c r="R1786" s="1290"/>
      <c r="S1786" s="6"/>
      <c r="T1786" s="273">
        <f t="shared" si="1113"/>
        <v>0</v>
      </c>
      <c r="U1786" s="1290"/>
      <c r="V1786" s="1290"/>
      <c r="W1786" s="6"/>
      <c r="X1786" s="1290"/>
      <c r="Y1786" s="1290"/>
      <c r="Z1786" s="1290"/>
      <c r="AA1786" s="1290"/>
      <c r="AB1786" s="1290"/>
      <c r="AC1786" s="1290"/>
      <c r="AD1786" s="1290"/>
      <c r="AE1786" s="1290"/>
      <c r="AF1786" s="1290"/>
      <c r="AG1786" s="1290"/>
      <c r="AH1786" s="1290"/>
      <c r="AI1786" s="1290"/>
      <c r="AJ1786" s="1290"/>
      <c r="AK1786" s="1290"/>
      <c r="AL1786" s="1290"/>
      <c r="AM1786" s="1290"/>
      <c r="AN1786" s="1290"/>
      <c r="AO1786" s="1290"/>
      <c r="AP1786" s="1290"/>
      <c r="AQ1786" s="1290"/>
      <c r="AR1786" s="1290"/>
      <c r="AS1786" s="1290"/>
      <c r="AT1786" s="1290"/>
      <c r="AU1786" s="1290"/>
      <c r="AV1786" s="1290"/>
      <c r="AW1786" s="2"/>
      <c r="AX1786" s="1290"/>
      <c r="AY1786" s="6"/>
      <c r="AZ1786" s="2"/>
      <c r="BA1786" s="1290"/>
      <c r="BB1786" s="6"/>
      <c r="BC1786" s="1290"/>
      <c r="BD1786" s="29"/>
      <c r="BE1786" s="1455"/>
      <c r="BF1786" s="1455"/>
      <c r="BG1786" s="1455"/>
      <c r="BH1786" s="1455"/>
      <c r="BI1786" s="1455"/>
      <c r="BJ1786" s="1455"/>
      <c r="BK1786" s="29"/>
      <c r="BL1786" s="1455"/>
      <c r="BM1786" s="1455"/>
      <c r="BN1786" s="1455"/>
      <c r="BO1786" s="1455"/>
      <c r="BP1786" s="1455"/>
      <c r="BQ1786" s="1455"/>
      <c r="BR1786" s="1455"/>
      <c r="BS1786" s="1455"/>
      <c r="BT1786" s="1455"/>
      <c r="BU1786" s="1455"/>
      <c r="BV1786" s="1455"/>
      <c r="BW1786" s="1455"/>
      <c r="BX1786" s="1455"/>
      <c r="BY1786" s="1455"/>
      <c r="BZ1786" s="1455"/>
      <c r="CA1786" s="1455"/>
      <c r="CB1786" s="1455"/>
      <c r="CC1786" s="1455"/>
      <c r="CD1786" s="1455"/>
      <c r="CE1786" s="1455"/>
      <c r="CF1786" s="1455"/>
      <c r="CG1786" s="1191"/>
      <c r="CH1786" s="1455"/>
      <c r="CI1786" s="1455"/>
      <c r="CJ1786" s="2"/>
      <c r="CK1786" s="2"/>
      <c r="CM1786" s="1140">
        <f t="shared" si="1092"/>
        <v>0</v>
      </c>
      <c r="CN1786" s="1140"/>
      <c r="CP1786" s="923">
        <f t="shared" si="1091"/>
        <v>0</v>
      </c>
      <c r="CZ1786" s="1456"/>
    </row>
    <row r="1787" spans="1:104" x14ac:dyDescent="0.25">
      <c r="A1787" s="684">
        <f>MAX($A$6:A1786)+1</f>
        <v>1787</v>
      </c>
      <c r="B1787" s="3">
        <f t="shared" ref="B1787:B1796" si="1121">B1786</f>
        <v>22.1</v>
      </c>
      <c r="C1787" s="11" t="str">
        <f t="shared" si="1112"/>
        <v>Revenue Resource Limit</v>
      </c>
      <c r="D1787" s="11"/>
      <c r="E1787" s="1254" t="s">
        <v>2555</v>
      </c>
      <c r="F1787" s="13"/>
      <c r="G1787" s="1254" t="s">
        <v>286</v>
      </c>
      <c r="H1787" s="1510"/>
      <c r="I1787" s="1510"/>
      <c r="J1787" s="1254" t="s">
        <v>2555</v>
      </c>
      <c r="K1787" s="1185">
        <f>SUMIF('alb Note 22 - RRL &amp; CRL'!$A$13:$A$48,J1787,'alb Note 22 - RRL &amp; CRL'!$C$13:$C$48)</f>
        <v>0</v>
      </c>
      <c r="L1787" s="1454"/>
      <c r="M1787" s="1290"/>
      <c r="N1787" s="273">
        <f t="shared" si="1120"/>
        <v>0</v>
      </c>
      <c r="O1787" s="1290"/>
      <c r="P1787" s="1290"/>
      <c r="Q1787" s="1290"/>
      <c r="R1787" s="1290"/>
      <c r="S1787" s="6"/>
      <c r="T1787" s="273">
        <f>ROUND(SUM(U1787:Y1787),0)</f>
        <v>0</v>
      </c>
      <c r="U1787" s="1290"/>
      <c r="V1787" s="1290"/>
      <c r="W1787" s="6"/>
      <c r="X1787" s="1290"/>
      <c r="Y1787" s="1290"/>
      <c r="Z1787" s="1290"/>
      <c r="AA1787" s="1290"/>
      <c r="AB1787" s="1290"/>
      <c r="AC1787" s="1290"/>
      <c r="AD1787" s="1290"/>
      <c r="AE1787" s="1290"/>
      <c r="AF1787" s="1290"/>
      <c r="AG1787" s="1290"/>
      <c r="AH1787" s="1290"/>
      <c r="AI1787" s="1290"/>
      <c r="AJ1787" s="1290"/>
      <c r="AK1787" s="1290"/>
      <c r="AL1787" s="1290"/>
      <c r="AM1787" s="1290"/>
      <c r="AN1787" s="1290"/>
      <c r="AO1787" s="1290"/>
      <c r="AP1787" s="1290"/>
      <c r="AQ1787" s="1290"/>
      <c r="AR1787" s="1290"/>
      <c r="AS1787" s="1290"/>
      <c r="AT1787" s="1290"/>
      <c r="AU1787" s="1290"/>
      <c r="AV1787" s="1290"/>
      <c r="AW1787" s="2"/>
      <c r="AX1787" s="1290"/>
      <c r="AY1787" s="6"/>
      <c r="AZ1787" s="2"/>
      <c r="BA1787" s="1290"/>
      <c r="BB1787" s="6"/>
      <c r="BC1787" s="1290"/>
      <c r="BD1787" s="29"/>
      <c r="BE1787" s="1455"/>
      <c r="BF1787" s="1455"/>
      <c r="BG1787" s="1455"/>
      <c r="BH1787" s="1455"/>
      <c r="BI1787" s="1455"/>
      <c r="BJ1787" s="1455"/>
      <c r="BK1787" s="29"/>
      <c r="BL1787" s="1455"/>
      <c r="BM1787" s="1455"/>
      <c r="BN1787" s="1455"/>
      <c r="BO1787" s="1455"/>
      <c r="BP1787" s="1455"/>
      <c r="BQ1787" s="1455"/>
      <c r="BR1787" s="1455"/>
      <c r="BS1787" s="1455"/>
      <c r="BT1787" s="1455"/>
      <c r="BU1787" s="1455"/>
      <c r="BV1787" s="1455"/>
      <c r="BW1787" s="1455"/>
      <c r="BX1787" s="1455"/>
      <c r="BY1787" s="1455"/>
      <c r="BZ1787" s="1455"/>
      <c r="CA1787" s="1455"/>
      <c r="CB1787" s="1455"/>
      <c r="CC1787" s="1455"/>
      <c r="CD1787" s="1455"/>
      <c r="CE1787" s="1455"/>
      <c r="CF1787" s="1455"/>
      <c r="CG1787" s="1191"/>
      <c r="CH1787" s="1455"/>
      <c r="CI1787" s="1455"/>
      <c r="CJ1787" s="2"/>
      <c r="CK1787" s="2"/>
      <c r="CM1787" s="1140">
        <f t="shared" si="1092"/>
        <v>0</v>
      </c>
      <c r="CN1787" s="1140"/>
      <c r="CP1787" s="923">
        <f t="shared" si="1091"/>
        <v>0</v>
      </c>
      <c r="CZ1787" s="1456"/>
    </row>
    <row r="1788" spans="1:104" ht="25.5" x14ac:dyDescent="0.25">
      <c r="A1788" s="684">
        <f>MAX($A$6:A1787)+1</f>
        <v>1788</v>
      </c>
      <c r="B1788" s="3">
        <f t="shared" si="1121"/>
        <v>22.1</v>
      </c>
      <c r="C1788" s="11" t="str">
        <f t="shared" si="1112"/>
        <v>Revenue Resource Limit</v>
      </c>
      <c r="D1788" s="11"/>
      <c r="E1788" s="1254" t="s">
        <v>2427</v>
      </c>
      <c r="F1788" s="13"/>
      <c r="G1788" s="1254" t="s">
        <v>286</v>
      </c>
      <c r="H1788" s="1510"/>
      <c r="I1788" s="1510"/>
      <c r="J1788" s="1254" t="s">
        <v>2427</v>
      </c>
      <c r="K1788" s="1185">
        <f>SUMIF('alb Note 22 - RRL &amp; CRL'!$A$13:$A$48,J1788,'alb Note 22 - RRL &amp; CRL'!$C$13:$C$48)</f>
        <v>0</v>
      </c>
      <c r="L1788" s="1454"/>
      <c r="M1788" s="1290"/>
      <c r="N1788" s="273">
        <f t="shared" si="1120"/>
        <v>0</v>
      </c>
      <c r="O1788" s="1290"/>
      <c r="P1788" s="1290"/>
      <c r="Q1788" s="1290"/>
      <c r="R1788" s="1290"/>
      <c r="S1788" s="6"/>
      <c r="T1788" s="273">
        <f>ROUND(SUM(U1788:Y1788),0)</f>
        <v>0</v>
      </c>
      <c r="U1788" s="1290"/>
      <c r="V1788" s="1290"/>
      <c r="W1788" s="6"/>
      <c r="X1788" s="1290"/>
      <c r="Y1788" s="1290"/>
      <c r="Z1788" s="1290"/>
      <c r="AA1788" s="1290"/>
      <c r="AB1788" s="1290"/>
      <c r="AC1788" s="1290"/>
      <c r="AD1788" s="1290"/>
      <c r="AE1788" s="1290"/>
      <c r="AF1788" s="1290"/>
      <c r="AG1788" s="1290"/>
      <c r="AH1788" s="1290"/>
      <c r="AI1788" s="1290"/>
      <c r="AJ1788" s="1290"/>
      <c r="AK1788" s="1290"/>
      <c r="AL1788" s="1290"/>
      <c r="AM1788" s="1290"/>
      <c r="AN1788" s="1290"/>
      <c r="AO1788" s="1290"/>
      <c r="AP1788" s="1290"/>
      <c r="AQ1788" s="1290"/>
      <c r="AR1788" s="1290"/>
      <c r="AS1788" s="1290"/>
      <c r="AT1788" s="1290"/>
      <c r="AU1788" s="1290"/>
      <c r="AV1788" s="1290"/>
      <c r="AW1788" s="2"/>
      <c r="AX1788" s="1290"/>
      <c r="AY1788" s="6"/>
      <c r="AZ1788" s="2"/>
      <c r="BA1788" s="1290"/>
      <c r="BB1788" s="6"/>
      <c r="BC1788" s="1290"/>
      <c r="BD1788" s="29"/>
      <c r="BE1788" s="1455"/>
      <c r="BF1788" s="1455"/>
      <c r="BG1788" s="1455"/>
      <c r="BH1788" s="1455"/>
      <c r="BI1788" s="1455"/>
      <c r="BJ1788" s="1455"/>
      <c r="BK1788" s="29"/>
      <c r="BL1788" s="1455"/>
      <c r="BM1788" s="1455"/>
      <c r="BN1788" s="1455"/>
      <c r="BO1788" s="1455"/>
      <c r="BP1788" s="1455"/>
      <c r="BQ1788" s="1455"/>
      <c r="BR1788" s="1455"/>
      <c r="BS1788" s="1455"/>
      <c r="BT1788" s="1455"/>
      <c r="BU1788" s="1455"/>
      <c r="BV1788" s="1455"/>
      <c r="BW1788" s="1455"/>
      <c r="BX1788" s="1455"/>
      <c r="BY1788" s="1455"/>
      <c r="BZ1788" s="1455"/>
      <c r="CA1788" s="1455"/>
      <c r="CB1788" s="1455"/>
      <c r="CC1788" s="1455"/>
      <c r="CD1788" s="1455"/>
      <c r="CE1788" s="1455"/>
      <c r="CF1788" s="1455"/>
      <c r="CG1788" s="1191"/>
      <c r="CH1788" s="1455"/>
      <c r="CI1788" s="1455"/>
      <c r="CJ1788" s="2"/>
      <c r="CK1788" s="2"/>
      <c r="CM1788" s="1140">
        <f t="shared" si="1092"/>
        <v>0</v>
      </c>
      <c r="CN1788" s="1140"/>
      <c r="CP1788" s="923">
        <f t="shared" si="1091"/>
        <v>0</v>
      </c>
      <c r="CZ1788" s="1456"/>
    </row>
    <row r="1789" spans="1:104" x14ac:dyDescent="0.25">
      <c r="A1789" s="684">
        <f>MAX($A$6:A1788)+1</f>
        <v>1789</v>
      </c>
      <c r="B1789" s="3">
        <f t="shared" si="1121"/>
        <v>22.1</v>
      </c>
      <c r="C1789" s="11" t="str">
        <f t="shared" si="1112"/>
        <v>Revenue Resource Limit</v>
      </c>
      <c r="D1789" s="11"/>
      <c r="E1789" s="1254" t="s">
        <v>2803</v>
      </c>
      <c r="F1789" s="13"/>
      <c r="G1789" s="1254" t="s">
        <v>286</v>
      </c>
      <c r="H1789" s="1510"/>
      <c r="I1789" s="1510"/>
      <c r="J1789" s="1254" t="s">
        <v>2803</v>
      </c>
      <c r="K1789" s="1185">
        <f>SUMIF('alb Note 22 - RRL &amp; CRL'!$A$13:$A$48,J1789,'alb Note 22 - RRL &amp; CRL'!$C$13:$C$48)</f>
        <v>0</v>
      </c>
      <c r="L1789" s="1454"/>
      <c r="M1789" s="1290"/>
      <c r="N1789" s="273">
        <f t="shared" si="1120"/>
        <v>0</v>
      </c>
      <c r="O1789" s="1290"/>
      <c r="P1789" s="1290"/>
      <c r="Q1789" s="1290"/>
      <c r="R1789" s="1290"/>
      <c r="S1789" s="6"/>
      <c r="T1789" s="273">
        <f>ROUND(SUM(U1789:Y1789),0)</f>
        <v>0</v>
      </c>
      <c r="U1789" s="1290"/>
      <c r="V1789" s="1290"/>
      <c r="W1789" s="6"/>
      <c r="X1789" s="1290"/>
      <c r="Y1789" s="1290"/>
      <c r="Z1789" s="1290"/>
      <c r="AA1789" s="1290"/>
      <c r="AB1789" s="1290"/>
      <c r="AC1789" s="1290"/>
      <c r="AD1789" s="1290"/>
      <c r="AE1789" s="1290"/>
      <c r="AF1789" s="1290"/>
      <c r="AG1789" s="1290"/>
      <c r="AH1789" s="1290"/>
      <c r="AI1789" s="1290"/>
      <c r="AJ1789" s="1290"/>
      <c r="AK1789" s="1290"/>
      <c r="AL1789" s="1290"/>
      <c r="AM1789" s="1290"/>
      <c r="AN1789" s="1290"/>
      <c r="AO1789" s="1290"/>
      <c r="AP1789" s="1290"/>
      <c r="AQ1789" s="1290"/>
      <c r="AR1789" s="1290"/>
      <c r="AS1789" s="1290"/>
      <c r="AT1789" s="1290"/>
      <c r="AU1789" s="1290"/>
      <c r="AV1789" s="1290"/>
      <c r="AW1789" s="2"/>
      <c r="AX1789" s="1290"/>
      <c r="AY1789" s="6"/>
      <c r="AZ1789" s="2"/>
      <c r="BA1789" s="1290"/>
      <c r="BB1789" s="6"/>
      <c r="BC1789" s="1290"/>
      <c r="BD1789" s="29"/>
      <c r="BE1789" s="1455"/>
      <c r="BF1789" s="1455"/>
      <c r="BG1789" s="1455"/>
      <c r="BH1789" s="1455"/>
      <c r="BI1789" s="1455"/>
      <c r="BJ1789" s="1455"/>
      <c r="BK1789" s="29"/>
      <c r="BL1789" s="1455"/>
      <c r="BM1789" s="1455"/>
      <c r="BN1789" s="1455"/>
      <c r="BO1789" s="1455"/>
      <c r="BP1789" s="1455"/>
      <c r="BQ1789" s="1455"/>
      <c r="BR1789" s="1455"/>
      <c r="BS1789" s="1455"/>
      <c r="BT1789" s="1455"/>
      <c r="BU1789" s="1455"/>
      <c r="BV1789" s="1455"/>
      <c r="BW1789" s="1455"/>
      <c r="BX1789" s="1455"/>
      <c r="BY1789" s="1455"/>
      <c r="BZ1789" s="1455"/>
      <c r="CA1789" s="1455"/>
      <c r="CB1789" s="1455"/>
      <c r="CC1789" s="1455"/>
      <c r="CD1789" s="1455"/>
      <c r="CE1789" s="1455"/>
      <c r="CF1789" s="1455"/>
      <c r="CG1789" s="1191"/>
      <c r="CH1789" s="1455"/>
      <c r="CI1789" s="1455"/>
      <c r="CJ1789" s="2"/>
      <c r="CK1789" s="2"/>
      <c r="CM1789" s="1140">
        <f t="shared" si="1092"/>
        <v>0</v>
      </c>
      <c r="CN1789" s="1140"/>
      <c r="CP1789" s="923">
        <f t="shared" si="1091"/>
        <v>0</v>
      </c>
      <c r="CZ1789" s="1456"/>
    </row>
    <row r="1790" spans="1:104" x14ac:dyDescent="0.25">
      <c r="A1790" s="684">
        <f>MAX($A$6:A1789)+1</f>
        <v>1790</v>
      </c>
      <c r="B1790" s="3">
        <f t="shared" si="1121"/>
        <v>22.1</v>
      </c>
      <c r="C1790" s="11" t="str">
        <f t="shared" si="1112"/>
        <v>Revenue Resource Limit</v>
      </c>
      <c r="D1790" s="11"/>
      <c r="E1790" s="1254" t="s">
        <v>161</v>
      </c>
      <c r="F1790" s="13"/>
      <c r="G1790" s="1254" t="s">
        <v>286</v>
      </c>
      <c r="H1790" s="1510"/>
      <c r="I1790" s="1510"/>
      <c r="J1790" s="1254" t="s">
        <v>161</v>
      </c>
      <c r="K1790" s="1185">
        <f>SUMIF('alb Note 22 - RRL &amp; CRL'!$A$13:$A$48,J1790,'alb Note 22 - RRL &amp; CRL'!$C$13:$C$48)</f>
        <v>0</v>
      </c>
      <c r="L1790" s="1454"/>
      <c r="M1790" s="1290"/>
      <c r="N1790" s="273">
        <f t="shared" si="1120"/>
        <v>0</v>
      </c>
      <c r="O1790" s="1290"/>
      <c r="P1790" s="1290"/>
      <c r="Q1790" s="1290"/>
      <c r="R1790" s="1290"/>
      <c r="S1790" s="6"/>
      <c r="T1790" s="273">
        <f>ROUND(SUM(U1790:Y1790),0)</f>
        <v>0</v>
      </c>
      <c r="U1790" s="1290"/>
      <c r="V1790" s="1290"/>
      <c r="W1790" s="6"/>
      <c r="X1790" s="1290"/>
      <c r="Y1790" s="1290"/>
      <c r="Z1790" s="1290"/>
      <c r="AA1790" s="1290"/>
      <c r="AB1790" s="1290"/>
      <c r="AC1790" s="1290"/>
      <c r="AD1790" s="1290"/>
      <c r="AE1790" s="1290"/>
      <c r="AF1790" s="1290"/>
      <c r="AG1790" s="1290"/>
      <c r="AH1790" s="1290"/>
      <c r="AI1790" s="1290"/>
      <c r="AJ1790" s="1290"/>
      <c r="AK1790" s="1290"/>
      <c r="AL1790" s="1290"/>
      <c r="AM1790" s="1290"/>
      <c r="AN1790" s="1290"/>
      <c r="AO1790" s="1290"/>
      <c r="AP1790" s="1290"/>
      <c r="AQ1790" s="1290"/>
      <c r="AR1790" s="1290"/>
      <c r="AS1790" s="1290"/>
      <c r="AT1790" s="1290"/>
      <c r="AU1790" s="1290"/>
      <c r="AV1790" s="1290"/>
      <c r="AW1790" s="2"/>
      <c r="AX1790" s="1290"/>
      <c r="AY1790" s="6"/>
      <c r="AZ1790" s="2"/>
      <c r="BA1790" s="1290"/>
      <c r="BB1790" s="6"/>
      <c r="BC1790" s="1290"/>
      <c r="BD1790" s="29"/>
      <c r="BE1790" s="1455"/>
      <c r="BF1790" s="1455"/>
      <c r="BG1790" s="1455"/>
      <c r="BH1790" s="1455"/>
      <c r="BI1790" s="1455"/>
      <c r="BJ1790" s="1455"/>
      <c r="BK1790" s="29"/>
      <c r="BL1790" s="1455"/>
      <c r="BM1790" s="1455"/>
      <c r="BN1790" s="1455"/>
      <c r="BO1790" s="1455"/>
      <c r="BP1790" s="1455"/>
      <c r="BQ1790" s="1455"/>
      <c r="BR1790" s="1455"/>
      <c r="BS1790" s="1455"/>
      <c r="BT1790" s="1455"/>
      <c r="BU1790" s="1455"/>
      <c r="BV1790" s="1455"/>
      <c r="BW1790" s="1455"/>
      <c r="BX1790" s="1455"/>
      <c r="BY1790" s="1455"/>
      <c r="BZ1790" s="1455"/>
      <c r="CA1790" s="1455"/>
      <c r="CB1790" s="1455"/>
      <c r="CC1790" s="1455"/>
      <c r="CD1790" s="1455"/>
      <c r="CE1790" s="1455"/>
      <c r="CF1790" s="1455"/>
      <c r="CG1790" s="1191"/>
      <c r="CH1790" s="1455"/>
      <c r="CI1790" s="1455"/>
      <c r="CJ1790" s="2"/>
      <c r="CK1790" s="2"/>
      <c r="CM1790" s="1140">
        <f t="shared" si="1092"/>
        <v>0</v>
      </c>
      <c r="CN1790" s="1140"/>
      <c r="CP1790" s="923">
        <f t="shared" si="1091"/>
        <v>0</v>
      </c>
      <c r="CZ1790" s="1456"/>
    </row>
    <row r="1791" spans="1:104" x14ac:dyDescent="0.25">
      <c r="A1791" s="684">
        <f>MAX($A$6:A1790)+1</f>
        <v>1791</v>
      </c>
      <c r="B1791" s="3">
        <f t="shared" si="1121"/>
        <v>22.1</v>
      </c>
      <c r="C1791" s="11" t="str">
        <f t="shared" si="1112"/>
        <v>Revenue Resource Limit</v>
      </c>
      <c r="D1791" s="11"/>
      <c r="E1791" s="1254" t="s">
        <v>208</v>
      </c>
      <c r="F1791" s="13"/>
      <c r="G1791" s="1254" t="s">
        <v>286</v>
      </c>
      <c r="H1791" s="1510"/>
      <c r="I1791" s="1510"/>
      <c r="J1791" s="1254" t="s">
        <v>208</v>
      </c>
      <c r="K1791" s="1185">
        <f>SUMIF('alb Note 22 - RRL &amp; CRL'!$A$13:$A$48,J1791,'alb Note 22 - RRL &amp; CRL'!$C$13:$C$48)</f>
        <v>0</v>
      </c>
      <c r="L1791" s="1454"/>
      <c r="M1791" s="1290"/>
      <c r="N1791" s="273">
        <f t="shared" si="1120"/>
        <v>0</v>
      </c>
      <c r="O1791" s="1290"/>
      <c r="P1791" s="1290"/>
      <c r="Q1791" s="1290"/>
      <c r="R1791" s="1290"/>
      <c r="S1791" s="6"/>
      <c r="T1791" s="273">
        <f>ROUND(SUM(U1791:Y1791),0)</f>
        <v>0</v>
      </c>
      <c r="U1791" s="1290"/>
      <c r="V1791" s="1290"/>
      <c r="W1791" s="6"/>
      <c r="X1791" s="1290"/>
      <c r="Y1791" s="1290"/>
      <c r="Z1791" s="1290"/>
      <c r="AA1791" s="1290"/>
      <c r="AB1791" s="1290"/>
      <c r="AC1791" s="1290"/>
      <c r="AD1791" s="1290"/>
      <c r="AE1791" s="1290"/>
      <c r="AF1791" s="1290"/>
      <c r="AG1791" s="1290"/>
      <c r="AH1791" s="1290"/>
      <c r="AI1791" s="1290"/>
      <c r="AJ1791" s="1290"/>
      <c r="AK1791" s="1290"/>
      <c r="AL1791" s="1290"/>
      <c r="AM1791" s="1290"/>
      <c r="AN1791" s="1290"/>
      <c r="AO1791" s="1290"/>
      <c r="AP1791" s="1290"/>
      <c r="AQ1791" s="1290"/>
      <c r="AR1791" s="1290"/>
      <c r="AS1791" s="1290"/>
      <c r="AT1791" s="1290"/>
      <c r="AU1791" s="1290"/>
      <c r="AV1791" s="1290"/>
      <c r="AW1791" s="2"/>
      <c r="AX1791" s="1290"/>
      <c r="AY1791" s="6"/>
      <c r="AZ1791" s="2"/>
      <c r="BA1791" s="1290"/>
      <c r="BB1791" s="6"/>
      <c r="BC1791" s="1290"/>
      <c r="BD1791" s="29"/>
      <c r="BE1791" s="1455"/>
      <c r="BF1791" s="1455"/>
      <c r="BG1791" s="1455"/>
      <c r="BH1791" s="1455"/>
      <c r="BI1791" s="1455"/>
      <c r="BJ1791" s="1455"/>
      <c r="BK1791" s="29"/>
      <c r="BL1791" s="1455"/>
      <c r="BM1791" s="1455"/>
      <c r="BN1791" s="1455"/>
      <c r="BO1791" s="1455"/>
      <c r="BP1791" s="1455"/>
      <c r="BQ1791" s="1455"/>
      <c r="BR1791" s="1455"/>
      <c r="BS1791" s="1455"/>
      <c r="BT1791" s="1455"/>
      <c r="BU1791" s="1455"/>
      <c r="BV1791" s="1455"/>
      <c r="BW1791" s="1455"/>
      <c r="BX1791" s="1455"/>
      <c r="BY1791" s="1455"/>
      <c r="BZ1791" s="1455"/>
      <c r="CA1791" s="1455"/>
      <c r="CB1791" s="1455"/>
      <c r="CC1791" s="1455"/>
      <c r="CD1791" s="1455"/>
      <c r="CE1791" s="1455"/>
      <c r="CF1791" s="1455"/>
      <c r="CG1791" s="1191"/>
      <c r="CH1791" s="1455"/>
      <c r="CI1791" s="1455"/>
      <c r="CJ1791" s="2"/>
      <c r="CK1791" s="2"/>
      <c r="CM1791" s="1140">
        <f t="shared" si="1092"/>
        <v>0</v>
      </c>
      <c r="CN1791" s="1140"/>
      <c r="CP1791" s="923">
        <f t="shared" si="1091"/>
        <v>0</v>
      </c>
      <c r="CZ1791" s="1456"/>
    </row>
    <row r="1792" spans="1:104" ht="38.25" x14ac:dyDescent="0.25">
      <c r="A1792" s="684">
        <f>MAX($A$6:A1791)+1</f>
        <v>1792</v>
      </c>
      <c r="B1792" s="3">
        <f t="shared" si="1121"/>
        <v>22.1</v>
      </c>
      <c r="C1792" s="11" t="str">
        <f t="shared" si="1112"/>
        <v>Revenue Resource Limit</v>
      </c>
      <c r="D1792" s="11"/>
      <c r="E1792" s="1254" t="s">
        <v>2556</v>
      </c>
      <c r="F1792" s="13"/>
      <c r="G1792" s="1254" t="s">
        <v>286</v>
      </c>
      <c r="H1792" s="1510"/>
      <c r="I1792" s="1510"/>
      <c r="J1792" s="1254" t="s">
        <v>2556</v>
      </c>
      <c r="K1792" s="1185">
        <f>SUMIF('alb Note 22 - RRL &amp; CRL'!$A$13:$A$48,J1792,'alb Note 22 - RRL &amp; CRL'!$C$13:$C$48)</f>
        <v>0</v>
      </c>
      <c r="L1792" s="1454"/>
      <c r="M1792" s="1290"/>
      <c r="N1792" s="273">
        <f t="shared" si="1120"/>
        <v>0</v>
      </c>
      <c r="O1792" s="1290"/>
      <c r="P1792" s="1290"/>
      <c r="Q1792" s="1290"/>
      <c r="R1792" s="1290"/>
      <c r="S1792" s="6"/>
      <c r="T1792" s="273">
        <f t="shared" si="1113"/>
        <v>0</v>
      </c>
      <c r="U1792" s="1290"/>
      <c r="V1792" s="1290"/>
      <c r="W1792" s="6"/>
      <c r="X1792" s="1290"/>
      <c r="Y1792" s="1290"/>
      <c r="Z1792" s="1290"/>
      <c r="AA1792" s="1290"/>
      <c r="AB1792" s="1290"/>
      <c r="AC1792" s="1290"/>
      <c r="AD1792" s="1290"/>
      <c r="AE1792" s="1290"/>
      <c r="AF1792" s="1290"/>
      <c r="AG1792" s="1290"/>
      <c r="AH1792" s="1290"/>
      <c r="AI1792" s="1290"/>
      <c r="AJ1792" s="1290"/>
      <c r="AK1792" s="1290"/>
      <c r="AL1792" s="1290"/>
      <c r="AM1792" s="1290"/>
      <c r="AN1792" s="1290"/>
      <c r="AO1792" s="1290"/>
      <c r="AP1792" s="1290"/>
      <c r="AQ1792" s="1290"/>
      <c r="AR1792" s="1290"/>
      <c r="AS1792" s="1290"/>
      <c r="AT1792" s="1290"/>
      <c r="AU1792" s="1290"/>
      <c r="AV1792" s="1290"/>
      <c r="AW1792" s="2"/>
      <c r="AX1792" s="1290"/>
      <c r="AY1792" s="6"/>
      <c r="AZ1792" s="2"/>
      <c r="BA1792" s="1290"/>
      <c r="BB1792" s="6"/>
      <c r="BC1792" s="1290"/>
      <c r="BD1792" s="29"/>
      <c r="BE1792" s="1455"/>
      <c r="BF1792" s="1455"/>
      <c r="BG1792" s="1455"/>
      <c r="BH1792" s="1455"/>
      <c r="BI1792" s="1455"/>
      <c r="BJ1792" s="1455"/>
      <c r="BK1792" s="29"/>
      <c r="BL1792" s="1455"/>
      <c r="BM1792" s="1455"/>
      <c r="BN1792" s="1455"/>
      <c r="BO1792" s="1455"/>
      <c r="BP1792" s="1455"/>
      <c r="BQ1792" s="1455"/>
      <c r="BR1792" s="1455"/>
      <c r="BS1792" s="1455"/>
      <c r="BT1792" s="1455"/>
      <c r="BU1792" s="1455"/>
      <c r="BV1792" s="1455"/>
      <c r="BW1792" s="1455"/>
      <c r="BX1792" s="1455"/>
      <c r="BY1792" s="1455"/>
      <c r="BZ1792" s="1455"/>
      <c r="CA1792" s="1455"/>
      <c r="CB1792" s="1455"/>
      <c r="CC1792" s="1455"/>
      <c r="CD1792" s="1455"/>
      <c r="CE1792" s="1455"/>
      <c r="CF1792" s="1455"/>
      <c r="CG1792" s="1191"/>
      <c r="CH1792" s="1455"/>
      <c r="CI1792" s="1455"/>
      <c r="CJ1792" s="2"/>
      <c r="CK1792" s="2"/>
      <c r="CM1792" s="1140">
        <f t="shared" si="1092"/>
        <v>0</v>
      </c>
      <c r="CN1792" s="1140"/>
      <c r="CP1792" s="923">
        <f t="shared" si="1091"/>
        <v>0</v>
      </c>
      <c r="CZ1792" s="1456"/>
    </row>
    <row r="1793" spans="1:104" ht="29.25" customHeight="1" x14ac:dyDescent="0.25">
      <c r="A1793" s="684">
        <f>MAX($A$6:A1792)+1</f>
        <v>1793</v>
      </c>
      <c r="B1793" s="3">
        <f t="shared" si="1121"/>
        <v>22.1</v>
      </c>
      <c r="C1793" s="11" t="str">
        <f t="shared" si="1112"/>
        <v>Revenue Resource Limit</v>
      </c>
      <c r="D1793" s="11"/>
      <c r="E1793" s="1254" t="s">
        <v>353</v>
      </c>
      <c r="F1793" s="13"/>
      <c r="G1793" s="1254" t="s">
        <v>286</v>
      </c>
      <c r="H1793" s="1510"/>
      <c r="I1793" s="1510"/>
      <c r="J1793" s="1254" t="s">
        <v>353</v>
      </c>
      <c r="K1793" s="1185">
        <f>SUMIF('alb Note 22 - RRL &amp; CRL'!$A$13:$A$48,J1793,'alb Note 22 - RRL &amp; CRL'!$C$13:$C$48)</f>
        <v>0</v>
      </c>
      <c r="L1793" s="1454"/>
      <c r="M1793" s="1290"/>
      <c r="N1793" s="273">
        <f t="shared" si="1120"/>
        <v>0</v>
      </c>
      <c r="O1793" s="1290"/>
      <c r="P1793" s="1290"/>
      <c r="Q1793" s="1290"/>
      <c r="R1793" s="1290"/>
      <c r="S1793" s="6">
        <f t="shared" ref="S1793:S1799" si="1122">-IF(ISNUMBER(BD1793),BD1793,0)</f>
        <v>0</v>
      </c>
      <c r="T1793" s="273">
        <f t="shared" si="1113"/>
        <v>0</v>
      </c>
      <c r="U1793" s="1290">
        <f t="shared" ref="U1793:U1799" si="1123">SUM(BL1793:BN1793)</f>
        <v>0</v>
      </c>
      <c r="V1793" s="1290"/>
      <c r="W1793" s="6">
        <f t="shared" ref="W1793:W1799" si="1124">+H1793</f>
        <v>0</v>
      </c>
      <c r="X1793" s="1290"/>
      <c r="Y1793" s="1290"/>
      <c r="Z1793" s="1290"/>
      <c r="AA1793" s="1290"/>
      <c r="AB1793" s="1290"/>
      <c r="AC1793" s="1290"/>
      <c r="AD1793" s="1290"/>
      <c r="AE1793" s="1290"/>
      <c r="AF1793" s="1290"/>
      <c r="AG1793" s="1290"/>
      <c r="AH1793" s="1290"/>
      <c r="AI1793" s="1290"/>
      <c r="AJ1793" s="1290"/>
      <c r="AK1793" s="1290"/>
      <c r="AL1793" s="1290"/>
      <c r="AM1793" s="1290"/>
      <c r="AN1793" s="1290"/>
      <c r="AO1793" s="1290"/>
      <c r="AP1793" s="1290"/>
      <c r="AQ1793" s="1290"/>
      <c r="AR1793" s="1290"/>
      <c r="AS1793" s="1290"/>
      <c r="AT1793" s="1290"/>
      <c r="AU1793" s="1290"/>
      <c r="AV1793" s="1290"/>
      <c r="AW1793" s="2"/>
      <c r="AX1793" s="1290"/>
      <c r="AY1793" s="6">
        <f>ROUND(AX1793/1000/Update!$B$31*Update!$B$27,0)</f>
        <v>0</v>
      </c>
      <c r="AZ1793" s="2"/>
      <c r="BA1793" s="1290"/>
      <c r="BB1793" s="6">
        <f>ROUND(BA1793/1000/Update!$B$31,0)</f>
        <v>0</v>
      </c>
      <c r="BC1793" s="1290"/>
      <c r="BD1793" s="29">
        <f t="shared" ref="BD1793:BD1799" si="1125">ROUND(SUM(BE1793:BK1793),0)</f>
        <v>0</v>
      </c>
      <c r="BE1793" s="1455"/>
      <c r="BF1793" s="1455"/>
      <c r="BG1793" s="1455"/>
      <c r="BH1793" s="1455"/>
      <c r="BI1793" s="1455"/>
      <c r="BJ1793" s="1455"/>
      <c r="BK1793" s="29">
        <f t="shared" ref="BK1793:BK1799" si="1126">ROUND(SUM(BO1793:CI1793),0)</f>
        <v>0</v>
      </c>
      <c r="BL1793" s="1455"/>
      <c r="BM1793" s="1455"/>
      <c r="BN1793" s="1455"/>
      <c r="BO1793" s="1455"/>
      <c r="BP1793" s="1455"/>
      <c r="BQ1793" s="1455"/>
      <c r="BR1793" s="1455"/>
      <c r="BS1793" s="1455"/>
      <c r="BT1793" s="1455"/>
      <c r="BU1793" s="1455"/>
      <c r="BV1793" s="1455"/>
      <c r="BW1793" s="1455"/>
      <c r="BX1793" s="1455"/>
      <c r="BY1793" s="1455"/>
      <c r="BZ1793" s="1455"/>
      <c r="CA1793" s="1455"/>
      <c r="CB1793" s="1455"/>
      <c r="CC1793" s="1455"/>
      <c r="CD1793" s="1455"/>
      <c r="CE1793" s="1455"/>
      <c r="CF1793" s="1455"/>
      <c r="CG1793" s="1191"/>
      <c r="CH1793" s="1455"/>
      <c r="CI1793" s="1455"/>
      <c r="CJ1793" s="2"/>
      <c r="CK1793" s="2"/>
      <c r="CM1793" s="1140">
        <f t="shared" si="1092"/>
        <v>0</v>
      </c>
      <c r="CN1793" s="1140">
        <v>0</v>
      </c>
      <c r="CP1793" s="923">
        <f t="shared" si="1091"/>
        <v>0</v>
      </c>
      <c r="CZ1793" s="1456"/>
    </row>
    <row r="1794" spans="1:104" ht="38.25" x14ac:dyDescent="0.25">
      <c r="A1794" s="684">
        <f>MAX($A$6:A1793)+1</f>
        <v>1794</v>
      </c>
      <c r="B1794" s="3">
        <f t="shared" si="1121"/>
        <v>22.1</v>
      </c>
      <c r="C1794" s="11" t="str">
        <f t="shared" si="1112"/>
        <v>Revenue Resource Limit</v>
      </c>
      <c r="D1794" s="11"/>
      <c r="E1794" s="1254" t="s">
        <v>2426</v>
      </c>
      <c r="F1794" s="13"/>
      <c r="G1794" s="1254" t="s">
        <v>286</v>
      </c>
      <c r="H1794" s="1510"/>
      <c r="I1794" s="1510"/>
      <c r="J1794" s="1254" t="s">
        <v>2426</v>
      </c>
      <c r="K1794" s="1185">
        <f>SUMIF('alb Note 22 - RRL &amp; CRL'!$A$13:$A$48,J1794,'alb Note 22 - RRL &amp; CRL'!$C$13:$C$48)</f>
        <v>0</v>
      </c>
      <c r="L1794" s="1454"/>
      <c r="M1794" s="1290"/>
      <c r="N1794" s="273">
        <f t="shared" si="1120"/>
        <v>0</v>
      </c>
      <c r="O1794" s="1290"/>
      <c r="P1794" s="1290"/>
      <c r="Q1794" s="1290"/>
      <c r="R1794" s="1290"/>
      <c r="S1794" s="6">
        <f t="shared" si="1122"/>
        <v>0</v>
      </c>
      <c r="T1794" s="273">
        <f t="shared" si="1113"/>
        <v>0</v>
      </c>
      <c r="U1794" s="1290">
        <f t="shared" si="1123"/>
        <v>0</v>
      </c>
      <c r="V1794" s="1290"/>
      <c r="W1794" s="6">
        <f t="shared" si="1124"/>
        <v>0</v>
      </c>
      <c r="X1794" s="1290"/>
      <c r="Y1794" s="1290"/>
      <c r="Z1794" s="1290"/>
      <c r="AA1794" s="1290"/>
      <c r="AB1794" s="1290"/>
      <c r="AC1794" s="1290"/>
      <c r="AD1794" s="1290"/>
      <c r="AE1794" s="1290"/>
      <c r="AF1794" s="1290"/>
      <c r="AG1794" s="1290"/>
      <c r="AH1794" s="1290"/>
      <c r="AI1794" s="1290"/>
      <c r="AJ1794" s="1290"/>
      <c r="AK1794" s="1290"/>
      <c r="AL1794" s="1290"/>
      <c r="AM1794" s="1290"/>
      <c r="AN1794" s="1290"/>
      <c r="AO1794" s="1290"/>
      <c r="AP1794" s="1290"/>
      <c r="AQ1794" s="1290"/>
      <c r="AR1794" s="1290"/>
      <c r="AS1794" s="1290"/>
      <c r="AT1794" s="1290"/>
      <c r="AU1794" s="1290"/>
      <c r="AV1794" s="1290"/>
      <c r="AW1794" s="2"/>
      <c r="AX1794" s="1290"/>
      <c r="AY1794" s="6">
        <f>ROUND(AX1794/1000/Update!$B$31*Update!$B$27,0)</f>
        <v>0</v>
      </c>
      <c r="AZ1794" s="2"/>
      <c r="BA1794" s="1290"/>
      <c r="BB1794" s="6">
        <f>ROUND(BA1794/1000/Update!$B$31,0)</f>
        <v>0</v>
      </c>
      <c r="BC1794" s="1290"/>
      <c r="BD1794" s="29">
        <f t="shared" si="1125"/>
        <v>0</v>
      </c>
      <c r="BE1794" s="1455"/>
      <c r="BF1794" s="1455"/>
      <c r="BG1794" s="1455"/>
      <c r="BH1794" s="1455"/>
      <c r="BI1794" s="1455"/>
      <c r="BJ1794" s="1455"/>
      <c r="BK1794" s="29">
        <f t="shared" si="1126"/>
        <v>0</v>
      </c>
      <c r="BL1794" s="1455"/>
      <c r="BM1794" s="1455"/>
      <c r="BN1794" s="1455"/>
      <c r="BO1794" s="1455"/>
      <c r="BP1794" s="1455"/>
      <c r="BQ1794" s="1455"/>
      <c r="BR1794" s="1455"/>
      <c r="BS1794" s="1455"/>
      <c r="BT1794" s="1455"/>
      <c r="BU1794" s="1455"/>
      <c r="BV1794" s="1455"/>
      <c r="BW1794" s="1455"/>
      <c r="BX1794" s="1455"/>
      <c r="BY1794" s="1455"/>
      <c r="BZ1794" s="1455"/>
      <c r="CA1794" s="1455"/>
      <c r="CB1794" s="1455"/>
      <c r="CC1794" s="1455"/>
      <c r="CD1794" s="1455"/>
      <c r="CE1794" s="1455"/>
      <c r="CF1794" s="1455"/>
      <c r="CG1794" s="1191"/>
      <c r="CH1794" s="1455"/>
      <c r="CI1794" s="1455"/>
      <c r="CJ1794" s="2"/>
      <c r="CK1794" s="2"/>
      <c r="CM1794" s="1140">
        <f t="shared" si="1092"/>
        <v>0</v>
      </c>
      <c r="CN1794" s="1140">
        <v>0</v>
      </c>
      <c r="CP1794" s="923">
        <f t="shared" si="1091"/>
        <v>0</v>
      </c>
      <c r="CZ1794" s="1456"/>
    </row>
    <row r="1795" spans="1:104" x14ac:dyDescent="0.25">
      <c r="A1795" s="684">
        <f>MAX($A$6:A1794)+1</f>
        <v>1795</v>
      </c>
      <c r="B1795" s="3">
        <f t="shared" si="1121"/>
        <v>22.1</v>
      </c>
      <c r="C1795" s="11" t="str">
        <f t="shared" si="1112"/>
        <v>Revenue Resource Limit</v>
      </c>
      <c r="D1795" s="11"/>
      <c r="E1795" s="1254" t="str">
        <f>+J1795</f>
        <v>Other Capital items in the SoCNE</v>
      </c>
      <c r="F1795" s="13"/>
      <c r="G1795" s="1254" t="s">
        <v>286</v>
      </c>
      <c r="H1795" s="1510"/>
      <c r="I1795" s="1510"/>
      <c r="J1795" s="1254" t="s">
        <v>2835</v>
      </c>
      <c r="K1795" s="1185">
        <f>SUMIF('alb Note 22 - RRL &amp; CRL'!$A$13:$A$48,J1795,'alb Note 22 - RRL &amp; CRL'!$C$13:$C$48)</f>
        <v>0</v>
      </c>
      <c r="L1795" s="1454"/>
      <c r="M1795" s="1290"/>
      <c r="N1795" s="273">
        <f t="shared" si="1120"/>
        <v>0</v>
      </c>
      <c r="O1795" s="1290"/>
      <c r="P1795" s="1290"/>
      <c r="Q1795" s="1290"/>
      <c r="R1795" s="1290"/>
      <c r="S1795" s="6">
        <f t="shared" si="1122"/>
        <v>0</v>
      </c>
      <c r="T1795" s="273">
        <f t="shared" si="1113"/>
        <v>0</v>
      </c>
      <c r="U1795" s="1290">
        <f t="shared" si="1123"/>
        <v>0</v>
      </c>
      <c r="V1795" s="1290"/>
      <c r="W1795" s="6">
        <f t="shared" si="1124"/>
        <v>0</v>
      </c>
      <c r="X1795" s="1290"/>
      <c r="Y1795" s="1290"/>
      <c r="Z1795" s="1290"/>
      <c r="AA1795" s="1290"/>
      <c r="AB1795" s="1290"/>
      <c r="AC1795" s="1290"/>
      <c r="AD1795" s="1290"/>
      <c r="AE1795" s="1290"/>
      <c r="AF1795" s="1290"/>
      <c r="AG1795" s="1290"/>
      <c r="AH1795" s="1290"/>
      <c r="AI1795" s="1290"/>
      <c r="AJ1795" s="1290"/>
      <c r="AK1795" s="1290"/>
      <c r="AL1795" s="1290"/>
      <c r="AM1795" s="1290"/>
      <c r="AN1795" s="1290"/>
      <c r="AO1795" s="1290"/>
      <c r="AP1795" s="1290"/>
      <c r="AQ1795" s="1290"/>
      <c r="AR1795" s="1290"/>
      <c r="AS1795" s="1290"/>
      <c r="AT1795" s="1290"/>
      <c r="AU1795" s="1290"/>
      <c r="AV1795" s="1290"/>
      <c r="AW1795" s="2"/>
      <c r="AX1795" s="1290"/>
      <c r="AY1795" s="6">
        <f>ROUND(AX1795/1000/Update!$B$31*Update!$B$27,0)</f>
        <v>0</v>
      </c>
      <c r="AZ1795" s="2"/>
      <c r="BA1795" s="1290"/>
      <c r="BB1795" s="6">
        <f>ROUND(BA1795/1000/Update!$B$31,0)</f>
        <v>0</v>
      </c>
      <c r="BC1795" s="1290"/>
      <c r="BD1795" s="29">
        <f t="shared" si="1125"/>
        <v>0</v>
      </c>
      <c r="BE1795" s="1455"/>
      <c r="BF1795" s="1455"/>
      <c r="BG1795" s="1455"/>
      <c r="BH1795" s="1455"/>
      <c r="BI1795" s="1455"/>
      <c r="BJ1795" s="1455"/>
      <c r="BK1795" s="29">
        <f t="shared" si="1126"/>
        <v>0</v>
      </c>
      <c r="BL1795" s="1455"/>
      <c r="BM1795" s="1455"/>
      <c r="BN1795" s="1455"/>
      <c r="BO1795" s="1455"/>
      <c r="BP1795" s="1455"/>
      <c r="BQ1795" s="1455"/>
      <c r="BR1795" s="1455"/>
      <c r="BS1795" s="1455"/>
      <c r="BT1795" s="1455"/>
      <c r="BU1795" s="1455"/>
      <c r="BV1795" s="1455"/>
      <c r="BW1795" s="1455"/>
      <c r="BX1795" s="1455"/>
      <c r="BY1795" s="1455"/>
      <c r="BZ1795" s="1455"/>
      <c r="CA1795" s="1455"/>
      <c r="CB1795" s="1455"/>
      <c r="CC1795" s="1455"/>
      <c r="CD1795" s="1455"/>
      <c r="CE1795" s="1455"/>
      <c r="CF1795" s="1455"/>
      <c r="CG1795" s="1191"/>
      <c r="CH1795" s="1455"/>
      <c r="CI1795" s="1455"/>
      <c r="CJ1795" s="2"/>
      <c r="CK1795" s="2"/>
      <c r="CM1795" s="1140">
        <f t="shared" si="1092"/>
        <v>0</v>
      </c>
      <c r="CN1795" s="1140">
        <v>0</v>
      </c>
      <c r="CP1795" s="923">
        <f t="shared" si="1091"/>
        <v>0</v>
      </c>
      <c r="CZ1795" s="1456"/>
    </row>
    <row r="1796" spans="1:104" ht="25.5" customHeight="1" x14ac:dyDescent="0.25">
      <c r="A1796" s="684">
        <f>MAX($A$6:A1795)+1</f>
        <v>1796</v>
      </c>
      <c r="B1796" s="3">
        <f t="shared" si="1121"/>
        <v>22.1</v>
      </c>
      <c r="C1796" s="11" t="str">
        <f t="shared" si="1112"/>
        <v>Revenue Resource Limit</v>
      </c>
      <c r="D1796" s="11"/>
      <c r="E1796" s="1269" t="str">
        <f>+J1796</f>
        <v>Other (Specify)</v>
      </c>
      <c r="F1796" s="13"/>
      <c r="G1796" s="1254" t="s">
        <v>286</v>
      </c>
      <c r="H1796" s="1510"/>
      <c r="I1796" s="1510"/>
      <c r="J1796" s="1269" t="s">
        <v>2762</v>
      </c>
      <c r="K1796" s="1185">
        <f>SUMIF('alb Note 22 - RRL &amp; CRL'!$A$13:$A$48,J1796,'alb Note 22 - RRL &amp; CRL'!$C$13:$C$48)</f>
        <v>0</v>
      </c>
      <c r="L1796" s="1454"/>
      <c r="M1796" s="1290"/>
      <c r="N1796" s="273">
        <f t="shared" si="1120"/>
        <v>0</v>
      </c>
      <c r="O1796" s="1290"/>
      <c r="P1796" s="1290"/>
      <c r="Q1796" s="1290"/>
      <c r="R1796" s="1290"/>
      <c r="S1796" s="6">
        <f t="shared" si="1122"/>
        <v>0</v>
      </c>
      <c r="T1796" s="273">
        <f>ROUND(SUM(U1796:Y1796),0)</f>
        <v>0</v>
      </c>
      <c r="U1796" s="1290">
        <f t="shared" si="1123"/>
        <v>0</v>
      </c>
      <c r="V1796" s="1290"/>
      <c r="W1796" s="6">
        <f t="shared" si="1124"/>
        <v>0</v>
      </c>
      <c r="X1796" s="1290"/>
      <c r="Y1796" s="1290"/>
      <c r="Z1796" s="1290"/>
      <c r="AA1796" s="1290"/>
      <c r="AB1796" s="1290"/>
      <c r="AC1796" s="1290"/>
      <c r="AD1796" s="1290"/>
      <c r="AE1796" s="1290"/>
      <c r="AF1796" s="1290"/>
      <c r="AG1796" s="1290"/>
      <c r="AH1796" s="1290"/>
      <c r="AI1796" s="1290"/>
      <c r="AJ1796" s="1290"/>
      <c r="AK1796" s="1290"/>
      <c r="AL1796" s="1290"/>
      <c r="AM1796" s="1290"/>
      <c r="AN1796" s="1290"/>
      <c r="AO1796" s="1290"/>
      <c r="AP1796" s="1290"/>
      <c r="AQ1796" s="1290"/>
      <c r="AR1796" s="1290"/>
      <c r="AS1796" s="1290"/>
      <c r="AT1796" s="1290"/>
      <c r="AU1796" s="1290"/>
      <c r="AV1796" s="1290"/>
      <c r="AW1796" s="2"/>
      <c r="AX1796" s="1290"/>
      <c r="AY1796" s="6">
        <f>ROUND(AX1796/1000/Update!$B$31*Update!$B$27,0)</f>
        <v>0</v>
      </c>
      <c r="AZ1796" s="2"/>
      <c r="BA1796" s="1290"/>
      <c r="BB1796" s="6">
        <f>ROUND(BA1796/1000/Update!$B$31,0)</f>
        <v>0</v>
      </c>
      <c r="BC1796" s="1290"/>
      <c r="BD1796" s="29">
        <f t="shared" si="1125"/>
        <v>0</v>
      </c>
      <c r="BE1796" s="1455"/>
      <c r="BF1796" s="1455"/>
      <c r="BG1796" s="1455"/>
      <c r="BH1796" s="1455"/>
      <c r="BI1796" s="1455"/>
      <c r="BJ1796" s="1455"/>
      <c r="BK1796" s="29">
        <f t="shared" si="1126"/>
        <v>0</v>
      </c>
      <c r="BL1796" s="1455"/>
      <c r="BM1796" s="1455"/>
      <c r="BN1796" s="1455"/>
      <c r="BO1796" s="1455"/>
      <c r="BP1796" s="1455"/>
      <c r="BQ1796" s="1455"/>
      <c r="BR1796" s="1455"/>
      <c r="BS1796" s="1455"/>
      <c r="BT1796" s="1455"/>
      <c r="BU1796" s="1455"/>
      <c r="BV1796" s="1455"/>
      <c r="BW1796" s="1455"/>
      <c r="BX1796" s="1455"/>
      <c r="BY1796" s="1455"/>
      <c r="BZ1796" s="1455"/>
      <c r="CA1796" s="1455"/>
      <c r="CB1796" s="1455"/>
      <c r="CC1796" s="1455"/>
      <c r="CD1796" s="1455"/>
      <c r="CE1796" s="1455"/>
      <c r="CF1796" s="1455"/>
      <c r="CG1796" s="1191"/>
      <c r="CH1796" s="1455"/>
      <c r="CI1796" s="1455"/>
      <c r="CJ1796" s="2"/>
      <c r="CK1796" s="2"/>
      <c r="CM1796" s="1140">
        <f t="shared" si="1092"/>
        <v>0</v>
      </c>
      <c r="CN1796" s="1140">
        <v>0</v>
      </c>
      <c r="CP1796" s="923">
        <f t="shared" si="1091"/>
        <v>0</v>
      </c>
      <c r="CZ1796" s="1456"/>
    </row>
    <row r="1797" spans="1:104" x14ac:dyDescent="0.25">
      <c r="A1797" s="701">
        <f>MAX($A$6:A1796)+1</f>
        <v>1797</v>
      </c>
      <c r="B1797" s="1291">
        <f>B1795</f>
        <v>22.1</v>
      </c>
      <c r="C1797" s="18" t="str">
        <f>C1795</f>
        <v>Revenue Resource Limit</v>
      </c>
      <c r="D1797" s="18"/>
      <c r="E1797" s="1275" t="s">
        <v>2557</v>
      </c>
      <c r="F1797" s="19"/>
      <c r="G1797" s="28" t="s">
        <v>286</v>
      </c>
      <c r="H1797" s="14"/>
      <c r="I1797" s="14"/>
      <c r="J1797" s="1275" t="s">
        <v>2557</v>
      </c>
      <c r="K1797" s="14">
        <f>SUMIF('alb Note 22 - RRL &amp; CRL'!$A$13:$A$48,J1797,'alb Note 22 - RRL &amp; CRL'!$C$13:$C$48)</f>
        <v>0</v>
      </c>
      <c r="L1797" s="256"/>
      <c r="M1797" s="14"/>
      <c r="N1797" s="14">
        <f>SUM(N1784:N1796)</f>
        <v>0</v>
      </c>
      <c r="O1797" s="14"/>
      <c r="P1797" s="14"/>
      <c r="Q1797" s="14"/>
      <c r="R1797" s="14"/>
      <c r="S1797" s="14">
        <f t="shared" si="1122"/>
        <v>0</v>
      </c>
      <c r="T1797" s="14">
        <f t="shared" si="1113"/>
        <v>0</v>
      </c>
      <c r="U1797" s="14">
        <f t="shared" si="1123"/>
        <v>0</v>
      </c>
      <c r="V1797" s="14"/>
      <c r="W1797" s="14">
        <f t="shared" si="1124"/>
        <v>0</v>
      </c>
      <c r="X1797" s="14"/>
      <c r="Y1797" s="14"/>
      <c r="Z1797" s="14"/>
      <c r="AA1797" s="14"/>
      <c r="AB1797" s="14"/>
      <c r="AC1797" s="14"/>
      <c r="AD1797" s="14"/>
      <c r="AE1797" s="14"/>
      <c r="AF1797" s="14"/>
      <c r="AG1797" s="14"/>
      <c r="AH1797" s="14"/>
      <c r="AI1797" s="14"/>
      <c r="AJ1797" s="14"/>
      <c r="AK1797" s="14"/>
      <c r="AL1797" s="14"/>
      <c r="AM1797" s="14"/>
      <c r="AN1797" s="14"/>
      <c r="AO1797" s="14"/>
      <c r="AP1797" s="14"/>
      <c r="AQ1797" s="14"/>
      <c r="AR1797" s="14"/>
      <c r="AS1797" s="14"/>
      <c r="AT1797" s="14"/>
      <c r="AU1797" s="14"/>
      <c r="AV1797" s="14"/>
      <c r="AW1797" s="2"/>
      <c r="AX1797" s="14"/>
      <c r="AY1797" s="14">
        <f>ROUND(AX1797/1000/Update!$B$31*Update!$B$27,0)</f>
        <v>0</v>
      </c>
      <c r="AZ1797" s="2"/>
      <c r="BA1797" s="14"/>
      <c r="BB1797" s="14">
        <f>ROUND(BA1797/1000/Update!$B$31,0)</f>
        <v>0</v>
      </c>
      <c r="BC1797" s="14"/>
      <c r="BD1797" s="14">
        <f t="shared" si="1125"/>
        <v>0</v>
      </c>
      <c r="BE1797" s="318"/>
      <c r="BF1797" s="318"/>
      <c r="BG1797" s="318"/>
      <c r="BH1797" s="318"/>
      <c r="BI1797" s="318"/>
      <c r="BJ1797" s="318"/>
      <c r="BK1797" s="14">
        <f t="shared" si="1126"/>
        <v>0</v>
      </c>
      <c r="BL1797" s="318"/>
      <c r="BM1797" s="318"/>
      <c r="BN1797" s="318"/>
      <c r="BO1797" s="318"/>
      <c r="BP1797" s="318"/>
      <c r="BQ1797" s="318"/>
      <c r="BR1797" s="318"/>
      <c r="BS1797" s="318"/>
      <c r="BT1797" s="318"/>
      <c r="BU1797" s="318"/>
      <c r="BV1797" s="318"/>
      <c r="BW1797" s="318"/>
      <c r="BX1797" s="318"/>
      <c r="BY1797" s="318"/>
      <c r="BZ1797" s="318"/>
      <c r="CA1797" s="318"/>
      <c r="CB1797" s="318"/>
      <c r="CC1797" s="318"/>
      <c r="CD1797" s="318"/>
      <c r="CE1797" s="318"/>
      <c r="CF1797" s="318"/>
      <c r="CG1797" s="318"/>
      <c r="CH1797" s="318"/>
      <c r="CI1797" s="318"/>
      <c r="CJ1797" s="2"/>
      <c r="CK1797" s="2"/>
      <c r="CM1797" s="1140">
        <f t="shared" si="1092"/>
        <v>0</v>
      </c>
      <c r="CN1797" s="1140">
        <v>0</v>
      </c>
      <c r="CP1797" s="923">
        <f t="shared" si="1091"/>
        <v>0</v>
      </c>
      <c r="CZ1797" s="330"/>
    </row>
    <row r="1798" spans="1:104" ht="18.75" customHeight="1" x14ac:dyDescent="0.25">
      <c r="A1798" s="1297">
        <f>MAX($A$6:A1797)+1</f>
        <v>1798</v>
      </c>
      <c r="B1798" s="1295">
        <f>SUMIF(Update!$B$33:$B$106,C1798,Update!$A$33:$A$106)</f>
        <v>22.2</v>
      </c>
      <c r="C1798" s="696" t="s">
        <v>2428</v>
      </c>
      <c r="D1798" s="695"/>
      <c r="E1798" s="696"/>
      <c r="F1798" s="697"/>
      <c r="G1798" s="697"/>
      <c r="H1798" s="695"/>
      <c r="I1798" s="695"/>
      <c r="J1798" s="1010"/>
      <c r="K1798" s="1010"/>
      <c r="L1798" s="1010"/>
      <c r="M1798" s="1010"/>
      <c r="N1798" s="713"/>
      <c r="O1798" s="695"/>
      <c r="P1798" s="695"/>
      <c r="Q1798" s="695"/>
      <c r="R1798" s="695"/>
      <c r="S1798" s="695"/>
      <c r="T1798" s="713"/>
      <c r="U1798" s="695"/>
      <c r="V1798" s="695"/>
      <c r="W1798" s="695"/>
      <c r="X1798" s="695"/>
      <c r="Y1798" s="695"/>
      <c r="Z1798" s="695"/>
      <c r="AA1798" s="695"/>
      <c r="AB1798" s="695"/>
      <c r="AC1798" s="695"/>
      <c r="AD1798" s="695"/>
      <c r="AE1798" s="695"/>
      <c r="AF1798" s="695"/>
      <c r="AG1798" s="695"/>
      <c r="AH1798" s="695"/>
      <c r="AI1798" s="695"/>
      <c r="AJ1798" s="695"/>
      <c r="AK1798" s="695"/>
      <c r="AL1798" s="695"/>
      <c r="AM1798" s="695"/>
      <c r="AN1798" s="695"/>
      <c r="AO1798" s="695"/>
      <c r="AP1798" s="695"/>
      <c r="AQ1798" s="695"/>
      <c r="AR1798" s="695"/>
      <c r="AS1798" s="695"/>
      <c r="AT1798" s="695"/>
      <c r="AU1798" s="695"/>
      <c r="AV1798" s="695"/>
      <c r="AW1798" s="700"/>
      <c r="AX1798" s="700"/>
      <c r="AY1798" s="700"/>
      <c r="AZ1798" s="700"/>
      <c r="BA1798" s="700"/>
      <c r="BB1798" s="700"/>
      <c r="BC1798" s="700"/>
      <c r="BD1798" s="721"/>
      <c r="BE1798" s="700"/>
      <c r="BF1798" s="700"/>
      <c r="BG1798" s="700"/>
      <c r="BH1798" s="700"/>
      <c r="BI1798" s="700"/>
      <c r="BJ1798" s="700"/>
      <c r="BK1798" s="721"/>
      <c r="BL1798" s="700"/>
      <c r="BM1798" s="700"/>
      <c r="BN1798" s="700"/>
      <c r="BO1798" s="700"/>
      <c r="BP1798" s="700"/>
      <c r="BQ1798" s="700"/>
      <c r="BR1798" s="700"/>
      <c r="BS1798" s="700"/>
      <c r="BT1798" s="700"/>
      <c r="BU1798" s="700"/>
      <c r="BV1798" s="700"/>
      <c r="BW1798" s="700"/>
      <c r="BX1798" s="700"/>
      <c r="BY1798" s="700"/>
      <c r="BZ1798" s="700"/>
      <c r="CA1798" s="700"/>
      <c r="CB1798" s="700"/>
      <c r="CC1798" s="700"/>
      <c r="CD1798" s="700"/>
      <c r="CE1798" s="700"/>
      <c r="CF1798" s="700"/>
      <c r="CG1798" s="700"/>
      <c r="CH1798" s="700"/>
      <c r="CI1798" s="700"/>
      <c r="CJ1798" s="700"/>
      <c r="CK1798" s="700"/>
      <c r="CM1798" s="700"/>
      <c r="CN1798" s="700"/>
      <c r="CP1798" s="923">
        <f t="shared" si="1091"/>
        <v>0</v>
      </c>
      <c r="CZ1798" s="330"/>
    </row>
    <row r="1799" spans="1:104" ht="15" customHeight="1" x14ac:dyDescent="0.25">
      <c r="A1799" s="684">
        <f>MAX($A$6:A1798)+1</f>
        <v>1799</v>
      </c>
      <c r="B1799" s="3">
        <f>B1798</f>
        <v>22.2</v>
      </c>
      <c r="C1799" s="11" t="str">
        <f>C1798</f>
        <v>Capital Resource Limit</v>
      </c>
      <c r="D1799" s="11"/>
      <c r="E1799" s="1277" t="s">
        <v>2558</v>
      </c>
      <c r="F1799" s="13"/>
      <c r="G1799" s="1254" t="s">
        <v>286</v>
      </c>
      <c r="H1799" s="1510"/>
      <c r="I1799" s="1510"/>
      <c r="J1799" s="1277" t="s">
        <v>2558</v>
      </c>
      <c r="K1799" s="1512"/>
      <c r="L1799" s="1454"/>
      <c r="M1799" s="1290"/>
      <c r="N1799" s="273">
        <f>ROUND(SUM(O1799:S1799)+T1799+SUM(Z1799:AV1799),0)</f>
        <v>0</v>
      </c>
      <c r="O1799" s="1290"/>
      <c r="P1799" s="1290"/>
      <c r="Q1799" s="1290"/>
      <c r="R1799" s="1290"/>
      <c r="S1799" s="6">
        <f t="shared" si="1122"/>
        <v>0</v>
      </c>
      <c r="T1799" s="273">
        <f>ROUND(SUM(U1799:Y1799),0)</f>
        <v>0</v>
      </c>
      <c r="U1799" s="1290">
        <f t="shared" si="1123"/>
        <v>0</v>
      </c>
      <c r="V1799" s="1290"/>
      <c r="W1799" s="6">
        <f t="shared" si="1124"/>
        <v>0</v>
      </c>
      <c r="X1799" s="1290"/>
      <c r="Y1799" s="1290"/>
      <c r="Z1799" s="1290"/>
      <c r="AA1799" s="1290"/>
      <c r="AB1799" s="1290"/>
      <c r="AC1799" s="1290"/>
      <c r="AD1799" s="1290"/>
      <c r="AE1799" s="1290"/>
      <c r="AF1799" s="1290"/>
      <c r="AG1799" s="1290"/>
      <c r="AH1799" s="1290"/>
      <c r="AI1799" s="1290"/>
      <c r="AJ1799" s="1290"/>
      <c r="AK1799" s="1290"/>
      <c r="AL1799" s="1290"/>
      <c r="AM1799" s="1290"/>
      <c r="AN1799" s="1290"/>
      <c r="AO1799" s="1290"/>
      <c r="AP1799" s="1290"/>
      <c r="AQ1799" s="1290"/>
      <c r="AR1799" s="1290"/>
      <c r="AS1799" s="1290"/>
      <c r="AT1799" s="1290"/>
      <c r="AU1799" s="1290"/>
      <c r="AV1799" s="1290"/>
      <c r="AW1799" s="2"/>
      <c r="AX1799" s="1290"/>
      <c r="AY1799" s="6">
        <f>ROUND(AX1799/1000/Update!$B$31*Update!$B$27,0)</f>
        <v>0</v>
      </c>
      <c r="AZ1799" s="2"/>
      <c r="BA1799" s="1290"/>
      <c r="BB1799" s="6">
        <f>ROUND(BA1799/1000/Update!$B$31,0)</f>
        <v>0</v>
      </c>
      <c r="BC1799" s="1290"/>
      <c r="BD1799" s="29">
        <f t="shared" si="1125"/>
        <v>0</v>
      </c>
      <c r="BE1799" s="1455"/>
      <c r="BF1799" s="1455"/>
      <c r="BG1799" s="1455"/>
      <c r="BH1799" s="1455"/>
      <c r="BI1799" s="1455"/>
      <c r="BJ1799" s="1455"/>
      <c r="BK1799" s="29">
        <f t="shared" si="1126"/>
        <v>0</v>
      </c>
      <c r="BL1799" s="1455"/>
      <c r="BM1799" s="1455"/>
      <c r="BN1799" s="1455"/>
      <c r="BO1799" s="1455"/>
      <c r="BP1799" s="1455"/>
      <c r="BQ1799" s="1455"/>
      <c r="BR1799" s="1455"/>
      <c r="BS1799" s="1455"/>
      <c r="BT1799" s="1455"/>
      <c r="BU1799" s="1455"/>
      <c r="BV1799" s="1455"/>
      <c r="BW1799" s="1455"/>
      <c r="BX1799" s="1455"/>
      <c r="BY1799" s="1455"/>
      <c r="BZ1799" s="1455"/>
      <c r="CA1799" s="1455"/>
      <c r="CB1799" s="1455"/>
      <c r="CC1799" s="1455"/>
      <c r="CD1799" s="1455"/>
      <c r="CE1799" s="1455"/>
      <c r="CF1799" s="1455"/>
      <c r="CG1799" s="1191"/>
      <c r="CH1799" s="1455"/>
      <c r="CI1799" s="1455"/>
      <c r="CJ1799" s="2"/>
      <c r="CK1799" s="2"/>
      <c r="CM1799" s="1140">
        <f t="shared" si="1092"/>
        <v>0</v>
      </c>
      <c r="CN1799" s="1140">
        <v>0</v>
      </c>
      <c r="CP1799" s="923">
        <f t="shared" si="1091"/>
        <v>0</v>
      </c>
      <c r="CZ1799" s="1456"/>
    </row>
    <row r="1800" spans="1:104" ht="25.5" x14ac:dyDescent="0.25">
      <c r="A1800" s="684">
        <f>MAX($A$6:A1799)+1</f>
        <v>1800</v>
      </c>
      <c r="B1800" s="3">
        <f t="shared" ref="B1800:B1805" si="1127">B1799</f>
        <v>22.2</v>
      </c>
      <c r="C1800" s="11" t="str">
        <f t="shared" ref="C1800:C1807" si="1128">C1799</f>
        <v>Capital Resource Limit</v>
      </c>
      <c r="D1800" s="11"/>
      <c r="E1800" s="1254" t="s">
        <v>2559</v>
      </c>
      <c r="F1800" s="13"/>
      <c r="G1800" s="1254" t="s">
        <v>286</v>
      </c>
      <c r="H1800" s="1510"/>
      <c r="I1800" s="1510"/>
      <c r="J1800" s="1254" t="s">
        <v>2559</v>
      </c>
      <c r="K1800" s="1512">
        <f>SUMIF('alb Note 22 - RRL &amp; CRL'!$A$61:$A$97,J1800,'alb Note 22 - RRL &amp; CRL'!$C$61:$C$97)</f>
        <v>0</v>
      </c>
      <c r="L1800" s="1454"/>
      <c r="M1800" s="1290"/>
      <c r="N1800" s="273">
        <f t="shared" ref="N1800:N1806" si="1129">ROUND(SUM(O1800:S1800)+T1800+SUM(Z1800:AV1800),0)</f>
        <v>0</v>
      </c>
      <c r="O1800" s="1290"/>
      <c r="P1800" s="1290"/>
      <c r="Q1800" s="1290"/>
      <c r="R1800" s="1290"/>
      <c r="S1800" s="6"/>
      <c r="T1800" s="273">
        <f t="shared" ref="T1800:T1806" si="1130">ROUND(SUM(U1800:Y1800),0)</f>
        <v>0</v>
      </c>
      <c r="U1800" s="1290"/>
      <c r="V1800" s="1290"/>
      <c r="W1800" s="6"/>
      <c r="X1800" s="1290"/>
      <c r="Y1800" s="1290"/>
      <c r="Z1800" s="1290"/>
      <c r="AA1800" s="1290"/>
      <c r="AB1800" s="1290"/>
      <c r="AC1800" s="1290"/>
      <c r="AD1800" s="1290"/>
      <c r="AE1800" s="1290"/>
      <c r="AF1800" s="1290"/>
      <c r="AG1800" s="1290"/>
      <c r="AH1800" s="1290"/>
      <c r="AI1800" s="1290"/>
      <c r="AJ1800" s="1290"/>
      <c r="AK1800" s="1290"/>
      <c r="AL1800" s="1290"/>
      <c r="AM1800" s="1290"/>
      <c r="AN1800" s="1290"/>
      <c r="AO1800" s="1290"/>
      <c r="AP1800" s="1290"/>
      <c r="AQ1800" s="1290"/>
      <c r="AR1800" s="1290"/>
      <c r="AS1800" s="1290"/>
      <c r="AT1800" s="1290"/>
      <c r="AU1800" s="1290"/>
      <c r="AV1800" s="1290"/>
      <c r="AW1800" s="2"/>
      <c r="AX1800" s="1290"/>
      <c r="AY1800" s="6"/>
      <c r="AZ1800" s="2"/>
      <c r="BA1800" s="1290"/>
      <c r="BB1800" s="6"/>
      <c r="BC1800" s="1290"/>
      <c r="BD1800" s="29"/>
      <c r="BE1800" s="1455"/>
      <c r="BF1800" s="1455"/>
      <c r="BG1800" s="1455"/>
      <c r="BH1800" s="1455"/>
      <c r="BI1800" s="1455"/>
      <c r="BJ1800" s="1455"/>
      <c r="BK1800" s="29"/>
      <c r="BL1800" s="1455"/>
      <c r="BM1800" s="1455"/>
      <c r="BN1800" s="1455"/>
      <c r="BO1800" s="1455"/>
      <c r="BP1800" s="1455"/>
      <c r="BQ1800" s="1455"/>
      <c r="BR1800" s="1455"/>
      <c r="BS1800" s="1455"/>
      <c r="BT1800" s="1455"/>
      <c r="BU1800" s="1455"/>
      <c r="BV1800" s="1455"/>
      <c r="BW1800" s="1455"/>
      <c r="BX1800" s="1455"/>
      <c r="BY1800" s="1455"/>
      <c r="BZ1800" s="1455"/>
      <c r="CA1800" s="1455"/>
      <c r="CB1800" s="1455"/>
      <c r="CC1800" s="1455"/>
      <c r="CD1800" s="1455"/>
      <c r="CE1800" s="1455"/>
      <c r="CF1800" s="1455"/>
      <c r="CG1800" s="1191"/>
      <c r="CH1800" s="1455"/>
      <c r="CI1800" s="1455"/>
      <c r="CJ1800" s="2"/>
      <c r="CK1800" s="2"/>
      <c r="CM1800" s="1140">
        <f t="shared" si="1092"/>
        <v>0</v>
      </c>
      <c r="CN1800" s="1140"/>
      <c r="CP1800" s="923">
        <f t="shared" si="1091"/>
        <v>0</v>
      </c>
      <c r="CZ1800" s="1456"/>
    </row>
    <row r="1801" spans="1:104" ht="25.5" x14ac:dyDescent="0.25">
      <c r="A1801" s="684">
        <f>MAX($A$6:A1800)+1</f>
        <v>1801</v>
      </c>
      <c r="B1801" s="3">
        <f t="shared" si="1127"/>
        <v>22.2</v>
      </c>
      <c r="C1801" s="11" t="str">
        <f t="shared" si="1128"/>
        <v>Capital Resource Limit</v>
      </c>
      <c r="D1801" s="11"/>
      <c r="E1801" s="1254" t="s">
        <v>2560</v>
      </c>
      <c r="F1801" s="13"/>
      <c r="G1801" s="1254" t="s">
        <v>286</v>
      </c>
      <c r="H1801" s="1510"/>
      <c r="I1801" s="1510"/>
      <c r="J1801" s="1254" t="s">
        <v>2560</v>
      </c>
      <c r="K1801" s="1512">
        <f>SUMIF('alb Note 22 - RRL &amp; CRL'!$A$61:$A$97,J1801,'alb Note 22 - RRL &amp; CRL'!$C$61:$C$97)</f>
        <v>0</v>
      </c>
      <c r="L1801" s="1454"/>
      <c r="M1801" s="1290"/>
      <c r="N1801" s="273">
        <f t="shared" si="1129"/>
        <v>0</v>
      </c>
      <c r="O1801" s="1290"/>
      <c r="P1801" s="1290"/>
      <c r="Q1801" s="1290"/>
      <c r="R1801" s="1290"/>
      <c r="S1801" s="6"/>
      <c r="T1801" s="273">
        <f t="shared" si="1130"/>
        <v>0</v>
      </c>
      <c r="U1801" s="1290"/>
      <c r="V1801" s="1290"/>
      <c r="W1801" s="6"/>
      <c r="X1801" s="1290"/>
      <c r="Y1801" s="1290"/>
      <c r="Z1801" s="1290"/>
      <c r="AA1801" s="1290"/>
      <c r="AB1801" s="1290"/>
      <c r="AC1801" s="1290"/>
      <c r="AD1801" s="1290"/>
      <c r="AE1801" s="1290"/>
      <c r="AF1801" s="1290"/>
      <c r="AG1801" s="1290"/>
      <c r="AH1801" s="1290"/>
      <c r="AI1801" s="1290"/>
      <c r="AJ1801" s="1290"/>
      <c r="AK1801" s="1290"/>
      <c r="AL1801" s="1290"/>
      <c r="AM1801" s="1290"/>
      <c r="AN1801" s="1290"/>
      <c r="AO1801" s="1290"/>
      <c r="AP1801" s="1290"/>
      <c r="AQ1801" s="1290"/>
      <c r="AR1801" s="1290"/>
      <c r="AS1801" s="1290"/>
      <c r="AT1801" s="1290"/>
      <c r="AU1801" s="1290"/>
      <c r="AV1801" s="1290"/>
      <c r="AW1801" s="2"/>
      <c r="AX1801" s="1290"/>
      <c r="AY1801" s="6"/>
      <c r="AZ1801" s="2"/>
      <c r="BA1801" s="1290"/>
      <c r="BB1801" s="6"/>
      <c r="BC1801" s="1290"/>
      <c r="BD1801" s="29"/>
      <c r="BE1801" s="1455"/>
      <c r="BF1801" s="1455"/>
      <c r="BG1801" s="1455"/>
      <c r="BH1801" s="1455"/>
      <c r="BI1801" s="1455"/>
      <c r="BJ1801" s="1455"/>
      <c r="BK1801" s="29"/>
      <c r="BL1801" s="1455"/>
      <c r="BM1801" s="1455"/>
      <c r="BN1801" s="1455"/>
      <c r="BO1801" s="1455"/>
      <c r="BP1801" s="1455"/>
      <c r="BQ1801" s="1455"/>
      <c r="BR1801" s="1455"/>
      <c r="BS1801" s="1455"/>
      <c r="BT1801" s="1455"/>
      <c r="BU1801" s="1455"/>
      <c r="BV1801" s="1455"/>
      <c r="BW1801" s="1455"/>
      <c r="BX1801" s="1455"/>
      <c r="BY1801" s="1455"/>
      <c r="BZ1801" s="1455"/>
      <c r="CA1801" s="1455"/>
      <c r="CB1801" s="1455"/>
      <c r="CC1801" s="1455"/>
      <c r="CD1801" s="1455"/>
      <c r="CE1801" s="1455"/>
      <c r="CF1801" s="1455"/>
      <c r="CG1801" s="1191"/>
      <c r="CH1801" s="1455"/>
      <c r="CI1801" s="1455"/>
      <c r="CJ1801" s="2"/>
      <c r="CK1801" s="2"/>
      <c r="CM1801" s="1140">
        <f t="shared" si="1092"/>
        <v>0</v>
      </c>
      <c r="CN1801" s="1140"/>
      <c r="CP1801" s="923">
        <f t="shared" si="1091"/>
        <v>0</v>
      </c>
      <c r="CZ1801" s="1456"/>
    </row>
    <row r="1802" spans="1:104" x14ac:dyDescent="0.25">
      <c r="A1802" s="684">
        <f>MAX($A$6:A1801)+1</f>
        <v>1802</v>
      </c>
      <c r="B1802" s="3">
        <f t="shared" si="1127"/>
        <v>22.2</v>
      </c>
      <c r="C1802" s="11" t="str">
        <f t="shared" si="1128"/>
        <v>Capital Resource Limit</v>
      </c>
      <c r="D1802" s="11"/>
      <c r="E1802" s="1254" t="s">
        <v>5</v>
      </c>
      <c r="F1802" s="13"/>
      <c r="G1802" s="1254" t="s">
        <v>286</v>
      </c>
      <c r="H1802" s="1510"/>
      <c r="I1802" s="1510"/>
      <c r="J1802" s="1254" t="s">
        <v>5</v>
      </c>
      <c r="K1802" s="1512">
        <f>SUMIF('alb Note 22 - RRL &amp; CRL'!$A$61:$A$97,J1802,'alb Note 22 - RRL &amp; CRL'!$C$61:$C$97)</f>
        <v>0</v>
      </c>
      <c r="L1802" s="1454"/>
      <c r="M1802" s="1290"/>
      <c r="N1802" s="273">
        <f t="shared" si="1129"/>
        <v>0</v>
      </c>
      <c r="O1802" s="1290"/>
      <c r="P1802" s="1290"/>
      <c r="Q1802" s="1290"/>
      <c r="R1802" s="1290"/>
      <c r="S1802" s="6"/>
      <c r="T1802" s="273">
        <f t="shared" si="1130"/>
        <v>0</v>
      </c>
      <c r="U1802" s="1290"/>
      <c r="V1802" s="1290"/>
      <c r="W1802" s="6"/>
      <c r="X1802" s="1290"/>
      <c r="Y1802" s="1290"/>
      <c r="Z1802" s="1290"/>
      <c r="AA1802" s="1290"/>
      <c r="AB1802" s="1290"/>
      <c r="AC1802" s="1290"/>
      <c r="AD1802" s="1290"/>
      <c r="AE1802" s="1290"/>
      <c r="AF1802" s="1290"/>
      <c r="AG1802" s="1290"/>
      <c r="AH1802" s="1290"/>
      <c r="AI1802" s="1290"/>
      <c r="AJ1802" s="1290"/>
      <c r="AK1802" s="1290"/>
      <c r="AL1802" s="1290"/>
      <c r="AM1802" s="1290"/>
      <c r="AN1802" s="1290"/>
      <c r="AO1802" s="1290"/>
      <c r="AP1802" s="1290"/>
      <c r="AQ1802" s="1290"/>
      <c r="AR1802" s="1290"/>
      <c r="AS1802" s="1290"/>
      <c r="AT1802" s="1290"/>
      <c r="AU1802" s="1290"/>
      <c r="AV1802" s="1290"/>
      <c r="AW1802" s="2"/>
      <c r="AX1802" s="1290"/>
      <c r="AY1802" s="6"/>
      <c r="AZ1802" s="2"/>
      <c r="BA1802" s="1290"/>
      <c r="BB1802" s="6"/>
      <c r="BC1802" s="1290"/>
      <c r="BD1802" s="29"/>
      <c r="BE1802" s="1455"/>
      <c r="BF1802" s="1455"/>
      <c r="BG1802" s="1455"/>
      <c r="BH1802" s="1455"/>
      <c r="BI1802" s="1455"/>
      <c r="BJ1802" s="1455"/>
      <c r="BK1802" s="29"/>
      <c r="BL1802" s="1455"/>
      <c r="BM1802" s="1455"/>
      <c r="BN1802" s="1455"/>
      <c r="BO1802" s="1455"/>
      <c r="BP1802" s="1455"/>
      <c r="BQ1802" s="1455"/>
      <c r="BR1802" s="1455"/>
      <c r="BS1802" s="1455"/>
      <c r="BT1802" s="1455"/>
      <c r="BU1802" s="1455"/>
      <c r="BV1802" s="1455"/>
      <c r="BW1802" s="1455"/>
      <c r="BX1802" s="1455"/>
      <c r="BY1802" s="1455"/>
      <c r="BZ1802" s="1455"/>
      <c r="CA1802" s="1455"/>
      <c r="CB1802" s="1455"/>
      <c r="CC1802" s="1455"/>
      <c r="CD1802" s="1455"/>
      <c r="CE1802" s="1455"/>
      <c r="CF1802" s="1455"/>
      <c r="CG1802" s="1191"/>
      <c r="CH1802" s="1455"/>
      <c r="CI1802" s="1455"/>
      <c r="CJ1802" s="2"/>
      <c r="CK1802" s="2"/>
      <c r="CM1802" s="1140">
        <f t="shared" si="1092"/>
        <v>0</v>
      </c>
      <c r="CN1802" s="1140"/>
      <c r="CP1802" s="923">
        <f t="shared" si="1091"/>
        <v>0</v>
      </c>
      <c r="CZ1802" s="1456"/>
    </row>
    <row r="1803" spans="1:104" ht="25.5" x14ac:dyDescent="0.25">
      <c r="A1803" s="684">
        <f>MAX($A$6:A1802)+1</f>
        <v>1803</v>
      </c>
      <c r="B1803" s="3">
        <f t="shared" si="1127"/>
        <v>22.2</v>
      </c>
      <c r="C1803" s="11" t="str">
        <f t="shared" si="1128"/>
        <v>Capital Resource Limit</v>
      </c>
      <c r="D1803" s="11"/>
      <c r="E1803" s="1254" t="s">
        <v>2561</v>
      </c>
      <c r="F1803" s="13"/>
      <c r="G1803" s="1254" t="s">
        <v>286</v>
      </c>
      <c r="H1803" s="1510"/>
      <c r="I1803" s="1510"/>
      <c r="J1803" s="1254" t="s">
        <v>2561</v>
      </c>
      <c r="K1803" s="1512">
        <f>SUMIF('alb Note 22 - RRL &amp; CRL'!$A$61:$A$97,J1803,'alb Note 22 - RRL &amp; CRL'!$C$61:$C$97)</f>
        <v>0</v>
      </c>
      <c r="L1803" s="1454"/>
      <c r="M1803" s="1290"/>
      <c r="N1803" s="273">
        <f t="shared" si="1129"/>
        <v>0</v>
      </c>
      <c r="O1803" s="1290"/>
      <c r="P1803" s="1290"/>
      <c r="Q1803" s="1290"/>
      <c r="R1803" s="1290"/>
      <c r="S1803" s="6"/>
      <c r="T1803" s="273">
        <f t="shared" si="1130"/>
        <v>0</v>
      </c>
      <c r="U1803" s="1290"/>
      <c r="V1803" s="1290"/>
      <c r="W1803" s="6"/>
      <c r="X1803" s="1290"/>
      <c r="Y1803" s="1290"/>
      <c r="Z1803" s="1290"/>
      <c r="AA1803" s="1290"/>
      <c r="AB1803" s="1290"/>
      <c r="AC1803" s="1290"/>
      <c r="AD1803" s="1290"/>
      <c r="AE1803" s="1290"/>
      <c r="AF1803" s="1290"/>
      <c r="AG1803" s="1290"/>
      <c r="AH1803" s="1290"/>
      <c r="AI1803" s="1290"/>
      <c r="AJ1803" s="1290"/>
      <c r="AK1803" s="1290"/>
      <c r="AL1803" s="1290"/>
      <c r="AM1803" s="1290"/>
      <c r="AN1803" s="1290"/>
      <c r="AO1803" s="1290"/>
      <c r="AP1803" s="1290"/>
      <c r="AQ1803" s="1290"/>
      <c r="AR1803" s="1290"/>
      <c r="AS1803" s="1290"/>
      <c r="AT1803" s="1290"/>
      <c r="AU1803" s="1290"/>
      <c r="AV1803" s="1290"/>
      <c r="AW1803" s="2"/>
      <c r="AX1803" s="1290"/>
      <c r="AY1803" s="6"/>
      <c r="AZ1803" s="2"/>
      <c r="BA1803" s="1290"/>
      <c r="BB1803" s="6"/>
      <c r="BC1803" s="1290"/>
      <c r="BD1803" s="29"/>
      <c r="BE1803" s="1455"/>
      <c r="BF1803" s="1455"/>
      <c r="BG1803" s="1455"/>
      <c r="BH1803" s="1455"/>
      <c r="BI1803" s="1455"/>
      <c r="BJ1803" s="1455"/>
      <c r="BK1803" s="29"/>
      <c r="BL1803" s="1455"/>
      <c r="BM1803" s="1455"/>
      <c r="BN1803" s="1455"/>
      <c r="BO1803" s="1455"/>
      <c r="BP1803" s="1455"/>
      <c r="BQ1803" s="1455"/>
      <c r="BR1803" s="1455"/>
      <c r="BS1803" s="1455"/>
      <c r="BT1803" s="1455"/>
      <c r="BU1803" s="1455"/>
      <c r="BV1803" s="1455"/>
      <c r="BW1803" s="1455"/>
      <c r="BX1803" s="1455"/>
      <c r="BY1803" s="1455"/>
      <c r="BZ1803" s="1455"/>
      <c r="CA1803" s="1455"/>
      <c r="CB1803" s="1455"/>
      <c r="CC1803" s="1455"/>
      <c r="CD1803" s="1455"/>
      <c r="CE1803" s="1455"/>
      <c r="CF1803" s="1455"/>
      <c r="CG1803" s="1191"/>
      <c r="CH1803" s="1455"/>
      <c r="CI1803" s="1455"/>
      <c r="CJ1803" s="2"/>
      <c r="CK1803" s="2"/>
      <c r="CM1803" s="1140">
        <f t="shared" si="1092"/>
        <v>0</v>
      </c>
      <c r="CN1803" s="1140"/>
      <c r="CP1803" s="923">
        <f t="shared" ref="CP1803:CP1856" si="1131">-V1803+BL1803+BM1803+BN1803+CM1803</f>
        <v>0</v>
      </c>
      <c r="CZ1803" s="1456"/>
    </row>
    <row r="1804" spans="1:104" x14ac:dyDescent="0.25">
      <c r="A1804" s="684">
        <f>MAX($A$6:A1803)+1</f>
        <v>1804</v>
      </c>
      <c r="B1804" s="3">
        <f t="shared" si="1127"/>
        <v>22.2</v>
      </c>
      <c r="C1804" s="11" t="str">
        <f t="shared" si="1128"/>
        <v>Capital Resource Limit</v>
      </c>
      <c r="D1804" s="11"/>
      <c r="E1804" s="1269" t="str">
        <f>+J1804</f>
        <v>Other (please specify)</v>
      </c>
      <c r="F1804" s="13"/>
      <c r="G1804" s="1254" t="s">
        <v>286</v>
      </c>
      <c r="H1804" s="1510"/>
      <c r="I1804" s="1510"/>
      <c r="J1804" s="1269" t="s">
        <v>2547</v>
      </c>
      <c r="K1804" s="1512">
        <f>SUMIF('alb Note 22 - RRL &amp; CRL'!$A$61:$A$97,J1804,'alb Note 22 - RRL &amp; CRL'!$C$61:$C$97)</f>
        <v>0</v>
      </c>
      <c r="L1804" s="1454"/>
      <c r="M1804" s="1290"/>
      <c r="N1804" s="273">
        <f t="shared" si="1129"/>
        <v>0</v>
      </c>
      <c r="O1804" s="1290"/>
      <c r="P1804" s="1290"/>
      <c r="Q1804" s="1290"/>
      <c r="R1804" s="1290"/>
      <c r="S1804" s="6"/>
      <c r="T1804" s="273">
        <f t="shared" si="1130"/>
        <v>0</v>
      </c>
      <c r="U1804" s="1290"/>
      <c r="V1804" s="1290"/>
      <c r="W1804" s="6"/>
      <c r="X1804" s="1290"/>
      <c r="Y1804" s="1290"/>
      <c r="Z1804" s="1290"/>
      <c r="AA1804" s="1290"/>
      <c r="AB1804" s="1290"/>
      <c r="AC1804" s="1290"/>
      <c r="AD1804" s="1290"/>
      <c r="AE1804" s="1290"/>
      <c r="AF1804" s="1290"/>
      <c r="AG1804" s="1290"/>
      <c r="AH1804" s="1290"/>
      <c r="AI1804" s="1290"/>
      <c r="AJ1804" s="1290"/>
      <c r="AK1804" s="1290"/>
      <c r="AL1804" s="1290"/>
      <c r="AM1804" s="1290"/>
      <c r="AN1804" s="1290"/>
      <c r="AO1804" s="1290"/>
      <c r="AP1804" s="1290"/>
      <c r="AQ1804" s="1290"/>
      <c r="AR1804" s="1290"/>
      <c r="AS1804" s="1290"/>
      <c r="AT1804" s="1290"/>
      <c r="AU1804" s="1290"/>
      <c r="AV1804" s="1290"/>
      <c r="AW1804" s="2"/>
      <c r="AX1804" s="1290"/>
      <c r="AY1804" s="6"/>
      <c r="AZ1804" s="2"/>
      <c r="BA1804" s="1290"/>
      <c r="BB1804" s="6"/>
      <c r="BC1804" s="1290"/>
      <c r="BD1804" s="29"/>
      <c r="BE1804" s="1455"/>
      <c r="BF1804" s="1455"/>
      <c r="BG1804" s="1455"/>
      <c r="BH1804" s="1455"/>
      <c r="BI1804" s="1455"/>
      <c r="BJ1804" s="1455"/>
      <c r="BK1804" s="29"/>
      <c r="BL1804" s="1455"/>
      <c r="BM1804" s="1455"/>
      <c r="BN1804" s="1455"/>
      <c r="BO1804" s="1455"/>
      <c r="BP1804" s="1455"/>
      <c r="BQ1804" s="1455"/>
      <c r="BR1804" s="1455"/>
      <c r="BS1804" s="1455"/>
      <c r="BT1804" s="1455"/>
      <c r="BU1804" s="1455"/>
      <c r="BV1804" s="1455"/>
      <c r="BW1804" s="1455"/>
      <c r="BX1804" s="1455"/>
      <c r="BY1804" s="1455"/>
      <c r="BZ1804" s="1455"/>
      <c r="CA1804" s="1455"/>
      <c r="CB1804" s="1455"/>
      <c r="CC1804" s="1455"/>
      <c r="CD1804" s="1455"/>
      <c r="CE1804" s="1455"/>
      <c r="CF1804" s="1455"/>
      <c r="CG1804" s="1191"/>
      <c r="CH1804" s="1455"/>
      <c r="CI1804" s="1455"/>
      <c r="CJ1804" s="2"/>
      <c r="CK1804" s="2"/>
      <c r="CM1804" s="1140">
        <f t="shared" ref="CM1804:CM1857" si="1132">+U1804+V1804</f>
        <v>0</v>
      </c>
      <c r="CN1804" s="1140"/>
      <c r="CP1804" s="923">
        <f t="shared" si="1131"/>
        <v>0</v>
      </c>
      <c r="CZ1804" s="1456"/>
    </row>
    <row r="1805" spans="1:104" x14ac:dyDescent="0.25">
      <c r="A1805" s="684">
        <f>MAX($A$6:A1804)+1</f>
        <v>1805</v>
      </c>
      <c r="B1805" s="3">
        <f t="shared" si="1127"/>
        <v>22.2</v>
      </c>
      <c r="C1805" s="11" t="str">
        <f t="shared" si="1128"/>
        <v>Capital Resource Limit</v>
      </c>
      <c r="D1805" s="11"/>
      <c r="E1805" s="1269">
        <f t="shared" ref="E1805:E1806" si="1133">+J1805</f>
        <v>0</v>
      </c>
      <c r="F1805" s="13"/>
      <c r="G1805" s="1254" t="s">
        <v>286</v>
      </c>
      <c r="H1805" s="1510"/>
      <c r="I1805" s="1510"/>
      <c r="J1805" s="1269">
        <f>+'alb Note 22 - RRL &amp; CRL'!A66</f>
        <v>0</v>
      </c>
      <c r="K1805" s="1512">
        <f>SUMIF('alb Note 22 - RRL &amp; CRL'!$A$61:$A$97,J1805,'alb Note 22 - RRL &amp; CRL'!$C$61:$C$97)</f>
        <v>0</v>
      </c>
      <c r="L1805" s="1454"/>
      <c r="M1805" s="1290"/>
      <c r="N1805" s="273">
        <f t="shared" si="1129"/>
        <v>0</v>
      </c>
      <c r="O1805" s="1290"/>
      <c r="P1805" s="1290"/>
      <c r="Q1805" s="1290"/>
      <c r="R1805" s="1290"/>
      <c r="S1805" s="6"/>
      <c r="T1805" s="273">
        <f t="shared" si="1130"/>
        <v>0</v>
      </c>
      <c r="U1805" s="1290"/>
      <c r="V1805" s="1290"/>
      <c r="W1805" s="6"/>
      <c r="X1805" s="1290"/>
      <c r="Y1805" s="1290"/>
      <c r="Z1805" s="1290"/>
      <c r="AA1805" s="1290"/>
      <c r="AB1805" s="1290"/>
      <c r="AC1805" s="1290"/>
      <c r="AD1805" s="1290"/>
      <c r="AE1805" s="1290"/>
      <c r="AF1805" s="1290"/>
      <c r="AG1805" s="1290"/>
      <c r="AH1805" s="1290"/>
      <c r="AI1805" s="1290"/>
      <c r="AJ1805" s="1290"/>
      <c r="AK1805" s="1290"/>
      <c r="AL1805" s="1290"/>
      <c r="AM1805" s="1290"/>
      <c r="AN1805" s="1290"/>
      <c r="AO1805" s="1290"/>
      <c r="AP1805" s="1290"/>
      <c r="AQ1805" s="1290"/>
      <c r="AR1805" s="1290"/>
      <c r="AS1805" s="1290"/>
      <c r="AT1805" s="1290"/>
      <c r="AU1805" s="1290"/>
      <c r="AV1805" s="1290"/>
      <c r="AW1805" s="2"/>
      <c r="AX1805" s="1290"/>
      <c r="AY1805" s="6"/>
      <c r="AZ1805" s="2"/>
      <c r="BA1805" s="1290"/>
      <c r="BB1805" s="6"/>
      <c r="BC1805" s="1290"/>
      <c r="BD1805" s="29"/>
      <c r="BE1805" s="1455"/>
      <c r="BF1805" s="1455"/>
      <c r="BG1805" s="1455"/>
      <c r="BH1805" s="1455"/>
      <c r="BI1805" s="1455"/>
      <c r="BJ1805" s="1455"/>
      <c r="BK1805" s="29"/>
      <c r="BL1805" s="1455"/>
      <c r="BM1805" s="1455"/>
      <c r="BN1805" s="1455"/>
      <c r="BO1805" s="1455"/>
      <c r="BP1805" s="1455"/>
      <c r="BQ1805" s="1455"/>
      <c r="BR1805" s="1455"/>
      <c r="BS1805" s="1455"/>
      <c r="BT1805" s="1455"/>
      <c r="BU1805" s="1455"/>
      <c r="BV1805" s="1455"/>
      <c r="BW1805" s="1455"/>
      <c r="BX1805" s="1455"/>
      <c r="BY1805" s="1455"/>
      <c r="BZ1805" s="1455"/>
      <c r="CA1805" s="1455"/>
      <c r="CB1805" s="1455"/>
      <c r="CC1805" s="1455"/>
      <c r="CD1805" s="1455"/>
      <c r="CE1805" s="1455"/>
      <c r="CF1805" s="1455"/>
      <c r="CG1805" s="1191"/>
      <c r="CH1805" s="1455"/>
      <c r="CI1805" s="1455"/>
      <c r="CJ1805" s="2"/>
      <c r="CK1805" s="2"/>
      <c r="CM1805" s="1140">
        <f t="shared" si="1132"/>
        <v>0</v>
      </c>
      <c r="CN1805" s="1140"/>
      <c r="CP1805" s="923">
        <f t="shared" si="1131"/>
        <v>0</v>
      </c>
      <c r="CZ1805" s="1456"/>
    </row>
    <row r="1806" spans="1:104" x14ac:dyDescent="0.25">
      <c r="A1806" s="684">
        <f>MAX($A$6:A1805)+1</f>
        <v>1806</v>
      </c>
      <c r="B1806" s="3">
        <f>B1805</f>
        <v>22.2</v>
      </c>
      <c r="C1806" s="11" t="str">
        <f t="shared" si="1128"/>
        <v>Capital Resource Limit</v>
      </c>
      <c r="D1806" s="11"/>
      <c r="E1806" s="1269">
        <f t="shared" si="1133"/>
        <v>0</v>
      </c>
      <c r="F1806" s="13"/>
      <c r="G1806" s="1254" t="s">
        <v>286</v>
      </c>
      <c r="H1806" s="1510"/>
      <c r="I1806" s="1510"/>
      <c r="J1806" s="1269">
        <f>+'alb Note 22 - RRL &amp; CRL'!A67</f>
        <v>0</v>
      </c>
      <c r="K1806" s="1512">
        <f>SUMIF('alb Note 22 - RRL &amp; CRL'!$A$61:$A$97,J1806,'alb Note 22 - RRL &amp; CRL'!$C$61:$C$97)</f>
        <v>0</v>
      </c>
      <c r="L1806" s="1454"/>
      <c r="M1806" s="1290"/>
      <c r="N1806" s="273">
        <f t="shared" si="1129"/>
        <v>0</v>
      </c>
      <c r="O1806" s="1290"/>
      <c r="P1806" s="1290"/>
      <c r="Q1806" s="1290"/>
      <c r="R1806" s="1290"/>
      <c r="S1806" s="6"/>
      <c r="T1806" s="273">
        <f t="shared" si="1130"/>
        <v>0</v>
      </c>
      <c r="U1806" s="1290"/>
      <c r="V1806" s="1290"/>
      <c r="W1806" s="6"/>
      <c r="X1806" s="1290"/>
      <c r="Y1806" s="1290"/>
      <c r="Z1806" s="1290"/>
      <c r="AA1806" s="1290"/>
      <c r="AB1806" s="1290"/>
      <c r="AC1806" s="1290"/>
      <c r="AD1806" s="1290"/>
      <c r="AE1806" s="1290"/>
      <c r="AF1806" s="1290"/>
      <c r="AG1806" s="1290"/>
      <c r="AH1806" s="1290"/>
      <c r="AI1806" s="1290"/>
      <c r="AJ1806" s="1290"/>
      <c r="AK1806" s="1290"/>
      <c r="AL1806" s="1290"/>
      <c r="AM1806" s="1290"/>
      <c r="AN1806" s="1290"/>
      <c r="AO1806" s="1290"/>
      <c r="AP1806" s="1290"/>
      <c r="AQ1806" s="1290"/>
      <c r="AR1806" s="1290"/>
      <c r="AS1806" s="1290"/>
      <c r="AT1806" s="1290"/>
      <c r="AU1806" s="1290"/>
      <c r="AV1806" s="1290"/>
      <c r="AW1806" s="2"/>
      <c r="AX1806" s="1290"/>
      <c r="AY1806" s="6"/>
      <c r="AZ1806" s="2"/>
      <c r="BA1806" s="1290"/>
      <c r="BB1806" s="6"/>
      <c r="BC1806" s="1290"/>
      <c r="BD1806" s="29"/>
      <c r="BE1806" s="1455"/>
      <c r="BF1806" s="1455"/>
      <c r="BG1806" s="1455"/>
      <c r="BH1806" s="1455"/>
      <c r="BI1806" s="1455"/>
      <c r="BJ1806" s="1455"/>
      <c r="BK1806" s="29"/>
      <c r="BL1806" s="1455"/>
      <c r="BM1806" s="1455"/>
      <c r="BN1806" s="1455"/>
      <c r="BO1806" s="1455"/>
      <c r="BP1806" s="1455"/>
      <c r="BQ1806" s="1455"/>
      <c r="BR1806" s="1455"/>
      <c r="BS1806" s="1455"/>
      <c r="BT1806" s="1455"/>
      <c r="BU1806" s="1455"/>
      <c r="BV1806" s="1455"/>
      <c r="BW1806" s="1455"/>
      <c r="BX1806" s="1455"/>
      <c r="BY1806" s="1455"/>
      <c r="BZ1806" s="1455"/>
      <c r="CA1806" s="1455"/>
      <c r="CB1806" s="1455"/>
      <c r="CC1806" s="1455"/>
      <c r="CD1806" s="1455"/>
      <c r="CE1806" s="1455"/>
      <c r="CF1806" s="1455"/>
      <c r="CG1806" s="1191"/>
      <c r="CH1806" s="1455"/>
      <c r="CI1806" s="1455"/>
      <c r="CJ1806" s="2"/>
      <c r="CK1806" s="2"/>
      <c r="CM1806" s="1140">
        <f t="shared" si="1132"/>
        <v>0</v>
      </c>
      <c r="CN1806" s="1140"/>
      <c r="CP1806" s="923">
        <f t="shared" si="1131"/>
        <v>0</v>
      </c>
      <c r="CZ1806" s="1456"/>
    </row>
    <row r="1807" spans="1:104" ht="15" customHeight="1" x14ac:dyDescent="0.25">
      <c r="A1807" s="684">
        <f>MAX($A$6:A1806)+1</f>
        <v>1807</v>
      </c>
      <c r="B1807" s="3">
        <f>B1806</f>
        <v>22.2</v>
      </c>
      <c r="C1807" s="11" t="str">
        <f t="shared" si="1128"/>
        <v>Capital Resource Limit</v>
      </c>
      <c r="D1807" s="11"/>
      <c r="E1807" s="1277" t="s">
        <v>2562</v>
      </c>
      <c r="F1807" s="13"/>
      <c r="G1807" s="1254" t="s">
        <v>286</v>
      </c>
      <c r="H1807" s="1510"/>
      <c r="I1807" s="1510"/>
      <c r="J1807" s="1277" t="s">
        <v>2562</v>
      </c>
      <c r="K1807" s="1512">
        <f>SUMIF('alb Note 22 - RRL &amp; CRL'!$A$61:$A$97,J1807,'alb Note 22 - RRL &amp; CRL'!$C$61:$C$97)</f>
        <v>0</v>
      </c>
      <c r="L1807" s="1454"/>
      <c r="M1807" s="1290"/>
      <c r="N1807" s="273">
        <f>ROUND(SUM(O1807:S1807)+T1807+SUM(Z1807:AV1807),0)</f>
        <v>0</v>
      </c>
      <c r="O1807" s="1290"/>
      <c r="P1807" s="1290"/>
      <c r="Q1807" s="1290"/>
      <c r="R1807" s="1290"/>
      <c r="S1807" s="6">
        <f>-IF(ISNUMBER(BD1807),BD1807,0)</f>
        <v>0</v>
      </c>
      <c r="T1807" s="273">
        <f>ROUND(SUM(U1807:Y1807),0)</f>
        <v>0</v>
      </c>
      <c r="U1807" s="1290">
        <f>SUM(BL1807:BN1807)</f>
        <v>0</v>
      </c>
      <c r="V1807" s="1290"/>
      <c r="W1807" s="6">
        <f>+H1807</f>
        <v>0</v>
      </c>
      <c r="X1807" s="1290"/>
      <c r="Y1807" s="1290"/>
      <c r="Z1807" s="1290"/>
      <c r="AA1807" s="1290"/>
      <c r="AB1807" s="1290"/>
      <c r="AC1807" s="1290"/>
      <c r="AD1807" s="1290"/>
      <c r="AE1807" s="1290"/>
      <c r="AF1807" s="1290"/>
      <c r="AG1807" s="1290"/>
      <c r="AH1807" s="1290"/>
      <c r="AI1807" s="1290"/>
      <c r="AJ1807" s="1290"/>
      <c r="AK1807" s="1290"/>
      <c r="AL1807" s="1290"/>
      <c r="AM1807" s="1290"/>
      <c r="AN1807" s="1290"/>
      <c r="AO1807" s="1290"/>
      <c r="AP1807" s="1290"/>
      <c r="AQ1807" s="1290"/>
      <c r="AR1807" s="1290"/>
      <c r="AS1807" s="1290"/>
      <c r="AT1807" s="1290"/>
      <c r="AU1807" s="1290"/>
      <c r="AV1807" s="1290"/>
      <c r="AW1807" s="2"/>
      <c r="AX1807" s="1290"/>
      <c r="AY1807" s="6">
        <f>ROUND(AX1807/1000/Update!$B$31*Update!$B$27,0)</f>
        <v>0</v>
      </c>
      <c r="AZ1807" s="2"/>
      <c r="BA1807" s="1290"/>
      <c r="BB1807" s="6">
        <f>ROUND(BA1807/1000/Update!$B$31,0)</f>
        <v>0</v>
      </c>
      <c r="BC1807" s="1290"/>
      <c r="BD1807" s="29">
        <f>ROUND(SUM(BE1807:BK1807),0)</f>
        <v>0</v>
      </c>
      <c r="BE1807" s="1455"/>
      <c r="BF1807" s="1455"/>
      <c r="BG1807" s="1455"/>
      <c r="BH1807" s="1455"/>
      <c r="BI1807" s="1455"/>
      <c r="BJ1807" s="1455"/>
      <c r="BK1807" s="29">
        <f>ROUND(SUM(BO1807:CI1807),0)</f>
        <v>0</v>
      </c>
      <c r="BL1807" s="1455"/>
      <c r="BM1807" s="1455"/>
      <c r="BN1807" s="1455"/>
      <c r="BO1807" s="1455"/>
      <c r="BP1807" s="1455"/>
      <c r="BQ1807" s="1455"/>
      <c r="BR1807" s="1455"/>
      <c r="BS1807" s="1455"/>
      <c r="BT1807" s="1455"/>
      <c r="BU1807" s="1455"/>
      <c r="BV1807" s="1455"/>
      <c r="BW1807" s="1455"/>
      <c r="BX1807" s="1455"/>
      <c r="BY1807" s="1455"/>
      <c r="BZ1807" s="1455"/>
      <c r="CA1807" s="1455"/>
      <c r="CB1807" s="1455"/>
      <c r="CC1807" s="1455"/>
      <c r="CD1807" s="1455"/>
      <c r="CE1807" s="1455"/>
      <c r="CF1807" s="1455"/>
      <c r="CG1807" s="1191"/>
      <c r="CH1807" s="1455"/>
      <c r="CI1807" s="1455"/>
      <c r="CJ1807" s="2"/>
      <c r="CK1807" s="2"/>
      <c r="CM1807" s="1140">
        <f t="shared" si="1132"/>
        <v>0</v>
      </c>
      <c r="CN1807" s="1140">
        <v>0</v>
      </c>
      <c r="CP1807" s="923">
        <f t="shared" si="1131"/>
        <v>0</v>
      </c>
      <c r="CZ1807" s="1456"/>
    </row>
    <row r="1808" spans="1:104" ht="15" customHeight="1" x14ac:dyDescent="0.25">
      <c r="A1808" s="684">
        <f>MAX($A$6:A1807)+1</f>
        <v>1808</v>
      </c>
      <c r="B1808" s="3">
        <f t="shared" ref="B1808:B1816" si="1134">B1807</f>
        <v>22.2</v>
      </c>
      <c r="C1808" s="11" t="str">
        <f t="shared" ref="C1808:C1816" si="1135">C1807</f>
        <v>Capital Resource Limit</v>
      </c>
      <c r="D1808" s="11"/>
      <c r="E1808" s="1277" t="s">
        <v>2563</v>
      </c>
      <c r="F1808" s="13"/>
      <c r="G1808" s="1254" t="s">
        <v>286</v>
      </c>
      <c r="H1808" s="1510"/>
      <c r="I1808" s="1510"/>
      <c r="J1808" s="1277" t="s">
        <v>2563</v>
      </c>
      <c r="K1808" s="1512">
        <f>SUMIF('alb Note 22 - RRL &amp; CRL'!$A$61:$A$97,J1808,'alb Note 22 - RRL &amp; CRL'!$C$61:$C$97)</f>
        <v>0</v>
      </c>
      <c r="L1808" s="1454"/>
      <c r="M1808" s="1290"/>
      <c r="N1808" s="273">
        <f t="shared" ref="N1808:N1831" si="1136">ROUND(SUM(O1808:S1808)+T1808+SUM(Z1808:AV1808),0)</f>
        <v>0</v>
      </c>
      <c r="O1808" s="1290"/>
      <c r="P1808" s="1290"/>
      <c r="Q1808" s="1290"/>
      <c r="R1808" s="1290"/>
      <c r="S1808" s="6"/>
      <c r="T1808" s="273">
        <f t="shared" ref="T1808:T1831" si="1137">ROUND(SUM(U1808:Y1808),0)</f>
        <v>0</v>
      </c>
      <c r="U1808" s="1290"/>
      <c r="V1808" s="1290"/>
      <c r="W1808" s="6"/>
      <c r="X1808" s="1290"/>
      <c r="Y1808" s="1290"/>
      <c r="Z1808" s="1290"/>
      <c r="AA1808" s="1290"/>
      <c r="AB1808" s="1290"/>
      <c r="AC1808" s="1290"/>
      <c r="AD1808" s="1290"/>
      <c r="AE1808" s="1290"/>
      <c r="AF1808" s="1290"/>
      <c r="AG1808" s="1290"/>
      <c r="AH1808" s="1290"/>
      <c r="AI1808" s="1290"/>
      <c r="AJ1808" s="1290"/>
      <c r="AK1808" s="1290"/>
      <c r="AL1808" s="1290"/>
      <c r="AM1808" s="1290"/>
      <c r="AN1808" s="1290"/>
      <c r="AO1808" s="1290"/>
      <c r="AP1808" s="1290"/>
      <c r="AQ1808" s="1290"/>
      <c r="AR1808" s="1290"/>
      <c r="AS1808" s="1290"/>
      <c r="AT1808" s="1290"/>
      <c r="AU1808" s="1290"/>
      <c r="AV1808" s="1290"/>
      <c r="AW1808" s="2"/>
      <c r="AX1808" s="1290"/>
      <c r="AY1808" s="6"/>
      <c r="AZ1808" s="2"/>
      <c r="BA1808" s="1290"/>
      <c r="BB1808" s="6"/>
      <c r="BC1808" s="1290"/>
      <c r="BD1808" s="29"/>
      <c r="BE1808" s="1455"/>
      <c r="BF1808" s="1455"/>
      <c r="BG1808" s="1455"/>
      <c r="BH1808" s="1455"/>
      <c r="BI1808" s="1455"/>
      <c r="BJ1808" s="1455"/>
      <c r="BK1808" s="29"/>
      <c r="BL1808" s="1455"/>
      <c r="BM1808" s="1455"/>
      <c r="BN1808" s="1455"/>
      <c r="BO1808" s="1455"/>
      <c r="BP1808" s="1455"/>
      <c r="BQ1808" s="1455"/>
      <c r="BR1808" s="1455"/>
      <c r="BS1808" s="1455"/>
      <c r="BT1808" s="1455"/>
      <c r="BU1808" s="1455"/>
      <c r="BV1808" s="1455"/>
      <c r="BW1808" s="1455"/>
      <c r="BX1808" s="1455"/>
      <c r="BY1808" s="1455"/>
      <c r="BZ1808" s="1455"/>
      <c r="CA1808" s="1455"/>
      <c r="CB1808" s="1455"/>
      <c r="CC1808" s="1455"/>
      <c r="CD1808" s="1455"/>
      <c r="CE1808" s="1455"/>
      <c r="CF1808" s="1455"/>
      <c r="CG1808" s="1191"/>
      <c r="CH1808" s="1455"/>
      <c r="CI1808" s="1455"/>
      <c r="CJ1808" s="2"/>
      <c r="CK1808" s="2"/>
      <c r="CM1808" s="1140">
        <f t="shared" si="1132"/>
        <v>0</v>
      </c>
      <c r="CN1808" s="1140"/>
      <c r="CP1808" s="923">
        <f t="shared" si="1131"/>
        <v>0</v>
      </c>
      <c r="CZ1808" s="1456"/>
    </row>
    <row r="1809" spans="1:104" ht="15" customHeight="1" x14ac:dyDescent="0.25">
      <c r="A1809" s="684">
        <f>MAX($A$6:A1808)+1</f>
        <v>1809</v>
      </c>
      <c r="B1809" s="3">
        <f t="shared" si="1134"/>
        <v>22.2</v>
      </c>
      <c r="C1809" s="11" t="str">
        <f t="shared" si="1135"/>
        <v>Capital Resource Limit</v>
      </c>
      <c r="D1809" s="11"/>
      <c r="E1809" s="1269" t="str">
        <f>+J1809</f>
        <v>Organisation (please specify)</v>
      </c>
      <c r="F1809" s="13"/>
      <c r="G1809" s="1254" t="s">
        <v>286</v>
      </c>
      <c r="H1809" s="1510"/>
      <c r="I1809" s="1510"/>
      <c r="J1809" s="1269" t="s">
        <v>2761</v>
      </c>
      <c r="K1809" s="1512">
        <f>SUMIF('alb Note 22 - RRL &amp; CRL'!$A$61:$A$97,J1809,'alb Note 22 - RRL &amp; CRL'!$C$61:$C$97)</f>
        <v>0</v>
      </c>
      <c r="L1809" s="1454"/>
      <c r="M1809" s="1290"/>
      <c r="N1809" s="273">
        <f t="shared" si="1136"/>
        <v>0</v>
      </c>
      <c r="O1809" s="1290"/>
      <c r="P1809" s="1290"/>
      <c r="Q1809" s="1290"/>
      <c r="R1809" s="1290"/>
      <c r="S1809" s="6"/>
      <c r="T1809" s="273">
        <f t="shared" si="1137"/>
        <v>0</v>
      </c>
      <c r="U1809" s="1290"/>
      <c r="V1809" s="1290"/>
      <c r="W1809" s="6"/>
      <c r="X1809" s="1290"/>
      <c r="Y1809" s="1290"/>
      <c r="Z1809" s="1290"/>
      <c r="AA1809" s="1290"/>
      <c r="AB1809" s="1290"/>
      <c r="AC1809" s="1290"/>
      <c r="AD1809" s="1290"/>
      <c r="AE1809" s="1290"/>
      <c r="AF1809" s="1290"/>
      <c r="AG1809" s="1290"/>
      <c r="AH1809" s="1290"/>
      <c r="AI1809" s="1290"/>
      <c r="AJ1809" s="1290"/>
      <c r="AK1809" s="1290"/>
      <c r="AL1809" s="1290"/>
      <c r="AM1809" s="1290"/>
      <c r="AN1809" s="1290"/>
      <c r="AO1809" s="1290"/>
      <c r="AP1809" s="1290"/>
      <c r="AQ1809" s="1290"/>
      <c r="AR1809" s="1290"/>
      <c r="AS1809" s="1290"/>
      <c r="AT1809" s="1290"/>
      <c r="AU1809" s="1290"/>
      <c r="AV1809" s="1290"/>
      <c r="AW1809" s="2"/>
      <c r="AX1809" s="1290"/>
      <c r="AY1809" s="6"/>
      <c r="AZ1809" s="2"/>
      <c r="BA1809" s="1290"/>
      <c r="BB1809" s="6"/>
      <c r="BC1809" s="1290"/>
      <c r="BD1809" s="29"/>
      <c r="BE1809" s="1455"/>
      <c r="BF1809" s="1455"/>
      <c r="BG1809" s="1455"/>
      <c r="BH1809" s="1455"/>
      <c r="BI1809" s="1455"/>
      <c r="BJ1809" s="1455"/>
      <c r="BK1809" s="29"/>
      <c r="BL1809" s="1455"/>
      <c r="BM1809" s="1455"/>
      <c r="BN1809" s="1455"/>
      <c r="BO1809" s="1455"/>
      <c r="BP1809" s="1455"/>
      <c r="BQ1809" s="1455"/>
      <c r="BR1809" s="1455"/>
      <c r="BS1809" s="1455"/>
      <c r="BT1809" s="1455"/>
      <c r="BU1809" s="1455"/>
      <c r="BV1809" s="1455"/>
      <c r="BW1809" s="1455"/>
      <c r="BX1809" s="1455"/>
      <c r="BY1809" s="1455"/>
      <c r="BZ1809" s="1455"/>
      <c r="CA1809" s="1455"/>
      <c r="CB1809" s="1455"/>
      <c r="CC1809" s="1455"/>
      <c r="CD1809" s="1455"/>
      <c r="CE1809" s="1455"/>
      <c r="CF1809" s="1455"/>
      <c r="CG1809" s="1191"/>
      <c r="CH1809" s="1455"/>
      <c r="CI1809" s="1455"/>
      <c r="CJ1809" s="2"/>
      <c r="CK1809" s="2"/>
      <c r="CM1809" s="1140">
        <f t="shared" si="1132"/>
        <v>0</v>
      </c>
      <c r="CN1809" s="1140"/>
      <c r="CP1809" s="923">
        <f t="shared" si="1131"/>
        <v>0</v>
      </c>
      <c r="CZ1809" s="1456"/>
    </row>
    <row r="1810" spans="1:104" ht="15" customHeight="1" x14ac:dyDescent="0.25">
      <c r="A1810" s="684">
        <f>MAX($A$6:A1809)+1</f>
        <v>1810</v>
      </c>
      <c r="B1810" s="3">
        <f t="shared" si="1134"/>
        <v>22.2</v>
      </c>
      <c r="C1810" s="11" t="str">
        <f t="shared" si="1135"/>
        <v>Capital Resource Limit</v>
      </c>
      <c r="D1810" s="11"/>
      <c r="E1810" s="1269">
        <f t="shared" ref="E1810:E1814" si="1138">+J1810</f>
        <v>0</v>
      </c>
      <c r="F1810" s="13"/>
      <c r="G1810" s="1254" t="s">
        <v>286</v>
      </c>
      <c r="H1810" s="1510"/>
      <c r="I1810" s="1510"/>
      <c r="J1810" s="1269">
        <f>+'alb Note 22 - RRL &amp; CRL'!A72</f>
        <v>0</v>
      </c>
      <c r="K1810" s="1512">
        <f>SUMIF('alb Note 22 - RRL &amp; CRL'!$A$61:$A$97,J1810,'alb Note 22 - RRL &amp; CRL'!$C$61:$C$97)</f>
        <v>0</v>
      </c>
      <c r="L1810" s="1454"/>
      <c r="M1810" s="1290"/>
      <c r="N1810" s="273">
        <f t="shared" si="1136"/>
        <v>0</v>
      </c>
      <c r="O1810" s="1290"/>
      <c r="P1810" s="1290"/>
      <c r="Q1810" s="1290"/>
      <c r="R1810" s="1290"/>
      <c r="S1810" s="6"/>
      <c r="T1810" s="273">
        <f t="shared" si="1137"/>
        <v>0</v>
      </c>
      <c r="U1810" s="1290"/>
      <c r="V1810" s="1290"/>
      <c r="W1810" s="6"/>
      <c r="X1810" s="1290"/>
      <c r="Y1810" s="1290"/>
      <c r="Z1810" s="1290"/>
      <c r="AA1810" s="1290"/>
      <c r="AB1810" s="1290"/>
      <c r="AC1810" s="1290"/>
      <c r="AD1810" s="1290"/>
      <c r="AE1810" s="1290"/>
      <c r="AF1810" s="1290"/>
      <c r="AG1810" s="1290"/>
      <c r="AH1810" s="1290"/>
      <c r="AI1810" s="1290"/>
      <c r="AJ1810" s="1290"/>
      <c r="AK1810" s="1290"/>
      <c r="AL1810" s="1290"/>
      <c r="AM1810" s="1290"/>
      <c r="AN1810" s="1290"/>
      <c r="AO1810" s="1290"/>
      <c r="AP1810" s="1290"/>
      <c r="AQ1810" s="1290"/>
      <c r="AR1810" s="1290"/>
      <c r="AS1810" s="1290"/>
      <c r="AT1810" s="1290"/>
      <c r="AU1810" s="1290"/>
      <c r="AV1810" s="1290"/>
      <c r="AW1810" s="2"/>
      <c r="AX1810" s="1290"/>
      <c r="AY1810" s="6"/>
      <c r="AZ1810" s="2"/>
      <c r="BA1810" s="1290"/>
      <c r="BB1810" s="6"/>
      <c r="BC1810" s="1290"/>
      <c r="BD1810" s="29"/>
      <c r="BE1810" s="1455"/>
      <c r="BF1810" s="1455"/>
      <c r="BG1810" s="1455"/>
      <c r="BH1810" s="1455"/>
      <c r="BI1810" s="1455"/>
      <c r="BJ1810" s="1455"/>
      <c r="BK1810" s="29"/>
      <c r="BL1810" s="1455"/>
      <c r="BM1810" s="1455"/>
      <c r="BN1810" s="1455"/>
      <c r="BO1810" s="1455"/>
      <c r="BP1810" s="1455"/>
      <c r="BQ1810" s="1455"/>
      <c r="BR1810" s="1455"/>
      <c r="BS1810" s="1455"/>
      <c r="BT1810" s="1455"/>
      <c r="BU1810" s="1455"/>
      <c r="BV1810" s="1455"/>
      <c r="BW1810" s="1455"/>
      <c r="BX1810" s="1455"/>
      <c r="BY1810" s="1455"/>
      <c r="BZ1810" s="1455"/>
      <c r="CA1810" s="1455"/>
      <c r="CB1810" s="1455"/>
      <c r="CC1810" s="1455"/>
      <c r="CD1810" s="1455"/>
      <c r="CE1810" s="1455"/>
      <c r="CF1810" s="1455"/>
      <c r="CG1810" s="1191"/>
      <c r="CH1810" s="1455"/>
      <c r="CI1810" s="1455"/>
      <c r="CJ1810" s="2"/>
      <c r="CK1810" s="2"/>
      <c r="CM1810" s="1140">
        <f t="shared" si="1132"/>
        <v>0</v>
      </c>
      <c r="CN1810" s="1140"/>
      <c r="CP1810" s="923">
        <f t="shared" si="1131"/>
        <v>0</v>
      </c>
      <c r="CZ1810" s="1456"/>
    </row>
    <row r="1811" spans="1:104" ht="15" customHeight="1" x14ac:dyDescent="0.25">
      <c r="A1811" s="684">
        <f>MAX($A$6:A1810)+1</f>
        <v>1811</v>
      </c>
      <c r="B1811" s="3">
        <f t="shared" si="1134"/>
        <v>22.2</v>
      </c>
      <c r="C1811" s="11" t="str">
        <f t="shared" si="1135"/>
        <v>Capital Resource Limit</v>
      </c>
      <c r="D1811" s="11"/>
      <c r="E1811" s="1269">
        <f t="shared" si="1138"/>
        <v>0</v>
      </c>
      <c r="F1811" s="13"/>
      <c r="G1811" s="1254" t="s">
        <v>286</v>
      </c>
      <c r="H1811" s="1510"/>
      <c r="I1811" s="1510"/>
      <c r="J1811" s="1269">
        <f>+'alb Note 22 - RRL &amp; CRL'!A73</f>
        <v>0</v>
      </c>
      <c r="K1811" s="1512">
        <f>SUMIF('alb Note 22 - RRL &amp; CRL'!$A$61:$A$97,J1811,'alb Note 22 - RRL &amp; CRL'!$C$61:$C$97)</f>
        <v>0</v>
      </c>
      <c r="L1811" s="1454"/>
      <c r="M1811" s="1290"/>
      <c r="N1811" s="273">
        <f t="shared" si="1136"/>
        <v>0</v>
      </c>
      <c r="O1811" s="1290"/>
      <c r="P1811" s="1290"/>
      <c r="Q1811" s="1290"/>
      <c r="R1811" s="1290"/>
      <c r="S1811" s="6"/>
      <c r="T1811" s="273">
        <f t="shared" si="1137"/>
        <v>0</v>
      </c>
      <c r="U1811" s="1290"/>
      <c r="V1811" s="1290"/>
      <c r="W1811" s="6"/>
      <c r="X1811" s="1290"/>
      <c r="Y1811" s="1290"/>
      <c r="Z1811" s="1290"/>
      <c r="AA1811" s="1290"/>
      <c r="AB1811" s="1290"/>
      <c r="AC1811" s="1290"/>
      <c r="AD1811" s="1290"/>
      <c r="AE1811" s="1290"/>
      <c r="AF1811" s="1290"/>
      <c r="AG1811" s="1290"/>
      <c r="AH1811" s="1290"/>
      <c r="AI1811" s="1290"/>
      <c r="AJ1811" s="1290"/>
      <c r="AK1811" s="1290"/>
      <c r="AL1811" s="1290"/>
      <c r="AM1811" s="1290"/>
      <c r="AN1811" s="1290"/>
      <c r="AO1811" s="1290"/>
      <c r="AP1811" s="1290"/>
      <c r="AQ1811" s="1290"/>
      <c r="AR1811" s="1290"/>
      <c r="AS1811" s="1290"/>
      <c r="AT1811" s="1290"/>
      <c r="AU1811" s="1290"/>
      <c r="AV1811" s="1290"/>
      <c r="AW1811" s="2"/>
      <c r="AX1811" s="1290"/>
      <c r="AY1811" s="6"/>
      <c r="AZ1811" s="2"/>
      <c r="BA1811" s="1290"/>
      <c r="BB1811" s="6"/>
      <c r="BC1811" s="1290"/>
      <c r="BD1811" s="29"/>
      <c r="BE1811" s="1455"/>
      <c r="BF1811" s="1455"/>
      <c r="BG1811" s="1455"/>
      <c r="BH1811" s="1455"/>
      <c r="BI1811" s="1455"/>
      <c r="BJ1811" s="1455"/>
      <c r="BK1811" s="29"/>
      <c r="BL1811" s="1455"/>
      <c r="BM1811" s="1455"/>
      <c r="BN1811" s="1455"/>
      <c r="BO1811" s="1455"/>
      <c r="BP1811" s="1455"/>
      <c r="BQ1811" s="1455"/>
      <c r="BR1811" s="1455"/>
      <c r="BS1811" s="1455"/>
      <c r="BT1811" s="1455"/>
      <c r="BU1811" s="1455"/>
      <c r="BV1811" s="1455"/>
      <c r="BW1811" s="1455"/>
      <c r="BX1811" s="1455"/>
      <c r="BY1811" s="1455"/>
      <c r="BZ1811" s="1455"/>
      <c r="CA1811" s="1455"/>
      <c r="CB1811" s="1455"/>
      <c r="CC1811" s="1455"/>
      <c r="CD1811" s="1455"/>
      <c r="CE1811" s="1455"/>
      <c r="CF1811" s="1455"/>
      <c r="CG1811" s="1191"/>
      <c r="CH1811" s="1455"/>
      <c r="CI1811" s="1455"/>
      <c r="CJ1811" s="2"/>
      <c r="CK1811" s="2"/>
      <c r="CM1811" s="1140">
        <f t="shared" si="1132"/>
        <v>0</v>
      </c>
      <c r="CN1811" s="1140"/>
      <c r="CP1811" s="923">
        <f t="shared" si="1131"/>
        <v>0</v>
      </c>
      <c r="CZ1811" s="1456"/>
    </row>
    <row r="1812" spans="1:104" ht="15" customHeight="1" x14ac:dyDescent="0.25">
      <c r="A1812" s="684">
        <f>MAX($A$6:A1811)+1</f>
        <v>1812</v>
      </c>
      <c r="B1812" s="3">
        <f t="shared" si="1134"/>
        <v>22.2</v>
      </c>
      <c r="C1812" s="11" t="str">
        <f t="shared" si="1135"/>
        <v>Capital Resource Limit</v>
      </c>
      <c r="D1812" s="11"/>
      <c r="E1812" s="1269">
        <f t="shared" si="1138"/>
        <v>0</v>
      </c>
      <c r="F1812" s="13"/>
      <c r="G1812" s="1254" t="s">
        <v>286</v>
      </c>
      <c r="H1812" s="1510"/>
      <c r="I1812" s="1510"/>
      <c r="J1812" s="1269">
        <f>+'alb Note 22 - RRL &amp; CRL'!A74</f>
        <v>0</v>
      </c>
      <c r="K1812" s="1512">
        <f>SUMIF('alb Note 22 - RRL &amp; CRL'!$A$61:$A$97,J1812,'alb Note 22 - RRL &amp; CRL'!$C$61:$C$97)</f>
        <v>0</v>
      </c>
      <c r="L1812" s="1454"/>
      <c r="M1812" s="1290"/>
      <c r="N1812" s="273">
        <f t="shared" si="1136"/>
        <v>0</v>
      </c>
      <c r="O1812" s="1290"/>
      <c r="P1812" s="1290"/>
      <c r="Q1812" s="1290"/>
      <c r="R1812" s="1290"/>
      <c r="S1812" s="6"/>
      <c r="T1812" s="273">
        <f t="shared" si="1137"/>
        <v>0</v>
      </c>
      <c r="U1812" s="1290"/>
      <c r="V1812" s="1290"/>
      <c r="W1812" s="6"/>
      <c r="X1812" s="1290"/>
      <c r="Y1812" s="1290"/>
      <c r="Z1812" s="1290"/>
      <c r="AA1812" s="1290"/>
      <c r="AB1812" s="1290"/>
      <c r="AC1812" s="1290"/>
      <c r="AD1812" s="1290"/>
      <c r="AE1812" s="1290"/>
      <c r="AF1812" s="1290"/>
      <c r="AG1812" s="1290"/>
      <c r="AH1812" s="1290"/>
      <c r="AI1812" s="1290"/>
      <c r="AJ1812" s="1290"/>
      <c r="AK1812" s="1290"/>
      <c r="AL1812" s="1290"/>
      <c r="AM1812" s="1290"/>
      <c r="AN1812" s="1290"/>
      <c r="AO1812" s="1290"/>
      <c r="AP1812" s="1290"/>
      <c r="AQ1812" s="1290"/>
      <c r="AR1812" s="1290"/>
      <c r="AS1812" s="1290"/>
      <c r="AT1812" s="1290"/>
      <c r="AU1812" s="1290"/>
      <c r="AV1812" s="1290"/>
      <c r="AW1812" s="2"/>
      <c r="AX1812" s="1290"/>
      <c r="AY1812" s="6"/>
      <c r="AZ1812" s="2"/>
      <c r="BA1812" s="1290"/>
      <c r="BB1812" s="6"/>
      <c r="BC1812" s="1290"/>
      <c r="BD1812" s="29"/>
      <c r="BE1812" s="1455"/>
      <c r="BF1812" s="1455"/>
      <c r="BG1812" s="1455"/>
      <c r="BH1812" s="1455"/>
      <c r="BI1812" s="1455"/>
      <c r="BJ1812" s="1455"/>
      <c r="BK1812" s="29"/>
      <c r="BL1812" s="1455"/>
      <c r="BM1812" s="1455"/>
      <c r="BN1812" s="1455"/>
      <c r="BO1812" s="1455"/>
      <c r="BP1812" s="1455"/>
      <c r="BQ1812" s="1455"/>
      <c r="BR1812" s="1455"/>
      <c r="BS1812" s="1455"/>
      <c r="BT1812" s="1455"/>
      <c r="BU1812" s="1455"/>
      <c r="BV1812" s="1455"/>
      <c r="BW1812" s="1455"/>
      <c r="BX1812" s="1455"/>
      <c r="BY1812" s="1455"/>
      <c r="BZ1812" s="1455"/>
      <c r="CA1812" s="1455"/>
      <c r="CB1812" s="1455"/>
      <c r="CC1812" s="1455"/>
      <c r="CD1812" s="1455"/>
      <c r="CE1812" s="1455"/>
      <c r="CF1812" s="1455"/>
      <c r="CG1812" s="1191"/>
      <c r="CH1812" s="1455"/>
      <c r="CI1812" s="1455"/>
      <c r="CJ1812" s="2"/>
      <c r="CK1812" s="2"/>
      <c r="CM1812" s="1140">
        <f t="shared" si="1132"/>
        <v>0</v>
      </c>
      <c r="CN1812" s="1140"/>
      <c r="CP1812" s="923">
        <f t="shared" si="1131"/>
        <v>0</v>
      </c>
      <c r="CZ1812" s="1456"/>
    </row>
    <row r="1813" spans="1:104" ht="15" customHeight="1" x14ac:dyDescent="0.25">
      <c r="A1813" s="684">
        <f>MAX($A$6:A1812)+1</f>
        <v>1813</v>
      </c>
      <c r="B1813" s="3">
        <f t="shared" si="1134"/>
        <v>22.2</v>
      </c>
      <c r="C1813" s="11" t="str">
        <f t="shared" si="1135"/>
        <v>Capital Resource Limit</v>
      </c>
      <c r="D1813" s="11"/>
      <c r="E1813" s="1269">
        <f t="shared" si="1138"/>
        <v>0</v>
      </c>
      <c r="F1813" s="13"/>
      <c r="G1813" s="1254" t="s">
        <v>286</v>
      </c>
      <c r="H1813" s="1510"/>
      <c r="I1813" s="1510"/>
      <c r="J1813" s="1269">
        <f>+'alb Note 22 - RRL &amp; CRL'!A75</f>
        <v>0</v>
      </c>
      <c r="K1813" s="1512">
        <f>SUMIF('alb Note 22 - RRL &amp; CRL'!$A$61:$A$97,J1813,'alb Note 22 - RRL &amp; CRL'!$C$61:$C$97)</f>
        <v>0</v>
      </c>
      <c r="L1813" s="1454"/>
      <c r="M1813" s="1290"/>
      <c r="N1813" s="273">
        <f t="shared" si="1136"/>
        <v>0</v>
      </c>
      <c r="O1813" s="1290"/>
      <c r="P1813" s="1290"/>
      <c r="Q1813" s="1290"/>
      <c r="R1813" s="1290"/>
      <c r="S1813" s="6"/>
      <c r="T1813" s="273">
        <f t="shared" si="1137"/>
        <v>0</v>
      </c>
      <c r="U1813" s="1290"/>
      <c r="V1813" s="1290"/>
      <c r="W1813" s="6"/>
      <c r="X1813" s="1290"/>
      <c r="Y1813" s="1290"/>
      <c r="Z1813" s="1290"/>
      <c r="AA1813" s="1290"/>
      <c r="AB1813" s="1290"/>
      <c r="AC1813" s="1290"/>
      <c r="AD1813" s="1290"/>
      <c r="AE1813" s="1290"/>
      <c r="AF1813" s="1290"/>
      <c r="AG1813" s="1290"/>
      <c r="AH1813" s="1290"/>
      <c r="AI1813" s="1290"/>
      <c r="AJ1813" s="1290"/>
      <c r="AK1813" s="1290"/>
      <c r="AL1813" s="1290"/>
      <c r="AM1813" s="1290"/>
      <c r="AN1813" s="1290"/>
      <c r="AO1813" s="1290"/>
      <c r="AP1813" s="1290"/>
      <c r="AQ1813" s="1290"/>
      <c r="AR1813" s="1290"/>
      <c r="AS1813" s="1290"/>
      <c r="AT1813" s="1290"/>
      <c r="AU1813" s="1290"/>
      <c r="AV1813" s="1290"/>
      <c r="AW1813" s="2"/>
      <c r="AX1813" s="1290"/>
      <c r="AY1813" s="6"/>
      <c r="AZ1813" s="2"/>
      <c r="BA1813" s="1290"/>
      <c r="BB1813" s="6"/>
      <c r="BC1813" s="1290"/>
      <c r="BD1813" s="29"/>
      <c r="BE1813" s="1455"/>
      <c r="BF1813" s="1455"/>
      <c r="BG1813" s="1455"/>
      <c r="BH1813" s="1455"/>
      <c r="BI1813" s="1455"/>
      <c r="BJ1813" s="1455"/>
      <c r="BK1813" s="29"/>
      <c r="BL1813" s="1455"/>
      <c r="BM1813" s="1455"/>
      <c r="BN1813" s="1455"/>
      <c r="BO1813" s="1455"/>
      <c r="BP1813" s="1455"/>
      <c r="BQ1813" s="1455"/>
      <c r="BR1813" s="1455"/>
      <c r="BS1813" s="1455"/>
      <c r="BT1813" s="1455"/>
      <c r="BU1813" s="1455"/>
      <c r="BV1813" s="1455"/>
      <c r="BW1813" s="1455"/>
      <c r="BX1813" s="1455"/>
      <c r="BY1813" s="1455"/>
      <c r="BZ1813" s="1455"/>
      <c r="CA1813" s="1455"/>
      <c r="CB1813" s="1455"/>
      <c r="CC1813" s="1455"/>
      <c r="CD1813" s="1455"/>
      <c r="CE1813" s="1455"/>
      <c r="CF1813" s="1455"/>
      <c r="CG1813" s="1191"/>
      <c r="CH1813" s="1455"/>
      <c r="CI1813" s="1455"/>
      <c r="CJ1813" s="2"/>
      <c r="CK1813" s="2"/>
      <c r="CM1813" s="1140">
        <f t="shared" si="1132"/>
        <v>0</v>
      </c>
      <c r="CN1813" s="1140"/>
      <c r="CP1813" s="923">
        <f t="shared" si="1131"/>
        <v>0</v>
      </c>
      <c r="CZ1813" s="1456"/>
    </row>
    <row r="1814" spans="1:104" ht="15" customHeight="1" x14ac:dyDescent="0.25">
      <c r="A1814" s="684">
        <f>MAX($A$6:A1813)+1</f>
        <v>1814</v>
      </c>
      <c r="B1814" s="3">
        <f t="shared" si="1134"/>
        <v>22.2</v>
      </c>
      <c r="C1814" s="11" t="str">
        <f t="shared" si="1135"/>
        <v>Capital Resource Limit</v>
      </c>
      <c r="D1814" s="11"/>
      <c r="E1814" s="1269">
        <f t="shared" si="1138"/>
        <v>0</v>
      </c>
      <c r="F1814" s="13"/>
      <c r="G1814" s="1254" t="s">
        <v>286</v>
      </c>
      <c r="H1814" s="1510"/>
      <c r="I1814" s="1510"/>
      <c r="J1814" s="1269">
        <f>+'alb Note 22 - RRL &amp; CRL'!A76</f>
        <v>0</v>
      </c>
      <c r="K1814" s="1512">
        <f>SUMIF('alb Note 22 - RRL &amp; CRL'!$A$61:$A$97,J1814,'alb Note 22 - RRL &amp; CRL'!$C$61:$C$97)</f>
        <v>0</v>
      </c>
      <c r="L1814" s="1454"/>
      <c r="M1814" s="1290"/>
      <c r="N1814" s="273">
        <f t="shared" si="1136"/>
        <v>0</v>
      </c>
      <c r="O1814" s="1290"/>
      <c r="P1814" s="1290"/>
      <c r="Q1814" s="1290"/>
      <c r="R1814" s="1290"/>
      <c r="S1814" s="6"/>
      <c r="T1814" s="273">
        <f t="shared" si="1137"/>
        <v>0</v>
      </c>
      <c r="U1814" s="1290"/>
      <c r="V1814" s="1290"/>
      <c r="W1814" s="6"/>
      <c r="X1814" s="1290"/>
      <c r="Y1814" s="1290"/>
      <c r="Z1814" s="1290"/>
      <c r="AA1814" s="1290"/>
      <c r="AB1814" s="1290"/>
      <c r="AC1814" s="1290"/>
      <c r="AD1814" s="1290"/>
      <c r="AE1814" s="1290"/>
      <c r="AF1814" s="1290"/>
      <c r="AG1814" s="1290"/>
      <c r="AH1814" s="1290"/>
      <c r="AI1814" s="1290"/>
      <c r="AJ1814" s="1290"/>
      <c r="AK1814" s="1290"/>
      <c r="AL1814" s="1290"/>
      <c r="AM1814" s="1290"/>
      <c r="AN1814" s="1290"/>
      <c r="AO1814" s="1290"/>
      <c r="AP1814" s="1290"/>
      <c r="AQ1814" s="1290"/>
      <c r="AR1814" s="1290"/>
      <c r="AS1814" s="1290"/>
      <c r="AT1814" s="1290"/>
      <c r="AU1814" s="1290"/>
      <c r="AV1814" s="1290"/>
      <c r="AW1814" s="2"/>
      <c r="AX1814" s="1290"/>
      <c r="AY1814" s="6"/>
      <c r="AZ1814" s="2"/>
      <c r="BA1814" s="1290"/>
      <c r="BB1814" s="6"/>
      <c r="BC1814" s="1290"/>
      <c r="BD1814" s="29"/>
      <c r="BE1814" s="1455"/>
      <c r="BF1814" s="1455"/>
      <c r="BG1814" s="1455"/>
      <c r="BH1814" s="1455"/>
      <c r="BI1814" s="1455"/>
      <c r="BJ1814" s="1455"/>
      <c r="BK1814" s="29"/>
      <c r="BL1814" s="1455"/>
      <c r="BM1814" s="1455"/>
      <c r="BN1814" s="1455"/>
      <c r="BO1814" s="1455"/>
      <c r="BP1814" s="1455"/>
      <c r="BQ1814" s="1455"/>
      <c r="BR1814" s="1455"/>
      <c r="BS1814" s="1455"/>
      <c r="BT1814" s="1455"/>
      <c r="BU1814" s="1455"/>
      <c r="BV1814" s="1455"/>
      <c r="BW1814" s="1455"/>
      <c r="BX1814" s="1455"/>
      <c r="BY1814" s="1455"/>
      <c r="BZ1814" s="1455"/>
      <c r="CA1814" s="1455"/>
      <c r="CB1814" s="1455"/>
      <c r="CC1814" s="1455"/>
      <c r="CD1814" s="1455"/>
      <c r="CE1814" s="1455"/>
      <c r="CF1814" s="1455"/>
      <c r="CG1814" s="1191"/>
      <c r="CH1814" s="1455"/>
      <c r="CI1814" s="1455"/>
      <c r="CJ1814" s="2"/>
      <c r="CK1814" s="2"/>
      <c r="CM1814" s="1140">
        <f t="shared" si="1132"/>
        <v>0</v>
      </c>
      <c r="CN1814" s="1140"/>
      <c r="CP1814" s="923">
        <f t="shared" si="1131"/>
        <v>0</v>
      </c>
      <c r="CZ1814" s="1456"/>
    </row>
    <row r="1815" spans="1:104" ht="15" customHeight="1" x14ac:dyDescent="0.25">
      <c r="A1815" s="701">
        <f>MAX($A$6:A1814)+1</f>
        <v>1815</v>
      </c>
      <c r="B1815" s="1291">
        <f t="shared" si="1134"/>
        <v>22.2</v>
      </c>
      <c r="C1815" s="18" t="str">
        <f t="shared" si="1135"/>
        <v>Capital Resource Limit</v>
      </c>
      <c r="D1815" s="18"/>
      <c r="E1815" s="1511" t="s">
        <v>2564</v>
      </c>
      <c r="F1815" s="19"/>
      <c r="G1815" s="28" t="s">
        <v>286</v>
      </c>
      <c r="H1815" s="14"/>
      <c r="I1815" s="14"/>
      <c r="J1815" s="1511" t="s">
        <v>2564</v>
      </c>
      <c r="K1815" s="1185">
        <f>SUMIF('alb Note 22 - RRL &amp; CRL'!$A$61:$A$97,J1815,'alb Note 22 - RRL &amp; CRL'!$C$61:$C$97)</f>
        <v>0</v>
      </c>
      <c r="L1815" s="256"/>
      <c r="M1815" s="14"/>
      <c r="N1815" s="14">
        <f t="shared" si="1136"/>
        <v>0</v>
      </c>
      <c r="O1815" s="14"/>
      <c r="P1815" s="14"/>
      <c r="Q1815" s="14"/>
      <c r="R1815" s="14"/>
      <c r="S1815" s="14"/>
      <c r="T1815" s="14">
        <f t="shared" si="1137"/>
        <v>0</v>
      </c>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2"/>
      <c r="AX1815" s="14"/>
      <c r="AY1815" s="14"/>
      <c r="AZ1815" s="2"/>
      <c r="BA1815" s="14"/>
      <c r="BB1815" s="14"/>
      <c r="BC1815" s="14"/>
      <c r="BD1815" s="14"/>
      <c r="BE1815" s="318"/>
      <c r="BF1815" s="318"/>
      <c r="BG1815" s="318"/>
      <c r="BH1815" s="318"/>
      <c r="BI1815" s="318"/>
      <c r="BJ1815" s="318"/>
      <c r="BK1815" s="14"/>
      <c r="BL1815" s="318"/>
      <c r="BM1815" s="318"/>
      <c r="BN1815" s="318"/>
      <c r="BO1815" s="318"/>
      <c r="BP1815" s="318"/>
      <c r="BQ1815" s="318"/>
      <c r="BR1815" s="318"/>
      <c r="BS1815" s="318"/>
      <c r="BT1815" s="318"/>
      <c r="BU1815" s="318"/>
      <c r="BV1815" s="318"/>
      <c r="BW1815" s="318"/>
      <c r="BX1815" s="318"/>
      <c r="BY1815" s="318"/>
      <c r="BZ1815" s="318"/>
      <c r="CA1815" s="318"/>
      <c r="CB1815" s="318"/>
      <c r="CC1815" s="318"/>
      <c r="CD1815" s="318"/>
      <c r="CE1815" s="318"/>
      <c r="CF1815" s="318"/>
      <c r="CG1815" s="318"/>
      <c r="CH1815" s="318"/>
      <c r="CI1815" s="318"/>
      <c r="CJ1815" s="2"/>
      <c r="CK1815" s="2"/>
      <c r="CM1815" s="1140">
        <f t="shared" si="1132"/>
        <v>0</v>
      </c>
      <c r="CN1815" s="1140"/>
      <c r="CP1815" s="923">
        <f t="shared" si="1131"/>
        <v>0</v>
      </c>
      <c r="CZ1815" s="330"/>
    </row>
    <row r="1816" spans="1:104" ht="15" customHeight="1" x14ac:dyDescent="0.25">
      <c r="A1816" s="701">
        <f>MAX($A$6:A1815)+1</f>
        <v>1816</v>
      </c>
      <c r="B1816" s="1291">
        <f t="shared" si="1134"/>
        <v>22.2</v>
      </c>
      <c r="C1816" s="18" t="str">
        <f t="shared" si="1135"/>
        <v>Capital Resource Limit</v>
      </c>
      <c r="D1816" s="18"/>
      <c r="E1816" s="1511" t="s">
        <v>2565</v>
      </c>
      <c r="F1816" s="19"/>
      <c r="G1816" s="28" t="s">
        <v>286</v>
      </c>
      <c r="H1816" s="14"/>
      <c r="I1816" s="14"/>
      <c r="J1816" s="1511" t="s">
        <v>2565</v>
      </c>
      <c r="K1816" s="1185">
        <f>SUMIF('alb Note 22 - RRL &amp; CRL'!$A$61:$A$97,J1816,'alb Note 22 - RRL &amp; CRL'!$C$61:$C$97)</f>
        <v>0</v>
      </c>
      <c r="L1816" s="256"/>
      <c r="M1816" s="14"/>
      <c r="N1816" s="14">
        <f t="shared" si="1136"/>
        <v>0</v>
      </c>
      <c r="O1816" s="14"/>
      <c r="P1816" s="14"/>
      <c r="Q1816" s="14"/>
      <c r="R1816" s="14"/>
      <c r="S1816" s="14"/>
      <c r="T1816" s="14">
        <f t="shared" si="1137"/>
        <v>0</v>
      </c>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c r="AQ1816" s="14"/>
      <c r="AR1816" s="14"/>
      <c r="AS1816" s="14"/>
      <c r="AT1816" s="14"/>
      <c r="AU1816" s="14"/>
      <c r="AV1816" s="14"/>
      <c r="AW1816" s="2"/>
      <c r="AX1816" s="14"/>
      <c r="AY1816" s="14"/>
      <c r="AZ1816" s="2"/>
      <c r="BA1816" s="14"/>
      <c r="BB1816" s="14"/>
      <c r="BC1816" s="14"/>
      <c r="BD1816" s="14"/>
      <c r="BE1816" s="318"/>
      <c r="BF1816" s="318"/>
      <c r="BG1816" s="318"/>
      <c r="BH1816" s="318"/>
      <c r="BI1816" s="318"/>
      <c r="BJ1816" s="318"/>
      <c r="BK1816" s="14"/>
      <c r="BL1816" s="318"/>
      <c r="BM1816" s="318"/>
      <c r="BN1816" s="318"/>
      <c r="BO1816" s="318"/>
      <c r="BP1816" s="318"/>
      <c r="BQ1816" s="318"/>
      <c r="BR1816" s="318"/>
      <c r="BS1816" s="318"/>
      <c r="BT1816" s="318"/>
      <c r="BU1816" s="318"/>
      <c r="BV1816" s="318"/>
      <c r="BW1816" s="318"/>
      <c r="BX1816" s="318"/>
      <c r="BY1816" s="318"/>
      <c r="BZ1816" s="318"/>
      <c r="CA1816" s="318"/>
      <c r="CB1816" s="318"/>
      <c r="CC1816" s="318"/>
      <c r="CD1816" s="318"/>
      <c r="CE1816" s="318"/>
      <c r="CF1816" s="318"/>
      <c r="CG1816" s="318"/>
      <c r="CH1816" s="318"/>
      <c r="CI1816" s="318"/>
      <c r="CJ1816" s="2"/>
      <c r="CK1816" s="2"/>
      <c r="CM1816" s="1140">
        <f t="shared" si="1132"/>
        <v>0</v>
      </c>
      <c r="CN1816" s="1140"/>
      <c r="CP1816" s="923">
        <f t="shared" si="1131"/>
        <v>0</v>
      </c>
      <c r="CZ1816" s="330"/>
    </row>
    <row r="1817" spans="1:104" x14ac:dyDescent="0.25">
      <c r="A1817" s="684">
        <f>MAX($A$6:A1816)+1</f>
        <v>1817</v>
      </c>
      <c r="B1817" s="3">
        <f t="shared" ref="B1817:B1830" si="1139">B1816</f>
        <v>22.2</v>
      </c>
      <c r="C1817" s="11" t="str">
        <f t="shared" ref="C1817:C1830" si="1140">C1816</f>
        <v>Capital Resource Limit</v>
      </c>
      <c r="D1817" s="11"/>
      <c r="E1817" s="1277" t="s">
        <v>2566</v>
      </c>
      <c r="F1817" s="13"/>
      <c r="G1817" s="1254" t="s">
        <v>286</v>
      </c>
      <c r="H1817" s="1510"/>
      <c r="I1817" s="1510"/>
      <c r="J1817" s="1277" t="s">
        <v>2566</v>
      </c>
      <c r="K1817" s="1512">
        <f>SUMIF('alb Note 22 - RRL &amp; CRL'!$A$61:$A$97,J1817,'alb Note 22 - RRL &amp; CRL'!$C$61:$C$97)</f>
        <v>0</v>
      </c>
      <c r="L1817" s="1454"/>
      <c r="M1817" s="1290"/>
      <c r="N1817" s="273">
        <f t="shared" si="1136"/>
        <v>0</v>
      </c>
      <c r="O1817" s="1290"/>
      <c r="P1817" s="1290"/>
      <c r="Q1817" s="1290"/>
      <c r="R1817" s="1290"/>
      <c r="S1817" s="6"/>
      <c r="T1817" s="273">
        <f t="shared" si="1137"/>
        <v>0</v>
      </c>
      <c r="U1817" s="1290"/>
      <c r="V1817" s="1290"/>
      <c r="W1817" s="6"/>
      <c r="X1817" s="1290"/>
      <c r="Y1817" s="1290"/>
      <c r="Z1817" s="1290"/>
      <c r="AA1817" s="1290"/>
      <c r="AB1817" s="1290"/>
      <c r="AC1817" s="1290"/>
      <c r="AD1817" s="1290"/>
      <c r="AE1817" s="1290"/>
      <c r="AF1817" s="1290"/>
      <c r="AG1817" s="1290"/>
      <c r="AH1817" s="1290"/>
      <c r="AI1817" s="1290"/>
      <c r="AJ1817" s="1290"/>
      <c r="AK1817" s="1290"/>
      <c r="AL1817" s="1290"/>
      <c r="AM1817" s="1290"/>
      <c r="AN1817" s="1290"/>
      <c r="AO1817" s="1290"/>
      <c r="AP1817" s="1290"/>
      <c r="AQ1817" s="1290"/>
      <c r="AR1817" s="1290"/>
      <c r="AS1817" s="1290"/>
      <c r="AT1817" s="1290"/>
      <c r="AU1817" s="1290"/>
      <c r="AV1817" s="1290"/>
      <c r="AW1817" s="2"/>
      <c r="AX1817" s="1290"/>
      <c r="AY1817" s="6"/>
      <c r="AZ1817" s="2"/>
      <c r="BA1817" s="1290"/>
      <c r="BB1817" s="6"/>
      <c r="BC1817" s="1290"/>
      <c r="BD1817" s="29"/>
      <c r="BE1817" s="1455"/>
      <c r="BF1817" s="1455"/>
      <c r="BG1817" s="1455"/>
      <c r="BH1817" s="1455"/>
      <c r="BI1817" s="1455"/>
      <c r="BJ1817" s="1455"/>
      <c r="BK1817" s="29"/>
      <c r="BL1817" s="1455"/>
      <c r="BM1817" s="1455"/>
      <c r="BN1817" s="1455"/>
      <c r="BO1817" s="1455"/>
      <c r="BP1817" s="1455"/>
      <c r="BQ1817" s="1455"/>
      <c r="BR1817" s="1455"/>
      <c r="BS1817" s="1455"/>
      <c r="BT1817" s="1455"/>
      <c r="BU1817" s="1455"/>
      <c r="BV1817" s="1455"/>
      <c r="BW1817" s="1455"/>
      <c r="BX1817" s="1455"/>
      <c r="BY1817" s="1455"/>
      <c r="BZ1817" s="1455"/>
      <c r="CA1817" s="1455"/>
      <c r="CB1817" s="1455"/>
      <c r="CC1817" s="1455"/>
      <c r="CD1817" s="1455"/>
      <c r="CE1817" s="1455"/>
      <c r="CF1817" s="1455"/>
      <c r="CG1817" s="1191"/>
      <c r="CH1817" s="1455"/>
      <c r="CI1817" s="1455"/>
      <c r="CJ1817" s="2"/>
      <c r="CK1817" s="2"/>
      <c r="CM1817" s="1140">
        <f t="shared" si="1132"/>
        <v>0</v>
      </c>
      <c r="CN1817" s="1140"/>
      <c r="CP1817" s="923">
        <f t="shared" si="1131"/>
        <v>0</v>
      </c>
      <c r="CZ1817" s="1456"/>
    </row>
    <row r="1818" spans="1:104" ht="25.5" x14ac:dyDescent="0.25">
      <c r="A1818" s="684">
        <f>MAX($A$6:A1817)+1</f>
        <v>1818</v>
      </c>
      <c r="B1818" s="3">
        <f t="shared" si="1139"/>
        <v>22.2</v>
      </c>
      <c r="C1818" s="11" t="str">
        <f t="shared" si="1140"/>
        <v>Capital Resource Limit</v>
      </c>
      <c r="D1818" s="11"/>
      <c r="E1818" s="1254" t="s">
        <v>2567</v>
      </c>
      <c r="F1818" s="13"/>
      <c r="G1818" s="1254" t="s">
        <v>286</v>
      </c>
      <c r="H1818" s="1510"/>
      <c r="I1818" s="1510"/>
      <c r="J1818" s="1254" t="s">
        <v>2567</v>
      </c>
      <c r="K1818" s="1512">
        <f>SUMIF('alb Note 22 - RRL &amp; CRL'!$A$61:$A$97,J1818,'alb Note 22 - RRL &amp; CRL'!$C$61:$C$97)</f>
        <v>0</v>
      </c>
      <c r="L1818" s="1454"/>
      <c r="M1818" s="1290"/>
      <c r="N1818" s="273">
        <f t="shared" si="1136"/>
        <v>0</v>
      </c>
      <c r="O1818" s="1290"/>
      <c r="P1818" s="1290"/>
      <c r="Q1818" s="1290"/>
      <c r="R1818" s="1290"/>
      <c r="S1818" s="6"/>
      <c r="T1818" s="273">
        <f t="shared" si="1137"/>
        <v>0</v>
      </c>
      <c r="U1818" s="1290"/>
      <c r="V1818" s="1290"/>
      <c r="W1818" s="6"/>
      <c r="X1818" s="1290"/>
      <c r="Y1818" s="1290"/>
      <c r="Z1818" s="1290"/>
      <c r="AA1818" s="1290"/>
      <c r="AB1818" s="1290"/>
      <c r="AC1818" s="1290"/>
      <c r="AD1818" s="1290"/>
      <c r="AE1818" s="1290"/>
      <c r="AF1818" s="1290"/>
      <c r="AG1818" s="1290"/>
      <c r="AH1818" s="1290"/>
      <c r="AI1818" s="1290"/>
      <c r="AJ1818" s="1290"/>
      <c r="AK1818" s="1290"/>
      <c r="AL1818" s="1290"/>
      <c r="AM1818" s="1290"/>
      <c r="AN1818" s="1290"/>
      <c r="AO1818" s="1290"/>
      <c r="AP1818" s="1290"/>
      <c r="AQ1818" s="1290"/>
      <c r="AR1818" s="1290"/>
      <c r="AS1818" s="1290"/>
      <c r="AT1818" s="1290"/>
      <c r="AU1818" s="1290"/>
      <c r="AV1818" s="1290"/>
      <c r="AW1818" s="2"/>
      <c r="AX1818" s="1290"/>
      <c r="AY1818" s="6"/>
      <c r="AZ1818" s="2"/>
      <c r="BA1818" s="1290"/>
      <c r="BB1818" s="6"/>
      <c r="BC1818" s="1290"/>
      <c r="BD1818" s="29"/>
      <c r="BE1818" s="1455"/>
      <c r="BF1818" s="1455"/>
      <c r="BG1818" s="1455"/>
      <c r="BH1818" s="1455"/>
      <c r="BI1818" s="1455"/>
      <c r="BJ1818" s="1455"/>
      <c r="BK1818" s="29"/>
      <c r="BL1818" s="1455"/>
      <c r="BM1818" s="1455"/>
      <c r="BN1818" s="1455"/>
      <c r="BO1818" s="1455"/>
      <c r="BP1818" s="1455"/>
      <c r="BQ1818" s="1455"/>
      <c r="BR1818" s="1455"/>
      <c r="BS1818" s="1455"/>
      <c r="BT1818" s="1455"/>
      <c r="BU1818" s="1455"/>
      <c r="BV1818" s="1455"/>
      <c r="BW1818" s="1455"/>
      <c r="BX1818" s="1455"/>
      <c r="BY1818" s="1455"/>
      <c r="BZ1818" s="1455"/>
      <c r="CA1818" s="1455"/>
      <c r="CB1818" s="1455"/>
      <c r="CC1818" s="1455"/>
      <c r="CD1818" s="1455"/>
      <c r="CE1818" s="1455"/>
      <c r="CF1818" s="1455"/>
      <c r="CG1818" s="1191"/>
      <c r="CH1818" s="1455"/>
      <c r="CI1818" s="1455"/>
      <c r="CJ1818" s="2"/>
      <c r="CK1818" s="2"/>
      <c r="CM1818" s="1140">
        <f t="shared" si="1132"/>
        <v>0</v>
      </c>
      <c r="CN1818" s="1140"/>
      <c r="CP1818" s="923">
        <f t="shared" si="1131"/>
        <v>0</v>
      </c>
      <c r="CZ1818" s="1456"/>
    </row>
    <row r="1819" spans="1:104" ht="25.5" x14ac:dyDescent="0.25">
      <c r="A1819" s="684">
        <f>MAX($A$6:A1818)+1</f>
        <v>1819</v>
      </c>
      <c r="B1819" s="3">
        <f t="shared" si="1139"/>
        <v>22.2</v>
      </c>
      <c r="C1819" s="11" t="str">
        <f t="shared" si="1140"/>
        <v>Capital Resource Limit</v>
      </c>
      <c r="D1819" s="11"/>
      <c r="E1819" s="1277" t="s">
        <v>2568</v>
      </c>
      <c r="F1819" s="13"/>
      <c r="G1819" s="1254" t="s">
        <v>286</v>
      </c>
      <c r="H1819" s="1510"/>
      <c r="I1819" s="1510"/>
      <c r="J1819" s="1277" t="s">
        <v>2568</v>
      </c>
      <c r="K1819" s="1512">
        <f>SUMIF('alb Note 22 - RRL &amp; CRL'!$A$61:$A$97,J1819,'alb Note 22 - RRL &amp; CRL'!$C$61:$C$97)</f>
        <v>0</v>
      </c>
      <c r="L1819" s="1454"/>
      <c r="M1819" s="1290"/>
      <c r="N1819" s="273">
        <f t="shared" si="1136"/>
        <v>0</v>
      </c>
      <c r="O1819" s="1290"/>
      <c r="P1819" s="1290"/>
      <c r="Q1819" s="1290"/>
      <c r="R1819" s="1290"/>
      <c r="S1819" s="6"/>
      <c r="T1819" s="273">
        <f t="shared" si="1137"/>
        <v>0</v>
      </c>
      <c r="U1819" s="1290"/>
      <c r="V1819" s="1290"/>
      <c r="W1819" s="6"/>
      <c r="X1819" s="1290"/>
      <c r="Y1819" s="1290"/>
      <c r="Z1819" s="1290"/>
      <c r="AA1819" s="1290"/>
      <c r="AB1819" s="1290"/>
      <c r="AC1819" s="1290"/>
      <c r="AD1819" s="1290"/>
      <c r="AE1819" s="1290"/>
      <c r="AF1819" s="1290"/>
      <c r="AG1819" s="1290"/>
      <c r="AH1819" s="1290"/>
      <c r="AI1819" s="1290"/>
      <c r="AJ1819" s="1290"/>
      <c r="AK1819" s="1290"/>
      <c r="AL1819" s="1290"/>
      <c r="AM1819" s="1290"/>
      <c r="AN1819" s="1290"/>
      <c r="AO1819" s="1290"/>
      <c r="AP1819" s="1290"/>
      <c r="AQ1819" s="1290"/>
      <c r="AR1819" s="1290"/>
      <c r="AS1819" s="1290"/>
      <c r="AT1819" s="1290"/>
      <c r="AU1819" s="1290"/>
      <c r="AV1819" s="1290"/>
      <c r="AW1819" s="2"/>
      <c r="AX1819" s="1290"/>
      <c r="AY1819" s="6"/>
      <c r="AZ1819" s="2"/>
      <c r="BA1819" s="1290"/>
      <c r="BB1819" s="6"/>
      <c r="BC1819" s="1290"/>
      <c r="BD1819" s="29"/>
      <c r="BE1819" s="1455"/>
      <c r="BF1819" s="1455"/>
      <c r="BG1819" s="1455"/>
      <c r="BH1819" s="1455"/>
      <c r="BI1819" s="1455"/>
      <c r="BJ1819" s="1455"/>
      <c r="BK1819" s="29"/>
      <c r="BL1819" s="1455"/>
      <c r="BM1819" s="1455"/>
      <c r="BN1819" s="1455"/>
      <c r="BO1819" s="1455"/>
      <c r="BP1819" s="1455"/>
      <c r="BQ1819" s="1455"/>
      <c r="BR1819" s="1455"/>
      <c r="BS1819" s="1455"/>
      <c r="BT1819" s="1455"/>
      <c r="BU1819" s="1455"/>
      <c r="BV1819" s="1455"/>
      <c r="BW1819" s="1455"/>
      <c r="BX1819" s="1455"/>
      <c r="BY1819" s="1455"/>
      <c r="BZ1819" s="1455"/>
      <c r="CA1819" s="1455"/>
      <c r="CB1819" s="1455"/>
      <c r="CC1819" s="1455"/>
      <c r="CD1819" s="1455"/>
      <c r="CE1819" s="1455"/>
      <c r="CF1819" s="1455"/>
      <c r="CG1819" s="1191"/>
      <c r="CH1819" s="1455"/>
      <c r="CI1819" s="1455"/>
      <c r="CJ1819" s="2"/>
      <c r="CK1819" s="2"/>
      <c r="CM1819" s="1140">
        <f t="shared" si="1132"/>
        <v>0</v>
      </c>
      <c r="CN1819" s="1140"/>
      <c r="CP1819" s="923">
        <f t="shared" si="1131"/>
        <v>0</v>
      </c>
      <c r="CZ1819" s="1456"/>
    </row>
    <row r="1820" spans="1:104" ht="32.25" customHeight="1" x14ac:dyDescent="0.25">
      <c r="A1820" s="684">
        <f>MAX($A$6:A1819)+1</f>
        <v>1820</v>
      </c>
      <c r="B1820" s="3">
        <f t="shared" si="1139"/>
        <v>22.2</v>
      </c>
      <c r="C1820" s="11" t="str">
        <f t="shared" si="1140"/>
        <v>Capital Resource Limit</v>
      </c>
      <c r="D1820" s="11"/>
      <c r="E1820" s="1254" t="s">
        <v>2569</v>
      </c>
      <c r="F1820" s="13"/>
      <c r="G1820" s="1254" t="s">
        <v>286</v>
      </c>
      <c r="H1820" s="1510"/>
      <c r="I1820" s="1510"/>
      <c r="J1820" s="1254" t="s">
        <v>2569</v>
      </c>
      <c r="K1820" s="1512">
        <f>SUMIF('alb Note 22 - RRL &amp; CRL'!$A$61:$A$97,J1820,'alb Note 22 - RRL &amp; CRL'!$C$61:$C$97)</f>
        <v>0</v>
      </c>
      <c r="L1820" s="1454"/>
      <c r="M1820" s="1290"/>
      <c r="N1820" s="273">
        <f t="shared" si="1136"/>
        <v>0</v>
      </c>
      <c r="O1820" s="1290"/>
      <c r="P1820" s="1290"/>
      <c r="Q1820" s="1290"/>
      <c r="R1820" s="1290"/>
      <c r="S1820" s="6"/>
      <c r="T1820" s="273">
        <f t="shared" si="1137"/>
        <v>0</v>
      </c>
      <c r="U1820" s="1290"/>
      <c r="V1820" s="1290"/>
      <c r="W1820" s="6"/>
      <c r="X1820" s="1290"/>
      <c r="Y1820" s="1290"/>
      <c r="Z1820" s="1290"/>
      <c r="AA1820" s="1290"/>
      <c r="AB1820" s="1290"/>
      <c r="AC1820" s="1290"/>
      <c r="AD1820" s="1290"/>
      <c r="AE1820" s="1290"/>
      <c r="AF1820" s="1290"/>
      <c r="AG1820" s="1290"/>
      <c r="AH1820" s="1290"/>
      <c r="AI1820" s="1290"/>
      <c r="AJ1820" s="1290"/>
      <c r="AK1820" s="1290"/>
      <c r="AL1820" s="1290"/>
      <c r="AM1820" s="1290"/>
      <c r="AN1820" s="1290"/>
      <c r="AO1820" s="1290"/>
      <c r="AP1820" s="1290"/>
      <c r="AQ1820" s="1290"/>
      <c r="AR1820" s="1290"/>
      <c r="AS1820" s="1290"/>
      <c r="AT1820" s="1290"/>
      <c r="AU1820" s="1290"/>
      <c r="AV1820" s="1290"/>
      <c r="AW1820" s="2"/>
      <c r="AX1820" s="1290"/>
      <c r="AY1820" s="6"/>
      <c r="AZ1820" s="2"/>
      <c r="BA1820" s="1290"/>
      <c r="BB1820" s="6"/>
      <c r="BC1820" s="1290"/>
      <c r="BD1820" s="29"/>
      <c r="BE1820" s="1455"/>
      <c r="BF1820" s="1455"/>
      <c r="BG1820" s="1455"/>
      <c r="BH1820" s="1455"/>
      <c r="BI1820" s="1455"/>
      <c r="BJ1820" s="1455"/>
      <c r="BK1820" s="29"/>
      <c r="BL1820" s="1455"/>
      <c r="BM1820" s="1455"/>
      <c r="BN1820" s="1455"/>
      <c r="BO1820" s="1455"/>
      <c r="BP1820" s="1455"/>
      <c r="BQ1820" s="1455"/>
      <c r="BR1820" s="1455"/>
      <c r="BS1820" s="1455"/>
      <c r="BT1820" s="1455"/>
      <c r="BU1820" s="1455"/>
      <c r="BV1820" s="1455"/>
      <c r="BW1820" s="1455"/>
      <c r="BX1820" s="1455"/>
      <c r="BY1820" s="1455"/>
      <c r="BZ1820" s="1455"/>
      <c r="CA1820" s="1455"/>
      <c r="CB1820" s="1455"/>
      <c r="CC1820" s="1455"/>
      <c r="CD1820" s="1455"/>
      <c r="CE1820" s="1455"/>
      <c r="CF1820" s="1455"/>
      <c r="CG1820" s="1191"/>
      <c r="CH1820" s="1455"/>
      <c r="CI1820" s="1455"/>
      <c r="CJ1820" s="2"/>
      <c r="CK1820" s="2"/>
      <c r="CM1820" s="1140">
        <f t="shared" si="1132"/>
        <v>0</v>
      </c>
      <c r="CN1820" s="1140"/>
      <c r="CP1820" s="923">
        <f t="shared" si="1131"/>
        <v>0</v>
      </c>
      <c r="CZ1820" s="1456"/>
    </row>
    <row r="1821" spans="1:104" ht="25.5" x14ac:dyDescent="0.25">
      <c r="A1821" s="684">
        <f>MAX($A$6:A1820)+1</f>
        <v>1821</v>
      </c>
      <c r="B1821" s="3">
        <f t="shared" si="1139"/>
        <v>22.2</v>
      </c>
      <c r="C1821" s="11" t="str">
        <f t="shared" si="1140"/>
        <v>Capital Resource Limit</v>
      </c>
      <c r="D1821" s="11"/>
      <c r="E1821" s="1254" t="s">
        <v>2570</v>
      </c>
      <c r="F1821" s="13"/>
      <c r="G1821" s="1254" t="s">
        <v>286</v>
      </c>
      <c r="H1821" s="1510"/>
      <c r="I1821" s="1510"/>
      <c r="J1821" s="1254" t="s">
        <v>2570</v>
      </c>
      <c r="K1821" s="1512">
        <f>SUMIF('alb Note 22 - RRL &amp; CRL'!$A$61:$A$97,J1821,'alb Note 22 - RRL &amp; CRL'!$C$61:$C$97)</f>
        <v>0</v>
      </c>
      <c r="L1821" s="1454"/>
      <c r="M1821" s="1290"/>
      <c r="N1821" s="273">
        <f t="shared" si="1136"/>
        <v>0</v>
      </c>
      <c r="O1821" s="1290"/>
      <c r="P1821" s="1290"/>
      <c r="Q1821" s="1290"/>
      <c r="R1821" s="1290"/>
      <c r="S1821" s="6"/>
      <c r="T1821" s="273">
        <f t="shared" si="1137"/>
        <v>0</v>
      </c>
      <c r="U1821" s="1290"/>
      <c r="V1821" s="1290"/>
      <c r="W1821" s="6"/>
      <c r="X1821" s="1290"/>
      <c r="Y1821" s="1290"/>
      <c r="Z1821" s="1290"/>
      <c r="AA1821" s="1290"/>
      <c r="AB1821" s="1290"/>
      <c r="AC1821" s="1290"/>
      <c r="AD1821" s="1290"/>
      <c r="AE1821" s="1290"/>
      <c r="AF1821" s="1290"/>
      <c r="AG1821" s="1290"/>
      <c r="AH1821" s="1290"/>
      <c r="AI1821" s="1290"/>
      <c r="AJ1821" s="1290"/>
      <c r="AK1821" s="1290"/>
      <c r="AL1821" s="1290"/>
      <c r="AM1821" s="1290"/>
      <c r="AN1821" s="1290"/>
      <c r="AO1821" s="1290"/>
      <c r="AP1821" s="1290"/>
      <c r="AQ1821" s="1290"/>
      <c r="AR1821" s="1290"/>
      <c r="AS1821" s="1290"/>
      <c r="AT1821" s="1290"/>
      <c r="AU1821" s="1290"/>
      <c r="AV1821" s="1290"/>
      <c r="AW1821" s="2"/>
      <c r="AX1821" s="1290"/>
      <c r="AY1821" s="6"/>
      <c r="AZ1821" s="2"/>
      <c r="BA1821" s="1290"/>
      <c r="BB1821" s="6"/>
      <c r="BC1821" s="1290"/>
      <c r="BD1821" s="29"/>
      <c r="BE1821" s="1455"/>
      <c r="BF1821" s="1455"/>
      <c r="BG1821" s="1455"/>
      <c r="BH1821" s="1455"/>
      <c r="BI1821" s="1455"/>
      <c r="BJ1821" s="1455"/>
      <c r="BK1821" s="29"/>
      <c r="BL1821" s="1455"/>
      <c r="BM1821" s="1455"/>
      <c r="BN1821" s="1455"/>
      <c r="BO1821" s="1455"/>
      <c r="BP1821" s="1455"/>
      <c r="BQ1821" s="1455"/>
      <c r="BR1821" s="1455"/>
      <c r="BS1821" s="1455"/>
      <c r="BT1821" s="1455"/>
      <c r="BU1821" s="1455"/>
      <c r="BV1821" s="1455"/>
      <c r="BW1821" s="1455"/>
      <c r="BX1821" s="1455"/>
      <c r="BY1821" s="1455"/>
      <c r="BZ1821" s="1455"/>
      <c r="CA1821" s="1455"/>
      <c r="CB1821" s="1455"/>
      <c r="CC1821" s="1455"/>
      <c r="CD1821" s="1455"/>
      <c r="CE1821" s="1455"/>
      <c r="CF1821" s="1455"/>
      <c r="CG1821" s="1191"/>
      <c r="CH1821" s="1455"/>
      <c r="CI1821" s="1455"/>
      <c r="CJ1821" s="2"/>
      <c r="CK1821" s="2"/>
      <c r="CM1821" s="1140">
        <f t="shared" si="1132"/>
        <v>0</v>
      </c>
      <c r="CN1821" s="1140"/>
      <c r="CP1821" s="923">
        <f t="shared" si="1131"/>
        <v>0</v>
      </c>
      <c r="CZ1821" s="1456"/>
    </row>
    <row r="1822" spans="1:104" x14ac:dyDescent="0.25">
      <c r="A1822" s="684">
        <f>MAX($A$6:A1821)+1</f>
        <v>1822</v>
      </c>
      <c r="B1822" s="3">
        <f t="shared" si="1139"/>
        <v>22.2</v>
      </c>
      <c r="C1822" s="11" t="str">
        <f t="shared" si="1140"/>
        <v>Capital Resource Limit</v>
      </c>
      <c r="D1822" s="11"/>
      <c r="E1822" s="1254" t="s">
        <v>2571</v>
      </c>
      <c r="F1822" s="13"/>
      <c r="G1822" s="1254" t="s">
        <v>286</v>
      </c>
      <c r="H1822" s="1510"/>
      <c r="I1822" s="1510"/>
      <c r="J1822" s="1254" t="s">
        <v>2571</v>
      </c>
      <c r="K1822" s="1512">
        <f>SUMIF('alb Note 22 - RRL &amp; CRL'!$A$61:$A$97,J1822,'alb Note 22 - RRL &amp; CRL'!$C$61:$C$97)</f>
        <v>0</v>
      </c>
      <c r="L1822" s="1454"/>
      <c r="M1822" s="1290"/>
      <c r="N1822" s="273">
        <f t="shared" si="1136"/>
        <v>0</v>
      </c>
      <c r="O1822" s="1290"/>
      <c r="P1822" s="1290"/>
      <c r="Q1822" s="1290"/>
      <c r="R1822" s="1290"/>
      <c r="S1822" s="6"/>
      <c r="T1822" s="273">
        <f t="shared" si="1137"/>
        <v>0</v>
      </c>
      <c r="U1822" s="1290"/>
      <c r="V1822" s="1290"/>
      <c r="W1822" s="6"/>
      <c r="X1822" s="1290"/>
      <c r="Y1822" s="1290"/>
      <c r="Z1822" s="1290"/>
      <c r="AA1822" s="1290"/>
      <c r="AB1822" s="1290"/>
      <c r="AC1822" s="1290"/>
      <c r="AD1822" s="1290"/>
      <c r="AE1822" s="1290"/>
      <c r="AF1822" s="1290"/>
      <c r="AG1822" s="1290"/>
      <c r="AH1822" s="1290"/>
      <c r="AI1822" s="1290"/>
      <c r="AJ1822" s="1290"/>
      <c r="AK1822" s="1290"/>
      <c r="AL1822" s="1290"/>
      <c r="AM1822" s="1290"/>
      <c r="AN1822" s="1290"/>
      <c r="AO1822" s="1290"/>
      <c r="AP1822" s="1290"/>
      <c r="AQ1822" s="1290"/>
      <c r="AR1822" s="1290"/>
      <c r="AS1822" s="1290"/>
      <c r="AT1822" s="1290"/>
      <c r="AU1822" s="1290"/>
      <c r="AV1822" s="1290"/>
      <c r="AW1822" s="2"/>
      <c r="AX1822" s="1290"/>
      <c r="AY1822" s="6"/>
      <c r="AZ1822" s="2"/>
      <c r="BA1822" s="1290"/>
      <c r="BB1822" s="6"/>
      <c r="BC1822" s="1290"/>
      <c r="BD1822" s="29"/>
      <c r="BE1822" s="1455"/>
      <c r="BF1822" s="1455"/>
      <c r="BG1822" s="1455"/>
      <c r="BH1822" s="1455"/>
      <c r="BI1822" s="1455"/>
      <c r="BJ1822" s="1455"/>
      <c r="BK1822" s="29"/>
      <c r="BL1822" s="1455"/>
      <c r="BM1822" s="1455"/>
      <c r="BN1822" s="1455"/>
      <c r="BO1822" s="1455"/>
      <c r="BP1822" s="1455"/>
      <c r="BQ1822" s="1455"/>
      <c r="BR1822" s="1455"/>
      <c r="BS1822" s="1455"/>
      <c r="BT1822" s="1455"/>
      <c r="BU1822" s="1455"/>
      <c r="BV1822" s="1455"/>
      <c r="BW1822" s="1455"/>
      <c r="BX1822" s="1455"/>
      <c r="BY1822" s="1455"/>
      <c r="BZ1822" s="1455"/>
      <c r="CA1822" s="1455"/>
      <c r="CB1822" s="1455"/>
      <c r="CC1822" s="1455"/>
      <c r="CD1822" s="1455"/>
      <c r="CE1822" s="1455"/>
      <c r="CF1822" s="1455"/>
      <c r="CG1822" s="1191"/>
      <c r="CH1822" s="1455"/>
      <c r="CI1822" s="1455"/>
      <c r="CJ1822" s="2"/>
      <c r="CK1822" s="2"/>
      <c r="CM1822" s="1140">
        <f t="shared" si="1132"/>
        <v>0</v>
      </c>
      <c r="CN1822" s="1140"/>
      <c r="CP1822" s="923">
        <f t="shared" si="1131"/>
        <v>0</v>
      </c>
      <c r="CZ1822" s="1456"/>
    </row>
    <row r="1823" spans="1:104" ht="25.5" x14ac:dyDescent="0.25">
      <c r="A1823" s="684">
        <f>MAX($A$6:A1822)+1</f>
        <v>1823</v>
      </c>
      <c r="B1823" s="3">
        <f t="shared" si="1139"/>
        <v>22.2</v>
      </c>
      <c r="C1823" s="11" t="str">
        <f t="shared" si="1140"/>
        <v>Capital Resource Limit</v>
      </c>
      <c r="D1823" s="11"/>
      <c r="E1823" s="1254" t="s">
        <v>2839</v>
      </c>
      <c r="F1823" s="13"/>
      <c r="G1823" s="1254"/>
      <c r="H1823" s="1510"/>
      <c r="I1823" s="1510"/>
      <c r="J1823" s="1254" t="s">
        <v>2839</v>
      </c>
      <c r="K1823" s="1512">
        <f>SUMIF('alb Note 22 - RRL &amp; CRL'!$A$61:$A$97,J1823,'alb Note 22 - RRL &amp; CRL'!$C$61:$C$97)</f>
        <v>0</v>
      </c>
      <c r="L1823" s="1454"/>
      <c r="M1823" s="1290"/>
      <c r="N1823" s="273">
        <f t="shared" si="1136"/>
        <v>0</v>
      </c>
      <c r="O1823" s="1290"/>
      <c r="P1823" s="1290"/>
      <c r="Q1823" s="1290"/>
      <c r="R1823" s="1290"/>
      <c r="S1823" s="6"/>
      <c r="T1823" s="273">
        <f t="shared" si="1137"/>
        <v>0</v>
      </c>
      <c r="U1823" s="1290"/>
      <c r="V1823" s="1290"/>
      <c r="W1823" s="6"/>
      <c r="X1823" s="1290"/>
      <c r="Y1823" s="1290"/>
      <c r="Z1823" s="1290"/>
      <c r="AA1823" s="1290"/>
      <c r="AB1823" s="1290"/>
      <c r="AC1823" s="1290"/>
      <c r="AD1823" s="1290"/>
      <c r="AE1823" s="1290"/>
      <c r="AF1823" s="1290"/>
      <c r="AG1823" s="1290"/>
      <c r="AH1823" s="1290"/>
      <c r="AI1823" s="1290"/>
      <c r="AJ1823" s="1290"/>
      <c r="AK1823" s="1290"/>
      <c r="AL1823" s="1290"/>
      <c r="AM1823" s="1290"/>
      <c r="AN1823" s="1290"/>
      <c r="AO1823" s="1290"/>
      <c r="AP1823" s="1290"/>
      <c r="AQ1823" s="1290"/>
      <c r="AR1823" s="1290"/>
      <c r="AS1823" s="1290"/>
      <c r="AT1823" s="1290"/>
      <c r="AU1823" s="1290"/>
      <c r="AV1823" s="1290"/>
      <c r="AW1823" s="2"/>
      <c r="AX1823" s="1290"/>
      <c r="AY1823" s="6"/>
      <c r="AZ1823" s="2"/>
      <c r="BA1823" s="1290"/>
      <c r="BB1823" s="6"/>
      <c r="BC1823" s="1290"/>
      <c r="BD1823" s="29"/>
      <c r="BE1823" s="1455"/>
      <c r="BF1823" s="1455"/>
      <c r="BG1823" s="1455"/>
      <c r="BH1823" s="1455"/>
      <c r="BI1823" s="1455"/>
      <c r="BJ1823" s="1455"/>
      <c r="BK1823" s="29"/>
      <c r="BL1823" s="1455"/>
      <c r="BM1823" s="1455"/>
      <c r="BN1823" s="1455"/>
      <c r="BO1823" s="1455"/>
      <c r="BP1823" s="1455"/>
      <c r="BQ1823" s="1455"/>
      <c r="BR1823" s="1455"/>
      <c r="BS1823" s="1455"/>
      <c r="BT1823" s="1455"/>
      <c r="BU1823" s="1455"/>
      <c r="BV1823" s="1455"/>
      <c r="BW1823" s="1455"/>
      <c r="BX1823" s="1455"/>
      <c r="BY1823" s="1455"/>
      <c r="BZ1823" s="1455"/>
      <c r="CA1823" s="1455"/>
      <c r="CB1823" s="1455"/>
      <c r="CC1823" s="1455"/>
      <c r="CD1823" s="1455"/>
      <c r="CE1823" s="1455"/>
      <c r="CF1823" s="1455"/>
      <c r="CG1823" s="1191"/>
      <c r="CH1823" s="1455"/>
      <c r="CI1823" s="1455"/>
      <c r="CJ1823" s="2"/>
      <c r="CK1823" s="2"/>
      <c r="CM1823" s="1140"/>
      <c r="CN1823" s="1140"/>
      <c r="CP1823" s="923"/>
      <c r="CZ1823" s="1456"/>
    </row>
    <row r="1824" spans="1:104" x14ac:dyDescent="0.25">
      <c r="A1824" s="684">
        <f>MAX($A$6:A1823)+1</f>
        <v>1824</v>
      </c>
      <c r="B1824" s="3">
        <f t="shared" si="1139"/>
        <v>22.2</v>
      </c>
      <c r="C1824" s="11" t="str">
        <f t="shared" si="1140"/>
        <v>Capital Resource Limit</v>
      </c>
      <c r="D1824" s="11"/>
      <c r="E1824" s="1269" t="s">
        <v>2841</v>
      </c>
      <c r="F1824" s="13"/>
      <c r="G1824" s="1254"/>
      <c r="H1824" s="1510"/>
      <c r="I1824" s="1510"/>
      <c r="J1824" s="1269" t="s">
        <v>2841</v>
      </c>
      <c r="K1824" s="1512">
        <f>SUMIF('alb Note 22 - RRL &amp; CRL'!$A$61:$A$97,J1824,'alb Note 22 - RRL &amp; CRL'!$C$61:$C$97)</f>
        <v>0</v>
      </c>
      <c r="L1824" s="1454"/>
      <c r="M1824" s="1290"/>
      <c r="N1824" s="273">
        <f t="shared" si="1136"/>
        <v>0</v>
      </c>
      <c r="O1824" s="1290"/>
      <c r="P1824" s="1290"/>
      <c r="Q1824" s="1290"/>
      <c r="R1824" s="1290"/>
      <c r="S1824" s="6"/>
      <c r="T1824" s="273">
        <f t="shared" si="1137"/>
        <v>0</v>
      </c>
      <c r="U1824" s="1290"/>
      <c r="V1824" s="1290"/>
      <c r="W1824" s="6"/>
      <c r="X1824" s="1290"/>
      <c r="Y1824" s="1290"/>
      <c r="Z1824" s="1290"/>
      <c r="AA1824" s="1290"/>
      <c r="AB1824" s="1290"/>
      <c r="AC1824" s="1290"/>
      <c r="AD1824" s="1290"/>
      <c r="AE1824" s="1290"/>
      <c r="AF1824" s="1290"/>
      <c r="AG1824" s="1290"/>
      <c r="AH1824" s="1290"/>
      <c r="AI1824" s="1290"/>
      <c r="AJ1824" s="1290"/>
      <c r="AK1824" s="1290"/>
      <c r="AL1824" s="1290"/>
      <c r="AM1824" s="1290"/>
      <c r="AN1824" s="1290"/>
      <c r="AO1824" s="1290"/>
      <c r="AP1824" s="1290"/>
      <c r="AQ1824" s="1290"/>
      <c r="AR1824" s="1290"/>
      <c r="AS1824" s="1290"/>
      <c r="AT1824" s="1290"/>
      <c r="AU1824" s="1290"/>
      <c r="AV1824" s="1290"/>
      <c r="AW1824" s="2"/>
      <c r="AX1824" s="1290"/>
      <c r="AY1824" s="6"/>
      <c r="AZ1824" s="2"/>
      <c r="BA1824" s="1290"/>
      <c r="BB1824" s="6"/>
      <c r="BC1824" s="1290"/>
      <c r="BD1824" s="29"/>
      <c r="BE1824" s="1455"/>
      <c r="BF1824" s="1455"/>
      <c r="BG1824" s="1455"/>
      <c r="BH1824" s="1455"/>
      <c r="BI1824" s="1455"/>
      <c r="BJ1824" s="1455"/>
      <c r="BK1824" s="29"/>
      <c r="BL1824" s="1455"/>
      <c r="BM1824" s="1455"/>
      <c r="BN1824" s="1455"/>
      <c r="BO1824" s="1455"/>
      <c r="BP1824" s="1455"/>
      <c r="BQ1824" s="1455"/>
      <c r="BR1824" s="1455"/>
      <c r="BS1824" s="1455"/>
      <c r="BT1824" s="1455"/>
      <c r="BU1824" s="1455"/>
      <c r="BV1824" s="1455"/>
      <c r="BW1824" s="1455"/>
      <c r="BX1824" s="1455"/>
      <c r="BY1824" s="1455"/>
      <c r="BZ1824" s="1455"/>
      <c r="CA1824" s="1455"/>
      <c r="CB1824" s="1455"/>
      <c r="CC1824" s="1455"/>
      <c r="CD1824" s="1455"/>
      <c r="CE1824" s="1455"/>
      <c r="CF1824" s="1455"/>
      <c r="CG1824" s="1191"/>
      <c r="CH1824" s="1455"/>
      <c r="CI1824" s="1455"/>
      <c r="CJ1824" s="2"/>
      <c r="CK1824" s="2"/>
      <c r="CM1824" s="1140"/>
      <c r="CN1824" s="1140"/>
      <c r="CP1824" s="923"/>
      <c r="CZ1824" s="1456"/>
    </row>
    <row r="1825" spans="1:104" ht="25.5" x14ac:dyDescent="0.25">
      <c r="A1825" s="684">
        <f>MAX($A$6:A1824)+1</f>
        <v>1825</v>
      </c>
      <c r="B1825" s="3">
        <f>B1822</f>
        <v>22.2</v>
      </c>
      <c r="C1825" s="11" t="str">
        <f>C1822</f>
        <v>Capital Resource Limit</v>
      </c>
      <c r="D1825" s="11"/>
      <c r="E1825" s="1277" t="s">
        <v>2842</v>
      </c>
      <c r="F1825" s="13"/>
      <c r="G1825" s="1254" t="s">
        <v>286</v>
      </c>
      <c r="H1825" s="1510"/>
      <c r="I1825" s="1510"/>
      <c r="J1825" s="1277" t="s">
        <v>2842</v>
      </c>
      <c r="K1825" s="1512">
        <f>SUMIF('alb Note 22 - RRL &amp; CRL'!$A$61:$A$97,J1825,'alb Note 22 - RRL &amp; CRL'!$C$61:$C$97)</f>
        <v>0</v>
      </c>
      <c r="L1825" s="1454"/>
      <c r="M1825" s="1290"/>
      <c r="N1825" s="273">
        <f t="shared" si="1136"/>
        <v>0</v>
      </c>
      <c r="O1825" s="1290"/>
      <c r="P1825" s="1290"/>
      <c r="Q1825" s="1290"/>
      <c r="R1825" s="1290"/>
      <c r="S1825" s="6"/>
      <c r="T1825" s="273">
        <f t="shared" si="1137"/>
        <v>0</v>
      </c>
      <c r="U1825" s="1290"/>
      <c r="V1825" s="1290"/>
      <c r="W1825" s="6"/>
      <c r="X1825" s="1290"/>
      <c r="Y1825" s="1290"/>
      <c r="Z1825" s="1290"/>
      <c r="AA1825" s="1290"/>
      <c r="AB1825" s="1290"/>
      <c r="AC1825" s="1290"/>
      <c r="AD1825" s="1290"/>
      <c r="AE1825" s="1290"/>
      <c r="AF1825" s="1290"/>
      <c r="AG1825" s="1290"/>
      <c r="AH1825" s="1290"/>
      <c r="AI1825" s="1290"/>
      <c r="AJ1825" s="1290"/>
      <c r="AK1825" s="1290"/>
      <c r="AL1825" s="1290"/>
      <c r="AM1825" s="1290"/>
      <c r="AN1825" s="1290"/>
      <c r="AO1825" s="1290"/>
      <c r="AP1825" s="1290"/>
      <c r="AQ1825" s="1290"/>
      <c r="AR1825" s="1290"/>
      <c r="AS1825" s="1290"/>
      <c r="AT1825" s="1290"/>
      <c r="AU1825" s="1290"/>
      <c r="AV1825" s="1290"/>
      <c r="AW1825" s="2"/>
      <c r="AX1825" s="1290"/>
      <c r="AY1825" s="6"/>
      <c r="AZ1825" s="2"/>
      <c r="BA1825" s="1290"/>
      <c r="BB1825" s="6"/>
      <c r="BC1825" s="1290"/>
      <c r="BD1825" s="29"/>
      <c r="BE1825" s="1455"/>
      <c r="BF1825" s="1455"/>
      <c r="BG1825" s="1455"/>
      <c r="BH1825" s="1455"/>
      <c r="BI1825" s="1455"/>
      <c r="BJ1825" s="1455"/>
      <c r="BK1825" s="29"/>
      <c r="BL1825" s="1455"/>
      <c r="BM1825" s="1455"/>
      <c r="BN1825" s="1455"/>
      <c r="BO1825" s="1455"/>
      <c r="BP1825" s="1455"/>
      <c r="BQ1825" s="1455"/>
      <c r="BR1825" s="1455"/>
      <c r="BS1825" s="1455"/>
      <c r="BT1825" s="1455"/>
      <c r="BU1825" s="1455"/>
      <c r="BV1825" s="1455"/>
      <c r="BW1825" s="1455"/>
      <c r="BX1825" s="1455"/>
      <c r="BY1825" s="1455"/>
      <c r="BZ1825" s="1455"/>
      <c r="CA1825" s="1455"/>
      <c r="CB1825" s="1455"/>
      <c r="CC1825" s="1455"/>
      <c r="CD1825" s="1455"/>
      <c r="CE1825" s="1455"/>
      <c r="CF1825" s="1455"/>
      <c r="CG1825" s="1191"/>
      <c r="CH1825" s="1455"/>
      <c r="CI1825" s="1455"/>
      <c r="CJ1825" s="2"/>
      <c r="CK1825" s="2"/>
      <c r="CM1825" s="1140">
        <f t="shared" si="1132"/>
        <v>0</v>
      </c>
      <c r="CN1825" s="1140"/>
      <c r="CP1825" s="923">
        <f t="shared" si="1131"/>
        <v>0</v>
      </c>
      <c r="CZ1825" s="1456"/>
    </row>
    <row r="1826" spans="1:104" x14ac:dyDescent="0.25">
      <c r="A1826" s="684">
        <f>MAX($A$6:A1825)+1</f>
        <v>1826</v>
      </c>
      <c r="B1826" s="3">
        <f t="shared" si="1139"/>
        <v>22.2</v>
      </c>
      <c r="C1826" s="11" t="str">
        <f t="shared" si="1140"/>
        <v>Capital Resource Limit</v>
      </c>
      <c r="D1826" s="11"/>
      <c r="E1826" s="1254" t="s">
        <v>2554</v>
      </c>
      <c r="F1826" s="13"/>
      <c r="G1826" s="1254" t="s">
        <v>286</v>
      </c>
      <c r="H1826" s="1510"/>
      <c r="I1826" s="1510"/>
      <c r="J1826" s="1254" t="s">
        <v>2554</v>
      </c>
      <c r="K1826" s="1512">
        <f>SUMIF('alb Note 22 - RRL &amp; CRL'!$A$61:$A$97,J1826,'alb Note 22 - RRL &amp; CRL'!$C$61:$C$97)</f>
        <v>0</v>
      </c>
      <c r="L1826" s="1454"/>
      <c r="M1826" s="1290"/>
      <c r="N1826" s="273">
        <f t="shared" si="1136"/>
        <v>0</v>
      </c>
      <c r="O1826" s="1290"/>
      <c r="P1826" s="1290"/>
      <c r="Q1826" s="1290"/>
      <c r="R1826" s="1290"/>
      <c r="S1826" s="6"/>
      <c r="T1826" s="273">
        <f t="shared" si="1137"/>
        <v>0</v>
      </c>
      <c r="U1826" s="1290"/>
      <c r="V1826" s="1290"/>
      <c r="W1826" s="6"/>
      <c r="X1826" s="1290"/>
      <c r="Y1826" s="1290"/>
      <c r="Z1826" s="1290"/>
      <c r="AA1826" s="1290"/>
      <c r="AB1826" s="1290"/>
      <c r="AC1826" s="1290"/>
      <c r="AD1826" s="1290"/>
      <c r="AE1826" s="1290"/>
      <c r="AF1826" s="1290"/>
      <c r="AG1826" s="1290"/>
      <c r="AH1826" s="1290"/>
      <c r="AI1826" s="1290"/>
      <c r="AJ1826" s="1290"/>
      <c r="AK1826" s="1290"/>
      <c r="AL1826" s="1290"/>
      <c r="AM1826" s="1290"/>
      <c r="AN1826" s="1290"/>
      <c r="AO1826" s="1290"/>
      <c r="AP1826" s="1290"/>
      <c r="AQ1826" s="1290"/>
      <c r="AR1826" s="1290"/>
      <c r="AS1826" s="1290"/>
      <c r="AT1826" s="1290"/>
      <c r="AU1826" s="1290"/>
      <c r="AV1826" s="1290"/>
      <c r="AW1826" s="2"/>
      <c r="AX1826" s="1290"/>
      <c r="AY1826" s="6"/>
      <c r="AZ1826" s="2"/>
      <c r="BA1826" s="1290"/>
      <c r="BB1826" s="6"/>
      <c r="BC1826" s="1290"/>
      <c r="BD1826" s="29"/>
      <c r="BE1826" s="1455"/>
      <c r="BF1826" s="1455"/>
      <c r="BG1826" s="1455"/>
      <c r="BH1826" s="1455"/>
      <c r="BI1826" s="1455"/>
      <c r="BJ1826" s="1455"/>
      <c r="BK1826" s="29"/>
      <c r="BL1826" s="1455"/>
      <c r="BM1826" s="1455"/>
      <c r="BN1826" s="1455"/>
      <c r="BO1826" s="1455"/>
      <c r="BP1826" s="1455"/>
      <c r="BQ1826" s="1455"/>
      <c r="BR1826" s="1455"/>
      <c r="BS1826" s="1455"/>
      <c r="BT1826" s="1455"/>
      <c r="BU1826" s="1455"/>
      <c r="BV1826" s="1455"/>
      <c r="BW1826" s="1455"/>
      <c r="BX1826" s="1455"/>
      <c r="BY1826" s="1455"/>
      <c r="BZ1826" s="1455"/>
      <c r="CA1826" s="1455"/>
      <c r="CB1826" s="1455"/>
      <c r="CC1826" s="1455"/>
      <c r="CD1826" s="1455"/>
      <c r="CE1826" s="1455"/>
      <c r="CF1826" s="1455"/>
      <c r="CG1826" s="1191"/>
      <c r="CH1826" s="1455"/>
      <c r="CI1826" s="1455"/>
      <c r="CJ1826" s="2"/>
      <c r="CK1826" s="2"/>
      <c r="CM1826" s="1140">
        <f t="shared" si="1132"/>
        <v>0</v>
      </c>
      <c r="CN1826" s="1140"/>
      <c r="CP1826" s="923">
        <f t="shared" si="1131"/>
        <v>0</v>
      </c>
      <c r="CZ1826" s="1456"/>
    </row>
    <row r="1827" spans="1:104" x14ac:dyDescent="0.25">
      <c r="A1827" s="684">
        <f>MAX($A$6:A1826)+1</f>
        <v>1827</v>
      </c>
      <c r="B1827" s="3">
        <f t="shared" si="1139"/>
        <v>22.2</v>
      </c>
      <c r="C1827" s="11" t="str">
        <f t="shared" si="1140"/>
        <v>Capital Resource Limit</v>
      </c>
      <c r="D1827" s="11"/>
      <c r="E1827" s="1254" t="s">
        <v>2555</v>
      </c>
      <c r="F1827" s="13"/>
      <c r="G1827" s="1254" t="s">
        <v>286</v>
      </c>
      <c r="H1827" s="1510"/>
      <c r="I1827" s="1510"/>
      <c r="J1827" s="1254" t="s">
        <v>2555</v>
      </c>
      <c r="K1827" s="1512">
        <f>SUMIF('alb Note 22 - RRL &amp; CRL'!$A$61:$A$97,J1827,'alb Note 22 - RRL &amp; CRL'!$C$61:$C$97)</f>
        <v>0</v>
      </c>
      <c r="L1827" s="1454"/>
      <c r="M1827" s="1290"/>
      <c r="N1827" s="273">
        <f t="shared" si="1136"/>
        <v>0</v>
      </c>
      <c r="O1827" s="1290"/>
      <c r="P1827" s="1290"/>
      <c r="Q1827" s="1290"/>
      <c r="R1827" s="1290"/>
      <c r="S1827" s="6"/>
      <c r="T1827" s="273">
        <f t="shared" si="1137"/>
        <v>0</v>
      </c>
      <c r="U1827" s="1290"/>
      <c r="V1827" s="1290"/>
      <c r="W1827" s="6"/>
      <c r="X1827" s="1290"/>
      <c r="Y1827" s="1290"/>
      <c r="Z1827" s="1290"/>
      <c r="AA1827" s="1290"/>
      <c r="AB1827" s="1290"/>
      <c r="AC1827" s="1290"/>
      <c r="AD1827" s="1290"/>
      <c r="AE1827" s="1290"/>
      <c r="AF1827" s="1290"/>
      <c r="AG1827" s="1290"/>
      <c r="AH1827" s="1290"/>
      <c r="AI1827" s="1290"/>
      <c r="AJ1827" s="1290"/>
      <c r="AK1827" s="1290"/>
      <c r="AL1827" s="1290"/>
      <c r="AM1827" s="1290"/>
      <c r="AN1827" s="1290"/>
      <c r="AO1827" s="1290"/>
      <c r="AP1827" s="1290"/>
      <c r="AQ1827" s="1290"/>
      <c r="AR1827" s="1290"/>
      <c r="AS1827" s="1290"/>
      <c r="AT1827" s="1290"/>
      <c r="AU1827" s="1290"/>
      <c r="AV1827" s="1290"/>
      <c r="AW1827" s="2"/>
      <c r="AX1827" s="1290"/>
      <c r="AY1827" s="6"/>
      <c r="AZ1827" s="2"/>
      <c r="BA1827" s="1290"/>
      <c r="BB1827" s="6"/>
      <c r="BC1827" s="1290"/>
      <c r="BD1827" s="29"/>
      <c r="BE1827" s="1455"/>
      <c r="BF1827" s="1455"/>
      <c r="BG1827" s="1455"/>
      <c r="BH1827" s="1455"/>
      <c r="BI1827" s="1455"/>
      <c r="BJ1827" s="1455"/>
      <c r="BK1827" s="29"/>
      <c r="BL1827" s="1455"/>
      <c r="BM1827" s="1455"/>
      <c r="BN1827" s="1455"/>
      <c r="BO1827" s="1455"/>
      <c r="BP1827" s="1455"/>
      <c r="BQ1827" s="1455"/>
      <c r="BR1827" s="1455"/>
      <c r="BS1827" s="1455"/>
      <c r="BT1827" s="1455"/>
      <c r="BU1827" s="1455"/>
      <c r="BV1827" s="1455"/>
      <c r="BW1827" s="1455"/>
      <c r="BX1827" s="1455"/>
      <c r="BY1827" s="1455"/>
      <c r="BZ1827" s="1455"/>
      <c r="CA1827" s="1455"/>
      <c r="CB1827" s="1455"/>
      <c r="CC1827" s="1455"/>
      <c r="CD1827" s="1455"/>
      <c r="CE1827" s="1455"/>
      <c r="CF1827" s="1455"/>
      <c r="CG1827" s="1191"/>
      <c r="CH1827" s="1455"/>
      <c r="CI1827" s="1455"/>
      <c r="CJ1827" s="2"/>
      <c r="CK1827" s="2"/>
      <c r="CM1827" s="1140">
        <f t="shared" si="1132"/>
        <v>0</v>
      </c>
      <c r="CN1827" s="1140"/>
      <c r="CP1827" s="923">
        <f t="shared" si="1131"/>
        <v>0</v>
      </c>
      <c r="CZ1827" s="1456"/>
    </row>
    <row r="1828" spans="1:104" ht="25.5" x14ac:dyDescent="0.25">
      <c r="A1828" s="684">
        <f>MAX($A$6:A1827)+1</f>
        <v>1828</v>
      </c>
      <c r="B1828" s="3">
        <f t="shared" si="1139"/>
        <v>22.2</v>
      </c>
      <c r="C1828" s="11" t="str">
        <f t="shared" si="1140"/>
        <v>Capital Resource Limit</v>
      </c>
      <c r="D1828" s="11"/>
      <c r="E1828" s="1254" t="s">
        <v>2427</v>
      </c>
      <c r="F1828" s="13"/>
      <c r="G1828" s="1254" t="s">
        <v>286</v>
      </c>
      <c r="H1828" s="1510"/>
      <c r="I1828" s="1510"/>
      <c r="J1828" s="1254" t="s">
        <v>2427</v>
      </c>
      <c r="K1828" s="1512">
        <f>SUMIF('alb Note 22 - RRL &amp; CRL'!$A$61:$A$97,J1828,'alb Note 22 - RRL &amp; CRL'!$C$61:$C$97)</f>
        <v>0</v>
      </c>
      <c r="L1828" s="1454"/>
      <c r="M1828" s="1290"/>
      <c r="N1828" s="273">
        <f t="shared" si="1136"/>
        <v>0</v>
      </c>
      <c r="O1828" s="1290"/>
      <c r="P1828" s="1290"/>
      <c r="Q1828" s="1290"/>
      <c r="R1828" s="1290"/>
      <c r="S1828" s="6"/>
      <c r="T1828" s="273">
        <f t="shared" si="1137"/>
        <v>0</v>
      </c>
      <c r="U1828" s="1290"/>
      <c r="V1828" s="1290"/>
      <c r="W1828" s="6"/>
      <c r="X1828" s="1290"/>
      <c r="Y1828" s="1290"/>
      <c r="Z1828" s="1290"/>
      <c r="AA1828" s="1290"/>
      <c r="AB1828" s="1290"/>
      <c r="AC1828" s="1290"/>
      <c r="AD1828" s="1290"/>
      <c r="AE1828" s="1290"/>
      <c r="AF1828" s="1290"/>
      <c r="AG1828" s="1290"/>
      <c r="AH1828" s="1290"/>
      <c r="AI1828" s="1290"/>
      <c r="AJ1828" s="1290"/>
      <c r="AK1828" s="1290"/>
      <c r="AL1828" s="1290"/>
      <c r="AM1828" s="1290"/>
      <c r="AN1828" s="1290"/>
      <c r="AO1828" s="1290"/>
      <c r="AP1828" s="1290"/>
      <c r="AQ1828" s="1290"/>
      <c r="AR1828" s="1290"/>
      <c r="AS1828" s="1290"/>
      <c r="AT1828" s="1290"/>
      <c r="AU1828" s="1290"/>
      <c r="AV1828" s="1290"/>
      <c r="AW1828" s="2"/>
      <c r="AX1828" s="1290"/>
      <c r="AY1828" s="6"/>
      <c r="AZ1828" s="2"/>
      <c r="BA1828" s="1290"/>
      <c r="BB1828" s="6"/>
      <c r="BC1828" s="1290"/>
      <c r="BD1828" s="29"/>
      <c r="BE1828" s="1455"/>
      <c r="BF1828" s="1455"/>
      <c r="BG1828" s="1455"/>
      <c r="BH1828" s="1455"/>
      <c r="BI1828" s="1455"/>
      <c r="BJ1828" s="1455"/>
      <c r="BK1828" s="29"/>
      <c r="BL1828" s="1455"/>
      <c r="BM1828" s="1455"/>
      <c r="BN1828" s="1455"/>
      <c r="BO1828" s="1455"/>
      <c r="BP1828" s="1455"/>
      <c r="BQ1828" s="1455"/>
      <c r="BR1828" s="1455"/>
      <c r="BS1828" s="1455"/>
      <c r="BT1828" s="1455"/>
      <c r="BU1828" s="1455"/>
      <c r="BV1828" s="1455"/>
      <c r="BW1828" s="1455"/>
      <c r="BX1828" s="1455"/>
      <c r="BY1828" s="1455"/>
      <c r="BZ1828" s="1455"/>
      <c r="CA1828" s="1455"/>
      <c r="CB1828" s="1455"/>
      <c r="CC1828" s="1455"/>
      <c r="CD1828" s="1455"/>
      <c r="CE1828" s="1455"/>
      <c r="CF1828" s="1455"/>
      <c r="CG1828" s="1191"/>
      <c r="CH1828" s="1455"/>
      <c r="CI1828" s="1455"/>
      <c r="CJ1828" s="2"/>
      <c r="CK1828" s="2"/>
      <c r="CM1828" s="1140">
        <f t="shared" si="1132"/>
        <v>0</v>
      </c>
      <c r="CN1828" s="1140"/>
      <c r="CP1828" s="923">
        <f t="shared" si="1131"/>
        <v>0</v>
      </c>
      <c r="CZ1828" s="1456"/>
    </row>
    <row r="1829" spans="1:104" ht="25.5" x14ac:dyDescent="0.25">
      <c r="A1829" s="684">
        <f>MAX($A$6:A1828)+1</f>
        <v>1829</v>
      </c>
      <c r="B1829" s="3">
        <f t="shared" si="1139"/>
        <v>22.2</v>
      </c>
      <c r="C1829" s="11" t="str">
        <f t="shared" si="1140"/>
        <v>Capital Resource Limit</v>
      </c>
      <c r="D1829" s="11"/>
      <c r="E1829" s="1254" t="s">
        <v>2843</v>
      </c>
      <c r="F1829" s="13"/>
      <c r="G1829" s="1254" t="s">
        <v>286</v>
      </c>
      <c r="H1829" s="1510"/>
      <c r="I1829" s="1510"/>
      <c r="J1829" s="1254" t="s">
        <v>2843</v>
      </c>
      <c r="K1829" s="1512">
        <f>SUMIF('alb Note 22 - RRL &amp; CRL'!$A$61:$A$97,J1829,'alb Note 22 - RRL &amp; CRL'!$C$61:$C$97)</f>
        <v>0</v>
      </c>
      <c r="L1829" s="1454"/>
      <c r="M1829" s="1290"/>
      <c r="N1829" s="273">
        <f t="shared" si="1136"/>
        <v>0</v>
      </c>
      <c r="O1829" s="1290"/>
      <c r="P1829" s="1290"/>
      <c r="Q1829" s="1290"/>
      <c r="R1829" s="1290"/>
      <c r="S1829" s="6"/>
      <c r="T1829" s="273">
        <f t="shared" si="1137"/>
        <v>0</v>
      </c>
      <c r="U1829" s="1290"/>
      <c r="V1829" s="1290"/>
      <c r="W1829" s="6"/>
      <c r="X1829" s="1290"/>
      <c r="Y1829" s="1290"/>
      <c r="Z1829" s="1290"/>
      <c r="AA1829" s="1290"/>
      <c r="AB1829" s="1290"/>
      <c r="AC1829" s="1290"/>
      <c r="AD1829" s="1290"/>
      <c r="AE1829" s="1290"/>
      <c r="AF1829" s="1290"/>
      <c r="AG1829" s="1290"/>
      <c r="AH1829" s="1290"/>
      <c r="AI1829" s="1290"/>
      <c r="AJ1829" s="1290"/>
      <c r="AK1829" s="1290"/>
      <c r="AL1829" s="1290"/>
      <c r="AM1829" s="1290"/>
      <c r="AN1829" s="1290"/>
      <c r="AO1829" s="1290"/>
      <c r="AP1829" s="1290"/>
      <c r="AQ1829" s="1290"/>
      <c r="AR1829" s="1290"/>
      <c r="AS1829" s="1290"/>
      <c r="AT1829" s="1290"/>
      <c r="AU1829" s="1290"/>
      <c r="AV1829" s="1290"/>
      <c r="AW1829" s="2"/>
      <c r="AX1829" s="1290"/>
      <c r="AY1829" s="6"/>
      <c r="AZ1829" s="2"/>
      <c r="BA1829" s="1290"/>
      <c r="BB1829" s="6"/>
      <c r="BC1829" s="1290"/>
      <c r="BD1829" s="29"/>
      <c r="BE1829" s="1455"/>
      <c r="BF1829" s="1455"/>
      <c r="BG1829" s="1455"/>
      <c r="BH1829" s="1455"/>
      <c r="BI1829" s="1455"/>
      <c r="BJ1829" s="1455"/>
      <c r="BK1829" s="29"/>
      <c r="BL1829" s="1455"/>
      <c r="BM1829" s="1455"/>
      <c r="BN1829" s="1455"/>
      <c r="BO1829" s="1455"/>
      <c r="BP1829" s="1455"/>
      <c r="BQ1829" s="1455"/>
      <c r="BR1829" s="1455"/>
      <c r="BS1829" s="1455"/>
      <c r="BT1829" s="1455"/>
      <c r="BU1829" s="1455"/>
      <c r="BV1829" s="1455"/>
      <c r="BW1829" s="1455"/>
      <c r="BX1829" s="1455"/>
      <c r="BY1829" s="1455"/>
      <c r="BZ1829" s="1455"/>
      <c r="CA1829" s="1455"/>
      <c r="CB1829" s="1455"/>
      <c r="CC1829" s="1455"/>
      <c r="CD1829" s="1455"/>
      <c r="CE1829" s="1455"/>
      <c r="CF1829" s="1455"/>
      <c r="CG1829" s="1191"/>
      <c r="CH1829" s="1455"/>
      <c r="CI1829" s="1455"/>
      <c r="CJ1829" s="2"/>
      <c r="CK1829" s="2"/>
      <c r="CM1829" s="1140">
        <f t="shared" si="1132"/>
        <v>0</v>
      </c>
      <c r="CN1829" s="1140"/>
      <c r="CP1829" s="923">
        <f t="shared" si="1131"/>
        <v>0</v>
      </c>
      <c r="CZ1829" s="1456"/>
    </row>
    <row r="1830" spans="1:104" x14ac:dyDescent="0.25">
      <c r="A1830" s="684">
        <f>MAX($A$6:A1829)+1</f>
        <v>1830</v>
      </c>
      <c r="B1830" s="3">
        <f t="shared" si="1139"/>
        <v>22.2</v>
      </c>
      <c r="C1830" s="11" t="str">
        <f t="shared" si="1140"/>
        <v>Capital Resource Limit</v>
      </c>
      <c r="D1830" s="11"/>
      <c r="E1830" s="1269" t="str">
        <f>+J1830</f>
        <v>Other ( specify)</v>
      </c>
      <c r="F1830" s="13"/>
      <c r="G1830" s="1254"/>
      <c r="H1830" s="1510"/>
      <c r="I1830" s="1510"/>
      <c r="J1830" s="1269" t="s">
        <v>2844</v>
      </c>
      <c r="K1830" s="1512">
        <f>SUMIF('alb Note 22 - RRL &amp; CRL'!$A$61:$A$97,J1830,'alb Note 22 - RRL &amp; CRL'!$C$61:$C$97)</f>
        <v>0</v>
      </c>
      <c r="L1830" s="1454"/>
      <c r="M1830" s="1290"/>
      <c r="N1830" s="273">
        <f t="shared" si="1136"/>
        <v>0</v>
      </c>
      <c r="O1830" s="1290"/>
      <c r="P1830" s="1290"/>
      <c r="Q1830" s="1290"/>
      <c r="R1830" s="1290"/>
      <c r="S1830" s="6"/>
      <c r="T1830" s="273">
        <f t="shared" si="1137"/>
        <v>0</v>
      </c>
      <c r="U1830" s="1290"/>
      <c r="V1830" s="1290"/>
      <c r="W1830" s="6"/>
      <c r="X1830" s="1290"/>
      <c r="Y1830" s="1290"/>
      <c r="Z1830" s="1290"/>
      <c r="AA1830" s="1290"/>
      <c r="AB1830" s="1290"/>
      <c r="AC1830" s="1290"/>
      <c r="AD1830" s="1290"/>
      <c r="AE1830" s="1290"/>
      <c r="AF1830" s="1290"/>
      <c r="AG1830" s="1290"/>
      <c r="AH1830" s="1290"/>
      <c r="AI1830" s="1290"/>
      <c r="AJ1830" s="1290"/>
      <c r="AK1830" s="1290"/>
      <c r="AL1830" s="1290"/>
      <c r="AM1830" s="1290"/>
      <c r="AN1830" s="1290"/>
      <c r="AO1830" s="1290"/>
      <c r="AP1830" s="1290"/>
      <c r="AQ1830" s="1290"/>
      <c r="AR1830" s="1290"/>
      <c r="AS1830" s="1290"/>
      <c r="AT1830" s="1290"/>
      <c r="AU1830" s="1290"/>
      <c r="AV1830" s="1290"/>
      <c r="AW1830" s="2"/>
      <c r="AX1830" s="1290"/>
      <c r="AY1830" s="6"/>
      <c r="AZ1830" s="2"/>
      <c r="BA1830" s="1290"/>
      <c r="BB1830" s="6"/>
      <c r="BC1830" s="1290"/>
      <c r="BD1830" s="29"/>
      <c r="BE1830" s="1455"/>
      <c r="BF1830" s="1455"/>
      <c r="BG1830" s="1455"/>
      <c r="BH1830" s="1455"/>
      <c r="BI1830" s="1455"/>
      <c r="BJ1830" s="1455"/>
      <c r="BK1830" s="29"/>
      <c r="BL1830" s="1455"/>
      <c r="BM1830" s="1455"/>
      <c r="BN1830" s="1455"/>
      <c r="BO1830" s="1455"/>
      <c r="BP1830" s="1455"/>
      <c r="BQ1830" s="1455"/>
      <c r="BR1830" s="1455"/>
      <c r="BS1830" s="1455"/>
      <c r="BT1830" s="1455"/>
      <c r="BU1830" s="1455"/>
      <c r="BV1830" s="1455"/>
      <c r="BW1830" s="1455"/>
      <c r="BX1830" s="1455"/>
      <c r="BY1830" s="1455"/>
      <c r="BZ1830" s="1455"/>
      <c r="CA1830" s="1455"/>
      <c r="CB1830" s="1455"/>
      <c r="CC1830" s="1455"/>
      <c r="CD1830" s="1455"/>
      <c r="CE1830" s="1455"/>
      <c r="CF1830" s="1455"/>
      <c r="CG1830" s="1191"/>
      <c r="CH1830" s="1455"/>
      <c r="CI1830" s="1455"/>
      <c r="CJ1830" s="2"/>
      <c r="CK1830" s="2"/>
      <c r="CM1830" s="1140">
        <f t="shared" si="1132"/>
        <v>0</v>
      </c>
      <c r="CN1830" s="1140"/>
      <c r="CP1830" s="923">
        <f t="shared" si="1131"/>
        <v>0</v>
      </c>
      <c r="CZ1830" s="1456"/>
    </row>
    <row r="1831" spans="1:104" ht="30" customHeight="1" x14ac:dyDescent="0.25">
      <c r="A1831" s="701">
        <f>MAX($A$6:A1830)+1</f>
        <v>1831</v>
      </c>
      <c r="B1831" s="1291">
        <f>B1828</f>
        <v>22.2</v>
      </c>
      <c r="C1831" s="18" t="str">
        <f>C1828</f>
        <v>Capital Resource Limit</v>
      </c>
      <c r="D1831" s="18"/>
      <c r="E1831" s="1511" t="s">
        <v>2572</v>
      </c>
      <c r="F1831" s="19"/>
      <c r="G1831" s="28" t="s">
        <v>286</v>
      </c>
      <c r="H1831" s="14"/>
      <c r="I1831" s="14"/>
      <c r="J1831" s="1511" t="s">
        <v>2572</v>
      </c>
      <c r="K1831" s="273">
        <f>SUMIF('alb Note 22 - RRL &amp; CRL'!$A$61:$A$97,J1831,'alb Note 22 - RRL &amp; CRL'!$C$61:$C$97)</f>
        <v>0</v>
      </c>
      <c r="L1831" s="256"/>
      <c r="M1831" s="14"/>
      <c r="N1831" s="273">
        <f t="shared" si="1136"/>
        <v>0</v>
      </c>
      <c r="O1831" s="14"/>
      <c r="P1831" s="14"/>
      <c r="Q1831" s="14"/>
      <c r="R1831" s="14"/>
      <c r="S1831" s="14"/>
      <c r="T1831" s="273">
        <f t="shared" si="1137"/>
        <v>0</v>
      </c>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2"/>
      <c r="AX1831" s="14"/>
      <c r="AY1831" s="14"/>
      <c r="AZ1831" s="2"/>
      <c r="BA1831" s="14"/>
      <c r="BB1831" s="14"/>
      <c r="BC1831" s="14"/>
      <c r="BD1831" s="14"/>
      <c r="BE1831" s="318"/>
      <c r="BF1831" s="318"/>
      <c r="BG1831" s="318"/>
      <c r="BH1831" s="318"/>
      <c r="BI1831" s="318"/>
      <c r="BJ1831" s="318"/>
      <c r="BK1831" s="14"/>
      <c r="BL1831" s="318"/>
      <c r="BM1831" s="318"/>
      <c r="BN1831" s="318"/>
      <c r="BO1831" s="318"/>
      <c r="BP1831" s="318"/>
      <c r="BQ1831" s="318"/>
      <c r="BR1831" s="318"/>
      <c r="BS1831" s="318"/>
      <c r="BT1831" s="318"/>
      <c r="BU1831" s="318"/>
      <c r="BV1831" s="318"/>
      <c r="BW1831" s="318"/>
      <c r="BX1831" s="318"/>
      <c r="BY1831" s="318"/>
      <c r="BZ1831" s="318"/>
      <c r="CA1831" s="318"/>
      <c r="CB1831" s="318"/>
      <c r="CC1831" s="318"/>
      <c r="CD1831" s="318"/>
      <c r="CE1831" s="318"/>
      <c r="CF1831" s="318"/>
      <c r="CG1831" s="318"/>
      <c r="CH1831" s="318"/>
      <c r="CI1831" s="318"/>
      <c r="CJ1831" s="2"/>
      <c r="CK1831" s="2"/>
      <c r="CM1831" s="1140">
        <f t="shared" si="1132"/>
        <v>0</v>
      </c>
      <c r="CN1831" s="1140"/>
      <c r="CP1831" s="923">
        <f t="shared" si="1131"/>
        <v>0</v>
      </c>
      <c r="CZ1831" s="330"/>
    </row>
    <row r="1832" spans="1:104" ht="18.75" customHeight="1" x14ac:dyDescent="0.25">
      <c r="A1832" s="1297">
        <f>MAX($A$6:A1831)+1</f>
        <v>1832</v>
      </c>
      <c r="B1832" s="1295">
        <f>SUMIF(Update!$B$33:$B$106,C1832,Update!$A$33:$A$106)</f>
        <v>50</v>
      </c>
      <c r="C1832" s="696" t="s">
        <v>1829</v>
      </c>
      <c r="D1832" s="695"/>
      <c r="E1832" s="696" t="str">
        <f>B1832&amp;" "&amp;C1832</f>
        <v>50 Staff Data</v>
      </c>
      <c r="F1832" s="697"/>
      <c r="G1832" s="697"/>
      <c r="H1832" s="695"/>
      <c r="I1832" s="695"/>
      <c r="J1832" s="1010" t="s">
        <v>286</v>
      </c>
      <c r="K1832" s="699"/>
      <c r="L1832" s="699"/>
      <c r="M1832" s="695"/>
      <c r="N1832" s="713">
        <f>ROUND(SUM(O1832:AU1832)-T1832,0)</f>
        <v>0</v>
      </c>
      <c r="O1832" s="695"/>
      <c r="P1832" s="695"/>
      <c r="Q1832" s="695"/>
      <c r="R1832" s="695"/>
      <c r="S1832" s="695">
        <f t="shared" ref="S1832:S1839" si="1141">-IF(ISNUMBER(BD1832),BD1832,0)</f>
        <v>0</v>
      </c>
      <c r="T1832" s="713">
        <f t="shared" ref="T1832:T1887" si="1142">ROUND(SUM(U1832:Y1832),0)</f>
        <v>0</v>
      </c>
      <c r="U1832" s="695"/>
      <c r="V1832" s="695"/>
      <c r="W1832" s="695"/>
      <c r="X1832" s="695"/>
      <c r="Y1832" s="695"/>
      <c r="Z1832" s="695"/>
      <c r="AA1832" s="695"/>
      <c r="AB1832" s="695"/>
      <c r="AC1832" s="695"/>
      <c r="AD1832" s="695"/>
      <c r="AE1832" s="695"/>
      <c r="AF1832" s="695"/>
      <c r="AG1832" s="695"/>
      <c r="AH1832" s="695"/>
      <c r="AI1832" s="695"/>
      <c r="AJ1832" s="695"/>
      <c r="AK1832" s="695"/>
      <c r="AL1832" s="695"/>
      <c r="AM1832" s="695"/>
      <c r="AN1832" s="695"/>
      <c r="AO1832" s="695"/>
      <c r="AP1832" s="695"/>
      <c r="AQ1832" s="695"/>
      <c r="AR1832" s="695"/>
      <c r="AS1832" s="695"/>
      <c r="AT1832" s="695"/>
      <c r="AU1832" s="695"/>
      <c r="AV1832" s="695"/>
      <c r="AW1832" s="700"/>
      <c r="AX1832" s="700"/>
      <c r="AY1832" s="700">
        <f>ROUND(AX1832/1000/Update!$B$31*Update!$B$27,0)</f>
        <v>0</v>
      </c>
      <c r="AZ1832" s="700"/>
      <c r="BA1832" s="700"/>
      <c r="BB1832" s="700">
        <f>ROUND(BA1832/1000/Update!$B$31,0)</f>
        <v>0</v>
      </c>
      <c r="BC1832" s="700"/>
      <c r="BD1832" s="721">
        <f t="shared" ref="BD1832:BD1925" si="1143">ROUND(SUM(BE1832:BK1832),0)</f>
        <v>0</v>
      </c>
      <c r="BE1832" s="700"/>
      <c r="BF1832" s="700"/>
      <c r="BG1832" s="700"/>
      <c r="BH1832" s="700"/>
      <c r="BI1832" s="700"/>
      <c r="BJ1832" s="700"/>
      <c r="BK1832" s="721">
        <f t="shared" ref="BK1832:BK1849" si="1144">ROUND(SUM(BO1832:CI1832),0)</f>
        <v>0</v>
      </c>
      <c r="BL1832" s="700"/>
      <c r="BM1832" s="700"/>
      <c r="BN1832" s="700"/>
      <c r="BO1832" s="700"/>
      <c r="BP1832" s="700"/>
      <c r="BQ1832" s="700"/>
      <c r="BR1832" s="700"/>
      <c r="BS1832" s="700"/>
      <c r="BT1832" s="700"/>
      <c r="BU1832" s="700"/>
      <c r="BV1832" s="700"/>
      <c r="BW1832" s="700"/>
      <c r="BX1832" s="700"/>
      <c r="BY1832" s="700"/>
      <c r="BZ1832" s="700"/>
      <c r="CA1832" s="700"/>
      <c r="CB1832" s="700"/>
      <c r="CC1832" s="700"/>
      <c r="CD1832" s="700"/>
      <c r="CE1832" s="700"/>
      <c r="CF1832" s="700"/>
      <c r="CG1832" s="700"/>
      <c r="CH1832" s="700"/>
      <c r="CI1832" s="700"/>
      <c r="CJ1832" s="700"/>
      <c r="CK1832" s="700"/>
      <c r="CM1832" s="700">
        <v>0</v>
      </c>
      <c r="CN1832" s="700">
        <v>0</v>
      </c>
      <c r="CP1832" s="923">
        <f t="shared" si="1131"/>
        <v>0</v>
      </c>
      <c r="CZ1832" s="330"/>
    </row>
    <row r="1833" spans="1:104" ht="15" customHeight="1" x14ac:dyDescent="0.25">
      <c r="A1833" s="684">
        <f>MAX($A$6:A1832)+1</f>
        <v>1833</v>
      </c>
      <c r="B1833" s="1060">
        <f t="shared" ref="B1833:B1845" si="1145">B1832</f>
        <v>50</v>
      </c>
      <c r="C1833" s="292" t="str">
        <f t="shared" ref="C1833:C1845" si="1146">C1832</f>
        <v>Staff Data</v>
      </c>
      <c r="D1833" s="11" t="s">
        <v>152</v>
      </c>
      <c r="E1833" s="7" t="s">
        <v>388</v>
      </c>
      <c r="F1833" s="7"/>
      <c r="G1833" s="1254" t="s">
        <v>152</v>
      </c>
      <c r="H1833" s="6">
        <v>0</v>
      </c>
      <c r="I1833" s="1190">
        <v>0</v>
      </c>
      <c r="J1833" s="1270" t="s">
        <v>152</v>
      </c>
      <c r="K1833" s="946">
        <f>SUMIF('alb A - Staff data'!$A:$A,$J1833,'alb A - Staff data'!$B:$B)</f>
        <v>0</v>
      </c>
      <c r="L1833" s="251">
        <f>SUMIF('alb A - Staff data'!$A:$A,$J1833,'alb A - Staff data'!$H:$H)</f>
        <v>0</v>
      </c>
      <c r="M1833" s="2"/>
      <c r="N1833" s="273">
        <f t="shared" ref="N1833:N1838" si="1147">ROUND(SUM(O1833:S1833)+SUM(W1833:AV1833),0)</f>
        <v>0</v>
      </c>
      <c r="O1833" s="12"/>
      <c r="P1833" s="12"/>
      <c r="Q1833" s="12"/>
      <c r="R1833" s="12"/>
      <c r="S1833" s="6">
        <f t="shared" si="1141"/>
        <v>0</v>
      </c>
      <c r="T1833" s="273">
        <f t="shared" si="1142"/>
        <v>0</v>
      </c>
      <c r="U1833" s="6">
        <f>-SUM(BL1833:BL1833)</f>
        <v>0</v>
      </c>
      <c r="V1833" s="6"/>
      <c r="W1833" s="6">
        <f t="shared" ref="W1833:W1874" si="1148">+H1833</f>
        <v>0</v>
      </c>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X1833" s="6"/>
      <c r="AY1833" s="6">
        <f>ROUND(AX1833/1000/Update!$B$31*Update!$B$27,0)</f>
        <v>0</v>
      </c>
      <c r="BA1833" s="6"/>
      <c r="BB1833" s="6">
        <f>ROUND(BA1833/1000/Update!$B$31,0)</f>
        <v>0</v>
      </c>
      <c r="BC1833" s="6"/>
      <c r="BD1833" s="6">
        <f t="shared" si="1143"/>
        <v>0</v>
      </c>
      <c r="BE1833" s="317"/>
      <c r="BF1833" s="317"/>
      <c r="BG1833" s="317"/>
      <c r="BH1833" s="317"/>
      <c r="BI1833" s="317"/>
      <c r="BJ1833" s="317"/>
      <c r="BK1833" s="6">
        <f>ROUND(SUM(BO1833:CI1833),0)</f>
        <v>0</v>
      </c>
      <c r="BL1833" s="317"/>
      <c r="BM1833" s="317"/>
      <c r="BN1833" s="317"/>
      <c r="BO1833" s="317"/>
      <c r="BP1833" s="317"/>
      <c r="BQ1833" s="317"/>
      <c r="BR1833" s="317"/>
      <c r="BS1833" s="317"/>
      <c r="BT1833" s="317"/>
      <c r="BU1833" s="317"/>
      <c r="BV1833" s="317"/>
      <c r="BW1833" s="317"/>
      <c r="BX1833" s="317"/>
      <c r="BY1833" s="317"/>
      <c r="BZ1833" s="317"/>
      <c r="CA1833" s="317"/>
      <c r="CB1833" s="317"/>
      <c r="CC1833" s="317"/>
      <c r="CD1833" s="317"/>
      <c r="CE1833" s="317"/>
      <c r="CF1833" s="317"/>
      <c r="CG1833" s="317"/>
      <c r="CH1833" s="317"/>
      <c r="CI1833" s="317"/>
      <c r="CM1833" s="1139">
        <v>0</v>
      </c>
      <c r="CN1833" s="1139">
        <v>44317</v>
      </c>
      <c r="CP1833" s="923">
        <f t="shared" si="1131"/>
        <v>0</v>
      </c>
      <c r="CZ1833" s="330"/>
    </row>
    <row r="1834" spans="1:104" ht="15" customHeight="1" x14ac:dyDescent="0.25">
      <c r="A1834" s="684">
        <f>MAX($A$6:A1833)+1</f>
        <v>1834</v>
      </c>
      <c r="B1834" s="1060">
        <f t="shared" si="1145"/>
        <v>50</v>
      </c>
      <c r="C1834" s="292" t="str">
        <f t="shared" si="1146"/>
        <v>Staff Data</v>
      </c>
      <c r="D1834" s="11" t="s">
        <v>153</v>
      </c>
      <c r="E1834" s="7" t="s">
        <v>388</v>
      </c>
      <c r="F1834" s="7"/>
      <c r="G1834" s="1254" t="s">
        <v>153</v>
      </c>
      <c r="H1834" s="6">
        <v>0</v>
      </c>
      <c r="I1834" s="1190">
        <v>0</v>
      </c>
      <c r="J1834" s="1271" t="s">
        <v>153</v>
      </c>
      <c r="K1834" s="946">
        <f>SUMIF('alb A - Staff data'!$A:$A,$J1834,'alb A - Staff data'!$B:$B)</f>
        <v>0</v>
      </c>
      <c r="L1834" s="251">
        <f>SUMIF('alb A - Staff data'!$A:$A,$J1834,'alb A - Staff data'!$H:$H)</f>
        <v>0</v>
      </c>
      <c r="M1834" s="2"/>
      <c r="N1834" s="273">
        <f t="shared" si="1147"/>
        <v>0</v>
      </c>
      <c r="O1834" s="12"/>
      <c r="P1834" s="12"/>
      <c r="Q1834" s="12"/>
      <c r="R1834" s="12"/>
      <c r="S1834" s="6">
        <f t="shared" si="1141"/>
        <v>0</v>
      </c>
      <c r="T1834" s="273">
        <f t="shared" si="1142"/>
        <v>0</v>
      </c>
      <c r="U1834" s="6">
        <f>-SUM(BL1834:BL1834)</f>
        <v>0</v>
      </c>
      <c r="V1834" s="6"/>
      <c r="W1834" s="6">
        <f t="shared" si="1148"/>
        <v>0</v>
      </c>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X1834" s="6"/>
      <c r="AY1834" s="6">
        <f>ROUND(AX1834/1000/Update!$B$31*Update!$B$27,0)</f>
        <v>0</v>
      </c>
      <c r="BA1834" s="6"/>
      <c r="BB1834" s="6">
        <f>ROUND(BA1834/1000/Update!$B$31,0)</f>
        <v>0</v>
      </c>
      <c r="BC1834" s="6"/>
      <c r="BD1834" s="6">
        <f t="shared" si="1143"/>
        <v>0</v>
      </c>
      <c r="BE1834" s="317"/>
      <c r="BF1834" s="317"/>
      <c r="BG1834" s="317"/>
      <c r="BH1834" s="317"/>
      <c r="BI1834" s="317"/>
      <c r="BJ1834" s="317"/>
      <c r="BK1834" s="6">
        <f>ROUND(SUM(BO1834:CI1834),0)</f>
        <v>0</v>
      </c>
      <c r="BL1834" s="317"/>
      <c r="BM1834" s="317"/>
      <c r="BN1834" s="317"/>
      <c r="BO1834" s="317"/>
      <c r="BP1834" s="317"/>
      <c r="BQ1834" s="317"/>
      <c r="BR1834" s="317"/>
      <c r="BS1834" s="317"/>
      <c r="BT1834" s="317"/>
      <c r="BU1834" s="317"/>
      <c r="BV1834" s="317"/>
      <c r="BW1834" s="317"/>
      <c r="BX1834" s="317"/>
      <c r="BY1834" s="317"/>
      <c r="BZ1834" s="317"/>
      <c r="CA1834" s="317"/>
      <c r="CB1834" s="1141"/>
      <c r="CC1834" s="317"/>
      <c r="CD1834" s="317"/>
      <c r="CE1834" s="317"/>
      <c r="CF1834" s="317"/>
      <c r="CG1834" s="317"/>
      <c r="CH1834" s="317"/>
      <c r="CI1834" s="317"/>
      <c r="CM1834" s="1139">
        <v>0</v>
      </c>
      <c r="CN1834" s="1139">
        <v>90</v>
      </c>
      <c r="CP1834" s="923">
        <f t="shared" si="1131"/>
        <v>0</v>
      </c>
      <c r="CZ1834" s="330"/>
    </row>
    <row r="1835" spans="1:104" ht="15" customHeight="1" x14ac:dyDescent="0.25">
      <c r="A1835" s="684">
        <f>MAX($A$6:A1834)+1</f>
        <v>1835</v>
      </c>
      <c r="B1835" s="1060">
        <f t="shared" si="1145"/>
        <v>50</v>
      </c>
      <c r="C1835" s="292" t="str">
        <f t="shared" si="1146"/>
        <v>Staff Data</v>
      </c>
      <c r="D1835" s="11" t="s">
        <v>154</v>
      </c>
      <c r="E1835" s="7" t="s">
        <v>388</v>
      </c>
      <c r="F1835" s="7"/>
      <c r="G1835" s="1254" t="s">
        <v>154</v>
      </c>
      <c r="H1835" s="6">
        <v>0</v>
      </c>
      <c r="I1835" s="1190">
        <v>0</v>
      </c>
      <c r="J1835" s="1271" t="s">
        <v>154</v>
      </c>
      <c r="K1835" s="946">
        <f>SUMIF('alb A - Staff data'!$A:$A,$J1835,'alb A - Staff data'!$B:$B)</f>
        <v>0</v>
      </c>
      <c r="L1835" s="251">
        <f>SUMIF('alb A - Staff data'!$A:$A,$J1835,'alb A - Staff data'!$H:$H)</f>
        <v>0</v>
      </c>
      <c r="M1835" s="2"/>
      <c r="N1835" s="273">
        <f t="shared" si="1147"/>
        <v>0</v>
      </c>
      <c r="O1835" s="12"/>
      <c r="P1835" s="12"/>
      <c r="Q1835" s="12"/>
      <c r="R1835" s="12"/>
      <c r="S1835" s="6">
        <f t="shared" si="1141"/>
        <v>0</v>
      </c>
      <c r="T1835" s="273">
        <f t="shared" si="1142"/>
        <v>0</v>
      </c>
      <c r="U1835" s="6">
        <f t="shared" ref="U1835:U1843" si="1149">-SUM(BL1835:BN1835)</f>
        <v>0</v>
      </c>
      <c r="V1835" s="6"/>
      <c r="W1835" s="6">
        <f t="shared" si="1148"/>
        <v>0</v>
      </c>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X1835" s="6"/>
      <c r="AY1835" s="6">
        <f>ROUND(AX1835/1000/Update!$B$31*Update!$B$27,0)</f>
        <v>0</v>
      </c>
      <c r="BA1835" s="6"/>
      <c r="BB1835" s="6">
        <f>ROUND(BA1835/1000/Update!$B$31,0)</f>
        <v>0</v>
      </c>
      <c r="BC1835" s="6"/>
      <c r="BD1835" s="6">
        <f t="shared" si="1143"/>
        <v>0</v>
      </c>
      <c r="BE1835" s="317"/>
      <c r="BF1835" s="317"/>
      <c r="BG1835" s="317"/>
      <c r="BH1835" s="317"/>
      <c r="BI1835" s="317"/>
      <c r="BJ1835" s="317"/>
      <c r="BK1835" s="6">
        <f>ROUND(SUM(BO1835:CI1835),0)</f>
        <v>0</v>
      </c>
      <c r="BL1835" s="317"/>
      <c r="BM1835" s="317"/>
      <c r="BN1835" s="317"/>
      <c r="BO1835" s="317"/>
      <c r="BP1835" s="317"/>
      <c r="BQ1835" s="317"/>
      <c r="BR1835" s="317"/>
      <c r="BS1835" s="317"/>
      <c r="BT1835" s="317"/>
      <c r="BU1835" s="317"/>
      <c r="BV1835" s="317"/>
      <c r="BW1835" s="317"/>
      <c r="BX1835" s="317"/>
      <c r="BY1835" s="317"/>
      <c r="BZ1835" s="317"/>
      <c r="CA1835" s="317"/>
      <c r="CB1835" s="317"/>
      <c r="CC1835" s="317"/>
      <c r="CD1835" s="317"/>
      <c r="CE1835" s="317"/>
      <c r="CF1835" s="317"/>
      <c r="CG1835" s="317"/>
      <c r="CH1835" s="317"/>
      <c r="CI1835" s="317"/>
      <c r="CM1835" s="1139">
        <v>-54</v>
      </c>
      <c r="CN1835" s="1139">
        <v>18816</v>
      </c>
      <c r="CP1835" s="923">
        <f t="shared" si="1131"/>
        <v>-54</v>
      </c>
      <c r="CZ1835" s="330"/>
    </row>
    <row r="1836" spans="1:104" ht="15" customHeight="1" x14ac:dyDescent="0.25">
      <c r="A1836" s="684">
        <f>MAX($A$6:A1835)+1</f>
        <v>1836</v>
      </c>
      <c r="B1836" s="1060">
        <f t="shared" si="1145"/>
        <v>50</v>
      </c>
      <c r="C1836" s="292" t="str">
        <f t="shared" si="1146"/>
        <v>Staff Data</v>
      </c>
      <c r="D1836" s="11" t="s">
        <v>369</v>
      </c>
      <c r="E1836" s="7" t="s">
        <v>388</v>
      </c>
      <c r="F1836" s="7"/>
      <c r="G1836" s="1254" t="s">
        <v>472</v>
      </c>
      <c r="H1836" s="6">
        <v>0</v>
      </c>
      <c r="I1836" s="1190">
        <v>0</v>
      </c>
      <c r="J1836" s="1271" t="s">
        <v>371</v>
      </c>
      <c r="K1836" s="946">
        <f>SUMIF('alb A - Staff data'!$A:$A,$J1836,'alb A - Staff data'!$B:$B)</f>
        <v>0</v>
      </c>
      <c r="L1836" s="251">
        <f>SUMIF('alb A - Staff data'!$A:$A,$J1836,'alb A - Staff data'!$H:$H)</f>
        <v>0</v>
      </c>
      <c r="M1836" s="2"/>
      <c r="N1836" s="273">
        <f t="shared" si="1147"/>
        <v>0</v>
      </c>
      <c r="O1836" s="12"/>
      <c r="P1836" s="12"/>
      <c r="Q1836" s="12"/>
      <c r="R1836" s="12"/>
      <c r="S1836" s="6">
        <f t="shared" si="1141"/>
        <v>0</v>
      </c>
      <c r="T1836" s="273">
        <f t="shared" si="1142"/>
        <v>0</v>
      </c>
      <c r="U1836" s="6">
        <f t="shared" si="1149"/>
        <v>0</v>
      </c>
      <c r="V1836" s="6"/>
      <c r="W1836" s="6">
        <f t="shared" si="1148"/>
        <v>0</v>
      </c>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X1836" s="6"/>
      <c r="AY1836" s="6">
        <f>ROUND(AX1836/1000/Update!$B$31*Update!$B$27,0)</f>
        <v>0</v>
      </c>
      <c r="BA1836" s="6"/>
      <c r="BB1836" s="6">
        <f>ROUND(BA1836/1000/Update!$B$31,0)</f>
        <v>0</v>
      </c>
      <c r="BC1836" s="6"/>
      <c r="BD1836" s="6">
        <f t="shared" si="1143"/>
        <v>0</v>
      </c>
      <c r="BE1836" s="317"/>
      <c r="BF1836" s="317"/>
      <c r="BG1836" s="317"/>
      <c r="BH1836" s="317"/>
      <c r="BI1836" s="317"/>
      <c r="BJ1836" s="317"/>
      <c r="BK1836" s="6">
        <f t="shared" si="1144"/>
        <v>0</v>
      </c>
      <c r="BL1836" s="317"/>
      <c r="BM1836" s="317"/>
      <c r="BN1836" s="317"/>
      <c r="BO1836" s="317"/>
      <c r="BP1836" s="317"/>
      <c r="BQ1836" s="317"/>
      <c r="BR1836" s="317"/>
      <c r="BS1836" s="317"/>
      <c r="BT1836" s="317"/>
      <c r="BU1836" s="317"/>
      <c r="BV1836" s="317"/>
      <c r="BW1836" s="317"/>
      <c r="BX1836" s="317"/>
      <c r="BY1836" s="317"/>
      <c r="BZ1836" s="317"/>
      <c r="CA1836" s="317"/>
      <c r="CB1836" s="1141"/>
      <c r="CC1836" s="317"/>
      <c r="CD1836" s="317"/>
      <c r="CE1836" s="317"/>
      <c r="CF1836" s="317"/>
      <c r="CG1836" s="317"/>
      <c r="CH1836" s="317"/>
      <c r="CI1836" s="317"/>
      <c r="CM1836" s="1139">
        <v>-495</v>
      </c>
      <c r="CN1836" s="1139">
        <v>63223</v>
      </c>
      <c r="CP1836" s="923">
        <f t="shared" si="1131"/>
        <v>-495</v>
      </c>
      <c r="CZ1836" s="330"/>
    </row>
    <row r="1837" spans="1:104" ht="25.5" customHeight="1" x14ac:dyDescent="0.25">
      <c r="A1837" s="684">
        <f>MAX($A$6:A1836)+1</f>
        <v>1837</v>
      </c>
      <c r="B1837" s="1060">
        <f t="shared" si="1145"/>
        <v>50</v>
      </c>
      <c r="C1837" s="292" t="str">
        <f t="shared" si="1146"/>
        <v>Staff Data</v>
      </c>
      <c r="D1837" s="11" t="s">
        <v>370</v>
      </c>
      <c r="E1837" s="1254" t="s">
        <v>370</v>
      </c>
      <c r="F1837" s="7"/>
      <c r="G1837" s="1254" t="s">
        <v>477</v>
      </c>
      <c r="H1837" s="1190">
        <v>0</v>
      </c>
      <c r="I1837" s="1190"/>
      <c r="J1837" s="1285" t="s">
        <v>1955</v>
      </c>
      <c r="K1837" s="946">
        <f>SUMIF('alb A - Staff data'!$A:$A,$J1837,'alb A - Staff data'!$D:$D)</f>
        <v>0</v>
      </c>
      <c r="L1837" s="266"/>
      <c r="M1837" s="2"/>
      <c r="N1837" s="273">
        <f t="shared" si="1147"/>
        <v>0</v>
      </c>
      <c r="O1837" s="12"/>
      <c r="P1837" s="12"/>
      <c r="Q1837" s="12"/>
      <c r="R1837" s="12"/>
      <c r="S1837" s="6">
        <f t="shared" si="1141"/>
        <v>0</v>
      </c>
      <c r="T1837" s="273">
        <f t="shared" si="1142"/>
        <v>0</v>
      </c>
      <c r="U1837" s="6">
        <f t="shared" si="1149"/>
        <v>0</v>
      </c>
      <c r="V1837" s="6"/>
      <c r="W1837" s="6">
        <f t="shared" si="1148"/>
        <v>0</v>
      </c>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X1837" s="6"/>
      <c r="AY1837" s="6">
        <f>ROUND(AX1837/1000/Update!$B$31*Update!$B$27,0)</f>
        <v>0</v>
      </c>
      <c r="BA1837" s="6"/>
      <c r="BB1837" s="6">
        <f>ROUND(BA1837/1000/Update!$B$31,0)</f>
        <v>0</v>
      </c>
      <c r="BC1837" s="6"/>
      <c r="BD1837" s="6">
        <f t="shared" si="1143"/>
        <v>0</v>
      </c>
      <c r="BE1837" s="317"/>
      <c r="BF1837" s="317"/>
      <c r="BG1837" s="317"/>
      <c r="BH1837" s="317"/>
      <c r="BI1837" s="317"/>
      <c r="BJ1837" s="317"/>
      <c r="BK1837" s="6">
        <f t="shared" si="1144"/>
        <v>0</v>
      </c>
      <c r="BL1837" s="317"/>
      <c r="BM1837" s="317"/>
      <c r="BN1837" s="317"/>
      <c r="BO1837" s="317"/>
      <c r="BP1837" s="317"/>
      <c r="BQ1837" s="317"/>
      <c r="BR1837" s="317"/>
      <c r="BS1837" s="317"/>
      <c r="BT1837" s="317"/>
      <c r="BU1837" s="317"/>
      <c r="BV1837" s="317"/>
      <c r="BW1837" s="317"/>
      <c r="BX1837" s="317"/>
      <c r="BY1837" s="317"/>
      <c r="BZ1837" s="317"/>
      <c r="CA1837" s="317"/>
      <c r="CB1837" s="1141"/>
      <c r="CC1837" s="317"/>
      <c r="CD1837" s="317"/>
      <c r="CE1837" s="317"/>
      <c r="CF1837" s="317"/>
      <c r="CG1837" s="317"/>
      <c r="CH1837" s="317"/>
      <c r="CI1837" s="317"/>
      <c r="CM1837" s="1139">
        <v>0</v>
      </c>
      <c r="CN1837" s="1139">
        <v>0</v>
      </c>
      <c r="CP1837" s="923">
        <f t="shared" si="1131"/>
        <v>0</v>
      </c>
      <c r="CZ1837" s="330"/>
    </row>
    <row r="1838" spans="1:104" ht="15" customHeight="1" x14ac:dyDescent="0.25">
      <c r="A1838" s="684">
        <f>MAX($A$6:A1837)+1</f>
        <v>1838</v>
      </c>
      <c r="B1838" s="1060">
        <f t="shared" si="1145"/>
        <v>50</v>
      </c>
      <c r="C1838" s="292" t="str">
        <f t="shared" si="1146"/>
        <v>Staff Data</v>
      </c>
      <c r="D1838" s="11" t="s">
        <v>371</v>
      </c>
      <c r="E1838" s="7" t="s">
        <v>388</v>
      </c>
      <c r="F1838" s="7"/>
      <c r="G1838" s="1254" t="s">
        <v>474</v>
      </c>
      <c r="H1838" s="1190">
        <v>0</v>
      </c>
      <c r="I1838" s="6">
        <v>0</v>
      </c>
      <c r="J1838" s="1271" t="s">
        <v>479</v>
      </c>
      <c r="K1838" s="946">
        <f>SUMIF('alb A - Staff data'!$A:$A,$J1838,'alb A - Staff data'!$B:$B)</f>
        <v>0</v>
      </c>
      <c r="L1838" s="251">
        <f>SUMIF('alb A - Staff data'!$A:$A,$J1838,'alb A - Staff data'!$H:$H)</f>
        <v>0</v>
      </c>
      <c r="M1838" s="2"/>
      <c r="N1838" s="273">
        <f t="shared" si="1147"/>
        <v>0</v>
      </c>
      <c r="O1838" s="12"/>
      <c r="P1838" s="12"/>
      <c r="Q1838" s="12"/>
      <c r="R1838" s="12"/>
      <c r="S1838" s="6">
        <f t="shared" si="1141"/>
        <v>0</v>
      </c>
      <c r="T1838" s="273">
        <f>ROUND(SUM(U1838:Y1838),0)</f>
        <v>0</v>
      </c>
      <c r="U1838" s="6">
        <f t="shared" si="1149"/>
        <v>0</v>
      </c>
      <c r="V1838" s="6"/>
      <c r="W1838" s="6">
        <f>+H1838</f>
        <v>0</v>
      </c>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X1838" s="6"/>
      <c r="AY1838" s="6">
        <f>ROUND(AX1838/1000/Update!$B$31*Update!$B$27,0)</f>
        <v>0</v>
      </c>
      <c r="BA1838" s="6"/>
      <c r="BB1838" s="6">
        <f>ROUND(BA1838/1000/Update!$B$31,0)</f>
        <v>0</v>
      </c>
      <c r="BC1838" s="6"/>
      <c r="BD1838" s="6">
        <f t="shared" si="1143"/>
        <v>0</v>
      </c>
      <c r="BE1838" s="317"/>
      <c r="BF1838" s="317"/>
      <c r="BG1838" s="317"/>
      <c r="BH1838" s="317"/>
      <c r="BI1838" s="317"/>
      <c r="BJ1838" s="317"/>
      <c r="BK1838" s="6">
        <f t="shared" si="1144"/>
        <v>0</v>
      </c>
      <c r="BL1838" s="1191"/>
      <c r="BM1838" s="1191"/>
      <c r="BN1838" s="1191"/>
      <c r="BO1838" s="1509"/>
      <c r="BP1838" s="317"/>
      <c r="BQ1838" s="1509"/>
      <c r="BR1838" s="1509"/>
      <c r="BS1838" s="317"/>
      <c r="BT1838" s="1509"/>
      <c r="BU1838" s="1509"/>
      <c r="BV1838" s="1509"/>
      <c r="BW1838" s="1509"/>
      <c r="BX1838" s="1509"/>
      <c r="BY1838" s="1509"/>
      <c r="BZ1838" s="1509"/>
      <c r="CA1838" s="1509"/>
      <c r="CB1838" s="1509"/>
      <c r="CC1838" s="317"/>
      <c r="CD1838" s="317"/>
      <c r="CE1838" s="317"/>
      <c r="CF1838" s="317"/>
      <c r="CG1838" s="317"/>
      <c r="CH1838" s="317"/>
      <c r="CI1838" s="1509"/>
      <c r="CM1838" s="1139">
        <v>-99</v>
      </c>
      <c r="CN1838" s="1139">
        <v>58164</v>
      </c>
      <c r="CP1838" s="923">
        <f t="shared" si="1131"/>
        <v>-99</v>
      </c>
      <c r="CZ1838" s="330"/>
    </row>
    <row r="1839" spans="1:104" ht="25.5" customHeight="1" x14ac:dyDescent="0.25">
      <c r="A1839" s="684">
        <f>MAX($A$6:A1838)+1</f>
        <v>1839</v>
      </c>
      <c r="B1839" s="1060">
        <f t="shared" si="1145"/>
        <v>50</v>
      </c>
      <c r="C1839" s="292" t="str">
        <f t="shared" si="1146"/>
        <v>Staff Data</v>
      </c>
      <c r="D1839" s="11" t="s">
        <v>372</v>
      </c>
      <c r="E1839" s="7" t="s">
        <v>388</v>
      </c>
      <c r="F1839" s="7"/>
      <c r="G1839" s="1254" t="s">
        <v>473</v>
      </c>
      <c r="H1839" s="6">
        <v>0</v>
      </c>
      <c r="I1839" s="6">
        <v>0</v>
      </c>
      <c r="J1839" s="1272" t="s">
        <v>1830</v>
      </c>
      <c r="K1839" s="946">
        <f>SUMIF('alb A - Staff data'!$A:$A,$J1839,'alb A - Staff data'!$B:$B)</f>
        <v>0</v>
      </c>
      <c r="L1839" s="251">
        <f>SUMIF('alb A - Staff data'!$A:$A,$J1839,'alb A - Staff data'!$H:$H)</f>
        <v>0</v>
      </c>
      <c r="M1839" s="2"/>
      <c r="N1839" s="273">
        <f>ROUND(SUM(O1839:S1839)+SUM(W1839:AV1839),0)</f>
        <v>0</v>
      </c>
      <c r="O1839" s="12"/>
      <c r="P1839" s="12"/>
      <c r="Q1839" s="12"/>
      <c r="R1839" s="12"/>
      <c r="S1839" s="6">
        <f t="shared" si="1141"/>
        <v>0</v>
      </c>
      <c r="T1839" s="273">
        <f>ROUND(SUM(U1839:Y1839),0)</f>
        <v>0</v>
      </c>
      <c r="U1839" s="6">
        <f t="shared" si="1149"/>
        <v>0</v>
      </c>
      <c r="V1839" s="6"/>
      <c r="W1839" s="6">
        <f>-H1839</f>
        <v>0</v>
      </c>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X1839" s="6"/>
      <c r="AY1839" s="6">
        <f>ROUND(AX1839/1000/Update!$B$31*Update!$B$27,0)</f>
        <v>0</v>
      </c>
      <c r="BA1839" s="6"/>
      <c r="BB1839" s="6">
        <f>ROUND(BA1839/1000/Update!$B$31,0)</f>
        <v>0</v>
      </c>
      <c r="BC1839" s="6"/>
      <c r="BD1839" s="6">
        <f t="shared" si="1143"/>
        <v>0</v>
      </c>
      <c r="BE1839" s="317"/>
      <c r="BF1839" s="317"/>
      <c r="BG1839" s="317"/>
      <c r="BH1839" s="317"/>
      <c r="BI1839" s="317"/>
      <c r="BJ1839" s="317"/>
      <c r="BK1839" s="6">
        <f t="shared" si="1144"/>
        <v>0</v>
      </c>
      <c r="BL1839" s="1191"/>
      <c r="BM1839" s="1191"/>
      <c r="BN1839" s="1191"/>
      <c r="BO1839" s="1191"/>
      <c r="BP1839" s="317"/>
      <c r="BQ1839" s="1191"/>
      <c r="BR1839" s="1191"/>
      <c r="BS1839" s="317"/>
      <c r="BT1839" s="1191"/>
      <c r="BU1839" s="1191"/>
      <c r="BV1839" s="1191"/>
      <c r="BW1839" s="1191"/>
      <c r="BX1839" s="1191"/>
      <c r="BY1839" s="1191"/>
      <c r="BZ1839" s="1191"/>
      <c r="CA1839" s="1191"/>
      <c r="CB1839" s="1191"/>
      <c r="CC1839" s="317"/>
      <c r="CD1839" s="317"/>
      <c r="CE1839" s="317"/>
      <c r="CF1839" s="317"/>
      <c r="CG1839" s="317"/>
      <c r="CH1839" s="317"/>
      <c r="CI1839" s="1191"/>
      <c r="CM1839" s="1139">
        <v>-396</v>
      </c>
      <c r="CN1839" s="1139">
        <v>5059</v>
      </c>
      <c r="CP1839" s="923">
        <f t="shared" si="1131"/>
        <v>-396</v>
      </c>
      <c r="CZ1839" s="330"/>
    </row>
    <row r="1840" spans="1:104" ht="15" customHeight="1" x14ac:dyDescent="0.25">
      <c r="A1840" s="684">
        <f>MAX($A$6:A1839)+1</f>
        <v>1840</v>
      </c>
      <c r="B1840" s="1060">
        <f t="shared" si="1145"/>
        <v>50</v>
      </c>
      <c r="C1840" s="292" t="str">
        <f t="shared" si="1146"/>
        <v>Staff Data</v>
      </c>
      <c r="D1840" s="11" t="s">
        <v>152</v>
      </c>
      <c r="E1840" s="7" t="s">
        <v>389</v>
      </c>
      <c r="F1840" s="7"/>
      <c r="G1840" s="1254" t="s">
        <v>152</v>
      </c>
      <c r="H1840" s="6">
        <v>0</v>
      </c>
      <c r="I1840" s="6"/>
      <c r="J1840" s="1270" t="s">
        <v>152</v>
      </c>
      <c r="K1840" s="946">
        <f>SUMIF('alb A - Staff data'!$A:$A,$J1840,'alb A - Staff data'!$C:$C)</f>
        <v>0</v>
      </c>
      <c r="L1840" s="251"/>
      <c r="M1840" s="2"/>
      <c r="N1840" s="273">
        <f t="shared" ref="N1840:N1869" si="1150">ROUND(SUM(O1840:S1840)+SUM(W1840:AV1840),0)</f>
        <v>0</v>
      </c>
      <c r="O1840" s="12"/>
      <c r="P1840" s="12"/>
      <c r="Q1840" s="12"/>
      <c r="R1840" s="12"/>
      <c r="S1840" s="6">
        <f t="shared" ref="S1840:S1845" si="1151">-IF(ISNUMBER(BD1840),BD1840,0)</f>
        <v>0</v>
      </c>
      <c r="T1840" s="273">
        <f t="shared" si="1142"/>
        <v>0</v>
      </c>
      <c r="U1840" s="6">
        <f t="shared" si="1149"/>
        <v>0</v>
      </c>
      <c r="V1840" s="6"/>
      <c r="W1840" s="6">
        <f t="shared" si="1148"/>
        <v>0</v>
      </c>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X1840" s="6"/>
      <c r="AY1840" s="6">
        <f>ROUND(AX1840/1000/Update!$B$31*Update!$B$27,0)</f>
        <v>0</v>
      </c>
      <c r="BA1840" s="6"/>
      <c r="BB1840" s="6">
        <f>ROUND(BA1840/1000/Update!$B$31,0)</f>
        <v>0</v>
      </c>
      <c r="BC1840" s="6"/>
      <c r="BD1840" s="6">
        <f t="shared" si="1143"/>
        <v>0</v>
      </c>
      <c r="BE1840" s="1191"/>
      <c r="BF1840" s="1191"/>
      <c r="BG1840" s="1191"/>
      <c r="BH1840" s="1191"/>
      <c r="BI1840" s="1191"/>
      <c r="BJ1840" s="1191"/>
      <c r="BK1840" s="1190">
        <f t="shared" si="1144"/>
        <v>0</v>
      </c>
      <c r="BL1840" s="1191"/>
      <c r="BM1840" s="1191"/>
      <c r="BN1840" s="1191"/>
      <c r="BO1840" s="1191"/>
      <c r="BP1840" s="1509"/>
      <c r="BQ1840" s="1191"/>
      <c r="BR1840" s="1191"/>
      <c r="BS1840" s="1509"/>
      <c r="BT1840" s="1191"/>
      <c r="BU1840" s="1191"/>
      <c r="BV1840" s="1191"/>
      <c r="BW1840" s="1191"/>
      <c r="BX1840" s="1191"/>
      <c r="BY1840" s="1191"/>
      <c r="BZ1840" s="1191"/>
      <c r="CA1840" s="1191"/>
      <c r="CB1840" s="1191"/>
      <c r="CC1840" s="1509"/>
      <c r="CD1840" s="1509"/>
      <c r="CE1840" s="1509"/>
      <c r="CF1840" s="1509"/>
      <c r="CG1840" s="1509"/>
      <c r="CH1840" s="1509"/>
      <c r="CI1840" s="1191"/>
      <c r="CM1840" s="1139">
        <v>0</v>
      </c>
      <c r="CN1840" s="1139">
        <v>0</v>
      </c>
      <c r="CP1840" s="923">
        <f t="shared" si="1131"/>
        <v>0</v>
      </c>
      <c r="CZ1840" s="330"/>
    </row>
    <row r="1841" spans="1:104" ht="15" customHeight="1" x14ac:dyDescent="0.25">
      <c r="A1841" s="684">
        <f>MAX($A$6:A1840)+1</f>
        <v>1841</v>
      </c>
      <c r="B1841" s="1060">
        <f t="shared" si="1145"/>
        <v>50</v>
      </c>
      <c r="C1841" s="292" t="str">
        <f t="shared" si="1146"/>
        <v>Staff Data</v>
      </c>
      <c r="D1841" s="11" t="s">
        <v>153</v>
      </c>
      <c r="E1841" s="7" t="s">
        <v>389</v>
      </c>
      <c r="F1841" s="7"/>
      <c r="G1841" s="1254" t="s">
        <v>153</v>
      </c>
      <c r="H1841" s="6">
        <v>0</v>
      </c>
      <c r="I1841" s="6"/>
      <c r="J1841" s="1271" t="s">
        <v>153</v>
      </c>
      <c r="K1841" s="946">
        <f>SUMIF('alb A - Staff data'!$A:$A,$J1841,'alb A - Staff data'!$C:$C)</f>
        <v>0</v>
      </c>
      <c r="L1841" s="251"/>
      <c r="M1841" s="2"/>
      <c r="N1841" s="273">
        <f t="shared" si="1150"/>
        <v>0</v>
      </c>
      <c r="O1841" s="12"/>
      <c r="P1841" s="12"/>
      <c r="Q1841" s="12"/>
      <c r="R1841" s="12"/>
      <c r="S1841" s="6">
        <f t="shared" si="1151"/>
        <v>0</v>
      </c>
      <c r="T1841" s="273">
        <f t="shared" si="1142"/>
        <v>0</v>
      </c>
      <c r="U1841" s="6">
        <f t="shared" si="1149"/>
        <v>0</v>
      </c>
      <c r="V1841" s="6"/>
      <c r="W1841" s="6">
        <f t="shared" si="1148"/>
        <v>0</v>
      </c>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X1841" s="6"/>
      <c r="AY1841" s="6">
        <f>ROUND(AX1841/1000/Update!$B$31*Update!$B$27,0)</f>
        <v>0</v>
      </c>
      <c r="BA1841" s="6"/>
      <c r="BB1841" s="6">
        <f>ROUND(BA1841/1000/Update!$B$31,0)</f>
        <v>0</v>
      </c>
      <c r="BC1841" s="6"/>
      <c r="BD1841" s="6">
        <f t="shared" si="1143"/>
        <v>0</v>
      </c>
      <c r="BE1841" s="1191"/>
      <c r="BF1841" s="1191"/>
      <c r="BG1841" s="1191"/>
      <c r="BH1841" s="1191"/>
      <c r="BI1841" s="1191"/>
      <c r="BJ1841" s="1191"/>
      <c r="BK1841" s="1190">
        <f t="shared" si="1144"/>
        <v>0</v>
      </c>
      <c r="BL1841" s="1191"/>
      <c r="BM1841" s="1191"/>
      <c r="BN1841" s="1191"/>
      <c r="BO1841" s="1191"/>
      <c r="BP1841" s="1191"/>
      <c r="BQ1841" s="1191"/>
      <c r="BR1841" s="1191"/>
      <c r="BS1841" s="1191"/>
      <c r="BT1841" s="1191"/>
      <c r="BU1841" s="1191"/>
      <c r="BV1841" s="1191"/>
      <c r="BW1841" s="1191"/>
      <c r="BX1841" s="1191"/>
      <c r="BY1841" s="1191"/>
      <c r="BZ1841" s="1191"/>
      <c r="CA1841" s="1191"/>
      <c r="CB1841" s="1191"/>
      <c r="CC1841" s="1191"/>
      <c r="CD1841" s="1191"/>
      <c r="CE1841" s="1191"/>
      <c r="CF1841" s="1191"/>
      <c r="CG1841" s="1191"/>
      <c r="CH1841" s="1191"/>
      <c r="CI1841" s="1191"/>
      <c r="CM1841" s="1139">
        <v>0</v>
      </c>
      <c r="CN1841" s="1139">
        <v>0</v>
      </c>
      <c r="CP1841" s="923">
        <f t="shared" si="1131"/>
        <v>0</v>
      </c>
      <c r="CZ1841" s="330"/>
    </row>
    <row r="1842" spans="1:104" ht="15" customHeight="1" x14ac:dyDescent="0.25">
      <c r="A1842" s="684">
        <f>MAX($A$6:A1841)+1</f>
        <v>1842</v>
      </c>
      <c r="B1842" s="1060">
        <f t="shared" si="1145"/>
        <v>50</v>
      </c>
      <c r="C1842" s="292" t="str">
        <f t="shared" si="1146"/>
        <v>Staff Data</v>
      </c>
      <c r="D1842" s="11" t="s">
        <v>154</v>
      </c>
      <c r="E1842" s="7" t="s">
        <v>389</v>
      </c>
      <c r="F1842" s="7"/>
      <c r="G1842" s="1254" t="s">
        <v>154</v>
      </c>
      <c r="H1842" s="6">
        <v>0</v>
      </c>
      <c r="I1842" s="6"/>
      <c r="J1842" s="1271" t="s">
        <v>154</v>
      </c>
      <c r="K1842" s="946">
        <f>SUMIF('alb A - Staff data'!$A:$A,$J1842,'alb A - Staff data'!$C:$C)</f>
        <v>0</v>
      </c>
      <c r="L1842" s="251"/>
      <c r="M1842" s="2"/>
      <c r="N1842" s="273">
        <f t="shared" si="1150"/>
        <v>0</v>
      </c>
      <c r="O1842" s="12"/>
      <c r="P1842" s="12"/>
      <c r="Q1842" s="12"/>
      <c r="R1842" s="12"/>
      <c r="S1842" s="6">
        <f t="shared" si="1151"/>
        <v>0</v>
      </c>
      <c r="T1842" s="273">
        <f t="shared" si="1142"/>
        <v>0</v>
      </c>
      <c r="U1842" s="6">
        <f t="shared" si="1149"/>
        <v>0</v>
      </c>
      <c r="V1842" s="6"/>
      <c r="W1842" s="6">
        <f t="shared" si="1148"/>
        <v>0</v>
      </c>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X1842" s="6"/>
      <c r="AY1842" s="6">
        <f>ROUND(AX1842/1000/Update!$B$31*Update!$B$27,0)</f>
        <v>0</v>
      </c>
      <c r="BA1842" s="6"/>
      <c r="BB1842" s="6">
        <f>ROUND(BA1842/1000/Update!$B$31,0)</f>
        <v>0</v>
      </c>
      <c r="BC1842" s="6"/>
      <c r="BD1842" s="6">
        <f t="shared" si="1143"/>
        <v>0</v>
      </c>
      <c r="BE1842" s="1191"/>
      <c r="BF1842" s="1191"/>
      <c r="BG1842" s="1191"/>
      <c r="BH1842" s="1191"/>
      <c r="BI1842" s="1191"/>
      <c r="BJ1842" s="1191"/>
      <c r="BK1842" s="1190">
        <f t="shared" si="1144"/>
        <v>0</v>
      </c>
      <c r="BL1842" s="1191"/>
      <c r="BM1842" s="1191"/>
      <c r="BN1842" s="1191"/>
      <c r="BO1842" s="1191"/>
      <c r="BP1842" s="1191"/>
      <c r="BQ1842" s="1191"/>
      <c r="BR1842" s="1191"/>
      <c r="BS1842" s="1191"/>
      <c r="BT1842" s="1191"/>
      <c r="BU1842" s="1191"/>
      <c r="BV1842" s="1191"/>
      <c r="BW1842" s="1191"/>
      <c r="BX1842" s="1191"/>
      <c r="BY1842" s="1191"/>
      <c r="BZ1842" s="1191"/>
      <c r="CA1842" s="1191"/>
      <c r="CB1842" s="1191"/>
      <c r="CC1842" s="1191"/>
      <c r="CD1842" s="1191"/>
      <c r="CE1842" s="1191"/>
      <c r="CF1842" s="1191"/>
      <c r="CG1842" s="1191"/>
      <c r="CH1842" s="1191"/>
      <c r="CI1842" s="1191"/>
      <c r="CM1842" s="1139">
        <v>0</v>
      </c>
      <c r="CN1842" s="1139">
        <v>0</v>
      </c>
      <c r="CP1842" s="923">
        <f t="shared" si="1131"/>
        <v>0</v>
      </c>
      <c r="CZ1842" s="330"/>
    </row>
    <row r="1843" spans="1:104" ht="15" customHeight="1" x14ac:dyDescent="0.25">
      <c r="A1843" s="684">
        <f>MAX($A$6:A1842)+1</f>
        <v>1843</v>
      </c>
      <c r="B1843" s="1060">
        <f t="shared" si="1145"/>
        <v>50</v>
      </c>
      <c r="C1843" s="292" t="str">
        <f t="shared" si="1146"/>
        <v>Staff Data</v>
      </c>
      <c r="D1843" s="11" t="s">
        <v>369</v>
      </c>
      <c r="E1843" s="7" t="s">
        <v>389</v>
      </c>
      <c r="F1843" s="7"/>
      <c r="G1843" s="1254" t="s">
        <v>472</v>
      </c>
      <c r="H1843" s="6">
        <v>0</v>
      </c>
      <c r="I1843" s="6"/>
      <c r="J1843" s="1271" t="s">
        <v>371</v>
      </c>
      <c r="K1843" s="946">
        <f>SUMIF('alb A - Staff data'!$A:$A,$J1843,'alb A - Staff data'!$C:$C)</f>
        <v>0</v>
      </c>
      <c r="L1843" s="251"/>
      <c r="M1843" s="2"/>
      <c r="N1843" s="273">
        <f t="shared" si="1150"/>
        <v>0</v>
      </c>
      <c r="O1843" s="12"/>
      <c r="P1843" s="12"/>
      <c r="Q1843" s="12"/>
      <c r="R1843" s="12"/>
      <c r="S1843" s="6">
        <f t="shared" si="1151"/>
        <v>0</v>
      </c>
      <c r="T1843" s="273">
        <f t="shared" si="1142"/>
        <v>0</v>
      </c>
      <c r="U1843" s="6">
        <f t="shared" si="1149"/>
        <v>0</v>
      </c>
      <c r="V1843" s="6"/>
      <c r="W1843" s="6">
        <f t="shared" si="1148"/>
        <v>0</v>
      </c>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X1843" s="6"/>
      <c r="AY1843" s="6">
        <f>ROUND(AX1843/1000/Update!$B$31*Update!$B$27,0)</f>
        <v>0</v>
      </c>
      <c r="BA1843" s="6"/>
      <c r="BB1843" s="6">
        <f>ROUND(BA1843/1000/Update!$B$31,0)</f>
        <v>0</v>
      </c>
      <c r="BC1843" s="6"/>
      <c r="BD1843" s="6">
        <f t="shared" si="1143"/>
        <v>0</v>
      </c>
      <c r="BE1843" s="1191"/>
      <c r="BF1843" s="1191"/>
      <c r="BG1843" s="1191"/>
      <c r="BH1843" s="1191"/>
      <c r="BI1843" s="1191"/>
      <c r="BJ1843" s="1191"/>
      <c r="BK1843" s="1190">
        <f t="shared" si="1144"/>
        <v>0</v>
      </c>
      <c r="BL1843" s="1191"/>
      <c r="BM1843" s="1191"/>
      <c r="BN1843" s="1191"/>
      <c r="BO1843" s="1191"/>
      <c r="BP1843" s="1191"/>
      <c r="BQ1843" s="1191"/>
      <c r="BR1843" s="1191"/>
      <c r="BS1843" s="1191"/>
      <c r="BT1843" s="1191"/>
      <c r="BU1843" s="1191"/>
      <c r="BV1843" s="1191"/>
      <c r="BW1843" s="1191"/>
      <c r="BX1843" s="1191"/>
      <c r="BY1843" s="1191"/>
      <c r="BZ1843" s="1191"/>
      <c r="CA1843" s="1191"/>
      <c r="CB1843" s="1191"/>
      <c r="CC1843" s="1191"/>
      <c r="CD1843" s="1191"/>
      <c r="CE1843" s="1191"/>
      <c r="CF1843" s="1191"/>
      <c r="CG1843" s="1191"/>
      <c r="CH1843" s="1191"/>
      <c r="CI1843" s="1191"/>
      <c r="CM1843" s="1139">
        <v>0</v>
      </c>
      <c r="CN1843" s="1139">
        <v>0</v>
      </c>
      <c r="CP1843" s="923">
        <f t="shared" si="1131"/>
        <v>0</v>
      </c>
      <c r="CZ1843" s="330"/>
    </row>
    <row r="1844" spans="1:104" ht="25.5" customHeight="1" x14ac:dyDescent="0.25">
      <c r="A1844" s="684">
        <f>MAX($A$6:A1843)+1</f>
        <v>1844</v>
      </c>
      <c r="B1844" s="1060">
        <f t="shared" si="1145"/>
        <v>50</v>
      </c>
      <c r="C1844" s="292" t="str">
        <f t="shared" si="1146"/>
        <v>Staff Data</v>
      </c>
      <c r="D1844" s="11" t="s">
        <v>370</v>
      </c>
      <c r="E1844" s="1254" t="s">
        <v>370</v>
      </c>
      <c r="F1844" s="7"/>
      <c r="G1844" s="1254" t="str">
        <f>G1837</f>
        <v>*Of the total, these amounts have been charged to capital</v>
      </c>
      <c r="H1844" s="1190"/>
      <c r="I1844" s="6"/>
      <c r="J1844" s="1271" t="s">
        <v>1702</v>
      </c>
      <c r="K1844" s="946"/>
      <c r="L1844" s="266"/>
      <c r="M1844" s="2"/>
      <c r="N1844" s="273">
        <f t="shared" si="1150"/>
        <v>0</v>
      </c>
      <c r="O1844" s="12"/>
      <c r="P1844" s="12"/>
      <c r="Q1844" s="12"/>
      <c r="R1844" s="12"/>
      <c r="S1844" s="6">
        <f t="shared" si="1151"/>
        <v>0</v>
      </c>
      <c r="T1844" s="273">
        <f>ROUND(SUM(U1844:Y1844),0)-W1844-W1844</f>
        <v>0</v>
      </c>
      <c r="U1844" s="6">
        <f t="shared" ref="U1844:U1874" si="1152">SUM(BL1844:BN1844)</f>
        <v>0</v>
      </c>
      <c r="V1844" s="6"/>
      <c r="W1844" s="6">
        <f t="shared" si="1148"/>
        <v>0</v>
      </c>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X1844" s="6"/>
      <c r="AY1844" s="6">
        <f>ROUND(AX1844/1000/Update!$B$31*Update!$B$27,0)</f>
        <v>0</v>
      </c>
      <c r="BA1844" s="6"/>
      <c r="BB1844" s="6">
        <f>ROUND(BA1844/1000/Update!$B$31,0)</f>
        <v>0</v>
      </c>
      <c r="BC1844" s="6"/>
      <c r="BD1844" s="6">
        <f t="shared" si="1143"/>
        <v>0</v>
      </c>
      <c r="BE1844" s="1191"/>
      <c r="BF1844" s="1191"/>
      <c r="BG1844" s="1191"/>
      <c r="BH1844" s="1191"/>
      <c r="BI1844" s="1191"/>
      <c r="BJ1844" s="1191"/>
      <c r="BK1844" s="1190">
        <f t="shared" si="1144"/>
        <v>0</v>
      </c>
      <c r="BL1844" s="1191"/>
      <c r="BM1844" s="1191"/>
      <c r="BN1844" s="1191"/>
      <c r="BO1844" s="1191"/>
      <c r="BP1844" s="1191"/>
      <c r="BQ1844" s="1191"/>
      <c r="BR1844" s="1191"/>
      <c r="BS1844" s="1191"/>
      <c r="BT1844" s="1191"/>
      <c r="BU1844" s="1191"/>
      <c r="BV1844" s="1191"/>
      <c r="BW1844" s="1191"/>
      <c r="BX1844" s="1191"/>
      <c r="BY1844" s="1191"/>
      <c r="BZ1844" s="1191"/>
      <c r="CA1844" s="1191"/>
      <c r="CB1844" s="1191"/>
      <c r="CC1844" s="1191"/>
      <c r="CD1844" s="1191"/>
      <c r="CE1844" s="1191"/>
      <c r="CF1844" s="1191"/>
      <c r="CG1844" s="1191"/>
      <c r="CH1844" s="1191"/>
      <c r="CI1844" s="1191"/>
      <c r="CM1844" s="1139">
        <v>0</v>
      </c>
      <c r="CN1844" s="1139">
        <v>0</v>
      </c>
      <c r="CP1844" s="923">
        <f t="shared" si="1131"/>
        <v>0</v>
      </c>
      <c r="CZ1844" s="330"/>
    </row>
    <row r="1845" spans="1:104" ht="15" customHeight="1" x14ac:dyDescent="0.25">
      <c r="A1845" s="684">
        <f>MAX($A$6:A1844)+1</f>
        <v>1845</v>
      </c>
      <c r="B1845" s="1060">
        <f t="shared" si="1145"/>
        <v>50</v>
      </c>
      <c r="C1845" s="292" t="str">
        <f t="shared" si="1146"/>
        <v>Staff Data</v>
      </c>
      <c r="D1845" s="11" t="s">
        <v>371</v>
      </c>
      <c r="E1845" s="7" t="s">
        <v>389</v>
      </c>
      <c r="F1845" s="7"/>
      <c r="G1845" s="1254" t="s">
        <v>474</v>
      </c>
      <c r="H1845" s="6">
        <v>0</v>
      </c>
      <c r="I1845" s="6"/>
      <c r="J1845" s="1271" t="s">
        <v>479</v>
      </c>
      <c r="K1845" s="946">
        <f>SUMIF('alb A - Staff data'!$A:$A,$J1845,'alb A - Staff data'!$C:$C)</f>
        <v>0</v>
      </c>
      <c r="L1845" s="251"/>
      <c r="M1845" s="2"/>
      <c r="N1845" s="273">
        <f t="shared" si="1150"/>
        <v>0</v>
      </c>
      <c r="O1845" s="12"/>
      <c r="P1845" s="12"/>
      <c r="Q1845" s="12"/>
      <c r="R1845" s="12"/>
      <c r="S1845" s="6">
        <f t="shared" si="1151"/>
        <v>0</v>
      </c>
      <c r="T1845" s="273">
        <f t="shared" si="1142"/>
        <v>0</v>
      </c>
      <c r="U1845" s="6">
        <f>-SUM(BL1845:BN1845)</f>
        <v>0</v>
      </c>
      <c r="V1845" s="6"/>
      <c r="W1845" s="6">
        <f t="shared" si="1148"/>
        <v>0</v>
      </c>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X1845" s="6"/>
      <c r="AY1845" s="6">
        <f>ROUND(AX1845/1000/Update!$B$31*Update!$B$27,0)</f>
        <v>0</v>
      </c>
      <c r="BA1845" s="6"/>
      <c r="BB1845" s="6">
        <f>ROUND(BA1845/1000/Update!$B$31,0)</f>
        <v>0</v>
      </c>
      <c r="BC1845" s="6"/>
      <c r="BD1845" s="6">
        <f t="shared" si="1143"/>
        <v>0</v>
      </c>
      <c r="BE1845" s="1191"/>
      <c r="BF1845" s="1191"/>
      <c r="BG1845" s="1191"/>
      <c r="BH1845" s="1191"/>
      <c r="BI1845" s="1191"/>
      <c r="BJ1845" s="1191"/>
      <c r="BK1845" s="1190">
        <f t="shared" si="1144"/>
        <v>0</v>
      </c>
      <c r="BL1845" s="1191"/>
      <c r="BM1845" s="1191"/>
      <c r="BN1845" s="1191"/>
      <c r="BO1845" s="1509"/>
      <c r="BP1845" s="1191"/>
      <c r="BQ1845" s="1509"/>
      <c r="BR1845" s="1509"/>
      <c r="BS1845" s="1191"/>
      <c r="BT1845" s="1509"/>
      <c r="BU1845" s="1509"/>
      <c r="BV1845" s="1509"/>
      <c r="BW1845" s="1509"/>
      <c r="BX1845" s="1509"/>
      <c r="BY1845" s="1509"/>
      <c r="BZ1845" s="1509"/>
      <c r="CA1845" s="1509"/>
      <c r="CB1845" s="1509"/>
      <c r="CC1845" s="1191"/>
      <c r="CD1845" s="1191"/>
      <c r="CE1845" s="1191"/>
      <c r="CF1845" s="1191"/>
      <c r="CG1845" s="1191"/>
      <c r="CH1845" s="1191"/>
      <c r="CI1845" s="1509"/>
      <c r="CM1845" s="1139">
        <f t="shared" si="1132"/>
        <v>0</v>
      </c>
      <c r="CN1845" s="1139">
        <v>0</v>
      </c>
      <c r="CP1845" s="923">
        <f t="shared" si="1131"/>
        <v>0</v>
      </c>
      <c r="CZ1845" s="330"/>
    </row>
    <row r="1846" spans="1:104" ht="15" customHeight="1" x14ac:dyDescent="0.25">
      <c r="A1846" s="684">
        <f>MAX($A$6:A1845)+1</f>
        <v>1846</v>
      </c>
      <c r="B1846" s="1060">
        <f>B1838</f>
        <v>50</v>
      </c>
      <c r="C1846" s="292" t="str">
        <f>C1838</f>
        <v>Staff Data</v>
      </c>
      <c r="D1846" s="11" t="s">
        <v>372</v>
      </c>
      <c r="E1846" s="7" t="s">
        <v>389</v>
      </c>
      <c r="F1846" s="7"/>
      <c r="G1846" s="1254" t="s">
        <v>286</v>
      </c>
      <c r="H1846" s="6"/>
      <c r="I1846" s="6"/>
      <c r="J1846" s="1272" t="s">
        <v>1830</v>
      </c>
      <c r="K1846" s="946">
        <f>SUMIF('alb A - Staff data'!$A:$A,$J1846,'alb A - Staff data'!$C:$C)</f>
        <v>0</v>
      </c>
      <c r="L1846" s="251"/>
      <c r="M1846" s="2"/>
      <c r="N1846" s="273">
        <f t="shared" si="1150"/>
        <v>0</v>
      </c>
      <c r="O1846" s="12"/>
      <c r="P1846" s="12"/>
      <c r="Q1846" s="12"/>
      <c r="R1846" s="12"/>
      <c r="S1846" s="6">
        <f>IF(ISNUMBER(BD1846),BD1846,0)</f>
        <v>0</v>
      </c>
      <c r="T1846" s="273">
        <f>ROUND(SUM(U1846:Y1846),0)</f>
        <v>0</v>
      </c>
      <c r="U1846" s="6">
        <f>-SUM(BL1846:BN1846)</f>
        <v>0</v>
      </c>
      <c r="V1846" s="6"/>
      <c r="W1846" s="6">
        <f>-H1846</f>
        <v>0</v>
      </c>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X1846" s="6"/>
      <c r="AY1846" s="6"/>
      <c r="BA1846" s="6"/>
      <c r="BB1846" s="6"/>
      <c r="BC1846" s="6"/>
      <c r="BD1846" s="6">
        <f t="shared" si="1143"/>
        <v>0</v>
      </c>
      <c r="BE1846" s="1191"/>
      <c r="BF1846" s="1191"/>
      <c r="BG1846" s="1191"/>
      <c r="BH1846" s="1191"/>
      <c r="BI1846" s="1191"/>
      <c r="BJ1846" s="1191"/>
      <c r="BK1846" s="1190">
        <f t="shared" si="1144"/>
        <v>0</v>
      </c>
      <c r="BL1846" s="1191"/>
      <c r="BM1846" s="1191"/>
      <c r="BN1846" s="1191"/>
      <c r="BO1846" s="1191"/>
      <c r="BP1846" s="1191"/>
      <c r="BQ1846" s="1191"/>
      <c r="BR1846" s="1191"/>
      <c r="BS1846" s="1191"/>
      <c r="BT1846" s="1191"/>
      <c r="BU1846" s="1191"/>
      <c r="BV1846" s="1191"/>
      <c r="BW1846" s="1191"/>
      <c r="BX1846" s="1191"/>
      <c r="BY1846" s="1191"/>
      <c r="BZ1846" s="1191"/>
      <c r="CA1846" s="1191"/>
      <c r="CB1846" s="1191"/>
      <c r="CC1846" s="1191"/>
      <c r="CD1846" s="1191"/>
      <c r="CE1846" s="1191"/>
      <c r="CF1846" s="1191"/>
      <c r="CG1846" s="1191"/>
      <c r="CH1846" s="1191"/>
      <c r="CI1846" s="1191"/>
      <c r="CM1846" s="1139">
        <f t="shared" si="1132"/>
        <v>0</v>
      </c>
      <c r="CN1846" s="1139">
        <v>0</v>
      </c>
      <c r="CP1846" s="923">
        <f t="shared" si="1131"/>
        <v>0</v>
      </c>
      <c r="CZ1846" s="330"/>
    </row>
    <row r="1847" spans="1:104" ht="15" customHeight="1" x14ac:dyDescent="0.25">
      <c r="A1847" s="684">
        <f>MAX($A$6:A1846)+1</f>
        <v>1847</v>
      </c>
      <c r="B1847" s="1060">
        <f>B1845</f>
        <v>50</v>
      </c>
      <c r="C1847" s="292" t="str">
        <f>C1845</f>
        <v>Staff Data</v>
      </c>
      <c r="D1847" s="11" t="s">
        <v>152</v>
      </c>
      <c r="E1847" s="7" t="s">
        <v>471</v>
      </c>
      <c r="F1847" s="7"/>
      <c r="G1847" s="1254" t="s">
        <v>152</v>
      </c>
      <c r="H1847" s="6">
        <v>0</v>
      </c>
      <c r="I1847" s="6"/>
      <c r="J1847" s="1270" t="s">
        <v>152</v>
      </c>
      <c r="K1847" s="946"/>
      <c r="L1847" s="251"/>
      <c r="M1847" s="2"/>
      <c r="N1847" s="273">
        <f t="shared" si="1150"/>
        <v>0</v>
      </c>
      <c r="O1847" s="12"/>
      <c r="P1847" s="12"/>
      <c r="Q1847" s="12"/>
      <c r="R1847" s="12"/>
      <c r="S1847" s="6">
        <f t="shared" ref="S1847:S1852" si="1153">-IF(ISNUMBER(BD1847),BD1847,0)</f>
        <v>0</v>
      </c>
      <c r="T1847" s="273">
        <f>ROUND(SUM(U1847:Y1847),0)</f>
        <v>0</v>
      </c>
      <c r="U1847" s="6">
        <f t="shared" ref="U1847:U1852" si="1154">SUM(BL1847:BN1847)</f>
        <v>0</v>
      </c>
      <c r="V1847" s="6"/>
      <c r="W1847" s="6">
        <f t="shared" ref="W1847:W1852" si="1155">+H1847</f>
        <v>0</v>
      </c>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X1847" s="6"/>
      <c r="AY1847" s="6"/>
      <c r="BA1847" s="6"/>
      <c r="BB1847" s="6"/>
      <c r="BC1847" s="6"/>
      <c r="BD1847" s="6">
        <f t="shared" si="1143"/>
        <v>0</v>
      </c>
      <c r="BE1847" s="1191"/>
      <c r="BF1847" s="1191"/>
      <c r="BG1847" s="1191"/>
      <c r="BH1847" s="1191"/>
      <c r="BI1847" s="1191"/>
      <c r="BJ1847" s="1191"/>
      <c r="BK1847" s="1190">
        <f t="shared" si="1144"/>
        <v>0</v>
      </c>
      <c r="BL1847" s="1191"/>
      <c r="BM1847" s="1191"/>
      <c r="BN1847" s="1191"/>
      <c r="BO1847" s="1191"/>
      <c r="BP1847" s="1509"/>
      <c r="BQ1847" s="1191"/>
      <c r="BR1847" s="1191"/>
      <c r="BS1847" s="1509"/>
      <c r="BT1847" s="1191"/>
      <c r="BU1847" s="1191"/>
      <c r="BV1847" s="1191"/>
      <c r="BW1847" s="1191"/>
      <c r="BX1847" s="1191"/>
      <c r="BY1847" s="1191"/>
      <c r="BZ1847" s="1191"/>
      <c r="CA1847" s="1191"/>
      <c r="CB1847" s="1191"/>
      <c r="CC1847" s="1509"/>
      <c r="CD1847" s="1509"/>
      <c r="CE1847" s="1509"/>
      <c r="CF1847" s="1509"/>
      <c r="CG1847" s="1509"/>
      <c r="CH1847" s="1509"/>
      <c r="CI1847" s="1191"/>
      <c r="CM1847" s="1139">
        <f t="shared" si="1132"/>
        <v>0</v>
      </c>
      <c r="CN1847" s="1139">
        <v>0</v>
      </c>
      <c r="CP1847" s="923">
        <f t="shared" si="1131"/>
        <v>0</v>
      </c>
      <c r="CZ1847" s="330"/>
    </row>
    <row r="1848" spans="1:104" ht="15" customHeight="1" x14ac:dyDescent="0.25">
      <c r="A1848" s="684">
        <f>MAX($A$6:A1847)+1</f>
        <v>1848</v>
      </c>
      <c r="B1848" s="1060">
        <f t="shared" ref="B1848:C1852" si="1156">B1847</f>
        <v>50</v>
      </c>
      <c r="C1848" s="292" t="str">
        <f t="shared" si="1156"/>
        <v>Staff Data</v>
      </c>
      <c r="D1848" s="11" t="s">
        <v>153</v>
      </c>
      <c r="E1848" s="7" t="s">
        <v>471</v>
      </c>
      <c r="F1848" s="7"/>
      <c r="G1848" s="1254" t="s">
        <v>153</v>
      </c>
      <c r="H1848" s="6">
        <v>0</v>
      </c>
      <c r="I1848" s="6"/>
      <c r="J1848" s="1271" t="s">
        <v>153</v>
      </c>
      <c r="K1848" s="946"/>
      <c r="L1848" s="251"/>
      <c r="M1848" s="2"/>
      <c r="N1848" s="273">
        <f t="shared" si="1150"/>
        <v>0</v>
      </c>
      <c r="O1848" s="12"/>
      <c r="P1848" s="12"/>
      <c r="Q1848" s="12"/>
      <c r="R1848" s="12"/>
      <c r="S1848" s="6">
        <f t="shared" si="1153"/>
        <v>0</v>
      </c>
      <c r="T1848" s="273">
        <f>ROUND(SUM(U1848:Y1848),0)</f>
        <v>0</v>
      </c>
      <c r="U1848" s="6">
        <f t="shared" si="1154"/>
        <v>0</v>
      </c>
      <c r="V1848" s="6"/>
      <c r="W1848" s="6">
        <f t="shared" si="1155"/>
        <v>0</v>
      </c>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X1848" s="6"/>
      <c r="AY1848" s="6"/>
      <c r="BA1848" s="6"/>
      <c r="BB1848" s="6"/>
      <c r="BC1848" s="6"/>
      <c r="BD1848" s="6">
        <f t="shared" si="1143"/>
        <v>0</v>
      </c>
      <c r="BE1848" s="1191"/>
      <c r="BF1848" s="1191"/>
      <c r="BG1848" s="1191"/>
      <c r="BH1848" s="1191"/>
      <c r="BI1848" s="1191"/>
      <c r="BJ1848" s="1191"/>
      <c r="BK1848" s="1190">
        <f t="shared" si="1144"/>
        <v>0</v>
      </c>
      <c r="BL1848" s="1191"/>
      <c r="BM1848" s="1191"/>
      <c r="BN1848" s="1191"/>
      <c r="BO1848" s="1191"/>
      <c r="BP1848" s="1191"/>
      <c r="BQ1848" s="1191"/>
      <c r="BR1848" s="1191"/>
      <c r="BS1848" s="1191"/>
      <c r="BT1848" s="1191"/>
      <c r="BU1848" s="1191"/>
      <c r="BV1848" s="1191"/>
      <c r="BW1848" s="1191"/>
      <c r="BX1848" s="1191"/>
      <c r="BY1848" s="1191"/>
      <c r="BZ1848" s="1191"/>
      <c r="CA1848" s="1191"/>
      <c r="CB1848" s="1191"/>
      <c r="CC1848" s="1191"/>
      <c r="CD1848" s="1191"/>
      <c r="CE1848" s="1191"/>
      <c r="CF1848" s="1191"/>
      <c r="CG1848" s="1191"/>
      <c r="CH1848" s="1191"/>
      <c r="CI1848" s="1191"/>
      <c r="CM1848" s="1139">
        <f t="shared" si="1132"/>
        <v>0</v>
      </c>
      <c r="CN1848" s="1139">
        <v>0</v>
      </c>
      <c r="CP1848" s="923">
        <f t="shared" si="1131"/>
        <v>0</v>
      </c>
      <c r="CZ1848" s="330"/>
    </row>
    <row r="1849" spans="1:104" ht="15" customHeight="1" x14ac:dyDescent="0.25">
      <c r="A1849" s="684">
        <f>MAX($A$6:A1848)+1</f>
        <v>1849</v>
      </c>
      <c r="B1849" s="1060">
        <f t="shared" si="1156"/>
        <v>50</v>
      </c>
      <c r="C1849" s="292" t="str">
        <f t="shared" si="1156"/>
        <v>Staff Data</v>
      </c>
      <c r="D1849" s="11" t="s">
        <v>154</v>
      </c>
      <c r="E1849" s="7" t="s">
        <v>471</v>
      </c>
      <c r="F1849" s="7"/>
      <c r="G1849" s="1254" t="s">
        <v>154</v>
      </c>
      <c r="H1849" s="6">
        <v>0</v>
      </c>
      <c r="I1849" s="6"/>
      <c r="J1849" s="1271" t="s">
        <v>154</v>
      </c>
      <c r="K1849" s="946"/>
      <c r="L1849" s="251"/>
      <c r="M1849" s="2"/>
      <c r="N1849" s="273">
        <f t="shared" si="1150"/>
        <v>0</v>
      </c>
      <c r="O1849" s="12"/>
      <c r="P1849" s="12"/>
      <c r="Q1849" s="12"/>
      <c r="R1849" s="12"/>
      <c r="S1849" s="6">
        <f t="shared" si="1153"/>
        <v>0</v>
      </c>
      <c r="T1849" s="273">
        <f>ROUND(SUM(U1849:Y1849),0)</f>
        <v>0</v>
      </c>
      <c r="U1849" s="6">
        <f t="shared" si="1154"/>
        <v>0</v>
      </c>
      <c r="V1849" s="6"/>
      <c r="W1849" s="6">
        <f t="shared" si="1155"/>
        <v>0</v>
      </c>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X1849" s="6"/>
      <c r="AY1849" s="6"/>
      <c r="BA1849" s="6"/>
      <c r="BB1849" s="6"/>
      <c r="BC1849" s="6"/>
      <c r="BD1849" s="6">
        <f t="shared" si="1143"/>
        <v>0</v>
      </c>
      <c r="BE1849" s="1191"/>
      <c r="BF1849" s="1191"/>
      <c r="BG1849" s="1191"/>
      <c r="BH1849" s="1191"/>
      <c r="BI1849" s="1191"/>
      <c r="BJ1849" s="1191"/>
      <c r="BK1849" s="1190">
        <f t="shared" si="1144"/>
        <v>0</v>
      </c>
      <c r="BL1849" s="1191"/>
      <c r="BM1849" s="1191"/>
      <c r="BN1849" s="1191"/>
      <c r="BO1849" s="1191"/>
      <c r="BP1849" s="1191"/>
      <c r="BQ1849" s="1191"/>
      <c r="BR1849" s="1191"/>
      <c r="BS1849" s="1191"/>
      <c r="BT1849" s="1191"/>
      <c r="BU1849" s="1191"/>
      <c r="BV1849" s="1191"/>
      <c r="BW1849" s="1191"/>
      <c r="BX1849" s="1191"/>
      <c r="BY1849" s="1191"/>
      <c r="BZ1849" s="1191"/>
      <c r="CA1849" s="1191"/>
      <c r="CB1849" s="1191"/>
      <c r="CC1849" s="1191"/>
      <c r="CD1849" s="1191"/>
      <c r="CE1849" s="1191"/>
      <c r="CF1849" s="1191"/>
      <c r="CG1849" s="1191"/>
      <c r="CH1849" s="1191"/>
      <c r="CI1849" s="1191"/>
      <c r="CM1849" s="1139">
        <f t="shared" si="1132"/>
        <v>0</v>
      </c>
      <c r="CN1849" s="1139">
        <v>0</v>
      </c>
      <c r="CP1849" s="923">
        <f t="shared" si="1131"/>
        <v>0</v>
      </c>
      <c r="CZ1849" s="330"/>
    </row>
    <row r="1850" spans="1:104" ht="15" customHeight="1" x14ac:dyDescent="0.25">
      <c r="A1850" s="684">
        <f>MAX($A$6:A1849)+1</f>
        <v>1850</v>
      </c>
      <c r="B1850" s="1060">
        <f t="shared" si="1156"/>
        <v>50</v>
      </c>
      <c r="C1850" s="292" t="str">
        <f t="shared" si="1156"/>
        <v>Staff Data</v>
      </c>
      <c r="D1850" s="11" t="s">
        <v>369</v>
      </c>
      <c r="E1850" s="7" t="s">
        <v>471</v>
      </c>
      <c r="F1850" s="7"/>
      <c r="G1850" s="1254" t="s">
        <v>472</v>
      </c>
      <c r="H1850" s="6">
        <v>0</v>
      </c>
      <c r="I1850" s="6"/>
      <c r="J1850" s="1271" t="s">
        <v>371</v>
      </c>
      <c r="K1850" s="946"/>
      <c r="L1850" s="251"/>
      <c r="M1850" s="2"/>
      <c r="N1850" s="273">
        <f t="shared" si="1150"/>
        <v>0</v>
      </c>
      <c r="O1850" s="12"/>
      <c r="P1850" s="12"/>
      <c r="Q1850" s="12"/>
      <c r="R1850" s="12"/>
      <c r="S1850" s="6">
        <f t="shared" si="1153"/>
        <v>0</v>
      </c>
      <c r="T1850" s="273">
        <f>ROUND(SUM(U1850:Y1850),0)</f>
        <v>0</v>
      </c>
      <c r="U1850" s="6">
        <f t="shared" si="1154"/>
        <v>0</v>
      </c>
      <c r="V1850" s="6"/>
      <c r="W1850" s="6">
        <f t="shared" si="1155"/>
        <v>0</v>
      </c>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X1850" s="6"/>
      <c r="AY1850" s="6"/>
      <c r="BA1850" s="6"/>
      <c r="BB1850" s="6"/>
      <c r="BC1850" s="6"/>
      <c r="BD1850" s="6">
        <f t="shared" si="1143"/>
        <v>0</v>
      </c>
      <c r="BE1850" s="1191"/>
      <c r="BF1850" s="1191"/>
      <c r="BG1850" s="1191"/>
      <c r="BH1850" s="1191"/>
      <c r="BI1850" s="1191"/>
      <c r="BJ1850" s="1191"/>
      <c r="BK1850" s="1190">
        <f t="shared" ref="BK1850:BK1913" si="1157">ROUND(SUM(BO1850:CI1850),0)</f>
        <v>0</v>
      </c>
      <c r="BL1850" s="1191"/>
      <c r="BM1850" s="1191"/>
      <c r="BN1850" s="1191"/>
      <c r="BO1850" s="1191"/>
      <c r="BP1850" s="1191"/>
      <c r="BQ1850" s="1191"/>
      <c r="BR1850" s="1191"/>
      <c r="BS1850" s="1191"/>
      <c r="BT1850" s="1191"/>
      <c r="BU1850" s="1191"/>
      <c r="BV1850" s="1191"/>
      <c r="BW1850" s="1191"/>
      <c r="BX1850" s="1191"/>
      <c r="BY1850" s="1191"/>
      <c r="BZ1850" s="1191"/>
      <c r="CA1850" s="1191"/>
      <c r="CB1850" s="1191"/>
      <c r="CC1850" s="1191"/>
      <c r="CD1850" s="1191"/>
      <c r="CE1850" s="1191"/>
      <c r="CF1850" s="1191"/>
      <c r="CG1850" s="1191"/>
      <c r="CH1850" s="1191"/>
      <c r="CI1850" s="1191"/>
      <c r="CM1850" s="1139">
        <f t="shared" si="1132"/>
        <v>0</v>
      </c>
      <c r="CN1850" s="1139">
        <v>0</v>
      </c>
      <c r="CP1850" s="923">
        <f t="shared" si="1131"/>
        <v>0</v>
      </c>
      <c r="CZ1850" s="330"/>
    </row>
    <row r="1851" spans="1:104" ht="25.5" customHeight="1" x14ac:dyDescent="0.25">
      <c r="A1851" s="684">
        <f>MAX($A$6:A1850)+1</f>
        <v>1851</v>
      </c>
      <c r="B1851" s="1060">
        <f t="shared" si="1156"/>
        <v>50</v>
      </c>
      <c r="C1851" s="292" t="str">
        <f t="shared" si="1156"/>
        <v>Staff Data</v>
      </c>
      <c r="D1851" s="11" t="s">
        <v>370</v>
      </c>
      <c r="E1851" s="1254" t="s">
        <v>370</v>
      </c>
      <c r="F1851" s="7"/>
      <c r="G1851" s="1254" t="str">
        <f>G1843</f>
        <v>Subtotal</v>
      </c>
      <c r="H1851" s="1190"/>
      <c r="I1851" s="1190"/>
      <c r="J1851" s="1271" t="s">
        <v>1702</v>
      </c>
      <c r="K1851" s="946"/>
      <c r="L1851" s="266"/>
      <c r="M1851" s="2"/>
      <c r="N1851" s="273">
        <f t="shared" si="1150"/>
        <v>0</v>
      </c>
      <c r="O1851" s="12"/>
      <c r="P1851" s="12"/>
      <c r="Q1851" s="12"/>
      <c r="R1851" s="12"/>
      <c r="S1851" s="6">
        <f t="shared" si="1153"/>
        <v>0</v>
      </c>
      <c r="T1851" s="273">
        <f>ROUND(SUM(U1851:Y1851),0)-W1851-W1851</f>
        <v>0</v>
      </c>
      <c r="U1851" s="6">
        <f t="shared" si="1154"/>
        <v>0</v>
      </c>
      <c r="V1851" s="6"/>
      <c r="W1851" s="6">
        <f t="shared" si="1155"/>
        <v>0</v>
      </c>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X1851" s="6"/>
      <c r="AY1851" s="6"/>
      <c r="BA1851" s="6"/>
      <c r="BB1851" s="6"/>
      <c r="BC1851" s="6"/>
      <c r="BD1851" s="6">
        <f t="shared" si="1143"/>
        <v>0</v>
      </c>
      <c r="BE1851" s="1191"/>
      <c r="BF1851" s="1191"/>
      <c r="BG1851" s="1191"/>
      <c r="BH1851" s="1191"/>
      <c r="BI1851" s="1191"/>
      <c r="BJ1851" s="1191"/>
      <c r="BK1851" s="1190">
        <f t="shared" si="1157"/>
        <v>0</v>
      </c>
      <c r="BL1851" s="1191"/>
      <c r="BM1851" s="1191"/>
      <c r="BN1851" s="1191"/>
      <c r="BO1851" s="1191"/>
      <c r="BP1851" s="1191"/>
      <c r="BQ1851" s="1191"/>
      <c r="BR1851" s="1191"/>
      <c r="BS1851" s="1191"/>
      <c r="BT1851" s="1191"/>
      <c r="BU1851" s="1191"/>
      <c r="BV1851" s="1191"/>
      <c r="BW1851" s="1191"/>
      <c r="BX1851" s="1191"/>
      <c r="BY1851" s="1191"/>
      <c r="BZ1851" s="1191"/>
      <c r="CA1851" s="1191"/>
      <c r="CB1851" s="1191"/>
      <c r="CC1851" s="1191"/>
      <c r="CD1851" s="1191"/>
      <c r="CE1851" s="1191"/>
      <c r="CF1851" s="1191"/>
      <c r="CG1851" s="1191"/>
      <c r="CH1851" s="1191"/>
      <c r="CI1851" s="1191"/>
      <c r="CM1851" s="1139">
        <f t="shared" si="1132"/>
        <v>0</v>
      </c>
      <c r="CN1851" s="1139">
        <v>0</v>
      </c>
      <c r="CP1851" s="923">
        <f t="shared" si="1131"/>
        <v>0</v>
      </c>
      <c r="CZ1851" s="330"/>
    </row>
    <row r="1852" spans="1:104" ht="15" customHeight="1" x14ac:dyDescent="0.25">
      <c r="A1852" s="684">
        <f>MAX($A$6:A1851)+1</f>
        <v>1852</v>
      </c>
      <c r="B1852" s="1060">
        <f t="shared" si="1156"/>
        <v>50</v>
      </c>
      <c r="C1852" s="292" t="str">
        <f t="shared" si="1156"/>
        <v>Staff Data</v>
      </c>
      <c r="D1852" s="11" t="s">
        <v>371</v>
      </c>
      <c r="E1852" s="7" t="s">
        <v>471</v>
      </c>
      <c r="F1852" s="7"/>
      <c r="G1852" s="1254" t="s">
        <v>474</v>
      </c>
      <c r="H1852" s="6">
        <v>0</v>
      </c>
      <c r="I1852" s="6"/>
      <c r="J1852" s="1271" t="s">
        <v>479</v>
      </c>
      <c r="K1852" s="946"/>
      <c r="L1852" s="251"/>
      <c r="M1852" s="2"/>
      <c r="N1852" s="273">
        <f t="shared" si="1150"/>
        <v>0</v>
      </c>
      <c r="O1852" s="12"/>
      <c r="P1852" s="12"/>
      <c r="Q1852" s="12"/>
      <c r="R1852" s="12"/>
      <c r="S1852" s="6">
        <f t="shared" si="1153"/>
        <v>0</v>
      </c>
      <c r="T1852" s="273">
        <f>ROUND(SUM(U1852:Y1852),0)</f>
        <v>0</v>
      </c>
      <c r="U1852" s="6">
        <f t="shared" si="1154"/>
        <v>0</v>
      </c>
      <c r="V1852" s="6"/>
      <c r="W1852" s="6">
        <f t="shared" si="1155"/>
        <v>0</v>
      </c>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X1852" s="6"/>
      <c r="AY1852" s="6"/>
      <c r="BA1852" s="6"/>
      <c r="BB1852" s="6"/>
      <c r="BC1852" s="6"/>
      <c r="BD1852" s="6">
        <f t="shared" si="1143"/>
        <v>0</v>
      </c>
      <c r="BE1852" s="1191"/>
      <c r="BF1852" s="1191"/>
      <c r="BG1852" s="1191"/>
      <c r="BH1852" s="1191"/>
      <c r="BI1852" s="1191"/>
      <c r="BJ1852" s="1191"/>
      <c r="BK1852" s="1190">
        <f t="shared" si="1157"/>
        <v>0</v>
      </c>
      <c r="BL1852" s="1191"/>
      <c r="BM1852" s="1191"/>
      <c r="BN1852" s="1191"/>
      <c r="BO1852" s="1191"/>
      <c r="BP1852" s="1191"/>
      <c r="BQ1852" s="1191"/>
      <c r="BR1852" s="1191"/>
      <c r="BS1852" s="1191"/>
      <c r="BT1852" s="1191"/>
      <c r="BU1852" s="1191"/>
      <c r="BV1852" s="1191"/>
      <c r="BW1852" s="1191"/>
      <c r="BX1852" s="1191"/>
      <c r="BY1852" s="1191"/>
      <c r="BZ1852" s="1191"/>
      <c r="CA1852" s="1191"/>
      <c r="CB1852" s="1191"/>
      <c r="CC1852" s="1191"/>
      <c r="CD1852" s="1191"/>
      <c r="CE1852" s="1191"/>
      <c r="CF1852" s="1191"/>
      <c r="CG1852" s="1191"/>
      <c r="CH1852" s="1191"/>
      <c r="CI1852" s="1191"/>
      <c r="CM1852" s="1139">
        <f t="shared" si="1132"/>
        <v>0</v>
      </c>
      <c r="CN1852" s="1139">
        <v>0</v>
      </c>
      <c r="CP1852" s="923">
        <f t="shared" si="1131"/>
        <v>0</v>
      </c>
      <c r="CZ1852" s="330"/>
    </row>
    <row r="1853" spans="1:104" ht="15" customHeight="1" x14ac:dyDescent="0.25">
      <c r="A1853" s="684">
        <f>MAX($A$6:A1852)+1</f>
        <v>1853</v>
      </c>
      <c r="B1853" s="1060">
        <f>B1845</f>
        <v>50</v>
      </c>
      <c r="C1853" s="292" t="str">
        <f>C1845</f>
        <v>Staff Data</v>
      </c>
      <c r="D1853" s="11" t="s">
        <v>372</v>
      </c>
      <c r="E1853" s="7" t="s">
        <v>471</v>
      </c>
      <c r="F1853" s="7"/>
      <c r="G1853" s="1254" t="s">
        <v>286</v>
      </c>
      <c r="H1853" s="6"/>
      <c r="I1853" s="6"/>
      <c r="J1853" s="1272" t="s">
        <v>1830</v>
      </c>
      <c r="K1853" s="946"/>
      <c r="L1853" s="251"/>
      <c r="M1853" s="2"/>
      <c r="N1853" s="273">
        <f t="shared" si="1150"/>
        <v>0</v>
      </c>
      <c r="O1853" s="12"/>
      <c r="P1853" s="12"/>
      <c r="Q1853" s="12"/>
      <c r="R1853" s="12"/>
      <c r="S1853" s="6">
        <f>IF(ISNUMBER(BD1853),BD1853,0)</f>
        <v>0</v>
      </c>
      <c r="T1853" s="273">
        <f>ROUND(SUM(U1853:Y1853),0)</f>
        <v>0</v>
      </c>
      <c r="U1853" s="6">
        <f>SUM(BL1853:BN1853)</f>
        <v>0</v>
      </c>
      <c r="V1853" s="6"/>
      <c r="W1853" s="6">
        <f>+H1853</f>
        <v>0</v>
      </c>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X1853" s="6"/>
      <c r="AY1853" s="6"/>
      <c r="BA1853" s="6"/>
      <c r="BB1853" s="6"/>
      <c r="BC1853" s="6"/>
      <c r="BD1853" s="6">
        <f t="shared" si="1143"/>
        <v>0</v>
      </c>
      <c r="BE1853" s="1191"/>
      <c r="BF1853" s="1191"/>
      <c r="BG1853" s="1191"/>
      <c r="BH1853" s="1191"/>
      <c r="BI1853" s="1191"/>
      <c r="BJ1853" s="1191"/>
      <c r="BK1853" s="1190">
        <f t="shared" si="1157"/>
        <v>0</v>
      </c>
      <c r="BL1853" s="1191"/>
      <c r="BM1853" s="1191"/>
      <c r="BN1853" s="1191"/>
      <c r="BO1853" s="1191"/>
      <c r="BP1853" s="1191"/>
      <c r="BQ1853" s="1191"/>
      <c r="BR1853" s="1191"/>
      <c r="BS1853" s="1191"/>
      <c r="BT1853" s="1191"/>
      <c r="BU1853" s="1191"/>
      <c r="BV1853" s="1191"/>
      <c r="BW1853" s="1191"/>
      <c r="BX1853" s="1191"/>
      <c r="BY1853" s="1191"/>
      <c r="BZ1853" s="1191"/>
      <c r="CA1853" s="1191"/>
      <c r="CB1853" s="1191"/>
      <c r="CC1853" s="1191"/>
      <c r="CD1853" s="1191"/>
      <c r="CE1853" s="1191"/>
      <c r="CF1853" s="1191"/>
      <c r="CG1853" s="1191"/>
      <c r="CH1853" s="1191"/>
      <c r="CI1853" s="1191"/>
      <c r="CM1853" s="1139">
        <f t="shared" si="1132"/>
        <v>0</v>
      </c>
      <c r="CN1853" s="1139">
        <v>0</v>
      </c>
      <c r="CP1853" s="923">
        <f t="shared" si="1131"/>
        <v>0</v>
      </c>
      <c r="CZ1853" s="330"/>
    </row>
    <row r="1854" spans="1:104" ht="15" customHeight="1" x14ac:dyDescent="0.25">
      <c r="A1854" s="684">
        <f>MAX($A$6:A1853)+1</f>
        <v>1854</v>
      </c>
      <c r="B1854" s="1060">
        <f>B1853</f>
        <v>50</v>
      </c>
      <c r="C1854" s="292" t="str">
        <f>C1853</f>
        <v>Staff Data</v>
      </c>
      <c r="D1854" s="11" t="s">
        <v>389</v>
      </c>
      <c r="E1854" s="7" t="s">
        <v>374</v>
      </c>
      <c r="F1854" s="7"/>
      <c r="G1854" s="1254" t="s">
        <v>286</v>
      </c>
      <c r="H1854" s="6"/>
      <c r="I1854" s="6"/>
      <c r="J1854" s="1270" t="s">
        <v>374</v>
      </c>
      <c r="K1854" s="946">
        <f>SUMIF('alb A - Staff data'!$A:$A,$J1854,'alb A - Staff data'!$C:$C)</f>
        <v>0</v>
      </c>
      <c r="L1854" s="251">
        <f>SUMIF('alb A - Staff data'!$A:$A,$J1854,'alb A - Staff data'!$H:$H)</f>
        <v>0</v>
      </c>
      <c r="M1854" s="2"/>
      <c r="N1854" s="273">
        <f t="shared" si="1150"/>
        <v>0</v>
      </c>
      <c r="O1854" s="12"/>
      <c r="P1854" s="12"/>
      <c r="Q1854" s="12"/>
      <c r="R1854" s="12"/>
      <c r="S1854" s="6"/>
      <c r="T1854" s="273">
        <f t="shared" si="1142"/>
        <v>0</v>
      </c>
      <c r="U1854" s="6">
        <f t="shared" si="1152"/>
        <v>0</v>
      </c>
      <c r="V1854" s="6"/>
      <c r="W1854" s="6">
        <f t="shared" si="1148"/>
        <v>0</v>
      </c>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X1854" s="6"/>
      <c r="AY1854" s="6"/>
      <c r="BA1854" s="6"/>
      <c r="BB1854" s="6"/>
      <c r="BC1854" s="6"/>
      <c r="BD1854" s="6">
        <f t="shared" si="1143"/>
        <v>0</v>
      </c>
      <c r="BE1854" s="1191"/>
      <c r="BF1854" s="1191"/>
      <c r="BG1854" s="1191"/>
      <c r="BH1854" s="1191"/>
      <c r="BI1854" s="1191"/>
      <c r="BJ1854" s="1191"/>
      <c r="BK1854" s="1190">
        <f t="shared" si="1157"/>
        <v>0</v>
      </c>
      <c r="BL1854" s="1191"/>
      <c r="BM1854" s="1191"/>
      <c r="BN1854" s="1191"/>
      <c r="BO1854" s="1191"/>
      <c r="BP1854" s="1191"/>
      <c r="BQ1854" s="1191"/>
      <c r="BR1854" s="1191"/>
      <c r="BS1854" s="1191"/>
      <c r="BT1854" s="1191"/>
      <c r="BU1854" s="1191"/>
      <c r="BV1854" s="1191"/>
      <c r="BW1854" s="1191"/>
      <c r="BX1854" s="1191"/>
      <c r="BY1854" s="1191"/>
      <c r="BZ1854" s="1191"/>
      <c r="CA1854" s="1191"/>
      <c r="CB1854" s="1191"/>
      <c r="CC1854" s="1191"/>
      <c r="CD1854" s="1191"/>
      <c r="CE1854" s="1191"/>
      <c r="CF1854" s="1191"/>
      <c r="CG1854" s="1191"/>
      <c r="CH1854" s="1191"/>
      <c r="CI1854" s="1191"/>
      <c r="CM1854" s="1139">
        <f t="shared" si="1132"/>
        <v>0</v>
      </c>
      <c r="CN1854" s="1139">
        <v>0</v>
      </c>
      <c r="CP1854" s="923">
        <f t="shared" si="1131"/>
        <v>0</v>
      </c>
      <c r="CZ1854" s="330"/>
    </row>
    <row r="1855" spans="1:104" ht="15" customHeight="1" x14ac:dyDescent="0.25">
      <c r="A1855" s="684">
        <f>MAX($A$6:A1854)+1</f>
        <v>1855</v>
      </c>
      <c r="B1855" s="1060">
        <f t="shared" ref="B1855:C1860" si="1158">B1854</f>
        <v>50</v>
      </c>
      <c r="C1855" s="292" t="str">
        <f t="shared" si="1158"/>
        <v>Staff Data</v>
      </c>
      <c r="D1855" s="11" t="s">
        <v>389</v>
      </c>
      <c r="E1855" s="7" t="s">
        <v>375</v>
      </c>
      <c r="F1855" s="7"/>
      <c r="G1855" s="1254" t="s">
        <v>286</v>
      </c>
      <c r="H1855" s="6"/>
      <c r="I1855" s="6"/>
      <c r="J1855" s="1271" t="s">
        <v>375</v>
      </c>
      <c r="K1855" s="946">
        <f>SUMIF('alb A - Staff data'!$A:$A,$J1855,'alb A - Staff data'!$C:$C)</f>
        <v>0</v>
      </c>
      <c r="L1855" s="251">
        <f>SUMIF('alb A - Staff data'!$A:$A,$J1855,'alb A - Staff data'!$H:$H)</f>
        <v>0</v>
      </c>
      <c r="M1855" s="2"/>
      <c r="N1855" s="273">
        <f t="shared" si="1150"/>
        <v>0</v>
      </c>
      <c r="O1855" s="12"/>
      <c r="P1855" s="12"/>
      <c r="Q1855" s="12"/>
      <c r="R1855" s="12"/>
      <c r="S1855" s="6"/>
      <c r="T1855" s="273">
        <f t="shared" si="1142"/>
        <v>0</v>
      </c>
      <c r="U1855" s="6">
        <f t="shared" si="1152"/>
        <v>0</v>
      </c>
      <c r="V1855" s="6"/>
      <c r="W1855" s="6">
        <f t="shared" si="1148"/>
        <v>0</v>
      </c>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X1855" s="6"/>
      <c r="AY1855" s="6"/>
      <c r="BA1855" s="6"/>
      <c r="BB1855" s="6"/>
      <c r="BC1855" s="6"/>
      <c r="BD1855" s="6">
        <f t="shared" si="1143"/>
        <v>0</v>
      </c>
      <c r="BE1855" s="1191"/>
      <c r="BF1855" s="1191"/>
      <c r="BG1855" s="1191"/>
      <c r="BH1855" s="1191"/>
      <c r="BI1855" s="1191"/>
      <c r="BJ1855" s="1191"/>
      <c r="BK1855" s="1190">
        <f t="shared" si="1157"/>
        <v>0</v>
      </c>
      <c r="BL1855" s="1191"/>
      <c r="BM1855" s="1191"/>
      <c r="BN1855" s="1191"/>
      <c r="BO1855" s="1191"/>
      <c r="BP1855" s="1191"/>
      <c r="BQ1855" s="1191"/>
      <c r="BR1855" s="1191"/>
      <c r="BS1855" s="1191"/>
      <c r="BT1855" s="1191"/>
      <c r="BU1855" s="1191"/>
      <c r="BV1855" s="1191"/>
      <c r="BW1855" s="1191"/>
      <c r="BX1855" s="1191"/>
      <c r="BY1855" s="1191"/>
      <c r="BZ1855" s="1191"/>
      <c r="CA1855" s="1191"/>
      <c r="CB1855" s="1191"/>
      <c r="CC1855" s="1191"/>
      <c r="CD1855" s="1191"/>
      <c r="CE1855" s="1191"/>
      <c r="CF1855" s="1191"/>
      <c r="CG1855" s="1191"/>
      <c r="CH1855" s="1191"/>
      <c r="CI1855" s="1191"/>
      <c r="CM1855" s="1139">
        <f t="shared" si="1132"/>
        <v>0</v>
      </c>
      <c r="CN1855" s="1139">
        <v>0</v>
      </c>
      <c r="CP1855" s="923">
        <f t="shared" si="1131"/>
        <v>0</v>
      </c>
      <c r="CZ1855" s="330"/>
    </row>
    <row r="1856" spans="1:104" ht="15" customHeight="1" x14ac:dyDescent="0.25">
      <c r="A1856" s="684">
        <f>MAX($A$6:A1855)+1</f>
        <v>1856</v>
      </c>
      <c r="B1856" s="1060">
        <f t="shared" si="1158"/>
        <v>50</v>
      </c>
      <c r="C1856" s="292" t="str">
        <f t="shared" si="1158"/>
        <v>Staff Data</v>
      </c>
      <c r="D1856" s="11" t="s">
        <v>389</v>
      </c>
      <c r="E1856" s="7" t="s">
        <v>376</v>
      </c>
      <c r="F1856" s="7"/>
      <c r="G1856" s="1254" t="s">
        <v>286</v>
      </c>
      <c r="H1856" s="6"/>
      <c r="I1856" s="6"/>
      <c r="J1856" s="1271" t="s">
        <v>376</v>
      </c>
      <c r="K1856" s="946">
        <f>SUMIF('alb A - Staff data'!$A:$A,$J1856,'alb A - Staff data'!$C:$C)</f>
        <v>0</v>
      </c>
      <c r="L1856" s="251">
        <f>SUMIF('alb A - Staff data'!$A:$A,$J1856,'alb A - Staff data'!$H:$H)</f>
        <v>0</v>
      </c>
      <c r="M1856" s="2"/>
      <c r="N1856" s="273">
        <f t="shared" si="1150"/>
        <v>0</v>
      </c>
      <c r="O1856" s="12"/>
      <c r="P1856" s="12"/>
      <c r="Q1856" s="12"/>
      <c r="R1856" s="12"/>
      <c r="S1856" s="6"/>
      <c r="T1856" s="273">
        <f t="shared" si="1142"/>
        <v>0</v>
      </c>
      <c r="U1856" s="6">
        <f t="shared" si="1152"/>
        <v>0</v>
      </c>
      <c r="V1856" s="6"/>
      <c r="W1856" s="6">
        <f t="shared" si="1148"/>
        <v>0</v>
      </c>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X1856" s="6"/>
      <c r="AY1856" s="6"/>
      <c r="BA1856" s="6"/>
      <c r="BB1856" s="6"/>
      <c r="BC1856" s="6"/>
      <c r="BD1856" s="6">
        <f t="shared" si="1143"/>
        <v>0</v>
      </c>
      <c r="BE1856" s="1191"/>
      <c r="BF1856" s="1191"/>
      <c r="BG1856" s="1191"/>
      <c r="BH1856" s="1191"/>
      <c r="BI1856" s="1191"/>
      <c r="BJ1856" s="1191"/>
      <c r="BK1856" s="1190">
        <f t="shared" si="1157"/>
        <v>0</v>
      </c>
      <c r="BL1856" s="1191"/>
      <c r="BM1856" s="1191"/>
      <c r="BN1856" s="1191"/>
      <c r="BO1856" s="1191"/>
      <c r="BP1856" s="1191"/>
      <c r="BQ1856" s="1191"/>
      <c r="BR1856" s="1191"/>
      <c r="BS1856" s="1191"/>
      <c r="BT1856" s="1191"/>
      <c r="BU1856" s="1191"/>
      <c r="BV1856" s="1191"/>
      <c r="BW1856" s="1191"/>
      <c r="BX1856" s="1191"/>
      <c r="BY1856" s="1191"/>
      <c r="BZ1856" s="1191"/>
      <c r="CA1856" s="1191"/>
      <c r="CB1856" s="1191"/>
      <c r="CC1856" s="1191"/>
      <c r="CD1856" s="1191"/>
      <c r="CE1856" s="1191"/>
      <c r="CF1856" s="1191"/>
      <c r="CG1856" s="1191"/>
      <c r="CH1856" s="1191"/>
      <c r="CI1856" s="1191"/>
      <c r="CM1856" s="1139">
        <f t="shared" si="1132"/>
        <v>0</v>
      </c>
      <c r="CN1856" s="1139">
        <v>0</v>
      </c>
      <c r="CP1856" s="923">
        <f t="shared" si="1131"/>
        <v>0</v>
      </c>
      <c r="CZ1856" s="330"/>
    </row>
    <row r="1857" spans="1:104" ht="15" customHeight="1" x14ac:dyDescent="0.25">
      <c r="A1857" s="684">
        <f>MAX($A$6:A1856)+1</f>
        <v>1857</v>
      </c>
      <c r="B1857" s="1060">
        <f t="shared" si="1158"/>
        <v>50</v>
      </c>
      <c r="C1857" s="292" t="str">
        <f t="shared" si="1158"/>
        <v>Staff Data</v>
      </c>
      <c r="D1857" s="11" t="s">
        <v>389</v>
      </c>
      <c r="E1857" s="7" t="s">
        <v>377</v>
      </c>
      <c r="F1857" s="7"/>
      <c r="G1857" s="1254" t="s">
        <v>286</v>
      </c>
      <c r="H1857" s="6"/>
      <c r="I1857" s="6"/>
      <c r="J1857" s="1271" t="s">
        <v>377</v>
      </c>
      <c r="K1857" s="946">
        <f>SUMIF('alb A - Staff data'!$A:$A,$J1857,'alb A - Staff data'!$C:$C)</f>
        <v>0</v>
      </c>
      <c r="L1857" s="251">
        <f>SUMIF('alb A - Staff data'!$A:$A,$J1857,'alb A - Staff data'!$H:$H)</f>
        <v>0</v>
      </c>
      <c r="M1857" s="2"/>
      <c r="N1857" s="273">
        <f t="shared" si="1150"/>
        <v>0</v>
      </c>
      <c r="O1857" s="12"/>
      <c r="P1857" s="12"/>
      <c r="Q1857" s="12"/>
      <c r="R1857" s="12"/>
      <c r="S1857" s="6"/>
      <c r="T1857" s="273">
        <f t="shared" si="1142"/>
        <v>0</v>
      </c>
      <c r="U1857" s="6">
        <f t="shared" si="1152"/>
        <v>0</v>
      </c>
      <c r="V1857" s="6"/>
      <c r="W1857" s="6">
        <f t="shared" si="1148"/>
        <v>0</v>
      </c>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X1857" s="6"/>
      <c r="AY1857" s="6"/>
      <c r="BA1857" s="6"/>
      <c r="BB1857" s="6"/>
      <c r="BC1857" s="6"/>
      <c r="BD1857" s="6">
        <f t="shared" si="1143"/>
        <v>0</v>
      </c>
      <c r="BE1857" s="1191"/>
      <c r="BF1857" s="1191"/>
      <c r="BG1857" s="1191"/>
      <c r="BH1857" s="1191"/>
      <c r="BI1857" s="1191"/>
      <c r="BJ1857" s="1191"/>
      <c r="BK1857" s="1190">
        <f t="shared" si="1157"/>
        <v>0</v>
      </c>
      <c r="BL1857" s="1191"/>
      <c r="BM1857" s="1191"/>
      <c r="BN1857" s="1191"/>
      <c r="BO1857" s="1191"/>
      <c r="BP1857" s="1191"/>
      <c r="BQ1857" s="1191"/>
      <c r="BR1857" s="1191"/>
      <c r="BS1857" s="1191"/>
      <c r="BT1857" s="1191"/>
      <c r="BU1857" s="1191"/>
      <c r="BV1857" s="1191"/>
      <c r="BW1857" s="1191"/>
      <c r="BX1857" s="1191"/>
      <c r="BY1857" s="1191"/>
      <c r="BZ1857" s="1191"/>
      <c r="CA1857" s="1191"/>
      <c r="CB1857" s="1191"/>
      <c r="CC1857" s="1191"/>
      <c r="CD1857" s="1191"/>
      <c r="CE1857" s="1191"/>
      <c r="CF1857" s="1191"/>
      <c r="CG1857" s="1191"/>
      <c r="CH1857" s="1191"/>
      <c r="CI1857" s="1191"/>
      <c r="CM1857" s="1139">
        <f t="shared" si="1132"/>
        <v>0</v>
      </c>
      <c r="CN1857" s="1139">
        <v>0</v>
      </c>
      <c r="CP1857" s="923">
        <f t="shared" ref="CP1857:CP1920" si="1159">-V1857+BL1857+BM1857+BN1857+CM1857</f>
        <v>0</v>
      </c>
      <c r="CZ1857" s="330"/>
    </row>
    <row r="1858" spans="1:104" ht="15" customHeight="1" x14ac:dyDescent="0.25">
      <c r="A1858" s="684">
        <f>MAX($A$6:A1857)+1</f>
        <v>1858</v>
      </c>
      <c r="B1858" s="1060">
        <f t="shared" si="1158"/>
        <v>50</v>
      </c>
      <c r="C1858" s="292" t="str">
        <f t="shared" si="1158"/>
        <v>Staff Data</v>
      </c>
      <c r="D1858" s="11" t="s">
        <v>389</v>
      </c>
      <c r="E1858" s="7" t="s">
        <v>378</v>
      </c>
      <c r="F1858" s="7"/>
      <c r="G1858" s="1254" t="s">
        <v>286</v>
      </c>
      <c r="H1858" s="6">
        <v>0</v>
      </c>
      <c r="I1858" s="6"/>
      <c r="J1858" s="1271" t="s">
        <v>378</v>
      </c>
      <c r="K1858" s="946">
        <f>SUMIF('alb A - Staff data'!$A:$A,$J1858,'alb A - Staff data'!$C:$C)</f>
        <v>0</v>
      </c>
      <c r="L1858" s="251">
        <f>SUMIF('alb A - Staff data'!$A:$A,$J1858,'alb A - Staff data'!$H:$H)</f>
        <v>0</v>
      </c>
      <c r="M1858" s="2"/>
      <c r="N1858" s="273">
        <f t="shared" si="1150"/>
        <v>0</v>
      </c>
      <c r="O1858" s="12"/>
      <c r="P1858" s="12"/>
      <c r="Q1858" s="12"/>
      <c r="R1858" s="12"/>
      <c r="S1858" s="6"/>
      <c r="T1858" s="273">
        <f t="shared" si="1142"/>
        <v>0</v>
      </c>
      <c r="U1858" s="6">
        <f t="shared" si="1152"/>
        <v>0</v>
      </c>
      <c r="V1858" s="6"/>
      <c r="W1858" s="6">
        <f t="shared" si="1148"/>
        <v>0</v>
      </c>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X1858" s="6"/>
      <c r="AY1858" s="6"/>
      <c r="BA1858" s="6"/>
      <c r="BB1858" s="6"/>
      <c r="BC1858" s="6"/>
      <c r="BD1858" s="6">
        <f t="shared" si="1143"/>
        <v>0</v>
      </c>
      <c r="BE1858" s="1191"/>
      <c r="BF1858" s="1191"/>
      <c r="BG1858" s="1191"/>
      <c r="BH1858" s="1191"/>
      <c r="BI1858" s="1191"/>
      <c r="BJ1858" s="1191"/>
      <c r="BK1858" s="1190">
        <f t="shared" si="1157"/>
        <v>0</v>
      </c>
      <c r="BL1858" s="1191"/>
      <c r="BM1858" s="1191"/>
      <c r="BN1858" s="1191"/>
      <c r="BO1858" s="1191"/>
      <c r="BP1858" s="1191"/>
      <c r="BQ1858" s="1191"/>
      <c r="BR1858" s="1191"/>
      <c r="BS1858" s="1191"/>
      <c r="BT1858" s="1191"/>
      <c r="BU1858" s="1191"/>
      <c r="BV1858" s="1191"/>
      <c r="BW1858" s="1191"/>
      <c r="BX1858" s="1191"/>
      <c r="BY1858" s="1191"/>
      <c r="BZ1858" s="1191"/>
      <c r="CA1858" s="1191"/>
      <c r="CB1858" s="1191"/>
      <c r="CC1858" s="1191"/>
      <c r="CD1858" s="1191"/>
      <c r="CE1858" s="1191"/>
      <c r="CF1858" s="1191"/>
      <c r="CG1858" s="1191"/>
      <c r="CH1858" s="1191"/>
      <c r="CI1858" s="1191"/>
      <c r="CM1858" s="1139">
        <f t="shared" ref="CM1858:CM1921" si="1160">+U1858+V1858</f>
        <v>0</v>
      </c>
      <c r="CN1858" s="1139">
        <v>1</v>
      </c>
      <c r="CP1858" s="923">
        <f t="shared" si="1159"/>
        <v>0</v>
      </c>
      <c r="CZ1858" s="330"/>
    </row>
    <row r="1859" spans="1:104" ht="15" customHeight="1" x14ac:dyDescent="0.25">
      <c r="A1859" s="684">
        <f>MAX($A$6:A1858)+1</f>
        <v>1859</v>
      </c>
      <c r="B1859" s="1060">
        <f t="shared" si="1158"/>
        <v>50</v>
      </c>
      <c r="C1859" s="292" t="str">
        <f t="shared" si="1158"/>
        <v>Staff Data</v>
      </c>
      <c r="D1859" s="11" t="s">
        <v>389</v>
      </c>
      <c r="E1859" s="7" t="s">
        <v>379</v>
      </c>
      <c r="F1859" s="7"/>
      <c r="G1859" s="1254" t="s">
        <v>286</v>
      </c>
      <c r="H1859" s="6"/>
      <c r="I1859" s="6"/>
      <c r="J1859" s="1271" t="s">
        <v>379</v>
      </c>
      <c r="K1859" s="946">
        <f>SUMIF('alb A - Staff data'!$A:$A,$J1859,'alb A - Staff data'!$C:$C)</f>
        <v>0</v>
      </c>
      <c r="L1859" s="251">
        <f>SUMIF('alb A - Staff data'!$A:$A,$J1859,'alb A - Staff data'!$H:$H)</f>
        <v>0</v>
      </c>
      <c r="M1859" s="2"/>
      <c r="N1859" s="273">
        <f t="shared" si="1150"/>
        <v>0</v>
      </c>
      <c r="O1859" s="12"/>
      <c r="P1859" s="12"/>
      <c r="Q1859" s="12"/>
      <c r="R1859" s="12"/>
      <c r="S1859" s="6"/>
      <c r="T1859" s="273">
        <f t="shared" si="1142"/>
        <v>0</v>
      </c>
      <c r="U1859" s="6">
        <f t="shared" si="1152"/>
        <v>0</v>
      </c>
      <c r="V1859" s="6"/>
      <c r="W1859" s="6">
        <f t="shared" si="1148"/>
        <v>0</v>
      </c>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X1859" s="6"/>
      <c r="AY1859" s="6"/>
      <c r="BA1859" s="6"/>
      <c r="BB1859" s="6"/>
      <c r="BC1859" s="6"/>
      <c r="BD1859" s="6">
        <f t="shared" si="1143"/>
        <v>0</v>
      </c>
      <c r="BE1859" s="1191"/>
      <c r="BF1859" s="1191"/>
      <c r="BG1859" s="1191"/>
      <c r="BH1859" s="1191"/>
      <c r="BI1859" s="1191"/>
      <c r="BJ1859" s="1191"/>
      <c r="BK1859" s="1190">
        <f t="shared" si="1157"/>
        <v>0</v>
      </c>
      <c r="BL1859" s="1191"/>
      <c r="BM1859" s="1191"/>
      <c r="BN1859" s="1191"/>
      <c r="BO1859" s="1191"/>
      <c r="BP1859" s="1191"/>
      <c r="BQ1859" s="1191"/>
      <c r="BR1859" s="1191"/>
      <c r="BS1859" s="1191"/>
      <c r="BT1859" s="1191"/>
      <c r="BU1859" s="1191"/>
      <c r="BV1859" s="1191"/>
      <c r="BW1859" s="1191"/>
      <c r="BX1859" s="1191"/>
      <c r="BY1859" s="1191"/>
      <c r="BZ1859" s="1191"/>
      <c r="CA1859" s="1191"/>
      <c r="CB1859" s="1191"/>
      <c r="CC1859" s="1191"/>
      <c r="CD1859" s="1191"/>
      <c r="CE1859" s="1191"/>
      <c r="CF1859" s="1191"/>
      <c r="CG1859" s="1191"/>
      <c r="CH1859" s="1191"/>
      <c r="CI1859" s="1191"/>
      <c r="CM1859" s="1139">
        <f t="shared" si="1160"/>
        <v>0</v>
      </c>
      <c r="CN1859" s="1139">
        <v>0</v>
      </c>
      <c r="CP1859" s="923">
        <f t="shared" si="1159"/>
        <v>0</v>
      </c>
      <c r="CZ1859" s="330"/>
    </row>
    <row r="1860" spans="1:104" ht="15" customHeight="1" x14ac:dyDescent="0.25">
      <c r="A1860" s="684">
        <f>MAX($A$6:A1859)+1</f>
        <v>1860</v>
      </c>
      <c r="B1860" s="1060">
        <f t="shared" si="1158"/>
        <v>50</v>
      </c>
      <c r="C1860" s="292" t="str">
        <f t="shared" si="1158"/>
        <v>Staff Data</v>
      </c>
      <c r="D1860" s="11" t="s">
        <v>389</v>
      </c>
      <c r="E1860" s="7" t="s">
        <v>2086</v>
      </c>
      <c r="F1860" s="7"/>
      <c r="G1860" s="1254" t="s">
        <v>286</v>
      </c>
      <c r="H1860" s="6"/>
      <c r="I1860" s="6"/>
      <c r="J1860" s="1271" t="s">
        <v>2086</v>
      </c>
      <c r="K1860" s="946">
        <f>SUMIF('alb A - Staff data'!$A:$A,$J1860,'alb A - Staff data'!$C:$C)</f>
        <v>0</v>
      </c>
      <c r="L1860" s="251">
        <f>SUMIF('alb A - Staff data'!$A:$A,$J1860,'alb A - Staff data'!$H:$H)</f>
        <v>0</v>
      </c>
      <c r="M1860" s="2"/>
      <c r="N1860" s="273">
        <f t="shared" si="1150"/>
        <v>0</v>
      </c>
      <c r="O1860" s="12"/>
      <c r="P1860" s="12"/>
      <c r="Q1860" s="12"/>
      <c r="R1860" s="12"/>
      <c r="S1860" s="6"/>
      <c r="T1860" s="273">
        <f>ROUND(SUM(U1860:Y1860),0)</f>
        <v>0</v>
      </c>
      <c r="U1860" s="6">
        <f>SUM(BL1860:BN1860)</f>
        <v>0</v>
      </c>
      <c r="V1860" s="6"/>
      <c r="W1860" s="6">
        <f>+H1860</f>
        <v>0</v>
      </c>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X1860" s="6"/>
      <c r="AY1860" s="6"/>
      <c r="BA1860" s="6"/>
      <c r="BB1860" s="6"/>
      <c r="BC1860" s="6"/>
      <c r="BD1860" s="6">
        <f>ROUND(SUM(BE1860:BK1860),0)</f>
        <v>0</v>
      </c>
      <c r="BE1860" s="1191"/>
      <c r="BF1860" s="1191"/>
      <c r="BG1860" s="1191"/>
      <c r="BH1860" s="1191"/>
      <c r="BI1860" s="1191"/>
      <c r="BJ1860" s="1191"/>
      <c r="BK1860" s="1190">
        <f t="shared" si="1157"/>
        <v>0</v>
      </c>
      <c r="BL1860" s="1191"/>
      <c r="BM1860" s="1191"/>
      <c r="BN1860" s="1191"/>
      <c r="BO1860" s="1191"/>
      <c r="BP1860" s="1191"/>
      <c r="BQ1860" s="1191"/>
      <c r="BR1860" s="1191"/>
      <c r="BS1860" s="1191"/>
      <c r="BT1860" s="1191"/>
      <c r="BU1860" s="1191"/>
      <c r="BV1860" s="1191"/>
      <c r="BW1860" s="1191"/>
      <c r="BX1860" s="1191"/>
      <c r="BY1860" s="1191"/>
      <c r="BZ1860" s="1191"/>
      <c r="CA1860" s="1191"/>
      <c r="CB1860" s="1191"/>
      <c r="CC1860" s="1191"/>
      <c r="CD1860" s="1191"/>
      <c r="CE1860" s="1191"/>
      <c r="CF1860" s="1191"/>
      <c r="CG1860" s="1191"/>
      <c r="CH1860" s="1191"/>
      <c r="CI1860" s="1191"/>
      <c r="CM1860" s="1139">
        <f t="shared" si="1160"/>
        <v>0</v>
      </c>
      <c r="CN1860" s="1139">
        <v>0</v>
      </c>
      <c r="CP1860" s="923">
        <f t="shared" si="1159"/>
        <v>0</v>
      </c>
      <c r="CZ1860" s="330"/>
    </row>
    <row r="1861" spans="1:104" ht="15" customHeight="1" x14ac:dyDescent="0.25">
      <c r="A1861" s="684">
        <f>MAX($A$6:A1860)+1</f>
        <v>1861</v>
      </c>
      <c r="B1861" s="1060">
        <f>B1859</f>
        <v>50</v>
      </c>
      <c r="C1861" s="292" t="str">
        <f>C1859</f>
        <v>Staff Data</v>
      </c>
      <c r="D1861" s="11" t="s">
        <v>389</v>
      </c>
      <c r="E1861" s="7" t="s">
        <v>380</v>
      </c>
      <c r="F1861" s="7"/>
      <c r="G1861" s="1254" t="s">
        <v>286</v>
      </c>
      <c r="H1861" s="6"/>
      <c r="I1861" s="6"/>
      <c r="J1861" s="1271" t="s">
        <v>380</v>
      </c>
      <c r="K1861" s="946">
        <f>SUMIF('alb A - Staff data'!$A:$A,$J1861,'alb A - Staff data'!$C:$C)</f>
        <v>0</v>
      </c>
      <c r="L1861" s="251">
        <f>SUMIF('alb A - Staff data'!$A:$A,$J1861,'alb A - Staff data'!$H:$H)</f>
        <v>0</v>
      </c>
      <c r="M1861" s="2"/>
      <c r="N1861" s="273">
        <f t="shared" si="1150"/>
        <v>0</v>
      </c>
      <c r="O1861" s="12"/>
      <c r="P1861" s="12"/>
      <c r="Q1861" s="12"/>
      <c r="R1861" s="12"/>
      <c r="S1861" s="6"/>
      <c r="T1861" s="273">
        <f t="shared" si="1142"/>
        <v>0</v>
      </c>
      <c r="U1861" s="6">
        <f t="shared" si="1152"/>
        <v>0</v>
      </c>
      <c r="V1861" s="6"/>
      <c r="W1861" s="6">
        <f t="shared" si="1148"/>
        <v>0</v>
      </c>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X1861" s="6"/>
      <c r="AY1861" s="6"/>
      <c r="BA1861" s="6"/>
      <c r="BB1861" s="6"/>
      <c r="BC1861" s="6"/>
      <c r="BD1861" s="6">
        <f t="shared" si="1143"/>
        <v>0</v>
      </c>
      <c r="BE1861" s="1191"/>
      <c r="BF1861" s="1191"/>
      <c r="BG1861" s="1191"/>
      <c r="BH1861" s="1191"/>
      <c r="BI1861" s="1191"/>
      <c r="BJ1861" s="1191"/>
      <c r="BK1861" s="1190">
        <f t="shared" si="1157"/>
        <v>0</v>
      </c>
      <c r="BL1861" s="1191"/>
      <c r="BM1861" s="1191"/>
      <c r="BN1861" s="1191"/>
      <c r="BO1861" s="1191"/>
      <c r="BP1861" s="1191"/>
      <c r="BQ1861" s="1191"/>
      <c r="BR1861" s="1191"/>
      <c r="BS1861" s="1191"/>
      <c r="BT1861" s="1191"/>
      <c r="BU1861" s="1191"/>
      <c r="BV1861" s="1191"/>
      <c r="BW1861" s="1191"/>
      <c r="BX1861" s="1191"/>
      <c r="BY1861" s="1191"/>
      <c r="BZ1861" s="1191"/>
      <c r="CA1861" s="1191"/>
      <c r="CB1861" s="1191"/>
      <c r="CC1861" s="1191"/>
      <c r="CD1861" s="1191"/>
      <c r="CE1861" s="1191"/>
      <c r="CF1861" s="1191"/>
      <c r="CG1861" s="1191"/>
      <c r="CH1861" s="1191"/>
      <c r="CI1861" s="1191"/>
      <c r="CM1861" s="1139">
        <f t="shared" si="1160"/>
        <v>0</v>
      </c>
      <c r="CN1861" s="1139">
        <v>0</v>
      </c>
      <c r="CP1861" s="923">
        <f t="shared" si="1159"/>
        <v>0</v>
      </c>
      <c r="CZ1861" s="330"/>
    </row>
    <row r="1862" spans="1:104" ht="15" customHeight="1" x14ac:dyDescent="0.25">
      <c r="A1862" s="684">
        <f>MAX($A$6:A1861)+1</f>
        <v>1862</v>
      </c>
      <c r="B1862" s="1060">
        <f t="shared" ref="B1862:B1874" si="1161">B1861</f>
        <v>50</v>
      </c>
      <c r="C1862" s="292" t="str">
        <f t="shared" ref="C1862:C1874" si="1162">C1861</f>
        <v>Staff Data</v>
      </c>
      <c r="D1862" s="11" t="s">
        <v>389</v>
      </c>
      <c r="E1862" s="7" t="s">
        <v>381</v>
      </c>
      <c r="F1862" s="7"/>
      <c r="G1862" s="1254" t="s">
        <v>286</v>
      </c>
      <c r="H1862" s="6"/>
      <c r="I1862" s="6"/>
      <c r="J1862" s="1271" t="s">
        <v>381</v>
      </c>
      <c r="K1862" s="946">
        <f>SUMIF('alb A - Staff data'!$A:$A,$J1862,'alb A - Staff data'!$C:$C)</f>
        <v>0</v>
      </c>
      <c r="L1862" s="251">
        <f>SUMIF('alb A - Staff data'!$A:$A,$J1862,'alb A - Staff data'!$H:$H)</f>
        <v>0</v>
      </c>
      <c r="M1862" s="2"/>
      <c r="N1862" s="273">
        <f t="shared" si="1150"/>
        <v>0</v>
      </c>
      <c r="O1862" s="12"/>
      <c r="P1862" s="12"/>
      <c r="Q1862" s="12"/>
      <c r="R1862" s="12"/>
      <c r="S1862" s="6"/>
      <c r="T1862" s="273">
        <f t="shared" si="1142"/>
        <v>0</v>
      </c>
      <c r="U1862" s="6">
        <f t="shared" si="1152"/>
        <v>0</v>
      </c>
      <c r="V1862" s="6"/>
      <c r="W1862" s="6">
        <f t="shared" si="1148"/>
        <v>0</v>
      </c>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X1862" s="6"/>
      <c r="AY1862" s="6"/>
      <c r="BA1862" s="6"/>
      <c r="BB1862" s="6"/>
      <c r="BC1862" s="6"/>
      <c r="BD1862" s="6">
        <f t="shared" si="1143"/>
        <v>0</v>
      </c>
      <c r="BE1862" s="1191"/>
      <c r="BF1862" s="1191"/>
      <c r="BG1862" s="1191"/>
      <c r="BH1862" s="1191"/>
      <c r="BI1862" s="1191"/>
      <c r="BJ1862" s="1191"/>
      <c r="BK1862" s="1190">
        <f t="shared" si="1157"/>
        <v>0</v>
      </c>
      <c r="BL1862" s="1191"/>
      <c r="BM1862" s="1191"/>
      <c r="BN1862" s="1191"/>
      <c r="BO1862" s="1191"/>
      <c r="BP1862" s="1191"/>
      <c r="BQ1862" s="1191"/>
      <c r="BR1862" s="1191"/>
      <c r="BS1862" s="1191"/>
      <c r="BT1862" s="1191"/>
      <c r="BU1862" s="1191"/>
      <c r="BV1862" s="1191"/>
      <c r="BW1862" s="1191"/>
      <c r="BX1862" s="1191"/>
      <c r="BY1862" s="1191"/>
      <c r="BZ1862" s="1191"/>
      <c r="CA1862" s="1191"/>
      <c r="CB1862" s="1191"/>
      <c r="CC1862" s="1191"/>
      <c r="CD1862" s="1191"/>
      <c r="CE1862" s="1191"/>
      <c r="CF1862" s="1191"/>
      <c r="CG1862" s="1191"/>
      <c r="CH1862" s="1191"/>
      <c r="CI1862" s="1191"/>
      <c r="CM1862" s="1139">
        <f t="shared" si="1160"/>
        <v>0</v>
      </c>
      <c r="CN1862" s="1139">
        <v>0</v>
      </c>
      <c r="CP1862" s="923">
        <f t="shared" si="1159"/>
        <v>0</v>
      </c>
      <c r="CZ1862" s="330"/>
    </row>
    <row r="1863" spans="1:104" ht="15" customHeight="1" x14ac:dyDescent="0.25">
      <c r="A1863" s="684">
        <f>MAX($A$6:A1862)+1</f>
        <v>1863</v>
      </c>
      <c r="B1863" s="1060">
        <f t="shared" si="1161"/>
        <v>50</v>
      </c>
      <c r="C1863" s="292" t="str">
        <f t="shared" si="1162"/>
        <v>Staff Data</v>
      </c>
      <c r="D1863" s="11" t="s">
        <v>389</v>
      </c>
      <c r="E1863" s="7" t="s">
        <v>382</v>
      </c>
      <c r="F1863" s="7"/>
      <c r="G1863" s="1254" t="s">
        <v>286</v>
      </c>
      <c r="H1863" s="6"/>
      <c r="I1863" s="6"/>
      <c r="J1863" s="1271" t="s">
        <v>382</v>
      </c>
      <c r="K1863" s="946">
        <f>SUMIF('alb A - Staff data'!$A:$A,$J1863,'alb A - Staff data'!$C:$C)</f>
        <v>0</v>
      </c>
      <c r="L1863" s="251">
        <f>SUMIF('alb A - Staff data'!$A:$A,$J1863,'alb A - Staff data'!$H:$H)</f>
        <v>0</v>
      </c>
      <c r="M1863" s="2"/>
      <c r="N1863" s="273">
        <f t="shared" si="1150"/>
        <v>0</v>
      </c>
      <c r="O1863" s="12"/>
      <c r="P1863" s="12"/>
      <c r="Q1863" s="12"/>
      <c r="R1863" s="12"/>
      <c r="S1863" s="6"/>
      <c r="T1863" s="273">
        <f t="shared" si="1142"/>
        <v>0</v>
      </c>
      <c r="U1863" s="6">
        <f t="shared" si="1152"/>
        <v>0</v>
      </c>
      <c r="V1863" s="6"/>
      <c r="W1863" s="6">
        <f t="shared" si="1148"/>
        <v>0</v>
      </c>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X1863" s="6"/>
      <c r="AY1863" s="6"/>
      <c r="BA1863" s="6"/>
      <c r="BB1863" s="6"/>
      <c r="BC1863" s="6"/>
      <c r="BD1863" s="6">
        <f t="shared" si="1143"/>
        <v>0</v>
      </c>
      <c r="BE1863" s="1191"/>
      <c r="BF1863" s="1191"/>
      <c r="BG1863" s="1191"/>
      <c r="BH1863" s="1191"/>
      <c r="BI1863" s="1191"/>
      <c r="BJ1863" s="1191"/>
      <c r="BK1863" s="1190">
        <f t="shared" si="1157"/>
        <v>0</v>
      </c>
      <c r="BL1863" s="1191"/>
      <c r="BM1863" s="1191"/>
      <c r="BN1863" s="1191"/>
      <c r="BO1863" s="1191"/>
      <c r="BP1863" s="1191"/>
      <c r="BQ1863" s="1191"/>
      <c r="BR1863" s="1191"/>
      <c r="BS1863" s="1191"/>
      <c r="BT1863" s="1191"/>
      <c r="BU1863" s="1191"/>
      <c r="BV1863" s="1191"/>
      <c r="BW1863" s="1191"/>
      <c r="BX1863" s="1191"/>
      <c r="BY1863" s="1191"/>
      <c r="BZ1863" s="1191"/>
      <c r="CA1863" s="1191"/>
      <c r="CB1863" s="1191"/>
      <c r="CC1863" s="1191"/>
      <c r="CD1863" s="1191"/>
      <c r="CE1863" s="1191"/>
      <c r="CF1863" s="1191"/>
      <c r="CG1863" s="1191"/>
      <c r="CH1863" s="1191"/>
      <c r="CI1863" s="1191"/>
      <c r="CM1863" s="1139">
        <f t="shared" si="1160"/>
        <v>0</v>
      </c>
      <c r="CN1863" s="1139">
        <v>0</v>
      </c>
      <c r="CP1863" s="923">
        <f t="shared" si="1159"/>
        <v>0</v>
      </c>
      <c r="CZ1863" s="330"/>
    </row>
    <row r="1864" spans="1:104" ht="15" customHeight="1" x14ac:dyDescent="0.25">
      <c r="A1864" s="684">
        <f>MAX($A$6:A1863)+1</f>
        <v>1864</v>
      </c>
      <c r="B1864" s="1060">
        <f t="shared" si="1161"/>
        <v>50</v>
      </c>
      <c r="C1864" s="292" t="str">
        <f t="shared" si="1162"/>
        <v>Staff Data</v>
      </c>
      <c r="D1864" s="11" t="s">
        <v>389</v>
      </c>
      <c r="E1864" s="7" t="s">
        <v>383</v>
      </c>
      <c r="F1864" s="7"/>
      <c r="G1864" s="1254" t="s">
        <v>286</v>
      </c>
      <c r="H1864" s="6"/>
      <c r="I1864" s="6"/>
      <c r="J1864" s="1271" t="s">
        <v>383</v>
      </c>
      <c r="K1864" s="946">
        <f>SUMIF('alb A - Staff data'!$A:$A,$J1864,'alb A - Staff data'!$C:$C)</f>
        <v>0</v>
      </c>
      <c r="L1864" s="251">
        <f>SUMIF('alb A - Staff data'!$A:$A,$J1864,'alb A - Staff data'!$H:$H)</f>
        <v>0</v>
      </c>
      <c r="M1864" s="2"/>
      <c r="N1864" s="273">
        <f t="shared" si="1150"/>
        <v>0</v>
      </c>
      <c r="O1864" s="12"/>
      <c r="P1864" s="12"/>
      <c r="Q1864" s="12"/>
      <c r="R1864" s="12"/>
      <c r="S1864" s="6"/>
      <c r="T1864" s="273">
        <f t="shared" si="1142"/>
        <v>0</v>
      </c>
      <c r="U1864" s="6">
        <f t="shared" si="1152"/>
        <v>0</v>
      </c>
      <c r="V1864" s="6"/>
      <c r="W1864" s="6">
        <f t="shared" si="1148"/>
        <v>0</v>
      </c>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X1864" s="6"/>
      <c r="AY1864" s="6"/>
      <c r="BA1864" s="6"/>
      <c r="BB1864" s="6"/>
      <c r="BC1864" s="6"/>
      <c r="BD1864" s="6">
        <f t="shared" si="1143"/>
        <v>0</v>
      </c>
      <c r="BE1864" s="1191"/>
      <c r="BF1864" s="1191"/>
      <c r="BG1864" s="1191"/>
      <c r="BH1864" s="1191"/>
      <c r="BI1864" s="1191"/>
      <c r="BJ1864" s="1191"/>
      <c r="BK1864" s="1190">
        <f t="shared" si="1157"/>
        <v>0</v>
      </c>
      <c r="BL1864" s="1191"/>
      <c r="BM1864" s="1191"/>
      <c r="BN1864" s="1191"/>
      <c r="BO1864" s="1191"/>
      <c r="BP1864" s="1191"/>
      <c r="BQ1864" s="1191"/>
      <c r="BR1864" s="1191"/>
      <c r="BS1864" s="1191"/>
      <c r="BT1864" s="1191"/>
      <c r="BU1864" s="1191"/>
      <c r="BV1864" s="1191"/>
      <c r="BW1864" s="1191"/>
      <c r="BX1864" s="1191"/>
      <c r="BY1864" s="1191"/>
      <c r="BZ1864" s="1191"/>
      <c r="CA1864" s="1191"/>
      <c r="CB1864" s="1191"/>
      <c r="CC1864" s="1191"/>
      <c r="CD1864" s="1191"/>
      <c r="CE1864" s="1191"/>
      <c r="CF1864" s="1191"/>
      <c r="CG1864" s="1191"/>
      <c r="CH1864" s="1191"/>
      <c r="CI1864" s="1191"/>
      <c r="CM1864" s="1139">
        <f t="shared" si="1160"/>
        <v>0</v>
      </c>
      <c r="CN1864" s="1139">
        <v>0</v>
      </c>
      <c r="CP1864" s="923">
        <f t="shared" si="1159"/>
        <v>0</v>
      </c>
      <c r="CZ1864" s="330"/>
    </row>
    <row r="1865" spans="1:104" ht="30" customHeight="1" x14ac:dyDescent="0.25">
      <c r="A1865" s="684">
        <f>MAX($A$6:A1864)+1</f>
        <v>1865</v>
      </c>
      <c r="B1865" s="1060">
        <f t="shared" si="1161"/>
        <v>50</v>
      </c>
      <c r="C1865" s="292" t="str">
        <f t="shared" si="1162"/>
        <v>Staff Data</v>
      </c>
      <c r="D1865" s="11" t="s">
        <v>389</v>
      </c>
      <c r="E1865" s="7" t="s">
        <v>384</v>
      </c>
      <c r="F1865" s="7"/>
      <c r="G1865" s="1254" t="s">
        <v>286</v>
      </c>
      <c r="H1865" s="6">
        <f>SUM(H1854:H1864)</f>
        <v>0</v>
      </c>
      <c r="I1865" s="6"/>
      <c r="J1865" s="1271" t="s">
        <v>384</v>
      </c>
      <c r="K1865" s="946">
        <f>SUMIF('alb A - Staff data'!$A:$A,$J1865,'alb A - Staff data'!$C:$C)</f>
        <v>0</v>
      </c>
      <c r="L1865" s="251">
        <f>SUMIF('alb A - Staff data'!$A:$A,$J1865,'alb A - Staff data'!$H:$H)</f>
        <v>0</v>
      </c>
      <c r="M1865" s="2"/>
      <c r="N1865" s="273">
        <f t="shared" si="1150"/>
        <v>0</v>
      </c>
      <c r="O1865" s="12"/>
      <c r="P1865" s="12"/>
      <c r="Q1865" s="12"/>
      <c r="R1865" s="12"/>
      <c r="S1865" s="6"/>
      <c r="T1865" s="273">
        <f t="shared" si="1142"/>
        <v>0</v>
      </c>
      <c r="U1865" s="6">
        <f t="shared" si="1152"/>
        <v>0</v>
      </c>
      <c r="V1865" s="6"/>
      <c r="W1865" s="6">
        <f t="shared" si="1148"/>
        <v>0</v>
      </c>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X1865" s="6"/>
      <c r="AY1865" s="6"/>
      <c r="BA1865" s="6"/>
      <c r="BB1865" s="6"/>
      <c r="BC1865" s="6"/>
      <c r="BD1865" s="6">
        <f t="shared" si="1143"/>
        <v>0</v>
      </c>
      <c r="BE1865" s="1191"/>
      <c r="BF1865" s="1191"/>
      <c r="BG1865" s="1191"/>
      <c r="BH1865" s="1191"/>
      <c r="BI1865" s="1191"/>
      <c r="BJ1865" s="1191"/>
      <c r="BK1865" s="1190">
        <f t="shared" si="1157"/>
        <v>0</v>
      </c>
      <c r="BL1865" s="1191"/>
      <c r="BM1865" s="1191"/>
      <c r="BN1865" s="1191"/>
      <c r="BO1865" s="1191"/>
      <c r="BP1865" s="1191"/>
      <c r="BQ1865" s="1191"/>
      <c r="BR1865" s="1191"/>
      <c r="BS1865" s="1191"/>
      <c r="BT1865" s="1191"/>
      <c r="BU1865" s="1191"/>
      <c r="BV1865" s="1191"/>
      <c r="BW1865" s="1191"/>
      <c r="BX1865" s="1191"/>
      <c r="BY1865" s="1191"/>
      <c r="BZ1865" s="1191"/>
      <c r="CA1865" s="1191"/>
      <c r="CB1865" s="1191"/>
      <c r="CC1865" s="1191"/>
      <c r="CD1865" s="1191"/>
      <c r="CE1865" s="1191"/>
      <c r="CF1865" s="1191"/>
      <c r="CG1865" s="1191"/>
      <c r="CH1865" s="1191"/>
      <c r="CI1865" s="1191"/>
      <c r="CM1865" s="1139">
        <f t="shared" si="1160"/>
        <v>0</v>
      </c>
      <c r="CN1865" s="1139">
        <v>1</v>
      </c>
      <c r="CP1865" s="923">
        <f t="shared" si="1159"/>
        <v>0</v>
      </c>
      <c r="CZ1865" s="330"/>
    </row>
    <row r="1866" spans="1:104" ht="30" customHeight="1" x14ac:dyDescent="0.25">
      <c r="A1866" s="684">
        <f>MAX($A$6:A1865)+1</f>
        <v>1866</v>
      </c>
      <c r="B1866" s="1060">
        <f t="shared" si="1161"/>
        <v>50</v>
      </c>
      <c r="C1866" s="292" t="str">
        <f t="shared" si="1162"/>
        <v>Staff Data</v>
      </c>
      <c r="D1866" s="11" t="s">
        <v>389</v>
      </c>
      <c r="E1866" s="7" t="s">
        <v>385</v>
      </c>
      <c r="F1866" s="7"/>
      <c r="G1866" s="1254" t="s">
        <v>286</v>
      </c>
      <c r="H1866" s="6"/>
      <c r="I1866" s="6"/>
      <c r="J1866" s="1271" t="s">
        <v>385</v>
      </c>
      <c r="K1866" s="946">
        <f>SUMIF('alb A - Staff data'!$A:$A,$J1866,'alb A - Staff data'!$C:$C)</f>
        <v>0</v>
      </c>
      <c r="L1866" s="251">
        <f>SUMIF('alb A - Staff data'!$A:$A,$J1866,'alb A - Staff data'!$H:$H)</f>
        <v>0</v>
      </c>
      <c r="M1866" s="2"/>
      <c r="N1866" s="273">
        <f t="shared" si="1150"/>
        <v>0</v>
      </c>
      <c r="O1866" s="12"/>
      <c r="P1866" s="12"/>
      <c r="Q1866" s="12"/>
      <c r="R1866" s="12"/>
      <c r="S1866" s="6"/>
      <c r="T1866" s="273">
        <f t="shared" si="1142"/>
        <v>0</v>
      </c>
      <c r="U1866" s="6">
        <f t="shared" si="1152"/>
        <v>0</v>
      </c>
      <c r="V1866" s="6"/>
      <c r="W1866" s="6">
        <f t="shared" si="1148"/>
        <v>0</v>
      </c>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X1866" s="6"/>
      <c r="AY1866" s="6"/>
      <c r="BA1866" s="6"/>
      <c r="BB1866" s="6"/>
      <c r="BC1866" s="6"/>
      <c r="BD1866" s="6">
        <f t="shared" si="1143"/>
        <v>0</v>
      </c>
      <c r="BE1866" s="1191"/>
      <c r="BF1866" s="1191"/>
      <c r="BG1866" s="1191"/>
      <c r="BH1866" s="1191"/>
      <c r="BI1866" s="1191"/>
      <c r="BJ1866" s="1191"/>
      <c r="BK1866" s="1190">
        <f t="shared" si="1157"/>
        <v>0</v>
      </c>
      <c r="BL1866" s="1191"/>
      <c r="BM1866" s="1191"/>
      <c r="BN1866" s="1191"/>
      <c r="BO1866" s="1191"/>
      <c r="BP1866" s="1191"/>
      <c r="BQ1866" s="1191"/>
      <c r="BR1866" s="1191"/>
      <c r="BS1866" s="1191"/>
      <c r="BT1866" s="1191"/>
      <c r="BU1866" s="1191"/>
      <c r="BV1866" s="1191"/>
      <c r="BW1866" s="1191"/>
      <c r="BX1866" s="1191"/>
      <c r="BY1866" s="1191"/>
      <c r="BZ1866" s="1191"/>
      <c r="CA1866" s="1191"/>
      <c r="CB1866" s="1191"/>
      <c r="CC1866" s="1191"/>
      <c r="CD1866" s="1191"/>
      <c r="CE1866" s="1191"/>
      <c r="CF1866" s="1191"/>
      <c r="CG1866" s="1191"/>
      <c r="CH1866" s="1191"/>
      <c r="CI1866" s="1191"/>
      <c r="CM1866" s="1139">
        <f t="shared" si="1160"/>
        <v>0</v>
      </c>
      <c r="CN1866" s="1139">
        <v>0</v>
      </c>
      <c r="CP1866" s="923">
        <f t="shared" si="1159"/>
        <v>0</v>
      </c>
      <c r="CZ1866" s="330"/>
    </row>
    <row r="1867" spans="1:104" ht="30" customHeight="1" x14ac:dyDescent="0.25">
      <c r="A1867" s="684">
        <f>MAX($A$6:A1866)+1</f>
        <v>1867</v>
      </c>
      <c r="B1867" s="1060">
        <f t="shared" si="1161"/>
        <v>50</v>
      </c>
      <c r="C1867" s="292" t="str">
        <f t="shared" si="1162"/>
        <v>Staff Data</v>
      </c>
      <c r="D1867" s="11" t="s">
        <v>389</v>
      </c>
      <c r="E1867" s="7" t="s">
        <v>386</v>
      </c>
      <c r="F1867" s="7"/>
      <c r="G1867" s="1254" t="s">
        <v>286</v>
      </c>
      <c r="H1867" s="6"/>
      <c r="I1867" s="6"/>
      <c r="J1867" s="1271" t="s">
        <v>386</v>
      </c>
      <c r="K1867" s="946">
        <f>SUMIF('alb A - Staff data'!$A:$A,$J1867,'alb A - Staff data'!$C:$C)</f>
        <v>0</v>
      </c>
      <c r="L1867" s="251">
        <f>SUMIF('alb A - Staff data'!$A:$A,$J1867,'alb A - Staff data'!$H:$H)</f>
        <v>0</v>
      </c>
      <c r="M1867" s="2"/>
      <c r="N1867" s="273">
        <f t="shared" si="1150"/>
        <v>0</v>
      </c>
      <c r="O1867" s="12"/>
      <c r="P1867" s="12"/>
      <c r="Q1867" s="12"/>
      <c r="R1867" s="12"/>
      <c r="S1867" s="6">
        <f>-IF(ISNUMBER(BD1867),BD1867,0)</f>
        <v>0</v>
      </c>
      <c r="T1867" s="273">
        <f t="shared" si="1142"/>
        <v>0</v>
      </c>
      <c r="U1867" s="6">
        <f t="shared" si="1152"/>
        <v>0</v>
      </c>
      <c r="V1867" s="6"/>
      <c r="W1867" s="6">
        <f t="shared" si="1148"/>
        <v>0</v>
      </c>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X1867" s="6"/>
      <c r="AY1867" s="6"/>
      <c r="BA1867" s="6"/>
      <c r="BB1867" s="6"/>
      <c r="BC1867" s="6"/>
      <c r="BD1867" s="6">
        <f t="shared" si="1143"/>
        <v>0</v>
      </c>
      <c r="BE1867" s="1191"/>
      <c r="BF1867" s="1191"/>
      <c r="BG1867" s="1191"/>
      <c r="BH1867" s="1191"/>
      <c r="BI1867" s="1191"/>
      <c r="BJ1867" s="1191"/>
      <c r="BK1867" s="1190">
        <f t="shared" si="1157"/>
        <v>0</v>
      </c>
      <c r="BL1867" s="1191"/>
      <c r="BM1867" s="1191"/>
      <c r="BN1867" s="1191"/>
      <c r="BO1867" s="1191"/>
      <c r="BP1867" s="1191"/>
      <c r="BQ1867" s="1191"/>
      <c r="BR1867" s="1191"/>
      <c r="BS1867" s="1191"/>
      <c r="BT1867" s="1191"/>
      <c r="BU1867" s="1191"/>
      <c r="BV1867" s="1191"/>
      <c r="BW1867" s="1191"/>
      <c r="BX1867" s="1191"/>
      <c r="BY1867" s="1191"/>
      <c r="BZ1867" s="1191"/>
      <c r="CA1867" s="1191"/>
      <c r="CB1867" s="1191"/>
      <c r="CC1867" s="1191"/>
      <c r="CD1867" s="1191"/>
      <c r="CE1867" s="1191"/>
      <c r="CF1867" s="1191"/>
      <c r="CG1867" s="1191"/>
      <c r="CH1867" s="1191"/>
      <c r="CI1867" s="1191"/>
      <c r="CM1867" s="1139">
        <f t="shared" si="1160"/>
        <v>0</v>
      </c>
      <c r="CN1867" s="1139">
        <v>0</v>
      </c>
      <c r="CP1867" s="923">
        <f t="shared" si="1159"/>
        <v>0</v>
      </c>
      <c r="CZ1867" s="330"/>
    </row>
    <row r="1868" spans="1:104" ht="30" customHeight="1" x14ac:dyDescent="0.25">
      <c r="A1868" s="684">
        <f>MAX($A$6:A1867)+1</f>
        <v>1868</v>
      </c>
      <c r="B1868" s="1060">
        <f t="shared" si="1161"/>
        <v>50</v>
      </c>
      <c r="C1868" s="292" t="str">
        <f t="shared" si="1162"/>
        <v>Staff Data</v>
      </c>
      <c r="D1868" s="11" t="s">
        <v>389</v>
      </c>
      <c r="E1868" s="7" t="s">
        <v>387</v>
      </c>
      <c r="F1868" s="7"/>
      <c r="G1868" s="1254" t="s">
        <v>286</v>
      </c>
      <c r="H1868" s="6">
        <f>SUM(H1865:H1867)</f>
        <v>0</v>
      </c>
      <c r="I1868" s="6"/>
      <c r="J1868" s="1272" t="s">
        <v>387</v>
      </c>
      <c r="K1868" s="946">
        <f>SUMIF('alb A - Staff data'!$A:$A,$J1868,'alb A - Staff data'!$C:$C)</f>
        <v>0</v>
      </c>
      <c r="L1868" s="251">
        <f>SUMIF('alb A - Staff data'!$A:$A,$J1868,'alb A - Staff data'!$H:$H)</f>
        <v>0</v>
      </c>
      <c r="M1868" s="2"/>
      <c r="N1868" s="273">
        <f t="shared" si="1150"/>
        <v>0</v>
      </c>
      <c r="O1868" s="12"/>
      <c r="P1868" s="12"/>
      <c r="Q1868" s="12"/>
      <c r="R1868" s="12"/>
      <c r="S1868" s="6">
        <f>-IF(ISNUMBER(BD1868),BD1868,0)</f>
        <v>0</v>
      </c>
      <c r="T1868" s="273">
        <f t="shared" si="1142"/>
        <v>0</v>
      </c>
      <c r="U1868" s="6">
        <f t="shared" si="1152"/>
        <v>0</v>
      </c>
      <c r="V1868" s="6"/>
      <c r="W1868" s="6">
        <f t="shared" si="1148"/>
        <v>0</v>
      </c>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X1868" s="6"/>
      <c r="AY1868" s="6"/>
      <c r="BA1868" s="6"/>
      <c r="BB1868" s="6"/>
      <c r="BC1868" s="6"/>
      <c r="BD1868" s="6">
        <f t="shared" si="1143"/>
        <v>0</v>
      </c>
      <c r="BE1868" s="1191"/>
      <c r="BF1868" s="1191"/>
      <c r="BG1868" s="1191"/>
      <c r="BH1868" s="1191"/>
      <c r="BI1868" s="1191"/>
      <c r="BJ1868" s="1191"/>
      <c r="BK1868" s="1190">
        <f t="shared" si="1157"/>
        <v>0</v>
      </c>
      <c r="BL1868" s="1191"/>
      <c r="BM1868" s="1191"/>
      <c r="BN1868" s="1191"/>
      <c r="BO1868" s="1191"/>
      <c r="BP1868" s="1191"/>
      <c r="BQ1868" s="1191"/>
      <c r="BR1868" s="1191"/>
      <c r="BS1868" s="1191"/>
      <c r="BT1868" s="1191"/>
      <c r="BU1868" s="1191"/>
      <c r="BV1868" s="1191"/>
      <c r="BW1868" s="1191"/>
      <c r="BX1868" s="1191"/>
      <c r="BY1868" s="1191"/>
      <c r="BZ1868" s="1191"/>
      <c r="CA1868" s="1191"/>
      <c r="CB1868" s="1191"/>
      <c r="CC1868" s="1191"/>
      <c r="CD1868" s="1191"/>
      <c r="CE1868" s="1191"/>
      <c r="CF1868" s="1191"/>
      <c r="CG1868" s="1191"/>
      <c r="CH1868" s="1191"/>
      <c r="CI1868" s="1191"/>
      <c r="CM1868" s="1139">
        <f t="shared" si="1160"/>
        <v>0</v>
      </c>
      <c r="CN1868" s="1139">
        <v>1</v>
      </c>
      <c r="CP1868" s="923">
        <f t="shared" si="1159"/>
        <v>0</v>
      </c>
      <c r="CZ1868" s="330"/>
    </row>
    <row r="1869" spans="1:104" ht="15" customHeight="1" x14ac:dyDescent="0.25">
      <c r="A1869" s="684">
        <f>MAX($A$6:A1868)+1</f>
        <v>1869</v>
      </c>
      <c r="B1869" s="1060">
        <f t="shared" si="1161"/>
        <v>50</v>
      </c>
      <c r="C1869" s="292" t="str">
        <f t="shared" si="1162"/>
        <v>Staff Data</v>
      </c>
      <c r="D1869" s="11" t="s">
        <v>1425</v>
      </c>
      <c r="E1869" s="7" t="s">
        <v>478</v>
      </c>
      <c r="F1869" s="7"/>
      <c r="G1869" s="1254" t="s">
        <v>286</v>
      </c>
      <c r="H1869" s="6"/>
      <c r="I1869" s="6"/>
      <c r="J1869" s="1257" t="s">
        <v>1704</v>
      </c>
      <c r="K1869" s="946">
        <f>SUMIF('alb A - Staff data'!$A:$A,$J1869,'alb A - Staff data'!$B:$B)</f>
        <v>0</v>
      </c>
      <c r="L1869" s="266"/>
      <c r="M1869" s="2"/>
      <c r="N1869" s="273">
        <f t="shared" si="1150"/>
        <v>0</v>
      </c>
      <c r="O1869" s="12"/>
      <c r="P1869" s="12"/>
      <c r="Q1869" s="12"/>
      <c r="R1869" s="12"/>
      <c r="S1869" s="6">
        <f>-IF(ISNUMBER(BD1869),BD1869,0)</f>
        <v>0</v>
      </c>
      <c r="T1869" s="273">
        <f t="shared" si="1142"/>
        <v>0</v>
      </c>
      <c r="U1869" s="6">
        <f t="shared" si="1152"/>
        <v>0</v>
      </c>
      <c r="V1869" s="6"/>
      <c r="W1869" s="6">
        <f t="shared" si="1148"/>
        <v>0</v>
      </c>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X1869" s="6"/>
      <c r="AY1869" s="6"/>
      <c r="BA1869" s="6"/>
      <c r="BB1869" s="6"/>
      <c r="BC1869" s="6"/>
      <c r="BD1869" s="6"/>
      <c r="BE1869" s="1191"/>
      <c r="BF1869" s="1191"/>
      <c r="BG1869" s="1191"/>
      <c r="BH1869" s="1191"/>
      <c r="BI1869" s="1191"/>
      <c r="BJ1869" s="1191"/>
      <c r="BK1869" s="1190">
        <f t="shared" si="1157"/>
        <v>0</v>
      </c>
      <c r="BL1869" s="1191"/>
      <c r="BM1869" s="1191"/>
      <c r="BN1869" s="1191"/>
      <c r="BO1869" s="1191"/>
      <c r="BP1869" s="1191"/>
      <c r="BQ1869" s="1191"/>
      <c r="BR1869" s="1191"/>
      <c r="BS1869" s="1191"/>
      <c r="BT1869" s="1191"/>
      <c r="BU1869" s="1191"/>
      <c r="BV1869" s="1191"/>
      <c r="BW1869" s="1191"/>
      <c r="BX1869" s="1191"/>
      <c r="BY1869" s="1191"/>
      <c r="BZ1869" s="1191"/>
      <c r="CA1869" s="1191"/>
      <c r="CB1869" s="1191"/>
      <c r="CC1869" s="1191"/>
      <c r="CD1869" s="1191"/>
      <c r="CE1869" s="1191"/>
      <c r="CF1869" s="1191"/>
      <c r="CG1869" s="1191"/>
      <c r="CH1869" s="1191"/>
      <c r="CI1869" s="1191"/>
      <c r="CM1869" s="1139">
        <f t="shared" si="1160"/>
        <v>0</v>
      </c>
      <c r="CN1869" s="1139"/>
      <c r="CP1869" s="923">
        <f t="shared" si="1159"/>
        <v>0</v>
      </c>
      <c r="CZ1869" s="330"/>
    </row>
    <row r="1870" spans="1:104" ht="15" customHeight="1" x14ac:dyDescent="0.25">
      <c r="A1870" s="684">
        <f>MAX($A$6:A1869)+1</f>
        <v>1870</v>
      </c>
      <c r="B1870" s="1060">
        <f t="shared" si="1161"/>
        <v>50</v>
      </c>
      <c r="C1870" s="292" t="str">
        <f t="shared" si="1162"/>
        <v>Staff Data</v>
      </c>
      <c r="D1870" s="11" t="s">
        <v>1425</v>
      </c>
      <c r="E1870" s="7" t="s">
        <v>181</v>
      </c>
      <c r="F1870" s="7"/>
      <c r="G1870" s="1254" t="s">
        <v>286</v>
      </c>
      <c r="H1870" s="6"/>
      <c r="I1870" s="6"/>
      <c r="J1870" s="1257" t="s">
        <v>1705</v>
      </c>
      <c r="K1870" s="946">
        <f>SUMIF('alb A - Staff data'!$A:$A,$J1870,'alb A - Staff data'!$B:$B)</f>
        <v>0</v>
      </c>
      <c r="L1870" s="266"/>
      <c r="M1870" s="2"/>
      <c r="N1870" s="273">
        <f t="shared" ref="N1870:N1887" si="1163">ROUND(SUM(O1870:AU1870)-T1870,0)</f>
        <v>0</v>
      </c>
      <c r="O1870" s="12"/>
      <c r="P1870" s="12"/>
      <c r="Q1870" s="12"/>
      <c r="R1870" s="12"/>
      <c r="S1870" s="6">
        <f>-IF(ISNUMBER(BD1870),BD1870,0)</f>
        <v>0</v>
      </c>
      <c r="T1870" s="273">
        <f t="shared" si="1142"/>
        <v>0</v>
      </c>
      <c r="U1870" s="6">
        <f t="shared" si="1152"/>
        <v>0</v>
      </c>
      <c r="V1870" s="6"/>
      <c r="W1870" s="6">
        <f t="shared" si="1148"/>
        <v>0</v>
      </c>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X1870" s="6"/>
      <c r="AY1870" s="6"/>
      <c r="BA1870" s="6"/>
      <c r="BB1870" s="6"/>
      <c r="BC1870" s="6"/>
      <c r="BD1870" s="6"/>
      <c r="BE1870" s="1191"/>
      <c r="BF1870" s="1191"/>
      <c r="BG1870" s="1191"/>
      <c r="BH1870" s="1191"/>
      <c r="BI1870" s="1191"/>
      <c r="BJ1870" s="1191"/>
      <c r="BK1870" s="1190">
        <f t="shared" si="1157"/>
        <v>0</v>
      </c>
      <c r="BL1870" s="1191"/>
      <c r="BM1870" s="1191"/>
      <c r="BN1870" s="1191"/>
      <c r="BO1870" s="1191"/>
      <c r="BP1870" s="1191"/>
      <c r="BQ1870" s="1191"/>
      <c r="BR1870" s="1191"/>
      <c r="BS1870" s="1191"/>
      <c r="BT1870" s="1191"/>
      <c r="BU1870" s="1191"/>
      <c r="BV1870" s="1191"/>
      <c r="BW1870" s="1191"/>
      <c r="BX1870" s="1191"/>
      <c r="BY1870" s="1191"/>
      <c r="BZ1870" s="1191"/>
      <c r="CA1870" s="1191"/>
      <c r="CB1870" s="1191"/>
      <c r="CC1870" s="1191"/>
      <c r="CD1870" s="1191"/>
      <c r="CE1870" s="1191"/>
      <c r="CF1870" s="1191"/>
      <c r="CG1870" s="1191"/>
      <c r="CH1870" s="1191"/>
      <c r="CI1870" s="1191"/>
      <c r="CM1870" s="1139">
        <f t="shared" si="1160"/>
        <v>0</v>
      </c>
      <c r="CN1870" s="1139"/>
      <c r="CP1870" s="923">
        <f t="shared" si="1159"/>
        <v>0</v>
      </c>
      <c r="CZ1870" s="330"/>
    </row>
    <row r="1871" spans="1:104" ht="15" customHeight="1" x14ac:dyDescent="0.25">
      <c r="A1871" s="684">
        <f>MAX($A$6:A1870)+1</f>
        <v>1871</v>
      </c>
      <c r="B1871" s="1060">
        <f t="shared" si="1161"/>
        <v>50</v>
      </c>
      <c r="C1871" s="292" t="str">
        <f t="shared" si="1162"/>
        <v>Staff Data</v>
      </c>
      <c r="D1871" s="11" t="s">
        <v>1425</v>
      </c>
      <c r="E1871" s="7" t="s">
        <v>181</v>
      </c>
      <c r="F1871" s="7"/>
      <c r="G1871" s="1254" t="s">
        <v>286</v>
      </c>
      <c r="H1871" s="6"/>
      <c r="I1871" s="6"/>
      <c r="J1871" s="1257" t="s">
        <v>820</v>
      </c>
      <c r="K1871" s="946">
        <f>SUMIF('alb A - Staff data'!$A:$A,$J1871,'alb A - Staff data'!$B:$B)</f>
        <v>0</v>
      </c>
      <c r="L1871" s="266"/>
      <c r="M1871" s="2"/>
      <c r="N1871" s="273">
        <f t="shared" si="1163"/>
        <v>0</v>
      </c>
      <c r="O1871" s="12"/>
      <c r="P1871" s="12"/>
      <c r="Q1871" s="12"/>
      <c r="R1871" s="12"/>
      <c r="S1871" s="6">
        <f>-IF(ISNUMBER(BD1871),BD1871,0)</f>
        <v>0</v>
      </c>
      <c r="T1871" s="273">
        <f t="shared" si="1142"/>
        <v>0</v>
      </c>
      <c r="U1871" s="6">
        <f t="shared" si="1152"/>
        <v>0</v>
      </c>
      <c r="V1871" s="6"/>
      <c r="W1871" s="6">
        <f t="shared" si="1148"/>
        <v>0</v>
      </c>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X1871" s="6"/>
      <c r="AY1871" s="6"/>
      <c r="BA1871" s="6"/>
      <c r="BB1871" s="6"/>
      <c r="BC1871" s="6"/>
      <c r="BD1871" s="6"/>
      <c r="BE1871" s="1191"/>
      <c r="BF1871" s="1191"/>
      <c r="BG1871" s="1191"/>
      <c r="BH1871" s="1191"/>
      <c r="BI1871" s="1191"/>
      <c r="BJ1871" s="1191"/>
      <c r="BK1871" s="1190">
        <f t="shared" si="1157"/>
        <v>0</v>
      </c>
      <c r="BL1871" s="1191"/>
      <c r="BM1871" s="1191"/>
      <c r="BN1871" s="1191"/>
      <c r="BO1871" s="1191"/>
      <c r="BP1871" s="1191"/>
      <c r="BQ1871" s="1191"/>
      <c r="BR1871" s="1191"/>
      <c r="BS1871" s="1191"/>
      <c r="BT1871" s="1191"/>
      <c r="BU1871" s="1191"/>
      <c r="BV1871" s="1191"/>
      <c r="BW1871" s="1191"/>
      <c r="BX1871" s="1191"/>
      <c r="BY1871" s="1191"/>
      <c r="BZ1871" s="1191"/>
      <c r="CA1871" s="1191"/>
      <c r="CB1871" s="1191"/>
      <c r="CC1871" s="1191"/>
      <c r="CD1871" s="1191"/>
      <c r="CE1871" s="1191"/>
      <c r="CF1871" s="1191"/>
      <c r="CG1871" s="1191"/>
      <c r="CH1871" s="1191"/>
      <c r="CI1871" s="1191"/>
      <c r="CM1871" s="1139">
        <f t="shared" si="1160"/>
        <v>0</v>
      </c>
      <c r="CN1871" s="1139"/>
      <c r="CP1871" s="923">
        <f t="shared" si="1159"/>
        <v>0</v>
      </c>
      <c r="CZ1871" s="330"/>
    </row>
    <row r="1872" spans="1:104" ht="15" customHeight="1" x14ac:dyDescent="0.25">
      <c r="A1872" s="684">
        <f>MAX($A$6:A1871)+1</f>
        <v>1872</v>
      </c>
      <c r="B1872" s="1060">
        <f t="shared" si="1161"/>
        <v>50</v>
      </c>
      <c r="C1872" s="292" t="str">
        <f t="shared" si="1162"/>
        <v>Staff Data</v>
      </c>
      <c r="D1872" s="11" t="s">
        <v>1426</v>
      </c>
      <c r="E1872" s="7" t="s">
        <v>476</v>
      </c>
      <c r="F1872" s="7"/>
      <c r="G1872" s="1254" t="s">
        <v>286</v>
      </c>
      <c r="H1872" s="6"/>
      <c r="I1872" s="6"/>
      <c r="J1872" s="1257" t="s">
        <v>1704</v>
      </c>
      <c r="K1872" s="946">
        <f>SUMIF('alb A - Staff data'!$A:$A,$J1872,'alb A - Staff data'!$C:$C)</f>
        <v>0</v>
      </c>
      <c r="L1872" s="266"/>
      <c r="M1872" s="2"/>
      <c r="N1872" s="273">
        <f t="shared" si="1163"/>
        <v>0</v>
      </c>
      <c r="O1872" s="12"/>
      <c r="P1872" s="12"/>
      <c r="Q1872" s="12"/>
      <c r="R1872" s="12"/>
      <c r="S1872" s="6"/>
      <c r="T1872" s="273">
        <f t="shared" si="1142"/>
        <v>0</v>
      </c>
      <c r="U1872" s="6">
        <f t="shared" si="1152"/>
        <v>0</v>
      </c>
      <c r="V1872" s="6"/>
      <c r="W1872" s="6">
        <f t="shared" si="1148"/>
        <v>0</v>
      </c>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X1872" s="6"/>
      <c r="AY1872" s="6"/>
      <c r="BA1872" s="6"/>
      <c r="BB1872" s="6"/>
      <c r="BC1872" s="6"/>
      <c r="BD1872" s="6"/>
      <c r="BE1872" s="1191"/>
      <c r="BF1872" s="1191"/>
      <c r="BG1872" s="1191"/>
      <c r="BH1872" s="1191"/>
      <c r="BI1872" s="1191"/>
      <c r="BJ1872" s="1191"/>
      <c r="BK1872" s="1190">
        <f t="shared" si="1157"/>
        <v>0</v>
      </c>
      <c r="BL1872" s="1191"/>
      <c r="BM1872" s="1191"/>
      <c r="BN1872" s="1191"/>
      <c r="BO1872" s="1191"/>
      <c r="BP1872" s="1191"/>
      <c r="BQ1872" s="1191"/>
      <c r="BR1872" s="1191"/>
      <c r="BS1872" s="1191"/>
      <c r="BT1872" s="1191"/>
      <c r="BU1872" s="1191"/>
      <c r="BV1872" s="1191"/>
      <c r="BW1872" s="1191"/>
      <c r="BX1872" s="1191"/>
      <c r="BY1872" s="1191"/>
      <c r="BZ1872" s="1191"/>
      <c r="CA1872" s="1191"/>
      <c r="CB1872" s="1191"/>
      <c r="CC1872" s="1191"/>
      <c r="CD1872" s="1191"/>
      <c r="CE1872" s="1191"/>
      <c r="CF1872" s="1191"/>
      <c r="CG1872" s="1191"/>
      <c r="CH1872" s="1191"/>
      <c r="CI1872" s="1191"/>
      <c r="CM1872" s="1139">
        <f t="shared" si="1160"/>
        <v>0</v>
      </c>
      <c r="CN1872" s="1139"/>
      <c r="CP1872" s="923">
        <f t="shared" si="1159"/>
        <v>0</v>
      </c>
      <c r="CZ1872" s="330"/>
    </row>
    <row r="1873" spans="1:104" ht="15" customHeight="1" x14ac:dyDescent="0.25">
      <c r="A1873" s="684">
        <f>MAX($A$6:A1872)+1</f>
        <v>1873</v>
      </c>
      <c r="B1873" s="1060">
        <f t="shared" si="1161"/>
        <v>50</v>
      </c>
      <c r="C1873" s="292" t="str">
        <f t="shared" si="1162"/>
        <v>Staff Data</v>
      </c>
      <c r="D1873" s="11" t="s">
        <v>1426</v>
      </c>
      <c r="E1873" s="7" t="s">
        <v>478</v>
      </c>
      <c r="F1873" s="7"/>
      <c r="G1873" s="1254" t="s">
        <v>286</v>
      </c>
      <c r="H1873" s="6"/>
      <c r="I1873" s="6"/>
      <c r="J1873" s="1257" t="s">
        <v>1705</v>
      </c>
      <c r="K1873" s="946">
        <f>SUMIF('alb A - Staff data'!$A:$A,$J1873,'alb A - Staff data'!$C:$C)</f>
        <v>0</v>
      </c>
      <c r="L1873" s="266"/>
      <c r="M1873" s="2"/>
      <c r="N1873" s="273">
        <f t="shared" si="1163"/>
        <v>0</v>
      </c>
      <c r="O1873" s="12"/>
      <c r="P1873" s="12"/>
      <c r="Q1873" s="12"/>
      <c r="R1873" s="12"/>
      <c r="S1873" s="6"/>
      <c r="T1873" s="273">
        <f t="shared" si="1142"/>
        <v>0</v>
      </c>
      <c r="U1873" s="6">
        <f t="shared" si="1152"/>
        <v>0</v>
      </c>
      <c r="V1873" s="6"/>
      <c r="W1873" s="6">
        <f t="shared" si="1148"/>
        <v>0</v>
      </c>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X1873" s="6"/>
      <c r="AY1873" s="6"/>
      <c r="BA1873" s="6"/>
      <c r="BB1873" s="6"/>
      <c r="BC1873" s="6"/>
      <c r="BD1873" s="6"/>
      <c r="BE1873" s="1191"/>
      <c r="BF1873" s="1191"/>
      <c r="BG1873" s="1191"/>
      <c r="BH1873" s="1191"/>
      <c r="BI1873" s="1191"/>
      <c r="BJ1873" s="1191"/>
      <c r="BK1873" s="1190">
        <f t="shared" si="1157"/>
        <v>0</v>
      </c>
      <c r="BL1873" s="1784"/>
      <c r="BM1873" s="700"/>
      <c r="BN1873" s="700"/>
      <c r="BO1873" s="700"/>
      <c r="BP1873" s="1191"/>
      <c r="BQ1873" s="700"/>
      <c r="BR1873" s="700"/>
      <c r="BS1873" s="1191"/>
      <c r="BT1873" s="700"/>
      <c r="BU1873" s="700"/>
      <c r="BV1873" s="700"/>
      <c r="BW1873" s="700"/>
      <c r="BX1873" s="700"/>
      <c r="BY1873" s="700"/>
      <c r="BZ1873" s="700"/>
      <c r="CA1873" s="700"/>
      <c r="CB1873" s="700"/>
      <c r="CC1873" s="1191"/>
      <c r="CD1873" s="1191"/>
      <c r="CE1873" s="1191"/>
      <c r="CF1873" s="1191"/>
      <c r="CG1873" s="1191"/>
      <c r="CH1873" s="1191"/>
      <c r="CI1873" s="700"/>
      <c r="CM1873" s="1139">
        <f t="shared" si="1160"/>
        <v>0</v>
      </c>
      <c r="CN1873" s="1139"/>
      <c r="CP1873" s="923">
        <f t="shared" si="1159"/>
        <v>0</v>
      </c>
      <c r="CZ1873" s="330"/>
    </row>
    <row r="1874" spans="1:104" ht="15" customHeight="1" x14ac:dyDescent="0.25">
      <c r="A1874" s="684">
        <f>MAX($A$6:A1873)+1</f>
        <v>1874</v>
      </c>
      <c r="B1874" s="1060">
        <f t="shared" si="1161"/>
        <v>50</v>
      </c>
      <c r="C1874" s="292" t="str">
        <f t="shared" si="1162"/>
        <v>Staff Data</v>
      </c>
      <c r="D1874" s="11" t="s">
        <v>1426</v>
      </c>
      <c r="E1874" s="7" t="s">
        <v>181</v>
      </c>
      <c r="F1874" s="7"/>
      <c r="G1874" s="1254" t="s">
        <v>286</v>
      </c>
      <c r="H1874" s="6"/>
      <c r="I1874" s="6"/>
      <c r="J1874" s="1257" t="s">
        <v>820</v>
      </c>
      <c r="K1874" s="946">
        <f>SUMIF('alb A - Staff data'!$A:$A,$J1874,'alb A - Staff data'!$C:$C)</f>
        <v>0</v>
      </c>
      <c r="L1874" s="266"/>
      <c r="M1874" s="2"/>
      <c r="N1874" s="273">
        <f t="shared" si="1163"/>
        <v>0</v>
      </c>
      <c r="O1874" s="12"/>
      <c r="P1874" s="12"/>
      <c r="Q1874" s="12"/>
      <c r="R1874" s="12"/>
      <c r="S1874" s="6"/>
      <c r="T1874" s="273">
        <f t="shared" si="1142"/>
        <v>0</v>
      </c>
      <c r="U1874" s="6">
        <f t="shared" si="1152"/>
        <v>0</v>
      </c>
      <c r="V1874" s="6"/>
      <c r="W1874" s="6">
        <f t="shared" si="1148"/>
        <v>0</v>
      </c>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X1874" s="6"/>
      <c r="AY1874" s="6"/>
      <c r="BA1874" s="6"/>
      <c r="BB1874" s="6"/>
      <c r="BC1874" s="6"/>
      <c r="BD1874" s="6"/>
      <c r="BE1874" s="1191"/>
      <c r="BF1874" s="1191"/>
      <c r="BG1874" s="1191"/>
      <c r="BH1874" s="1191"/>
      <c r="BI1874" s="1191"/>
      <c r="BJ1874" s="1191"/>
      <c r="BK1874" s="1190">
        <f t="shared" si="1157"/>
        <v>0</v>
      </c>
      <c r="BL1874" s="317"/>
      <c r="BM1874" s="317"/>
      <c r="BN1874" s="317"/>
      <c r="BO1874" s="317"/>
      <c r="BP1874" s="1191"/>
      <c r="BQ1874" s="317"/>
      <c r="BR1874" s="317"/>
      <c r="BS1874" s="1191"/>
      <c r="BT1874" s="317"/>
      <c r="BU1874" s="317"/>
      <c r="BV1874" s="317"/>
      <c r="BW1874" s="317"/>
      <c r="BX1874" s="317"/>
      <c r="BY1874" s="317"/>
      <c r="BZ1874" s="317"/>
      <c r="CA1874" s="317"/>
      <c r="CB1874" s="317"/>
      <c r="CC1874" s="1191"/>
      <c r="CD1874" s="1191"/>
      <c r="CE1874" s="1191"/>
      <c r="CF1874" s="1191"/>
      <c r="CG1874" s="1191"/>
      <c r="CH1874" s="1191"/>
      <c r="CI1874" s="317"/>
      <c r="CM1874" s="1139">
        <f t="shared" si="1160"/>
        <v>0</v>
      </c>
      <c r="CN1874" s="1139"/>
      <c r="CP1874" s="923">
        <f t="shared" si="1159"/>
        <v>0</v>
      </c>
      <c r="CZ1874" s="330"/>
    </row>
    <row r="1875" spans="1:104" ht="18.75" customHeight="1" x14ac:dyDescent="0.25">
      <c r="A1875" s="684">
        <f>MAX($A$6:A1874)+1</f>
        <v>1875</v>
      </c>
      <c r="B1875" s="1295">
        <f>SUMIF(Update!$B$33:$B$106,C1875,Update!$A$33:$A$106)</f>
        <v>51</v>
      </c>
      <c r="C1875" s="696" t="s">
        <v>928</v>
      </c>
      <c r="D1875" s="695"/>
      <c r="E1875" s="696" t="str">
        <f>B1875&amp;" "&amp;C1875</f>
        <v>51 Staff Report</v>
      </c>
      <c r="F1875" s="697"/>
      <c r="G1875" s="697"/>
      <c r="H1875" s="695"/>
      <c r="I1875" s="695"/>
      <c r="J1875" s="1010" t="s">
        <v>286</v>
      </c>
      <c r="K1875" s="699">
        <f>SUMIF('alb A - Staff data'!$A:$A,$J1875,'alb A - Staff data'!$B:$B)</f>
        <v>0</v>
      </c>
      <c r="L1875" s="699"/>
      <c r="M1875" s="695"/>
      <c r="N1875" s="713">
        <f t="shared" si="1163"/>
        <v>0</v>
      </c>
      <c r="O1875" s="695"/>
      <c r="P1875" s="695"/>
      <c r="Q1875" s="695"/>
      <c r="R1875" s="695"/>
      <c r="S1875" s="695">
        <f t="shared" ref="S1875:S1889" si="1164">-IF(ISNUMBER(BD1875),BD1875,0)</f>
        <v>0</v>
      </c>
      <c r="T1875" s="713">
        <f t="shared" si="1142"/>
        <v>0</v>
      </c>
      <c r="U1875" s="695"/>
      <c r="V1875" s="695"/>
      <c r="W1875" s="695"/>
      <c r="X1875" s="695"/>
      <c r="Y1875" s="695"/>
      <c r="Z1875" s="695"/>
      <c r="AA1875" s="695"/>
      <c r="AB1875" s="695"/>
      <c r="AC1875" s="695"/>
      <c r="AD1875" s="695"/>
      <c r="AE1875" s="695"/>
      <c r="AF1875" s="695"/>
      <c r="AG1875" s="695"/>
      <c r="AH1875" s="695"/>
      <c r="AI1875" s="695"/>
      <c r="AJ1875" s="695"/>
      <c r="AK1875" s="695"/>
      <c r="AL1875" s="695"/>
      <c r="AM1875" s="695"/>
      <c r="AN1875" s="695"/>
      <c r="AO1875" s="695"/>
      <c r="AP1875" s="695"/>
      <c r="AQ1875" s="695"/>
      <c r="AR1875" s="695"/>
      <c r="AS1875" s="695"/>
      <c r="AT1875" s="695"/>
      <c r="AU1875" s="695"/>
      <c r="AV1875" s="695"/>
      <c r="AW1875" s="700"/>
      <c r="AX1875" s="700"/>
      <c r="AY1875" s="700">
        <f>ROUND(AX1875/1000/Update!$B$31*Update!$B$27,0)</f>
        <v>0</v>
      </c>
      <c r="AZ1875" s="700"/>
      <c r="BA1875" s="700"/>
      <c r="BB1875" s="700">
        <f>ROUND(BA1875/1000/Update!$B$31,0)</f>
        <v>0</v>
      </c>
      <c r="BC1875" s="700"/>
      <c r="BD1875" s="721">
        <f t="shared" si="1143"/>
        <v>0</v>
      </c>
      <c r="BE1875" s="700"/>
      <c r="BF1875" s="700"/>
      <c r="BG1875" s="700"/>
      <c r="BH1875" s="700"/>
      <c r="BI1875" s="700"/>
      <c r="BJ1875" s="700"/>
      <c r="BK1875" s="721">
        <f t="shared" si="1157"/>
        <v>0</v>
      </c>
      <c r="BL1875" s="317"/>
      <c r="BM1875" s="317"/>
      <c r="BN1875" s="317"/>
      <c r="BO1875" s="317"/>
      <c r="BP1875" s="700"/>
      <c r="BQ1875" s="317"/>
      <c r="BR1875" s="317"/>
      <c r="BS1875" s="700"/>
      <c r="BT1875" s="317"/>
      <c r="BU1875" s="317"/>
      <c r="BV1875" s="317"/>
      <c r="BW1875" s="317"/>
      <c r="BX1875" s="317"/>
      <c r="BY1875" s="317"/>
      <c r="BZ1875" s="317"/>
      <c r="CA1875" s="317"/>
      <c r="CB1875" s="317"/>
      <c r="CC1875" s="700"/>
      <c r="CD1875" s="700"/>
      <c r="CE1875" s="700"/>
      <c r="CF1875" s="700"/>
      <c r="CG1875" s="700"/>
      <c r="CH1875" s="700"/>
      <c r="CI1875" s="317"/>
      <c r="CJ1875" s="700"/>
      <c r="CK1875" s="700"/>
      <c r="CM1875" s="700">
        <f t="shared" si="1160"/>
        <v>0</v>
      </c>
      <c r="CN1875" s="700">
        <v>0</v>
      </c>
      <c r="CP1875" s="923">
        <f t="shared" si="1159"/>
        <v>0</v>
      </c>
      <c r="CZ1875" s="330"/>
    </row>
    <row r="1876" spans="1:104" ht="25.5" customHeight="1" x14ac:dyDescent="0.25">
      <c r="A1876" s="684">
        <f>MAX($A$6:A1875)+1</f>
        <v>1876</v>
      </c>
      <c r="B1876" s="1060">
        <f t="shared" ref="B1876:B1891" si="1165">B1875</f>
        <v>51</v>
      </c>
      <c r="C1876" s="292" t="str">
        <f t="shared" ref="C1876:C1891" si="1166">C1875</f>
        <v>Staff Report</v>
      </c>
      <c r="D1876" s="11" t="s">
        <v>1789</v>
      </c>
      <c r="E1876" s="7" t="s">
        <v>1788</v>
      </c>
      <c r="F1876" s="7"/>
      <c r="G1876" s="1284" t="s">
        <v>1788</v>
      </c>
      <c r="H1876" s="6">
        <v>0</v>
      </c>
      <c r="I1876" s="6"/>
      <c r="J1876" s="1270" t="s">
        <v>1788</v>
      </c>
      <c r="K1876" s="251">
        <f>SUMIF('alb A - Staff Report'!$A:$A,$J1876,'alb A - Staff Report'!$B:$B)</f>
        <v>0</v>
      </c>
      <c r="L1876" s="266"/>
      <c r="M1876" s="2"/>
      <c r="N1876" s="273">
        <f t="shared" si="1163"/>
        <v>0</v>
      </c>
      <c r="O1876" s="12"/>
      <c r="P1876" s="12"/>
      <c r="Q1876" s="12"/>
      <c r="R1876" s="12"/>
      <c r="S1876" s="6">
        <f t="shared" si="1164"/>
        <v>0</v>
      </c>
      <c r="T1876" s="273">
        <f t="shared" si="1142"/>
        <v>0</v>
      </c>
      <c r="U1876" s="6"/>
      <c r="V1876" s="6"/>
      <c r="W1876" s="6">
        <f t="shared" ref="W1876:W1940" si="1167">+H1876</f>
        <v>0</v>
      </c>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X1876" s="6"/>
      <c r="AY1876" s="6">
        <f>ROUND(AX1876/1000/Update!$B$31*Update!$B$27,0)</f>
        <v>0</v>
      </c>
      <c r="BA1876" s="6"/>
      <c r="BB1876" s="6">
        <f>ROUND(BA1876/1000/Update!$B$31,0)</f>
        <v>0</v>
      </c>
      <c r="BC1876" s="6"/>
      <c r="BD1876" s="6">
        <f t="shared" si="1143"/>
        <v>0</v>
      </c>
      <c r="BE1876" s="317"/>
      <c r="BF1876" s="317"/>
      <c r="BG1876" s="317"/>
      <c r="BH1876" s="317"/>
      <c r="BI1876" s="317"/>
      <c r="BJ1876" s="317"/>
      <c r="BK1876" s="6">
        <f t="shared" si="1157"/>
        <v>0</v>
      </c>
      <c r="BL1876" s="317"/>
      <c r="BM1876" s="317"/>
      <c r="BN1876" s="317"/>
      <c r="BO1876" s="317"/>
      <c r="BP1876" s="317"/>
      <c r="BQ1876" s="317"/>
      <c r="BR1876" s="317"/>
      <c r="BS1876" s="317"/>
      <c r="BT1876" s="317"/>
      <c r="BU1876" s="317"/>
      <c r="BV1876" s="317"/>
      <c r="BW1876" s="317"/>
      <c r="BX1876" s="317"/>
      <c r="BY1876" s="317"/>
      <c r="BZ1876" s="317"/>
      <c r="CA1876" s="317"/>
      <c r="CB1876" s="317"/>
      <c r="CC1876" s="317"/>
      <c r="CD1876" s="317"/>
      <c r="CE1876" s="317"/>
      <c r="CF1876" s="317"/>
      <c r="CG1876" s="317"/>
      <c r="CH1876" s="317"/>
      <c r="CI1876" s="317"/>
      <c r="CM1876" s="1139">
        <f t="shared" si="1160"/>
        <v>0</v>
      </c>
      <c r="CN1876" s="1139">
        <v>0</v>
      </c>
      <c r="CP1876" s="923">
        <f t="shared" si="1159"/>
        <v>0</v>
      </c>
      <c r="CZ1876" s="330"/>
    </row>
    <row r="1877" spans="1:104" ht="30" customHeight="1" x14ac:dyDescent="0.25">
      <c r="A1877" s="684">
        <f>MAX($A$6:A1876)+1</f>
        <v>1877</v>
      </c>
      <c r="B1877" s="1060">
        <f t="shared" si="1165"/>
        <v>51</v>
      </c>
      <c r="C1877" s="292" t="str">
        <f t="shared" si="1166"/>
        <v>Staff Report</v>
      </c>
      <c r="D1877" s="11" t="s">
        <v>1789</v>
      </c>
      <c r="E1877" s="7" t="s">
        <v>1787</v>
      </c>
      <c r="F1877" s="7"/>
      <c r="G1877" s="1285" t="s">
        <v>1787</v>
      </c>
      <c r="H1877" s="6">
        <v>0</v>
      </c>
      <c r="I1877" s="6"/>
      <c r="J1877" s="1271" t="s">
        <v>1787</v>
      </c>
      <c r="K1877" s="251">
        <f>SUMIF('alb A - Staff Report'!$A:$A,$J1877,'alb A - Staff Report'!$B:$B)</f>
        <v>0</v>
      </c>
      <c r="L1877" s="266"/>
      <c r="M1877" s="2"/>
      <c r="N1877" s="273">
        <f t="shared" si="1163"/>
        <v>0</v>
      </c>
      <c r="O1877" s="12"/>
      <c r="P1877" s="12"/>
      <c r="Q1877" s="12"/>
      <c r="R1877" s="12"/>
      <c r="S1877" s="6">
        <f t="shared" si="1164"/>
        <v>0</v>
      </c>
      <c r="T1877" s="273">
        <f t="shared" si="1142"/>
        <v>0</v>
      </c>
      <c r="U1877" s="6"/>
      <c r="V1877" s="6"/>
      <c r="W1877" s="6">
        <f t="shared" si="1167"/>
        <v>0</v>
      </c>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X1877" s="6"/>
      <c r="AY1877" s="6">
        <f>ROUND(AX1877/1000/Update!$B$31*Update!$B$27,0)</f>
        <v>0</v>
      </c>
      <c r="BA1877" s="6"/>
      <c r="BB1877" s="6">
        <f>ROUND(BA1877/1000/Update!$B$31,0)</f>
        <v>0</v>
      </c>
      <c r="BC1877" s="6"/>
      <c r="BD1877" s="6">
        <f t="shared" si="1143"/>
        <v>0</v>
      </c>
      <c r="BE1877" s="317"/>
      <c r="BF1877" s="317"/>
      <c r="BG1877" s="317"/>
      <c r="BH1877" s="317"/>
      <c r="BI1877" s="317"/>
      <c r="BJ1877" s="317"/>
      <c r="BK1877" s="6">
        <f t="shared" si="1157"/>
        <v>0</v>
      </c>
      <c r="BL1877" s="317"/>
      <c r="BM1877" s="317"/>
      <c r="BN1877" s="317"/>
      <c r="BO1877" s="317"/>
      <c r="BP1877" s="317"/>
      <c r="BQ1877" s="317"/>
      <c r="BR1877" s="317"/>
      <c r="BS1877" s="317"/>
      <c r="BT1877" s="317"/>
      <c r="BU1877" s="317"/>
      <c r="BV1877" s="317"/>
      <c r="BW1877" s="317"/>
      <c r="BX1877" s="317"/>
      <c r="BY1877" s="317"/>
      <c r="BZ1877" s="317"/>
      <c r="CA1877" s="317"/>
      <c r="CB1877" s="317"/>
      <c r="CC1877" s="317"/>
      <c r="CD1877" s="317"/>
      <c r="CE1877" s="317"/>
      <c r="CF1877" s="317"/>
      <c r="CG1877" s="317"/>
      <c r="CH1877" s="317"/>
      <c r="CI1877" s="317"/>
      <c r="CM1877" s="1139">
        <f t="shared" si="1160"/>
        <v>0</v>
      </c>
      <c r="CN1877" s="1139">
        <v>0</v>
      </c>
      <c r="CP1877" s="923">
        <f t="shared" si="1159"/>
        <v>0</v>
      </c>
      <c r="CZ1877" s="330"/>
    </row>
    <row r="1878" spans="1:104" ht="15" customHeight="1" x14ac:dyDescent="0.25">
      <c r="A1878" s="684">
        <f>MAX($A$6:A1877)+1</f>
        <v>1878</v>
      </c>
      <c r="B1878" s="1060">
        <f t="shared" si="1165"/>
        <v>51</v>
      </c>
      <c r="C1878" s="292" t="str">
        <f t="shared" si="1166"/>
        <v>Staff Report</v>
      </c>
      <c r="D1878" s="11" t="s">
        <v>1789</v>
      </c>
      <c r="E1878" s="7" t="s">
        <v>1747</v>
      </c>
      <c r="F1878" s="7"/>
      <c r="G1878" s="1286" t="s">
        <v>1747</v>
      </c>
      <c r="H1878" s="6">
        <v>0</v>
      </c>
      <c r="I1878" s="6"/>
      <c r="J1878" s="1272" t="s">
        <v>1747</v>
      </c>
      <c r="K1878" s="251">
        <f>SUMIF('alb A - Staff Report'!$A:$A,$J1878,'alb A - Staff Report'!$B:$B)</f>
        <v>0</v>
      </c>
      <c r="L1878" s="266"/>
      <c r="M1878" s="2"/>
      <c r="N1878" s="273">
        <f t="shared" si="1163"/>
        <v>0</v>
      </c>
      <c r="O1878" s="12"/>
      <c r="P1878" s="12"/>
      <c r="Q1878" s="12"/>
      <c r="R1878" s="12"/>
      <c r="S1878" s="6">
        <f t="shared" si="1164"/>
        <v>0</v>
      </c>
      <c r="T1878" s="273">
        <f t="shared" si="1142"/>
        <v>0</v>
      </c>
      <c r="U1878" s="251"/>
      <c r="V1878" s="251"/>
      <c r="W1878" s="251">
        <f t="shared" si="1167"/>
        <v>0</v>
      </c>
      <c r="X1878" s="251"/>
      <c r="Y1878" s="251"/>
      <c r="Z1878" s="251"/>
      <c r="AA1878" s="251"/>
      <c r="AB1878" s="251"/>
      <c r="AC1878" s="251"/>
      <c r="AD1878" s="251"/>
      <c r="AE1878" s="251"/>
      <c r="AF1878" s="251"/>
      <c r="AG1878" s="251"/>
      <c r="AH1878" s="251"/>
      <c r="AI1878" s="251"/>
      <c r="AJ1878" s="251"/>
      <c r="AK1878" s="251"/>
      <c r="AL1878" s="251"/>
      <c r="AM1878" s="251"/>
      <c r="AN1878" s="251"/>
      <c r="AO1878" s="251"/>
      <c r="AP1878" s="251"/>
      <c r="AQ1878" s="251"/>
      <c r="AR1878" s="251"/>
      <c r="AS1878" s="251"/>
      <c r="AT1878" s="251"/>
      <c r="AU1878" s="251"/>
      <c r="AV1878" s="251"/>
      <c r="AX1878" s="6"/>
      <c r="AY1878" s="6">
        <f>ROUND(AX1878/1000/Update!$B$31*Update!$B$27,0)</f>
        <v>0</v>
      </c>
      <c r="BA1878" s="6"/>
      <c r="BB1878" s="6">
        <f>ROUND(BA1878/1000/Update!$B$31,0)</f>
        <v>0</v>
      </c>
      <c r="BC1878" s="6"/>
      <c r="BD1878" s="6">
        <f t="shared" si="1143"/>
        <v>0</v>
      </c>
      <c r="BE1878" s="317"/>
      <c r="BF1878" s="317"/>
      <c r="BG1878" s="317"/>
      <c r="BH1878" s="317"/>
      <c r="BI1878" s="317"/>
      <c r="BJ1878" s="317"/>
      <c r="BK1878" s="6">
        <f t="shared" si="1157"/>
        <v>0</v>
      </c>
      <c r="BL1878" s="317"/>
      <c r="BM1878" s="317"/>
      <c r="BN1878" s="317"/>
      <c r="BO1878" s="317"/>
      <c r="BP1878" s="317"/>
      <c r="BQ1878" s="317"/>
      <c r="BR1878" s="317"/>
      <c r="BS1878" s="317"/>
      <c r="BT1878" s="317"/>
      <c r="BU1878" s="317"/>
      <c r="BV1878" s="317"/>
      <c r="BW1878" s="317"/>
      <c r="BX1878" s="317"/>
      <c r="BY1878" s="317"/>
      <c r="BZ1878" s="317"/>
      <c r="CA1878" s="317"/>
      <c r="CB1878" s="317"/>
      <c r="CC1878" s="317"/>
      <c r="CD1878" s="317"/>
      <c r="CE1878" s="317"/>
      <c r="CF1878" s="317"/>
      <c r="CG1878" s="317"/>
      <c r="CH1878" s="317"/>
      <c r="CI1878" s="317"/>
      <c r="CM1878" s="1139">
        <f t="shared" si="1160"/>
        <v>0</v>
      </c>
      <c r="CN1878" s="1139">
        <v>0</v>
      </c>
      <c r="CP1878" s="923">
        <f t="shared" si="1159"/>
        <v>0</v>
      </c>
      <c r="CZ1878" s="330"/>
    </row>
    <row r="1879" spans="1:104" ht="25.5" customHeight="1" x14ac:dyDescent="0.25">
      <c r="A1879" s="684">
        <f>MAX($A$6:A1878)+1</f>
        <v>1879</v>
      </c>
      <c r="B1879" s="1060">
        <f t="shared" si="1165"/>
        <v>51</v>
      </c>
      <c r="C1879" s="292" t="str">
        <f t="shared" si="1166"/>
        <v>Staff Report</v>
      </c>
      <c r="D1879" s="11" t="s">
        <v>1790</v>
      </c>
      <c r="E1879" s="7" t="s">
        <v>1788</v>
      </c>
      <c r="F1879" s="7"/>
      <c r="G1879" s="1284" t="s">
        <v>1788</v>
      </c>
      <c r="H1879" s="6">
        <v>0</v>
      </c>
      <c r="I1879" s="6"/>
      <c r="J1879" s="1270" t="s">
        <v>1788</v>
      </c>
      <c r="K1879" s="251">
        <f>SUMIF('alb A - Staff Report'!$A:$A,$J1879,'alb A - Staff Report'!$C:$C)</f>
        <v>0</v>
      </c>
      <c r="L1879" s="266"/>
      <c r="M1879" s="2"/>
      <c r="N1879" s="273">
        <f t="shared" si="1163"/>
        <v>0</v>
      </c>
      <c r="O1879" s="12"/>
      <c r="P1879" s="12"/>
      <c r="Q1879" s="12"/>
      <c r="R1879" s="12"/>
      <c r="S1879" s="6">
        <f t="shared" si="1164"/>
        <v>0</v>
      </c>
      <c r="T1879" s="273">
        <f t="shared" si="1142"/>
        <v>0</v>
      </c>
      <c r="U1879" s="6"/>
      <c r="V1879" s="6"/>
      <c r="W1879" s="6">
        <f t="shared" si="1167"/>
        <v>0</v>
      </c>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X1879" s="6"/>
      <c r="AY1879" s="6">
        <f>ROUND(AX1879/1000/Update!$B$31*Update!$B$27,0)</f>
        <v>0</v>
      </c>
      <c r="BA1879" s="6"/>
      <c r="BB1879" s="6">
        <f>ROUND(BA1879/1000/Update!$B$31,0)</f>
        <v>0</v>
      </c>
      <c r="BC1879" s="6"/>
      <c r="BD1879" s="6">
        <f t="shared" si="1143"/>
        <v>0</v>
      </c>
      <c r="BE1879" s="317"/>
      <c r="BF1879" s="317"/>
      <c r="BG1879" s="317"/>
      <c r="BH1879" s="317"/>
      <c r="BI1879" s="317"/>
      <c r="BJ1879" s="317"/>
      <c r="BK1879" s="6">
        <f t="shared" si="1157"/>
        <v>0</v>
      </c>
      <c r="BL1879" s="317"/>
      <c r="BM1879" s="317"/>
      <c r="BN1879" s="317"/>
      <c r="BO1879" s="317"/>
      <c r="BP1879" s="317"/>
      <c r="BQ1879" s="317"/>
      <c r="BR1879" s="317"/>
      <c r="BS1879" s="317"/>
      <c r="BT1879" s="317"/>
      <c r="BU1879" s="317"/>
      <c r="BV1879" s="317"/>
      <c r="BW1879" s="317"/>
      <c r="BX1879" s="317"/>
      <c r="BY1879" s="317"/>
      <c r="BZ1879" s="317"/>
      <c r="CA1879" s="317"/>
      <c r="CB1879" s="317"/>
      <c r="CC1879" s="317"/>
      <c r="CD1879" s="317"/>
      <c r="CE1879" s="317"/>
      <c r="CF1879" s="317"/>
      <c r="CG1879" s="317"/>
      <c r="CH1879" s="317"/>
      <c r="CI1879" s="317"/>
      <c r="CM1879" s="1139">
        <f t="shared" si="1160"/>
        <v>0</v>
      </c>
      <c r="CN1879" s="1139">
        <v>0</v>
      </c>
      <c r="CP1879" s="923">
        <f t="shared" si="1159"/>
        <v>0</v>
      </c>
      <c r="CZ1879" s="330"/>
    </row>
    <row r="1880" spans="1:104" ht="30" customHeight="1" x14ac:dyDescent="0.25">
      <c r="A1880" s="684">
        <f>MAX($A$6:A1879)+1</f>
        <v>1880</v>
      </c>
      <c r="B1880" s="1060">
        <f t="shared" si="1165"/>
        <v>51</v>
      </c>
      <c r="C1880" s="292" t="str">
        <f t="shared" si="1166"/>
        <v>Staff Report</v>
      </c>
      <c r="D1880" s="11" t="s">
        <v>1790</v>
      </c>
      <c r="E1880" s="7" t="s">
        <v>1787</v>
      </c>
      <c r="F1880" s="7"/>
      <c r="G1880" s="1285" t="s">
        <v>1787</v>
      </c>
      <c r="H1880" s="6">
        <v>0</v>
      </c>
      <c r="I1880" s="6"/>
      <c r="J1880" s="1271" t="s">
        <v>1787</v>
      </c>
      <c r="K1880" s="251">
        <f>SUMIF('alb A - Staff Report'!$A:$A,$J1880,'alb A - Staff Report'!$C:$C)</f>
        <v>0</v>
      </c>
      <c r="L1880" s="266"/>
      <c r="M1880" s="2"/>
      <c r="N1880" s="273">
        <f t="shared" si="1163"/>
        <v>0</v>
      </c>
      <c r="O1880" s="12"/>
      <c r="P1880" s="12"/>
      <c r="Q1880" s="12"/>
      <c r="R1880" s="12"/>
      <c r="S1880" s="6">
        <f t="shared" si="1164"/>
        <v>0</v>
      </c>
      <c r="T1880" s="273">
        <f t="shared" si="1142"/>
        <v>0</v>
      </c>
      <c r="U1880" s="6"/>
      <c r="V1880" s="6"/>
      <c r="W1880" s="6">
        <f t="shared" si="1167"/>
        <v>0</v>
      </c>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X1880" s="6"/>
      <c r="AY1880" s="6">
        <f>ROUND(AX1880/1000/Update!$B$31*Update!$B$27,0)</f>
        <v>0</v>
      </c>
      <c r="BA1880" s="6"/>
      <c r="BB1880" s="6">
        <f>ROUND(BA1880/1000/Update!$B$31,0)</f>
        <v>0</v>
      </c>
      <c r="BC1880" s="6"/>
      <c r="BD1880" s="6">
        <f t="shared" si="1143"/>
        <v>0</v>
      </c>
      <c r="BE1880" s="317"/>
      <c r="BF1880" s="317"/>
      <c r="BG1880" s="317"/>
      <c r="BH1880" s="317"/>
      <c r="BI1880" s="317"/>
      <c r="BJ1880" s="317"/>
      <c r="BK1880" s="6">
        <f t="shared" si="1157"/>
        <v>0</v>
      </c>
      <c r="BL1880" s="317"/>
      <c r="BM1880" s="317"/>
      <c r="BN1880" s="317"/>
      <c r="BO1880" s="317"/>
      <c r="BP1880" s="317"/>
      <c r="BQ1880" s="317"/>
      <c r="BR1880" s="317"/>
      <c r="BS1880" s="317"/>
      <c r="BT1880" s="317"/>
      <c r="BU1880" s="317"/>
      <c r="BV1880" s="317"/>
      <c r="BW1880" s="317"/>
      <c r="BX1880" s="317"/>
      <c r="BY1880" s="317"/>
      <c r="BZ1880" s="317"/>
      <c r="CA1880" s="317"/>
      <c r="CB1880" s="317"/>
      <c r="CC1880" s="317"/>
      <c r="CD1880" s="317"/>
      <c r="CE1880" s="317"/>
      <c r="CF1880" s="317"/>
      <c r="CG1880" s="317"/>
      <c r="CH1880" s="317"/>
      <c r="CI1880" s="317"/>
      <c r="CM1880" s="1139">
        <f t="shared" si="1160"/>
        <v>0</v>
      </c>
      <c r="CN1880" s="1139">
        <v>0</v>
      </c>
      <c r="CP1880" s="923">
        <f t="shared" si="1159"/>
        <v>0</v>
      </c>
      <c r="CZ1880" s="330"/>
    </row>
    <row r="1881" spans="1:104" ht="15" customHeight="1" x14ac:dyDescent="0.25">
      <c r="A1881" s="684">
        <f>MAX($A$6:A1880)+1</f>
        <v>1881</v>
      </c>
      <c r="B1881" s="1060">
        <f t="shared" si="1165"/>
        <v>51</v>
      </c>
      <c r="C1881" s="292" t="str">
        <f t="shared" si="1166"/>
        <v>Staff Report</v>
      </c>
      <c r="D1881" s="11" t="s">
        <v>1790</v>
      </c>
      <c r="E1881" s="7" t="s">
        <v>1747</v>
      </c>
      <c r="F1881" s="7"/>
      <c r="G1881" s="1286" t="s">
        <v>1747</v>
      </c>
      <c r="H1881" s="6">
        <v>0</v>
      </c>
      <c r="I1881" s="6"/>
      <c r="J1881" s="1272" t="s">
        <v>1747</v>
      </c>
      <c r="K1881" s="251">
        <f>SUMIF('alb A - Staff Report'!$A:$A,$J1881,'alb A - Staff Report'!$C:$C)</f>
        <v>0</v>
      </c>
      <c r="L1881" s="266"/>
      <c r="M1881" s="2"/>
      <c r="N1881" s="273">
        <f t="shared" si="1163"/>
        <v>0</v>
      </c>
      <c r="O1881" s="12"/>
      <c r="P1881" s="12"/>
      <c r="Q1881" s="12"/>
      <c r="R1881" s="12"/>
      <c r="S1881" s="6">
        <f t="shared" si="1164"/>
        <v>0</v>
      </c>
      <c r="T1881" s="273">
        <f t="shared" si="1142"/>
        <v>0</v>
      </c>
      <c r="U1881" s="251"/>
      <c r="V1881" s="251"/>
      <c r="W1881" s="251">
        <f t="shared" si="1167"/>
        <v>0</v>
      </c>
      <c r="X1881" s="251"/>
      <c r="Y1881" s="251"/>
      <c r="Z1881" s="251"/>
      <c r="AA1881" s="251"/>
      <c r="AB1881" s="251"/>
      <c r="AC1881" s="251"/>
      <c r="AD1881" s="251"/>
      <c r="AE1881" s="251"/>
      <c r="AF1881" s="251"/>
      <c r="AG1881" s="251"/>
      <c r="AH1881" s="251"/>
      <c r="AI1881" s="251"/>
      <c r="AJ1881" s="251"/>
      <c r="AK1881" s="251"/>
      <c r="AL1881" s="251"/>
      <c r="AM1881" s="251"/>
      <c r="AN1881" s="251"/>
      <c r="AO1881" s="251"/>
      <c r="AP1881" s="251"/>
      <c r="AQ1881" s="251"/>
      <c r="AR1881" s="251"/>
      <c r="AS1881" s="251"/>
      <c r="AT1881" s="251"/>
      <c r="AU1881" s="251"/>
      <c r="AV1881" s="251"/>
      <c r="AX1881" s="6"/>
      <c r="AY1881" s="6">
        <f>ROUND(AX1881/1000/Update!$B$31*Update!$B$27,0)</f>
        <v>0</v>
      </c>
      <c r="BA1881" s="6"/>
      <c r="BB1881" s="6">
        <f>ROUND(BA1881/1000/Update!$B$31,0)</f>
        <v>0</v>
      </c>
      <c r="BC1881" s="6"/>
      <c r="BD1881" s="6">
        <f t="shared" si="1143"/>
        <v>0</v>
      </c>
      <c r="BE1881" s="317"/>
      <c r="BF1881" s="317"/>
      <c r="BG1881" s="317"/>
      <c r="BH1881" s="317"/>
      <c r="BI1881" s="317"/>
      <c r="BJ1881" s="317"/>
      <c r="BK1881" s="6">
        <f t="shared" si="1157"/>
        <v>0</v>
      </c>
      <c r="BL1881" s="317"/>
      <c r="BM1881" s="317"/>
      <c r="BN1881" s="317"/>
      <c r="BO1881" s="317"/>
      <c r="BP1881" s="317"/>
      <c r="BQ1881" s="317"/>
      <c r="BR1881" s="317"/>
      <c r="BS1881" s="317"/>
      <c r="BT1881" s="317"/>
      <c r="BU1881" s="317"/>
      <c r="BV1881" s="317"/>
      <c r="BW1881" s="317"/>
      <c r="BX1881" s="317"/>
      <c r="BY1881" s="317"/>
      <c r="BZ1881" s="317"/>
      <c r="CA1881" s="317"/>
      <c r="CB1881" s="317"/>
      <c r="CC1881" s="317"/>
      <c r="CD1881" s="317"/>
      <c r="CE1881" s="317"/>
      <c r="CF1881" s="317"/>
      <c r="CG1881" s="317"/>
      <c r="CH1881" s="317"/>
      <c r="CI1881" s="317"/>
      <c r="CM1881" s="1139">
        <f t="shared" si="1160"/>
        <v>0</v>
      </c>
      <c r="CN1881" s="1139">
        <v>0</v>
      </c>
      <c r="CP1881" s="923">
        <f t="shared" si="1159"/>
        <v>0</v>
      </c>
      <c r="CZ1881" s="330"/>
    </row>
    <row r="1882" spans="1:104" ht="30" customHeight="1" x14ac:dyDescent="0.25">
      <c r="A1882" s="684">
        <f>MAX($A$6:A1881)+1</f>
        <v>1882</v>
      </c>
      <c r="B1882" s="1060">
        <f t="shared" si="1165"/>
        <v>51</v>
      </c>
      <c r="C1882" s="292" t="str">
        <f t="shared" si="1166"/>
        <v>Staff Report</v>
      </c>
      <c r="D1882" s="11" t="s">
        <v>1791</v>
      </c>
      <c r="E1882" s="7" t="s">
        <v>1793</v>
      </c>
      <c r="F1882" s="7"/>
      <c r="G1882" s="1284" t="s">
        <v>1793</v>
      </c>
      <c r="H1882" s="6">
        <v>0</v>
      </c>
      <c r="I1882" s="6"/>
      <c r="J1882" s="1270" t="s">
        <v>1793</v>
      </c>
      <c r="K1882" s="251">
        <f>'alb A - Staff Report'!B14</f>
        <v>0</v>
      </c>
      <c r="L1882" s="266"/>
      <c r="M1882" s="2"/>
      <c r="N1882" s="273">
        <f t="shared" si="1163"/>
        <v>0</v>
      </c>
      <c r="O1882" s="12"/>
      <c r="P1882" s="12"/>
      <c r="Q1882" s="12"/>
      <c r="R1882" s="12"/>
      <c r="S1882" s="6">
        <f t="shared" si="1164"/>
        <v>0</v>
      </c>
      <c r="T1882" s="273">
        <f t="shared" si="1142"/>
        <v>0</v>
      </c>
      <c r="U1882" s="6"/>
      <c r="V1882" s="6"/>
      <c r="W1882" s="6">
        <f t="shared" si="1167"/>
        <v>0</v>
      </c>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X1882" s="6"/>
      <c r="AY1882" s="6">
        <f>ROUND(AX1882/1000/Update!$B$31*Update!$B$27,0)</f>
        <v>0</v>
      </c>
      <c r="BA1882" s="6"/>
      <c r="BB1882" s="6">
        <f>ROUND(BA1882/1000/Update!$B$31,0)</f>
        <v>0</v>
      </c>
      <c r="BC1882" s="6"/>
      <c r="BD1882" s="6">
        <f t="shared" si="1143"/>
        <v>0</v>
      </c>
      <c r="BE1882" s="317"/>
      <c r="BF1882" s="317"/>
      <c r="BG1882" s="317"/>
      <c r="BH1882" s="317"/>
      <c r="BI1882" s="317"/>
      <c r="BJ1882" s="317"/>
      <c r="BK1882" s="6">
        <f t="shared" si="1157"/>
        <v>0</v>
      </c>
      <c r="BL1882" s="317"/>
      <c r="BM1882" s="317"/>
      <c r="BN1882" s="317"/>
      <c r="BO1882" s="317"/>
      <c r="BP1882" s="317"/>
      <c r="BQ1882" s="317"/>
      <c r="BR1882" s="317"/>
      <c r="BS1882" s="317"/>
      <c r="BT1882" s="317"/>
      <c r="BU1882" s="317"/>
      <c r="BV1882" s="317"/>
      <c r="BW1882" s="317"/>
      <c r="BX1882" s="317"/>
      <c r="BY1882" s="317"/>
      <c r="BZ1882" s="317"/>
      <c r="CA1882" s="317"/>
      <c r="CB1882" s="317"/>
      <c r="CC1882" s="317"/>
      <c r="CD1882" s="317"/>
      <c r="CE1882" s="317"/>
      <c r="CF1882" s="317"/>
      <c r="CG1882" s="317"/>
      <c r="CH1882" s="317"/>
      <c r="CI1882" s="317"/>
      <c r="CM1882" s="1139">
        <f t="shared" si="1160"/>
        <v>0</v>
      </c>
      <c r="CN1882" s="1139">
        <v>0</v>
      </c>
      <c r="CP1882" s="923">
        <f t="shared" si="1159"/>
        <v>0</v>
      </c>
      <c r="CZ1882" s="330"/>
    </row>
    <row r="1883" spans="1:104" ht="15" customHeight="1" x14ac:dyDescent="0.25">
      <c r="A1883" s="684">
        <f>MAX($A$6:A1882)+1</f>
        <v>1883</v>
      </c>
      <c r="B1883" s="1060">
        <f t="shared" si="1165"/>
        <v>51</v>
      </c>
      <c r="C1883" s="292" t="str">
        <f t="shared" si="1166"/>
        <v>Staff Report</v>
      </c>
      <c r="D1883" s="11" t="s">
        <v>1791</v>
      </c>
      <c r="E1883" s="7" t="s">
        <v>1794</v>
      </c>
      <c r="F1883" s="7"/>
      <c r="G1883" s="1285" t="s">
        <v>1794</v>
      </c>
      <c r="H1883" s="6">
        <v>0</v>
      </c>
      <c r="I1883" s="6"/>
      <c r="J1883" s="1271" t="s">
        <v>1794</v>
      </c>
      <c r="K1883" s="251">
        <f>'alb A - Staff Report'!C14</f>
        <v>0</v>
      </c>
      <c r="L1883" s="266"/>
      <c r="M1883" s="2"/>
      <c r="N1883" s="273">
        <f t="shared" si="1163"/>
        <v>0</v>
      </c>
      <c r="O1883" s="12"/>
      <c r="P1883" s="12"/>
      <c r="Q1883" s="12"/>
      <c r="R1883" s="12"/>
      <c r="S1883" s="6">
        <f t="shared" si="1164"/>
        <v>0</v>
      </c>
      <c r="T1883" s="273">
        <f t="shared" si="1142"/>
        <v>0</v>
      </c>
      <c r="U1883" s="6"/>
      <c r="V1883" s="6"/>
      <c r="W1883" s="6">
        <f t="shared" si="1167"/>
        <v>0</v>
      </c>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X1883" s="6"/>
      <c r="AY1883" s="6">
        <f>ROUND(AX1883/1000/Update!$B$31*Update!$B$27,0)</f>
        <v>0</v>
      </c>
      <c r="BA1883" s="6"/>
      <c r="BB1883" s="6">
        <f>ROUND(BA1883/1000/Update!$B$31,0)</f>
        <v>0</v>
      </c>
      <c r="BC1883" s="6"/>
      <c r="BD1883" s="6">
        <f t="shared" si="1143"/>
        <v>0</v>
      </c>
      <c r="BE1883" s="317"/>
      <c r="BF1883" s="317"/>
      <c r="BG1883" s="317"/>
      <c r="BH1883" s="317"/>
      <c r="BI1883" s="317"/>
      <c r="BJ1883" s="317"/>
      <c r="BK1883" s="6">
        <f t="shared" si="1157"/>
        <v>0</v>
      </c>
      <c r="BL1883" s="317"/>
      <c r="BM1883" s="317"/>
      <c r="BN1883" s="317"/>
      <c r="BO1883" s="317"/>
      <c r="BP1883" s="317"/>
      <c r="BQ1883" s="317"/>
      <c r="BR1883" s="317"/>
      <c r="BS1883" s="317"/>
      <c r="BT1883" s="317"/>
      <c r="BU1883" s="317"/>
      <c r="BV1883" s="317"/>
      <c r="BW1883" s="317"/>
      <c r="BX1883" s="317"/>
      <c r="BY1883" s="317"/>
      <c r="BZ1883" s="317"/>
      <c r="CA1883" s="317"/>
      <c r="CB1883" s="317"/>
      <c r="CC1883" s="317"/>
      <c r="CD1883" s="317"/>
      <c r="CE1883" s="317"/>
      <c r="CF1883" s="317"/>
      <c r="CG1883" s="317"/>
      <c r="CH1883" s="317"/>
      <c r="CI1883" s="317"/>
      <c r="CM1883" s="1139">
        <f t="shared" si="1160"/>
        <v>0</v>
      </c>
      <c r="CN1883" s="1139">
        <v>0</v>
      </c>
      <c r="CP1883" s="923">
        <f t="shared" si="1159"/>
        <v>0</v>
      </c>
      <c r="CZ1883" s="330"/>
    </row>
    <row r="1884" spans="1:104" ht="30" customHeight="1" x14ac:dyDescent="0.25">
      <c r="A1884" s="684">
        <f>MAX($A$6:A1883)+1</f>
        <v>1884</v>
      </c>
      <c r="B1884" s="1060">
        <f t="shared" si="1165"/>
        <v>51</v>
      </c>
      <c r="C1884" s="292" t="str">
        <f t="shared" si="1166"/>
        <v>Staff Report</v>
      </c>
      <c r="D1884" s="11" t="s">
        <v>1791</v>
      </c>
      <c r="E1884" s="7" t="s">
        <v>1795</v>
      </c>
      <c r="F1884" s="7"/>
      <c r="G1884" s="1285" t="s">
        <v>1795</v>
      </c>
      <c r="H1884" s="1061">
        <v>0</v>
      </c>
      <c r="I1884" s="6"/>
      <c r="J1884" s="1271" t="s">
        <v>1795</v>
      </c>
      <c r="K1884" s="251">
        <f>'alb A - Staff Report'!D14</f>
        <v>0</v>
      </c>
      <c r="L1884" s="266"/>
      <c r="M1884" s="2"/>
      <c r="N1884" s="273">
        <f t="shared" si="1163"/>
        <v>0</v>
      </c>
      <c r="O1884" s="12"/>
      <c r="P1884" s="12"/>
      <c r="Q1884" s="12"/>
      <c r="R1884" s="12"/>
      <c r="S1884" s="6">
        <f t="shared" si="1164"/>
        <v>0</v>
      </c>
      <c r="T1884" s="273">
        <f t="shared" si="1142"/>
        <v>0</v>
      </c>
      <c r="U1884" s="1061"/>
      <c r="V1884" s="1061"/>
      <c r="W1884" s="1061">
        <f t="shared" si="1167"/>
        <v>0</v>
      </c>
      <c r="X1884" s="1061"/>
      <c r="Y1884" s="1061"/>
      <c r="Z1884" s="1061"/>
      <c r="AA1884" s="1061"/>
      <c r="AB1884" s="1061"/>
      <c r="AC1884" s="1061"/>
      <c r="AD1884" s="1061"/>
      <c r="AE1884" s="1061"/>
      <c r="AF1884" s="1061"/>
      <c r="AG1884" s="1061"/>
      <c r="AH1884" s="1061"/>
      <c r="AI1884" s="1061"/>
      <c r="AJ1884" s="1061"/>
      <c r="AK1884" s="1061"/>
      <c r="AL1884" s="1061"/>
      <c r="AM1884" s="1061"/>
      <c r="AN1884" s="1061"/>
      <c r="AO1884" s="1061"/>
      <c r="AP1884" s="1061"/>
      <c r="AQ1884" s="1061"/>
      <c r="AR1884" s="1061"/>
      <c r="AS1884" s="1061"/>
      <c r="AT1884" s="1061"/>
      <c r="AU1884" s="1061"/>
      <c r="AV1884" s="1061"/>
      <c r="AX1884" s="6"/>
      <c r="AY1884" s="6">
        <f>ROUND(AX1884/1000/Update!$B$31*Update!$B$27,0)</f>
        <v>0</v>
      </c>
      <c r="BA1884" s="6"/>
      <c r="BB1884" s="6">
        <f>ROUND(BA1884/1000/Update!$B$31,0)</f>
        <v>0</v>
      </c>
      <c r="BC1884" s="6"/>
      <c r="BD1884" s="6">
        <f t="shared" si="1143"/>
        <v>0</v>
      </c>
      <c r="BE1884" s="317"/>
      <c r="BF1884" s="317"/>
      <c r="BG1884" s="317"/>
      <c r="BH1884" s="317"/>
      <c r="BI1884" s="317"/>
      <c r="BJ1884" s="317"/>
      <c r="BK1884" s="6">
        <f t="shared" si="1157"/>
        <v>0</v>
      </c>
      <c r="BL1884" s="317"/>
      <c r="BM1884" s="317"/>
      <c r="BN1884" s="317"/>
      <c r="BO1884" s="317"/>
      <c r="BP1884" s="317"/>
      <c r="BQ1884" s="317"/>
      <c r="BR1884" s="317"/>
      <c r="BS1884" s="317"/>
      <c r="BT1884" s="317"/>
      <c r="BU1884" s="317"/>
      <c r="BV1884" s="317"/>
      <c r="BW1884" s="317"/>
      <c r="BX1884" s="317"/>
      <c r="BY1884" s="317"/>
      <c r="BZ1884" s="317"/>
      <c r="CA1884" s="317"/>
      <c r="CB1884" s="317"/>
      <c r="CC1884" s="317"/>
      <c r="CD1884" s="317"/>
      <c r="CE1884" s="317"/>
      <c r="CF1884" s="317"/>
      <c r="CG1884" s="317"/>
      <c r="CH1884" s="317"/>
      <c r="CI1884" s="317"/>
      <c r="CM1884" s="1139">
        <f t="shared" si="1160"/>
        <v>0</v>
      </c>
      <c r="CN1884" s="1139">
        <v>0</v>
      </c>
      <c r="CP1884" s="923">
        <f t="shared" si="1159"/>
        <v>0</v>
      </c>
      <c r="CZ1884" s="330"/>
    </row>
    <row r="1885" spans="1:104" ht="15" customHeight="1" x14ac:dyDescent="0.25">
      <c r="A1885" s="684">
        <f>MAX($A$6:A1884)+1</f>
        <v>1885</v>
      </c>
      <c r="B1885" s="1060">
        <f t="shared" si="1165"/>
        <v>51</v>
      </c>
      <c r="C1885" s="292" t="str">
        <f t="shared" si="1166"/>
        <v>Staff Report</v>
      </c>
      <c r="D1885" s="11" t="s">
        <v>1791</v>
      </c>
      <c r="E1885" s="7" t="s">
        <v>1796</v>
      </c>
      <c r="F1885" s="7"/>
      <c r="G1885" s="1286" t="s">
        <v>1796</v>
      </c>
      <c r="H1885" s="1011">
        <v>0</v>
      </c>
      <c r="I1885" s="6"/>
      <c r="J1885" s="1272" t="s">
        <v>1796</v>
      </c>
      <c r="K1885" s="1011">
        <f>'alb A - Staff Report'!E14</f>
        <v>0</v>
      </c>
      <c r="L1885" s="266"/>
      <c r="M1885" s="2"/>
      <c r="N1885" s="273">
        <f t="shared" si="1163"/>
        <v>0</v>
      </c>
      <c r="O1885" s="12"/>
      <c r="P1885" s="12"/>
      <c r="Q1885" s="12"/>
      <c r="R1885" s="12"/>
      <c r="S1885" s="6">
        <f t="shared" si="1164"/>
        <v>0</v>
      </c>
      <c r="T1885" s="273">
        <f t="shared" si="1142"/>
        <v>0</v>
      </c>
      <c r="U1885" s="313"/>
      <c r="V1885" s="313"/>
      <c r="W1885" s="313">
        <f t="shared" si="1167"/>
        <v>0</v>
      </c>
      <c r="X1885" s="313"/>
      <c r="Y1885" s="313"/>
      <c r="Z1885" s="313"/>
      <c r="AA1885" s="313"/>
      <c r="AB1885" s="313"/>
      <c r="AC1885" s="313"/>
      <c r="AD1885" s="313"/>
      <c r="AE1885" s="313"/>
      <c r="AF1885" s="313"/>
      <c r="AG1885" s="313"/>
      <c r="AH1885" s="313"/>
      <c r="AI1885" s="313"/>
      <c r="AJ1885" s="313"/>
      <c r="AK1885" s="313"/>
      <c r="AL1885" s="313"/>
      <c r="AM1885" s="313"/>
      <c r="AN1885" s="313"/>
      <c r="AO1885" s="313"/>
      <c r="AP1885" s="313"/>
      <c r="AQ1885" s="313"/>
      <c r="AR1885" s="313"/>
      <c r="AS1885" s="313"/>
      <c r="AT1885" s="313"/>
      <c r="AU1885" s="313"/>
      <c r="AV1885" s="313"/>
      <c r="AX1885" s="6"/>
      <c r="AY1885" s="6">
        <f>ROUND(AX1885/1000/Update!$B$31*Update!$B$27,0)</f>
        <v>0</v>
      </c>
      <c r="BA1885" s="6"/>
      <c r="BB1885" s="6">
        <f>ROUND(BA1885/1000/Update!$B$31,0)</f>
        <v>0</v>
      </c>
      <c r="BC1885" s="6"/>
      <c r="BD1885" s="6">
        <f t="shared" si="1143"/>
        <v>0</v>
      </c>
      <c r="BE1885" s="317"/>
      <c r="BF1885" s="317"/>
      <c r="BG1885" s="317"/>
      <c r="BH1885" s="317"/>
      <c r="BI1885" s="317"/>
      <c r="BJ1885" s="317"/>
      <c r="BK1885" s="6">
        <f t="shared" si="1157"/>
        <v>0</v>
      </c>
      <c r="BL1885" s="317"/>
      <c r="BM1885" s="317"/>
      <c r="BN1885" s="317"/>
      <c r="BO1885" s="317"/>
      <c r="BP1885" s="317"/>
      <c r="BQ1885" s="317"/>
      <c r="BR1885" s="317"/>
      <c r="BS1885" s="317"/>
      <c r="BT1885" s="317"/>
      <c r="BU1885" s="317"/>
      <c r="BV1885" s="317"/>
      <c r="BW1885" s="317"/>
      <c r="BX1885" s="317"/>
      <c r="BY1885" s="317"/>
      <c r="BZ1885" s="317"/>
      <c r="CA1885" s="317"/>
      <c r="CB1885" s="317"/>
      <c r="CC1885" s="317"/>
      <c r="CD1885" s="317"/>
      <c r="CE1885" s="317"/>
      <c r="CF1885" s="317"/>
      <c r="CG1885" s="317"/>
      <c r="CH1885" s="317"/>
      <c r="CI1885" s="317"/>
      <c r="CM1885" s="1139">
        <f t="shared" si="1160"/>
        <v>0</v>
      </c>
      <c r="CN1885" s="1139">
        <v>0</v>
      </c>
      <c r="CP1885" s="923">
        <f t="shared" si="1159"/>
        <v>0</v>
      </c>
      <c r="CZ1885" s="330"/>
    </row>
    <row r="1886" spans="1:104" ht="30" customHeight="1" x14ac:dyDescent="0.25">
      <c r="A1886" s="684">
        <f>MAX($A$6:A1885)+1</f>
        <v>1886</v>
      </c>
      <c r="B1886" s="1060">
        <f t="shared" si="1165"/>
        <v>51</v>
      </c>
      <c r="C1886" s="292" t="str">
        <f t="shared" si="1166"/>
        <v>Staff Report</v>
      </c>
      <c r="D1886" s="11" t="s">
        <v>1792</v>
      </c>
      <c r="E1886" s="7" t="s">
        <v>1797</v>
      </c>
      <c r="F1886" s="7"/>
      <c r="G1886" s="1284" t="s">
        <v>1797</v>
      </c>
      <c r="H1886" s="6">
        <v>668</v>
      </c>
      <c r="I1886" s="6"/>
      <c r="J1886" s="1270" t="s">
        <v>1797</v>
      </c>
      <c r="K1886" s="251">
        <f>'alb A - Staff Report'!B15</f>
        <v>0</v>
      </c>
      <c r="L1886" s="266"/>
      <c r="M1886" s="2"/>
      <c r="N1886" s="273">
        <f t="shared" si="1163"/>
        <v>668</v>
      </c>
      <c r="O1886" s="12"/>
      <c r="P1886" s="12"/>
      <c r="Q1886" s="12"/>
      <c r="R1886" s="12"/>
      <c r="S1886" s="6">
        <f t="shared" si="1164"/>
        <v>0</v>
      </c>
      <c r="T1886" s="273">
        <f t="shared" si="1142"/>
        <v>668</v>
      </c>
      <c r="U1886" s="6"/>
      <c r="V1886" s="6"/>
      <c r="W1886" s="6">
        <f t="shared" si="1167"/>
        <v>668</v>
      </c>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X1886" s="6"/>
      <c r="AY1886" s="6">
        <f>ROUND(AX1886/1000/Update!$B$31*Update!$B$27,0)</f>
        <v>0</v>
      </c>
      <c r="BA1886" s="6"/>
      <c r="BB1886" s="6">
        <f>ROUND(BA1886/1000/Update!$B$31,0)</f>
        <v>0</v>
      </c>
      <c r="BC1886" s="6"/>
      <c r="BD1886" s="6">
        <f t="shared" si="1143"/>
        <v>0</v>
      </c>
      <c r="BE1886" s="317"/>
      <c r="BF1886" s="317"/>
      <c r="BG1886" s="317"/>
      <c r="BH1886" s="317"/>
      <c r="BI1886" s="317"/>
      <c r="BJ1886" s="317"/>
      <c r="BK1886" s="6">
        <f t="shared" si="1157"/>
        <v>0</v>
      </c>
      <c r="BL1886" s="317"/>
      <c r="BM1886" s="317"/>
      <c r="BN1886" s="317"/>
      <c r="BO1886" s="317"/>
      <c r="BP1886" s="317"/>
      <c r="BQ1886" s="317"/>
      <c r="BR1886" s="317"/>
      <c r="BS1886" s="317"/>
      <c r="BT1886" s="317"/>
      <c r="BU1886" s="317"/>
      <c r="BV1886" s="317"/>
      <c r="BW1886" s="317"/>
      <c r="BX1886" s="317"/>
      <c r="BY1886" s="317"/>
      <c r="BZ1886" s="317"/>
      <c r="CA1886" s="317"/>
      <c r="CB1886" s="317"/>
      <c r="CC1886" s="317"/>
      <c r="CD1886" s="317"/>
      <c r="CE1886" s="317"/>
      <c r="CF1886" s="317"/>
      <c r="CG1886" s="317"/>
      <c r="CH1886" s="317"/>
      <c r="CI1886" s="317"/>
      <c r="CM1886" s="1139">
        <f t="shared" si="1160"/>
        <v>0</v>
      </c>
      <c r="CN1886" s="1139">
        <v>0</v>
      </c>
      <c r="CP1886" s="923">
        <f t="shared" si="1159"/>
        <v>0</v>
      </c>
      <c r="CZ1886" s="330"/>
    </row>
    <row r="1887" spans="1:104" ht="15" customHeight="1" x14ac:dyDescent="0.25">
      <c r="A1887" s="684">
        <f>MAX($A$6:A1886)+1</f>
        <v>1887</v>
      </c>
      <c r="B1887" s="1060">
        <f t="shared" si="1165"/>
        <v>51</v>
      </c>
      <c r="C1887" s="292" t="str">
        <f t="shared" si="1166"/>
        <v>Staff Report</v>
      </c>
      <c r="D1887" s="11" t="s">
        <v>1792</v>
      </c>
      <c r="E1887" s="7" t="s">
        <v>1798</v>
      </c>
      <c r="F1887" s="7"/>
      <c r="G1887" s="1285" t="s">
        <v>1798</v>
      </c>
      <c r="H1887" s="6">
        <v>6346</v>
      </c>
      <c r="I1887" s="6"/>
      <c r="J1887" s="1271" t="s">
        <v>1798</v>
      </c>
      <c r="K1887" s="251">
        <f>'alb A - Staff Report'!C15</f>
        <v>0</v>
      </c>
      <c r="L1887" s="266"/>
      <c r="M1887" s="2"/>
      <c r="N1887" s="273">
        <f t="shared" si="1163"/>
        <v>6346</v>
      </c>
      <c r="O1887" s="12"/>
      <c r="P1887" s="12"/>
      <c r="Q1887" s="12"/>
      <c r="R1887" s="12"/>
      <c r="S1887" s="6">
        <f t="shared" si="1164"/>
        <v>0</v>
      </c>
      <c r="T1887" s="273">
        <f t="shared" si="1142"/>
        <v>6346</v>
      </c>
      <c r="U1887" s="6"/>
      <c r="V1887" s="6"/>
      <c r="W1887" s="6">
        <f t="shared" si="1167"/>
        <v>6346</v>
      </c>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X1887" s="6"/>
      <c r="AY1887" s="6">
        <f>ROUND(AX1887/1000/Update!$B$31*Update!$B$27,0)</f>
        <v>0</v>
      </c>
      <c r="BA1887" s="6"/>
      <c r="BB1887" s="6">
        <f>ROUND(BA1887/1000/Update!$B$31,0)</f>
        <v>0</v>
      </c>
      <c r="BC1887" s="6"/>
      <c r="BD1887" s="6">
        <f t="shared" si="1143"/>
        <v>0</v>
      </c>
      <c r="BE1887" s="317"/>
      <c r="BF1887" s="317"/>
      <c r="BG1887" s="317"/>
      <c r="BH1887" s="317"/>
      <c r="BI1887" s="317"/>
      <c r="BJ1887" s="317"/>
      <c r="BK1887" s="6">
        <f t="shared" si="1157"/>
        <v>0</v>
      </c>
      <c r="BL1887" s="317"/>
      <c r="BM1887" s="317"/>
      <c r="BN1887" s="317"/>
      <c r="BO1887" s="317"/>
      <c r="BP1887" s="317"/>
      <c r="BQ1887" s="317"/>
      <c r="BR1887" s="317"/>
      <c r="BS1887" s="317"/>
      <c r="BT1887" s="317"/>
      <c r="BU1887" s="317"/>
      <c r="BV1887" s="317"/>
      <c r="BW1887" s="317"/>
      <c r="BX1887" s="317"/>
      <c r="BY1887" s="317"/>
      <c r="BZ1887" s="317"/>
      <c r="CA1887" s="317"/>
      <c r="CB1887" s="317"/>
      <c r="CC1887" s="317"/>
      <c r="CD1887" s="317"/>
      <c r="CE1887" s="317"/>
      <c r="CF1887" s="317"/>
      <c r="CG1887" s="317"/>
      <c r="CH1887" s="317"/>
      <c r="CI1887" s="317"/>
      <c r="CM1887" s="1139">
        <f t="shared" si="1160"/>
        <v>0</v>
      </c>
      <c r="CN1887" s="1139">
        <v>0</v>
      </c>
      <c r="CP1887" s="923">
        <f t="shared" si="1159"/>
        <v>0</v>
      </c>
      <c r="CZ1887" s="330"/>
    </row>
    <row r="1888" spans="1:104" ht="30" customHeight="1" x14ac:dyDescent="0.25">
      <c r="A1888" s="684">
        <f>MAX($A$6:A1887)+1</f>
        <v>1888</v>
      </c>
      <c r="B1888" s="1060">
        <f t="shared" si="1165"/>
        <v>51</v>
      </c>
      <c r="C1888" s="292" t="str">
        <f t="shared" si="1166"/>
        <v>Staff Report</v>
      </c>
      <c r="D1888" s="11" t="s">
        <v>1792</v>
      </c>
      <c r="E1888" s="7" t="s">
        <v>1799</v>
      </c>
      <c r="F1888" s="7"/>
      <c r="G1888" s="1285" t="s">
        <v>1799</v>
      </c>
      <c r="H1888" s="1061">
        <v>9.5</v>
      </c>
      <c r="I1888" s="6"/>
      <c r="J1888" s="1271" t="s">
        <v>1799</v>
      </c>
      <c r="K1888" s="251">
        <f>'alb A - Staff Report'!D14</f>
        <v>0</v>
      </c>
      <c r="L1888" s="266"/>
      <c r="M1888" s="2"/>
      <c r="N1888" s="273">
        <f t="shared" ref="N1888:N1906" si="1168">ROUND(SUM(O1888:AU1888)-T1888,0)</f>
        <v>10</v>
      </c>
      <c r="O1888" s="12"/>
      <c r="P1888" s="12"/>
      <c r="Q1888" s="12"/>
      <c r="R1888" s="12"/>
      <c r="S1888" s="6">
        <f t="shared" si="1164"/>
        <v>0</v>
      </c>
      <c r="T1888" s="273">
        <f t="shared" ref="T1888:T1898" si="1169">ROUND(SUM(U1888:Y1888),0)</f>
        <v>10</v>
      </c>
      <c r="U1888" s="6"/>
      <c r="V1888" s="6"/>
      <c r="W1888" s="6">
        <f t="shared" si="1167"/>
        <v>9.5</v>
      </c>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X1888" s="6"/>
      <c r="AY1888" s="6">
        <f>ROUND(AX1888/1000/Update!$B$31*Update!$B$27,0)</f>
        <v>0</v>
      </c>
      <c r="BA1888" s="6"/>
      <c r="BB1888" s="6">
        <f>ROUND(BA1888/1000/Update!$B$31,0)</f>
        <v>0</v>
      </c>
      <c r="BC1888" s="6"/>
      <c r="BD1888" s="6">
        <f t="shared" si="1143"/>
        <v>0</v>
      </c>
      <c r="BE1888" s="317"/>
      <c r="BF1888" s="317"/>
      <c r="BG1888" s="317"/>
      <c r="BH1888" s="317"/>
      <c r="BI1888" s="317"/>
      <c r="BJ1888" s="317"/>
      <c r="BK1888" s="6">
        <f t="shared" si="1157"/>
        <v>0</v>
      </c>
      <c r="BL1888" s="317"/>
      <c r="BM1888" s="317"/>
      <c r="BN1888" s="317"/>
      <c r="BO1888" s="317"/>
      <c r="BP1888" s="317"/>
      <c r="BQ1888" s="317"/>
      <c r="BR1888" s="317"/>
      <c r="BS1888" s="317"/>
      <c r="BT1888" s="317"/>
      <c r="BU1888" s="317"/>
      <c r="BV1888" s="317"/>
      <c r="BW1888" s="317"/>
      <c r="BX1888" s="317"/>
      <c r="BY1888" s="317"/>
      <c r="BZ1888" s="317"/>
      <c r="CA1888" s="317"/>
      <c r="CB1888" s="317"/>
      <c r="CC1888" s="317"/>
      <c r="CD1888" s="317"/>
      <c r="CE1888" s="317"/>
      <c r="CF1888" s="317"/>
      <c r="CG1888" s="317"/>
      <c r="CH1888" s="317"/>
      <c r="CI1888" s="317"/>
      <c r="CM1888" s="1139">
        <f t="shared" si="1160"/>
        <v>0</v>
      </c>
      <c r="CN1888" s="1139">
        <v>0</v>
      </c>
      <c r="CP1888" s="923">
        <f t="shared" si="1159"/>
        <v>0</v>
      </c>
      <c r="CZ1888" s="330"/>
    </row>
    <row r="1889" spans="1:104" ht="15" customHeight="1" x14ac:dyDescent="0.25">
      <c r="A1889" s="684">
        <f>MAX($A$6:A1888)+1</f>
        <v>1889</v>
      </c>
      <c r="B1889" s="1060">
        <f t="shared" si="1165"/>
        <v>51</v>
      </c>
      <c r="C1889" s="292" t="str">
        <f t="shared" si="1166"/>
        <v>Staff Report</v>
      </c>
      <c r="D1889" s="11" t="s">
        <v>1792</v>
      </c>
      <c r="E1889" s="7" t="s">
        <v>1800</v>
      </c>
      <c r="F1889" s="7"/>
      <c r="G1889" s="1286" t="s">
        <v>1800</v>
      </c>
      <c r="H1889" s="1015">
        <v>4.3378995433789952E-2</v>
      </c>
      <c r="I1889" s="6"/>
      <c r="J1889" s="1272" t="s">
        <v>1800</v>
      </c>
      <c r="K1889" s="1011">
        <f>'alb A - Staff Report'!E15</f>
        <v>0</v>
      </c>
      <c r="L1889" s="266"/>
      <c r="M1889" s="2"/>
      <c r="N1889" s="273">
        <f t="shared" si="1168"/>
        <v>0</v>
      </c>
      <c r="O1889" s="12"/>
      <c r="P1889" s="12"/>
      <c r="Q1889" s="12"/>
      <c r="R1889" s="12"/>
      <c r="S1889" s="6">
        <f t="shared" si="1164"/>
        <v>0</v>
      </c>
      <c r="T1889" s="273">
        <f t="shared" si="1169"/>
        <v>0</v>
      </c>
      <c r="U1889" s="6"/>
      <c r="V1889" s="6"/>
      <c r="W1889" s="6">
        <f t="shared" si="1167"/>
        <v>4.3378995433789952E-2</v>
      </c>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X1889" s="6"/>
      <c r="AY1889" s="6">
        <f>ROUND(AX1889/1000/Update!$B$31*Update!$B$27,0)</f>
        <v>0</v>
      </c>
      <c r="BA1889" s="6"/>
      <c r="BB1889" s="6">
        <f>ROUND(BA1889/1000/Update!$B$31,0)</f>
        <v>0</v>
      </c>
      <c r="BC1889" s="6"/>
      <c r="BD1889" s="6">
        <f t="shared" si="1143"/>
        <v>0</v>
      </c>
      <c r="BE1889" s="317"/>
      <c r="BF1889" s="317"/>
      <c r="BG1889" s="317"/>
      <c r="BH1889" s="317"/>
      <c r="BI1889" s="317"/>
      <c r="BJ1889" s="317"/>
      <c r="BK1889" s="6">
        <f t="shared" si="1157"/>
        <v>0</v>
      </c>
      <c r="BL1889" s="317"/>
      <c r="BM1889" s="317"/>
      <c r="BN1889" s="317"/>
      <c r="BO1889" s="317"/>
      <c r="BP1889" s="317"/>
      <c r="BQ1889" s="317"/>
      <c r="BR1889" s="317"/>
      <c r="BS1889" s="317"/>
      <c r="BT1889" s="317"/>
      <c r="BU1889" s="317"/>
      <c r="BV1889" s="317"/>
      <c r="BW1889" s="317"/>
      <c r="BX1889" s="317"/>
      <c r="BY1889" s="317"/>
      <c r="BZ1889" s="317"/>
      <c r="CA1889" s="317"/>
      <c r="CB1889" s="317"/>
      <c r="CC1889" s="317"/>
      <c r="CD1889" s="317"/>
      <c r="CE1889" s="317"/>
      <c r="CF1889" s="317"/>
      <c r="CG1889" s="317"/>
      <c r="CH1889" s="317"/>
      <c r="CI1889" s="317"/>
      <c r="CM1889" s="1139">
        <f t="shared" si="1160"/>
        <v>0</v>
      </c>
      <c r="CN1889" s="1139">
        <v>0</v>
      </c>
      <c r="CP1889" s="923">
        <f t="shared" si="1159"/>
        <v>0</v>
      </c>
      <c r="CZ1889" s="330"/>
    </row>
    <row r="1890" spans="1:104" ht="15" customHeight="1" x14ac:dyDescent="0.25">
      <c r="A1890" s="684">
        <f>MAX($A$6:A1889)+1</f>
        <v>1890</v>
      </c>
      <c r="B1890" s="1060">
        <f t="shared" si="1165"/>
        <v>51</v>
      </c>
      <c r="C1890" s="292" t="str">
        <f t="shared" si="1166"/>
        <v>Staff Report</v>
      </c>
      <c r="D1890" s="11" t="s">
        <v>1791</v>
      </c>
      <c r="E1890" s="7" t="s">
        <v>1812</v>
      </c>
      <c r="F1890" s="7"/>
      <c r="G1890" s="1285" t="s">
        <v>1812</v>
      </c>
      <c r="H1890" s="6">
        <v>0</v>
      </c>
      <c r="I1890" s="6"/>
      <c r="J1890" s="1271" t="s">
        <v>2049</v>
      </c>
      <c r="K1890" s="251">
        <f>SUMIF('alb A - Staff Report'!A:A,J1890,'alb A - Staff Report'!D:D)</f>
        <v>0</v>
      </c>
      <c r="L1890" s="266"/>
      <c r="M1890" s="2"/>
      <c r="N1890" s="273">
        <f t="shared" si="1168"/>
        <v>0</v>
      </c>
      <c r="O1890" s="12"/>
      <c r="P1890" s="12"/>
      <c r="Q1890" s="12"/>
      <c r="R1890" s="12"/>
      <c r="S1890" s="6"/>
      <c r="T1890" s="273">
        <f t="shared" si="1169"/>
        <v>0</v>
      </c>
      <c r="U1890" s="6"/>
      <c r="V1890" s="6"/>
      <c r="W1890" s="6">
        <f t="shared" si="1167"/>
        <v>0</v>
      </c>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X1890" s="6"/>
      <c r="AY1890" s="6"/>
      <c r="BA1890" s="6"/>
      <c r="BB1890" s="6"/>
      <c r="BC1890" s="6"/>
      <c r="BD1890" s="6"/>
      <c r="BE1890" s="317"/>
      <c r="BF1890" s="317"/>
      <c r="BG1890" s="317"/>
      <c r="BH1890" s="317"/>
      <c r="BI1890" s="317"/>
      <c r="BJ1890" s="317"/>
      <c r="BK1890" s="6">
        <f t="shared" si="1157"/>
        <v>0</v>
      </c>
      <c r="BL1890" s="322"/>
      <c r="BM1890" s="322"/>
      <c r="BN1890" s="322"/>
      <c r="BO1890" s="322"/>
      <c r="BP1890" s="317"/>
      <c r="BQ1890" s="322"/>
      <c r="BR1890" s="322"/>
      <c r="BS1890" s="317"/>
      <c r="BT1890" s="322"/>
      <c r="BU1890" s="322"/>
      <c r="BV1890" s="322"/>
      <c r="BW1890" s="322"/>
      <c r="BX1890" s="322"/>
      <c r="BY1890" s="322"/>
      <c r="BZ1890" s="322"/>
      <c r="CA1890" s="322"/>
      <c r="CB1890" s="322"/>
      <c r="CC1890" s="317"/>
      <c r="CD1890" s="317"/>
      <c r="CE1890" s="317"/>
      <c r="CF1890" s="317"/>
      <c r="CG1890" s="317"/>
      <c r="CH1890" s="317"/>
      <c r="CI1890" s="322"/>
      <c r="CM1890" s="1139">
        <f t="shared" si="1160"/>
        <v>0</v>
      </c>
      <c r="CN1890" s="1139"/>
      <c r="CP1890" s="923">
        <f t="shared" si="1159"/>
        <v>0</v>
      </c>
      <c r="CZ1890" s="330"/>
    </row>
    <row r="1891" spans="1:104" ht="15" customHeight="1" x14ac:dyDescent="0.25">
      <c r="A1891" s="684">
        <f>MAX($A$6:A1890)+1</f>
        <v>1891</v>
      </c>
      <c r="B1891" s="1060">
        <f t="shared" si="1165"/>
        <v>51</v>
      </c>
      <c r="C1891" s="292" t="str">
        <f t="shared" si="1166"/>
        <v>Staff Report</v>
      </c>
      <c r="D1891" s="11" t="s">
        <v>1792</v>
      </c>
      <c r="E1891" s="7" t="s">
        <v>1812</v>
      </c>
      <c r="F1891" s="7"/>
      <c r="G1891" s="1285" t="s">
        <v>1812</v>
      </c>
      <c r="H1891" s="6">
        <v>0</v>
      </c>
      <c r="I1891" s="6"/>
      <c r="J1891" s="1271" t="s">
        <v>2049</v>
      </c>
      <c r="K1891" s="251">
        <f>SUMIF('alb A - Staff Report'!A:A,J1891,'alb A - Staff Report'!E:E)</f>
        <v>0</v>
      </c>
      <c r="L1891" s="266"/>
      <c r="M1891" s="2"/>
      <c r="N1891" s="273">
        <f t="shared" si="1168"/>
        <v>0</v>
      </c>
      <c r="O1891" s="12"/>
      <c r="P1891" s="12"/>
      <c r="Q1891" s="12"/>
      <c r="R1891" s="12"/>
      <c r="S1891" s="6"/>
      <c r="T1891" s="273">
        <f t="shared" si="1169"/>
        <v>0</v>
      </c>
      <c r="U1891" s="6"/>
      <c r="V1891" s="6"/>
      <c r="W1891" s="6">
        <f>+H1891</f>
        <v>0</v>
      </c>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X1891" s="6"/>
      <c r="AY1891" s="6"/>
      <c r="BA1891" s="6"/>
      <c r="BB1891" s="6"/>
      <c r="BC1891" s="6"/>
      <c r="BD1891" s="6"/>
      <c r="BE1891" s="317"/>
      <c r="BF1891" s="317"/>
      <c r="BG1891" s="317"/>
      <c r="BH1891" s="317"/>
      <c r="BI1891" s="317"/>
      <c r="BJ1891" s="317"/>
      <c r="BK1891" s="6">
        <f t="shared" si="1157"/>
        <v>0</v>
      </c>
      <c r="BL1891" s="322"/>
      <c r="BM1891" s="322"/>
      <c r="BN1891" s="322"/>
      <c r="BO1891" s="322"/>
      <c r="BP1891" s="317"/>
      <c r="BQ1891" s="322"/>
      <c r="BR1891" s="322"/>
      <c r="BS1891" s="317"/>
      <c r="BT1891" s="322"/>
      <c r="BU1891" s="322"/>
      <c r="BV1891" s="322"/>
      <c r="BW1891" s="322"/>
      <c r="BX1891" s="322"/>
      <c r="BY1891" s="322"/>
      <c r="BZ1891" s="322"/>
      <c r="CA1891" s="322"/>
      <c r="CB1891" s="322"/>
      <c r="CC1891" s="317"/>
      <c r="CD1891" s="317"/>
      <c r="CE1891" s="317"/>
      <c r="CF1891" s="317"/>
      <c r="CG1891" s="317"/>
      <c r="CH1891" s="317"/>
      <c r="CI1891" s="322"/>
      <c r="CM1891" s="1139">
        <f t="shared" si="1160"/>
        <v>0</v>
      </c>
      <c r="CN1891" s="1139"/>
      <c r="CP1891" s="923">
        <f t="shared" si="1159"/>
        <v>0</v>
      </c>
      <c r="CZ1891" s="330"/>
    </row>
    <row r="1892" spans="1:104" ht="30" customHeight="1" x14ac:dyDescent="0.25">
      <c r="A1892" s="684">
        <f>MAX($A$6:A1891)+1</f>
        <v>1892</v>
      </c>
      <c r="B1892" s="1060">
        <f>B1890</f>
        <v>51</v>
      </c>
      <c r="C1892" s="292" t="str">
        <f>C1890</f>
        <v>Staff Report</v>
      </c>
      <c r="D1892" s="11" t="s">
        <v>1753</v>
      </c>
      <c r="E1892" s="7" t="s">
        <v>1754</v>
      </c>
      <c r="F1892" s="7"/>
      <c r="G1892" s="1284" t="s">
        <v>1754</v>
      </c>
      <c r="H1892" s="6">
        <v>0</v>
      </c>
      <c r="I1892" s="6"/>
      <c r="J1892" s="1270" t="s">
        <v>1754</v>
      </c>
      <c r="K1892" s="251">
        <f>SUMIF('alb A - Staff Report'!A:A,J1892,'alb A - Staff Report'!D:D)</f>
        <v>0</v>
      </c>
      <c r="L1892" s="266"/>
      <c r="M1892" s="2"/>
      <c r="N1892" s="273">
        <f t="shared" si="1168"/>
        <v>0</v>
      </c>
      <c r="O1892" s="12"/>
      <c r="P1892" s="12"/>
      <c r="Q1892" s="12"/>
      <c r="R1892" s="12"/>
      <c r="S1892" s="6">
        <f t="shared" ref="S1892:S1898" si="1170">-IF(ISNUMBER(BD1892),BD1892,0)</f>
        <v>0</v>
      </c>
      <c r="T1892" s="273">
        <f t="shared" si="1169"/>
        <v>0</v>
      </c>
      <c r="U1892" s="6"/>
      <c r="V1892" s="6"/>
      <c r="W1892" s="6">
        <f t="shared" si="1167"/>
        <v>0</v>
      </c>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X1892" s="6"/>
      <c r="AY1892" s="6">
        <f>ROUND(AX1892/1000/Update!$B$31*Update!$B$27,0)</f>
        <v>0</v>
      </c>
      <c r="BA1892" s="6"/>
      <c r="BB1892" s="6">
        <f>ROUND(BA1892/1000/Update!$B$31,0)</f>
        <v>0</v>
      </c>
      <c r="BC1892" s="6"/>
      <c r="BD1892" s="6">
        <f t="shared" si="1143"/>
        <v>0</v>
      </c>
      <c r="BE1892" s="322"/>
      <c r="BF1892" s="322"/>
      <c r="BG1892" s="322"/>
      <c r="BH1892" s="322"/>
      <c r="BI1892" s="322"/>
      <c r="BJ1892" s="322"/>
      <c r="BK1892" s="6">
        <f t="shared" si="1157"/>
        <v>0</v>
      </c>
      <c r="BL1892" s="322"/>
      <c r="BM1892" s="322"/>
      <c r="BN1892" s="322"/>
      <c r="BO1892" s="322"/>
      <c r="BP1892" s="322"/>
      <c r="BQ1892" s="322"/>
      <c r="BR1892" s="322"/>
      <c r="BS1892" s="322"/>
      <c r="BT1892" s="322"/>
      <c r="BU1892" s="322"/>
      <c r="BV1892" s="322"/>
      <c r="BW1892" s="322"/>
      <c r="BX1892" s="322"/>
      <c r="BY1892" s="322"/>
      <c r="BZ1892" s="322"/>
      <c r="CA1892" s="322"/>
      <c r="CB1892" s="322"/>
      <c r="CC1892" s="322"/>
      <c r="CD1892" s="322"/>
      <c r="CE1892" s="322"/>
      <c r="CF1892" s="322"/>
      <c r="CG1892" s="322"/>
      <c r="CH1892" s="322"/>
      <c r="CI1892" s="322"/>
      <c r="CM1892" s="1139">
        <f t="shared" si="1160"/>
        <v>0</v>
      </c>
      <c r="CN1892" s="1139">
        <v>0</v>
      </c>
      <c r="CP1892" s="923">
        <f t="shared" si="1159"/>
        <v>0</v>
      </c>
      <c r="CZ1892" s="330"/>
    </row>
    <row r="1893" spans="1:104" ht="30" customHeight="1" x14ac:dyDescent="0.25">
      <c r="A1893" s="684">
        <f>MAX($A$6:A1892)+1</f>
        <v>1893</v>
      </c>
      <c r="B1893" s="1060">
        <f t="shared" ref="B1893:C1895" si="1171">B1892</f>
        <v>51</v>
      </c>
      <c r="C1893" s="292" t="str">
        <f t="shared" si="1171"/>
        <v>Staff Report</v>
      </c>
      <c r="D1893" s="11" t="s">
        <v>1753</v>
      </c>
      <c r="E1893" s="7" t="s">
        <v>1983</v>
      </c>
      <c r="F1893" s="7"/>
      <c r="G1893" s="1285" t="s">
        <v>1983</v>
      </c>
      <c r="H1893" s="6">
        <v>0</v>
      </c>
      <c r="I1893" s="6"/>
      <c r="J1893" s="1271" t="s">
        <v>1983</v>
      </c>
      <c r="K1893" s="251">
        <f>SUMIF('alb A - Staff Report'!A:A,J1893,'alb A - Staff Report'!D:D)</f>
        <v>0</v>
      </c>
      <c r="L1893" s="266"/>
      <c r="M1893" s="2"/>
      <c r="N1893" s="273">
        <f t="shared" si="1168"/>
        <v>0</v>
      </c>
      <c r="O1893" s="12"/>
      <c r="P1893" s="12"/>
      <c r="Q1893" s="12"/>
      <c r="R1893" s="12"/>
      <c r="S1893" s="6">
        <f t="shared" si="1170"/>
        <v>0</v>
      </c>
      <c r="T1893" s="273">
        <f t="shared" si="1169"/>
        <v>0</v>
      </c>
      <c r="U1893" s="6"/>
      <c r="V1893" s="6"/>
      <c r="W1893" s="6">
        <f t="shared" si="1167"/>
        <v>0</v>
      </c>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X1893" s="6"/>
      <c r="AY1893" s="6">
        <f>ROUND(AX1893/1000/Update!$B$31*Update!$B$27,0)</f>
        <v>0</v>
      </c>
      <c r="BA1893" s="6"/>
      <c r="BB1893" s="6">
        <f>ROUND(BA1893/1000/Update!$B$31,0)</f>
        <v>0</v>
      </c>
      <c r="BC1893" s="6"/>
      <c r="BD1893" s="6">
        <f>ROUND(SUM(BE1893:BK1893),0)</f>
        <v>0</v>
      </c>
      <c r="BE1893" s="322"/>
      <c r="BF1893" s="322"/>
      <c r="BG1893" s="322"/>
      <c r="BH1893" s="322"/>
      <c r="BI1893" s="322"/>
      <c r="BJ1893" s="322"/>
      <c r="BK1893" s="6">
        <f t="shared" si="1157"/>
        <v>0</v>
      </c>
      <c r="BL1893" s="322"/>
      <c r="BM1893" s="322"/>
      <c r="BN1893" s="322"/>
      <c r="BO1893" s="322"/>
      <c r="BP1893" s="322"/>
      <c r="BQ1893" s="322"/>
      <c r="BR1893" s="322"/>
      <c r="BS1893" s="322"/>
      <c r="BT1893" s="322"/>
      <c r="BU1893" s="322"/>
      <c r="BV1893" s="322"/>
      <c r="BW1893" s="322"/>
      <c r="BX1893" s="322"/>
      <c r="BY1893" s="322"/>
      <c r="BZ1893" s="322"/>
      <c r="CA1893" s="322"/>
      <c r="CB1893" s="322"/>
      <c r="CC1893" s="322"/>
      <c r="CD1893" s="322"/>
      <c r="CE1893" s="322"/>
      <c r="CF1893" s="322"/>
      <c r="CG1893" s="322"/>
      <c r="CH1893" s="322"/>
      <c r="CI1893" s="322"/>
      <c r="CM1893" s="1139">
        <f t="shared" si="1160"/>
        <v>0</v>
      </c>
      <c r="CN1893" s="1139">
        <v>0</v>
      </c>
      <c r="CP1893" s="923">
        <f t="shared" si="1159"/>
        <v>0</v>
      </c>
      <c r="CZ1893" s="330"/>
    </row>
    <row r="1894" spans="1:104" ht="30" customHeight="1" x14ac:dyDescent="0.25">
      <c r="A1894" s="684">
        <f>MAX($A$6:A1893)+1</f>
        <v>1894</v>
      </c>
      <c r="B1894" s="1060">
        <f t="shared" si="1171"/>
        <v>51</v>
      </c>
      <c r="C1894" s="292" t="str">
        <f t="shared" si="1171"/>
        <v>Staff Report</v>
      </c>
      <c r="D1894" s="11" t="s">
        <v>1753</v>
      </c>
      <c r="E1894" s="7" t="s">
        <v>1984</v>
      </c>
      <c r="F1894" s="7"/>
      <c r="G1894" s="1285" t="s">
        <v>1984</v>
      </c>
      <c r="H1894" s="6">
        <v>0</v>
      </c>
      <c r="I1894" s="6"/>
      <c r="J1894" s="1271" t="s">
        <v>1984</v>
      </c>
      <c r="K1894" s="251">
        <f>SUMIF('alb A - Staff Report'!A:A,J1894,'alb A - Staff Report'!D:D)</f>
        <v>0</v>
      </c>
      <c r="L1894" s="266"/>
      <c r="M1894" s="2"/>
      <c r="N1894" s="273">
        <f t="shared" si="1168"/>
        <v>0</v>
      </c>
      <c r="O1894" s="12"/>
      <c r="P1894" s="12"/>
      <c r="Q1894" s="12"/>
      <c r="R1894" s="12"/>
      <c r="S1894" s="6">
        <f t="shared" si="1170"/>
        <v>0</v>
      </c>
      <c r="T1894" s="273">
        <f t="shared" si="1169"/>
        <v>0</v>
      </c>
      <c r="U1894" s="6"/>
      <c r="V1894" s="6"/>
      <c r="W1894" s="6">
        <f t="shared" si="1167"/>
        <v>0</v>
      </c>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X1894" s="6"/>
      <c r="AY1894" s="6">
        <f>ROUND(AX1894/1000/Update!$B$31*Update!$B$27,0)</f>
        <v>0</v>
      </c>
      <c r="BA1894" s="6"/>
      <c r="BB1894" s="6">
        <f>ROUND(BA1894/1000/Update!$B$31,0)</f>
        <v>0</v>
      </c>
      <c r="BC1894" s="6"/>
      <c r="BD1894" s="6">
        <f>ROUND(SUM(BE1894:BK1894),0)</f>
        <v>0</v>
      </c>
      <c r="BE1894" s="322"/>
      <c r="BF1894" s="322"/>
      <c r="BG1894" s="322"/>
      <c r="BH1894" s="322"/>
      <c r="BI1894" s="322"/>
      <c r="BJ1894" s="322"/>
      <c r="BK1894" s="6">
        <f t="shared" si="1157"/>
        <v>0</v>
      </c>
      <c r="BL1894" s="322"/>
      <c r="BM1894" s="322"/>
      <c r="BN1894" s="322"/>
      <c r="BO1894" s="322"/>
      <c r="BP1894" s="322"/>
      <c r="BQ1894" s="322"/>
      <c r="BR1894" s="322"/>
      <c r="BS1894" s="322"/>
      <c r="BT1894" s="322"/>
      <c r="BU1894" s="322"/>
      <c r="BV1894" s="322"/>
      <c r="BW1894" s="322"/>
      <c r="BX1894" s="322"/>
      <c r="BY1894" s="322"/>
      <c r="BZ1894" s="322"/>
      <c r="CA1894" s="322"/>
      <c r="CB1894" s="322"/>
      <c r="CC1894" s="322"/>
      <c r="CD1894" s="322"/>
      <c r="CE1894" s="322"/>
      <c r="CF1894" s="322"/>
      <c r="CG1894" s="322"/>
      <c r="CH1894" s="322"/>
      <c r="CI1894" s="322"/>
      <c r="CM1894" s="1139">
        <f t="shared" si="1160"/>
        <v>0</v>
      </c>
      <c r="CN1894" s="1139">
        <v>0</v>
      </c>
      <c r="CP1894" s="923">
        <f t="shared" si="1159"/>
        <v>0</v>
      </c>
      <c r="CZ1894" s="330"/>
    </row>
    <row r="1895" spans="1:104" ht="30" customHeight="1" x14ac:dyDescent="0.25">
      <c r="A1895" s="684">
        <f>MAX($A$6:A1894)+1</f>
        <v>1895</v>
      </c>
      <c r="B1895" s="1060">
        <f t="shared" si="1171"/>
        <v>51</v>
      </c>
      <c r="C1895" s="292" t="str">
        <f t="shared" si="1171"/>
        <v>Staff Report</v>
      </c>
      <c r="D1895" s="11" t="s">
        <v>1753</v>
      </c>
      <c r="E1895" s="7" t="s">
        <v>1985</v>
      </c>
      <c r="F1895" s="7"/>
      <c r="G1895" s="1285" t="s">
        <v>1985</v>
      </c>
      <c r="H1895" s="6">
        <v>0</v>
      </c>
      <c r="I1895" s="6"/>
      <c r="J1895" s="1271" t="s">
        <v>1985</v>
      </c>
      <c r="K1895" s="251">
        <f>SUMIF('alb A - Staff Report'!A:A,J1895,'alb A - Staff Report'!D:D)</f>
        <v>0</v>
      </c>
      <c r="L1895" s="266"/>
      <c r="M1895" s="2"/>
      <c r="N1895" s="273">
        <f t="shared" si="1168"/>
        <v>0</v>
      </c>
      <c r="O1895" s="12"/>
      <c r="P1895" s="12"/>
      <c r="Q1895" s="12"/>
      <c r="R1895" s="12"/>
      <c r="S1895" s="6">
        <f t="shared" si="1170"/>
        <v>0</v>
      </c>
      <c r="T1895" s="273">
        <f t="shared" si="1169"/>
        <v>0</v>
      </c>
      <c r="U1895" s="6"/>
      <c r="V1895" s="6"/>
      <c r="W1895" s="6">
        <f t="shared" si="1167"/>
        <v>0</v>
      </c>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X1895" s="6"/>
      <c r="AY1895" s="6">
        <f>ROUND(AX1895/1000/Update!$B$31*Update!$B$27,0)</f>
        <v>0</v>
      </c>
      <c r="BA1895" s="6"/>
      <c r="BB1895" s="6">
        <f>ROUND(BA1895/1000/Update!$B$31,0)</f>
        <v>0</v>
      </c>
      <c r="BC1895" s="6"/>
      <c r="BD1895" s="6">
        <f>ROUND(SUM(BE1895:BK1895),0)</f>
        <v>0</v>
      </c>
      <c r="BE1895" s="322"/>
      <c r="BF1895" s="322"/>
      <c r="BG1895" s="322"/>
      <c r="BH1895" s="322"/>
      <c r="BI1895" s="322"/>
      <c r="BJ1895" s="322"/>
      <c r="BK1895" s="6">
        <f t="shared" si="1157"/>
        <v>0</v>
      </c>
      <c r="BL1895" s="322"/>
      <c r="BM1895" s="322"/>
      <c r="BN1895" s="322"/>
      <c r="BO1895" s="322"/>
      <c r="BP1895" s="322"/>
      <c r="BQ1895" s="322"/>
      <c r="BR1895" s="322"/>
      <c r="BS1895" s="322"/>
      <c r="BT1895" s="322"/>
      <c r="BU1895" s="322"/>
      <c r="BV1895" s="322"/>
      <c r="BW1895" s="322"/>
      <c r="BX1895" s="322"/>
      <c r="BY1895" s="322"/>
      <c r="BZ1895" s="322"/>
      <c r="CA1895" s="322"/>
      <c r="CB1895" s="322"/>
      <c r="CC1895" s="322"/>
      <c r="CD1895" s="322"/>
      <c r="CE1895" s="322"/>
      <c r="CF1895" s="322"/>
      <c r="CG1895" s="322"/>
      <c r="CH1895" s="322"/>
      <c r="CI1895" s="322"/>
      <c r="CM1895" s="1139">
        <f t="shared" si="1160"/>
        <v>0</v>
      </c>
      <c r="CN1895" s="1139">
        <v>0</v>
      </c>
      <c r="CP1895" s="923">
        <f t="shared" si="1159"/>
        <v>0</v>
      </c>
      <c r="CZ1895" s="330"/>
    </row>
    <row r="1896" spans="1:104" ht="32.25" customHeight="1" x14ac:dyDescent="0.25">
      <c r="A1896" s="684">
        <f>MAX($A$6:A1895)+1</f>
        <v>1896</v>
      </c>
      <c r="B1896" s="1060">
        <f>B1892</f>
        <v>51</v>
      </c>
      <c r="C1896" s="292" t="str">
        <f>C1892</f>
        <v>Staff Report</v>
      </c>
      <c r="D1896" s="11" t="s">
        <v>1753</v>
      </c>
      <c r="E1896" s="7" t="s">
        <v>1986</v>
      </c>
      <c r="F1896" s="7"/>
      <c r="G1896" s="1285" t="s">
        <v>1986</v>
      </c>
      <c r="H1896" s="6">
        <v>0</v>
      </c>
      <c r="I1896" s="6"/>
      <c r="J1896" s="1271" t="s">
        <v>1986</v>
      </c>
      <c r="K1896" s="251">
        <f>SUMIF('alb A - Staff Report'!A:A,J1896,'alb A - Staff Report'!D:D)</f>
        <v>0</v>
      </c>
      <c r="L1896" s="266"/>
      <c r="M1896" s="2"/>
      <c r="N1896" s="273">
        <f t="shared" si="1168"/>
        <v>0</v>
      </c>
      <c r="O1896" s="12"/>
      <c r="P1896" s="12"/>
      <c r="Q1896" s="12"/>
      <c r="R1896" s="12"/>
      <c r="S1896" s="6">
        <f t="shared" si="1170"/>
        <v>0</v>
      </c>
      <c r="T1896" s="273">
        <f t="shared" si="1169"/>
        <v>0</v>
      </c>
      <c r="U1896" s="6"/>
      <c r="V1896" s="6"/>
      <c r="W1896" s="6">
        <f t="shared" si="1167"/>
        <v>0</v>
      </c>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X1896" s="6"/>
      <c r="AY1896" s="6">
        <f>ROUND(AX1896/1000/Update!$B$31*Update!$B$27,0)</f>
        <v>0</v>
      </c>
      <c r="BA1896" s="6"/>
      <c r="BB1896" s="6">
        <f>ROUND(BA1896/1000/Update!$B$31,0)</f>
        <v>0</v>
      </c>
      <c r="BC1896" s="6"/>
      <c r="BD1896" s="6">
        <f t="shared" si="1143"/>
        <v>0</v>
      </c>
      <c r="BE1896" s="322"/>
      <c r="BF1896" s="322"/>
      <c r="BG1896" s="322"/>
      <c r="BH1896" s="322"/>
      <c r="BI1896" s="322"/>
      <c r="BJ1896" s="322"/>
      <c r="BK1896" s="6">
        <f t="shared" si="1157"/>
        <v>0</v>
      </c>
      <c r="BL1896" s="322"/>
      <c r="BM1896" s="322"/>
      <c r="BN1896" s="322"/>
      <c r="BO1896" s="322"/>
      <c r="BP1896" s="322"/>
      <c r="BQ1896" s="322"/>
      <c r="BR1896" s="322"/>
      <c r="BS1896" s="322"/>
      <c r="BT1896" s="322"/>
      <c r="BU1896" s="322"/>
      <c r="BV1896" s="322"/>
      <c r="BW1896" s="322"/>
      <c r="BX1896" s="322"/>
      <c r="BY1896" s="322"/>
      <c r="BZ1896" s="322"/>
      <c r="CA1896" s="322"/>
      <c r="CB1896" s="322"/>
      <c r="CC1896" s="322"/>
      <c r="CD1896" s="322"/>
      <c r="CE1896" s="322"/>
      <c r="CF1896" s="322"/>
      <c r="CG1896" s="322"/>
      <c r="CH1896" s="322"/>
      <c r="CI1896" s="322"/>
      <c r="CM1896" s="1139">
        <f t="shared" si="1160"/>
        <v>0</v>
      </c>
      <c r="CN1896" s="1139">
        <v>0</v>
      </c>
      <c r="CP1896" s="923">
        <f t="shared" si="1159"/>
        <v>0</v>
      </c>
      <c r="CZ1896" s="330"/>
    </row>
    <row r="1897" spans="1:104" ht="34.5" customHeight="1" x14ac:dyDescent="0.25">
      <c r="A1897" s="684">
        <f>MAX($A$6:A1896)+1</f>
        <v>1897</v>
      </c>
      <c r="B1897" s="1060">
        <f t="shared" ref="B1897:B1905" si="1172">B1896</f>
        <v>51</v>
      </c>
      <c r="C1897" s="292" t="str">
        <f t="shared" ref="C1897:C1905" si="1173">C1896</f>
        <v>Staff Report</v>
      </c>
      <c r="D1897" s="11" t="s">
        <v>1753</v>
      </c>
      <c r="E1897" s="7" t="s">
        <v>1987</v>
      </c>
      <c r="F1897" s="7"/>
      <c r="G1897" s="1285" t="s">
        <v>1987</v>
      </c>
      <c r="H1897" s="6">
        <v>0</v>
      </c>
      <c r="I1897" s="6"/>
      <c r="J1897" s="1271" t="s">
        <v>1987</v>
      </c>
      <c r="K1897" s="251">
        <f>SUMIF('alb A - Staff Report'!A:A,J1897,'alb A - Staff Report'!D:D)</f>
        <v>0</v>
      </c>
      <c r="L1897" s="266"/>
      <c r="M1897" s="2"/>
      <c r="N1897" s="273">
        <f t="shared" si="1168"/>
        <v>0</v>
      </c>
      <c r="O1897" s="12"/>
      <c r="P1897" s="12"/>
      <c r="Q1897" s="12"/>
      <c r="R1897" s="12"/>
      <c r="S1897" s="6">
        <f t="shared" si="1170"/>
        <v>0</v>
      </c>
      <c r="T1897" s="273">
        <f t="shared" si="1169"/>
        <v>0</v>
      </c>
      <c r="U1897" s="6"/>
      <c r="V1897" s="6"/>
      <c r="W1897" s="6">
        <f t="shared" si="1167"/>
        <v>0</v>
      </c>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X1897" s="6"/>
      <c r="AY1897" s="6">
        <f>ROUND(AX1897/1000/Update!$B$31*Update!$B$27,0)</f>
        <v>0</v>
      </c>
      <c r="BA1897" s="6"/>
      <c r="BB1897" s="6">
        <f>ROUND(BA1897/1000/Update!$B$31,0)</f>
        <v>0</v>
      </c>
      <c r="BC1897" s="6"/>
      <c r="BD1897" s="6">
        <f t="shared" si="1143"/>
        <v>0</v>
      </c>
      <c r="BE1897" s="322"/>
      <c r="BF1897" s="322"/>
      <c r="BG1897" s="322"/>
      <c r="BH1897" s="322"/>
      <c r="BI1897" s="322"/>
      <c r="BJ1897" s="322"/>
      <c r="BK1897" s="6">
        <f t="shared" si="1157"/>
        <v>0</v>
      </c>
      <c r="BL1897" s="322"/>
      <c r="BM1897" s="322"/>
      <c r="BN1897" s="322"/>
      <c r="BO1897" s="322"/>
      <c r="BP1897" s="322"/>
      <c r="BQ1897" s="322"/>
      <c r="BR1897" s="322"/>
      <c r="BS1897" s="322"/>
      <c r="BT1897" s="322"/>
      <c r="BU1897" s="322"/>
      <c r="BV1897" s="322"/>
      <c r="BW1897" s="322"/>
      <c r="BX1897" s="322"/>
      <c r="BY1897" s="322"/>
      <c r="BZ1897" s="322"/>
      <c r="CA1897" s="322"/>
      <c r="CB1897" s="322"/>
      <c r="CC1897" s="322"/>
      <c r="CD1897" s="322"/>
      <c r="CE1897" s="322"/>
      <c r="CF1897" s="322"/>
      <c r="CG1897" s="322"/>
      <c r="CH1897" s="322"/>
      <c r="CI1897" s="322"/>
      <c r="CM1897" s="1139">
        <f t="shared" si="1160"/>
        <v>0</v>
      </c>
      <c r="CN1897" s="1139">
        <v>0</v>
      </c>
      <c r="CP1897" s="923">
        <f t="shared" si="1159"/>
        <v>0</v>
      </c>
      <c r="CZ1897" s="330"/>
    </row>
    <row r="1898" spans="1:104" ht="31.5" customHeight="1" x14ac:dyDescent="0.25">
      <c r="A1898" s="684">
        <f>MAX($A$6:A1897)+1</f>
        <v>1898</v>
      </c>
      <c r="B1898" s="1060">
        <f t="shared" si="1172"/>
        <v>51</v>
      </c>
      <c r="C1898" s="292" t="str">
        <f t="shared" si="1173"/>
        <v>Staff Report</v>
      </c>
      <c r="D1898" s="11" t="s">
        <v>1753</v>
      </c>
      <c r="E1898" s="7" t="s">
        <v>1988</v>
      </c>
      <c r="F1898" s="7"/>
      <c r="G1898" s="1286" t="s">
        <v>1988</v>
      </c>
      <c r="H1898" s="6">
        <v>0</v>
      </c>
      <c r="I1898" s="6"/>
      <c r="J1898" s="1272" t="s">
        <v>1988</v>
      </c>
      <c r="K1898" s="251">
        <f>SUMIF('alb A - Staff Report'!A:A,J1898,'alb A - Staff Report'!D:D)</f>
        <v>0</v>
      </c>
      <c r="L1898" s="266"/>
      <c r="M1898" s="2"/>
      <c r="N1898" s="273">
        <f t="shared" si="1168"/>
        <v>0</v>
      </c>
      <c r="O1898" s="12"/>
      <c r="P1898" s="12"/>
      <c r="Q1898" s="12"/>
      <c r="R1898" s="12"/>
      <c r="S1898" s="6">
        <f t="shared" si="1170"/>
        <v>0</v>
      </c>
      <c r="T1898" s="273">
        <f t="shared" si="1169"/>
        <v>0</v>
      </c>
      <c r="U1898" s="6"/>
      <c r="V1898" s="6"/>
      <c r="W1898" s="6">
        <f t="shared" si="1167"/>
        <v>0</v>
      </c>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X1898" s="6"/>
      <c r="AY1898" s="6">
        <f>ROUND(AX1898/1000/Update!$B$31*Update!$B$27,0)</f>
        <v>0</v>
      </c>
      <c r="BA1898" s="6"/>
      <c r="BB1898" s="6">
        <f>ROUND(BA1898/1000/Update!$B$31,0)</f>
        <v>0</v>
      </c>
      <c r="BC1898" s="6"/>
      <c r="BD1898" s="6">
        <f t="shared" si="1143"/>
        <v>0</v>
      </c>
      <c r="BE1898" s="322"/>
      <c r="BF1898" s="322"/>
      <c r="BG1898" s="322"/>
      <c r="BH1898" s="322"/>
      <c r="BI1898" s="322"/>
      <c r="BJ1898" s="322"/>
      <c r="BK1898" s="6">
        <f t="shared" si="1157"/>
        <v>0</v>
      </c>
      <c r="BL1898" s="322"/>
      <c r="BM1898" s="322"/>
      <c r="BN1898" s="322"/>
      <c r="BO1898" s="322"/>
      <c r="BP1898" s="322"/>
      <c r="BQ1898" s="322"/>
      <c r="BR1898" s="322"/>
      <c r="BS1898" s="322"/>
      <c r="BT1898" s="322"/>
      <c r="BU1898" s="322"/>
      <c r="BV1898" s="322"/>
      <c r="BW1898" s="322"/>
      <c r="BX1898" s="322"/>
      <c r="BY1898" s="322"/>
      <c r="BZ1898" s="322"/>
      <c r="CA1898" s="322"/>
      <c r="CB1898" s="322"/>
      <c r="CC1898" s="322"/>
      <c r="CD1898" s="322"/>
      <c r="CE1898" s="322"/>
      <c r="CF1898" s="322"/>
      <c r="CG1898" s="322"/>
      <c r="CH1898" s="322"/>
      <c r="CI1898" s="322"/>
      <c r="CM1898" s="1139">
        <f t="shared" si="1160"/>
        <v>0</v>
      </c>
      <c r="CN1898" s="1139">
        <v>0</v>
      </c>
      <c r="CP1898" s="923">
        <f t="shared" si="1159"/>
        <v>0</v>
      </c>
      <c r="CZ1898" s="330"/>
    </row>
    <row r="1899" spans="1:104" ht="48" customHeight="1" x14ac:dyDescent="0.25">
      <c r="A1899" s="684">
        <f>MAX($A$6:A1898)+1</f>
        <v>1899</v>
      </c>
      <c r="B1899" s="1060">
        <f t="shared" si="1172"/>
        <v>51</v>
      </c>
      <c r="C1899" s="292" t="str">
        <f t="shared" si="1173"/>
        <v>Staff Report</v>
      </c>
      <c r="D1899" s="11" t="s">
        <v>1989</v>
      </c>
      <c r="E1899" s="7" t="s">
        <v>1990</v>
      </c>
      <c r="F1899" s="7"/>
      <c r="G1899" s="1254" t="s">
        <v>1990</v>
      </c>
      <c r="H1899" s="6">
        <v>0</v>
      </c>
      <c r="I1899" s="6"/>
      <c r="J1899" s="1257" t="s">
        <v>2868</v>
      </c>
      <c r="K1899" s="251">
        <f>SUMIF('alb A - Staff Report'!A:A,J1899,'alb A - Staff Report'!D:D)</f>
        <v>0</v>
      </c>
      <c r="L1899" s="266"/>
      <c r="M1899" s="2"/>
      <c r="N1899" s="273">
        <f t="shared" si="1168"/>
        <v>0</v>
      </c>
      <c r="O1899" s="12"/>
      <c r="P1899" s="12"/>
      <c r="Q1899" s="12"/>
      <c r="R1899" s="12"/>
      <c r="S1899" s="6">
        <f t="shared" ref="S1899:S1905" si="1174">-IF(ISNUMBER(BD1899),BD1899,0)</f>
        <v>0</v>
      </c>
      <c r="T1899" s="273">
        <f t="shared" ref="T1899:T1905" si="1175">ROUND(SUM(U1899:Y1899),0)</f>
        <v>0</v>
      </c>
      <c r="U1899" s="6"/>
      <c r="V1899" s="6"/>
      <c r="W1899" s="6">
        <f t="shared" si="1167"/>
        <v>0</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X1899" s="6"/>
      <c r="AY1899" s="6">
        <f>ROUND(AX1899/1000/Update!$B$31*Update!$B$27,0)</f>
        <v>0</v>
      </c>
      <c r="BA1899" s="6"/>
      <c r="BB1899" s="6">
        <f>ROUND(BA1899/1000/Update!$B$31,0)</f>
        <v>0</v>
      </c>
      <c r="BC1899" s="6"/>
      <c r="BD1899" s="6">
        <f t="shared" si="1143"/>
        <v>0</v>
      </c>
      <c r="BE1899" s="322"/>
      <c r="BF1899" s="322"/>
      <c r="BG1899" s="322"/>
      <c r="BH1899" s="322"/>
      <c r="BI1899" s="322"/>
      <c r="BJ1899" s="322"/>
      <c r="BK1899" s="6">
        <f t="shared" si="1157"/>
        <v>0</v>
      </c>
      <c r="BL1899" s="322"/>
      <c r="BM1899" s="322"/>
      <c r="BN1899" s="322"/>
      <c r="BO1899" s="322"/>
      <c r="BP1899" s="322"/>
      <c r="BQ1899" s="322"/>
      <c r="BR1899" s="322"/>
      <c r="BS1899" s="322"/>
      <c r="BT1899" s="322"/>
      <c r="BU1899" s="322"/>
      <c r="BV1899" s="322"/>
      <c r="BW1899" s="322"/>
      <c r="BX1899" s="322"/>
      <c r="BY1899" s="322"/>
      <c r="BZ1899" s="322"/>
      <c r="CA1899" s="322"/>
      <c r="CB1899" s="322"/>
      <c r="CC1899" s="322"/>
      <c r="CD1899" s="322"/>
      <c r="CE1899" s="322"/>
      <c r="CF1899" s="322"/>
      <c r="CG1899" s="322"/>
      <c r="CH1899" s="322"/>
      <c r="CI1899" s="322"/>
      <c r="CM1899" s="1139">
        <f t="shared" si="1160"/>
        <v>0</v>
      </c>
      <c r="CN1899" s="1139">
        <v>0</v>
      </c>
      <c r="CP1899" s="923">
        <f t="shared" si="1159"/>
        <v>0</v>
      </c>
      <c r="CZ1899" s="330"/>
    </row>
    <row r="1900" spans="1:104" ht="31.5" customHeight="1" x14ac:dyDescent="0.25">
      <c r="A1900" s="684">
        <f>MAX($A$6:A1899)+1</f>
        <v>1900</v>
      </c>
      <c r="B1900" s="1060">
        <f t="shared" si="1172"/>
        <v>51</v>
      </c>
      <c r="C1900" s="292" t="str">
        <f t="shared" si="1173"/>
        <v>Staff Report</v>
      </c>
      <c r="D1900" s="11" t="s">
        <v>1989</v>
      </c>
      <c r="E1900" s="7" t="s">
        <v>1992</v>
      </c>
      <c r="F1900" s="7"/>
      <c r="G1900" s="1254" t="s">
        <v>1992</v>
      </c>
      <c r="H1900" s="6">
        <v>0</v>
      </c>
      <c r="I1900" s="6"/>
      <c r="J1900" s="1257" t="s">
        <v>1992</v>
      </c>
      <c r="K1900" s="251">
        <f>SUMIF('alb A - Staff Report'!A:A,J1900,'alb A - Staff Report'!D:D)</f>
        <v>0</v>
      </c>
      <c r="L1900" s="266"/>
      <c r="M1900" s="2"/>
      <c r="N1900" s="273">
        <f t="shared" si="1168"/>
        <v>0</v>
      </c>
      <c r="O1900" s="12"/>
      <c r="P1900" s="12"/>
      <c r="Q1900" s="12"/>
      <c r="R1900" s="12"/>
      <c r="S1900" s="6">
        <f t="shared" si="1174"/>
        <v>0</v>
      </c>
      <c r="T1900" s="273">
        <f t="shared" si="1175"/>
        <v>0</v>
      </c>
      <c r="U1900" s="6"/>
      <c r="V1900" s="6"/>
      <c r="W1900" s="6">
        <f t="shared" si="1167"/>
        <v>0</v>
      </c>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X1900" s="6"/>
      <c r="AY1900" s="6">
        <f>ROUND(AX1900/1000/Update!$B$31*Update!$B$27,0)</f>
        <v>0</v>
      </c>
      <c r="BA1900" s="6"/>
      <c r="BB1900" s="6">
        <f>ROUND(BA1900/1000/Update!$B$31,0)</f>
        <v>0</v>
      </c>
      <c r="BC1900" s="6"/>
      <c r="BD1900" s="6">
        <f t="shared" si="1143"/>
        <v>0</v>
      </c>
      <c r="BE1900" s="322"/>
      <c r="BF1900" s="322"/>
      <c r="BG1900" s="322"/>
      <c r="BH1900" s="322"/>
      <c r="BI1900" s="322"/>
      <c r="BJ1900" s="322"/>
      <c r="BK1900" s="6">
        <f t="shared" si="1157"/>
        <v>0</v>
      </c>
      <c r="BL1900" s="322"/>
      <c r="BM1900" s="322"/>
      <c r="BN1900" s="322"/>
      <c r="BO1900" s="322"/>
      <c r="BP1900" s="322"/>
      <c r="BQ1900" s="322"/>
      <c r="BR1900" s="322"/>
      <c r="BS1900" s="322"/>
      <c r="BT1900" s="322"/>
      <c r="BU1900" s="322"/>
      <c r="BV1900" s="322"/>
      <c r="BW1900" s="322"/>
      <c r="BX1900" s="322"/>
      <c r="BY1900" s="322"/>
      <c r="BZ1900" s="322"/>
      <c r="CA1900" s="322"/>
      <c r="CB1900" s="322"/>
      <c r="CC1900" s="322"/>
      <c r="CD1900" s="322"/>
      <c r="CE1900" s="322"/>
      <c r="CF1900" s="322"/>
      <c r="CG1900" s="322"/>
      <c r="CH1900" s="322"/>
      <c r="CI1900" s="322"/>
      <c r="CM1900" s="1139">
        <f t="shared" si="1160"/>
        <v>0</v>
      </c>
      <c r="CN1900" s="1139">
        <v>0</v>
      </c>
      <c r="CP1900" s="923">
        <f t="shared" si="1159"/>
        <v>0</v>
      </c>
      <c r="CZ1900" s="330"/>
    </row>
    <row r="1901" spans="1:104" ht="31.5" customHeight="1" x14ac:dyDescent="0.25">
      <c r="A1901" s="684">
        <f>MAX($A$6:A1900)+1</f>
        <v>1901</v>
      </c>
      <c r="B1901" s="1060">
        <f t="shared" si="1172"/>
        <v>51</v>
      </c>
      <c r="C1901" s="292" t="str">
        <f t="shared" si="1173"/>
        <v>Staff Report</v>
      </c>
      <c r="D1901" s="11" t="s">
        <v>1989</v>
      </c>
      <c r="E1901" s="7" t="s">
        <v>1993</v>
      </c>
      <c r="F1901" s="7"/>
      <c r="G1901" s="1254" t="s">
        <v>1993</v>
      </c>
      <c r="H1901" s="6">
        <v>0</v>
      </c>
      <c r="I1901" s="6"/>
      <c r="J1901" s="1257" t="s">
        <v>1993</v>
      </c>
      <c r="K1901" s="251">
        <f>SUMIF('alb A - Staff Report'!A:A,J1901,'alb A - Staff Report'!D:D)</f>
        <v>0</v>
      </c>
      <c r="L1901" s="266"/>
      <c r="M1901" s="2"/>
      <c r="N1901" s="273">
        <f t="shared" si="1168"/>
        <v>0</v>
      </c>
      <c r="O1901" s="12"/>
      <c r="P1901" s="12"/>
      <c r="Q1901" s="12"/>
      <c r="R1901" s="12"/>
      <c r="S1901" s="6">
        <f t="shared" si="1174"/>
        <v>0</v>
      </c>
      <c r="T1901" s="273">
        <f t="shared" si="1175"/>
        <v>0</v>
      </c>
      <c r="U1901" s="6"/>
      <c r="V1901" s="6"/>
      <c r="W1901" s="6">
        <f t="shared" si="1167"/>
        <v>0</v>
      </c>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X1901" s="6"/>
      <c r="AY1901" s="6">
        <f>ROUND(AX1901/1000/Update!$B$31*Update!$B$27,0)</f>
        <v>0</v>
      </c>
      <c r="BA1901" s="6"/>
      <c r="BB1901" s="6">
        <f>ROUND(BA1901/1000/Update!$B$31,0)</f>
        <v>0</v>
      </c>
      <c r="BC1901" s="6"/>
      <c r="BD1901" s="6">
        <f t="shared" si="1143"/>
        <v>0</v>
      </c>
      <c r="BE1901" s="322"/>
      <c r="BF1901" s="322"/>
      <c r="BG1901" s="322"/>
      <c r="BH1901" s="322"/>
      <c r="BI1901" s="322"/>
      <c r="BJ1901" s="322"/>
      <c r="BK1901" s="6">
        <f t="shared" si="1157"/>
        <v>0</v>
      </c>
      <c r="BL1901" s="322"/>
      <c r="BM1901" s="322"/>
      <c r="BN1901" s="322"/>
      <c r="BO1901" s="322"/>
      <c r="BP1901" s="322"/>
      <c r="BQ1901" s="322"/>
      <c r="BR1901" s="322"/>
      <c r="BS1901" s="322"/>
      <c r="BT1901" s="322"/>
      <c r="BU1901" s="322"/>
      <c r="BV1901" s="322"/>
      <c r="BW1901" s="322"/>
      <c r="BX1901" s="322"/>
      <c r="BY1901" s="322"/>
      <c r="BZ1901" s="322"/>
      <c r="CA1901" s="322"/>
      <c r="CB1901" s="322"/>
      <c r="CC1901" s="322"/>
      <c r="CD1901" s="322"/>
      <c r="CE1901" s="322"/>
      <c r="CF1901" s="322"/>
      <c r="CG1901" s="322"/>
      <c r="CH1901" s="322"/>
      <c r="CI1901" s="322"/>
      <c r="CM1901" s="1139">
        <f t="shared" si="1160"/>
        <v>0</v>
      </c>
      <c r="CN1901" s="1139">
        <v>0</v>
      </c>
      <c r="CP1901" s="923">
        <f t="shared" si="1159"/>
        <v>0</v>
      </c>
      <c r="CZ1901" s="330"/>
    </row>
    <row r="1902" spans="1:104" ht="42.75" customHeight="1" x14ac:dyDescent="0.25">
      <c r="A1902" s="684">
        <f>MAX($A$6:A1901)+1</f>
        <v>1902</v>
      </c>
      <c r="B1902" s="1060">
        <f t="shared" si="1172"/>
        <v>51</v>
      </c>
      <c r="C1902" s="292" t="str">
        <f t="shared" si="1173"/>
        <v>Staff Report</v>
      </c>
      <c r="D1902" s="11" t="s">
        <v>1989</v>
      </c>
      <c r="E1902" s="7" t="s">
        <v>1994</v>
      </c>
      <c r="F1902" s="7"/>
      <c r="G1902" s="1254" t="s">
        <v>1994</v>
      </c>
      <c r="H1902" s="6">
        <v>0</v>
      </c>
      <c r="I1902" s="6"/>
      <c r="J1902" s="1257" t="s">
        <v>1994</v>
      </c>
      <c r="K1902" s="251">
        <f>SUMIF('alb A - Staff Report'!A:A,J1902,'alb A - Staff Report'!D:D)</f>
        <v>0</v>
      </c>
      <c r="L1902" s="266"/>
      <c r="M1902" s="2"/>
      <c r="N1902" s="273">
        <f t="shared" si="1168"/>
        <v>0</v>
      </c>
      <c r="O1902" s="12"/>
      <c r="P1902" s="12"/>
      <c r="Q1902" s="12"/>
      <c r="R1902" s="12"/>
      <c r="S1902" s="6">
        <f t="shared" si="1174"/>
        <v>0</v>
      </c>
      <c r="T1902" s="273">
        <f t="shared" si="1175"/>
        <v>0</v>
      </c>
      <c r="U1902" s="6"/>
      <c r="V1902" s="6"/>
      <c r="W1902" s="6">
        <f t="shared" si="1167"/>
        <v>0</v>
      </c>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X1902" s="6"/>
      <c r="AY1902" s="6">
        <f>ROUND(AX1902/1000/Update!$B$31*Update!$B$27,0)</f>
        <v>0</v>
      </c>
      <c r="BA1902" s="6"/>
      <c r="BB1902" s="6">
        <f>ROUND(BA1902/1000/Update!$B$31,0)</f>
        <v>0</v>
      </c>
      <c r="BC1902" s="6"/>
      <c r="BD1902" s="6">
        <f t="shared" si="1143"/>
        <v>0</v>
      </c>
      <c r="BE1902" s="322"/>
      <c r="BF1902" s="322"/>
      <c r="BG1902" s="322"/>
      <c r="BH1902" s="322"/>
      <c r="BI1902" s="322"/>
      <c r="BJ1902" s="322"/>
      <c r="BK1902" s="6">
        <f t="shared" si="1157"/>
        <v>0</v>
      </c>
      <c r="BL1902" s="322"/>
      <c r="BM1902" s="322"/>
      <c r="BN1902" s="322"/>
      <c r="BO1902" s="322"/>
      <c r="BP1902" s="322"/>
      <c r="BQ1902" s="322"/>
      <c r="BR1902" s="322"/>
      <c r="BS1902" s="322"/>
      <c r="BT1902" s="322"/>
      <c r="BU1902" s="322"/>
      <c r="BV1902" s="322"/>
      <c r="BW1902" s="322"/>
      <c r="BX1902" s="322"/>
      <c r="BY1902" s="322"/>
      <c r="BZ1902" s="322"/>
      <c r="CA1902" s="322"/>
      <c r="CB1902" s="322"/>
      <c r="CC1902" s="322"/>
      <c r="CD1902" s="322"/>
      <c r="CE1902" s="322"/>
      <c r="CF1902" s="322"/>
      <c r="CG1902" s="322"/>
      <c r="CH1902" s="322"/>
      <c r="CI1902" s="322"/>
      <c r="CM1902" s="1139">
        <f t="shared" si="1160"/>
        <v>0</v>
      </c>
      <c r="CN1902" s="1139">
        <v>0</v>
      </c>
      <c r="CP1902" s="923">
        <f t="shared" si="1159"/>
        <v>0</v>
      </c>
      <c r="CZ1902" s="330"/>
    </row>
    <row r="1903" spans="1:104" ht="31.5" customHeight="1" x14ac:dyDescent="0.25">
      <c r="A1903" s="684">
        <f>MAX($A$6:A1902)+1</f>
        <v>1903</v>
      </c>
      <c r="B1903" s="1060">
        <f t="shared" si="1172"/>
        <v>51</v>
      </c>
      <c r="C1903" s="292" t="str">
        <f t="shared" si="1173"/>
        <v>Staff Report</v>
      </c>
      <c r="D1903" s="11" t="s">
        <v>1989</v>
      </c>
      <c r="E1903" s="7" t="s">
        <v>1995</v>
      </c>
      <c r="F1903" s="7"/>
      <c r="G1903" s="1254" t="s">
        <v>1995</v>
      </c>
      <c r="H1903" s="6">
        <v>0</v>
      </c>
      <c r="I1903" s="6"/>
      <c r="J1903" s="1257" t="s">
        <v>1995</v>
      </c>
      <c r="K1903" s="251">
        <f>SUMIF('alb A - Staff Report'!A:A,J1903,'alb A - Staff Report'!D:D)</f>
        <v>0</v>
      </c>
      <c r="L1903" s="266"/>
      <c r="M1903" s="2"/>
      <c r="N1903" s="273">
        <f t="shared" si="1168"/>
        <v>0</v>
      </c>
      <c r="O1903" s="12"/>
      <c r="P1903" s="12"/>
      <c r="Q1903" s="12"/>
      <c r="R1903" s="12"/>
      <c r="S1903" s="6">
        <f t="shared" si="1174"/>
        <v>0</v>
      </c>
      <c r="T1903" s="273">
        <f t="shared" si="1175"/>
        <v>0</v>
      </c>
      <c r="U1903" s="6"/>
      <c r="V1903" s="6"/>
      <c r="W1903" s="6">
        <f t="shared" si="1167"/>
        <v>0</v>
      </c>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X1903" s="6"/>
      <c r="AY1903" s="6">
        <f>ROUND(AX1903/1000/Update!$B$31*Update!$B$27,0)</f>
        <v>0</v>
      </c>
      <c r="BA1903" s="6"/>
      <c r="BB1903" s="6">
        <f>ROUND(BA1903/1000/Update!$B$31,0)</f>
        <v>0</v>
      </c>
      <c r="BC1903" s="6"/>
      <c r="BD1903" s="6">
        <f t="shared" si="1143"/>
        <v>0</v>
      </c>
      <c r="BE1903" s="322"/>
      <c r="BF1903" s="322"/>
      <c r="BG1903" s="322"/>
      <c r="BH1903" s="322"/>
      <c r="BI1903" s="322"/>
      <c r="BJ1903" s="322"/>
      <c r="BK1903" s="6">
        <f t="shared" si="1157"/>
        <v>0</v>
      </c>
      <c r="BL1903" s="322"/>
      <c r="BM1903" s="322"/>
      <c r="BN1903" s="322"/>
      <c r="BO1903" s="322"/>
      <c r="BP1903" s="322"/>
      <c r="BQ1903" s="322"/>
      <c r="BR1903" s="322"/>
      <c r="BS1903" s="322"/>
      <c r="BT1903" s="322"/>
      <c r="BU1903" s="322"/>
      <c r="BV1903" s="322"/>
      <c r="BW1903" s="322"/>
      <c r="BX1903" s="322"/>
      <c r="BY1903" s="322"/>
      <c r="BZ1903" s="322"/>
      <c r="CA1903" s="322"/>
      <c r="CB1903" s="322"/>
      <c r="CC1903" s="322"/>
      <c r="CD1903" s="322"/>
      <c r="CE1903" s="322"/>
      <c r="CF1903" s="322"/>
      <c r="CG1903" s="322"/>
      <c r="CH1903" s="322"/>
      <c r="CI1903" s="322"/>
      <c r="CM1903" s="1139">
        <f t="shared" si="1160"/>
        <v>0</v>
      </c>
      <c r="CN1903" s="1139">
        <v>0</v>
      </c>
      <c r="CP1903" s="923">
        <f t="shared" si="1159"/>
        <v>0</v>
      </c>
      <c r="CZ1903" s="330"/>
    </row>
    <row r="1904" spans="1:104" ht="44.25" customHeight="1" x14ac:dyDescent="0.25">
      <c r="A1904" s="684">
        <f>MAX($A$6:A1903)+1</f>
        <v>1904</v>
      </c>
      <c r="B1904" s="1060">
        <f t="shared" si="1172"/>
        <v>51</v>
      </c>
      <c r="C1904" s="292" t="str">
        <f t="shared" si="1173"/>
        <v>Staff Report</v>
      </c>
      <c r="D1904" s="11" t="s">
        <v>1989</v>
      </c>
      <c r="E1904" s="7" t="s">
        <v>1996</v>
      </c>
      <c r="F1904" s="7"/>
      <c r="G1904" s="1254" t="s">
        <v>1996</v>
      </c>
      <c r="H1904" s="6">
        <v>0</v>
      </c>
      <c r="I1904" s="6"/>
      <c r="J1904" s="1257" t="s">
        <v>1996</v>
      </c>
      <c r="K1904" s="251">
        <f>SUMIF('alb A - Staff Report'!A:A,J1904,'alb A - Staff Report'!D:D)</f>
        <v>0</v>
      </c>
      <c r="L1904" s="266"/>
      <c r="M1904" s="2"/>
      <c r="N1904" s="273">
        <f t="shared" si="1168"/>
        <v>0</v>
      </c>
      <c r="O1904" s="12"/>
      <c r="P1904" s="12"/>
      <c r="Q1904" s="12"/>
      <c r="R1904" s="12"/>
      <c r="S1904" s="6">
        <f t="shared" si="1174"/>
        <v>0</v>
      </c>
      <c r="T1904" s="273">
        <f t="shared" si="1175"/>
        <v>0</v>
      </c>
      <c r="U1904" s="6"/>
      <c r="V1904" s="6"/>
      <c r="W1904" s="6">
        <f t="shared" si="1167"/>
        <v>0</v>
      </c>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X1904" s="6"/>
      <c r="AY1904" s="6">
        <f>ROUND(AX1904/1000/Update!$B$31*Update!$B$27,0)</f>
        <v>0</v>
      </c>
      <c r="BA1904" s="6"/>
      <c r="BB1904" s="6">
        <f>ROUND(BA1904/1000/Update!$B$31,0)</f>
        <v>0</v>
      </c>
      <c r="BC1904" s="6"/>
      <c r="BD1904" s="6">
        <f t="shared" si="1143"/>
        <v>0</v>
      </c>
      <c r="BE1904" s="322"/>
      <c r="BF1904" s="322"/>
      <c r="BG1904" s="322"/>
      <c r="BH1904" s="322"/>
      <c r="BI1904" s="322"/>
      <c r="BJ1904" s="322"/>
      <c r="BK1904" s="6">
        <f t="shared" si="1157"/>
        <v>0</v>
      </c>
      <c r="BL1904" s="322"/>
      <c r="BM1904" s="322"/>
      <c r="BN1904" s="322"/>
      <c r="BO1904" s="322"/>
      <c r="BP1904" s="322"/>
      <c r="BQ1904" s="322"/>
      <c r="BR1904" s="322"/>
      <c r="BS1904" s="322"/>
      <c r="BT1904" s="322"/>
      <c r="BU1904" s="322"/>
      <c r="BV1904" s="322"/>
      <c r="BW1904" s="322"/>
      <c r="BX1904" s="322"/>
      <c r="BY1904" s="322"/>
      <c r="BZ1904" s="322"/>
      <c r="CA1904" s="322"/>
      <c r="CB1904" s="322"/>
      <c r="CC1904" s="322"/>
      <c r="CD1904" s="322"/>
      <c r="CE1904" s="322"/>
      <c r="CF1904" s="322"/>
      <c r="CG1904" s="322"/>
      <c r="CH1904" s="322"/>
      <c r="CI1904" s="322"/>
      <c r="CM1904" s="1139">
        <f t="shared" si="1160"/>
        <v>0</v>
      </c>
      <c r="CN1904" s="1139">
        <v>0</v>
      </c>
      <c r="CP1904" s="923">
        <f t="shared" si="1159"/>
        <v>0</v>
      </c>
      <c r="CZ1904" s="330"/>
    </row>
    <row r="1905" spans="1:104" ht="44.25" customHeight="1" x14ac:dyDescent="0.25">
      <c r="A1905" s="684">
        <f>MAX($A$6:A1904)+1</f>
        <v>1905</v>
      </c>
      <c r="B1905" s="1060">
        <f t="shared" si="1172"/>
        <v>51</v>
      </c>
      <c r="C1905" s="292" t="str">
        <f t="shared" si="1173"/>
        <v>Staff Report</v>
      </c>
      <c r="D1905" s="11" t="s">
        <v>1989</v>
      </c>
      <c r="E1905" s="7" t="s">
        <v>1997</v>
      </c>
      <c r="F1905" s="7"/>
      <c r="G1905" s="1254" t="s">
        <v>1997</v>
      </c>
      <c r="H1905" s="6">
        <v>0</v>
      </c>
      <c r="I1905" s="6"/>
      <c r="J1905" s="1257" t="s">
        <v>1997</v>
      </c>
      <c r="K1905" s="251">
        <f>SUMIF('alb A - Staff Report'!A:A,J1905,'alb A - Staff Report'!D:D)</f>
        <v>0</v>
      </c>
      <c r="L1905" s="266"/>
      <c r="M1905" s="2"/>
      <c r="N1905" s="273">
        <f t="shared" si="1168"/>
        <v>0</v>
      </c>
      <c r="O1905" s="12"/>
      <c r="P1905" s="12"/>
      <c r="Q1905" s="12"/>
      <c r="R1905" s="12"/>
      <c r="S1905" s="6">
        <f t="shared" si="1174"/>
        <v>0</v>
      </c>
      <c r="T1905" s="273">
        <f t="shared" si="1175"/>
        <v>0</v>
      </c>
      <c r="U1905" s="6"/>
      <c r="V1905" s="6"/>
      <c r="W1905" s="6">
        <f t="shared" si="1167"/>
        <v>0</v>
      </c>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X1905" s="6"/>
      <c r="AY1905" s="6">
        <f>ROUND(AX1905/1000/Update!$B$31*Update!$B$27,0)</f>
        <v>0</v>
      </c>
      <c r="BA1905" s="6"/>
      <c r="BB1905" s="6">
        <f>ROUND(BA1905/1000/Update!$B$31,0)</f>
        <v>0</v>
      </c>
      <c r="BC1905" s="6"/>
      <c r="BD1905" s="6">
        <f t="shared" si="1143"/>
        <v>0</v>
      </c>
      <c r="BE1905" s="322"/>
      <c r="BF1905" s="322"/>
      <c r="BG1905" s="322"/>
      <c r="BH1905" s="322"/>
      <c r="BI1905" s="322"/>
      <c r="BJ1905" s="322"/>
      <c r="BK1905" s="6">
        <f t="shared" si="1157"/>
        <v>0</v>
      </c>
      <c r="BL1905" s="322"/>
      <c r="BM1905" s="322"/>
      <c r="BN1905" s="322"/>
      <c r="BO1905" s="322"/>
      <c r="BP1905" s="322"/>
      <c r="BQ1905" s="322"/>
      <c r="BR1905" s="322"/>
      <c r="BS1905" s="322"/>
      <c r="BT1905" s="322"/>
      <c r="BU1905" s="322"/>
      <c r="BV1905" s="322"/>
      <c r="BW1905" s="322"/>
      <c r="BX1905" s="322"/>
      <c r="BY1905" s="322"/>
      <c r="BZ1905" s="322"/>
      <c r="CA1905" s="322"/>
      <c r="CB1905" s="322"/>
      <c r="CC1905" s="322"/>
      <c r="CD1905" s="322"/>
      <c r="CE1905" s="322"/>
      <c r="CF1905" s="322"/>
      <c r="CG1905" s="322"/>
      <c r="CH1905" s="322"/>
      <c r="CI1905" s="322"/>
      <c r="CM1905" s="1139">
        <f t="shared" si="1160"/>
        <v>0</v>
      </c>
      <c r="CN1905" s="1139">
        <v>0</v>
      </c>
      <c r="CP1905" s="923">
        <f t="shared" si="1159"/>
        <v>0</v>
      </c>
      <c r="CZ1905" s="330"/>
    </row>
    <row r="1906" spans="1:104" ht="15" customHeight="1" x14ac:dyDescent="0.25">
      <c r="A1906" s="684">
        <f>MAX($A$6:A1905)+1</f>
        <v>1906</v>
      </c>
      <c r="B1906" s="1060">
        <f>B1898</f>
        <v>51</v>
      </c>
      <c r="C1906" s="292" t="str">
        <f>C1898</f>
        <v>Staff Report</v>
      </c>
      <c r="D1906" s="11" t="s">
        <v>1755</v>
      </c>
      <c r="E1906" s="7" t="s">
        <v>1906</v>
      </c>
      <c r="F1906" s="7"/>
      <c r="G1906" s="1287" t="s">
        <v>1906</v>
      </c>
      <c r="H1906" s="6">
        <v>0</v>
      </c>
      <c r="I1906" s="6"/>
      <c r="J1906" s="1273" t="s">
        <v>1906</v>
      </c>
      <c r="K1906" s="251">
        <f>SUMIF('alb A - Staff Report'!A:A,J1906,'alb A - Staff Report'!B:B)</f>
        <v>0</v>
      </c>
      <c r="L1906" s="266"/>
      <c r="M1906" s="2"/>
      <c r="N1906" s="273">
        <f t="shared" si="1168"/>
        <v>0</v>
      </c>
      <c r="O1906" s="12"/>
      <c r="P1906" s="12"/>
      <c r="Q1906" s="12"/>
      <c r="R1906" s="12"/>
      <c r="S1906" s="6">
        <f>-IF(ISNUMBER(BD1906),BD1906,0)</f>
        <v>0</v>
      </c>
      <c r="T1906" s="273">
        <f>ROUND(SUM(U1906:Y1906),0)</f>
        <v>0</v>
      </c>
      <c r="U1906" s="6"/>
      <c r="V1906" s="6"/>
      <c r="W1906" s="6">
        <f t="shared" si="1167"/>
        <v>0</v>
      </c>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X1906" s="6"/>
      <c r="AY1906" s="6">
        <f>ROUND(AX1906/1000/Update!$B$31*Update!$B$27,0)</f>
        <v>0</v>
      </c>
      <c r="BA1906" s="6"/>
      <c r="BB1906" s="6">
        <f>ROUND(BA1906/1000/Update!$B$31,0)</f>
        <v>0</v>
      </c>
      <c r="BC1906" s="6"/>
      <c r="BD1906" s="6">
        <f t="shared" si="1143"/>
        <v>0</v>
      </c>
      <c r="BE1906" s="322"/>
      <c r="BF1906" s="322"/>
      <c r="BG1906" s="322"/>
      <c r="BH1906" s="322"/>
      <c r="BI1906" s="322"/>
      <c r="BJ1906" s="322"/>
      <c r="BK1906" s="6">
        <f t="shared" si="1157"/>
        <v>0</v>
      </c>
      <c r="BL1906" s="322"/>
      <c r="BM1906" s="322"/>
      <c r="BN1906" s="322"/>
      <c r="BO1906" s="322"/>
      <c r="BP1906" s="322"/>
      <c r="BQ1906" s="322"/>
      <c r="BR1906" s="322"/>
      <c r="BS1906" s="322"/>
      <c r="BT1906" s="322"/>
      <c r="BU1906" s="322"/>
      <c r="BV1906" s="322"/>
      <c r="BW1906" s="322"/>
      <c r="BX1906" s="322"/>
      <c r="BY1906" s="322"/>
      <c r="BZ1906" s="322"/>
      <c r="CA1906" s="322"/>
      <c r="CB1906" s="322"/>
      <c r="CC1906" s="322"/>
      <c r="CD1906" s="322"/>
      <c r="CE1906" s="322"/>
      <c r="CF1906" s="322"/>
      <c r="CG1906" s="322"/>
      <c r="CH1906" s="322"/>
      <c r="CI1906" s="322"/>
      <c r="CM1906" s="1139">
        <f t="shared" si="1160"/>
        <v>0</v>
      </c>
      <c r="CN1906" s="1139">
        <v>0</v>
      </c>
      <c r="CP1906" s="923">
        <f t="shared" si="1159"/>
        <v>0</v>
      </c>
      <c r="CZ1906" s="330"/>
    </row>
    <row r="1907" spans="1:104" ht="15" customHeight="1" x14ac:dyDescent="0.25">
      <c r="A1907" s="684">
        <f>MAX($A$6:A1906)+1</f>
        <v>1907</v>
      </c>
      <c r="B1907" s="1060">
        <f t="shared" ref="B1907:B1917" si="1176">B1906</f>
        <v>51</v>
      </c>
      <c r="C1907" s="292" t="str">
        <f t="shared" ref="C1907:C1917" si="1177">C1906</f>
        <v>Staff Report</v>
      </c>
      <c r="D1907" s="11" t="s">
        <v>1755</v>
      </c>
      <c r="E1907" s="7" t="s">
        <v>1907</v>
      </c>
      <c r="F1907" s="7"/>
      <c r="G1907" s="1287" t="s">
        <v>1907</v>
      </c>
      <c r="H1907" s="6">
        <v>0</v>
      </c>
      <c r="I1907" s="6"/>
      <c r="J1907" s="1273" t="s">
        <v>1907</v>
      </c>
      <c r="K1907" s="251">
        <f>SUMIF('alb A - Staff Report'!A:A,J1907,'alb A - Staff Report'!B:B)</f>
        <v>0</v>
      </c>
      <c r="L1907" s="266"/>
      <c r="M1907" s="2"/>
      <c r="N1907" s="273">
        <f t="shared" ref="N1907:N1917" si="1178">ROUND(SUM(O1907:AU1907)-T1907,0)</f>
        <v>0</v>
      </c>
      <c r="O1907" s="12"/>
      <c r="P1907" s="12"/>
      <c r="Q1907" s="12"/>
      <c r="R1907" s="12"/>
      <c r="S1907" s="6">
        <f t="shared" ref="S1907:S1917" si="1179">-IF(ISNUMBER(BD1907),BD1907,0)</f>
        <v>0</v>
      </c>
      <c r="T1907" s="273">
        <f t="shared" ref="T1907:T1917" si="1180">ROUND(SUM(U1907:Y1907),0)</f>
        <v>0</v>
      </c>
      <c r="U1907" s="6"/>
      <c r="V1907" s="6"/>
      <c r="W1907" s="6">
        <f t="shared" si="1167"/>
        <v>0</v>
      </c>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X1907" s="6"/>
      <c r="AY1907" s="6">
        <f>ROUND(AX1907/1000/Update!$B$31*Update!$B$27,0)</f>
        <v>0</v>
      </c>
      <c r="BA1907" s="6"/>
      <c r="BB1907" s="6">
        <f>ROUND(BA1907/1000/Update!$B$31,0)</f>
        <v>0</v>
      </c>
      <c r="BC1907" s="6"/>
      <c r="BD1907" s="6">
        <f t="shared" ref="BD1907:BD1916" si="1181">ROUND(SUM(BE1907:BK1907),0)</f>
        <v>0</v>
      </c>
      <c r="BE1907" s="322"/>
      <c r="BF1907" s="322"/>
      <c r="BG1907" s="322"/>
      <c r="BH1907" s="322"/>
      <c r="BI1907" s="322"/>
      <c r="BJ1907" s="322"/>
      <c r="BK1907" s="6">
        <f t="shared" si="1157"/>
        <v>0</v>
      </c>
      <c r="BL1907" s="322"/>
      <c r="BM1907" s="322"/>
      <c r="BN1907" s="322"/>
      <c r="BO1907" s="322"/>
      <c r="BP1907" s="322"/>
      <c r="BQ1907" s="322"/>
      <c r="BR1907" s="322"/>
      <c r="BS1907" s="322"/>
      <c r="BT1907" s="322"/>
      <c r="BU1907" s="322"/>
      <c r="BV1907" s="322"/>
      <c r="BW1907" s="322"/>
      <c r="BX1907" s="322"/>
      <c r="BY1907" s="322"/>
      <c r="BZ1907" s="322"/>
      <c r="CA1907" s="322"/>
      <c r="CB1907" s="322"/>
      <c r="CC1907" s="322"/>
      <c r="CD1907" s="322"/>
      <c r="CE1907" s="322"/>
      <c r="CF1907" s="322"/>
      <c r="CG1907" s="322"/>
      <c r="CH1907" s="322"/>
      <c r="CI1907" s="322"/>
      <c r="CM1907" s="1139">
        <f t="shared" si="1160"/>
        <v>0</v>
      </c>
      <c r="CN1907" s="1139">
        <v>0</v>
      </c>
      <c r="CP1907" s="923">
        <f t="shared" si="1159"/>
        <v>0</v>
      </c>
      <c r="CZ1907" s="330"/>
    </row>
    <row r="1908" spans="1:104" ht="15" customHeight="1" x14ac:dyDescent="0.25">
      <c r="A1908" s="684">
        <f>MAX($A$6:A1907)+1</f>
        <v>1908</v>
      </c>
      <c r="B1908" s="1060">
        <f t="shared" si="1176"/>
        <v>51</v>
      </c>
      <c r="C1908" s="292" t="str">
        <f t="shared" si="1177"/>
        <v>Staff Report</v>
      </c>
      <c r="D1908" s="11" t="s">
        <v>1755</v>
      </c>
      <c r="E1908" s="7" t="s">
        <v>1908</v>
      </c>
      <c r="F1908" s="7"/>
      <c r="G1908" s="1287" t="s">
        <v>1908</v>
      </c>
      <c r="H1908" s="6">
        <v>0</v>
      </c>
      <c r="I1908" s="6"/>
      <c r="J1908" s="1273" t="s">
        <v>1908</v>
      </c>
      <c r="K1908" s="251">
        <f>SUMIF('alb A - Staff Report'!A:A,J1908,'alb A - Staff Report'!B:B)</f>
        <v>0</v>
      </c>
      <c r="L1908" s="266"/>
      <c r="M1908" s="2"/>
      <c r="N1908" s="273">
        <f t="shared" si="1178"/>
        <v>0</v>
      </c>
      <c r="O1908" s="12"/>
      <c r="P1908" s="12"/>
      <c r="Q1908" s="12"/>
      <c r="R1908" s="12"/>
      <c r="S1908" s="6">
        <f t="shared" si="1179"/>
        <v>0</v>
      </c>
      <c r="T1908" s="273">
        <f t="shared" si="1180"/>
        <v>0</v>
      </c>
      <c r="U1908" s="6"/>
      <c r="V1908" s="6"/>
      <c r="W1908" s="6">
        <f t="shared" si="1167"/>
        <v>0</v>
      </c>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X1908" s="6"/>
      <c r="AY1908" s="6">
        <f>ROUND(AX1908/1000/Update!$B$31*Update!$B$27,0)</f>
        <v>0</v>
      </c>
      <c r="BA1908" s="6"/>
      <c r="BB1908" s="6">
        <f>ROUND(BA1908/1000/Update!$B$31,0)</f>
        <v>0</v>
      </c>
      <c r="BC1908" s="6"/>
      <c r="BD1908" s="6">
        <f t="shared" si="1181"/>
        <v>0</v>
      </c>
      <c r="BE1908" s="322"/>
      <c r="BF1908" s="322"/>
      <c r="BG1908" s="322"/>
      <c r="BH1908" s="322"/>
      <c r="BI1908" s="322"/>
      <c r="BJ1908" s="322"/>
      <c r="BK1908" s="6">
        <f t="shared" si="1157"/>
        <v>0</v>
      </c>
      <c r="BL1908" s="322"/>
      <c r="BM1908" s="322"/>
      <c r="BN1908" s="322"/>
      <c r="BO1908" s="322"/>
      <c r="BP1908" s="322"/>
      <c r="BQ1908" s="322"/>
      <c r="BR1908" s="322"/>
      <c r="BS1908" s="322"/>
      <c r="BT1908" s="322"/>
      <c r="BU1908" s="322"/>
      <c r="BV1908" s="322"/>
      <c r="BW1908" s="322"/>
      <c r="BX1908" s="322"/>
      <c r="BY1908" s="322"/>
      <c r="BZ1908" s="322"/>
      <c r="CA1908" s="322"/>
      <c r="CB1908" s="322"/>
      <c r="CC1908" s="322"/>
      <c r="CD1908" s="322"/>
      <c r="CE1908" s="322"/>
      <c r="CF1908" s="322"/>
      <c r="CG1908" s="322"/>
      <c r="CH1908" s="322"/>
      <c r="CI1908" s="322"/>
      <c r="CM1908" s="1139">
        <f t="shared" si="1160"/>
        <v>0</v>
      </c>
      <c r="CN1908" s="1139">
        <v>0</v>
      </c>
      <c r="CP1908" s="923">
        <f t="shared" si="1159"/>
        <v>0</v>
      </c>
      <c r="CZ1908" s="330"/>
    </row>
    <row r="1909" spans="1:104" ht="15" customHeight="1" x14ac:dyDescent="0.25">
      <c r="A1909" s="684">
        <f>MAX($A$6:A1908)+1</f>
        <v>1909</v>
      </c>
      <c r="B1909" s="1060">
        <f t="shared" si="1176"/>
        <v>51</v>
      </c>
      <c r="C1909" s="292" t="str">
        <f t="shared" si="1177"/>
        <v>Staff Report</v>
      </c>
      <c r="D1909" s="11" t="s">
        <v>1755</v>
      </c>
      <c r="E1909" s="7" t="s">
        <v>1909</v>
      </c>
      <c r="F1909" s="7"/>
      <c r="G1909" s="1287" t="s">
        <v>1909</v>
      </c>
      <c r="H1909" s="6">
        <v>0</v>
      </c>
      <c r="I1909" s="6"/>
      <c r="J1909" s="1273" t="s">
        <v>1909</v>
      </c>
      <c r="K1909" s="251">
        <f>SUMIF('alb A - Staff Report'!A:A,J1909,'alb A - Staff Report'!B:B)</f>
        <v>0</v>
      </c>
      <c r="L1909" s="266"/>
      <c r="M1909" s="2"/>
      <c r="N1909" s="273">
        <f t="shared" si="1178"/>
        <v>0</v>
      </c>
      <c r="O1909" s="12"/>
      <c r="P1909" s="12"/>
      <c r="Q1909" s="12"/>
      <c r="R1909" s="12"/>
      <c r="S1909" s="6">
        <f t="shared" si="1179"/>
        <v>0</v>
      </c>
      <c r="T1909" s="273">
        <f t="shared" si="1180"/>
        <v>0</v>
      </c>
      <c r="U1909" s="6"/>
      <c r="V1909" s="6"/>
      <c r="W1909" s="6">
        <f t="shared" si="1167"/>
        <v>0</v>
      </c>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X1909" s="6"/>
      <c r="AY1909" s="6">
        <f>ROUND(AX1909/1000/Update!$B$31*Update!$B$27,0)</f>
        <v>0</v>
      </c>
      <c r="BA1909" s="6"/>
      <c r="BB1909" s="6">
        <f>ROUND(BA1909/1000/Update!$B$31,0)</f>
        <v>0</v>
      </c>
      <c r="BC1909" s="6"/>
      <c r="BD1909" s="6">
        <f t="shared" si="1181"/>
        <v>0</v>
      </c>
      <c r="BE1909" s="322"/>
      <c r="BF1909" s="322"/>
      <c r="BG1909" s="322"/>
      <c r="BH1909" s="322"/>
      <c r="BI1909" s="322"/>
      <c r="BJ1909" s="322"/>
      <c r="BK1909" s="6">
        <f t="shared" si="1157"/>
        <v>0</v>
      </c>
      <c r="BL1909" s="322"/>
      <c r="BM1909" s="322"/>
      <c r="BN1909" s="322"/>
      <c r="BO1909" s="322"/>
      <c r="BP1909" s="322"/>
      <c r="BQ1909" s="322"/>
      <c r="BR1909" s="322"/>
      <c r="BS1909" s="322"/>
      <c r="BT1909" s="322"/>
      <c r="BU1909" s="322"/>
      <c r="BV1909" s="322"/>
      <c r="BW1909" s="322"/>
      <c r="BX1909" s="322"/>
      <c r="BY1909" s="322"/>
      <c r="BZ1909" s="322"/>
      <c r="CA1909" s="322"/>
      <c r="CB1909" s="322"/>
      <c r="CC1909" s="322"/>
      <c r="CD1909" s="322"/>
      <c r="CE1909" s="322"/>
      <c r="CF1909" s="322"/>
      <c r="CG1909" s="322"/>
      <c r="CH1909" s="322"/>
      <c r="CI1909" s="322"/>
      <c r="CM1909" s="1139">
        <f t="shared" si="1160"/>
        <v>0</v>
      </c>
      <c r="CN1909" s="1139">
        <v>0</v>
      </c>
      <c r="CP1909" s="923">
        <f t="shared" si="1159"/>
        <v>0</v>
      </c>
      <c r="CZ1909" s="330"/>
    </row>
    <row r="1910" spans="1:104" ht="15" customHeight="1" x14ac:dyDescent="0.25">
      <c r="A1910" s="684">
        <f>MAX($A$6:A1909)+1</f>
        <v>1910</v>
      </c>
      <c r="B1910" s="1060">
        <f t="shared" si="1176"/>
        <v>51</v>
      </c>
      <c r="C1910" s="292" t="str">
        <f t="shared" si="1177"/>
        <v>Staff Report</v>
      </c>
      <c r="D1910" s="11" t="s">
        <v>1755</v>
      </c>
      <c r="E1910" s="7" t="s">
        <v>1928</v>
      </c>
      <c r="F1910" s="7"/>
      <c r="G1910" s="1287" t="s">
        <v>1928</v>
      </c>
      <c r="H1910" s="6">
        <v>0</v>
      </c>
      <c r="I1910" s="6"/>
      <c r="J1910" s="1273" t="s">
        <v>1928</v>
      </c>
      <c r="K1910" s="251">
        <f>SUMIF('alb A - Staff Report'!A:A,J1910,'alb A - Staff Report'!B:B)</f>
        <v>0</v>
      </c>
      <c r="L1910" s="266"/>
      <c r="M1910" s="2"/>
      <c r="N1910" s="273">
        <f t="shared" si="1178"/>
        <v>0</v>
      </c>
      <c r="O1910" s="12"/>
      <c r="P1910" s="12"/>
      <c r="Q1910" s="12"/>
      <c r="R1910" s="12"/>
      <c r="S1910" s="6">
        <f t="shared" si="1179"/>
        <v>0</v>
      </c>
      <c r="T1910" s="273">
        <f t="shared" si="1180"/>
        <v>0</v>
      </c>
      <c r="U1910" s="6"/>
      <c r="V1910" s="6"/>
      <c r="W1910" s="6">
        <f t="shared" si="1167"/>
        <v>0</v>
      </c>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X1910" s="6"/>
      <c r="AY1910" s="6">
        <f>ROUND(AX1910/1000/Update!$B$31*Update!$B$27,0)</f>
        <v>0</v>
      </c>
      <c r="BA1910" s="6"/>
      <c r="BB1910" s="6">
        <f>ROUND(BA1910/1000/Update!$B$31,0)</f>
        <v>0</v>
      </c>
      <c r="BC1910" s="6"/>
      <c r="BD1910" s="6">
        <f t="shared" si="1181"/>
        <v>0</v>
      </c>
      <c r="BE1910" s="322"/>
      <c r="BF1910" s="322"/>
      <c r="BG1910" s="322"/>
      <c r="BH1910" s="322"/>
      <c r="BI1910" s="322"/>
      <c r="BJ1910" s="322"/>
      <c r="BK1910" s="6">
        <f t="shared" si="1157"/>
        <v>0</v>
      </c>
      <c r="BL1910" s="322"/>
      <c r="BM1910" s="322"/>
      <c r="BN1910" s="322"/>
      <c r="BO1910" s="322"/>
      <c r="BP1910" s="322"/>
      <c r="BQ1910" s="322"/>
      <c r="BR1910" s="322"/>
      <c r="BS1910" s="322"/>
      <c r="BT1910" s="322"/>
      <c r="BU1910" s="322"/>
      <c r="BV1910" s="322"/>
      <c r="BW1910" s="322"/>
      <c r="BX1910" s="322"/>
      <c r="BY1910" s="322"/>
      <c r="BZ1910" s="322"/>
      <c r="CA1910" s="322"/>
      <c r="CB1910" s="322"/>
      <c r="CC1910" s="322"/>
      <c r="CD1910" s="322"/>
      <c r="CE1910" s="322"/>
      <c r="CF1910" s="322"/>
      <c r="CG1910" s="322"/>
      <c r="CH1910" s="322"/>
      <c r="CI1910" s="322"/>
      <c r="CM1910" s="1139">
        <f t="shared" si="1160"/>
        <v>0</v>
      </c>
      <c r="CN1910" s="1139">
        <v>0</v>
      </c>
      <c r="CP1910" s="923">
        <f t="shared" si="1159"/>
        <v>0</v>
      </c>
      <c r="CZ1910" s="330"/>
    </row>
    <row r="1911" spans="1:104" ht="15" customHeight="1" x14ac:dyDescent="0.25">
      <c r="A1911" s="684">
        <f>MAX($A$6:A1910)+1</f>
        <v>1911</v>
      </c>
      <c r="B1911" s="1060">
        <f t="shared" si="1176"/>
        <v>51</v>
      </c>
      <c r="C1911" s="292" t="str">
        <f t="shared" si="1177"/>
        <v>Staff Report</v>
      </c>
      <c r="D1911" s="11" t="s">
        <v>1755</v>
      </c>
      <c r="E1911" s="7" t="s">
        <v>1910</v>
      </c>
      <c r="F1911" s="7"/>
      <c r="G1911" s="1287" t="s">
        <v>1910</v>
      </c>
      <c r="H1911" s="6">
        <v>0</v>
      </c>
      <c r="I1911" s="6"/>
      <c r="J1911" s="1273" t="s">
        <v>1910</v>
      </c>
      <c r="K1911" s="251">
        <f>SUMIF('alb A - Staff Report'!A:A,J1911,'alb A - Staff Report'!B:B)</f>
        <v>0</v>
      </c>
      <c r="L1911" s="266"/>
      <c r="M1911" s="2"/>
      <c r="N1911" s="273">
        <f t="shared" si="1178"/>
        <v>0</v>
      </c>
      <c r="O1911" s="12"/>
      <c r="P1911" s="12"/>
      <c r="Q1911" s="12"/>
      <c r="R1911" s="12"/>
      <c r="S1911" s="6">
        <f t="shared" si="1179"/>
        <v>0</v>
      </c>
      <c r="T1911" s="273">
        <f t="shared" si="1180"/>
        <v>0</v>
      </c>
      <c r="U1911" s="6"/>
      <c r="V1911" s="6"/>
      <c r="W1911" s="6">
        <f t="shared" si="1167"/>
        <v>0</v>
      </c>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X1911" s="6"/>
      <c r="AY1911" s="6">
        <f>ROUND(AX1911/1000/Update!$B$31*Update!$B$27,0)</f>
        <v>0</v>
      </c>
      <c r="BA1911" s="6"/>
      <c r="BB1911" s="6">
        <f>ROUND(BA1911/1000/Update!$B$31,0)</f>
        <v>0</v>
      </c>
      <c r="BC1911" s="6"/>
      <c r="BD1911" s="6">
        <f t="shared" si="1181"/>
        <v>0</v>
      </c>
      <c r="BE1911" s="322"/>
      <c r="BF1911" s="322"/>
      <c r="BG1911" s="322"/>
      <c r="BH1911" s="322"/>
      <c r="BI1911" s="322"/>
      <c r="BJ1911" s="322"/>
      <c r="BK1911" s="6">
        <f t="shared" si="1157"/>
        <v>0</v>
      </c>
      <c r="BL1911" s="322"/>
      <c r="BM1911" s="322"/>
      <c r="BN1911" s="322"/>
      <c r="BO1911" s="322"/>
      <c r="BP1911" s="322"/>
      <c r="BQ1911" s="322"/>
      <c r="BR1911" s="322"/>
      <c r="BS1911" s="322"/>
      <c r="BT1911" s="322"/>
      <c r="BU1911" s="322"/>
      <c r="BV1911" s="322"/>
      <c r="BW1911" s="322"/>
      <c r="BX1911" s="322"/>
      <c r="BY1911" s="322"/>
      <c r="BZ1911" s="322"/>
      <c r="CA1911" s="322"/>
      <c r="CB1911" s="322"/>
      <c r="CC1911" s="322"/>
      <c r="CD1911" s="322"/>
      <c r="CE1911" s="322"/>
      <c r="CF1911" s="322"/>
      <c r="CG1911" s="322"/>
      <c r="CH1911" s="322"/>
      <c r="CI1911" s="322"/>
      <c r="CM1911" s="1139">
        <f t="shared" si="1160"/>
        <v>0</v>
      </c>
      <c r="CN1911" s="1139">
        <v>0</v>
      </c>
      <c r="CP1911" s="923">
        <f t="shared" si="1159"/>
        <v>0</v>
      </c>
      <c r="CZ1911" s="330"/>
    </row>
    <row r="1912" spans="1:104" ht="15" customHeight="1" x14ac:dyDescent="0.25">
      <c r="A1912" s="684">
        <f>MAX($A$6:A1911)+1</f>
        <v>1912</v>
      </c>
      <c r="B1912" s="1060">
        <f t="shared" si="1176"/>
        <v>51</v>
      </c>
      <c r="C1912" s="292" t="str">
        <f t="shared" si="1177"/>
        <v>Staff Report</v>
      </c>
      <c r="D1912" s="11" t="s">
        <v>1755</v>
      </c>
      <c r="E1912" s="7" t="s">
        <v>1929</v>
      </c>
      <c r="F1912" s="7"/>
      <c r="G1912" s="1287" t="s">
        <v>1929</v>
      </c>
      <c r="H1912" s="6">
        <v>0</v>
      </c>
      <c r="I1912" s="6"/>
      <c r="J1912" s="1273" t="s">
        <v>1929</v>
      </c>
      <c r="K1912" s="251">
        <f>SUMIF('alb A - Staff Report'!A:A,J1912,'alb A - Staff Report'!B:B)</f>
        <v>0</v>
      </c>
      <c r="L1912" s="266"/>
      <c r="M1912" s="2"/>
      <c r="N1912" s="273">
        <f t="shared" si="1178"/>
        <v>0</v>
      </c>
      <c r="O1912" s="12"/>
      <c r="P1912" s="12"/>
      <c r="Q1912" s="12"/>
      <c r="R1912" s="12"/>
      <c r="S1912" s="6">
        <f t="shared" si="1179"/>
        <v>0</v>
      </c>
      <c r="T1912" s="273">
        <f t="shared" si="1180"/>
        <v>0</v>
      </c>
      <c r="U1912" s="6"/>
      <c r="V1912" s="6"/>
      <c r="W1912" s="6">
        <f t="shared" si="1167"/>
        <v>0</v>
      </c>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X1912" s="6"/>
      <c r="AY1912" s="6">
        <f>ROUND(AX1912/1000/Update!$B$31*Update!$B$27,0)</f>
        <v>0</v>
      </c>
      <c r="BA1912" s="6"/>
      <c r="BB1912" s="6">
        <f>ROUND(BA1912/1000/Update!$B$31,0)</f>
        <v>0</v>
      </c>
      <c r="BC1912" s="6"/>
      <c r="BD1912" s="6">
        <f t="shared" si="1181"/>
        <v>0</v>
      </c>
      <c r="BE1912" s="322"/>
      <c r="BF1912" s="322"/>
      <c r="BG1912" s="322"/>
      <c r="BH1912" s="322"/>
      <c r="BI1912" s="322"/>
      <c r="BJ1912" s="322"/>
      <c r="BK1912" s="6">
        <f t="shared" si="1157"/>
        <v>0</v>
      </c>
      <c r="BL1912" s="322"/>
      <c r="BM1912" s="322"/>
      <c r="BN1912" s="322"/>
      <c r="BO1912" s="322"/>
      <c r="BP1912" s="322"/>
      <c r="BQ1912" s="322"/>
      <c r="BR1912" s="322"/>
      <c r="BS1912" s="322"/>
      <c r="BT1912" s="322"/>
      <c r="BU1912" s="322"/>
      <c r="BV1912" s="322"/>
      <c r="BW1912" s="322"/>
      <c r="BX1912" s="322"/>
      <c r="BY1912" s="322"/>
      <c r="BZ1912" s="322"/>
      <c r="CA1912" s="322"/>
      <c r="CB1912" s="322"/>
      <c r="CC1912" s="322"/>
      <c r="CD1912" s="322"/>
      <c r="CE1912" s="322"/>
      <c r="CF1912" s="322"/>
      <c r="CG1912" s="322"/>
      <c r="CH1912" s="322"/>
      <c r="CI1912" s="322"/>
      <c r="CM1912" s="1139">
        <f t="shared" si="1160"/>
        <v>0</v>
      </c>
      <c r="CN1912" s="1139">
        <v>0</v>
      </c>
      <c r="CP1912" s="923">
        <f t="shared" si="1159"/>
        <v>0</v>
      </c>
      <c r="CZ1912" s="330"/>
    </row>
    <row r="1913" spans="1:104" ht="15" customHeight="1" x14ac:dyDescent="0.25">
      <c r="A1913" s="684">
        <f>MAX($A$6:A1912)+1</f>
        <v>1913</v>
      </c>
      <c r="B1913" s="1060">
        <f t="shared" si="1176"/>
        <v>51</v>
      </c>
      <c r="C1913" s="292" t="str">
        <f t="shared" si="1177"/>
        <v>Staff Report</v>
      </c>
      <c r="D1913" s="11" t="s">
        <v>1755</v>
      </c>
      <c r="E1913" s="7" t="s">
        <v>1911</v>
      </c>
      <c r="F1913" s="7"/>
      <c r="G1913" s="1287" t="s">
        <v>1911</v>
      </c>
      <c r="H1913" s="6">
        <v>0</v>
      </c>
      <c r="I1913" s="6"/>
      <c r="J1913" s="1273" t="s">
        <v>1911</v>
      </c>
      <c r="K1913" s="251">
        <f>SUMIF('alb A - Staff Report'!A:A,J1913,'alb A - Staff Report'!B:B)</f>
        <v>0</v>
      </c>
      <c r="L1913" s="266"/>
      <c r="M1913" s="2"/>
      <c r="N1913" s="273">
        <f t="shared" si="1178"/>
        <v>0</v>
      </c>
      <c r="O1913" s="12"/>
      <c r="P1913" s="12"/>
      <c r="Q1913" s="12"/>
      <c r="R1913" s="12"/>
      <c r="S1913" s="6">
        <f t="shared" si="1179"/>
        <v>0</v>
      </c>
      <c r="T1913" s="273">
        <f t="shared" si="1180"/>
        <v>0</v>
      </c>
      <c r="U1913" s="6"/>
      <c r="V1913" s="6"/>
      <c r="W1913" s="6">
        <f t="shared" si="1167"/>
        <v>0</v>
      </c>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X1913" s="6"/>
      <c r="AY1913" s="6">
        <f>ROUND(AX1913/1000/Update!$B$31*Update!$B$27,0)</f>
        <v>0</v>
      </c>
      <c r="BA1913" s="6"/>
      <c r="BB1913" s="6">
        <f>ROUND(BA1913/1000/Update!$B$31,0)</f>
        <v>0</v>
      </c>
      <c r="BC1913" s="6"/>
      <c r="BD1913" s="6">
        <f t="shared" si="1181"/>
        <v>0</v>
      </c>
      <c r="BE1913" s="322"/>
      <c r="BF1913" s="322"/>
      <c r="BG1913" s="322"/>
      <c r="BH1913" s="322"/>
      <c r="BI1913" s="322"/>
      <c r="BJ1913" s="322"/>
      <c r="BK1913" s="6">
        <f t="shared" si="1157"/>
        <v>0</v>
      </c>
      <c r="BL1913" s="322"/>
      <c r="BM1913" s="322"/>
      <c r="BN1913" s="322"/>
      <c r="BO1913" s="322"/>
      <c r="BP1913" s="322"/>
      <c r="BQ1913" s="322"/>
      <c r="BR1913" s="322"/>
      <c r="BS1913" s="322"/>
      <c r="BT1913" s="322"/>
      <c r="BU1913" s="322"/>
      <c r="BV1913" s="322"/>
      <c r="BW1913" s="322"/>
      <c r="BX1913" s="322"/>
      <c r="BY1913" s="322"/>
      <c r="BZ1913" s="322"/>
      <c r="CA1913" s="322"/>
      <c r="CB1913" s="322"/>
      <c r="CC1913" s="322"/>
      <c r="CD1913" s="322"/>
      <c r="CE1913" s="322"/>
      <c r="CF1913" s="322"/>
      <c r="CG1913" s="322"/>
      <c r="CH1913" s="322"/>
      <c r="CI1913" s="322"/>
      <c r="CM1913" s="1139">
        <f t="shared" si="1160"/>
        <v>0</v>
      </c>
      <c r="CN1913" s="1139">
        <v>0</v>
      </c>
      <c r="CP1913" s="923">
        <f t="shared" si="1159"/>
        <v>0</v>
      </c>
      <c r="CZ1913" s="330"/>
    </row>
    <row r="1914" spans="1:104" ht="15" customHeight="1" x14ac:dyDescent="0.25">
      <c r="A1914" s="684">
        <f>MAX($A$6:A1913)+1</f>
        <v>1914</v>
      </c>
      <c r="B1914" s="1060">
        <f t="shared" si="1176"/>
        <v>51</v>
      </c>
      <c r="C1914" s="292" t="str">
        <f t="shared" si="1177"/>
        <v>Staff Report</v>
      </c>
      <c r="D1914" s="11" t="s">
        <v>1755</v>
      </c>
      <c r="E1914" s="7" t="s">
        <v>1930</v>
      </c>
      <c r="F1914" s="7"/>
      <c r="G1914" s="1287" t="s">
        <v>1930</v>
      </c>
      <c r="H1914" s="6">
        <v>0</v>
      </c>
      <c r="I1914" s="6"/>
      <c r="J1914" s="1273" t="s">
        <v>1930</v>
      </c>
      <c r="K1914" s="251">
        <f>SUMIF('alb A - Staff Report'!A:A,J1914,'alb A - Staff Report'!B:B)</f>
        <v>0</v>
      </c>
      <c r="L1914" s="266"/>
      <c r="M1914" s="2"/>
      <c r="N1914" s="273">
        <f t="shared" si="1178"/>
        <v>0</v>
      </c>
      <c r="O1914" s="12"/>
      <c r="P1914" s="12"/>
      <c r="Q1914" s="12"/>
      <c r="R1914" s="12"/>
      <c r="S1914" s="6">
        <f t="shared" si="1179"/>
        <v>0</v>
      </c>
      <c r="T1914" s="273">
        <f t="shared" si="1180"/>
        <v>0</v>
      </c>
      <c r="U1914" s="6"/>
      <c r="V1914" s="6"/>
      <c r="W1914" s="6">
        <f t="shared" si="1167"/>
        <v>0</v>
      </c>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X1914" s="6"/>
      <c r="AY1914" s="6">
        <f>ROUND(AX1914/1000/Update!$B$31*Update!$B$27,0)</f>
        <v>0</v>
      </c>
      <c r="BA1914" s="6"/>
      <c r="BB1914" s="6">
        <f>ROUND(BA1914/1000/Update!$B$31,0)</f>
        <v>0</v>
      </c>
      <c r="BC1914" s="6"/>
      <c r="BD1914" s="6">
        <f t="shared" si="1181"/>
        <v>0</v>
      </c>
      <c r="BE1914" s="322"/>
      <c r="BF1914" s="322"/>
      <c r="BG1914" s="322"/>
      <c r="BH1914" s="322"/>
      <c r="BI1914" s="322"/>
      <c r="BJ1914" s="322"/>
      <c r="BK1914" s="6">
        <f t="shared" ref="BK1914:BK1977" si="1182">ROUND(SUM(BO1914:CI1914),0)</f>
        <v>0</v>
      </c>
      <c r="BL1914" s="322"/>
      <c r="BM1914" s="322"/>
      <c r="BN1914" s="322"/>
      <c r="BO1914" s="322"/>
      <c r="BP1914" s="322"/>
      <c r="BQ1914" s="322"/>
      <c r="BR1914" s="322"/>
      <c r="BS1914" s="322"/>
      <c r="BT1914" s="322"/>
      <c r="BU1914" s="322"/>
      <c r="BV1914" s="322"/>
      <c r="BW1914" s="322"/>
      <c r="BX1914" s="322"/>
      <c r="BY1914" s="322"/>
      <c r="BZ1914" s="322"/>
      <c r="CA1914" s="322"/>
      <c r="CB1914" s="322"/>
      <c r="CC1914" s="322"/>
      <c r="CD1914" s="322"/>
      <c r="CE1914" s="322"/>
      <c r="CF1914" s="322"/>
      <c r="CG1914" s="322"/>
      <c r="CH1914" s="322"/>
      <c r="CI1914" s="322"/>
      <c r="CM1914" s="1139">
        <f t="shared" si="1160"/>
        <v>0</v>
      </c>
      <c r="CN1914" s="1139">
        <v>0</v>
      </c>
      <c r="CP1914" s="923">
        <f t="shared" si="1159"/>
        <v>0</v>
      </c>
      <c r="CZ1914" s="330"/>
    </row>
    <row r="1915" spans="1:104" ht="15" customHeight="1" x14ac:dyDescent="0.25">
      <c r="A1915" s="684">
        <f>MAX($A$6:A1914)+1</f>
        <v>1915</v>
      </c>
      <c r="B1915" s="1060">
        <f t="shared" si="1176"/>
        <v>51</v>
      </c>
      <c r="C1915" s="292" t="str">
        <f t="shared" si="1177"/>
        <v>Staff Report</v>
      </c>
      <c r="D1915" s="11" t="s">
        <v>1755</v>
      </c>
      <c r="E1915" s="7" t="s">
        <v>1912</v>
      </c>
      <c r="F1915" s="7"/>
      <c r="G1915" s="1287" t="s">
        <v>1912</v>
      </c>
      <c r="H1915" s="6">
        <v>0</v>
      </c>
      <c r="I1915" s="6"/>
      <c r="J1915" s="1273" t="s">
        <v>1912</v>
      </c>
      <c r="K1915" s="251">
        <f>SUMIF('alb A - Staff Report'!A:A,J1915,'alb A - Staff Report'!B:B)</f>
        <v>0</v>
      </c>
      <c r="L1915" s="266"/>
      <c r="M1915" s="2"/>
      <c r="N1915" s="273">
        <f t="shared" si="1178"/>
        <v>0</v>
      </c>
      <c r="O1915" s="12"/>
      <c r="P1915" s="12"/>
      <c r="Q1915" s="12"/>
      <c r="R1915" s="12"/>
      <c r="S1915" s="6">
        <f t="shared" si="1179"/>
        <v>0</v>
      </c>
      <c r="T1915" s="273">
        <f t="shared" si="1180"/>
        <v>0</v>
      </c>
      <c r="U1915" s="6"/>
      <c r="V1915" s="6"/>
      <c r="W1915" s="6">
        <f t="shared" si="1167"/>
        <v>0</v>
      </c>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X1915" s="6"/>
      <c r="AY1915" s="6">
        <f>ROUND(AX1915/1000/Update!$B$31*Update!$B$27,0)</f>
        <v>0</v>
      </c>
      <c r="BA1915" s="6"/>
      <c r="BB1915" s="6">
        <f>ROUND(BA1915/1000/Update!$B$31,0)</f>
        <v>0</v>
      </c>
      <c r="BC1915" s="6"/>
      <c r="BD1915" s="6">
        <f t="shared" si="1181"/>
        <v>0</v>
      </c>
      <c r="BE1915" s="322"/>
      <c r="BF1915" s="322"/>
      <c r="BG1915" s="322"/>
      <c r="BH1915" s="322"/>
      <c r="BI1915" s="322"/>
      <c r="BJ1915" s="322"/>
      <c r="BK1915" s="6">
        <f t="shared" si="1182"/>
        <v>0</v>
      </c>
      <c r="BL1915" s="322"/>
      <c r="BM1915" s="322"/>
      <c r="BN1915" s="322"/>
      <c r="BO1915" s="322"/>
      <c r="BP1915" s="322"/>
      <c r="BQ1915" s="322"/>
      <c r="BR1915" s="322"/>
      <c r="BS1915" s="322"/>
      <c r="BT1915" s="322"/>
      <c r="BU1915" s="322"/>
      <c r="BV1915" s="322"/>
      <c r="BW1915" s="322"/>
      <c r="BX1915" s="322"/>
      <c r="BY1915" s="322"/>
      <c r="BZ1915" s="322"/>
      <c r="CA1915" s="322"/>
      <c r="CB1915" s="322"/>
      <c r="CC1915" s="322"/>
      <c r="CD1915" s="322"/>
      <c r="CE1915" s="322"/>
      <c r="CF1915" s="322"/>
      <c r="CG1915" s="322"/>
      <c r="CH1915" s="322"/>
      <c r="CI1915" s="322"/>
      <c r="CM1915" s="1139">
        <f t="shared" si="1160"/>
        <v>0</v>
      </c>
      <c r="CN1915" s="1139">
        <v>0</v>
      </c>
      <c r="CP1915" s="923">
        <f t="shared" si="1159"/>
        <v>0</v>
      </c>
      <c r="CZ1915" s="330"/>
    </row>
    <row r="1916" spans="1:104" ht="15" customHeight="1" x14ac:dyDescent="0.25">
      <c r="A1916" s="684">
        <f>MAX($A$6:A1915)+1</f>
        <v>1916</v>
      </c>
      <c r="B1916" s="1060">
        <f t="shared" si="1176"/>
        <v>51</v>
      </c>
      <c r="C1916" s="292" t="str">
        <f t="shared" si="1177"/>
        <v>Staff Report</v>
      </c>
      <c r="D1916" s="11" t="s">
        <v>1755</v>
      </c>
      <c r="E1916" s="7" t="s">
        <v>1934</v>
      </c>
      <c r="F1916" s="7"/>
      <c r="G1916" s="1287" t="s">
        <v>1934</v>
      </c>
      <c r="H1916" s="6">
        <v>0</v>
      </c>
      <c r="I1916" s="6"/>
      <c r="J1916" s="1273" t="s">
        <v>1934</v>
      </c>
      <c r="K1916" s="251">
        <f>SUMIF('alb A - Staff Report'!A:A,J1916,'alb A - Staff Report'!B:B)</f>
        <v>0</v>
      </c>
      <c r="L1916" s="266"/>
      <c r="M1916" s="2"/>
      <c r="N1916" s="273">
        <f t="shared" si="1178"/>
        <v>0</v>
      </c>
      <c r="O1916" s="12"/>
      <c r="P1916" s="12"/>
      <c r="Q1916" s="12"/>
      <c r="R1916" s="12"/>
      <c r="S1916" s="6">
        <f t="shared" si="1179"/>
        <v>0</v>
      </c>
      <c r="T1916" s="273">
        <f t="shared" si="1180"/>
        <v>0</v>
      </c>
      <c r="U1916" s="6"/>
      <c r="V1916" s="6"/>
      <c r="W1916" s="6">
        <f t="shared" si="1167"/>
        <v>0</v>
      </c>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X1916" s="6"/>
      <c r="AY1916" s="6">
        <f>ROUND(AX1916/1000/Update!$B$31*Update!$B$27,0)</f>
        <v>0</v>
      </c>
      <c r="BA1916" s="6"/>
      <c r="BB1916" s="6">
        <f>ROUND(BA1916/1000/Update!$B$31,0)</f>
        <v>0</v>
      </c>
      <c r="BC1916" s="6"/>
      <c r="BD1916" s="6">
        <f t="shared" si="1181"/>
        <v>0</v>
      </c>
      <c r="BE1916" s="322"/>
      <c r="BF1916" s="322"/>
      <c r="BG1916" s="322"/>
      <c r="BH1916" s="322"/>
      <c r="BI1916" s="322"/>
      <c r="BJ1916" s="322"/>
      <c r="BK1916" s="6">
        <f t="shared" si="1182"/>
        <v>0</v>
      </c>
      <c r="BL1916" s="322"/>
      <c r="BM1916" s="322"/>
      <c r="BN1916" s="322"/>
      <c r="BO1916" s="322"/>
      <c r="BP1916" s="322"/>
      <c r="BQ1916" s="322"/>
      <c r="BR1916" s="322"/>
      <c r="BS1916" s="322"/>
      <c r="BT1916" s="322"/>
      <c r="BU1916" s="322"/>
      <c r="BV1916" s="322"/>
      <c r="BW1916" s="322"/>
      <c r="BX1916" s="322"/>
      <c r="BY1916" s="322"/>
      <c r="BZ1916" s="322"/>
      <c r="CA1916" s="322"/>
      <c r="CB1916" s="322"/>
      <c r="CC1916" s="322"/>
      <c r="CD1916" s="322"/>
      <c r="CE1916" s="322"/>
      <c r="CF1916" s="322"/>
      <c r="CG1916" s="322"/>
      <c r="CH1916" s="322"/>
      <c r="CI1916" s="322"/>
      <c r="CM1916" s="1139">
        <f t="shared" si="1160"/>
        <v>0</v>
      </c>
      <c r="CN1916" s="1139">
        <v>0</v>
      </c>
      <c r="CP1916" s="923">
        <f t="shared" si="1159"/>
        <v>0</v>
      </c>
      <c r="CZ1916" s="330"/>
    </row>
    <row r="1917" spans="1:104" ht="15" customHeight="1" x14ac:dyDescent="0.25">
      <c r="A1917" s="684">
        <f>MAX($A$6:A1916)+1</f>
        <v>1917</v>
      </c>
      <c r="B1917" s="1060">
        <f t="shared" si="1176"/>
        <v>51</v>
      </c>
      <c r="C1917" s="292" t="str">
        <f t="shared" si="1177"/>
        <v>Staff Report</v>
      </c>
      <c r="D1917" s="11" t="s">
        <v>1755</v>
      </c>
      <c r="E1917" s="7" t="s">
        <v>1758</v>
      </c>
      <c r="F1917" s="7"/>
      <c r="G1917" s="1287" t="s">
        <v>1758</v>
      </c>
      <c r="H1917" s="6">
        <v>0</v>
      </c>
      <c r="I1917" s="6"/>
      <c r="J1917" s="1273" t="s">
        <v>1758</v>
      </c>
      <c r="K1917" s="251">
        <f>SUMIF('alb A - Staff Report'!A:A,J1917,'alb A - Staff Report'!B:B)</f>
        <v>0</v>
      </c>
      <c r="L1917" s="266"/>
      <c r="M1917" s="2"/>
      <c r="N1917" s="273">
        <f t="shared" si="1178"/>
        <v>0</v>
      </c>
      <c r="O1917" s="12"/>
      <c r="P1917" s="12"/>
      <c r="Q1917" s="12"/>
      <c r="R1917" s="12"/>
      <c r="S1917" s="6">
        <f t="shared" si="1179"/>
        <v>0</v>
      </c>
      <c r="T1917" s="273">
        <f t="shared" si="1180"/>
        <v>0</v>
      </c>
      <c r="U1917" s="6"/>
      <c r="V1917" s="6"/>
      <c r="W1917" s="6">
        <f t="shared" si="1167"/>
        <v>0</v>
      </c>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X1917" s="6"/>
      <c r="AY1917" s="6">
        <v>0</v>
      </c>
      <c r="BA1917" s="6"/>
      <c r="BB1917" s="6">
        <v>0</v>
      </c>
      <c r="BC1917" s="6"/>
      <c r="BD1917" s="6">
        <v>0</v>
      </c>
      <c r="BE1917" s="322"/>
      <c r="BF1917" s="322"/>
      <c r="BG1917" s="322"/>
      <c r="BH1917" s="322"/>
      <c r="BI1917" s="322"/>
      <c r="BJ1917" s="322"/>
      <c r="BK1917" s="6">
        <f t="shared" si="1182"/>
        <v>0</v>
      </c>
      <c r="BL1917" s="322"/>
      <c r="BM1917" s="322"/>
      <c r="BN1917" s="322"/>
      <c r="BO1917" s="322"/>
      <c r="BP1917" s="322"/>
      <c r="BQ1917" s="322"/>
      <c r="BR1917" s="322"/>
      <c r="BS1917" s="322"/>
      <c r="BT1917" s="322"/>
      <c r="BU1917" s="322"/>
      <c r="BV1917" s="322"/>
      <c r="BW1917" s="322"/>
      <c r="BX1917" s="322"/>
      <c r="BY1917" s="322"/>
      <c r="BZ1917" s="322"/>
      <c r="CA1917" s="322"/>
      <c r="CB1917" s="322"/>
      <c r="CC1917" s="322"/>
      <c r="CD1917" s="322"/>
      <c r="CE1917" s="322"/>
      <c r="CF1917" s="322"/>
      <c r="CG1917" s="322"/>
      <c r="CH1917" s="322"/>
      <c r="CI1917" s="322"/>
      <c r="CM1917" s="1139">
        <f t="shared" si="1160"/>
        <v>0</v>
      </c>
      <c r="CN1917" s="1139">
        <v>0</v>
      </c>
      <c r="CP1917" s="923">
        <f t="shared" si="1159"/>
        <v>0</v>
      </c>
      <c r="CZ1917" s="330"/>
    </row>
    <row r="1918" spans="1:104" ht="15" customHeight="1" x14ac:dyDescent="0.25">
      <c r="A1918" s="684">
        <f>MAX($A$6:A1917)+1</f>
        <v>1918</v>
      </c>
      <c r="B1918" s="1060">
        <f>B1906</f>
        <v>51</v>
      </c>
      <c r="C1918" s="292" t="str">
        <f>C1906</f>
        <v>Staff Report</v>
      </c>
      <c r="D1918" s="11" t="s">
        <v>1755</v>
      </c>
      <c r="E1918" s="7" t="s">
        <v>1759</v>
      </c>
      <c r="F1918" s="7"/>
      <c r="G1918" s="1254" t="s">
        <v>1759</v>
      </c>
      <c r="H1918" s="6">
        <v>0</v>
      </c>
      <c r="I1918" s="6"/>
      <c r="J1918" s="1257" t="s">
        <v>1759</v>
      </c>
      <c r="K1918" s="251">
        <f>SUMIF('alb A - Staff Report'!A:A,J1918,'alb A - Staff Report'!B:B)</f>
        <v>0</v>
      </c>
      <c r="L1918" s="266"/>
      <c r="M1918" s="2"/>
      <c r="N1918" s="273">
        <f>ROUND(SUM(O1918:AU1918)-T1918,0)</f>
        <v>0</v>
      </c>
      <c r="O1918" s="12"/>
      <c r="P1918" s="12"/>
      <c r="Q1918" s="12"/>
      <c r="R1918" s="12"/>
      <c r="S1918" s="6">
        <f>-IF(ISNUMBER(BD1918),BD1918,0)</f>
        <v>0</v>
      </c>
      <c r="T1918" s="273">
        <f>ROUND(SUM(U1918:Y1918),0)</f>
        <v>0</v>
      </c>
      <c r="U1918" s="6"/>
      <c r="V1918" s="6"/>
      <c r="W1918" s="6">
        <f t="shared" si="1167"/>
        <v>0</v>
      </c>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X1918" s="6"/>
      <c r="AY1918" s="6">
        <f>ROUND(AX1918/1000/Update!$B$31*Update!$B$27,0)</f>
        <v>0</v>
      </c>
      <c r="BA1918" s="6"/>
      <c r="BB1918" s="6">
        <f>ROUND(BA1918/1000/Update!$B$31,0)</f>
        <v>0</v>
      </c>
      <c r="BC1918" s="6"/>
      <c r="BD1918" s="6">
        <f t="shared" si="1143"/>
        <v>0</v>
      </c>
      <c r="BE1918" s="322"/>
      <c r="BF1918" s="322"/>
      <c r="BG1918" s="322"/>
      <c r="BH1918" s="322"/>
      <c r="BI1918" s="322"/>
      <c r="BJ1918" s="322"/>
      <c r="BK1918" s="6">
        <f t="shared" si="1182"/>
        <v>0</v>
      </c>
      <c r="BL1918" s="322"/>
      <c r="BM1918" s="322"/>
      <c r="BN1918" s="322"/>
      <c r="BO1918" s="322"/>
      <c r="BP1918" s="322"/>
      <c r="BQ1918" s="322"/>
      <c r="BR1918" s="322"/>
      <c r="BS1918" s="322"/>
      <c r="BT1918" s="322"/>
      <c r="BU1918" s="322"/>
      <c r="BV1918" s="322"/>
      <c r="BW1918" s="322"/>
      <c r="BX1918" s="322"/>
      <c r="BY1918" s="322"/>
      <c r="BZ1918" s="322"/>
      <c r="CA1918" s="322"/>
      <c r="CB1918" s="322"/>
      <c r="CC1918" s="322"/>
      <c r="CD1918" s="322"/>
      <c r="CE1918" s="322"/>
      <c r="CF1918" s="322"/>
      <c r="CG1918" s="322"/>
      <c r="CH1918" s="322"/>
      <c r="CI1918" s="322"/>
      <c r="CM1918" s="1139">
        <f t="shared" si="1160"/>
        <v>0</v>
      </c>
      <c r="CN1918" s="1139">
        <v>0</v>
      </c>
      <c r="CP1918" s="923">
        <f t="shared" si="1159"/>
        <v>0</v>
      </c>
      <c r="CZ1918" s="330"/>
    </row>
    <row r="1919" spans="1:104" ht="15" customHeight="1" x14ac:dyDescent="0.25">
      <c r="A1919" s="684">
        <f>MAX($A$6:A1918)+1</f>
        <v>1919</v>
      </c>
      <c r="B1919" s="1060">
        <f t="shared" ref="B1919:B1936" si="1183">B1918</f>
        <v>51</v>
      </c>
      <c r="C1919" s="292" t="str">
        <f t="shared" ref="C1919:C1936" si="1184">C1918</f>
        <v>Staff Report</v>
      </c>
      <c r="D1919" s="11" t="s">
        <v>1755</v>
      </c>
      <c r="E1919" s="7" t="s">
        <v>1760</v>
      </c>
      <c r="F1919" s="7"/>
      <c r="G1919" s="1254" t="s">
        <v>1760</v>
      </c>
      <c r="H1919" s="6">
        <v>0</v>
      </c>
      <c r="I1919" s="6"/>
      <c r="J1919" s="1257" t="s">
        <v>1760</v>
      </c>
      <c r="K1919" s="251">
        <f>SUMIF('alb A - Staff Report'!A:A,J1919,'alb A - Staff Report'!B:B)</f>
        <v>0</v>
      </c>
      <c r="L1919" s="266"/>
      <c r="M1919" s="2"/>
      <c r="N1919" s="273">
        <f t="shared" ref="N1919:N1936" si="1185">ROUND(SUM(O1919:AU1919)-T1919,0)</f>
        <v>0</v>
      </c>
      <c r="O1919" s="12"/>
      <c r="P1919" s="12"/>
      <c r="Q1919" s="12"/>
      <c r="R1919" s="12"/>
      <c r="S1919" s="6">
        <f t="shared" ref="S1919:S1936" si="1186">-IF(ISNUMBER(BD1919),BD1919,0)</f>
        <v>0</v>
      </c>
      <c r="T1919" s="273">
        <f t="shared" ref="T1919:T1936" si="1187">ROUND(SUM(U1919:Y1919),0)</f>
        <v>0</v>
      </c>
      <c r="U1919" s="6"/>
      <c r="V1919" s="6"/>
      <c r="W1919" s="6">
        <f t="shared" si="1167"/>
        <v>0</v>
      </c>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X1919" s="6"/>
      <c r="AY1919" s="6">
        <f>ROUND(AX1919/1000/Update!$B$31*Update!$B$27,0)</f>
        <v>0</v>
      </c>
      <c r="BA1919" s="6"/>
      <c r="BB1919" s="6">
        <f>ROUND(BA1919/1000/Update!$B$31,0)</f>
        <v>0</v>
      </c>
      <c r="BC1919" s="6"/>
      <c r="BD1919" s="6">
        <f t="shared" si="1143"/>
        <v>0</v>
      </c>
      <c r="BE1919" s="322"/>
      <c r="BF1919" s="322"/>
      <c r="BG1919" s="322"/>
      <c r="BH1919" s="322"/>
      <c r="BI1919" s="322"/>
      <c r="BJ1919" s="322"/>
      <c r="BK1919" s="6">
        <f t="shared" si="1182"/>
        <v>0</v>
      </c>
      <c r="BL1919" s="322"/>
      <c r="BM1919" s="322"/>
      <c r="BN1919" s="322"/>
      <c r="BO1919" s="322"/>
      <c r="BP1919" s="322"/>
      <c r="BQ1919" s="322"/>
      <c r="BR1919" s="322"/>
      <c r="BS1919" s="322"/>
      <c r="BT1919" s="322"/>
      <c r="BU1919" s="322"/>
      <c r="BV1919" s="322"/>
      <c r="BW1919" s="322"/>
      <c r="BX1919" s="322"/>
      <c r="BY1919" s="322"/>
      <c r="BZ1919" s="322"/>
      <c r="CA1919" s="322"/>
      <c r="CB1919" s="322"/>
      <c r="CC1919" s="322"/>
      <c r="CD1919" s="322"/>
      <c r="CE1919" s="322"/>
      <c r="CF1919" s="322"/>
      <c r="CG1919" s="322"/>
      <c r="CH1919" s="322"/>
      <c r="CI1919" s="322"/>
      <c r="CM1919" s="1139">
        <f t="shared" si="1160"/>
        <v>0</v>
      </c>
      <c r="CN1919" s="1139">
        <v>0</v>
      </c>
      <c r="CP1919" s="923">
        <f t="shared" si="1159"/>
        <v>0</v>
      </c>
      <c r="CZ1919" s="330"/>
    </row>
    <row r="1920" spans="1:104" ht="15" customHeight="1" x14ac:dyDescent="0.25">
      <c r="A1920" s="684">
        <f>MAX($A$6:A1919)+1</f>
        <v>1920</v>
      </c>
      <c r="B1920" s="1060">
        <f t="shared" si="1183"/>
        <v>51</v>
      </c>
      <c r="C1920" s="292" t="str">
        <f t="shared" si="1184"/>
        <v>Staff Report</v>
      </c>
      <c r="D1920" s="11" t="s">
        <v>1755</v>
      </c>
      <c r="E1920" s="7" t="s">
        <v>1761</v>
      </c>
      <c r="F1920" s="7"/>
      <c r="G1920" s="1254" t="s">
        <v>1761</v>
      </c>
      <c r="H1920" s="6">
        <v>0</v>
      </c>
      <c r="I1920" s="6"/>
      <c r="J1920" s="1257" t="s">
        <v>1761</v>
      </c>
      <c r="K1920" s="251">
        <f>SUMIF('alb A - Staff Report'!A:A,J1920,'alb A - Staff Report'!B:B)</f>
        <v>0</v>
      </c>
      <c r="L1920" s="266"/>
      <c r="M1920" s="2"/>
      <c r="N1920" s="273">
        <f>ROUND(SUM(O1920:AU1920)-T1920,0)</f>
        <v>0</v>
      </c>
      <c r="O1920" s="12"/>
      <c r="P1920" s="12"/>
      <c r="Q1920" s="12"/>
      <c r="R1920" s="12"/>
      <c r="S1920" s="6">
        <f t="shared" si="1186"/>
        <v>0</v>
      </c>
      <c r="T1920" s="273">
        <f t="shared" si="1187"/>
        <v>0</v>
      </c>
      <c r="U1920" s="6"/>
      <c r="V1920" s="6"/>
      <c r="W1920" s="6">
        <f t="shared" si="1167"/>
        <v>0</v>
      </c>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X1920" s="6"/>
      <c r="AY1920" s="6">
        <f>ROUND(AX1920/1000/Update!$B$31*Update!$B$27,0)</f>
        <v>0</v>
      </c>
      <c r="BA1920" s="6"/>
      <c r="BB1920" s="6">
        <f>ROUND(BA1920/1000/Update!$B$31,0)</f>
        <v>0</v>
      </c>
      <c r="BC1920" s="6"/>
      <c r="BD1920" s="6">
        <f t="shared" si="1143"/>
        <v>0</v>
      </c>
      <c r="BE1920" s="322"/>
      <c r="BF1920" s="322"/>
      <c r="BG1920" s="322"/>
      <c r="BH1920" s="322"/>
      <c r="BI1920" s="322"/>
      <c r="BJ1920" s="322"/>
      <c r="BK1920" s="6">
        <f t="shared" si="1182"/>
        <v>0</v>
      </c>
      <c r="BL1920" s="322"/>
      <c r="BM1920" s="322"/>
      <c r="BN1920" s="322"/>
      <c r="BO1920" s="322"/>
      <c r="BP1920" s="322"/>
      <c r="BQ1920" s="322"/>
      <c r="BR1920" s="322"/>
      <c r="BS1920" s="322"/>
      <c r="BT1920" s="322"/>
      <c r="BU1920" s="322"/>
      <c r="BV1920" s="322"/>
      <c r="BW1920" s="322"/>
      <c r="BX1920" s="322"/>
      <c r="BY1920" s="322"/>
      <c r="BZ1920" s="322"/>
      <c r="CA1920" s="322"/>
      <c r="CB1920" s="322"/>
      <c r="CC1920" s="322"/>
      <c r="CD1920" s="322"/>
      <c r="CE1920" s="322"/>
      <c r="CF1920" s="322"/>
      <c r="CG1920" s="322"/>
      <c r="CH1920" s="322"/>
      <c r="CI1920" s="322"/>
      <c r="CM1920" s="1139">
        <f t="shared" si="1160"/>
        <v>0</v>
      </c>
      <c r="CN1920" s="1139">
        <v>0</v>
      </c>
      <c r="CP1920" s="923">
        <f t="shared" si="1159"/>
        <v>0</v>
      </c>
      <c r="CZ1920" s="330"/>
    </row>
    <row r="1921" spans="1:104" ht="15" customHeight="1" x14ac:dyDescent="0.25">
      <c r="A1921" s="684">
        <f>MAX($A$6:A1920)+1</f>
        <v>1921</v>
      </c>
      <c r="B1921" s="1060">
        <f t="shared" si="1183"/>
        <v>51</v>
      </c>
      <c r="C1921" s="292" t="str">
        <f t="shared" si="1184"/>
        <v>Staff Report</v>
      </c>
      <c r="D1921" s="11" t="s">
        <v>1755</v>
      </c>
      <c r="E1921" s="7" t="s">
        <v>1762</v>
      </c>
      <c r="F1921" s="7"/>
      <c r="G1921" s="1254" t="s">
        <v>1762</v>
      </c>
      <c r="H1921" s="6">
        <v>0</v>
      </c>
      <c r="I1921" s="6"/>
      <c r="J1921" s="1257" t="s">
        <v>1762</v>
      </c>
      <c r="K1921" s="251">
        <f>SUMIF('alb A - Staff Report'!A:A,J1921,'alb A - Staff Report'!B:B)</f>
        <v>0</v>
      </c>
      <c r="L1921" s="266"/>
      <c r="M1921" s="2"/>
      <c r="N1921" s="273">
        <f t="shared" si="1185"/>
        <v>0</v>
      </c>
      <c r="O1921" s="12"/>
      <c r="P1921" s="12"/>
      <c r="Q1921" s="12"/>
      <c r="R1921" s="12"/>
      <c r="S1921" s="6">
        <f t="shared" si="1186"/>
        <v>0</v>
      </c>
      <c r="T1921" s="273">
        <f t="shared" si="1187"/>
        <v>0</v>
      </c>
      <c r="U1921" s="6"/>
      <c r="V1921" s="6"/>
      <c r="W1921" s="6">
        <f t="shared" si="1167"/>
        <v>0</v>
      </c>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X1921" s="6"/>
      <c r="AY1921" s="6">
        <f>ROUND(AX1921/1000/Update!$B$31*Update!$B$27,0)</f>
        <v>0</v>
      </c>
      <c r="BA1921" s="6"/>
      <c r="BB1921" s="6">
        <f>ROUND(BA1921/1000/Update!$B$31,0)</f>
        <v>0</v>
      </c>
      <c r="BC1921" s="6"/>
      <c r="BD1921" s="6">
        <f t="shared" si="1143"/>
        <v>0</v>
      </c>
      <c r="BE1921" s="322"/>
      <c r="BF1921" s="322"/>
      <c r="BG1921" s="322"/>
      <c r="BH1921" s="322"/>
      <c r="BI1921" s="322"/>
      <c r="BJ1921" s="322"/>
      <c r="BK1921" s="6">
        <f t="shared" si="1182"/>
        <v>0</v>
      </c>
      <c r="BL1921" s="322"/>
      <c r="BM1921" s="322"/>
      <c r="BN1921" s="322"/>
      <c r="BO1921" s="322"/>
      <c r="BP1921" s="322"/>
      <c r="BQ1921" s="322"/>
      <c r="BR1921" s="322"/>
      <c r="BS1921" s="322"/>
      <c r="BT1921" s="322"/>
      <c r="BU1921" s="322"/>
      <c r="BV1921" s="322"/>
      <c r="BW1921" s="322"/>
      <c r="BX1921" s="322"/>
      <c r="BY1921" s="322"/>
      <c r="BZ1921" s="322"/>
      <c r="CA1921" s="322"/>
      <c r="CB1921" s="322"/>
      <c r="CC1921" s="322"/>
      <c r="CD1921" s="322"/>
      <c r="CE1921" s="322"/>
      <c r="CF1921" s="322"/>
      <c r="CG1921" s="322"/>
      <c r="CH1921" s="322"/>
      <c r="CI1921" s="322"/>
      <c r="CM1921" s="1139">
        <f t="shared" si="1160"/>
        <v>0</v>
      </c>
      <c r="CN1921" s="1139">
        <v>0</v>
      </c>
      <c r="CP1921" s="923">
        <f t="shared" ref="CP1921:CP1984" si="1188">-V1921+BL1921+BM1921+BN1921+CM1921</f>
        <v>0</v>
      </c>
      <c r="CZ1921" s="330"/>
    </row>
    <row r="1922" spans="1:104" ht="15" customHeight="1" x14ac:dyDescent="0.25">
      <c r="A1922" s="684">
        <f>MAX($A$6:A1921)+1</f>
        <v>1922</v>
      </c>
      <c r="B1922" s="1060">
        <f t="shared" si="1183"/>
        <v>51</v>
      </c>
      <c r="C1922" s="292" t="str">
        <f t="shared" si="1184"/>
        <v>Staff Report</v>
      </c>
      <c r="D1922" s="11" t="s">
        <v>1755</v>
      </c>
      <c r="E1922" s="7" t="s">
        <v>1763</v>
      </c>
      <c r="F1922" s="7"/>
      <c r="G1922" s="1254" t="s">
        <v>1763</v>
      </c>
      <c r="H1922" s="6">
        <v>0</v>
      </c>
      <c r="I1922" s="6"/>
      <c r="J1922" s="1257" t="s">
        <v>1763</v>
      </c>
      <c r="K1922" s="251">
        <f>SUMIF('alb A - Staff Report'!A:A,J1922,'alb A - Staff Report'!B:B)</f>
        <v>0</v>
      </c>
      <c r="L1922" s="266"/>
      <c r="M1922" s="2"/>
      <c r="N1922" s="273">
        <f t="shared" si="1185"/>
        <v>0</v>
      </c>
      <c r="O1922" s="12"/>
      <c r="P1922" s="12"/>
      <c r="Q1922" s="12"/>
      <c r="R1922" s="12"/>
      <c r="S1922" s="6">
        <f t="shared" si="1186"/>
        <v>0</v>
      </c>
      <c r="T1922" s="273">
        <f t="shared" si="1187"/>
        <v>0</v>
      </c>
      <c r="U1922" s="6"/>
      <c r="V1922" s="6"/>
      <c r="W1922" s="6">
        <f t="shared" si="1167"/>
        <v>0</v>
      </c>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X1922" s="6"/>
      <c r="AY1922" s="6">
        <f>ROUND(AX1922/1000/Update!$B$31*Update!$B$27,0)</f>
        <v>0</v>
      </c>
      <c r="BA1922" s="6"/>
      <c r="BB1922" s="6">
        <f>ROUND(BA1922/1000/Update!$B$31,0)</f>
        <v>0</v>
      </c>
      <c r="BC1922" s="6"/>
      <c r="BD1922" s="6">
        <f t="shared" si="1143"/>
        <v>0</v>
      </c>
      <c r="BE1922" s="322"/>
      <c r="BF1922" s="322"/>
      <c r="BG1922" s="322"/>
      <c r="BH1922" s="322"/>
      <c r="BI1922" s="322"/>
      <c r="BJ1922" s="322"/>
      <c r="BK1922" s="6">
        <f t="shared" si="1182"/>
        <v>0</v>
      </c>
      <c r="BL1922" s="322"/>
      <c r="BM1922" s="322"/>
      <c r="BN1922" s="322"/>
      <c r="BO1922" s="322"/>
      <c r="BP1922" s="322"/>
      <c r="BQ1922" s="322"/>
      <c r="BR1922" s="322"/>
      <c r="BS1922" s="322"/>
      <c r="BT1922" s="322"/>
      <c r="BU1922" s="322"/>
      <c r="BV1922" s="322"/>
      <c r="BW1922" s="322"/>
      <c r="BX1922" s="322"/>
      <c r="BY1922" s="322"/>
      <c r="BZ1922" s="322"/>
      <c r="CA1922" s="322"/>
      <c r="CB1922" s="322"/>
      <c r="CC1922" s="322"/>
      <c r="CD1922" s="322"/>
      <c r="CE1922" s="322"/>
      <c r="CF1922" s="322"/>
      <c r="CG1922" s="322"/>
      <c r="CH1922" s="322"/>
      <c r="CI1922" s="322"/>
      <c r="CM1922" s="1139">
        <f t="shared" ref="CM1922:CM1985" si="1189">+U1922+V1922</f>
        <v>0</v>
      </c>
      <c r="CN1922" s="1139">
        <v>0</v>
      </c>
      <c r="CP1922" s="923">
        <f t="shared" si="1188"/>
        <v>0</v>
      </c>
      <c r="CZ1922" s="330"/>
    </row>
    <row r="1923" spans="1:104" ht="15" customHeight="1" x14ac:dyDescent="0.25">
      <c r="A1923" s="684">
        <f>MAX($A$6:A1922)+1</f>
        <v>1923</v>
      </c>
      <c r="B1923" s="1060">
        <f t="shared" si="1183"/>
        <v>51</v>
      </c>
      <c r="C1923" s="292" t="str">
        <f t="shared" si="1184"/>
        <v>Staff Report</v>
      </c>
      <c r="D1923" s="11" t="s">
        <v>1755</v>
      </c>
      <c r="E1923" s="7" t="s">
        <v>1764</v>
      </c>
      <c r="F1923" s="7"/>
      <c r="G1923" s="1254" t="s">
        <v>1764</v>
      </c>
      <c r="H1923" s="6">
        <v>0</v>
      </c>
      <c r="I1923" s="6"/>
      <c r="J1923" s="1257" t="s">
        <v>1764</v>
      </c>
      <c r="K1923" s="251">
        <f>SUMIF('alb A - Staff Report'!A:A,J1923,'alb A - Staff Report'!B:B)</f>
        <v>0</v>
      </c>
      <c r="L1923" s="266"/>
      <c r="M1923" s="2"/>
      <c r="N1923" s="273">
        <f t="shared" si="1185"/>
        <v>0</v>
      </c>
      <c r="O1923" s="12"/>
      <c r="P1923" s="12"/>
      <c r="Q1923" s="12"/>
      <c r="R1923" s="12"/>
      <c r="S1923" s="6">
        <f t="shared" si="1186"/>
        <v>0</v>
      </c>
      <c r="T1923" s="273">
        <f t="shared" si="1187"/>
        <v>0</v>
      </c>
      <c r="U1923" s="6"/>
      <c r="V1923" s="6"/>
      <c r="W1923" s="6">
        <f t="shared" si="1167"/>
        <v>0</v>
      </c>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X1923" s="6"/>
      <c r="AY1923" s="6">
        <f>ROUND(AX1923/1000/Update!$B$31*Update!$B$27,0)</f>
        <v>0</v>
      </c>
      <c r="BA1923" s="6"/>
      <c r="BB1923" s="6">
        <f>ROUND(BA1923/1000/Update!$B$31,0)</f>
        <v>0</v>
      </c>
      <c r="BC1923" s="6"/>
      <c r="BD1923" s="6">
        <f t="shared" si="1143"/>
        <v>0</v>
      </c>
      <c r="BE1923" s="322"/>
      <c r="BF1923" s="322"/>
      <c r="BG1923" s="322"/>
      <c r="BH1923" s="322"/>
      <c r="BI1923" s="322"/>
      <c r="BJ1923" s="322"/>
      <c r="BK1923" s="6">
        <f t="shared" si="1182"/>
        <v>0</v>
      </c>
      <c r="BL1923" s="322"/>
      <c r="BM1923" s="322"/>
      <c r="BN1923" s="322"/>
      <c r="BO1923" s="322"/>
      <c r="BP1923" s="322"/>
      <c r="BQ1923" s="322"/>
      <c r="BR1923" s="322"/>
      <c r="BS1923" s="322"/>
      <c r="BT1923" s="322"/>
      <c r="BU1923" s="322"/>
      <c r="BV1923" s="322"/>
      <c r="BW1923" s="322"/>
      <c r="BX1923" s="322"/>
      <c r="BY1923" s="322"/>
      <c r="BZ1923" s="322"/>
      <c r="CA1923" s="322"/>
      <c r="CB1923" s="322"/>
      <c r="CC1923" s="322"/>
      <c r="CD1923" s="322"/>
      <c r="CE1923" s="322"/>
      <c r="CF1923" s="322"/>
      <c r="CG1923" s="322"/>
      <c r="CH1923" s="322"/>
      <c r="CI1923" s="322"/>
      <c r="CM1923" s="1139">
        <f t="shared" si="1189"/>
        <v>0</v>
      </c>
      <c r="CN1923" s="1139">
        <v>0</v>
      </c>
      <c r="CP1923" s="923">
        <f t="shared" si="1188"/>
        <v>0</v>
      </c>
      <c r="CZ1923" s="330"/>
    </row>
    <row r="1924" spans="1:104" ht="15" customHeight="1" x14ac:dyDescent="0.25">
      <c r="A1924" s="684">
        <f>MAX($A$6:A1923)+1</f>
        <v>1924</v>
      </c>
      <c r="B1924" s="1060">
        <f t="shared" si="1183"/>
        <v>51</v>
      </c>
      <c r="C1924" s="292" t="str">
        <f t="shared" si="1184"/>
        <v>Staff Report</v>
      </c>
      <c r="D1924" s="11" t="s">
        <v>1755</v>
      </c>
      <c r="E1924" s="7" t="s">
        <v>1765</v>
      </c>
      <c r="F1924" s="7"/>
      <c r="G1924" s="1254" t="s">
        <v>1765</v>
      </c>
      <c r="H1924" s="6">
        <v>0</v>
      </c>
      <c r="I1924" s="6"/>
      <c r="J1924" s="1257" t="s">
        <v>1765</v>
      </c>
      <c r="K1924" s="251">
        <f>SUMIF('alb A - Staff Report'!A:A,J1924,'alb A - Staff Report'!B:B)</f>
        <v>0</v>
      </c>
      <c r="L1924" s="266"/>
      <c r="M1924" s="2"/>
      <c r="N1924" s="273">
        <f t="shared" si="1185"/>
        <v>0</v>
      </c>
      <c r="O1924" s="12"/>
      <c r="P1924" s="12"/>
      <c r="Q1924" s="12"/>
      <c r="R1924" s="12"/>
      <c r="S1924" s="6">
        <f t="shared" si="1186"/>
        <v>0</v>
      </c>
      <c r="T1924" s="273">
        <f t="shared" si="1187"/>
        <v>0</v>
      </c>
      <c r="U1924" s="6"/>
      <c r="V1924" s="6"/>
      <c r="W1924" s="6">
        <f t="shared" si="1167"/>
        <v>0</v>
      </c>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X1924" s="6"/>
      <c r="AY1924" s="6">
        <f>ROUND(AX1924/1000/Update!$B$31*Update!$B$27,0)</f>
        <v>0</v>
      </c>
      <c r="BA1924" s="6"/>
      <c r="BB1924" s="6">
        <f>ROUND(BA1924/1000/Update!$B$31,0)</f>
        <v>0</v>
      </c>
      <c r="BC1924" s="6"/>
      <c r="BD1924" s="6">
        <f t="shared" si="1143"/>
        <v>0</v>
      </c>
      <c r="BE1924" s="322"/>
      <c r="BF1924" s="322"/>
      <c r="BG1924" s="322"/>
      <c r="BH1924" s="322"/>
      <c r="BI1924" s="322"/>
      <c r="BJ1924" s="322"/>
      <c r="BK1924" s="6">
        <f t="shared" si="1182"/>
        <v>0</v>
      </c>
      <c r="BL1924" s="322"/>
      <c r="BM1924" s="322"/>
      <c r="BN1924" s="322"/>
      <c r="BO1924" s="322"/>
      <c r="BP1924" s="322"/>
      <c r="BQ1924" s="322"/>
      <c r="BR1924" s="322"/>
      <c r="BS1924" s="322"/>
      <c r="BT1924" s="322"/>
      <c r="BU1924" s="322"/>
      <c r="BV1924" s="322"/>
      <c r="BW1924" s="322"/>
      <c r="BX1924" s="322"/>
      <c r="BY1924" s="322"/>
      <c r="BZ1924" s="322"/>
      <c r="CA1924" s="322"/>
      <c r="CB1924" s="322"/>
      <c r="CC1924" s="322"/>
      <c r="CD1924" s="322"/>
      <c r="CE1924" s="322"/>
      <c r="CF1924" s="322"/>
      <c r="CG1924" s="322"/>
      <c r="CH1924" s="322"/>
      <c r="CI1924" s="322"/>
      <c r="CM1924" s="1139">
        <f t="shared" si="1189"/>
        <v>0</v>
      </c>
      <c r="CN1924" s="1139">
        <v>0</v>
      </c>
      <c r="CP1924" s="923">
        <f t="shared" si="1188"/>
        <v>0</v>
      </c>
      <c r="CZ1924" s="330"/>
    </row>
    <row r="1925" spans="1:104" ht="15" customHeight="1" x14ac:dyDescent="0.25">
      <c r="A1925" s="684">
        <f>MAX($A$6:A1924)+1</f>
        <v>1925</v>
      </c>
      <c r="B1925" s="1060">
        <f t="shared" si="1183"/>
        <v>51</v>
      </c>
      <c r="C1925" s="292" t="str">
        <f t="shared" si="1184"/>
        <v>Staff Report</v>
      </c>
      <c r="D1925" s="11" t="s">
        <v>1755</v>
      </c>
      <c r="E1925" s="7" t="s">
        <v>1766</v>
      </c>
      <c r="F1925" s="7"/>
      <c r="G1925" s="1254" t="s">
        <v>1766</v>
      </c>
      <c r="H1925" s="6">
        <v>0</v>
      </c>
      <c r="I1925" s="6"/>
      <c r="J1925" s="1257" t="s">
        <v>1766</v>
      </c>
      <c r="K1925" s="251">
        <f>SUMIF('alb A - Staff Report'!A:A,J1925,'alb A - Staff Report'!B:B)</f>
        <v>0</v>
      </c>
      <c r="L1925" s="266"/>
      <c r="M1925" s="2"/>
      <c r="N1925" s="273">
        <f t="shared" si="1185"/>
        <v>0</v>
      </c>
      <c r="O1925" s="12"/>
      <c r="P1925" s="12"/>
      <c r="Q1925" s="12"/>
      <c r="R1925" s="12"/>
      <c r="S1925" s="6">
        <f t="shared" si="1186"/>
        <v>0</v>
      </c>
      <c r="T1925" s="273">
        <f t="shared" si="1187"/>
        <v>0</v>
      </c>
      <c r="U1925" s="6"/>
      <c r="V1925" s="6"/>
      <c r="W1925" s="6">
        <f t="shared" si="1167"/>
        <v>0</v>
      </c>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X1925" s="6"/>
      <c r="AY1925" s="6">
        <f>ROUND(AX1925/1000/Update!$B$31*Update!$B$27,0)</f>
        <v>0</v>
      </c>
      <c r="BA1925" s="6"/>
      <c r="BB1925" s="6">
        <f>ROUND(BA1925/1000/Update!$B$31,0)</f>
        <v>0</v>
      </c>
      <c r="BC1925" s="6"/>
      <c r="BD1925" s="6">
        <f t="shared" si="1143"/>
        <v>0</v>
      </c>
      <c r="BE1925" s="322"/>
      <c r="BF1925" s="322"/>
      <c r="BG1925" s="322"/>
      <c r="BH1925" s="322"/>
      <c r="BI1925" s="322"/>
      <c r="BJ1925" s="322"/>
      <c r="BK1925" s="6">
        <f t="shared" si="1182"/>
        <v>0</v>
      </c>
      <c r="BL1925" s="322"/>
      <c r="BM1925" s="322"/>
      <c r="BN1925" s="322"/>
      <c r="BO1925" s="322"/>
      <c r="BP1925" s="322"/>
      <c r="BQ1925" s="322"/>
      <c r="BR1925" s="322"/>
      <c r="BS1925" s="322"/>
      <c r="BT1925" s="322"/>
      <c r="BU1925" s="322"/>
      <c r="BV1925" s="322"/>
      <c r="BW1925" s="322"/>
      <c r="BX1925" s="322"/>
      <c r="BY1925" s="322"/>
      <c r="BZ1925" s="322"/>
      <c r="CA1925" s="322"/>
      <c r="CB1925" s="322"/>
      <c r="CC1925" s="322"/>
      <c r="CD1925" s="322"/>
      <c r="CE1925" s="322"/>
      <c r="CF1925" s="322"/>
      <c r="CG1925" s="322"/>
      <c r="CH1925" s="322"/>
      <c r="CI1925" s="322"/>
      <c r="CM1925" s="1139">
        <f t="shared" si="1189"/>
        <v>0</v>
      </c>
      <c r="CN1925" s="1139">
        <v>0</v>
      </c>
      <c r="CP1925" s="923">
        <f t="shared" si="1188"/>
        <v>0</v>
      </c>
      <c r="CZ1925" s="330"/>
    </row>
    <row r="1926" spans="1:104" ht="15" customHeight="1" x14ac:dyDescent="0.25">
      <c r="A1926" s="684">
        <f>MAX($A$6:A1925)+1</f>
        <v>1926</v>
      </c>
      <c r="B1926" s="1060">
        <f t="shared" si="1183"/>
        <v>51</v>
      </c>
      <c r="C1926" s="292" t="str">
        <f t="shared" si="1184"/>
        <v>Staff Report</v>
      </c>
      <c r="D1926" s="11" t="s">
        <v>1755</v>
      </c>
      <c r="E1926" s="7" t="s">
        <v>1767</v>
      </c>
      <c r="F1926" s="7"/>
      <c r="G1926" s="1254" t="s">
        <v>1767</v>
      </c>
      <c r="H1926" s="6">
        <v>0</v>
      </c>
      <c r="I1926" s="6"/>
      <c r="J1926" s="1257" t="s">
        <v>1767</v>
      </c>
      <c r="K1926" s="251">
        <f>SUMIF('alb A - Staff Report'!A:A,J1926,'alb A - Staff Report'!B:B)</f>
        <v>0</v>
      </c>
      <c r="L1926" s="266"/>
      <c r="M1926" s="2"/>
      <c r="N1926" s="273">
        <f t="shared" si="1185"/>
        <v>0</v>
      </c>
      <c r="O1926" s="12"/>
      <c r="P1926" s="12"/>
      <c r="Q1926" s="12"/>
      <c r="R1926" s="12"/>
      <c r="S1926" s="6">
        <f t="shared" si="1186"/>
        <v>0</v>
      </c>
      <c r="T1926" s="273">
        <f t="shared" si="1187"/>
        <v>0</v>
      </c>
      <c r="U1926" s="6"/>
      <c r="V1926" s="6"/>
      <c r="W1926" s="6">
        <f t="shared" si="1167"/>
        <v>0</v>
      </c>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X1926" s="6"/>
      <c r="AY1926" s="6">
        <f>ROUND(AX1926/1000/Update!$B$31*Update!$B$27,0)</f>
        <v>0</v>
      </c>
      <c r="BA1926" s="6"/>
      <c r="BB1926" s="6">
        <f>ROUND(BA1926/1000/Update!$B$31,0)</f>
        <v>0</v>
      </c>
      <c r="BC1926" s="6"/>
      <c r="BD1926" s="6">
        <f t="shared" ref="BD1926:BD2007" si="1190">ROUND(SUM(BE1926:BK1926),0)</f>
        <v>0</v>
      </c>
      <c r="BE1926" s="322"/>
      <c r="BF1926" s="322"/>
      <c r="BG1926" s="322"/>
      <c r="BH1926" s="322"/>
      <c r="BI1926" s="322"/>
      <c r="BJ1926" s="322"/>
      <c r="BK1926" s="6">
        <f t="shared" si="1182"/>
        <v>0</v>
      </c>
      <c r="BL1926" s="322"/>
      <c r="BM1926" s="322"/>
      <c r="BN1926" s="322"/>
      <c r="BO1926" s="322"/>
      <c r="BP1926" s="322"/>
      <c r="BQ1926" s="322"/>
      <c r="BR1926" s="322"/>
      <c r="BS1926" s="322"/>
      <c r="BT1926" s="322"/>
      <c r="BU1926" s="322"/>
      <c r="BV1926" s="322"/>
      <c r="BW1926" s="322"/>
      <c r="BX1926" s="322"/>
      <c r="BY1926" s="322"/>
      <c r="BZ1926" s="322"/>
      <c r="CA1926" s="322"/>
      <c r="CB1926" s="322"/>
      <c r="CC1926" s="322"/>
      <c r="CD1926" s="322"/>
      <c r="CE1926" s="322"/>
      <c r="CF1926" s="322"/>
      <c r="CG1926" s="322"/>
      <c r="CH1926" s="322"/>
      <c r="CI1926" s="322"/>
      <c r="CM1926" s="1139">
        <f t="shared" si="1189"/>
        <v>0</v>
      </c>
      <c r="CN1926" s="1139">
        <v>0</v>
      </c>
      <c r="CP1926" s="923">
        <f t="shared" si="1188"/>
        <v>0</v>
      </c>
      <c r="CZ1926" s="330"/>
    </row>
    <row r="1927" spans="1:104" ht="15" customHeight="1" x14ac:dyDescent="0.25">
      <c r="A1927" s="684">
        <f>MAX($A$6:A1926)+1</f>
        <v>1927</v>
      </c>
      <c r="B1927" s="1060">
        <f t="shared" si="1183"/>
        <v>51</v>
      </c>
      <c r="C1927" s="292" t="str">
        <f t="shared" si="1184"/>
        <v>Staff Report</v>
      </c>
      <c r="D1927" s="11" t="s">
        <v>1755</v>
      </c>
      <c r="E1927" s="7" t="s">
        <v>1768</v>
      </c>
      <c r="F1927" s="7"/>
      <c r="G1927" s="1254" t="s">
        <v>1768</v>
      </c>
      <c r="H1927" s="6">
        <v>0</v>
      </c>
      <c r="I1927" s="6"/>
      <c r="J1927" s="1257" t="s">
        <v>1768</v>
      </c>
      <c r="K1927" s="251">
        <f>SUMIF('alb A - Staff Report'!A:A,J1927,'alb A - Staff Report'!B:B)</f>
        <v>0</v>
      </c>
      <c r="L1927" s="266"/>
      <c r="M1927" s="2"/>
      <c r="N1927" s="273">
        <f t="shared" si="1185"/>
        <v>0</v>
      </c>
      <c r="O1927" s="12"/>
      <c r="P1927" s="12"/>
      <c r="Q1927" s="12"/>
      <c r="R1927" s="12"/>
      <c r="S1927" s="6">
        <f t="shared" si="1186"/>
        <v>0</v>
      </c>
      <c r="T1927" s="273">
        <f t="shared" si="1187"/>
        <v>0</v>
      </c>
      <c r="U1927" s="6"/>
      <c r="V1927" s="6"/>
      <c r="W1927" s="6">
        <f t="shared" si="1167"/>
        <v>0</v>
      </c>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X1927" s="6"/>
      <c r="AY1927" s="6">
        <f>ROUND(AX1927/1000/Update!$B$31*Update!$B$27,0)</f>
        <v>0</v>
      </c>
      <c r="BA1927" s="6"/>
      <c r="BB1927" s="6">
        <f>ROUND(BA1927/1000/Update!$B$31,0)</f>
        <v>0</v>
      </c>
      <c r="BC1927" s="6"/>
      <c r="BD1927" s="6">
        <f t="shared" si="1190"/>
        <v>0</v>
      </c>
      <c r="BE1927" s="322"/>
      <c r="BF1927" s="322"/>
      <c r="BG1927" s="322"/>
      <c r="BH1927" s="322"/>
      <c r="BI1927" s="322"/>
      <c r="BJ1927" s="322"/>
      <c r="BK1927" s="6">
        <f t="shared" si="1182"/>
        <v>0</v>
      </c>
      <c r="BL1927" s="322"/>
      <c r="BM1927" s="322"/>
      <c r="BN1927" s="322"/>
      <c r="BO1927" s="322"/>
      <c r="BP1927" s="322"/>
      <c r="BQ1927" s="322"/>
      <c r="BR1927" s="322"/>
      <c r="BS1927" s="322"/>
      <c r="BT1927" s="322"/>
      <c r="BU1927" s="322"/>
      <c r="BV1927" s="322"/>
      <c r="BW1927" s="322"/>
      <c r="BX1927" s="322"/>
      <c r="BY1927" s="322"/>
      <c r="BZ1927" s="322"/>
      <c r="CA1927" s="322"/>
      <c r="CB1927" s="322"/>
      <c r="CC1927" s="322"/>
      <c r="CD1927" s="322"/>
      <c r="CE1927" s="322"/>
      <c r="CF1927" s="322"/>
      <c r="CG1927" s="322"/>
      <c r="CH1927" s="322"/>
      <c r="CI1927" s="322"/>
      <c r="CM1927" s="1139">
        <f t="shared" si="1189"/>
        <v>0</v>
      </c>
      <c r="CN1927" s="1139">
        <v>0</v>
      </c>
      <c r="CP1927" s="923">
        <f t="shared" si="1188"/>
        <v>0</v>
      </c>
      <c r="CZ1927" s="330"/>
    </row>
    <row r="1928" spans="1:104" ht="15" customHeight="1" x14ac:dyDescent="0.25">
      <c r="A1928" s="684">
        <f>MAX($A$6:A1927)+1</f>
        <v>1928</v>
      </c>
      <c r="B1928" s="1060">
        <f t="shared" si="1183"/>
        <v>51</v>
      </c>
      <c r="C1928" s="292" t="str">
        <f t="shared" si="1184"/>
        <v>Staff Report</v>
      </c>
      <c r="D1928" s="11" t="s">
        <v>1755</v>
      </c>
      <c r="E1928" s="7" t="s">
        <v>1769</v>
      </c>
      <c r="F1928" s="7"/>
      <c r="G1928" s="1254" t="s">
        <v>1769</v>
      </c>
      <c r="H1928" s="6">
        <v>0</v>
      </c>
      <c r="I1928" s="6"/>
      <c r="J1928" s="1257" t="s">
        <v>1769</v>
      </c>
      <c r="K1928" s="251">
        <f>SUMIF('alb A - Staff Report'!A:A,J1928,'alb A - Staff Report'!B:B)</f>
        <v>0</v>
      </c>
      <c r="L1928" s="266"/>
      <c r="M1928" s="2"/>
      <c r="N1928" s="273">
        <f t="shared" si="1185"/>
        <v>0</v>
      </c>
      <c r="O1928" s="12"/>
      <c r="P1928" s="12"/>
      <c r="Q1928" s="12"/>
      <c r="R1928" s="12"/>
      <c r="S1928" s="6">
        <f t="shared" si="1186"/>
        <v>0</v>
      </c>
      <c r="T1928" s="273">
        <f t="shared" si="1187"/>
        <v>0</v>
      </c>
      <c r="U1928" s="6"/>
      <c r="V1928" s="6"/>
      <c r="W1928" s="6">
        <f t="shared" si="1167"/>
        <v>0</v>
      </c>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X1928" s="6"/>
      <c r="AY1928" s="6">
        <f>ROUND(AX1928/1000/Update!$B$31*Update!$B$27,0)</f>
        <v>0</v>
      </c>
      <c r="BA1928" s="6"/>
      <c r="BB1928" s="6">
        <f>ROUND(BA1928/1000/Update!$B$31,0)</f>
        <v>0</v>
      </c>
      <c r="BC1928" s="6"/>
      <c r="BD1928" s="6">
        <f t="shared" si="1190"/>
        <v>0</v>
      </c>
      <c r="BE1928" s="322"/>
      <c r="BF1928" s="322"/>
      <c r="BG1928" s="322"/>
      <c r="BH1928" s="322"/>
      <c r="BI1928" s="322"/>
      <c r="BJ1928" s="322"/>
      <c r="BK1928" s="6">
        <f t="shared" si="1182"/>
        <v>0</v>
      </c>
      <c r="BL1928" s="322"/>
      <c r="BM1928" s="322"/>
      <c r="BN1928" s="322"/>
      <c r="BO1928" s="322"/>
      <c r="BP1928" s="322"/>
      <c r="BQ1928" s="322"/>
      <c r="BR1928" s="322"/>
      <c r="BS1928" s="322"/>
      <c r="BT1928" s="322"/>
      <c r="BU1928" s="322"/>
      <c r="BV1928" s="322"/>
      <c r="BW1928" s="322"/>
      <c r="BX1928" s="322"/>
      <c r="BY1928" s="322"/>
      <c r="BZ1928" s="322"/>
      <c r="CA1928" s="322"/>
      <c r="CB1928" s="322"/>
      <c r="CC1928" s="322"/>
      <c r="CD1928" s="322"/>
      <c r="CE1928" s="322"/>
      <c r="CF1928" s="322"/>
      <c r="CG1928" s="322"/>
      <c r="CH1928" s="322"/>
      <c r="CI1928" s="322"/>
      <c r="CM1928" s="1139">
        <f t="shared" si="1189"/>
        <v>0</v>
      </c>
      <c r="CN1928" s="1139">
        <v>0</v>
      </c>
      <c r="CP1928" s="923">
        <f t="shared" si="1188"/>
        <v>0</v>
      </c>
      <c r="CZ1928" s="330"/>
    </row>
    <row r="1929" spans="1:104" ht="15" customHeight="1" x14ac:dyDescent="0.25">
      <c r="A1929" s="684">
        <f>MAX($A$6:A1928)+1</f>
        <v>1929</v>
      </c>
      <c r="B1929" s="1060">
        <f t="shared" si="1183"/>
        <v>51</v>
      </c>
      <c r="C1929" s="292" t="str">
        <f t="shared" si="1184"/>
        <v>Staff Report</v>
      </c>
      <c r="D1929" s="11" t="s">
        <v>1755</v>
      </c>
      <c r="E1929" s="7" t="s">
        <v>1770</v>
      </c>
      <c r="F1929" s="7"/>
      <c r="G1929" s="1254" t="s">
        <v>1770</v>
      </c>
      <c r="H1929" s="6">
        <v>0</v>
      </c>
      <c r="I1929" s="6"/>
      <c r="J1929" s="1257" t="s">
        <v>1770</v>
      </c>
      <c r="K1929" s="251">
        <f>SUMIF('alb A - Staff Report'!A:A,J1929,'alb A - Staff Report'!B:B)</f>
        <v>0</v>
      </c>
      <c r="L1929" s="266"/>
      <c r="M1929" s="2"/>
      <c r="N1929" s="273">
        <f t="shared" si="1185"/>
        <v>0</v>
      </c>
      <c r="O1929" s="12"/>
      <c r="P1929" s="12"/>
      <c r="Q1929" s="12"/>
      <c r="R1929" s="12"/>
      <c r="S1929" s="6">
        <f t="shared" si="1186"/>
        <v>0</v>
      </c>
      <c r="T1929" s="273">
        <f t="shared" si="1187"/>
        <v>0</v>
      </c>
      <c r="U1929" s="6"/>
      <c r="V1929" s="6"/>
      <c r="W1929" s="6">
        <f t="shared" si="1167"/>
        <v>0</v>
      </c>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X1929" s="6"/>
      <c r="AY1929" s="6">
        <f>ROUND(AX1929/1000/Update!$B$31*Update!$B$27,0)</f>
        <v>0</v>
      </c>
      <c r="BA1929" s="6"/>
      <c r="BB1929" s="6">
        <f>ROUND(BA1929/1000/Update!$B$31,0)</f>
        <v>0</v>
      </c>
      <c r="BC1929" s="6"/>
      <c r="BD1929" s="6">
        <f t="shared" si="1190"/>
        <v>0</v>
      </c>
      <c r="BE1929" s="322"/>
      <c r="BF1929" s="322"/>
      <c r="BG1929" s="322"/>
      <c r="BH1929" s="322"/>
      <c r="BI1929" s="322"/>
      <c r="BJ1929" s="322"/>
      <c r="BK1929" s="6">
        <f t="shared" si="1182"/>
        <v>0</v>
      </c>
      <c r="BL1929" s="322"/>
      <c r="BM1929" s="322"/>
      <c r="BN1929" s="322"/>
      <c r="BO1929" s="322"/>
      <c r="BP1929" s="322"/>
      <c r="BQ1929" s="322"/>
      <c r="BR1929" s="322"/>
      <c r="BS1929" s="322"/>
      <c r="BT1929" s="322"/>
      <c r="BU1929" s="322"/>
      <c r="BV1929" s="322"/>
      <c r="BW1929" s="322"/>
      <c r="BX1929" s="322"/>
      <c r="BY1929" s="322"/>
      <c r="BZ1929" s="322"/>
      <c r="CA1929" s="322"/>
      <c r="CB1929" s="322"/>
      <c r="CC1929" s="322"/>
      <c r="CD1929" s="322"/>
      <c r="CE1929" s="322"/>
      <c r="CF1929" s="322"/>
      <c r="CG1929" s="322"/>
      <c r="CH1929" s="322"/>
      <c r="CI1929" s="322"/>
      <c r="CM1929" s="1139">
        <f t="shared" si="1189"/>
        <v>0</v>
      </c>
      <c r="CN1929" s="1139">
        <v>0</v>
      </c>
      <c r="CP1929" s="923">
        <f t="shared" si="1188"/>
        <v>0</v>
      </c>
      <c r="CZ1929" s="330"/>
    </row>
    <row r="1930" spans="1:104" ht="15" customHeight="1" x14ac:dyDescent="0.25">
      <c r="A1930" s="684">
        <f>MAX($A$6:A1929)+1</f>
        <v>1930</v>
      </c>
      <c r="B1930" s="1060">
        <f t="shared" si="1183"/>
        <v>51</v>
      </c>
      <c r="C1930" s="292" t="str">
        <f t="shared" si="1184"/>
        <v>Staff Report</v>
      </c>
      <c r="D1930" s="11" t="s">
        <v>1755</v>
      </c>
      <c r="E1930" s="7" t="s">
        <v>1771</v>
      </c>
      <c r="F1930" s="7"/>
      <c r="G1930" s="1254" t="s">
        <v>1771</v>
      </c>
      <c r="H1930" s="6">
        <v>0</v>
      </c>
      <c r="I1930" s="6"/>
      <c r="J1930" s="1257" t="s">
        <v>1771</v>
      </c>
      <c r="K1930" s="251">
        <f>SUMIF('alb A - Staff Report'!A:A,J1930,'alb A - Staff Report'!B:B)</f>
        <v>0</v>
      </c>
      <c r="L1930" s="266"/>
      <c r="M1930" s="2"/>
      <c r="N1930" s="273">
        <f t="shared" si="1185"/>
        <v>0</v>
      </c>
      <c r="O1930" s="12"/>
      <c r="P1930" s="12"/>
      <c r="Q1930" s="12"/>
      <c r="R1930" s="12"/>
      <c r="S1930" s="6">
        <f t="shared" si="1186"/>
        <v>0</v>
      </c>
      <c r="T1930" s="273">
        <f t="shared" si="1187"/>
        <v>0</v>
      </c>
      <c r="U1930" s="6"/>
      <c r="V1930" s="6"/>
      <c r="W1930" s="6">
        <f t="shared" si="1167"/>
        <v>0</v>
      </c>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X1930" s="6"/>
      <c r="AY1930" s="6">
        <f>ROUND(AX1930/1000/Update!$B$31*Update!$B$27,0)</f>
        <v>0</v>
      </c>
      <c r="BA1930" s="6"/>
      <c r="BB1930" s="6">
        <f>ROUND(BA1930/1000/Update!$B$31,0)</f>
        <v>0</v>
      </c>
      <c r="BC1930" s="6"/>
      <c r="BD1930" s="6">
        <f t="shared" si="1190"/>
        <v>0</v>
      </c>
      <c r="BE1930" s="322"/>
      <c r="BF1930" s="322"/>
      <c r="BG1930" s="322"/>
      <c r="BH1930" s="322"/>
      <c r="BI1930" s="322"/>
      <c r="BJ1930" s="322"/>
      <c r="BK1930" s="6">
        <f t="shared" si="1182"/>
        <v>0</v>
      </c>
      <c r="BL1930" s="322"/>
      <c r="BM1930" s="322"/>
      <c r="BN1930" s="322"/>
      <c r="BO1930" s="322"/>
      <c r="BP1930" s="322"/>
      <c r="BQ1930" s="322"/>
      <c r="BR1930" s="322"/>
      <c r="BS1930" s="322"/>
      <c r="BT1930" s="322"/>
      <c r="BU1930" s="322"/>
      <c r="BV1930" s="322"/>
      <c r="BW1930" s="322"/>
      <c r="BX1930" s="322"/>
      <c r="BY1930" s="322"/>
      <c r="BZ1930" s="322"/>
      <c r="CA1930" s="322"/>
      <c r="CB1930" s="322"/>
      <c r="CC1930" s="322"/>
      <c r="CD1930" s="322"/>
      <c r="CE1930" s="322"/>
      <c r="CF1930" s="322"/>
      <c r="CG1930" s="322"/>
      <c r="CH1930" s="322"/>
      <c r="CI1930" s="322"/>
      <c r="CM1930" s="1139">
        <f t="shared" si="1189"/>
        <v>0</v>
      </c>
      <c r="CN1930" s="1139">
        <v>0</v>
      </c>
      <c r="CP1930" s="923">
        <f t="shared" si="1188"/>
        <v>0</v>
      </c>
      <c r="CZ1930" s="330"/>
    </row>
    <row r="1931" spans="1:104" ht="15" customHeight="1" x14ac:dyDescent="0.25">
      <c r="A1931" s="684">
        <f>MAX($A$6:A1930)+1</f>
        <v>1931</v>
      </c>
      <c r="B1931" s="1060">
        <f t="shared" si="1183"/>
        <v>51</v>
      </c>
      <c r="C1931" s="292" t="str">
        <f t="shared" si="1184"/>
        <v>Staff Report</v>
      </c>
      <c r="D1931" s="11" t="s">
        <v>1755</v>
      </c>
      <c r="E1931" s="7" t="s">
        <v>1772</v>
      </c>
      <c r="F1931" s="7"/>
      <c r="G1931" s="1254" t="s">
        <v>1772</v>
      </c>
      <c r="H1931" s="6">
        <v>0</v>
      </c>
      <c r="I1931" s="6"/>
      <c r="J1931" s="1257" t="s">
        <v>1772</v>
      </c>
      <c r="K1931" s="251">
        <f>SUMIF('alb A - Staff Report'!A:A,J1931,'alb A - Staff Report'!B:B)</f>
        <v>0</v>
      </c>
      <c r="L1931" s="266"/>
      <c r="M1931" s="2"/>
      <c r="N1931" s="273">
        <f t="shared" si="1185"/>
        <v>0</v>
      </c>
      <c r="O1931" s="12"/>
      <c r="P1931" s="12"/>
      <c r="Q1931" s="12"/>
      <c r="R1931" s="12"/>
      <c r="S1931" s="6">
        <f t="shared" si="1186"/>
        <v>0</v>
      </c>
      <c r="T1931" s="273">
        <f t="shared" si="1187"/>
        <v>0</v>
      </c>
      <c r="U1931" s="6"/>
      <c r="V1931" s="6"/>
      <c r="W1931" s="6">
        <f t="shared" si="1167"/>
        <v>0</v>
      </c>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X1931" s="6"/>
      <c r="AY1931" s="6">
        <f>ROUND(AX1931/1000/Update!$B$31*Update!$B$27,0)</f>
        <v>0</v>
      </c>
      <c r="BA1931" s="6"/>
      <c r="BB1931" s="6">
        <f>ROUND(BA1931/1000/Update!$B$31,0)</f>
        <v>0</v>
      </c>
      <c r="BC1931" s="6"/>
      <c r="BD1931" s="6">
        <f t="shared" si="1190"/>
        <v>0</v>
      </c>
      <c r="BE1931" s="322"/>
      <c r="BF1931" s="322"/>
      <c r="BG1931" s="322"/>
      <c r="BH1931" s="322"/>
      <c r="BI1931" s="322"/>
      <c r="BJ1931" s="322"/>
      <c r="BK1931" s="6">
        <f t="shared" si="1182"/>
        <v>0</v>
      </c>
      <c r="BL1931" s="322"/>
      <c r="BM1931" s="322"/>
      <c r="BN1931" s="322"/>
      <c r="BO1931" s="322"/>
      <c r="BP1931" s="322"/>
      <c r="BQ1931" s="322"/>
      <c r="BR1931" s="322"/>
      <c r="BS1931" s="322"/>
      <c r="BT1931" s="322"/>
      <c r="BU1931" s="322"/>
      <c r="BV1931" s="322"/>
      <c r="BW1931" s="322"/>
      <c r="BX1931" s="322"/>
      <c r="BY1931" s="322"/>
      <c r="BZ1931" s="322"/>
      <c r="CA1931" s="322"/>
      <c r="CB1931" s="322"/>
      <c r="CC1931" s="322"/>
      <c r="CD1931" s="322"/>
      <c r="CE1931" s="322"/>
      <c r="CF1931" s="322"/>
      <c r="CG1931" s="322"/>
      <c r="CH1931" s="322"/>
      <c r="CI1931" s="322"/>
      <c r="CM1931" s="1139">
        <f t="shared" si="1189"/>
        <v>0</v>
      </c>
      <c r="CN1931" s="1139">
        <v>0</v>
      </c>
      <c r="CP1931" s="923">
        <f t="shared" si="1188"/>
        <v>0</v>
      </c>
      <c r="CZ1931" s="330"/>
    </row>
    <row r="1932" spans="1:104" ht="15" customHeight="1" x14ac:dyDescent="0.25">
      <c r="A1932" s="684">
        <f>MAX($A$6:A1931)+1</f>
        <v>1932</v>
      </c>
      <c r="B1932" s="1060">
        <f t="shared" si="1183"/>
        <v>51</v>
      </c>
      <c r="C1932" s="292" t="str">
        <f t="shared" si="1184"/>
        <v>Staff Report</v>
      </c>
      <c r="D1932" s="11" t="s">
        <v>1755</v>
      </c>
      <c r="E1932" s="7" t="s">
        <v>1773</v>
      </c>
      <c r="F1932" s="7"/>
      <c r="G1932" s="1254" t="s">
        <v>1773</v>
      </c>
      <c r="H1932" s="6">
        <v>0</v>
      </c>
      <c r="I1932" s="6"/>
      <c r="J1932" s="1257" t="s">
        <v>1773</v>
      </c>
      <c r="K1932" s="251">
        <f>SUMIF('alb A - Staff Report'!A:A,J1932,'alb A - Staff Report'!B:B)</f>
        <v>0</v>
      </c>
      <c r="L1932" s="266"/>
      <c r="M1932" s="2"/>
      <c r="N1932" s="273">
        <f t="shared" si="1185"/>
        <v>0</v>
      </c>
      <c r="O1932" s="12"/>
      <c r="P1932" s="12"/>
      <c r="Q1932" s="12"/>
      <c r="R1932" s="12"/>
      <c r="S1932" s="6">
        <f t="shared" si="1186"/>
        <v>0</v>
      </c>
      <c r="T1932" s="273">
        <f t="shared" si="1187"/>
        <v>0</v>
      </c>
      <c r="U1932" s="6"/>
      <c r="V1932" s="6"/>
      <c r="W1932" s="6">
        <f t="shared" si="1167"/>
        <v>0</v>
      </c>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X1932" s="6"/>
      <c r="AY1932" s="6">
        <f>ROUND(AX1932/1000/Update!$B$31*Update!$B$27,0)</f>
        <v>0</v>
      </c>
      <c r="BA1932" s="6"/>
      <c r="BB1932" s="6">
        <f>ROUND(BA1932/1000/Update!$B$31,0)</f>
        <v>0</v>
      </c>
      <c r="BC1932" s="6"/>
      <c r="BD1932" s="6">
        <f t="shared" si="1190"/>
        <v>0</v>
      </c>
      <c r="BE1932" s="322"/>
      <c r="BF1932" s="322"/>
      <c r="BG1932" s="322"/>
      <c r="BH1932" s="322"/>
      <c r="BI1932" s="322"/>
      <c r="BJ1932" s="322"/>
      <c r="BK1932" s="6">
        <f t="shared" si="1182"/>
        <v>0</v>
      </c>
      <c r="BL1932" s="322"/>
      <c r="BM1932" s="322"/>
      <c r="BN1932" s="322"/>
      <c r="BO1932" s="322"/>
      <c r="BP1932" s="322"/>
      <c r="BQ1932" s="322"/>
      <c r="BR1932" s="322"/>
      <c r="BS1932" s="322"/>
      <c r="BT1932" s="322"/>
      <c r="BU1932" s="322"/>
      <c r="BV1932" s="322"/>
      <c r="BW1932" s="322"/>
      <c r="BX1932" s="322"/>
      <c r="BY1932" s="322"/>
      <c r="BZ1932" s="322"/>
      <c r="CA1932" s="322"/>
      <c r="CB1932" s="322"/>
      <c r="CC1932" s="322"/>
      <c r="CD1932" s="322"/>
      <c r="CE1932" s="322"/>
      <c r="CF1932" s="322"/>
      <c r="CG1932" s="322"/>
      <c r="CH1932" s="322"/>
      <c r="CI1932" s="322"/>
      <c r="CM1932" s="1139">
        <f t="shared" si="1189"/>
        <v>0</v>
      </c>
      <c r="CN1932" s="1139">
        <v>0</v>
      </c>
      <c r="CP1932" s="923">
        <f t="shared" si="1188"/>
        <v>0</v>
      </c>
      <c r="CZ1932" s="330"/>
    </row>
    <row r="1933" spans="1:104" ht="15" customHeight="1" x14ac:dyDescent="0.25">
      <c r="A1933" s="684">
        <f>MAX($A$6:A1932)+1</f>
        <v>1933</v>
      </c>
      <c r="B1933" s="1060">
        <f t="shared" si="1183"/>
        <v>51</v>
      </c>
      <c r="C1933" s="292" t="str">
        <f t="shared" si="1184"/>
        <v>Staff Report</v>
      </c>
      <c r="D1933" s="11" t="s">
        <v>1755</v>
      </c>
      <c r="E1933" s="7" t="s">
        <v>1774</v>
      </c>
      <c r="F1933" s="7"/>
      <c r="G1933" s="1254" t="s">
        <v>1774</v>
      </c>
      <c r="H1933" s="6">
        <v>0</v>
      </c>
      <c r="I1933" s="6"/>
      <c r="J1933" s="1257" t="s">
        <v>1774</v>
      </c>
      <c r="K1933" s="251">
        <f>SUMIF('alb A - Staff Report'!A:A,J1933,'alb A - Staff Report'!B:B)</f>
        <v>0</v>
      </c>
      <c r="L1933" s="266"/>
      <c r="M1933" s="2"/>
      <c r="N1933" s="273">
        <f t="shared" si="1185"/>
        <v>0</v>
      </c>
      <c r="O1933" s="12"/>
      <c r="P1933" s="12"/>
      <c r="Q1933" s="12"/>
      <c r="R1933" s="12"/>
      <c r="S1933" s="6">
        <f t="shared" si="1186"/>
        <v>0</v>
      </c>
      <c r="T1933" s="273">
        <f t="shared" si="1187"/>
        <v>0</v>
      </c>
      <c r="U1933" s="6"/>
      <c r="V1933" s="6"/>
      <c r="W1933" s="6">
        <f t="shared" si="1167"/>
        <v>0</v>
      </c>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X1933" s="6"/>
      <c r="AY1933" s="6">
        <f>ROUND(AX1933/1000/Update!$B$31*Update!$B$27,0)</f>
        <v>0</v>
      </c>
      <c r="BA1933" s="6"/>
      <c r="BB1933" s="6">
        <f>ROUND(BA1933/1000/Update!$B$31,0)</f>
        <v>0</v>
      </c>
      <c r="BC1933" s="6"/>
      <c r="BD1933" s="6">
        <f t="shared" si="1190"/>
        <v>0</v>
      </c>
      <c r="BE1933" s="322"/>
      <c r="BF1933" s="322"/>
      <c r="BG1933" s="322"/>
      <c r="BH1933" s="322"/>
      <c r="BI1933" s="322"/>
      <c r="BJ1933" s="322"/>
      <c r="BK1933" s="6">
        <f t="shared" si="1182"/>
        <v>0</v>
      </c>
      <c r="BL1933" s="322"/>
      <c r="BM1933" s="322"/>
      <c r="BN1933" s="322"/>
      <c r="BO1933" s="322"/>
      <c r="BP1933" s="322"/>
      <c r="BQ1933" s="322"/>
      <c r="BR1933" s="322"/>
      <c r="BS1933" s="322"/>
      <c r="BT1933" s="322"/>
      <c r="BU1933" s="322"/>
      <c r="BV1933" s="322"/>
      <c r="BW1933" s="322"/>
      <c r="BX1933" s="322"/>
      <c r="BY1933" s="322"/>
      <c r="BZ1933" s="322"/>
      <c r="CA1933" s="322"/>
      <c r="CB1933" s="322"/>
      <c r="CC1933" s="322"/>
      <c r="CD1933" s="322"/>
      <c r="CE1933" s="322"/>
      <c r="CF1933" s="322"/>
      <c r="CG1933" s="322"/>
      <c r="CH1933" s="322"/>
      <c r="CI1933" s="322"/>
      <c r="CM1933" s="1139">
        <f t="shared" si="1189"/>
        <v>0</v>
      </c>
      <c r="CN1933" s="1139">
        <v>0</v>
      </c>
      <c r="CP1933" s="923">
        <f t="shared" si="1188"/>
        <v>0</v>
      </c>
      <c r="CZ1933" s="330"/>
    </row>
    <row r="1934" spans="1:104" ht="15" customHeight="1" x14ac:dyDescent="0.25">
      <c r="A1934" s="684">
        <f>MAX($A$6:A1933)+1</f>
        <v>1934</v>
      </c>
      <c r="B1934" s="1060">
        <f t="shared" si="1183"/>
        <v>51</v>
      </c>
      <c r="C1934" s="292" t="str">
        <f t="shared" si="1184"/>
        <v>Staff Report</v>
      </c>
      <c r="D1934" s="11" t="s">
        <v>1755</v>
      </c>
      <c r="E1934" s="7" t="s">
        <v>1775</v>
      </c>
      <c r="F1934" s="7"/>
      <c r="G1934" s="1254" t="s">
        <v>1775</v>
      </c>
      <c r="H1934" s="6">
        <v>0</v>
      </c>
      <c r="I1934" s="6"/>
      <c r="J1934" s="1257" t="s">
        <v>1775</v>
      </c>
      <c r="K1934" s="251">
        <f>SUMIF('alb A - Staff Report'!A:A,J1934,'alb A - Staff Report'!B:B)</f>
        <v>0</v>
      </c>
      <c r="L1934" s="266"/>
      <c r="M1934" s="2"/>
      <c r="N1934" s="273">
        <f t="shared" si="1185"/>
        <v>0</v>
      </c>
      <c r="O1934" s="12"/>
      <c r="P1934" s="12"/>
      <c r="Q1934" s="12"/>
      <c r="R1934" s="12"/>
      <c r="S1934" s="6">
        <f t="shared" si="1186"/>
        <v>0</v>
      </c>
      <c r="T1934" s="273">
        <f t="shared" si="1187"/>
        <v>0</v>
      </c>
      <c r="U1934" s="6"/>
      <c r="V1934" s="6"/>
      <c r="W1934" s="6">
        <f t="shared" si="1167"/>
        <v>0</v>
      </c>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X1934" s="6"/>
      <c r="AY1934" s="6">
        <f>ROUND(AX1934/1000/Update!$B$31*Update!$B$27,0)</f>
        <v>0</v>
      </c>
      <c r="BA1934" s="6"/>
      <c r="BB1934" s="6">
        <f>ROUND(BA1934/1000/Update!$B$31,0)</f>
        <v>0</v>
      </c>
      <c r="BC1934" s="6"/>
      <c r="BD1934" s="6">
        <f t="shared" si="1190"/>
        <v>0</v>
      </c>
      <c r="BE1934" s="322"/>
      <c r="BF1934" s="322"/>
      <c r="BG1934" s="322"/>
      <c r="BH1934" s="322"/>
      <c r="BI1934" s="322"/>
      <c r="BJ1934" s="322"/>
      <c r="BK1934" s="6">
        <f t="shared" si="1182"/>
        <v>0</v>
      </c>
      <c r="BL1934" s="322"/>
      <c r="BM1934" s="322"/>
      <c r="BN1934" s="322"/>
      <c r="BO1934" s="322"/>
      <c r="BP1934" s="322"/>
      <c r="BQ1934" s="322"/>
      <c r="BR1934" s="322"/>
      <c r="BS1934" s="322"/>
      <c r="BT1934" s="322"/>
      <c r="BU1934" s="322"/>
      <c r="BV1934" s="322"/>
      <c r="BW1934" s="322"/>
      <c r="BX1934" s="322"/>
      <c r="BY1934" s="322"/>
      <c r="BZ1934" s="322"/>
      <c r="CA1934" s="322"/>
      <c r="CB1934" s="322"/>
      <c r="CC1934" s="322"/>
      <c r="CD1934" s="322"/>
      <c r="CE1934" s="322"/>
      <c r="CF1934" s="322"/>
      <c r="CG1934" s="322"/>
      <c r="CH1934" s="322"/>
      <c r="CI1934" s="322"/>
      <c r="CM1934" s="1139">
        <f t="shared" si="1189"/>
        <v>0</v>
      </c>
      <c r="CN1934" s="1139">
        <v>0</v>
      </c>
      <c r="CP1934" s="923">
        <f t="shared" si="1188"/>
        <v>0</v>
      </c>
      <c r="CZ1934" s="330"/>
    </row>
    <row r="1935" spans="1:104" ht="15" customHeight="1" x14ac:dyDescent="0.25">
      <c r="A1935" s="684">
        <f>MAX($A$6:A1934)+1</f>
        <v>1935</v>
      </c>
      <c r="B1935" s="1060">
        <f t="shared" si="1183"/>
        <v>51</v>
      </c>
      <c r="C1935" s="292" t="str">
        <f t="shared" si="1184"/>
        <v>Staff Report</v>
      </c>
      <c r="D1935" s="11" t="s">
        <v>1755</v>
      </c>
      <c r="E1935" s="7" t="s">
        <v>1776</v>
      </c>
      <c r="F1935" s="7"/>
      <c r="G1935" s="1254" t="s">
        <v>1776</v>
      </c>
      <c r="H1935" s="6">
        <v>0</v>
      </c>
      <c r="I1935" s="6"/>
      <c r="J1935" s="1257" t="s">
        <v>1776</v>
      </c>
      <c r="K1935" s="251">
        <f>SUMIF('alb A - Staff Report'!A:A,J1935,'alb A - Staff Report'!B:B)</f>
        <v>0</v>
      </c>
      <c r="L1935" s="266"/>
      <c r="M1935" s="2"/>
      <c r="N1935" s="273">
        <f t="shared" si="1185"/>
        <v>0</v>
      </c>
      <c r="O1935" s="12"/>
      <c r="P1935" s="12"/>
      <c r="Q1935" s="12"/>
      <c r="R1935" s="12"/>
      <c r="S1935" s="6">
        <f t="shared" si="1186"/>
        <v>0</v>
      </c>
      <c r="T1935" s="273">
        <f t="shared" si="1187"/>
        <v>0</v>
      </c>
      <c r="U1935" s="6"/>
      <c r="V1935" s="6"/>
      <c r="W1935" s="6">
        <f t="shared" si="1167"/>
        <v>0</v>
      </c>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X1935" s="6"/>
      <c r="AY1935" s="6">
        <f>ROUND(AX1935/1000/Update!$B$31*Update!$B$27,0)</f>
        <v>0</v>
      </c>
      <c r="BA1935" s="6"/>
      <c r="BB1935" s="6">
        <f>ROUND(BA1935/1000/Update!$B$31,0)</f>
        <v>0</v>
      </c>
      <c r="BC1935" s="6"/>
      <c r="BD1935" s="6">
        <f t="shared" si="1190"/>
        <v>0</v>
      </c>
      <c r="BE1935" s="322"/>
      <c r="BF1935" s="322"/>
      <c r="BG1935" s="322"/>
      <c r="BH1935" s="322"/>
      <c r="BI1935" s="322"/>
      <c r="BJ1935" s="322"/>
      <c r="BK1935" s="6">
        <f t="shared" si="1182"/>
        <v>0</v>
      </c>
      <c r="BL1935" s="322"/>
      <c r="BM1935" s="322"/>
      <c r="BN1935" s="322"/>
      <c r="BO1935" s="322"/>
      <c r="BP1935" s="322"/>
      <c r="BQ1935" s="322"/>
      <c r="BR1935" s="322"/>
      <c r="BS1935" s="322"/>
      <c r="BT1935" s="322"/>
      <c r="BU1935" s="322"/>
      <c r="BV1935" s="322"/>
      <c r="BW1935" s="322"/>
      <c r="BX1935" s="322"/>
      <c r="BY1935" s="322"/>
      <c r="BZ1935" s="322"/>
      <c r="CA1935" s="322"/>
      <c r="CB1935" s="322"/>
      <c r="CC1935" s="322"/>
      <c r="CD1935" s="322"/>
      <c r="CE1935" s="322"/>
      <c r="CF1935" s="322"/>
      <c r="CG1935" s="322"/>
      <c r="CH1935" s="322"/>
      <c r="CI1935" s="322"/>
      <c r="CM1935" s="1139">
        <f t="shared" si="1189"/>
        <v>0</v>
      </c>
      <c r="CN1935" s="1139">
        <v>0</v>
      </c>
      <c r="CP1935" s="923">
        <f t="shared" si="1188"/>
        <v>0</v>
      </c>
      <c r="CZ1935" s="330"/>
    </row>
    <row r="1936" spans="1:104" ht="15" customHeight="1" x14ac:dyDescent="0.25">
      <c r="A1936" s="684">
        <f>MAX($A$6:A1935)+1</f>
        <v>1936</v>
      </c>
      <c r="B1936" s="1060">
        <f t="shared" si="1183"/>
        <v>51</v>
      </c>
      <c r="C1936" s="292" t="str">
        <f t="shared" si="1184"/>
        <v>Staff Report</v>
      </c>
      <c r="D1936" s="11" t="s">
        <v>1755</v>
      </c>
      <c r="E1936" s="7" t="s">
        <v>1777</v>
      </c>
      <c r="F1936" s="7"/>
      <c r="G1936" s="1254" t="s">
        <v>1777</v>
      </c>
      <c r="H1936" s="6">
        <v>0</v>
      </c>
      <c r="I1936" s="6"/>
      <c r="J1936" s="1257" t="s">
        <v>1777</v>
      </c>
      <c r="K1936" s="251">
        <f>SUMIF('alb A - Staff Report'!A:A,J1936,'alb A - Staff Report'!B:B)</f>
        <v>0</v>
      </c>
      <c r="L1936" s="266"/>
      <c r="M1936" s="2"/>
      <c r="N1936" s="273">
        <f t="shared" si="1185"/>
        <v>0</v>
      </c>
      <c r="O1936" s="12"/>
      <c r="P1936" s="12"/>
      <c r="Q1936" s="12"/>
      <c r="R1936" s="12"/>
      <c r="S1936" s="6">
        <f t="shared" si="1186"/>
        <v>0</v>
      </c>
      <c r="T1936" s="273">
        <f t="shared" si="1187"/>
        <v>0</v>
      </c>
      <c r="U1936" s="6"/>
      <c r="V1936" s="6"/>
      <c r="W1936" s="6">
        <f t="shared" si="1167"/>
        <v>0</v>
      </c>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X1936" s="6"/>
      <c r="AY1936" s="6">
        <f>ROUND(AX1936/1000/Update!$B$31*Update!$B$27,0)</f>
        <v>0</v>
      </c>
      <c r="BA1936" s="6"/>
      <c r="BB1936" s="6">
        <f>ROUND(BA1936/1000/Update!$B$31,0)</f>
        <v>0</v>
      </c>
      <c r="BC1936" s="6"/>
      <c r="BD1936" s="6">
        <f t="shared" si="1190"/>
        <v>0</v>
      </c>
      <c r="BE1936" s="322"/>
      <c r="BF1936" s="322"/>
      <c r="BG1936" s="322"/>
      <c r="BH1936" s="322"/>
      <c r="BI1936" s="322"/>
      <c r="BJ1936" s="322"/>
      <c r="BK1936" s="6">
        <f t="shared" si="1182"/>
        <v>0</v>
      </c>
      <c r="BL1936" s="322"/>
      <c r="BM1936" s="322"/>
      <c r="BN1936" s="322"/>
      <c r="BO1936" s="322"/>
      <c r="BP1936" s="322"/>
      <c r="BQ1936" s="322"/>
      <c r="BR1936" s="322"/>
      <c r="BS1936" s="322"/>
      <c r="BT1936" s="322"/>
      <c r="BU1936" s="322"/>
      <c r="BV1936" s="322"/>
      <c r="BW1936" s="322"/>
      <c r="BX1936" s="322"/>
      <c r="BY1936" s="322"/>
      <c r="BZ1936" s="322"/>
      <c r="CA1936" s="322"/>
      <c r="CB1936" s="322"/>
      <c r="CC1936" s="322"/>
      <c r="CD1936" s="322"/>
      <c r="CE1936" s="322"/>
      <c r="CF1936" s="322"/>
      <c r="CG1936" s="322"/>
      <c r="CH1936" s="322"/>
      <c r="CI1936" s="322"/>
      <c r="CM1936" s="1139">
        <f t="shared" si="1189"/>
        <v>0</v>
      </c>
      <c r="CN1936" s="1139">
        <v>0</v>
      </c>
      <c r="CP1936" s="923">
        <f t="shared" si="1188"/>
        <v>0</v>
      </c>
      <c r="CZ1936" s="330"/>
    </row>
    <row r="1937" spans="1:104" ht="15" customHeight="1" x14ac:dyDescent="0.25">
      <c r="A1937" s="684">
        <f>MAX($A$6:A1936)+1</f>
        <v>1937</v>
      </c>
      <c r="B1937" s="1060">
        <f>B1918</f>
        <v>51</v>
      </c>
      <c r="C1937" s="292" t="str">
        <f t="shared" ref="C1937:C1944" si="1191">C1936</f>
        <v>Staff Report</v>
      </c>
      <c r="D1937" s="11" t="s">
        <v>1755</v>
      </c>
      <c r="E1937" s="7" t="s">
        <v>1778</v>
      </c>
      <c r="F1937" s="7"/>
      <c r="G1937" s="1254" t="s">
        <v>1778</v>
      </c>
      <c r="H1937" s="6">
        <v>0</v>
      </c>
      <c r="I1937" s="6"/>
      <c r="J1937" s="1257" t="s">
        <v>1778</v>
      </c>
      <c r="K1937" s="251">
        <f>SUMIF('alb A - Staff Report'!A:A,J1937,'alb A - Staff Report'!B:B)</f>
        <v>0</v>
      </c>
      <c r="L1937" s="266"/>
      <c r="M1937" s="2"/>
      <c r="N1937" s="273">
        <f t="shared" ref="N1937:N1944" si="1192">ROUND(SUM(O1937:AU1937)-T1937,0)</f>
        <v>0</v>
      </c>
      <c r="O1937" s="12"/>
      <c r="P1937" s="12"/>
      <c r="Q1937" s="12"/>
      <c r="R1937" s="12"/>
      <c r="S1937" s="6">
        <f t="shared" ref="S1937:S1944" si="1193">-IF(ISNUMBER(BD1937),BD1937,0)</f>
        <v>0</v>
      </c>
      <c r="T1937" s="273">
        <f t="shared" ref="T1937:T1944" si="1194">ROUND(SUM(U1937:Y1937),0)</f>
        <v>0</v>
      </c>
      <c r="U1937" s="6"/>
      <c r="V1937" s="6"/>
      <c r="W1937" s="6">
        <f t="shared" si="1167"/>
        <v>0</v>
      </c>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X1937" s="6"/>
      <c r="AY1937" s="6">
        <f>ROUND(AX1937/1000/Update!$B$31*Update!$B$27,0)</f>
        <v>0</v>
      </c>
      <c r="BA1937" s="6"/>
      <c r="BB1937" s="6">
        <f>ROUND(BA1937/1000/Update!$B$31,0)</f>
        <v>0</v>
      </c>
      <c r="BC1937" s="6"/>
      <c r="BD1937" s="6">
        <f t="shared" si="1190"/>
        <v>0</v>
      </c>
      <c r="BE1937" s="322"/>
      <c r="BF1937" s="322"/>
      <c r="BG1937" s="322"/>
      <c r="BH1937" s="322"/>
      <c r="BI1937" s="322"/>
      <c r="BJ1937" s="322"/>
      <c r="BK1937" s="6">
        <f t="shared" si="1182"/>
        <v>0</v>
      </c>
      <c r="BL1937" s="322"/>
      <c r="BM1937" s="322"/>
      <c r="BN1937" s="322"/>
      <c r="BO1937" s="322"/>
      <c r="BP1937" s="322"/>
      <c r="BQ1937" s="322"/>
      <c r="BR1937" s="322"/>
      <c r="BS1937" s="322"/>
      <c r="BT1937" s="322"/>
      <c r="BU1937" s="322"/>
      <c r="BV1937" s="322"/>
      <c r="BW1937" s="322"/>
      <c r="BX1937" s="322"/>
      <c r="BY1937" s="322"/>
      <c r="BZ1937" s="322"/>
      <c r="CA1937" s="322"/>
      <c r="CB1937" s="322"/>
      <c r="CC1937" s="322"/>
      <c r="CD1937" s="322"/>
      <c r="CE1937" s="322"/>
      <c r="CF1937" s="322"/>
      <c r="CG1937" s="322"/>
      <c r="CH1937" s="322"/>
      <c r="CI1937" s="322"/>
      <c r="CM1937" s="1139">
        <f t="shared" si="1189"/>
        <v>0</v>
      </c>
      <c r="CN1937" s="1139">
        <v>0</v>
      </c>
      <c r="CP1937" s="923">
        <f t="shared" si="1188"/>
        <v>0</v>
      </c>
      <c r="CZ1937" s="330"/>
    </row>
    <row r="1938" spans="1:104" ht="15" customHeight="1" x14ac:dyDescent="0.25">
      <c r="A1938" s="684">
        <f>MAX($A$6:A1937)+1</f>
        <v>1938</v>
      </c>
      <c r="B1938" s="1060">
        <f t="shared" ref="B1938:B1944" si="1195">B1937</f>
        <v>51</v>
      </c>
      <c r="C1938" s="292" t="str">
        <f t="shared" si="1191"/>
        <v>Staff Report</v>
      </c>
      <c r="D1938" s="11" t="s">
        <v>1755</v>
      </c>
      <c r="E1938" s="7" t="s">
        <v>1779</v>
      </c>
      <c r="F1938" s="7"/>
      <c r="G1938" s="1254" t="s">
        <v>1779</v>
      </c>
      <c r="H1938" s="6">
        <v>0</v>
      </c>
      <c r="I1938" s="6"/>
      <c r="J1938" s="1257" t="s">
        <v>1779</v>
      </c>
      <c r="K1938" s="251">
        <f>SUMIF('alb A - Staff Report'!A:A,J1938,'alb A - Staff Report'!B:B)</f>
        <v>0</v>
      </c>
      <c r="L1938" s="266"/>
      <c r="M1938" s="2"/>
      <c r="N1938" s="273">
        <f t="shared" si="1192"/>
        <v>0</v>
      </c>
      <c r="O1938" s="12"/>
      <c r="P1938" s="12"/>
      <c r="Q1938" s="12"/>
      <c r="R1938" s="12"/>
      <c r="S1938" s="6">
        <f t="shared" si="1193"/>
        <v>0</v>
      </c>
      <c r="T1938" s="273">
        <f t="shared" si="1194"/>
        <v>0</v>
      </c>
      <c r="U1938" s="6"/>
      <c r="V1938" s="6"/>
      <c r="W1938" s="6">
        <f t="shared" si="1167"/>
        <v>0</v>
      </c>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X1938" s="6"/>
      <c r="AY1938" s="6">
        <f>ROUND(AX1938/1000/Update!$B$31*Update!$B$27,0)</f>
        <v>0</v>
      </c>
      <c r="BA1938" s="6"/>
      <c r="BB1938" s="6">
        <f>ROUND(BA1938/1000/Update!$B$31,0)</f>
        <v>0</v>
      </c>
      <c r="BC1938" s="6"/>
      <c r="BD1938" s="6">
        <f t="shared" si="1190"/>
        <v>0</v>
      </c>
      <c r="BE1938" s="322"/>
      <c r="BF1938" s="322"/>
      <c r="BG1938" s="322"/>
      <c r="BH1938" s="322"/>
      <c r="BI1938" s="322"/>
      <c r="BJ1938" s="322"/>
      <c r="BK1938" s="6">
        <f t="shared" si="1182"/>
        <v>0</v>
      </c>
      <c r="BL1938" s="322"/>
      <c r="BM1938" s="322"/>
      <c r="BN1938" s="322"/>
      <c r="BO1938" s="322"/>
      <c r="BP1938" s="322"/>
      <c r="BQ1938" s="322"/>
      <c r="BR1938" s="322"/>
      <c r="BS1938" s="322"/>
      <c r="BT1938" s="322"/>
      <c r="BU1938" s="322"/>
      <c r="BV1938" s="322"/>
      <c r="BW1938" s="322"/>
      <c r="BX1938" s="322"/>
      <c r="BY1938" s="322"/>
      <c r="BZ1938" s="322"/>
      <c r="CA1938" s="322"/>
      <c r="CB1938" s="322"/>
      <c r="CC1938" s="322"/>
      <c r="CD1938" s="322"/>
      <c r="CE1938" s="322"/>
      <c r="CF1938" s="322"/>
      <c r="CG1938" s="322"/>
      <c r="CH1938" s="322"/>
      <c r="CI1938" s="322"/>
      <c r="CM1938" s="1139">
        <f t="shared" si="1189"/>
        <v>0</v>
      </c>
      <c r="CN1938" s="1139">
        <v>0</v>
      </c>
      <c r="CP1938" s="923">
        <f t="shared" si="1188"/>
        <v>0</v>
      </c>
      <c r="CZ1938" s="330"/>
    </row>
    <row r="1939" spans="1:104" ht="15" customHeight="1" x14ac:dyDescent="0.25">
      <c r="A1939" s="684">
        <f>MAX($A$6:A1938)+1</f>
        <v>1939</v>
      </c>
      <c r="B1939" s="1060">
        <f t="shared" si="1195"/>
        <v>51</v>
      </c>
      <c r="C1939" s="292" t="str">
        <f t="shared" si="1191"/>
        <v>Staff Report</v>
      </c>
      <c r="D1939" s="11" t="s">
        <v>1755</v>
      </c>
      <c r="E1939" s="7" t="s">
        <v>1780</v>
      </c>
      <c r="F1939" s="7"/>
      <c r="G1939" s="1254" t="s">
        <v>1780</v>
      </c>
      <c r="H1939" s="6">
        <v>0</v>
      </c>
      <c r="I1939" s="6"/>
      <c r="J1939" s="1257" t="s">
        <v>1780</v>
      </c>
      <c r="K1939" s="251">
        <f>SUMIF('alb A - Staff Report'!A:A,J1939,'alb A - Staff Report'!B:B)</f>
        <v>0</v>
      </c>
      <c r="L1939" s="266"/>
      <c r="M1939" s="2"/>
      <c r="N1939" s="273">
        <f t="shared" si="1192"/>
        <v>0</v>
      </c>
      <c r="O1939" s="12"/>
      <c r="P1939" s="12"/>
      <c r="Q1939" s="12"/>
      <c r="R1939" s="12"/>
      <c r="S1939" s="6">
        <f t="shared" si="1193"/>
        <v>0</v>
      </c>
      <c r="T1939" s="273">
        <f t="shared" si="1194"/>
        <v>0</v>
      </c>
      <c r="U1939" s="6"/>
      <c r="V1939" s="6"/>
      <c r="W1939" s="6">
        <f t="shared" si="1167"/>
        <v>0</v>
      </c>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X1939" s="6"/>
      <c r="AY1939" s="6">
        <f>ROUND(AX1939/1000/Update!$B$31*Update!$B$27,0)</f>
        <v>0</v>
      </c>
      <c r="BA1939" s="6"/>
      <c r="BB1939" s="6">
        <f>ROUND(BA1939/1000/Update!$B$31,0)</f>
        <v>0</v>
      </c>
      <c r="BC1939" s="6"/>
      <c r="BD1939" s="6">
        <f t="shared" si="1190"/>
        <v>0</v>
      </c>
      <c r="BE1939" s="322"/>
      <c r="BF1939" s="322"/>
      <c r="BG1939" s="322"/>
      <c r="BH1939" s="322"/>
      <c r="BI1939" s="322"/>
      <c r="BJ1939" s="322"/>
      <c r="BK1939" s="6">
        <f t="shared" si="1182"/>
        <v>0</v>
      </c>
      <c r="BL1939" s="322"/>
      <c r="BM1939" s="322"/>
      <c r="BN1939" s="322"/>
      <c r="BO1939" s="322"/>
      <c r="BP1939" s="322"/>
      <c r="BQ1939" s="322"/>
      <c r="BR1939" s="322"/>
      <c r="BS1939" s="322"/>
      <c r="BT1939" s="322"/>
      <c r="BU1939" s="322"/>
      <c r="BV1939" s="322"/>
      <c r="BW1939" s="322"/>
      <c r="BX1939" s="322"/>
      <c r="BY1939" s="322"/>
      <c r="BZ1939" s="322"/>
      <c r="CA1939" s="322"/>
      <c r="CB1939" s="322"/>
      <c r="CC1939" s="322"/>
      <c r="CD1939" s="322"/>
      <c r="CE1939" s="322"/>
      <c r="CF1939" s="322"/>
      <c r="CG1939" s="322"/>
      <c r="CH1939" s="322"/>
      <c r="CI1939" s="322"/>
      <c r="CM1939" s="1139">
        <f t="shared" si="1189"/>
        <v>0</v>
      </c>
      <c r="CN1939" s="1139">
        <v>0</v>
      </c>
      <c r="CP1939" s="923">
        <f t="shared" si="1188"/>
        <v>0</v>
      </c>
      <c r="CZ1939" s="330"/>
    </row>
    <row r="1940" spans="1:104" ht="15" customHeight="1" x14ac:dyDescent="0.25">
      <c r="A1940" s="684">
        <f>MAX($A$6:A1939)+1</f>
        <v>1940</v>
      </c>
      <c r="B1940" s="1060">
        <f t="shared" si="1195"/>
        <v>51</v>
      </c>
      <c r="C1940" s="292" t="str">
        <f t="shared" si="1191"/>
        <v>Staff Report</v>
      </c>
      <c r="D1940" s="11" t="s">
        <v>1755</v>
      </c>
      <c r="E1940" s="7" t="s">
        <v>1781</v>
      </c>
      <c r="F1940" s="7"/>
      <c r="G1940" s="1254" t="s">
        <v>1781</v>
      </c>
      <c r="H1940" s="6">
        <v>0</v>
      </c>
      <c r="I1940" s="6"/>
      <c r="J1940" s="1257" t="s">
        <v>1781</v>
      </c>
      <c r="K1940" s="251">
        <f>SUMIF('alb A - Staff Report'!A:A,J1940,'alb A - Staff Report'!B:B)</f>
        <v>0</v>
      </c>
      <c r="L1940" s="266"/>
      <c r="M1940" s="2"/>
      <c r="N1940" s="273">
        <f t="shared" si="1192"/>
        <v>0</v>
      </c>
      <c r="O1940" s="12"/>
      <c r="P1940" s="12"/>
      <c r="Q1940" s="12"/>
      <c r="R1940" s="12"/>
      <c r="S1940" s="6">
        <f t="shared" si="1193"/>
        <v>0</v>
      </c>
      <c r="T1940" s="273">
        <f t="shared" si="1194"/>
        <v>0</v>
      </c>
      <c r="U1940" s="6"/>
      <c r="V1940" s="6"/>
      <c r="W1940" s="6">
        <f t="shared" si="1167"/>
        <v>0</v>
      </c>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X1940" s="6"/>
      <c r="AY1940" s="6">
        <f>ROUND(AX1940/1000/Update!$B$31*Update!$B$27,0)</f>
        <v>0</v>
      </c>
      <c r="BA1940" s="6"/>
      <c r="BB1940" s="6">
        <f>ROUND(BA1940/1000/Update!$B$31,0)</f>
        <v>0</v>
      </c>
      <c r="BC1940" s="6"/>
      <c r="BD1940" s="6">
        <f t="shared" si="1190"/>
        <v>0</v>
      </c>
      <c r="BE1940" s="322"/>
      <c r="BF1940" s="322"/>
      <c r="BG1940" s="322"/>
      <c r="BH1940" s="322"/>
      <c r="BI1940" s="322"/>
      <c r="BJ1940" s="322"/>
      <c r="BK1940" s="6">
        <f t="shared" si="1182"/>
        <v>0</v>
      </c>
      <c r="BL1940" s="322"/>
      <c r="BM1940" s="322"/>
      <c r="BN1940" s="322"/>
      <c r="BO1940" s="322"/>
      <c r="BP1940" s="322"/>
      <c r="BQ1940" s="322"/>
      <c r="BR1940" s="322"/>
      <c r="BS1940" s="322"/>
      <c r="BT1940" s="322"/>
      <c r="BU1940" s="322"/>
      <c r="BV1940" s="322"/>
      <c r="BW1940" s="322"/>
      <c r="BX1940" s="322"/>
      <c r="BY1940" s="322"/>
      <c r="BZ1940" s="322"/>
      <c r="CA1940" s="322"/>
      <c r="CB1940" s="322"/>
      <c r="CC1940" s="322"/>
      <c r="CD1940" s="322"/>
      <c r="CE1940" s="322"/>
      <c r="CF1940" s="322"/>
      <c r="CG1940" s="322"/>
      <c r="CH1940" s="322"/>
      <c r="CI1940" s="322"/>
      <c r="CM1940" s="1139">
        <f t="shared" si="1189"/>
        <v>0</v>
      </c>
      <c r="CN1940" s="1139">
        <v>0</v>
      </c>
      <c r="CP1940" s="923">
        <f t="shared" si="1188"/>
        <v>0</v>
      </c>
      <c r="CZ1940" s="330"/>
    </row>
    <row r="1941" spans="1:104" ht="15" customHeight="1" x14ac:dyDescent="0.25">
      <c r="A1941" s="684">
        <f>MAX($A$6:A1940)+1</f>
        <v>1941</v>
      </c>
      <c r="B1941" s="1060">
        <f t="shared" si="1195"/>
        <v>51</v>
      </c>
      <c r="C1941" s="292" t="str">
        <f t="shared" si="1191"/>
        <v>Staff Report</v>
      </c>
      <c r="D1941" s="11" t="s">
        <v>1755</v>
      </c>
      <c r="E1941" s="7" t="s">
        <v>1782</v>
      </c>
      <c r="F1941" s="7"/>
      <c r="G1941" s="1254" t="s">
        <v>1782</v>
      </c>
      <c r="H1941" s="6">
        <v>0</v>
      </c>
      <c r="I1941" s="6"/>
      <c r="J1941" s="1257" t="s">
        <v>1782</v>
      </c>
      <c r="K1941" s="251">
        <f>SUMIF('alb A - Staff Report'!A:A,J1941,'alb A - Staff Report'!B:B)</f>
        <v>0</v>
      </c>
      <c r="L1941" s="266"/>
      <c r="M1941" s="2"/>
      <c r="N1941" s="273">
        <f t="shared" si="1192"/>
        <v>0</v>
      </c>
      <c r="O1941" s="12"/>
      <c r="P1941" s="12"/>
      <c r="Q1941" s="12"/>
      <c r="R1941" s="12"/>
      <c r="S1941" s="6">
        <f t="shared" si="1193"/>
        <v>0</v>
      </c>
      <c r="T1941" s="273">
        <f t="shared" si="1194"/>
        <v>0</v>
      </c>
      <c r="U1941" s="6"/>
      <c r="V1941" s="6"/>
      <c r="W1941" s="6">
        <f t="shared" ref="W1941:W1963" si="1196">+H1941</f>
        <v>0</v>
      </c>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X1941" s="6"/>
      <c r="AY1941" s="6">
        <f>ROUND(AX1941/1000/Update!$B$31*Update!$B$27,0)</f>
        <v>0</v>
      </c>
      <c r="BA1941" s="6"/>
      <c r="BB1941" s="6">
        <f>ROUND(BA1941/1000/Update!$B$31,0)</f>
        <v>0</v>
      </c>
      <c r="BC1941" s="6"/>
      <c r="BD1941" s="6">
        <f t="shared" si="1190"/>
        <v>0</v>
      </c>
      <c r="BE1941" s="322"/>
      <c r="BF1941" s="322"/>
      <c r="BG1941" s="322"/>
      <c r="BH1941" s="322"/>
      <c r="BI1941" s="322"/>
      <c r="BJ1941" s="322"/>
      <c r="BK1941" s="6">
        <f t="shared" si="1182"/>
        <v>0</v>
      </c>
      <c r="BL1941" s="322"/>
      <c r="BM1941" s="322"/>
      <c r="BN1941" s="322"/>
      <c r="BO1941" s="322"/>
      <c r="BP1941" s="322"/>
      <c r="BQ1941" s="322"/>
      <c r="BR1941" s="322"/>
      <c r="BS1941" s="322"/>
      <c r="BT1941" s="322"/>
      <c r="BU1941" s="322"/>
      <c r="BV1941" s="322"/>
      <c r="BW1941" s="322"/>
      <c r="BX1941" s="322"/>
      <c r="BY1941" s="322"/>
      <c r="BZ1941" s="322"/>
      <c r="CA1941" s="322"/>
      <c r="CB1941" s="322"/>
      <c r="CC1941" s="322"/>
      <c r="CD1941" s="322"/>
      <c r="CE1941" s="322"/>
      <c r="CF1941" s="322"/>
      <c r="CG1941" s="322"/>
      <c r="CH1941" s="322"/>
      <c r="CI1941" s="322"/>
      <c r="CM1941" s="1139">
        <f t="shared" si="1189"/>
        <v>0</v>
      </c>
      <c r="CN1941" s="1139">
        <v>0</v>
      </c>
      <c r="CP1941" s="923">
        <f t="shared" si="1188"/>
        <v>0</v>
      </c>
      <c r="CZ1941" s="330"/>
    </row>
    <row r="1942" spans="1:104" ht="15" customHeight="1" x14ac:dyDescent="0.25">
      <c r="A1942" s="684">
        <f>MAX($A$6:A1941)+1</f>
        <v>1942</v>
      </c>
      <c r="B1942" s="1060">
        <f t="shared" si="1195"/>
        <v>51</v>
      </c>
      <c r="C1942" s="292" t="str">
        <f t="shared" si="1191"/>
        <v>Staff Report</v>
      </c>
      <c r="D1942" s="11" t="s">
        <v>1755</v>
      </c>
      <c r="E1942" s="7" t="s">
        <v>1783</v>
      </c>
      <c r="F1942" s="7"/>
      <c r="G1942" s="1254" t="s">
        <v>1783</v>
      </c>
      <c r="H1942" s="6">
        <v>0</v>
      </c>
      <c r="I1942" s="6"/>
      <c r="J1942" s="1257" t="s">
        <v>1783</v>
      </c>
      <c r="K1942" s="251">
        <f>SUMIF('alb A - Staff Report'!A:A,J1942,'alb A - Staff Report'!B:B)</f>
        <v>0</v>
      </c>
      <c r="L1942" s="266"/>
      <c r="M1942" s="2"/>
      <c r="N1942" s="273">
        <f t="shared" si="1192"/>
        <v>0</v>
      </c>
      <c r="O1942" s="12"/>
      <c r="P1942" s="12"/>
      <c r="Q1942" s="12"/>
      <c r="R1942" s="12"/>
      <c r="S1942" s="6">
        <f t="shared" si="1193"/>
        <v>0</v>
      </c>
      <c r="T1942" s="273">
        <f t="shared" si="1194"/>
        <v>0</v>
      </c>
      <c r="U1942" s="6"/>
      <c r="V1942" s="6"/>
      <c r="W1942" s="6">
        <f t="shared" si="1196"/>
        <v>0</v>
      </c>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X1942" s="6"/>
      <c r="AY1942" s="6">
        <f>ROUND(AX1942/1000/Update!$B$31*Update!$B$27,0)</f>
        <v>0</v>
      </c>
      <c r="BA1942" s="6"/>
      <c r="BB1942" s="6">
        <f>ROUND(BA1942/1000/Update!$B$31,0)</f>
        <v>0</v>
      </c>
      <c r="BC1942" s="6"/>
      <c r="BD1942" s="6">
        <f t="shared" si="1190"/>
        <v>0</v>
      </c>
      <c r="BE1942" s="322"/>
      <c r="BF1942" s="322"/>
      <c r="BG1942" s="322"/>
      <c r="BH1942" s="322"/>
      <c r="BI1942" s="322"/>
      <c r="BJ1942" s="322"/>
      <c r="BK1942" s="6">
        <f t="shared" si="1182"/>
        <v>0</v>
      </c>
      <c r="BL1942" s="322"/>
      <c r="BM1942" s="322"/>
      <c r="BN1942" s="322"/>
      <c r="BO1942" s="322"/>
      <c r="BP1942" s="322"/>
      <c r="BQ1942" s="322"/>
      <c r="BR1942" s="322"/>
      <c r="BS1942" s="322"/>
      <c r="BT1942" s="322"/>
      <c r="BU1942" s="322"/>
      <c r="BV1942" s="322"/>
      <c r="BW1942" s="322"/>
      <c r="BX1942" s="322"/>
      <c r="BY1942" s="322"/>
      <c r="BZ1942" s="322"/>
      <c r="CA1942" s="322"/>
      <c r="CB1942" s="322"/>
      <c r="CC1942" s="322"/>
      <c r="CD1942" s="322"/>
      <c r="CE1942" s="322"/>
      <c r="CF1942" s="322"/>
      <c r="CG1942" s="322"/>
      <c r="CH1942" s="322"/>
      <c r="CI1942" s="322"/>
      <c r="CM1942" s="1139">
        <f t="shared" si="1189"/>
        <v>0</v>
      </c>
      <c r="CN1942" s="1139">
        <v>0</v>
      </c>
      <c r="CP1942" s="923">
        <f t="shared" si="1188"/>
        <v>0</v>
      </c>
      <c r="CZ1942" s="330"/>
    </row>
    <row r="1943" spans="1:104" ht="15" customHeight="1" x14ac:dyDescent="0.25">
      <c r="A1943" s="684">
        <f>MAX($A$6:A1942)+1</f>
        <v>1943</v>
      </c>
      <c r="B1943" s="1060">
        <f t="shared" si="1195"/>
        <v>51</v>
      </c>
      <c r="C1943" s="292" t="str">
        <f t="shared" si="1191"/>
        <v>Staff Report</v>
      </c>
      <c r="D1943" s="11" t="s">
        <v>1755</v>
      </c>
      <c r="E1943" s="7" t="s">
        <v>1784</v>
      </c>
      <c r="F1943" s="7"/>
      <c r="G1943" s="1254" t="s">
        <v>1784</v>
      </c>
      <c r="H1943" s="6">
        <v>0</v>
      </c>
      <c r="I1943" s="6"/>
      <c r="J1943" s="1257" t="s">
        <v>1784</v>
      </c>
      <c r="K1943" s="251">
        <f>SUMIF('alb A - Staff Report'!A:A,J1943,'alb A - Staff Report'!B:B)</f>
        <v>0</v>
      </c>
      <c r="L1943" s="266"/>
      <c r="M1943" s="2"/>
      <c r="N1943" s="273">
        <f t="shared" si="1192"/>
        <v>0</v>
      </c>
      <c r="O1943" s="12"/>
      <c r="P1943" s="12"/>
      <c r="Q1943" s="12"/>
      <c r="R1943" s="12"/>
      <c r="S1943" s="6">
        <f t="shared" si="1193"/>
        <v>0</v>
      </c>
      <c r="T1943" s="273">
        <f t="shared" si="1194"/>
        <v>0</v>
      </c>
      <c r="U1943" s="6"/>
      <c r="V1943" s="6"/>
      <c r="W1943" s="6">
        <f t="shared" si="1196"/>
        <v>0</v>
      </c>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X1943" s="6"/>
      <c r="AY1943" s="6">
        <f>ROUND(AX1943/1000/Update!$B$31*Update!$B$27,0)</f>
        <v>0</v>
      </c>
      <c r="BA1943" s="6"/>
      <c r="BB1943" s="6">
        <f>ROUND(BA1943/1000/Update!$B$31,0)</f>
        <v>0</v>
      </c>
      <c r="BC1943" s="6"/>
      <c r="BD1943" s="6">
        <f t="shared" si="1190"/>
        <v>0</v>
      </c>
      <c r="BE1943" s="322"/>
      <c r="BF1943" s="322"/>
      <c r="BG1943" s="322"/>
      <c r="BH1943" s="322"/>
      <c r="BI1943" s="322"/>
      <c r="BJ1943" s="322"/>
      <c r="BK1943" s="6">
        <f t="shared" si="1182"/>
        <v>0</v>
      </c>
      <c r="BL1943" s="317"/>
      <c r="BM1943" s="317"/>
      <c r="BN1943" s="317"/>
      <c r="BO1943" s="317"/>
      <c r="BP1943" s="322"/>
      <c r="BQ1943" s="317"/>
      <c r="BR1943" s="317"/>
      <c r="BS1943" s="322"/>
      <c r="BT1943" s="317"/>
      <c r="BU1943" s="317"/>
      <c r="BV1943" s="317"/>
      <c r="BW1943" s="317"/>
      <c r="BX1943" s="317"/>
      <c r="BY1943" s="317"/>
      <c r="BZ1943" s="317"/>
      <c r="CA1943" s="317"/>
      <c r="CB1943" s="317"/>
      <c r="CC1943" s="322"/>
      <c r="CD1943" s="322"/>
      <c r="CE1943" s="322"/>
      <c r="CF1943" s="322"/>
      <c r="CG1943" s="322"/>
      <c r="CH1943" s="322"/>
      <c r="CI1943" s="317"/>
      <c r="CM1943" s="1139">
        <f t="shared" si="1189"/>
        <v>0</v>
      </c>
      <c r="CN1943" s="1139">
        <v>0</v>
      </c>
      <c r="CP1943" s="923">
        <f t="shared" si="1188"/>
        <v>0</v>
      </c>
      <c r="CZ1943" s="330"/>
    </row>
    <row r="1944" spans="1:104" ht="15" customHeight="1" x14ac:dyDescent="0.25">
      <c r="A1944" s="684">
        <f>MAX($A$6:A1943)+1</f>
        <v>1944</v>
      </c>
      <c r="B1944" s="1060">
        <f t="shared" si="1195"/>
        <v>51</v>
      </c>
      <c r="C1944" s="292" t="str">
        <f t="shared" si="1191"/>
        <v>Staff Report</v>
      </c>
      <c r="D1944" s="11" t="s">
        <v>1755</v>
      </c>
      <c r="E1944" s="7" t="s">
        <v>1785</v>
      </c>
      <c r="F1944" s="7"/>
      <c r="G1944" s="1254" t="s">
        <v>1785</v>
      </c>
      <c r="H1944" s="6">
        <v>0</v>
      </c>
      <c r="I1944" s="6"/>
      <c r="J1944" s="1257" t="s">
        <v>1785</v>
      </c>
      <c r="K1944" s="251">
        <f>SUMIF('alb A - Staff Report'!A:A,J1944,'alb A - Staff Report'!B:B)</f>
        <v>0</v>
      </c>
      <c r="L1944" s="266"/>
      <c r="M1944" s="2"/>
      <c r="N1944" s="273">
        <f t="shared" si="1192"/>
        <v>0</v>
      </c>
      <c r="O1944" s="12"/>
      <c r="P1944" s="12"/>
      <c r="Q1944" s="12"/>
      <c r="R1944" s="12"/>
      <c r="S1944" s="6">
        <f t="shared" si="1193"/>
        <v>0</v>
      </c>
      <c r="T1944" s="273">
        <f t="shared" si="1194"/>
        <v>0</v>
      </c>
      <c r="U1944" s="6"/>
      <c r="V1944" s="6"/>
      <c r="W1944" s="6">
        <f t="shared" si="1196"/>
        <v>0</v>
      </c>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X1944" s="6"/>
      <c r="AY1944" s="6">
        <f>ROUND(AX1944/1000/Update!$B$31*Update!$B$27,0)</f>
        <v>0</v>
      </c>
      <c r="BA1944" s="6"/>
      <c r="BB1944" s="6">
        <f>ROUND(BA1944/1000/Update!$B$31,0)</f>
        <v>0</v>
      </c>
      <c r="BC1944" s="6"/>
      <c r="BD1944" s="6">
        <f t="shared" si="1190"/>
        <v>0</v>
      </c>
      <c r="BE1944" s="322"/>
      <c r="BF1944" s="322"/>
      <c r="BG1944" s="322"/>
      <c r="BH1944" s="322"/>
      <c r="BI1944" s="322"/>
      <c r="BJ1944" s="322"/>
      <c r="BK1944" s="6">
        <f t="shared" si="1182"/>
        <v>0</v>
      </c>
      <c r="BL1944" s="317"/>
      <c r="BM1944" s="317"/>
      <c r="BN1944" s="317"/>
      <c r="BO1944" s="317"/>
      <c r="BP1944" s="322"/>
      <c r="BQ1944" s="317"/>
      <c r="BR1944" s="317"/>
      <c r="BS1944" s="322"/>
      <c r="BT1944" s="317"/>
      <c r="BU1944" s="317"/>
      <c r="BV1944" s="317"/>
      <c r="BW1944" s="317"/>
      <c r="BX1944" s="317"/>
      <c r="BY1944" s="317"/>
      <c r="BZ1944" s="317"/>
      <c r="CA1944" s="317"/>
      <c r="CB1944" s="317"/>
      <c r="CC1944" s="322"/>
      <c r="CD1944" s="322"/>
      <c r="CE1944" s="322"/>
      <c r="CF1944" s="322"/>
      <c r="CG1944" s="322"/>
      <c r="CH1944" s="322"/>
      <c r="CI1944" s="317"/>
      <c r="CM1944" s="1139">
        <f t="shared" si="1189"/>
        <v>0</v>
      </c>
      <c r="CN1944" s="1139">
        <v>0</v>
      </c>
      <c r="CP1944" s="923">
        <f t="shared" si="1188"/>
        <v>0</v>
      </c>
      <c r="CZ1944" s="330"/>
    </row>
    <row r="1945" spans="1:104" ht="15" customHeight="1" x14ac:dyDescent="0.25">
      <c r="A1945" s="684">
        <f>MAX($A$6:A1944)+1</f>
        <v>1945</v>
      </c>
      <c r="B1945" s="1060">
        <f t="shared" ref="B1945:B1952" si="1197">B1926</f>
        <v>51</v>
      </c>
      <c r="C1945" s="292" t="str">
        <f>C1932</f>
        <v>Staff Report</v>
      </c>
      <c r="D1945" s="11" t="s">
        <v>1755</v>
      </c>
      <c r="E1945" s="7" t="s">
        <v>1786</v>
      </c>
      <c r="F1945" s="2"/>
      <c r="G1945" s="1254" t="s">
        <v>1786</v>
      </c>
      <c r="H1945" s="6">
        <v>0</v>
      </c>
      <c r="I1945" s="6"/>
      <c r="J1945" s="1257" t="s">
        <v>1786</v>
      </c>
      <c r="K1945" s="251">
        <f>SUMIF('alb A - Staff Report'!A:A,J1945,'alb A - Staff Report'!B:B)</f>
        <v>0</v>
      </c>
      <c r="L1945" s="266"/>
      <c r="M1945" s="2"/>
      <c r="N1945" s="273">
        <f t="shared" ref="N1945:N1962" si="1198">ROUND(SUM(O1945:AU1945)-T1945,0)</f>
        <v>0</v>
      </c>
      <c r="O1945" s="12"/>
      <c r="P1945" s="12"/>
      <c r="Q1945" s="12"/>
      <c r="R1945" s="12"/>
      <c r="S1945" s="6">
        <f t="shared" ref="S1945:S1962" si="1199">-IF(ISNUMBER(BD1945),BD1945,0)</f>
        <v>0</v>
      </c>
      <c r="T1945" s="273">
        <f t="shared" ref="T1945:T1962" si="1200">ROUND(SUM(U1945:Y1945),0)</f>
        <v>0</v>
      </c>
      <c r="U1945" s="6"/>
      <c r="V1945" s="6"/>
      <c r="W1945" s="6">
        <f t="shared" si="1196"/>
        <v>0</v>
      </c>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X1945" s="6"/>
      <c r="AY1945" s="6">
        <f>ROUND(AX1945/1000/Update!$B$31*Update!$B$27,0)</f>
        <v>0</v>
      </c>
      <c r="BA1945" s="6"/>
      <c r="BB1945" s="6">
        <f>ROUND(BA1945/1000/Update!$B$31,0)</f>
        <v>0</v>
      </c>
      <c r="BC1945" s="6"/>
      <c r="BD1945" s="6">
        <f t="shared" ref="BD1945:BD1962" si="1201">ROUND(SUM(BE1945:BK1945),0)</f>
        <v>0</v>
      </c>
      <c r="BE1945" s="317"/>
      <c r="BF1945" s="317"/>
      <c r="BG1945" s="317"/>
      <c r="BH1945" s="317"/>
      <c r="BI1945" s="317"/>
      <c r="BJ1945" s="317"/>
      <c r="BK1945" s="6">
        <f t="shared" si="1182"/>
        <v>0</v>
      </c>
      <c r="BL1945" s="317"/>
      <c r="BM1945" s="317"/>
      <c r="BN1945" s="317"/>
      <c r="BO1945" s="317"/>
      <c r="BP1945" s="317"/>
      <c r="BQ1945" s="317"/>
      <c r="BR1945" s="317"/>
      <c r="BS1945" s="317"/>
      <c r="BT1945" s="317"/>
      <c r="BU1945" s="317"/>
      <c r="BV1945" s="317"/>
      <c r="BW1945" s="317"/>
      <c r="BX1945" s="317"/>
      <c r="BY1945" s="317"/>
      <c r="BZ1945" s="317"/>
      <c r="CA1945" s="317"/>
      <c r="CB1945" s="317"/>
      <c r="CC1945" s="317"/>
      <c r="CD1945" s="317"/>
      <c r="CE1945" s="317"/>
      <c r="CF1945" s="317"/>
      <c r="CG1945" s="317"/>
      <c r="CH1945" s="317"/>
      <c r="CI1945" s="317"/>
      <c r="CM1945" s="1139">
        <f t="shared" si="1189"/>
        <v>0</v>
      </c>
      <c r="CN1945" s="1139">
        <v>0</v>
      </c>
      <c r="CP1945" s="923">
        <f t="shared" si="1188"/>
        <v>0</v>
      </c>
      <c r="CZ1945" s="330"/>
    </row>
    <row r="1946" spans="1:104" ht="15" customHeight="1" x14ac:dyDescent="0.25">
      <c r="A1946" s="684">
        <f>MAX($A$6:A1945)+1</f>
        <v>1946</v>
      </c>
      <c r="B1946" s="1060">
        <f t="shared" si="1197"/>
        <v>51</v>
      </c>
      <c r="C1946" s="292" t="str">
        <f t="shared" ref="C1946:C1952" si="1202">C1933</f>
        <v>Staff Report</v>
      </c>
      <c r="D1946" s="11" t="s">
        <v>1755</v>
      </c>
      <c r="E1946" s="7" t="s">
        <v>1914</v>
      </c>
      <c r="F1946" s="2"/>
      <c r="G1946" s="1254" t="s">
        <v>1914</v>
      </c>
      <c r="H1946" s="6">
        <v>0</v>
      </c>
      <c r="I1946" s="6"/>
      <c r="J1946" s="1257" t="s">
        <v>1914</v>
      </c>
      <c r="K1946" s="251">
        <f>SUMIF('alb A - Staff Report'!A:A,J1946,'alb A - Staff Report'!B:B)</f>
        <v>0</v>
      </c>
      <c r="L1946" s="266"/>
      <c r="M1946" s="2"/>
      <c r="N1946" s="273">
        <f t="shared" ref="N1946:N1952" si="1203">ROUND(SUM(O1946:AU1946)-T1946,0)</f>
        <v>0</v>
      </c>
      <c r="O1946" s="12"/>
      <c r="P1946" s="12"/>
      <c r="Q1946" s="12"/>
      <c r="R1946" s="12"/>
      <c r="S1946" s="6">
        <f t="shared" ref="S1946:S1952" si="1204">-IF(ISNUMBER(BD1946),BD1946,0)</f>
        <v>0</v>
      </c>
      <c r="T1946" s="273">
        <f t="shared" ref="T1946:T1952" si="1205">ROUND(SUM(U1946:Y1946),0)</f>
        <v>0</v>
      </c>
      <c r="U1946" s="6"/>
      <c r="V1946" s="6"/>
      <c r="W1946" s="6">
        <f t="shared" si="1196"/>
        <v>0</v>
      </c>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X1946" s="6"/>
      <c r="AY1946" s="6">
        <f>ROUND(AX1946/1000/Update!$B$31*Update!$B$27,0)</f>
        <v>0</v>
      </c>
      <c r="BA1946" s="6"/>
      <c r="BB1946" s="6">
        <f>ROUND(BA1946/1000/Update!$B$31,0)</f>
        <v>0</v>
      </c>
      <c r="BC1946" s="6"/>
      <c r="BD1946" s="6">
        <f t="shared" ref="BD1946:BD1952" si="1206">ROUND(SUM(BE1946:BK1946),0)</f>
        <v>0</v>
      </c>
      <c r="BE1946" s="317"/>
      <c r="BF1946" s="317"/>
      <c r="BG1946" s="317"/>
      <c r="BH1946" s="317"/>
      <c r="BI1946" s="317"/>
      <c r="BJ1946" s="317"/>
      <c r="BK1946" s="6">
        <f t="shared" si="1182"/>
        <v>0</v>
      </c>
      <c r="BL1946" s="317"/>
      <c r="BM1946" s="317"/>
      <c r="BN1946" s="317"/>
      <c r="BO1946" s="317"/>
      <c r="BP1946" s="317"/>
      <c r="BQ1946" s="317"/>
      <c r="BR1946" s="317"/>
      <c r="BS1946" s="317"/>
      <c r="BT1946" s="317"/>
      <c r="BU1946" s="317"/>
      <c r="BV1946" s="317"/>
      <c r="BW1946" s="317"/>
      <c r="BX1946" s="317"/>
      <c r="BY1946" s="317"/>
      <c r="BZ1946" s="317"/>
      <c r="CA1946" s="317"/>
      <c r="CB1946" s="317"/>
      <c r="CC1946" s="317"/>
      <c r="CD1946" s="317"/>
      <c r="CE1946" s="317"/>
      <c r="CF1946" s="317"/>
      <c r="CG1946" s="317"/>
      <c r="CH1946" s="317"/>
      <c r="CI1946" s="317"/>
      <c r="CM1946" s="1139">
        <f t="shared" si="1189"/>
        <v>0</v>
      </c>
      <c r="CN1946" s="1139">
        <v>0</v>
      </c>
      <c r="CP1946" s="923">
        <f t="shared" si="1188"/>
        <v>0</v>
      </c>
      <c r="CZ1946" s="330"/>
    </row>
    <row r="1947" spans="1:104" ht="15" customHeight="1" x14ac:dyDescent="0.25">
      <c r="A1947" s="684">
        <f>MAX($A$6:A1946)+1</f>
        <v>1947</v>
      </c>
      <c r="B1947" s="1060">
        <f t="shared" si="1197"/>
        <v>51</v>
      </c>
      <c r="C1947" s="292" t="str">
        <f t="shared" si="1202"/>
        <v>Staff Report</v>
      </c>
      <c r="D1947" s="11" t="s">
        <v>1755</v>
      </c>
      <c r="E1947" s="7" t="s">
        <v>1913</v>
      </c>
      <c r="F1947" s="2"/>
      <c r="G1947" s="1254" t="s">
        <v>1913</v>
      </c>
      <c r="H1947" s="6">
        <v>0</v>
      </c>
      <c r="I1947" s="6"/>
      <c r="J1947" s="1257" t="s">
        <v>1913</v>
      </c>
      <c r="K1947" s="251">
        <f>SUMIF('alb A - Staff Report'!A:A,J1947,'alb A - Staff Report'!B:B)</f>
        <v>0</v>
      </c>
      <c r="L1947" s="266"/>
      <c r="M1947" s="2"/>
      <c r="N1947" s="273">
        <f t="shared" si="1203"/>
        <v>0</v>
      </c>
      <c r="O1947" s="12"/>
      <c r="P1947" s="12"/>
      <c r="Q1947" s="12"/>
      <c r="R1947" s="12"/>
      <c r="S1947" s="6">
        <f t="shared" si="1204"/>
        <v>0</v>
      </c>
      <c r="T1947" s="273">
        <f t="shared" si="1205"/>
        <v>0</v>
      </c>
      <c r="U1947" s="6"/>
      <c r="V1947" s="6"/>
      <c r="W1947" s="6">
        <f t="shared" si="1196"/>
        <v>0</v>
      </c>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X1947" s="6"/>
      <c r="AY1947" s="6">
        <f>ROUND(AX1947/1000/Update!$B$31*Update!$B$27,0)</f>
        <v>0</v>
      </c>
      <c r="BA1947" s="6"/>
      <c r="BB1947" s="6">
        <f>ROUND(BA1947/1000/Update!$B$31,0)</f>
        <v>0</v>
      </c>
      <c r="BC1947" s="6"/>
      <c r="BD1947" s="6">
        <f t="shared" si="1206"/>
        <v>0</v>
      </c>
      <c r="BE1947" s="317"/>
      <c r="BF1947" s="317"/>
      <c r="BG1947" s="317"/>
      <c r="BH1947" s="317"/>
      <c r="BI1947" s="317"/>
      <c r="BJ1947" s="317"/>
      <c r="BK1947" s="6">
        <f t="shared" si="1182"/>
        <v>0</v>
      </c>
      <c r="BL1947" s="317"/>
      <c r="BM1947" s="317"/>
      <c r="BN1947" s="317"/>
      <c r="BO1947" s="317"/>
      <c r="BP1947" s="317"/>
      <c r="BQ1947" s="317"/>
      <c r="BR1947" s="317"/>
      <c r="BS1947" s="317"/>
      <c r="BT1947" s="317"/>
      <c r="BU1947" s="317"/>
      <c r="BV1947" s="317"/>
      <c r="BW1947" s="317"/>
      <c r="BX1947" s="317"/>
      <c r="BY1947" s="317"/>
      <c r="BZ1947" s="317"/>
      <c r="CA1947" s="317"/>
      <c r="CB1947" s="317"/>
      <c r="CC1947" s="317"/>
      <c r="CD1947" s="317"/>
      <c r="CE1947" s="317"/>
      <c r="CF1947" s="317"/>
      <c r="CG1947" s="317"/>
      <c r="CH1947" s="317"/>
      <c r="CI1947" s="317"/>
      <c r="CM1947" s="1139">
        <f t="shared" si="1189"/>
        <v>0</v>
      </c>
      <c r="CN1947" s="1139">
        <v>0</v>
      </c>
      <c r="CP1947" s="923">
        <f t="shared" si="1188"/>
        <v>0</v>
      </c>
      <c r="CZ1947" s="330"/>
    </row>
    <row r="1948" spans="1:104" ht="15" customHeight="1" x14ac:dyDescent="0.25">
      <c r="A1948" s="684">
        <f>MAX($A$6:A1947)+1</f>
        <v>1948</v>
      </c>
      <c r="B1948" s="1060">
        <f t="shared" si="1197"/>
        <v>51</v>
      </c>
      <c r="C1948" s="292" t="str">
        <f t="shared" si="1202"/>
        <v>Staff Report</v>
      </c>
      <c r="D1948" s="11" t="s">
        <v>1755</v>
      </c>
      <c r="E1948" s="7" t="s">
        <v>1915</v>
      </c>
      <c r="F1948" s="2"/>
      <c r="G1948" s="1254" t="s">
        <v>1915</v>
      </c>
      <c r="H1948" s="6">
        <v>0</v>
      </c>
      <c r="I1948" s="6"/>
      <c r="J1948" s="1257" t="s">
        <v>1915</v>
      </c>
      <c r="K1948" s="251">
        <f>SUMIF('alb A - Staff Report'!A:A,J1948,'alb A - Staff Report'!B:B)</f>
        <v>0</v>
      </c>
      <c r="L1948" s="266"/>
      <c r="M1948" s="2"/>
      <c r="N1948" s="273">
        <f t="shared" si="1203"/>
        <v>0</v>
      </c>
      <c r="O1948" s="12"/>
      <c r="P1948" s="12"/>
      <c r="Q1948" s="12"/>
      <c r="R1948" s="12"/>
      <c r="S1948" s="6">
        <f t="shared" si="1204"/>
        <v>0</v>
      </c>
      <c r="T1948" s="273">
        <f t="shared" si="1205"/>
        <v>0</v>
      </c>
      <c r="U1948" s="6"/>
      <c r="V1948" s="6"/>
      <c r="W1948" s="6">
        <f t="shared" si="1196"/>
        <v>0</v>
      </c>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X1948" s="6"/>
      <c r="AY1948" s="6">
        <f>ROUND(AX1948/1000/Update!$B$31*Update!$B$27,0)</f>
        <v>0</v>
      </c>
      <c r="BA1948" s="6"/>
      <c r="BB1948" s="6">
        <f>ROUND(BA1948/1000/Update!$B$31,0)</f>
        <v>0</v>
      </c>
      <c r="BC1948" s="6"/>
      <c r="BD1948" s="6">
        <f t="shared" si="1206"/>
        <v>0</v>
      </c>
      <c r="BE1948" s="317"/>
      <c r="BF1948" s="317"/>
      <c r="BG1948" s="317"/>
      <c r="BH1948" s="317"/>
      <c r="BI1948" s="317"/>
      <c r="BJ1948" s="317"/>
      <c r="BK1948" s="6">
        <f t="shared" si="1182"/>
        <v>0</v>
      </c>
      <c r="BL1948" s="317"/>
      <c r="BM1948" s="317"/>
      <c r="BN1948" s="317"/>
      <c r="BO1948" s="317"/>
      <c r="BP1948" s="317"/>
      <c r="BQ1948" s="317"/>
      <c r="BR1948" s="317"/>
      <c r="BS1948" s="317"/>
      <c r="BT1948" s="317"/>
      <c r="BU1948" s="317"/>
      <c r="BV1948" s="317"/>
      <c r="BW1948" s="317"/>
      <c r="BX1948" s="317"/>
      <c r="BY1948" s="317"/>
      <c r="BZ1948" s="317"/>
      <c r="CA1948" s="317"/>
      <c r="CB1948" s="317"/>
      <c r="CC1948" s="317"/>
      <c r="CD1948" s="317"/>
      <c r="CE1948" s="317"/>
      <c r="CF1948" s="317"/>
      <c r="CG1948" s="317"/>
      <c r="CH1948" s="317"/>
      <c r="CI1948" s="317"/>
      <c r="CM1948" s="1139">
        <f t="shared" si="1189"/>
        <v>0</v>
      </c>
      <c r="CN1948" s="1139">
        <v>0</v>
      </c>
      <c r="CP1948" s="923">
        <f t="shared" si="1188"/>
        <v>0</v>
      </c>
      <c r="CZ1948" s="330"/>
    </row>
    <row r="1949" spans="1:104" ht="15" customHeight="1" x14ac:dyDescent="0.25">
      <c r="A1949" s="684">
        <f>MAX($A$6:A1948)+1</f>
        <v>1949</v>
      </c>
      <c r="B1949" s="1060">
        <f t="shared" si="1197"/>
        <v>51</v>
      </c>
      <c r="C1949" s="292" t="str">
        <f t="shared" si="1202"/>
        <v>Staff Report</v>
      </c>
      <c r="D1949" s="11" t="s">
        <v>1755</v>
      </c>
      <c r="E1949" s="7" t="s">
        <v>1917</v>
      </c>
      <c r="F1949" s="2"/>
      <c r="G1949" s="1254" t="s">
        <v>1917</v>
      </c>
      <c r="H1949" s="6">
        <v>0</v>
      </c>
      <c r="I1949" s="6"/>
      <c r="J1949" s="1257" t="s">
        <v>1917</v>
      </c>
      <c r="K1949" s="251">
        <f>SUMIF('alb A - Staff Report'!A:A,J1949,'alb A - Staff Report'!B:B)</f>
        <v>0</v>
      </c>
      <c r="L1949" s="266"/>
      <c r="M1949" s="2"/>
      <c r="N1949" s="273">
        <f t="shared" si="1203"/>
        <v>0</v>
      </c>
      <c r="O1949" s="12"/>
      <c r="P1949" s="12"/>
      <c r="Q1949" s="12"/>
      <c r="R1949" s="12"/>
      <c r="S1949" s="6">
        <f t="shared" si="1204"/>
        <v>0</v>
      </c>
      <c r="T1949" s="273">
        <f t="shared" si="1205"/>
        <v>0</v>
      </c>
      <c r="U1949" s="6"/>
      <c r="V1949" s="6"/>
      <c r="W1949" s="6">
        <f t="shared" si="1196"/>
        <v>0</v>
      </c>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X1949" s="6"/>
      <c r="AY1949" s="6">
        <f>ROUND(AX1949/1000/Update!$B$31*Update!$B$27,0)</f>
        <v>0</v>
      </c>
      <c r="BA1949" s="6"/>
      <c r="BB1949" s="6">
        <f>ROUND(BA1949/1000/Update!$B$31,0)</f>
        <v>0</v>
      </c>
      <c r="BC1949" s="6"/>
      <c r="BD1949" s="6">
        <f t="shared" si="1206"/>
        <v>0</v>
      </c>
      <c r="BE1949" s="317"/>
      <c r="BF1949" s="317"/>
      <c r="BG1949" s="317"/>
      <c r="BH1949" s="317"/>
      <c r="BI1949" s="317"/>
      <c r="BJ1949" s="317"/>
      <c r="BK1949" s="6">
        <f t="shared" si="1182"/>
        <v>0</v>
      </c>
      <c r="BL1949" s="317"/>
      <c r="BM1949" s="317"/>
      <c r="BN1949" s="317"/>
      <c r="BO1949" s="317"/>
      <c r="BP1949" s="317"/>
      <c r="BQ1949" s="317"/>
      <c r="BR1949" s="317"/>
      <c r="BS1949" s="317"/>
      <c r="BT1949" s="317"/>
      <c r="BU1949" s="317"/>
      <c r="BV1949" s="317"/>
      <c r="BW1949" s="317"/>
      <c r="BX1949" s="317"/>
      <c r="BY1949" s="317"/>
      <c r="BZ1949" s="317"/>
      <c r="CA1949" s="317"/>
      <c r="CB1949" s="317"/>
      <c r="CC1949" s="317"/>
      <c r="CD1949" s="317"/>
      <c r="CE1949" s="317"/>
      <c r="CF1949" s="317"/>
      <c r="CG1949" s="317"/>
      <c r="CH1949" s="317"/>
      <c r="CI1949" s="317"/>
      <c r="CM1949" s="1139">
        <f t="shared" si="1189"/>
        <v>0</v>
      </c>
      <c r="CN1949" s="1139">
        <v>0</v>
      </c>
      <c r="CP1949" s="923">
        <f t="shared" si="1188"/>
        <v>0</v>
      </c>
      <c r="CZ1949" s="330"/>
    </row>
    <row r="1950" spans="1:104" ht="15" customHeight="1" x14ac:dyDescent="0.25">
      <c r="A1950" s="684">
        <f>MAX($A$6:A1949)+1</f>
        <v>1950</v>
      </c>
      <c r="B1950" s="1060">
        <f t="shared" si="1197"/>
        <v>51</v>
      </c>
      <c r="C1950" s="292" t="str">
        <f t="shared" si="1202"/>
        <v>Staff Report</v>
      </c>
      <c r="D1950" s="11" t="s">
        <v>1755</v>
      </c>
      <c r="E1950" s="7" t="s">
        <v>1916</v>
      </c>
      <c r="F1950" s="2"/>
      <c r="G1950" s="1254" t="s">
        <v>1916</v>
      </c>
      <c r="H1950" s="6">
        <v>0</v>
      </c>
      <c r="I1950" s="6"/>
      <c r="J1950" s="1257" t="s">
        <v>1916</v>
      </c>
      <c r="K1950" s="251">
        <f>SUMIF('alb A - Staff Report'!A:A,J1950,'alb A - Staff Report'!B:B)</f>
        <v>0</v>
      </c>
      <c r="L1950" s="266"/>
      <c r="M1950" s="2"/>
      <c r="N1950" s="273">
        <f t="shared" si="1203"/>
        <v>0</v>
      </c>
      <c r="O1950" s="12"/>
      <c r="P1950" s="12"/>
      <c r="Q1950" s="12"/>
      <c r="R1950" s="12"/>
      <c r="S1950" s="6">
        <f t="shared" si="1204"/>
        <v>0</v>
      </c>
      <c r="T1950" s="273">
        <f t="shared" si="1205"/>
        <v>0</v>
      </c>
      <c r="U1950" s="6"/>
      <c r="V1950" s="6"/>
      <c r="W1950" s="6">
        <f t="shared" si="1196"/>
        <v>0</v>
      </c>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X1950" s="6"/>
      <c r="AY1950" s="6">
        <f>ROUND(AX1950/1000/Update!$B$31*Update!$B$27,0)</f>
        <v>0</v>
      </c>
      <c r="BA1950" s="6"/>
      <c r="BB1950" s="6">
        <f>ROUND(BA1950/1000/Update!$B$31,0)</f>
        <v>0</v>
      </c>
      <c r="BC1950" s="6"/>
      <c r="BD1950" s="6">
        <f t="shared" si="1206"/>
        <v>0</v>
      </c>
      <c r="BE1950" s="317"/>
      <c r="BF1950" s="317"/>
      <c r="BG1950" s="317"/>
      <c r="BH1950" s="317"/>
      <c r="BI1950" s="317"/>
      <c r="BJ1950" s="317"/>
      <c r="BK1950" s="6">
        <f t="shared" si="1182"/>
        <v>0</v>
      </c>
      <c r="BL1950" s="317"/>
      <c r="BM1950" s="317"/>
      <c r="BN1950" s="317"/>
      <c r="BO1950" s="317"/>
      <c r="BP1950" s="317"/>
      <c r="BQ1950" s="317"/>
      <c r="BR1950" s="317"/>
      <c r="BS1950" s="317"/>
      <c r="BT1950" s="317"/>
      <c r="BU1950" s="317"/>
      <c r="BV1950" s="317"/>
      <c r="BW1950" s="317"/>
      <c r="BX1950" s="317"/>
      <c r="BY1950" s="317"/>
      <c r="BZ1950" s="317"/>
      <c r="CA1950" s="317"/>
      <c r="CB1950" s="317"/>
      <c r="CC1950" s="317"/>
      <c r="CD1950" s="317"/>
      <c r="CE1950" s="317"/>
      <c r="CF1950" s="317"/>
      <c r="CG1950" s="317"/>
      <c r="CH1950" s="317"/>
      <c r="CI1950" s="317"/>
      <c r="CM1950" s="1139">
        <f t="shared" si="1189"/>
        <v>0</v>
      </c>
      <c r="CN1950" s="1139">
        <v>0</v>
      </c>
      <c r="CP1950" s="923">
        <f t="shared" si="1188"/>
        <v>0</v>
      </c>
      <c r="CZ1950" s="330"/>
    </row>
    <row r="1951" spans="1:104" ht="15" customHeight="1" x14ac:dyDescent="0.25">
      <c r="A1951" s="684">
        <f>MAX($A$6:A1950)+1</f>
        <v>1951</v>
      </c>
      <c r="B1951" s="1060">
        <f t="shared" si="1197"/>
        <v>51</v>
      </c>
      <c r="C1951" s="292" t="str">
        <f t="shared" si="1202"/>
        <v>Staff Report</v>
      </c>
      <c r="D1951" s="11" t="s">
        <v>1755</v>
      </c>
      <c r="E1951" s="7" t="s">
        <v>1918</v>
      </c>
      <c r="F1951" s="2"/>
      <c r="G1951" s="1254" t="s">
        <v>1918</v>
      </c>
      <c r="H1951" s="6">
        <v>0</v>
      </c>
      <c r="I1951" s="6"/>
      <c r="J1951" s="1257" t="s">
        <v>1918</v>
      </c>
      <c r="K1951" s="251">
        <f>SUMIF('alb A - Staff Report'!A:A,J1951,'alb A - Staff Report'!B:B)</f>
        <v>0</v>
      </c>
      <c r="L1951" s="266"/>
      <c r="M1951" s="2"/>
      <c r="N1951" s="273">
        <f t="shared" si="1203"/>
        <v>0</v>
      </c>
      <c r="O1951" s="12"/>
      <c r="P1951" s="12"/>
      <c r="Q1951" s="12"/>
      <c r="R1951" s="12"/>
      <c r="S1951" s="6">
        <f t="shared" si="1204"/>
        <v>0</v>
      </c>
      <c r="T1951" s="273">
        <f t="shared" si="1205"/>
        <v>0</v>
      </c>
      <c r="U1951" s="6"/>
      <c r="V1951" s="6"/>
      <c r="W1951" s="6">
        <f t="shared" si="1196"/>
        <v>0</v>
      </c>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X1951" s="6"/>
      <c r="AY1951" s="6">
        <f>ROUND(AX1951/1000/Update!$B$31*Update!$B$27,0)</f>
        <v>0</v>
      </c>
      <c r="BA1951" s="6"/>
      <c r="BB1951" s="6">
        <f>ROUND(BA1951/1000/Update!$B$31,0)</f>
        <v>0</v>
      </c>
      <c r="BC1951" s="6"/>
      <c r="BD1951" s="6">
        <f t="shared" si="1206"/>
        <v>0</v>
      </c>
      <c r="BE1951" s="317"/>
      <c r="BF1951" s="317"/>
      <c r="BG1951" s="317"/>
      <c r="BH1951" s="317"/>
      <c r="BI1951" s="317"/>
      <c r="BJ1951" s="317"/>
      <c r="BK1951" s="6">
        <f t="shared" si="1182"/>
        <v>0</v>
      </c>
      <c r="BL1951" s="317"/>
      <c r="BM1951" s="317"/>
      <c r="BN1951" s="317"/>
      <c r="BO1951" s="317"/>
      <c r="BP1951" s="317"/>
      <c r="BQ1951" s="317"/>
      <c r="BR1951" s="317"/>
      <c r="BS1951" s="317"/>
      <c r="BT1951" s="317"/>
      <c r="BU1951" s="317"/>
      <c r="BV1951" s="317"/>
      <c r="BW1951" s="317"/>
      <c r="BX1951" s="317"/>
      <c r="BY1951" s="317"/>
      <c r="BZ1951" s="317"/>
      <c r="CA1951" s="317"/>
      <c r="CB1951" s="317"/>
      <c r="CC1951" s="317"/>
      <c r="CD1951" s="317"/>
      <c r="CE1951" s="317"/>
      <c r="CF1951" s="317"/>
      <c r="CG1951" s="317"/>
      <c r="CH1951" s="317"/>
      <c r="CI1951" s="317"/>
      <c r="CM1951" s="1139">
        <f t="shared" si="1189"/>
        <v>0</v>
      </c>
      <c r="CN1951" s="1139">
        <v>0</v>
      </c>
      <c r="CP1951" s="923">
        <f t="shared" si="1188"/>
        <v>0</v>
      </c>
      <c r="CZ1951" s="330"/>
    </row>
    <row r="1952" spans="1:104" ht="15" customHeight="1" x14ac:dyDescent="0.25">
      <c r="A1952" s="684">
        <f>MAX($A$6:A1951)+1</f>
        <v>1952</v>
      </c>
      <c r="B1952" s="1060">
        <f t="shared" si="1197"/>
        <v>51</v>
      </c>
      <c r="C1952" s="292" t="str">
        <f t="shared" si="1202"/>
        <v>Staff Report</v>
      </c>
      <c r="D1952" s="11" t="s">
        <v>1755</v>
      </c>
      <c r="E1952" s="7" t="s">
        <v>1919</v>
      </c>
      <c r="F1952" s="2"/>
      <c r="G1952" s="1254" t="s">
        <v>1919</v>
      </c>
      <c r="H1952" s="6">
        <v>0</v>
      </c>
      <c r="I1952" s="6"/>
      <c r="J1952" s="1257" t="s">
        <v>1919</v>
      </c>
      <c r="K1952" s="251">
        <f>SUMIF('alb A - Staff Report'!A:A,J1952,'alb A - Staff Report'!B:B)</f>
        <v>0</v>
      </c>
      <c r="L1952" s="266"/>
      <c r="M1952" s="2"/>
      <c r="N1952" s="273">
        <f t="shared" si="1203"/>
        <v>0</v>
      </c>
      <c r="O1952" s="12"/>
      <c r="P1952" s="12"/>
      <c r="Q1952" s="12"/>
      <c r="R1952" s="12"/>
      <c r="S1952" s="6">
        <f t="shared" si="1204"/>
        <v>0</v>
      </c>
      <c r="T1952" s="273">
        <f t="shared" si="1205"/>
        <v>0</v>
      </c>
      <c r="U1952" s="6"/>
      <c r="V1952" s="6"/>
      <c r="W1952" s="6">
        <f t="shared" si="1196"/>
        <v>0</v>
      </c>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X1952" s="6"/>
      <c r="AY1952" s="6">
        <f>ROUND(AX1952/1000/Update!$B$31*Update!$B$27,0)</f>
        <v>0</v>
      </c>
      <c r="BA1952" s="6"/>
      <c r="BB1952" s="6">
        <f>ROUND(BA1952/1000/Update!$B$31,0)</f>
        <v>0</v>
      </c>
      <c r="BC1952" s="6"/>
      <c r="BD1952" s="6">
        <f t="shared" si="1206"/>
        <v>0</v>
      </c>
      <c r="BE1952" s="317"/>
      <c r="BF1952" s="317"/>
      <c r="BG1952" s="317"/>
      <c r="BH1952" s="317"/>
      <c r="BI1952" s="317"/>
      <c r="BJ1952" s="317"/>
      <c r="BK1952" s="6">
        <f t="shared" si="1182"/>
        <v>0</v>
      </c>
      <c r="BL1952" s="317"/>
      <c r="BM1952" s="317"/>
      <c r="BN1952" s="317"/>
      <c r="BO1952" s="317"/>
      <c r="BP1952" s="317"/>
      <c r="BQ1952" s="317"/>
      <c r="BR1952" s="317"/>
      <c r="BS1952" s="317"/>
      <c r="BT1952" s="317"/>
      <c r="BU1952" s="317"/>
      <c r="BV1952" s="317"/>
      <c r="BW1952" s="317"/>
      <c r="BX1952" s="317"/>
      <c r="BY1952" s="317"/>
      <c r="BZ1952" s="317"/>
      <c r="CA1952" s="317"/>
      <c r="CB1952" s="317"/>
      <c r="CC1952" s="317"/>
      <c r="CD1952" s="317"/>
      <c r="CE1952" s="317"/>
      <c r="CF1952" s="317"/>
      <c r="CG1952" s="317"/>
      <c r="CH1952" s="317"/>
      <c r="CI1952" s="317"/>
      <c r="CM1952" s="1139">
        <f t="shared" si="1189"/>
        <v>0</v>
      </c>
      <c r="CN1952" s="1139">
        <v>0</v>
      </c>
      <c r="CP1952" s="923">
        <f t="shared" si="1188"/>
        <v>0</v>
      </c>
      <c r="CZ1952" s="330"/>
    </row>
    <row r="1953" spans="1:104" ht="15" customHeight="1" x14ac:dyDescent="0.25">
      <c r="A1953" s="684">
        <f>MAX($A$6:A1952)+1</f>
        <v>1953</v>
      </c>
      <c r="B1953" s="1060">
        <f t="shared" ref="B1953:B1963" si="1207">B1928</f>
        <v>51</v>
      </c>
      <c r="C1953" s="292" t="str">
        <f t="shared" ref="C1953:C1963" si="1208">C1934</f>
        <v>Staff Report</v>
      </c>
      <c r="D1953" s="11" t="s">
        <v>1755</v>
      </c>
      <c r="E1953" s="7" t="s">
        <v>1920</v>
      </c>
      <c r="F1953" s="2"/>
      <c r="G1953" s="1254" t="s">
        <v>1920</v>
      </c>
      <c r="H1953" s="6">
        <v>0</v>
      </c>
      <c r="I1953" s="6"/>
      <c r="J1953" s="1257" t="s">
        <v>1920</v>
      </c>
      <c r="K1953" s="251">
        <f>SUMIF('alb A - Staff Report'!A:A,J1953,'alb A - Staff Report'!B:B)</f>
        <v>0</v>
      </c>
      <c r="L1953" s="266"/>
      <c r="M1953" s="2"/>
      <c r="N1953" s="273">
        <f t="shared" si="1198"/>
        <v>0</v>
      </c>
      <c r="O1953" s="12"/>
      <c r="P1953" s="12"/>
      <c r="Q1953" s="12"/>
      <c r="R1953" s="12"/>
      <c r="S1953" s="6">
        <f t="shared" si="1199"/>
        <v>0</v>
      </c>
      <c r="T1953" s="273">
        <f t="shared" si="1200"/>
        <v>0</v>
      </c>
      <c r="U1953" s="6"/>
      <c r="V1953" s="6"/>
      <c r="W1953" s="6">
        <f t="shared" si="1196"/>
        <v>0</v>
      </c>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X1953" s="6"/>
      <c r="AY1953" s="6">
        <f>ROUND(AX1953/1000/Update!$B$31*Update!$B$27,0)</f>
        <v>0</v>
      </c>
      <c r="BA1953" s="6"/>
      <c r="BB1953" s="6">
        <f>ROUND(BA1953/1000/Update!$B$31,0)</f>
        <v>0</v>
      </c>
      <c r="BC1953" s="6"/>
      <c r="BD1953" s="6">
        <f t="shared" si="1201"/>
        <v>0</v>
      </c>
      <c r="BE1953" s="317"/>
      <c r="BF1953" s="317"/>
      <c r="BG1953" s="317"/>
      <c r="BH1953" s="317"/>
      <c r="BI1953" s="317"/>
      <c r="BJ1953" s="317"/>
      <c r="BK1953" s="6">
        <f t="shared" si="1182"/>
        <v>0</v>
      </c>
      <c r="BL1953" s="317"/>
      <c r="BM1953" s="317"/>
      <c r="BN1953" s="317"/>
      <c r="BO1953" s="317"/>
      <c r="BP1953" s="317"/>
      <c r="BQ1953" s="317"/>
      <c r="BR1953" s="317"/>
      <c r="BS1953" s="317"/>
      <c r="BT1953" s="317"/>
      <c r="BU1953" s="317"/>
      <c r="BV1953" s="317"/>
      <c r="BW1953" s="317"/>
      <c r="BX1953" s="317"/>
      <c r="BY1953" s="317"/>
      <c r="BZ1953" s="317"/>
      <c r="CA1953" s="317"/>
      <c r="CB1953" s="317"/>
      <c r="CC1953" s="317"/>
      <c r="CD1953" s="317"/>
      <c r="CE1953" s="317"/>
      <c r="CF1953" s="317"/>
      <c r="CG1953" s="317"/>
      <c r="CH1953" s="317"/>
      <c r="CI1953" s="317"/>
      <c r="CM1953" s="1139">
        <f t="shared" si="1189"/>
        <v>0</v>
      </c>
      <c r="CN1953" s="1139">
        <v>0</v>
      </c>
      <c r="CP1953" s="923">
        <f t="shared" si="1188"/>
        <v>0</v>
      </c>
      <c r="CZ1953" s="330"/>
    </row>
    <row r="1954" spans="1:104" ht="15" customHeight="1" x14ac:dyDescent="0.25">
      <c r="A1954" s="684">
        <f>MAX($A$6:A1953)+1</f>
        <v>1954</v>
      </c>
      <c r="B1954" s="1060">
        <f t="shared" si="1207"/>
        <v>51</v>
      </c>
      <c r="C1954" s="292" t="str">
        <f t="shared" si="1208"/>
        <v>Staff Report</v>
      </c>
      <c r="D1954" s="11" t="s">
        <v>1755</v>
      </c>
      <c r="E1954" s="7" t="s">
        <v>1921</v>
      </c>
      <c r="F1954" s="2"/>
      <c r="G1954" s="1254" t="s">
        <v>1921</v>
      </c>
      <c r="H1954" s="6">
        <v>0</v>
      </c>
      <c r="I1954" s="6"/>
      <c r="J1954" s="1257" t="s">
        <v>1921</v>
      </c>
      <c r="K1954" s="251">
        <f>SUMIF('alb A - Staff Report'!A:A,J1954,'alb A - Staff Report'!B:B)</f>
        <v>0</v>
      </c>
      <c r="L1954" s="266"/>
      <c r="M1954" s="2"/>
      <c r="N1954" s="273">
        <f t="shared" si="1198"/>
        <v>0</v>
      </c>
      <c r="O1954" s="12"/>
      <c r="P1954" s="12"/>
      <c r="Q1954" s="12"/>
      <c r="R1954" s="12"/>
      <c r="S1954" s="6">
        <f t="shared" si="1199"/>
        <v>0</v>
      </c>
      <c r="T1954" s="273">
        <f t="shared" si="1200"/>
        <v>0</v>
      </c>
      <c r="U1954" s="6"/>
      <c r="V1954" s="6"/>
      <c r="W1954" s="6">
        <f t="shared" si="1196"/>
        <v>0</v>
      </c>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X1954" s="6"/>
      <c r="AY1954" s="6">
        <f>ROUND(AX1954/1000/Update!$B$31*Update!$B$27,0)</f>
        <v>0</v>
      </c>
      <c r="BA1954" s="6"/>
      <c r="BB1954" s="6">
        <f>ROUND(BA1954/1000/Update!$B$31,0)</f>
        <v>0</v>
      </c>
      <c r="BC1954" s="6"/>
      <c r="BD1954" s="6">
        <f t="shared" si="1201"/>
        <v>0</v>
      </c>
      <c r="BE1954" s="317"/>
      <c r="BF1954" s="317"/>
      <c r="BG1954" s="317"/>
      <c r="BH1954" s="317"/>
      <c r="BI1954" s="317"/>
      <c r="BJ1954" s="317"/>
      <c r="BK1954" s="6">
        <f t="shared" si="1182"/>
        <v>0</v>
      </c>
      <c r="BL1954" s="317"/>
      <c r="BM1954" s="317"/>
      <c r="BN1954" s="317"/>
      <c r="BO1954" s="317"/>
      <c r="BP1954" s="317"/>
      <c r="BQ1954" s="317"/>
      <c r="BR1954" s="317"/>
      <c r="BS1954" s="317"/>
      <c r="BT1954" s="317"/>
      <c r="BU1954" s="317"/>
      <c r="BV1954" s="317"/>
      <c r="BW1954" s="317"/>
      <c r="BX1954" s="317"/>
      <c r="BY1954" s="317"/>
      <c r="BZ1954" s="317"/>
      <c r="CA1954" s="317"/>
      <c r="CB1954" s="317"/>
      <c r="CC1954" s="317"/>
      <c r="CD1954" s="317"/>
      <c r="CE1954" s="317"/>
      <c r="CF1954" s="317"/>
      <c r="CG1954" s="317"/>
      <c r="CH1954" s="317"/>
      <c r="CI1954" s="317"/>
      <c r="CM1954" s="1139">
        <f t="shared" si="1189"/>
        <v>0</v>
      </c>
      <c r="CN1954" s="1139">
        <v>0</v>
      </c>
      <c r="CP1954" s="923">
        <f t="shared" si="1188"/>
        <v>0</v>
      </c>
      <c r="CZ1954" s="330"/>
    </row>
    <row r="1955" spans="1:104" ht="15" customHeight="1" x14ac:dyDescent="0.25">
      <c r="A1955" s="684">
        <f>MAX($A$6:A1954)+1</f>
        <v>1955</v>
      </c>
      <c r="B1955" s="1060">
        <f t="shared" si="1207"/>
        <v>51</v>
      </c>
      <c r="C1955" s="292" t="str">
        <f t="shared" si="1208"/>
        <v>Staff Report</v>
      </c>
      <c r="D1955" s="11" t="s">
        <v>1755</v>
      </c>
      <c r="E1955" s="7" t="s">
        <v>1922</v>
      </c>
      <c r="F1955" s="2"/>
      <c r="G1955" s="1254" t="s">
        <v>1922</v>
      </c>
      <c r="H1955" s="6">
        <v>0</v>
      </c>
      <c r="I1955" s="6"/>
      <c r="J1955" s="1257" t="s">
        <v>1922</v>
      </c>
      <c r="K1955" s="251">
        <f>SUMIF('alb A - Staff Report'!A:A,J1955,'alb A - Staff Report'!B:B)</f>
        <v>0</v>
      </c>
      <c r="L1955" s="266"/>
      <c r="M1955" s="2"/>
      <c r="N1955" s="273">
        <f t="shared" si="1198"/>
        <v>0</v>
      </c>
      <c r="O1955" s="12"/>
      <c r="P1955" s="12"/>
      <c r="Q1955" s="12"/>
      <c r="R1955" s="12"/>
      <c r="S1955" s="6">
        <f t="shared" si="1199"/>
        <v>0</v>
      </c>
      <c r="T1955" s="273">
        <f t="shared" si="1200"/>
        <v>0</v>
      </c>
      <c r="U1955" s="6"/>
      <c r="V1955" s="6"/>
      <c r="W1955" s="6">
        <f t="shared" si="1196"/>
        <v>0</v>
      </c>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X1955" s="6"/>
      <c r="AY1955" s="6">
        <f>ROUND(AX1955/1000/Update!$B$31*Update!$B$27,0)</f>
        <v>0</v>
      </c>
      <c r="BA1955" s="6"/>
      <c r="BB1955" s="6">
        <f>ROUND(BA1955/1000/Update!$B$31,0)</f>
        <v>0</v>
      </c>
      <c r="BC1955" s="6"/>
      <c r="BD1955" s="6">
        <f t="shared" si="1201"/>
        <v>0</v>
      </c>
      <c r="BE1955" s="317"/>
      <c r="BF1955" s="317"/>
      <c r="BG1955" s="317"/>
      <c r="BH1955" s="317"/>
      <c r="BI1955" s="317"/>
      <c r="BJ1955" s="317"/>
      <c r="BK1955" s="6">
        <f t="shared" si="1182"/>
        <v>0</v>
      </c>
      <c r="BL1955" s="317"/>
      <c r="BM1955" s="317"/>
      <c r="BN1955" s="317"/>
      <c r="BO1955" s="317"/>
      <c r="BP1955" s="317"/>
      <c r="BQ1955" s="317"/>
      <c r="BR1955" s="317"/>
      <c r="BS1955" s="317"/>
      <c r="BT1955" s="317"/>
      <c r="BU1955" s="317"/>
      <c r="BV1955" s="317"/>
      <c r="BW1955" s="317"/>
      <c r="BX1955" s="317"/>
      <c r="BY1955" s="317"/>
      <c r="BZ1955" s="317"/>
      <c r="CA1955" s="317"/>
      <c r="CB1955" s="317"/>
      <c r="CC1955" s="317"/>
      <c r="CD1955" s="317"/>
      <c r="CE1955" s="317"/>
      <c r="CF1955" s="317"/>
      <c r="CG1955" s="317"/>
      <c r="CH1955" s="317"/>
      <c r="CI1955" s="317"/>
      <c r="CM1955" s="1139">
        <f t="shared" si="1189"/>
        <v>0</v>
      </c>
      <c r="CN1955" s="1139">
        <v>0</v>
      </c>
      <c r="CP1955" s="923">
        <f t="shared" si="1188"/>
        <v>0</v>
      </c>
      <c r="CZ1955" s="330"/>
    </row>
    <row r="1956" spans="1:104" ht="15" customHeight="1" x14ac:dyDescent="0.25">
      <c r="A1956" s="684">
        <f>MAX($A$6:A1955)+1</f>
        <v>1956</v>
      </c>
      <c r="B1956" s="1060">
        <f t="shared" si="1207"/>
        <v>51</v>
      </c>
      <c r="C1956" s="292" t="str">
        <f t="shared" si="1208"/>
        <v>Staff Report</v>
      </c>
      <c r="D1956" s="11" t="s">
        <v>1755</v>
      </c>
      <c r="E1956" s="7" t="s">
        <v>1923</v>
      </c>
      <c r="F1956" s="2"/>
      <c r="G1956" s="1254" t="s">
        <v>1923</v>
      </c>
      <c r="H1956" s="6">
        <v>0</v>
      </c>
      <c r="I1956" s="6"/>
      <c r="J1956" s="1257" t="s">
        <v>1923</v>
      </c>
      <c r="K1956" s="251">
        <f>SUMIF('alb A - Staff Report'!A:A,J1956,'alb A - Staff Report'!B:B)</f>
        <v>0</v>
      </c>
      <c r="L1956" s="266"/>
      <c r="M1956" s="2"/>
      <c r="N1956" s="273">
        <f t="shared" si="1198"/>
        <v>0</v>
      </c>
      <c r="O1956" s="12"/>
      <c r="P1956" s="12"/>
      <c r="Q1956" s="12"/>
      <c r="R1956" s="12"/>
      <c r="S1956" s="6">
        <f t="shared" si="1199"/>
        <v>0</v>
      </c>
      <c r="T1956" s="273">
        <f t="shared" si="1200"/>
        <v>0</v>
      </c>
      <c r="U1956" s="6"/>
      <c r="V1956" s="6"/>
      <c r="W1956" s="6">
        <f t="shared" si="1196"/>
        <v>0</v>
      </c>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X1956" s="6"/>
      <c r="AY1956" s="6">
        <f>ROUND(AX1956/1000/Update!$B$31*Update!$B$27,0)</f>
        <v>0</v>
      </c>
      <c r="BA1956" s="6"/>
      <c r="BB1956" s="6">
        <f>ROUND(BA1956/1000/Update!$B$31,0)</f>
        <v>0</v>
      </c>
      <c r="BC1956" s="6"/>
      <c r="BD1956" s="6">
        <f t="shared" si="1201"/>
        <v>0</v>
      </c>
      <c r="BE1956" s="317"/>
      <c r="BF1956" s="317"/>
      <c r="BG1956" s="317"/>
      <c r="BH1956" s="317"/>
      <c r="BI1956" s="317"/>
      <c r="BJ1956" s="317"/>
      <c r="BK1956" s="6">
        <f t="shared" si="1182"/>
        <v>0</v>
      </c>
      <c r="BL1956" s="317"/>
      <c r="BM1956" s="317"/>
      <c r="BN1956" s="317"/>
      <c r="BO1956" s="317"/>
      <c r="BP1956" s="317"/>
      <c r="BQ1956" s="317"/>
      <c r="BR1956" s="317"/>
      <c r="BS1956" s="317"/>
      <c r="BT1956" s="317"/>
      <c r="BU1956" s="317"/>
      <c r="BV1956" s="317"/>
      <c r="BW1956" s="317"/>
      <c r="BX1956" s="317"/>
      <c r="BY1956" s="317"/>
      <c r="BZ1956" s="317"/>
      <c r="CA1956" s="317"/>
      <c r="CB1956" s="317"/>
      <c r="CC1956" s="317"/>
      <c r="CD1956" s="317"/>
      <c r="CE1956" s="317"/>
      <c r="CF1956" s="317"/>
      <c r="CG1956" s="317"/>
      <c r="CH1956" s="317"/>
      <c r="CI1956" s="317"/>
      <c r="CM1956" s="1139">
        <f t="shared" si="1189"/>
        <v>0</v>
      </c>
      <c r="CN1956" s="1139">
        <v>0</v>
      </c>
      <c r="CP1956" s="923">
        <f t="shared" si="1188"/>
        <v>0</v>
      </c>
      <c r="CZ1956" s="330"/>
    </row>
    <row r="1957" spans="1:104" ht="15" customHeight="1" x14ac:dyDescent="0.25">
      <c r="A1957" s="684">
        <f>MAX($A$6:A1956)+1</f>
        <v>1957</v>
      </c>
      <c r="B1957" s="1060">
        <f t="shared" si="1207"/>
        <v>51</v>
      </c>
      <c r="C1957" s="292" t="str">
        <f t="shared" si="1208"/>
        <v>Staff Report</v>
      </c>
      <c r="D1957" s="11" t="s">
        <v>1755</v>
      </c>
      <c r="E1957" s="7" t="s">
        <v>1924</v>
      </c>
      <c r="F1957" s="2"/>
      <c r="G1957" s="1254" t="s">
        <v>1924</v>
      </c>
      <c r="H1957" s="6">
        <v>0</v>
      </c>
      <c r="I1957" s="6"/>
      <c r="J1957" s="1257" t="s">
        <v>1924</v>
      </c>
      <c r="K1957" s="251">
        <f>SUMIF('alb A - Staff Report'!A:A,J1957,'alb A - Staff Report'!B:B)</f>
        <v>0</v>
      </c>
      <c r="L1957" s="266"/>
      <c r="M1957" s="2"/>
      <c r="N1957" s="273">
        <f t="shared" si="1198"/>
        <v>0</v>
      </c>
      <c r="O1957" s="12"/>
      <c r="P1957" s="12"/>
      <c r="Q1957" s="12"/>
      <c r="R1957" s="12"/>
      <c r="S1957" s="6">
        <f t="shared" si="1199"/>
        <v>0</v>
      </c>
      <c r="T1957" s="273">
        <f t="shared" si="1200"/>
        <v>0</v>
      </c>
      <c r="U1957" s="6"/>
      <c r="V1957" s="6"/>
      <c r="W1957" s="6">
        <f t="shared" si="1196"/>
        <v>0</v>
      </c>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X1957" s="6"/>
      <c r="AY1957" s="6">
        <f>ROUND(AX1957/1000/Update!$B$31*Update!$B$27,0)</f>
        <v>0</v>
      </c>
      <c r="BA1957" s="6"/>
      <c r="BB1957" s="6">
        <f>ROUND(BA1957/1000/Update!$B$31,0)</f>
        <v>0</v>
      </c>
      <c r="BC1957" s="6"/>
      <c r="BD1957" s="6">
        <f t="shared" si="1201"/>
        <v>0</v>
      </c>
      <c r="BE1957" s="317"/>
      <c r="BF1957" s="317"/>
      <c r="BG1957" s="317"/>
      <c r="BH1957" s="317"/>
      <c r="BI1957" s="317"/>
      <c r="BJ1957" s="317"/>
      <c r="BK1957" s="6">
        <f t="shared" si="1182"/>
        <v>0</v>
      </c>
      <c r="BL1957" s="317"/>
      <c r="BM1957" s="317"/>
      <c r="BN1957" s="317"/>
      <c r="BO1957" s="317"/>
      <c r="BP1957" s="317"/>
      <c r="BQ1957" s="317"/>
      <c r="BR1957" s="317"/>
      <c r="BS1957" s="317"/>
      <c r="BT1957" s="317"/>
      <c r="BU1957" s="317"/>
      <c r="BV1957" s="317"/>
      <c r="BW1957" s="317"/>
      <c r="BX1957" s="317"/>
      <c r="BY1957" s="317"/>
      <c r="BZ1957" s="317"/>
      <c r="CA1957" s="317"/>
      <c r="CB1957" s="317"/>
      <c r="CC1957" s="317"/>
      <c r="CD1957" s="317"/>
      <c r="CE1957" s="317"/>
      <c r="CF1957" s="317"/>
      <c r="CG1957" s="317"/>
      <c r="CH1957" s="317"/>
      <c r="CI1957" s="317"/>
      <c r="CM1957" s="1139">
        <f t="shared" si="1189"/>
        <v>0</v>
      </c>
      <c r="CN1957" s="1139">
        <v>0</v>
      </c>
      <c r="CP1957" s="923">
        <f t="shared" si="1188"/>
        <v>0</v>
      </c>
      <c r="CZ1957" s="330"/>
    </row>
    <row r="1958" spans="1:104" ht="15" customHeight="1" x14ac:dyDescent="0.25">
      <c r="A1958" s="684">
        <f>MAX($A$6:A1957)+1</f>
        <v>1958</v>
      </c>
      <c r="B1958" s="1060">
        <f t="shared" si="1207"/>
        <v>51</v>
      </c>
      <c r="C1958" s="292" t="str">
        <f t="shared" si="1208"/>
        <v>Staff Report</v>
      </c>
      <c r="D1958" s="11" t="s">
        <v>1755</v>
      </c>
      <c r="E1958" s="7" t="s">
        <v>1925</v>
      </c>
      <c r="F1958" s="2"/>
      <c r="G1958" s="1254" t="s">
        <v>1925</v>
      </c>
      <c r="H1958" s="6">
        <v>0</v>
      </c>
      <c r="I1958" s="6"/>
      <c r="J1958" s="1257" t="s">
        <v>1925</v>
      </c>
      <c r="K1958" s="251">
        <f>SUMIF('alb A - Staff Report'!A:A,J1958,'alb A - Staff Report'!B:B)</f>
        <v>0</v>
      </c>
      <c r="L1958" s="266"/>
      <c r="M1958" s="2"/>
      <c r="N1958" s="273">
        <f t="shared" si="1198"/>
        <v>0</v>
      </c>
      <c r="O1958" s="12"/>
      <c r="P1958" s="12"/>
      <c r="Q1958" s="12"/>
      <c r="R1958" s="12"/>
      <c r="S1958" s="6">
        <f t="shared" si="1199"/>
        <v>0</v>
      </c>
      <c r="T1958" s="273">
        <f t="shared" si="1200"/>
        <v>0</v>
      </c>
      <c r="U1958" s="6"/>
      <c r="V1958" s="6"/>
      <c r="W1958" s="6">
        <f t="shared" si="1196"/>
        <v>0</v>
      </c>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X1958" s="6"/>
      <c r="AY1958" s="6">
        <f>ROUND(AX1958/1000/Update!$B$31*Update!$B$27,0)</f>
        <v>0</v>
      </c>
      <c r="BA1958" s="6"/>
      <c r="BB1958" s="6">
        <f>ROUND(BA1958/1000/Update!$B$31,0)</f>
        <v>0</v>
      </c>
      <c r="BC1958" s="6"/>
      <c r="BD1958" s="6">
        <f t="shared" si="1201"/>
        <v>0</v>
      </c>
      <c r="BE1958" s="317"/>
      <c r="BF1958" s="317"/>
      <c r="BG1958" s="317"/>
      <c r="BH1958" s="317"/>
      <c r="BI1958" s="317"/>
      <c r="BJ1958" s="317"/>
      <c r="BK1958" s="6">
        <f t="shared" si="1182"/>
        <v>0</v>
      </c>
      <c r="BL1958" s="317"/>
      <c r="BM1958" s="317"/>
      <c r="BN1958" s="317"/>
      <c r="BO1958" s="317"/>
      <c r="BP1958" s="317"/>
      <c r="BQ1958" s="317"/>
      <c r="BR1958" s="317"/>
      <c r="BS1958" s="317"/>
      <c r="BT1958" s="317"/>
      <c r="BU1958" s="317"/>
      <c r="BV1958" s="317"/>
      <c r="BW1958" s="317"/>
      <c r="BX1958" s="317"/>
      <c r="BY1958" s="317"/>
      <c r="BZ1958" s="317"/>
      <c r="CA1958" s="317"/>
      <c r="CB1958" s="317"/>
      <c r="CC1958" s="317"/>
      <c r="CD1958" s="317"/>
      <c r="CE1958" s="317"/>
      <c r="CF1958" s="317"/>
      <c r="CG1958" s="317"/>
      <c r="CH1958" s="317"/>
      <c r="CI1958" s="317"/>
      <c r="CM1958" s="1139">
        <f t="shared" si="1189"/>
        <v>0</v>
      </c>
      <c r="CN1958" s="1139">
        <v>0</v>
      </c>
      <c r="CP1958" s="923">
        <f t="shared" si="1188"/>
        <v>0</v>
      </c>
      <c r="CZ1958" s="330"/>
    </row>
    <row r="1959" spans="1:104" ht="15" customHeight="1" x14ac:dyDescent="0.25">
      <c r="A1959" s="684">
        <f>MAX($A$6:A1958)+1</f>
        <v>1959</v>
      </c>
      <c r="B1959" s="1060">
        <f t="shared" si="1207"/>
        <v>51</v>
      </c>
      <c r="C1959" s="292" t="str">
        <f t="shared" si="1208"/>
        <v>Staff Report</v>
      </c>
      <c r="D1959" s="11" t="s">
        <v>1755</v>
      </c>
      <c r="E1959" s="7" t="s">
        <v>1926</v>
      </c>
      <c r="F1959" s="2"/>
      <c r="G1959" s="1254" t="s">
        <v>1926</v>
      </c>
      <c r="H1959" s="6">
        <v>0</v>
      </c>
      <c r="I1959" s="6"/>
      <c r="J1959" s="1257" t="s">
        <v>1926</v>
      </c>
      <c r="K1959" s="251">
        <f>SUMIF('alb A - Staff Report'!A:A,J1959,'alb A - Staff Report'!B:B)</f>
        <v>0</v>
      </c>
      <c r="L1959" s="266"/>
      <c r="M1959" s="2"/>
      <c r="N1959" s="273">
        <f t="shared" si="1198"/>
        <v>0</v>
      </c>
      <c r="O1959" s="12"/>
      <c r="P1959" s="12"/>
      <c r="Q1959" s="12"/>
      <c r="R1959" s="12"/>
      <c r="S1959" s="6">
        <f t="shared" si="1199"/>
        <v>0</v>
      </c>
      <c r="T1959" s="273">
        <f t="shared" si="1200"/>
        <v>0</v>
      </c>
      <c r="U1959" s="6"/>
      <c r="V1959" s="6"/>
      <c r="W1959" s="6">
        <f t="shared" si="1196"/>
        <v>0</v>
      </c>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X1959" s="6"/>
      <c r="AY1959" s="6">
        <f>ROUND(AX1959/1000/Update!$B$31*Update!$B$27,0)</f>
        <v>0</v>
      </c>
      <c r="BA1959" s="6"/>
      <c r="BB1959" s="6">
        <f>ROUND(BA1959/1000/Update!$B$31,0)</f>
        <v>0</v>
      </c>
      <c r="BC1959" s="6"/>
      <c r="BD1959" s="6">
        <f t="shared" si="1201"/>
        <v>0</v>
      </c>
      <c r="BE1959" s="317"/>
      <c r="BF1959" s="317"/>
      <c r="BG1959" s="317"/>
      <c r="BH1959" s="317"/>
      <c r="BI1959" s="317"/>
      <c r="BJ1959" s="317"/>
      <c r="BK1959" s="6">
        <f t="shared" si="1182"/>
        <v>0</v>
      </c>
      <c r="BL1959" s="317"/>
      <c r="BM1959" s="317"/>
      <c r="BN1959" s="317"/>
      <c r="BO1959" s="317"/>
      <c r="BP1959" s="317"/>
      <c r="BQ1959" s="317"/>
      <c r="BR1959" s="317"/>
      <c r="BS1959" s="317"/>
      <c r="BT1959" s="317"/>
      <c r="BU1959" s="317"/>
      <c r="BV1959" s="317"/>
      <c r="BW1959" s="317"/>
      <c r="BX1959" s="317"/>
      <c r="BY1959" s="317"/>
      <c r="BZ1959" s="317"/>
      <c r="CA1959" s="317"/>
      <c r="CB1959" s="317"/>
      <c r="CC1959" s="317"/>
      <c r="CD1959" s="317"/>
      <c r="CE1959" s="317"/>
      <c r="CF1959" s="317"/>
      <c r="CG1959" s="317"/>
      <c r="CH1959" s="317"/>
      <c r="CI1959" s="317"/>
      <c r="CM1959" s="1139">
        <f t="shared" si="1189"/>
        <v>0</v>
      </c>
      <c r="CN1959" s="1139">
        <v>0</v>
      </c>
      <c r="CP1959" s="923">
        <f t="shared" si="1188"/>
        <v>0</v>
      </c>
      <c r="CZ1959" s="330"/>
    </row>
    <row r="1960" spans="1:104" ht="15" customHeight="1" x14ac:dyDescent="0.25">
      <c r="A1960" s="684">
        <f>MAX($A$6:A1959)+1</f>
        <v>1960</v>
      </c>
      <c r="B1960" s="1060">
        <f t="shared" si="1207"/>
        <v>51</v>
      </c>
      <c r="C1960" s="292" t="str">
        <f t="shared" si="1208"/>
        <v>Staff Report</v>
      </c>
      <c r="D1960" s="11" t="s">
        <v>1755</v>
      </c>
      <c r="E1960" s="7" t="s">
        <v>1931</v>
      </c>
      <c r="F1960" s="2"/>
      <c r="G1960" s="1254" t="s">
        <v>1931</v>
      </c>
      <c r="H1960" s="6">
        <v>0</v>
      </c>
      <c r="I1960" s="6"/>
      <c r="J1960" s="1257" t="s">
        <v>1931</v>
      </c>
      <c r="K1960" s="251">
        <f>SUMIF('alb A - Staff Report'!A:A,J1960,'alb A - Staff Report'!B:B)</f>
        <v>0</v>
      </c>
      <c r="L1960" s="266"/>
      <c r="M1960" s="2"/>
      <c r="N1960" s="273">
        <f t="shared" si="1198"/>
        <v>0</v>
      </c>
      <c r="O1960" s="12"/>
      <c r="P1960" s="12"/>
      <c r="Q1960" s="12"/>
      <c r="R1960" s="12"/>
      <c r="S1960" s="6">
        <f t="shared" si="1199"/>
        <v>0</v>
      </c>
      <c r="T1960" s="273">
        <f t="shared" si="1200"/>
        <v>0</v>
      </c>
      <c r="U1960" s="6"/>
      <c r="V1960" s="6"/>
      <c r="W1960" s="6">
        <f t="shared" si="1196"/>
        <v>0</v>
      </c>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X1960" s="6"/>
      <c r="AY1960" s="6">
        <f>ROUND(AX1960/1000/Update!$B$31*Update!$B$27,0)</f>
        <v>0</v>
      </c>
      <c r="BA1960" s="6"/>
      <c r="BB1960" s="6">
        <f>ROUND(BA1960/1000/Update!$B$31,0)</f>
        <v>0</v>
      </c>
      <c r="BC1960" s="6"/>
      <c r="BD1960" s="6">
        <f t="shared" si="1201"/>
        <v>0</v>
      </c>
      <c r="BE1960" s="317"/>
      <c r="BF1960" s="317"/>
      <c r="BG1960" s="317"/>
      <c r="BH1960" s="317"/>
      <c r="BI1960" s="317"/>
      <c r="BJ1960" s="317"/>
      <c r="BK1960" s="6">
        <f t="shared" si="1182"/>
        <v>0</v>
      </c>
      <c r="BL1960" s="317"/>
      <c r="BM1960" s="317"/>
      <c r="BN1960" s="317"/>
      <c r="BO1960" s="317"/>
      <c r="BP1960" s="317"/>
      <c r="BQ1960" s="317"/>
      <c r="BR1960" s="317"/>
      <c r="BS1960" s="317"/>
      <c r="BT1960" s="317"/>
      <c r="BU1960" s="317"/>
      <c r="BV1960" s="317"/>
      <c r="BW1960" s="317"/>
      <c r="BX1960" s="317"/>
      <c r="BY1960" s="317"/>
      <c r="BZ1960" s="317"/>
      <c r="CA1960" s="317"/>
      <c r="CB1960" s="317"/>
      <c r="CC1960" s="317"/>
      <c r="CD1960" s="317"/>
      <c r="CE1960" s="317"/>
      <c r="CF1960" s="317"/>
      <c r="CG1960" s="317"/>
      <c r="CH1960" s="317"/>
      <c r="CI1960" s="317"/>
      <c r="CM1960" s="1139">
        <f t="shared" si="1189"/>
        <v>0</v>
      </c>
      <c r="CN1960" s="1139">
        <v>0</v>
      </c>
      <c r="CP1960" s="923">
        <f t="shared" si="1188"/>
        <v>0</v>
      </c>
      <c r="CZ1960" s="330"/>
    </row>
    <row r="1961" spans="1:104" ht="15" customHeight="1" x14ac:dyDescent="0.25">
      <c r="A1961" s="684">
        <f>MAX($A$6:A1960)+1</f>
        <v>1961</v>
      </c>
      <c r="B1961" s="1060">
        <f t="shared" si="1207"/>
        <v>51</v>
      </c>
      <c r="C1961" s="292" t="str">
        <f t="shared" si="1208"/>
        <v>Staff Report</v>
      </c>
      <c r="D1961" s="11" t="s">
        <v>1755</v>
      </c>
      <c r="E1961" s="7" t="s">
        <v>1927</v>
      </c>
      <c r="F1961" s="2"/>
      <c r="G1961" s="1254" t="s">
        <v>1927</v>
      </c>
      <c r="H1961" s="6">
        <v>0</v>
      </c>
      <c r="I1961" s="6"/>
      <c r="J1961" s="1257" t="s">
        <v>1927</v>
      </c>
      <c r="K1961" s="251">
        <f>SUMIF('alb A - Staff Report'!A:A,J1961,'alb A - Staff Report'!B:B)</f>
        <v>0</v>
      </c>
      <c r="L1961" s="266"/>
      <c r="M1961" s="2"/>
      <c r="N1961" s="273">
        <f t="shared" si="1198"/>
        <v>0</v>
      </c>
      <c r="O1961" s="12"/>
      <c r="P1961" s="12"/>
      <c r="Q1961" s="12"/>
      <c r="R1961" s="12"/>
      <c r="S1961" s="6">
        <f t="shared" si="1199"/>
        <v>0</v>
      </c>
      <c r="T1961" s="273">
        <f t="shared" si="1200"/>
        <v>0</v>
      </c>
      <c r="U1961" s="6"/>
      <c r="V1961" s="6"/>
      <c r="W1961" s="6">
        <f t="shared" si="1196"/>
        <v>0</v>
      </c>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X1961" s="6"/>
      <c r="AY1961" s="6">
        <f>ROUND(AX1961/1000/Update!$B$31*Update!$B$27,0)</f>
        <v>0</v>
      </c>
      <c r="BA1961" s="6"/>
      <c r="BB1961" s="6">
        <f>ROUND(BA1961/1000/Update!$B$31,0)</f>
        <v>0</v>
      </c>
      <c r="BC1961" s="6"/>
      <c r="BD1961" s="6">
        <f t="shared" si="1201"/>
        <v>0</v>
      </c>
      <c r="BE1961" s="317"/>
      <c r="BF1961" s="317"/>
      <c r="BG1961" s="317"/>
      <c r="BH1961" s="317"/>
      <c r="BI1961" s="317"/>
      <c r="BJ1961" s="317"/>
      <c r="BK1961" s="6">
        <f t="shared" si="1182"/>
        <v>0</v>
      </c>
      <c r="BL1961" s="317"/>
      <c r="BM1961" s="317"/>
      <c r="BN1961" s="317"/>
      <c r="BO1961" s="317"/>
      <c r="BP1961" s="317"/>
      <c r="BQ1961" s="317"/>
      <c r="BR1961" s="317"/>
      <c r="BS1961" s="317"/>
      <c r="BT1961" s="317"/>
      <c r="BU1961" s="317"/>
      <c r="BV1961" s="317"/>
      <c r="BW1961" s="317"/>
      <c r="BX1961" s="317"/>
      <c r="BY1961" s="317"/>
      <c r="BZ1961" s="317"/>
      <c r="CA1961" s="317"/>
      <c r="CB1961" s="317"/>
      <c r="CC1961" s="317"/>
      <c r="CD1961" s="317"/>
      <c r="CE1961" s="317"/>
      <c r="CF1961" s="317"/>
      <c r="CG1961" s="317"/>
      <c r="CH1961" s="317"/>
      <c r="CI1961" s="317"/>
      <c r="CM1961" s="1139">
        <f t="shared" si="1189"/>
        <v>0</v>
      </c>
      <c r="CN1961" s="1139">
        <v>0</v>
      </c>
      <c r="CP1961" s="923">
        <f t="shared" si="1188"/>
        <v>0</v>
      </c>
      <c r="CZ1961" s="330"/>
    </row>
    <row r="1962" spans="1:104" ht="15" customHeight="1" x14ac:dyDescent="0.25">
      <c r="A1962" s="684">
        <f>MAX($A$6:A1961)+1</f>
        <v>1962</v>
      </c>
      <c r="B1962" s="1060">
        <f t="shared" si="1207"/>
        <v>51</v>
      </c>
      <c r="C1962" s="292" t="str">
        <f t="shared" si="1208"/>
        <v>Staff Report</v>
      </c>
      <c r="D1962" s="11" t="s">
        <v>1755</v>
      </c>
      <c r="E1962" s="7" t="s">
        <v>1932</v>
      </c>
      <c r="F1962" s="2"/>
      <c r="G1962" s="1254" t="s">
        <v>1932</v>
      </c>
      <c r="H1962" s="6">
        <v>0</v>
      </c>
      <c r="I1962" s="6"/>
      <c r="J1962" s="1257" t="s">
        <v>1932</v>
      </c>
      <c r="K1962" s="251">
        <f>SUMIF('alb A - Staff Report'!A:A,J1962,'alb A - Staff Report'!B:B)</f>
        <v>0</v>
      </c>
      <c r="L1962" s="266"/>
      <c r="M1962" s="2"/>
      <c r="N1962" s="273">
        <f t="shared" si="1198"/>
        <v>0</v>
      </c>
      <c r="O1962" s="12"/>
      <c r="P1962" s="12"/>
      <c r="Q1962" s="12"/>
      <c r="R1962" s="12"/>
      <c r="S1962" s="6">
        <f t="shared" si="1199"/>
        <v>0</v>
      </c>
      <c r="T1962" s="273">
        <f t="shared" si="1200"/>
        <v>0</v>
      </c>
      <c r="U1962" s="6"/>
      <c r="V1962" s="6"/>
      <c r="W1962" s="6">
        <f t="shared" si="1196"/>
        <v>0</v>
      </c>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X1962" s="6"/>
      <c r="AY1962" s="6">
        <f>ROUND(AX1962/1000/Update!$B$31*Update!$B$27,0)</f>
        <v>0</v>
      </c>
      <c r="BA1962" s="6"/>
      <c r="BB1962" s="6">
        <f>ROUND(BA1962/1000/Update!$B$31,0)</f>
        <v>0</v>
      </c>
      <c r="BC1962" s="6"/>
      <c r="BD1962" s="6">
        <f t="shared" si="1201"/>
        <v>0</v>
      </c>
      <c r="BE1962" s="317"/>
      <c r="BF1962" s="317"/>
      <c r="BG1962" s="317"/>
      <c r="BH1962" s="317"/>
      <c r="BI1962" s="317"/>
      <c r="BJ1962" s="317"/>
      <c r="BK1962" s="6">
        <f t="shared" si="1182"/>
        <v>0</v>
      </c>
      <c r="BL1962" s="1784"/>
      <c r="BM1962" s="700"/>
      <c r="BN1962" s="700"/>
      <c r="BO1962" s="700"/>
      <c r="BP1962" s="317"/>
      <c r="BQ1962" s="700"/>
      <c r="BR1962" s="700"/>
      <c r="BS1962" s="317"/>
      <c r="BT1962" s="700"/>
      <c r="BU1962" s="700"/>
      <c r="BV1962" s="700"/>
      <c r="BW1962" s="700"/>
      <c r="BX1962" s="700"/>
      <c r="BY1962" s="700"/>
      <c r="BZ1962" s="700"/>
      <c r="CA1962" s="700"/>
      <c r="CB1962" s="700"/>
      <c r="CC1962" s="317"/>
      <c r="CD1962" s="317"/>
      <c r="CE1962" s="317"/>
      <c r="CF1962" s="317"/>
      <c r="CG1962" s="317"/>
      <c r="CH1962" s="317"/>
      <c r="CI1962" s="700"/>
      <c r="CM1962" s="1139">
        <f t="shared" si="1189"/>
        <v>0</v>
      </c>
      <c r="CN1962" s="1139">
        <v>0</v>
      </c>
      <c r="CP1962" s="923">
        <f t="shared" si="1188"/>
        <v>0</v>
      </c>
      <c r="CZ1962" s="330"/>
    </row>
    <row r="1963" spans="1:104" ht="15" customHeight="1" x14ac:dyDescent="0.25">
      <c r="A1963" s="684">
        <f>MAX($A$6:A1962)+1</f>
        <v>1963</v>
      </c>
      <c r="B1963" s="1060">
        <f t="shared" si="1207"/>
        <v>51</v>
      </c>
      <c r="C1963" s="292" t="str">
        <f t="shared" si="1208"/>
        <v>Staff Report</v>
      </c>
      <c r="D1963" s="11" t="s">
        <v>1755</v>
      </c>
      <c r="E1963" s="7" t="s">
        <v>1933</v>
      </c>
      <c r="F1963" s="2"/>
      <c r="G1963" s="1254" t="s">
        <v>1933</v>
      </c>
      <c r="H1963" s="6">
        <v>0</v>
      </c>
      <c r="I1963" s="6"/>
      <c r="J1963" s="1257" t="s">
        <v>1933</v>
      </c>
      <c r="K1963" s="251">
        <f>SUMIF('alb A - Staff Report'!A:A,J1963,'alb A - Staff Report'!B:B)</f>
        <v>0</v>
      </c>
      <c r="L1963" s="266"/>
      <c r="M1963" s="2"/>
      <c r="N1963" s="273">
        <f t="shared" ref="N1963:N1976" si="1209">ROUND(SUM(O1963:AU1963)-T1963,0)</f>
        <v>0</v>
      </c>
      <c r="O1963" s="12"/>
      <c r="P1963" s="12"/>
      <c r="Q1963" s="12"/>
      <c r="R1963" s="12"/>
      <c r="S1963" s="6">
        <f>-IF(ISNUMBER(BD1963),BD1963,0)</f>
        <v>0</v>
      </c>
      <c r="T1963" s="273">
        <f t="shared" ref="T1963:T1976" si="1210">ROUND(SUM(U1963:Y1963),0)</f>
        <v>0</v>
      </c>
      <c r="U1963" s="6"/>
      <c r="V1963" s="6"/>
      <c r="W1963" s="6">
        <f t="shared" si="1196"/>
        <v>0</v>
      </c>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X1963" s="6"/>
      <c r="AY1963" s="6">
        <f>ROUND(AX1963/1000/Update!$B$31*Update!$B$27,0)</f>
        <v>0</v>
      </c>
      <c r="BA1963" s="6"/>
      <c r="BB1963" s="6">
        <f>ROUND(BA1963/1000/Update!$B$31,0)</f>
        <v>0</v>
      </c>
      <c r="BC1963" s="6"/>
      <c r="BD1963" s="6">
        <f t="shared" si="1190"/>
        <v>0</v>
      </c>
      <c r="BE1963" s="317"/>
      <c r="BF1963" s="317"/>
      <c r="BG1963" s="317"/>
      <c r="BH1963" s="317"/>
      <c r="BI1963" s="317"/>
      <c r="BJ1963" s="317"/>
      <c r="BK1963" s="6">
        <f t="shared" si="1182"/>
        <v>0</v>
      </c>
      <c r="BL1963" s="322"/>
      <c r="BM1963" s="322"/>
      <c r="BN1963" s="322"/>
      <c r="BO1963" s="322"/>
      <c r="BP1963" s="317"/>
      <c r="BQ1963" s="322"/>
      <c r="BR1963" s="322"/>
      <c r="BS1963" s="317"/>
      <c r="BT1963" s="322"/>
      <c r="BU1963" s="322"/>
      <c r="BV1963" s="322"/>
      <c r="BW1963" s="322"/>
      <c r="BX1963" s="322"/>
      <c r="BY1963" s="322"/>
      <c r="BZ1963" s="322"/>
      <c r="CA1963" s="322"/>
      <c r="CB1963" s="322"/>
      <c r="CC1963" s="317"/>
      <c r="CD1963" s="317"/>
      <c r="CE1963" s="317"/>
      <c r="CF1963" s="317"/>
      <c r="CG1963" s="317"/>
      <c r="CH1963" s="317"/>
      <c r="CI1963" s="322"/>
      <c r="CM1963" s="1139">
        <f t="shared" si="1189"/>
        <v>0</v>
      </c>
      <c r="CN1963" s="1139">
        <v>0</v>
      </c>
      <c r="CP1963" s="923">
        <f t="shared" si="1188"/>
        <v>0</v>
      </c>
      <c r="CZ1963" s="330"/>
    </row>
    <row r="1964" spans="1:104" ht="18.75" customHeight="1" x14ac:dyDescent="0.25">
      <c r="A1964" s="684">
        <f>MAX($A$6:A1963)+1</f>
        <v>1964</v>
      </c>
      <c r="B1964" s="1295">
        <f>SUMIF(Update!$B$33:$B$106,C1964,Update!$A$33:$A$106)</f>
        <v>70</v>
      </c>
      <c r="C1964" s="696" t="s">
        <v>395</v>
      </c>
      <c r="D1964" s="695"/>
      <c r="E1964" s="696" t="str">
        <f>B1964&amp;" "&amp;C1964</f>
        <v>70 Compensation Packages</v>
      </c>
      <c r="F1964" s="697"/>
      <c r="G1964" s="697"/>
      <c r="H1964" s="695"/>
      <c r="I1964" s="695"/>
      <c r="J1964" s="698" t="s">
        <v>286</v>
      </c>
      <c r="K1964" s="699"/>
      <c r="L1964" s="699"/>
      <c r="M1964" s="695"/>
      <c r="N1964" s="713">
        <f t="shared" si="1209"/>
        <v>0</v>
      </c>
      <c r="O1964" s="695"/>
      <c r="P1964" s="695"/>
      <c r="Q1964" s="695"/>
      <c r="R1964" s="695"/>
      <c r="S1964" s="695">
        <f t="shared" ref="S1964:S2015" si="1211">-IF(ISNUMBER(BD1964),BD1964,0)</f>
        <v>0</v>
      </c>
      <c r="T1964" s="713">
        <f t="shared" si="1210"/>
        <v>0</v>
      </c>
      <c r="U1964" s="695"/>
      <c r="V1964" s="695"/>
      <c r="W1964" s="695"/>
      <c r="X1964" s="695"/>
      <c r="Y1964" s="695"/>
      <c r="Z1964" s="695"/>
      <c r="AA1964" s="695"/>
      <c r="AB1964" s="695"/>
      <c r="AC1964" s="695"/>
      <c r="AD1964" s="695"/>
      <c r="AE1964" s="695"/>
      <c r="AF1964" s="695"/>
      <c r="AG1964" s="695"/>
      <c r="AH1964" s="695"/>
      <c r="AI1964" s="695"/>
      <c r="AJ1964" s="695"/>
      <c r="AK1964" s="695"/>
      <c r="AL1964" s="695"/>
      <c r="AM1964" s="695"/>
      <c r="AN1964" s="695"/>
      <c r="AO1964" s="695"/>
      <c r="AP1964" s="695"/>
      <c r="AQ1964" s="695"/>
      <c r="AR1964" s="695"/>
      <c r="AS1964" s="695"/>
      <c r="AT1964" s="695"/>
      <c r="AU1964" s="695"/>
      <c r="AV1964" s="695"/>
      <c r="AW1964" s="700"/>
      <c r="AX1964" s="700"/>
      <c r="AY1964" s="700">
        <f>ROUND(AX1964/1000/Update!$B$31*Update!$B$27,0)</f>
        <v>0</v>
      </c>
      <c r="AZ1964" s="700"/>
      <c r="BA1964" s="700"/>
      <c r="BB1964" s="700">
        <f>ROUND(BA1964/1000/Update!$B$31,0)</f>
        <v>0</v>
      </c>
      <c r="BC1964" s="700"/>
      <c r="BD1964" s="721">
        <f t="shared" si="1190"/>
        <v>0</v>
      </c>
      <c r="BE1964" s="700"/>
      <c r="BF1964" s="700"/>
      <c r="BG1964" s="700"/>
      <c r="BH1964" s="700"/>
      <c r="BI1964" s="700"/>
      <c r="BJ1964" s="700"/>
      <c r="BK1964" s="721">
        <f t="shared" si="1182"/>
        <v>0</v>
      </c>
      <c r="BL1964" s="322"/>
      <c r="BM1964" s="322"/>
      <c r="BN1964" s="322"/>
      <c r="BO1964" s="322"/>
      <c r="BP1964" s="700"/>
      <c r="BQ1964" s="322"/>
      <c r="BR1964" s="322"/>
      <c r="BS1964" s="700"/>
      <c r="BT1964" s="322"/>
      <c r="BU1964" s="322"/>
      <c r="BV1964" s="322"/>
      <c r="BW1964" s="322"/>
      <c r="BX1964" s="322"/>
      <c r="BY1964" s="322"/>
      <c r="BZ1964" s="322"/>
      <c r="CA1964" s="322"/>
      <c r="CB1964" s="322"/>
      <c r="CC1964" s="700"/>
      <c r="CD1964" s="700"/>
      <c r="CE1964" s="700"/>
      <c r="CF1964" s="700"/>
      <c r="CG1964" s="700"/>
      <c r="CH1964" s="700"/>
      <c r="CI1964" s="322"/>
      <c r="CJ1964" s="700"/>
      <c r="CK1964" s="700"/>
      <c r="CM1964" s="700">
        <f t="shared" si="1189"/>
        <v>0</v>
      </c>
      <c r="CN1964" s="700">
        <v>0</v>
      </c>
      <c r="CP1964" s="923">
        <f t="shared" si="1188"/>
        <v>0</v>
      </c>
      <c r="CZ1964" s="330"/>
    </row>
    <row r="1965" spans="1:104" ht="45" customHeight="1" x14ac:dyDescent="0.25">
      <c r="A1965" s="684">
        <f>MAX($A$6:A1964)+1</f>
        <v>1965</v>
      </c>
      <c r="B1965" s="1060">
        <f t="shared" ref="B1965:B1996" si="1212">B1964</f>
        <v>70</v>
      </c>
      <c r="C1965" s="292" t="s">
        <v>395</v>
      </c>
      <c r="D1965" s="292" t="s">
        <v>391</v>
      </c>
      <c r="E1965" s="7" t="s">
        <v>394</v>
      </c>
      <c r="F1965" s="7"/>
      <c r="G1965" s="26"/>
      <c r="H1965" s="1190"/>
      <c r="I1965" s="6"/>
      <c r="J1965" s="1257" t="s">
        <v>286</v>
      </c>
      <c r="K1965" s="266"/>
      <c r="L1965" s="266"/>
      <c r="M1965" s="2"/>
      <c r="N1965" s="273">
        <f t="shared" si="1209"/>
        <v>0</v>
      </c>
      <c r="O1965" s="12"/>
      <c r="P1965" s="12"/>
      <c r="Q1965" s="12"/>
      <c r="R1965" s="12"/>
      <c r="S1965" s="6">
        <f t="shared" si="1211"/>
        <v>0</v>
      </c>
      <c r="T1965" s="273">
        <f t="shared" si="1210"/>
        <v>0</v>
      </c>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X1965" s="6"/>
      <c r="AY1965" s="6"/>
      <c r="BA1965" s="6"/>
      <c r="BB1965" s="6"/>
      <c r="BC1965" s="6"/>
      <c r="BD1965" s="6">
        <f t="shared" si="1190"/>
        <v>0</v>
      </c>
      <c r="BE1965" s="322"/>
      <c r="BF1965" s="322"/>
      <c r="BG1965" s="322"/>
      <c r="BH1965" s="322"/>
      <c r="BI1965" s="322"/>
      <c r="BJ1965" s="322"/>
      <c r="BK1965" s="6">
        <f t="shared" si="1182"/>
        <v>0</v>
      </c>
      <c r="BL1965" s="322"/>
      <c r="BM1965" s="322"/>
      <c r="BN1965" s="322"/>
      <c r="BO1965" s="322"/>
      <c r="BP1965" s="322"/>
      <c r="BQ1965" s="322"/>
      <c r="BR1965" s="322"/>
      <c r="BS1965" s="322"/>
      <c r="BT1965" s="322"/>
      <c r="BU1965" s="322"/>
      <c r="BV1965" s="322"/>
      <c r="BW1965" s="322"/>
      <c r="BX1965" s="322"/>
      <c r="BY1965" s="322"/>
      <c r="BZ1965" s="322"/>
      <c r="CA1965" s="322"/>
      <c r="CB1965" s="322"/>
      <c r="CC1965" s="322"/>
      <c r="CD1965" s="322"/>
      <c r="CE1965" s="322"/>
      <c r="CF1965" s="322"/>
      <c r="CG1965" s="322"/>
      <c r="CH1965" s="322"/>
      <c r="CI1965" s="322"/>
      <c r="CM1965" s="1139">
        <f t="shared" si="1189"/>
        <v>0</v>
      </c>
      <c r="CN1965" s="1139">
        <v>0</v>
      </c>
      <c r="CP1965" s="923">
        <f t="shared" si="1188"/>
        <v>0</v>
      </c>
      <c r="CZ1965" s="330"/>
    </row>
    <row r="1966" spans="1:104" ht="60" customHeight="1" x14ac:dyDescent="0.25">
      <c r="A1966" s="684">
        <f>MAX($A$6:A1965)+1</f>
        <v>1966</v>
      </c>
      <c r="B1966" s="1060">
        <f t="shared" si="1212"/>
        <v>70</v>
      </c>
      <c r="C1966" s="292" t="s">
        <v>395</v>
      </c>
      <c r="D1966" s="292" t="s">
        <v>391</v>
      </c>
      <c r="E1966" s="7" t="s">
        <v>393</v>
      </c>
      <c r="F1966" s="7"/>
      <c r="G1966" s="26"/>
      <c r="H1966" s="1190"/>
      <c r="I1966" s="6"/>
      <c r="J1966" s="1257" t="s">
        <v>286</v>
      </c>
      <c r="K1966" s="266"/>
      <c r="L1966" s="266"/>
      <c r="M1966" s="2"/>
      <c r="N1966" s="273">
        <f t="shared" si="1209"/>
        <v>0</v>
      </c>
      <c r="O1966" s="12"/>
      <c r="P1966" s="12"/>
      <c r="Q1966" s="12"/>
      <c r="R1966" s="12"/>
      <c r="S1966" s="6">
        <f t="shared" si="1211"/>
        <v>0</v>
      </c>
      <c r="T1966" s="273">
        <f t="shared" si="1210"/>
        <v>0</v>
      </c>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X1966" s="6"/>
      <c r="AY1966" s="6">
        <f>ROUND(AX1966/1000/Update!$B$31*Update!$B$27,0)</f>
        <v>0</v>
      </c>
      <c r="BA1966" s="6"/>
      <c r="BB1966" s="6">
        <f>ROUND(BA1966/1000/Update!$B$31,0)</f>
        <v>0</v>
      </c>
      <c r="BC1966" s="6"/>
      <c r="BD1966" s="6">
        <f t="shared" si="1190"/>
        <v>0</v>
      </c>
      <c r="BE1966" s="322"/>
      <c r="BF1966" s="322"/>
      <c r="BG1966" s="322"/>
      <c r="BH1966" s="322"/>
      <c r="BI1966" s="322"/>
      <c r="BJ1966" s="322"/>
      <c r="BK1966" s="6">
        <f t="shared" si="1182"/>
        <v>0</v>
      </c>
      <c r="BL1966" s="322"/>
      <c r="BM1966" s="322"/>
      <c r="BN1966" s="322"/>
      <c r="BO1966" s="322"/>
      <c r="BP1966" s="322"/>
      <c r="BQ1966" s="322"/>
      <c r="BR1966" s="322"/>
      <c r="BS1966" s="322"/>
      <c r="BT1966" s="322"/>
      <c r="BU1966" s="322"/>
      <c r="BV1966" s="322"/>
      <c r="BW1966" s="322"/>
      <c r="BX1966" s="322"/>
      <c r="BY1966" s="322"/>
      <c r="BZ1966" s="322"/>
      <c r="CA1966" s="322"/>
      <c r="CB1966" s="322"/>
      <c r="CC1966" s="322"/>
      <c r="CD1966" s="322"/>
      <c r="CE1966" s="322"/>
      <c r="CF1966" s="322"/>
      <c r="CG1966" s="322"/>
      <c r="CH1966" s="322"/>
      <c r="CI1966" s="322"/>
      <c r="CM1966" s="1139">
        <f t="shared" si="1189"/>
        <v>0</v>
      </c>
      <c r="CN1966" s="1139">
        <v>0</v>
      </c>
      <c r="CP1966" s="923">
        <f t="shared" si="1188"/>
        <v>0</v>
      </c>
      <c r="CZ1966" s="330"/>
    </row>
    <row r="1967" spans="1:104" ht="15" customHeight="1" x14ac:dyDescent="0.25">
      <c r="A1967" s="684">
        <f>MAX($A$6:A1966)+1</f>
        <v>1967</v>
      </c>
      <c r="B1967" s="1060">
        <f t="shared" si="1212"/>
        <v>70</v>
      </c>
      <c r="C1967" s="292" t="s">
        <v>395</v>
      </c>
      <c r="D1967" s="11" t="s">
        <v>403</v>
      </c>
      <c r="E1967" s="7" t="s">
        <v>892</v>
      </c>
      <c r="F1967" s="7"/>
      <c r="G1967" s="1287" t="s">
        <v>892</v>
      </c>
      <c r="H1967" s="6">
        <v>0</v>
      </c>
      <c r="I1967" s="6"/>
      <c r="J1967" s="1257" t="s">
        <v>892</v>
      </c>
      <c r="K1967" s="251">
        <f>SUMIF('alb A - Compensation packages'!$B:$B,$J1967,'alb A - Compensation packages'!$C:$C)</f>
        <v>0</v>
      </c>
      <c r="L1967" s="266"/>
      <c r="M1967" s="2"/>
      <c r="N1967" s="273">
        <f t="shared" si="1209"/>
        <v>0</v>
      </c>
      <c r="O1967" s="12"/>
      <c r="P1967" s="12"/>
      <c r="Q1967" s="12"/>
      <c r="R1967" s="12"/>
      <c r="S1967" s="6">
        <f t="shared" si="1211"/>
        <v>0</v>
      </c>
      <c r="T1967" s="273">
        <f t="shared" si="1210"/>
        <v>0</v>
      </c>
      <c r="U1967" s="6"/>
      <c r="V1967" s="6"/>
      <c r="W1967" s="6">
        <f t="shared" ref="W1967:W1976" si="1213">+H1967</f>
        <v>0</v>
      </c>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X1967" s="6"/>
      <c r="AY1967" s="6">
        <f>ROUND(AX1967/1000/Update!$B$31*Update!$B$27,0)</f>
        <v>0</v>
      </c>
      <c r="BA1967" s="6"/>
      <c r="BB1967" s="6">
        <f>ROUND(BA1967/1000/Update!$B$31,0)</f>
        <v>0</v>
      </c>
      <c r="BC1967" s="6"/>
      <c r="BD1967" s="6">
        <f t="shared" si="1190"/>
        <v>0</v>
      </c>
      <c r="BE1967" s="322"/>
      <c r="BF1967" s="322"/>
      <c r="BG1967" s="322"/>
      <c r="BH1967" s="322"/>
      <c r="BI1967" s="322"/>
      <c r="BJ1967" s="322"/>
      <c r="BK1967" s="6">
        <f t="shared" si="1182"/>
        <v>0</v>
      </c>
      <c r="BL1967" s="322"/>
      <c r="BM1967" s="322"/>
      <c r="BN1967" s="322"/>
      <c r="BO1967" s="322"/>
      <c r="BP1967" s="322"/>
      <c r="BQ1967" s="322"/>
      <c r="BR1967" s="322"/>
      <c r="BS1967" s="322"/>
      <c r="BT1967" s="322"/>
      <c r="BU1967" s="322"/>
      <c r="BV1967" s="322"/>
      <c r="BW1967" s="322"/>
      <c r="BX1967" s="322"/>
      <c r="BY1967" s="322"/>
      <c r="BZ1967" s="322"/>
      <c r="CA1967" s="322"/>
      <c r="CB1967" s="322"/>
      <c r="CC1967" s="322"/>
      <c r="CD1967" s="322"/>
      <c r="CE1967" s="322"/>
      <c r="CF1967" s="322"/>
      <c r="CG1967" s="322"/>
      <c r="CH1967" s="322"/>
      <c r="CI1967" s="322"/>
      <c r="CM1967" s="1139">
        <f t="shared" si="1189"/>
        <v>0</v>
      </c>
      <c r="CN1967" s="1139">
        <v>0</v>
      </c>
      <c r="CP1967" s="923">
        <f t="shared" si="1188"/>
        <v>0</v>
      </c>
      <c r="CZ1967" s="330"/>
    </row>
    <row r="1968" spans="1:104" ht="15" customHeight="1" x14ac:dyDescent="0.25">
      <c r="A1968" s="684">
        <f>MAX($A$6:A1967)+1</f>
        <v>1968</v>
      </c>
      <c r="B1968" s="1060">
        <f t="shared" si="1212"/>
        <v>70</v>
      </c>
      <c r="C1968" s="292" t="s">
        <v>395</v>
      </c>
      <c r="D1968" s="11" t="s">
        <v>403</v>
      </c>
      <c r="E1968" s="7" t="s">
        <v>396</v>
      </c>
      <c r="F1968" s="7"/>
      <c r="G1968" s="1254" t="s">
        <v>484</v>
      </c>
      <c r="H1968" s="6">
        <v>0</v>
      </c>
      <c r="I1968" s="6"/>
      <c r="J1968" s="1257" t="s">
        <v>396</v>
      </c>
      <c r="K1968" s="251">
        <f>SUMIF('alb A - Compensation packages'!$B:$B,$J1968,'alb A - Compensation packages'!$C:$C)</f>
        <v>0</v>
      </c>
      <c r="L1968" s="266"/>
      <c r="M1968" s="2"/>
      <c r="N1968" s="273">
        <f t="shared" si="1209"/>
        <v>0</v>
      </c>
      <c r="O1968" s="12"/>
      <c r="P1968" s="12"/>
      <c r="Q1968" s="12"/>
      <c r="R1968" s="12"/>
      <c r="S1968" s="6">
        <f t="shared" si="1211"/>
        <v>0</v>
      </c>
      <c r="T1968" s="273">
        <f t="shared" si="1210"/>
        <v>0</v>
      </c>
      <c r="U1968" s="6"/>
      <c r="V1968" s="6"/>
      <c r="W1968" s="6">
        <f t="shared" si="1213"/>
        <v>0</v>
      </c>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X1968" s="6"/>
      <c r="AY1968" s="6">
        <f>ROUND(AX1968/1000/Update!$B$31*Update!$B$27,0)</f>
        <v>0</v>
      </c>
      <c r="BA1968" s="6"/>
      <c r="BB1968" s="6">
        <f>ROUND(BA1968/1000/Update!$B$31,0)</f>
        <v>0</v>
      </c>
      <c r="BC1968" s="6"/>
      <c r="BD1968" s="6">
        <f t="shared" si="1190"/>
        <v>0</v>
      </c>
      <c r="BE1968" s="322"/>
      <c r="BF1968" s="322"/>
      <c r="BG1968" s="322"/>
      <c r="BH1968" s="322"/>
      <c r="BI1968" s="322"/>
      <c r="BJ1968" s="322"/>
      <c r="BK1968" s="6">
        <f t="shared" si="1182"/>
        <v>0</v>
      </c>
      <c r="BL1968" s="322"/>
      <c r="BM1968" s="322"/>
      <c r="BN1968" s="322"/>
      <c r="BO1968" s="322"/>
      <c r="BP1968" s="322"/>
      <c r="BQ1968" s="322"/>
      <c r="BR1968" s="322"/>
      <c r="BS1968" s="322"/>
      <c r="BT1968" s="322"/>
      <c r="BU1968" s="322"/>
      <c r="BV1968" s="322"/>
      <c r="BW1968" s="322"/>
      <c r="BX1968" s="322"/>
      <c r="BY1968" s="322"/>
      <c r="BZ1968" s="322"/>
      <c r="CA1968" s="322"/>
      <c r="CB1968" s="322"/>
      <c r="CC1968" s="322"/>
      <c r="CD1968" s="322"/>
      <c r="CE1968" s="322"/>
      <c r="CF1968" s="322"/>
      <c r="CG1968" s="322"/>
      <c r="CH1968" s="322"/>
      <c r="CI1968" s="322"/>
      <c r="CM1968" s="1139">
        <f t="shared" si="1189"/>
        <v>0</v>
      </c>
      <c r="CN1968" s="1139">
        <v>0</v>
      </c>
      <c r="CP1968" s="923">
        <f t="shared" si="1188"/>
        <v>0</v>
      </c>
      <c r="CZ1968" s="330"/>
    </row>
    <row r="1969" spans="1:104" ht="15" customHeight="1" x14ac:dyDescent="0.25">
      <c r="A1969" s="684">
        <f>MAX($A$6:A1968)+1</f>
        <v>1969</v>
      </c>
      <c r="B1969" s="1060">
        <f t="shared" si="1212"/>
        <v>70</v>
      </c>
      <c r="C1969" s="292" t="s">
        <v>395</v>
      </c>
      <c r="D1969" s="11" t="s">
        <v>403</v>
      </c>
      <c r="E1969" s="7" t="s">
        <v>397</v>
      </c>
      <c r="F1969" s="7"/>
      <c r="G1969" s="1254" t="s">
        <v>485</v>
      </c>
      <c r="H1969" s="6">
        <v>0</v>
      </c>
      <c r="I1969" s="6"/>
      <c r="J1969" s="1257" t="s">
        <v>397</v>
      </c>
      <c r="K1969" s="251">
        <f>SUMIF('alb A - Compensation packages'!$B:$B,$J1969,'alb A - Compensation packages'!$C:$C)</f>
        <v>0</v>
      </c>
      <c r="L1969" s="266"/>
      <c r="M1969" s="2"/>
      <c r="N1969" s="273">
        <f t="shared" si="1209"/>
        <v>0</v>
      </c>
      <c r="O1969" s="12"/>
      <c r="P1969" s="12"/>
      <c r="Q1969" s="12"/>
      <c r="R1969" s="12"/>
      <c r="S1969" s="6">
        <f t="shared" si="1211"/>
        <v>0</v>
      </c>
      <c r="T1969" s="273">
        <f t="shared" si="1210"/>
        <v>0</v>
      </c>
      <c r="U1969" s="6"/>
      <c r="V1969" s="6"/>
      <c r="W1969" s="6">
        <f t="shared" si="1213"/>
        <v>0</v>
      </c>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X1969" s="6"/>
      <c r="AY1969" s="6">
        <f>ROUND(AX1969/1000/Update!$B$31*Update!$B$27,0)</f>
        <v>0</v>
      </c>
      <c r="BA1969" s="6"/>
      <c r="BB1969" s="6">
        <f>ROUND(BA1969/1000/Update!$B$31,0)</f>
        <v>0</v>
      </c>
      <c r="BC1969" s="6"/>
      <c r="BD1969" s="6">
        <f t="shared" si="1190"/>
        <v>0</v>
      </c>
      <c r="BE1969" s="322"/>
      <c r="BF1969" s="322"/>
      <c r="BG1969" s="322"/>
      <c r="BH1969" s="322"/>
      <c r="BI1969" s="322"/>
      <c r="BJ1969" s="322"/>
      <c r="BK1969" s="6">
        <f t="shared" si="1182"/>
        <v>0</v>
      </c>
      <c r="BL1969" s="322"/>
      <c r="BM1969" s="322"/>
      <c r="BN1969" s="322"/>
      <c r="BO1969" s="322"/>
      <c r="BP1969" s="322"/>
      <c r="BQ1969" s="322"/>
      <c r="BR1969" s="322"/>
      <c r="BS1969" s="322"/>
      <c r="BT1969" s="322"/>
      <c r="BU1969" s="322"/>
      <c r="BV1969" s="322"/>
      <c r="BW1969" s="322"/>
      <c r="BX1969" s="322"/>
      <c r="BY1969" s="322"/>
      <c r="BZ1969" s="322"/>
      <c r="CA1969" s="322"/>
      <c r="CB1969" s="322"/>
      <c r="CC1969" s="322"/>
      <c r="CD1969" s="322"/>
      <c r="CE1969" s="322"/>
      <c r="CF1969" s="322"/>
      <c r="CG1969" s="322"/>
      <c r="CH1969" s="322"/>
      <c r="CI1969" s="322"/>
      <c r="CM1969" s="1139">
        <f t="shared" si="1189"/>
        <v>0</v>
      </c>
      <c r="CN1969" s="1139">
        <v>0</v>
      </c>
      <c r="CP1969" s="923">
        <f t="shared" si="1188"/>
        <v>0</v>
      </c>
      <c r="CZ1969" s="330"/>
    </row>
    <row r="1970" spans="1:104" ht="15" customHeight="1" x14ac:dyDescent="0.25">
      <c r="A1970" s="684">
        <f>MAX($A$6:A1969)+1</f>
        <v>1970</v>
      </c>
      <c r="B1970" s="1060">
        <f t="shared" si="1212"/>
        <v>70</v>
      </c>
      <c r="C1970" s="292" t="s">
        <v>395</v>
      </c>
      <c r="D1970" s="11" t="s">
        <v>403</v>
      </c>
      <c r="E1970" s="7" t="s">
        <v>398</v>
      </c>
      <c r="F1970" s="7"/>
      <c r="G1970" s="1254" t="s">
        <v>486</v>
      </c>
      <c r="H1970" s="6">
        <v>0</v>
      </c>
      <c r="I1970" s="6"/>
      <c r="J1970" s="1257" t="s">
        <v>398</v>
      </c>
      <c r="K1970" s="251">
        <f>SUMIF('alb A - Compensation packages'!$B:$B,$J1970,'alb A - Compensation packages'!$C:$C)</f>
        <v>0</v>
      </c>
      <c r="L1970" s="266"/>
      <c r="M1970" s="2"/>
      <c r="N1970" s="273">
        <f t="shared" si="1209"/>
        <v>0</v>
      </c>
      <c r="O1970" s="12"/>
      <c r="P1970" s="12"/>
      <c r="Q1970" s="12"/>
      <c r="R1970" s="12"/>
      <c r="S1970" s="6">
        <f t="shared" si="1211"/>
        <v>0</v>
      </c>
      <c r="T1970" s="273">
        <f t="shared" si="1210"/>
        <v>0</v>
      </c>
      <c r="U1970" s="6"/>
      <c r="V1970" s="6"/>
      <c r="W1970" s="6">
        <f t="shared" si="1213"/>
        <v>0</v>
      </c>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X1970" s="6"/>
      <c r="AY1970" s="6">
        <f>ROUND(AX1970/1000/Update!$B$31*Update!$B$27,0)</f>
        <v>0</v>
      </c>
      <c r="BA1970" s="6"/>
      <c r="BB1970" s="6">
        <f>ROUND(BA1970/1000/Update!$B$31,0)</f>
        <v>0</v>
      </c>
      <c r="BC1970" s="6"/>
      <c r="BD1970" s="6">
        <f t="shared" si="1190"/>
        <v>0</v>
      </c>
      <c r="BE1970" s="322"/>
      <c r="BF1970" s="322"/>
      <c r="BG1970" s="322"/>
      <c r="BH1970" s="322"/>
      <c r="BI1970" s="322"/>
      <c r="BJ1970" s="322"/>
      <c r="BK1970" s="6">
        <f t="shared" si="1182"/>
        <v>0</v>
      </c>
      <c r="BL1970" s="322"/>
      <c r="BM1970" s="322"/>
      <c r="BN1970" s="322"/>
      <c r="BO1970" s="322"/>
      <c r="BP1970" s="322"/>
      <c r="BQ1970" s="322"/>
      <c r="BR1970" s="322"/>
      <c r="BS1970" s="322"/>
      <c r="BT1970" s="322"/>
      <c r="BU1970" s="322"/>
      <c r="BV1970" s="322"/>
      <c r="BW1970" s="322"/>
      <c r="BX1970" s="322"/>
      <c r="BY1970" s="322"/>
      <c r="BZ1970" s="322"/>
      <c r="CA1970" s="322"/>
      <c r="CB1970" s="322"/>
      <c r="CC1970" s="322"/>
      <c r="CD1970" s="322"/>
      <c r="CE1970" s="322"/>
      <c r="CF1970" s="322"/>
      <c r="CG1970" s="322"/>
      <c r="CH1970" s="322"/>
      <c r="CI1970" s="322"/>
      <c r="CM1970" s="1139">
        <f t="shared" si="1189"/>
        <v>0</v>
      </c>
      <c r="CN1970" s="1139">
        <v>0</v>
      </c>
      <c r="CP1970" s="923">
        <f t="shared" si="1188"/>
        <v>0</v>
      </c>
      <c r="CZ1970" s="330"/>
    </row>
    <row r="1971" spans="1:104" ht="15" customHeight="1" x14ac:dyDescent="0.25">
      <c r="A1971" s="684">
        <f>MAX($A$6:A1970)+1</f>
        <v>1971</v>
      </c>
      <c r="B1971" s="1060">
        <f t="shared" si="1212"/>
        <v>70</v>
      </c>
      <c r="C1971" s="292" t="s">
        <v>395</v>
      </c>
      <c r="D1971" s="11" t="s">
        <v>403</v>
      </c>
      <c r="E1971" s="7" t="s">
        <v>399</v>
      </c>
      <c r="F1971" s="7"/>
      <c r="G1971" s="1254" t="s">
        <v>487</v>
      </c>
      <c r="H1971" s="6">
        <v>0</v>
      </c>
      <c r="I1971" s="6"/>
      <c r="J1971" s="1257" t="s">
        <v>399</v>
      </c>
      <c r="K1971" s="251">
        <f>SUMIF('alb A - Compensation packages'!$B:$B,$J1971,'alb A - Compensation packages'!$C:$C)</f>
        <v>0</v>
      </c>
      <c r="L1971" s="266"/>
      <c r="M1971" s="2"/>
      <c r="N1971" s="273">
        <f t="shared" si="1209"/>
        <v>0</v>
      </c>
      <c r="O1971" s="12"/>
      <c r="P1971" s="12"/>
      <c r="Q1971" s="12"/>
      <c r="R1971" s="12"/>
      <c r="S1971" s="6">
        <f t="shared" si="1211"/>
        <v>0</v>
      </c>
      <c r="T1971" s="273">
        <f t="shared" si="1210"/>
        <v>0</v>
      </c>
      <c r="U1971" s="6"/>
      <c r="V1971" s="6"/>
      <c r="W1971" s="6">
        <f t="shared" si="1213"/>
        <v>0</v>
      </c>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X1971" s="6"/>
      <c r="AY1971" s="6">
        <f>ROUND(AX1971/1000/Update!$B$31*Update!$B$27,0)</f>
        <v>0</v>
      </c>
      <c r="BA1971" s="6"/>
      <c r="BB1971" s="6">
        <f>ROUND(BA1971/1000/Update!$B$31,0)</f>
        <v>0</v>
      </c>
      <c r="BC1971" s="6"/>
      <c r="BD1971" s="6">
        <f t="shared" si="1190"/>
        <v>0</v>
      </c>
      <c r="BE1971" s="322"/>
      <c r="BF1971" s="322"/>
      <c r="BG1971" s="322"/>
      <c r="BH1971" s="322"/>
      <c r="BI1971" s="322"/>
      <c r="BJ1971" s="322"/>
      <c r="BK1971" s="6">
        <f t="shared" si="1182"/>
        <v>0</v>
      </c>
      <c r="BL1971" s="322"/>
      <c r="BM1971" s="322"/>
      <c r="BN1971" s="322"/>
      <c r="BO1971" s="322"/>
      <c r="BP1971" s="322"/>
      <c r="BQ1971" s="322"/>
      <c r="BR1971" s="322"/>
      <c r="BS1971" s="322"/>
      <c r="BT1971" s="322"/>
      <c r="BU1971" s="322"/>
      <c r="BV1971" s="322"/>
      <c r="BW1971" s="322"/>
      <c r="BX1971" s="322"/>
      <c r="BY1971" s="322"/>
      <c r="BZ1971" s="322"/>
      <c r="CA1971" s="322"/>
      <c r="CB1971" s="322"/>
      <c r="CC1971" s="322"/>
      <c r="CD1971" s="322"/>
      <c r="CE1971" s="322"/>
      <c r="CF1971" s="322"/>
      <c r="CG1971" s="322"/>
      <c r="CH1971" s="322"/>
      <c r="CI1971" s="322"/>
      <c r="CM1971" s="1139">
        <f t="shared" si="1189"/>
        <v>0</v>
      </c>
      <c r="CN1971" s="1139">
        <v>0</v>
      </c>
      <c r="CP1971" s="923">
        <f t="shared" si="1188"/>
        <v>0</v>
      </c>
      <c r="CZ1971" s="330"/>
    </row>
    <row r="1972" spans="1:104" ht="15" customHeight="1" x14ac:dyDescent="0.25">
      <c r="A1972" s="684">
        <f>MAX($A$6:A1971)+1</f>
        <v>1972</v>
      </c>
      <c r="B1972" s="1060">
        <f t="shared" si="1212"/>
        <v>70</v>
      </c>
      <c r="C1972" s="292" t="s">
        <v>395</v>
      </c>
      <c r="D1972" s="11" t="s">
        <v>403</v>
      </c>
      <c r="E1972" s="7" t="s">
        <v>400</v>
      </c>
      <c r="F1972" s="7"/>
      <c r="G1972" s="1254" t="s">
        <v>488</v>
      </c>
      <c r="H1972" s="6">
        <v>0</v>
      </c>
      <c r="I1972" s="6"/>
      <c r="J1972" s="1257" t="s">
        <v>400</v>
      </c>
      <c r="K1972" s="251">
        <f>SUMIF('alb A - Compensation packages'!$B:$B,$J1972,'alb A - Compensation packages'!$C:$C)</f>
        <v>0</v>
      </c>
      <c r="L1972" s="266"/>
      <c r="M1972" s="2"/>
      <c r="N1972" s="273">
        <f t="shared" si="1209"/>
        <v>0</v>
      </c>
      <c r="O1972" s="12"/>
      <c r="P1972" s="12"/>
      <c r="Q1972" s="12"/>
      <c r="R1972" s="12"/>
      <c r="S1972" s="6">
        <f t="shared" si="1211"/>
        <v>0</v>
      </c>
      <c r="T1972" s="273">
        <f t="shared" si="1210"/>
        <v>0</v>
      </c>
      <c r="U1972" s="6"/>
      <c r="V1972" s="6"/>
      <c r="W1972" s="6">
        <f t="shared" si="1213"/>
        <v>0</v>
      </c>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X1972" s="6"/>
      <c r="AY1972" s="6">
        <f>ROUND(AX1972/1000/Update!$B$31*Update!$B$27,0)</f>
        <v>0</v>
      </c>
      <c r="BA1972" s="6"/>
      <c r="BB1972" s="6">
        <f>ROUND(BA1972/1000/Update!$B$31,0)</f>
        <v>0</v>
      </c>
      <c r="BC1972" s="6"/>
      <c r="BD1972" s="6">
        <f t="shared" si="1190"/>
        <v>0</v>
      </c>
      <c r="BE1972" s="322"/>
      <c r="BF1972" s="322"/>
      <c r="BG1972" s="322"/>
      <c r="BH1972" s="322"/>
      <c r="BI1972" s="322"/>
      <c r="BJ1972" s="322"/>
      <c r="BK1972" s="6">
        <f t="shared" si="1182"/>
        <v>0</v>
      </c>
      <c r="BL1972" s="322"/>
      <c r="BM1972" s="322"/>
      <c r="BN1972" s="322"/>
      <c r="BO1972" s="322"/>
      <c r="BP1972" s="322"/>
      <c r="BQ1972" s="322"/>
      <c r="BR1972" s="322"/>
      <c r="BS1972" s="322"/>
      <c r="BT1972" s="322"/>
      <c r="BU1972" s="322"/>
      <c r="BV1972" s="322"/>
      <c r="BW1972" s="322"/>
      <c r="BX1972" s="322"/>
      <c r="BY1972" s="322"/>
      <c r="BZ1972" s="322"/>
      <c r="CA1972" s="322"/>
      <c r="CB1972" s="322"/>
      <c r="CC1972" s="322"/>
      <c r="CD1972" s="322"/>
      <c r="CE1972" s="322"/>
      <c r="CF1972" s="322"/>
      <c r="CG1972" s="322"/>
      <c r="CH1972" s="322"/>
      <c r="CI1972" s="322"/>
      <c r="CM1972" s="1139">
        <f t="shared" si="1189"/>
        <v>0</v>
      </c>
      <c r="CN1972" s="1139">
        <v>0</v>
      </c>
      <c r="CP1972" s="923">
        <f t="shared" si="1188"/>
        <v>0</v>
      </c>
      <c r="CZ1972" s="330"/>
    </row>
    <row r="1973" spans="1:104" ht="15" customHeight="1" x14ac:dyDescent="0.25">
      <c r="A1973" s="684">
        <f>MAX($A$6:A1972)+1</f>
        <v>1973</v>
      </c>
      <c r="B1973" s="1060">
        <f t="shared" si="1212"/>
        <v>70</v>
      </c>
      <c r="C1973" s="292" t="s">
        <v>395</v>
      </c>
      <c r="D1973" s="11" t="s">
        <v>403</v>
      </c>
      <c r="E1973" s="7" t="s">
        <v>888</v>
      </c>
      <c r="F1973" s="7"/>
      <c r="G1973" s="1254" t="s">
        <v>489</v>
      </c>
      <c r="H1973" s="6">
        <v>0</v>
      </c>
      <c r="I1973" s="6"/>
      <c r="J1973" s="1257" t="s">
        <v>888</v>
      </c>
      <c r="K1973" s="251">
        <f>SUMIF('alb A - Compensation packages'!$B:$B,$J1973,'alb A - Compensation packages'!$C:$C)</f>
        <v>0</v>
      </c>
      <c r="L1973" s="266"/>
      <c r="M1973" s="2"/>
      <c r="N1973" s="273">
        <f t="shared" si="1209"/>
        <v>0</v>
      </c>
      <c r="O1973" s="12"/>
      <c r="P1973" s="12"/>
      <c r="Q1973" s="12"/>
      <c r="R1973" s="12"/>
      <c r="S1973" s="6">
        <f t="shared" si="1211"/>
        <v>0</v>
      </c>
      <c r="T1973" s="273">
        <f t="shared" si="1210"/>
        <v>0</v>
      </c>
      <c r="U1973" s="6"/>
      <c r="V1973" s="6"/>
      <c r="W1973" s="6">
        <f t="shared" si="1213"/>
        <v>0</v>
      </c>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X1973" s="6"/>
      <c r="AY1973" s="6">
        <f>ROUND(AX1973/1000/Update!$B$31*Update!$B$27,0)</f>
        <v>0</v>
      </c>
      <c r="BA1973" s="6"/>
      <c r="BB1973" s="6">
        <f>ROUND(BA1973/1000/Update!$B$31,0)</f>
        <v>0</v>
      </c>
      <c r="BC1973" s="6"/>
      <c r="BD1973" s="6">
        <f t="shared" si="1190"/>
        <v>0</v>
      </c>
      <c r="BE1973" s="322"/>
      <c r="BF1973" s="322"/>
      <c r="BG1973" s="322"/>
      <c r="BH1973" s="322"/>
      <c r="BI1973" s="322"/>
      <c r="BJ1973" s="322"/>
      <c r="BK1973" s="6">
        <f t="shared" si="1182"/>
        <v>0</v>
      </c>
      <c r="BL1973" s="322"/>
      <c r="BM1973" s="322"/>
      <c r="BN1973" s="322"/>
      <c r="BO1973" s="322"/>
      <c r="BP1973" s="322"/>
      <c r="BQ1973" s="322"/>
      <c r="BR1973" s="322"/>
      <c r="BS1973" s="322"/>
      <c r="BT1973" s="322"/>
      <c r="BU1973" s="322"/>
      <c r="BV1973" s="322"/>
      <c r="BW1973" s="322"/>
      <c r="BX1973" s="322"/>
      <c r="BY1973" s="322"/>
      <c r="BZ1973" s="322"/>
      <c r="CA1973" s="322"/>
      <c r="CB1973" s="322"/>
      <c r="CC1973" s="322"/>
      <c r="CD1973" s="322"/>
      <c r="CE1973" s="322"/>
      <c r="CF1973" s="322"/>
      <c r="CG1973" s="322"/>
      <c r="CH1973" s="322"/>
      <c r="CI1973" s="322"/>
      <c r="CM1973" s="1139">
        <f t="shared" si="1189"/>
        <v>0</v>
      </c>
      <c r="CN1973" s="1139">
        <v>0</v>
      </c>
      <c r="CP1973" s="923">
        <f t="shared" si="1188"/>
        <v>0</v>
      </c>
      <c r="CZ1973" s="330"/>
    </row>
    <row r="1974" spans="1:104" ht="15" customHeight="1" x14ac:dyDescent="0.25">
      <c r="A1974" s="684">
        <f>MAX($A$6:A1973)+1</f>
        <v>1974</v>
      </c>
      <c r="B1974" s="1060">
        <f t="shared" si="1212"/>
        <v>70</v>
      </c>
      <c r="C1974" s="292" t="s">
        <v>395</v>
      </c>
      <c r="D1974" s="11" t="s">
        <v>403</v>
      </c>
      <c r="E1974" s="7" t="s">
        <v>889</v>
      </c>
      <c r="F1974" s="7"/>
      <c r="G1974" s="1254" t="s">
        <v>490</v>
      </c>
      <c r="H1974" s="6">
        <v>0</v>
      </c>
      <c r="I1974" s="6"/>
      <c r="J1974" s="1257" t="s">
        <v>889</v>
      </c>
      <c r="K1974" s="251">
        <f>SUMIF('alb A - Compensation packages'!$B:$B,$J1974,'alb A - Compensation packages'!$C:$C)</f>
        <v>0</v>
      </c>
      <c r="L1974" s="266"/>
      <c r="M1974" s="2"/>
      <c r="N1974" s="273">
        <f t="shared" si="1209"/>
        <v>0</v>
      </c>
      <c r="O1974" s="12"/>
      <c r="P1974" s="12"/>
      <c r="Q1974" s="12"/>
      <c r="R1974" s="12"/>
      <c r="S1974" s="6">
        <f t="shared" si="1211"/>
        <v>0</v>
      </c>
      <c r="T1974" s="273">
        <f t="shared" si="1210"/>
        <v>0</v>
      </c>
      <c r="U1974" s="6"/>
      <c r="V1974" s="6"/>
      <c r="W1974" s="6">
        <f t="shared" si="1213"/>
        <v>0</v>
      </c>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X1974" s="6"/>
      <c r="AY1974" s="6"/>
      <c r="BA1974" s="6"/>
      <c r="BB1974" s="6"/>
      <c r="BC1974" s="6"/>
      <c r="BD1974" s="6">
        <f t="shared" si="1190"/>
        <v>0</v>
      </c>
      <c r="BE1974" s="322"/>
      <c r="BF1974" s="322"/>
      <c r="BG1974" s="322"/>
      <c r="BH1974" s="322"/>
      <c r="BI1974" s="322"/>
      <c r="BJ1974" s="322"/>
      <c r="BK1974" s="6">
        <f t="shared" si="1182"/>
        <v>0</v>
      </c>
      <c r="BL1974" s="322"/>
      <c r="BM1974" s="322"/>
      <c r="BN1974" s="322"/>
      <c r="BO1974" s="322"/>
      <c r="BP1974" s="322"/>
      <c r="BQ1974" s="322"/>
      <c r="BR1974" s="322"/>
      <c r="BS1974" s="322"/>
      <c r="BT1974" s="322"/>
      <c r="BU1974" s="322"/>
      <c r="BV1974" s="322"/>
      <c r="BW1974" s="322"/>
      <c r="BX1974" s="322"/>
      <c r="BY1974" s="322"/>
      <c r="BZ1974" s="322"/>
      <c r="CA1974" s="322"/>
      <c r="CB1974" s="322"/>
      <c r="CC1974" s="322"/>
      <c r="CD1974" s="322"/>
      <c r="CE1974" s="322"/>
      <c r="CF1974" s="322"/>
      <c r="CG1974" s="322"/>
      <c r="CH1974" s="322"/>
      <c r="CI1974" s="322"/>
      <c r="CM1974" s="1139">
        <f t="shared" si="1189"/>
        <v>0</v>
      </c>
      <c r="CN1974" s="1139">
        <v>0</v>
      </c>
      <c r="CP1974" s="923">
        <f t="shared" si="1188"/>
        <v>0</v>
      </c>
      <c r="CZ1974" s="330"/>
    </row>
    <row r="1975" spans="1:104" ht="15" customHeight="1" x14ac:dyDescent="0.25">
      <c r="A1975" s="684">
        <f>MAX($A$6:A1974)+1</f>
        <v>1975</v>
      </c>
      <c r="B1975" s="1060">
        <f t="shared" si="1212"/>
        <v>70</v>
      </c>
      <c r="C1975" s="292" t="s">
        <v>395</v>
      </c>
      <c r="D1975" s="11" t="s">
        <v>403</v>
      </c>
      <c r="E1975" s="7" t="s">
        <v>890</v>
      </c>
      <c r="F1975" s="7"/>
      <c r="G1975" s="1254" t="s">
        <v>491</v>
      </c>
      <c r="H1975" s="6">
        <v>0</v>
      </c>
      <c r="I1975" s="6"/>
      <c r="J1975" s="1257" t="s">
        <v>890</v>
      </c>
      <c r="K1975" s="251">
        <f>SUMIF('alb A - Compensation packages'!$B:$B,$J1975,'alb A - Compensation packages'!$C:$C)</f>
        <v>0</v>
      </c>
      <c r="L1975" s="266"/>
      <c r="M1975" s="2"/>
      <c r="N1975" s="273">
        <f t="shared" si="1209"/>
        <v>0</v>
      </c>
      <c r="O1975" s="12"/>
      <c r="P1975" s="12"/>
      <c r="Q1975" s="12"/>
      <c r="R1975" s="12"/>
      <c r="S1975" s="6">
        <f t="shared" si="1211"/>
        <v>0</v>
      </c>
      <c r="T1975" s="273">
        <f t="shared" si="1210"/>
        <v>0</v>
      </c>
      <c r="U1975" s="6"/>
      <c r="V1975" s="6"/>
      <c r="W1975" s="6">
        <f t="shared" si="1213"/>
        <v>0</v>
      </c>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X1975" s="6"/>
      <c r="AY1975" s="6"/>
      <c r="BA1975" s="6"/>
      <c r="BB1975" s="6"/>
      <c r="BC1975" s="6"/>
      <c r="BD1975" s="6">
        <f t="shared" si="1190"/>
        <v>0</v>
      </c>
      <c r="BE1975" s="322"/>
      <c r="BF1975" s="322"/>
      <c r="BG1975" s="322"/>
      <c r="BH1975" s="322"/>
      <c r="BI1975" s="322"/>
      <c r="BJ1975" s="322"/>
      <c r="BK1975" s="6">
        <f t="shared" si="1182"/>
        <v>0</v>
      </c>
      <c r="BL1975" s="14"/>
      <c r="BM1975" s="14"/>
      <c r="BN1975" s="14"/>
      <c r="BO1975" s="14"/>
      <c r="BP1975" s="322"/>
      <c r="BQ1975" s="14"/>
      <c r="BR1975" s="14"/>
      <c r="BS1975" s="322"/>
      <c r="BT1975" s="322"/>
      <c r="BU1975" s="14"/>
      <c r="BV1975" s="14"/>
      <c r="BW1975" s="14"/>
      <c r="BX1975" s="14"/>
      <c r="BY1975" s="14"/>
      <c r="BZ1975" s="14"/>
      <c r="CA1975" s="14"/>
      <c r="CB1975" s="14"/>
      <c r="CC1975" s="322"/>
      <c r="CD1975" s="322"/>
      <c r="CE1975" s="322"/>
      <c r="CF1975" s="322"/>
      <c r="CG1975" s="322"/>
      <c r="CH1975" s="322"/>
      <c r="CI1975" s="14"/>
      <c r="CM1975" s="1139">
        <f t="shared" si="1189"/>
        <v>0</v>
      </c>
      <c r="CN1975" s="1139">
        <v>0</v>
      </c>
      <c r="CP1975" s="923">
        <f t="shared" si="1188"/>
        <v>0</v>
      </c>
      <c r="CZ1975" s="330"/>
    </row>
    <row r="1976" spans="1:104" ht="15" customHeight="1" x14ac:dyDescent="0.25">
      <c r="A1976" s="684">
        <f>MAX($A$6:A1975)+1</f>
        <v>1976</v>
      </c>
      <c r="B1976" s="1060">
        <f t="shared" si="1212"/>
        <v>70</v>
      </c>
      <c r="C1976" s="292" t="s">
        <v>395</v>
      </c>
      <c r="D1976" s="11" t="s">
        <v>403</v>
      </c>
      <c r="E1976" s="7" t="s">
        <v>891</v>
      </c>
      <c r="F1976" s="7"/>
      <c r="G1976" s="1254" t="s">
        <v>492</v>
      </c>
      <c r="H1976" s="6">
        <v>0</v>
      </c>
      <c r="I1976" s="6"/>
      <c r="J1976" s="1257" t="s">
        <v>891</v>
      </c>
      <c r="K1976" s="251">
        <f>SUMIF('alb A - Compensation packages'!$B:$B,$J1976,'alb A - Compensation packages'!$C:$C)</f>
        <v>0</v>
      </c>
      <c r="L1976" s="266"/>
      <c r="M1976" s="2"/>
      <c r="N1976" s="273">
        <f t="shared" si="1209"/>
        <v>0</v>
      </c>
      <c r="O1976" s="12"/>
      <c r="P1976" s="12"/>
      <c r="Q1976" s="12"/>
      <c r="R1976" s="12"/>
      <c r="S1976" s="6">
        <f t="shared" si="1211"/>
        <v>0</v>
      </c>
      <c r="T1976" s="273">
        <f t="shared" si="1210"/>
        <v>0</v>
      </c>
      <c r="U1976" s="6"/>
      <c r="V1976" s="6"/>
      <c r="W1976" s="6">
        <f t="shared" si="1213"/>
        <v>0</v>
      </c>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X1976" s="6"/>
      <c r="AY1976" s="6"/>
      <c r="BA1976" s="6"/>
      <c r="BB1976" s="6"/>
      <c r="BC1976" s="6"/>
      <c r="BD1976" s="6">
        <f t="shared" si="1190"/>
        <v>0</v>
      </c>
      <c r="BE1976" s="322"/>
      <c r="BF1976" s="322"/>
      <c r="BG1976" s="322"/>
      <c r="BH1976" s="322"/>
      <c r="BI1976" s="322"/>
      <c r="BJ1976" s="322"/>
      <c r="BK1976" s="6">
        <f t="shared" si="1182"/>
        <v>0</v>
      </c>
      <c r="BL1976" s="322"/>
      <c r="BM1976" s="322"/>
      <c r="BN1976" s="322"/>
      <c r="BO1976" s="322"/>
      <c r="BP1976" s="322"/>
      <c r="BQ1976" s="322"/>
      <c r="BR1976" s="322"/>
      <c r="BS1976" s="322"/>
      <c r="BT1976" s="322"/>
      <c r="BU1976" s="322"/>
      <c r="BV1976" s="322"/>
      <c r="BW1976" s="322"/>
      <c r="BX1976" s="322"/>
      <c r="BY1976" s="322"/>
      <c r="BZ1976" s="322"/>
      <c r="CA1976" s="322"/>
      <c r="CB1976" s="322"/>
      <c r="CC1976" s="322"/>
      <c r="CD1976" s="322"/>
      <c r="CE1976" s="322"/>
      <c r="CF1976" s="322"/>
      <c r="CG1976" s="322"/>
      <c r="CH1976" s="322"/>
      <c r="CI1976" s="322"/>
      <c r="CM1976" s="1139">
        <f t="shared" si="1189"/>
        <v>0</v>
      </c>
      <c r="CN1976" s="1139">
        <v>0</v>
      </c>
      <c r="CP1976" s="923">
        <f t="shared" si="1188"/>
        <v>0</v>
      </c>
      <c r="CZ1976" s="330"/>
    </row>
    <row r="1977" spans="1:104" ht="25.5" customHeight="1" x14ac:dyDescent="0.25">
      <c r="A1977" s="684">
        <f>MAX($A$6:A1976)+1</f>
        <v>1977</v>
      </c>
      <c r="B1977" s="1291">
        <f t="shared" si="1212"/>
        <v>70</v>
      </c>
      <c r="C1977" s="299" t="s">
        <v>395</v>
      </c>
      <c r="D1977" s="18" t="s">
        <v>403</v>
      </c>
      <c r="E1977" s="300" t="s">
        <v>401</v>
      </c>
      <c r="F1977" s="300"/>
      <c r="G1977" s="1288" t="s">
        <v>401</v>
      </c>
      <c r="H1977" s="260">
        <f>SUM(H1967:H1976)</f>
        <v>0</v>
      </c>
      <c r="I1977" s="260"/>
      <c r="J1977" s="1259" t="s">
        <v>893</v>
      </c>
      <c r="K1977" s="256">
        <f>SUM(K1967:K1976)</f>
        <v>0</v>
      </c>
      <c r="L1977" s="256">
        <f>SUM(L1967:L1976)</f>
        <v>0</v>
      </c>
      <c r="M1977" s="263"/>
      <c r="N1977" s="256">
        <f t="shared" ref="N1977:V1977" si="1214">SUM(N1967:N1976)</f>
        <v>0</v>
      </c>
      <c r="O1977" s="256">
        <f t="shared" si="1214"/>
        <v>0</v>
      </c>
      <c r="P1977" s="256">
        <f t="shared" si="1214"/>
        <v>0</v>
      </c>
      <c r="Q1977" s="256">
        <f t="shared" si="1214"/>
        <v>0</v>
      </c>
      <c r="R1977" s="256">
        <f t="shared" si="1214"/>
        <v>0</v>
      </c>
      <c r="S1977" s="256">
        <f t="shared" si="1211"/>
        <v>0</v>
      </c>
      <c r="T1977" s="256">
        <f t="shared" si="1214"/>
        <v>0</v>
      </c>
      <c r="U1977" s="256">
        <f t="shared" si="1214"/>
        <v>0</v>
      </c>
      <c r="V1977" s="256">
        <f t="shared" si="1214"/>
        <v>0</v>
      </c>
      <c r="W1977" s="256">
        <v>0</v>
      </c>
      <c r="X1977" s="256"/>
      <c r="Y1977" s="256"/>
      <c r="Z1977" s="256"/>
      <c r="AA1977" s="256"/>
      <c r="AB1977" s="256"/>
      <c r="AC1977" s="256"/>
      <c r="AD1977" s="256"/>
      <c r="AE1977" s="256"/>
      <c r="AF1977" s="256"/>
      <c r="AG1977" s="256"/>
      <c r="AH1977" s="256"/>
      <c r="AI1977" s="256"/>
      <c r="AJ1977" s="256"/>
      <c r="AK1977" s="256"/>
      <c r="AL1977" s="256"/>
      <c r="AM1977" s="256"/>
      <c r="AN1977" s="256"/>
      <c r="AO1977" s="256"/>
      <c r="AP1977" s="256"/>
      <c r="AQ1977" s="256"/>
      <c r="AR1977" s="256"/>
      <c r="AS1977" s="256"/>
      <c r="AT1977" s="256"/>
      <c r="AU1977" s="256"/>
      <c r="AV1977" s="256"/>
      <c r="AW1977" s="2"/>
      <c r="AX1977" s="256">
        <f>SUM(AX1967:AX1976)</f>
        <v>0</v>
      </c>
      <c r="AY1977" s="6">
        <f>ROUND(AX1977/1000/Update!$B$31*Update!$B$27,0)</f>
        <v>0</v>
      </c>
      <c r="AZ1977" s="2"/>
      <c r="BA1977" s="256">
        <f>SUM(BA1967:BA1976)</f>
        <v>0</v>
      </c>
      <c r="BB1977" s="6">
        <f>ROUND(BA1977/1000/Update!$B$31,0)</f>
        <v>0</v>
      </c>
      <c r="BC1977" s="6"/>
      <c r="BD1977" s="14">
        <f t="shared" si="1190"/>
        <v>0</v>
      </c>
      <c r="BE1977" s="14">
        <f t="shared" ref="BE1977:BJ1977" si="1215">SUM(BE1967:BE1976)</f>
        <v>0</v>
      </c>
      <c r="BF1977" s="14">
        <f t="shared" si="1215"/>
        <v>0</v>
      </c>
      <c r="BG1977" s="14">
        <f t="shared" si="1215"/>
        <v>0</v>
      </c>
      <c r="BH1977" s="14">
        <f t="shared" si="1215"/>
        <v>0</v>
      </c>
      <c r="BI1977" s="14">
        <f t="shared" si="1215"/>
        <v>0</v>
      </c>
      <c r="BJ1977" s="14">
        <f t="shared" si="1215"/>
        <v>0</v>
      </c>
      <c r="BK1977" s="14">
        <f t="shared" si="1182"/>
        <v>0</v>
      </c>
      <c r="BL1977" s="322"/>
      <c r="BM1977" s="322"/>
      <c r="BN1977" s="322"/>
      <c r="BO1977" s="322"/>
      <c r="BP1977" s="14"/>
      <c r="BQ1977" s="322"/>
      <c r="BR1977" s="322"/>
      <c r="BS1977" s="14"/>
      <c r="BT1977" s="322"/>
      <c r="BU1977" s="322"/>
      <c r="BV1977" s="322"/>
      <c r="BW1977" s="322"/>
      <c r="BX1977" s="322"/>
      <c r="BY1977" s="322"/>
      <c r="BZ1977" s="322"/>
      <c r="CA1977" s="322"/>
      <c r="CB1977" s="322"/>
      <c r="CC1977" s="14"/>
      <c r="CD1977" s="14"/>
      <c r="CE1977" s="14"/>
      <c r="CF1977" s="14"/>
      <c r="CG1977" s="14"/>
      <c r="CH1977" s="14"/>
      <c r="CI1977" s="322"/>
      <c r="CJ1977" s="2"/>
      <c r="CK1977" s="2"/>
      <c r="CM1977" s="1139">
        <f t="shared" si="1189"/>
        <v>0</v>
      </c>
      <c r="CN1977" s="1139">
        <v>0</v>
      </c>
      <c r="CP1977" s="923">
        <f t="shared" si="1188"/>
        <v>0</v>
      </c>
      <c r="CZ1977" s="330"/>
    </row>
    <row r="1978" spans="1:104" ht="15" customHeight="1" x14ac:dyDescent="0.25">
      <c r="A1978" s="684">
        <f>MAX($A$6:A1977)+1</f>
        <v>1978</v>
      </c>
      <c r="B1978" s="1060">
        <f t="shared" si="1212"/>
        <v>70</v>
      </c>
      <c r="C1978" s="292" t="s">
        <v>395</v>
      </c>
      <c r="D1978" s="11" t="s">
        <v>403</v>
      </c>
      <c r="E1978" s="7" t="s">
        <v>402</v>
      </c>
      <c r="F1978" s="7"/>
      <c r="G1978" s="1254" t="s">
        <v>402</v>
      </c>
      <c r="H1978" s="6">
        <v>0</v>
      </c>
      <c r="I1978" s="6"/>
      <c r="J1978" s="1257" t="s">
        <v>402</v>
      </c>
      <c r="K1978" s="251">
        <f>SUMIF('alb A - Compensation packages'!$B:$B,$J1978,'alb A - Compensation packages'!$C:$C)</f>
        <v>0</v>
      </c>
      <c r="L1978" s="266"/>
      <c r="M1978" s="2"/>
      <c r="N1978" s="273">
        <f t="shared" ref="N1978:N2024" si="1216">ROUND(SUM(O1978:AU1978)-T1978,0)</f>
        <v>0</v>
      </c>
      <c r="O1978" s="12"/>
      <c r="P1978" s="12"/>
      <c r="Q1978" s="12"/>
      <c r="R1978" s="12"/>
      <c r="S1978" s="6">
        <f t="shared" si="1211"/>
        <v>0</v>
      </c>
      <c r="T1978" s="273">
        <f t="shared" ref="T1978:T2002" si="1217">ROUND(SUM(U1978:Y1978),0)</f>
        <v>0</v>
      </c>
      <c r="U1978" s="6"/>
      <c r="V1978" s="6"/>
      <c r="W1978" s="6">
        <f t="shared" ref="W1978:W1988" si="1218">+H1978</f>
        <v>0</v>
      </c>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X1978" s="6"/>
      <c r="AY1978" s="6">
        <f>ROUND(AX1978/1000/Update!$B$31*Update!$B$27,0)</f>
        <v>0</v>
      </c>
      <c r="BA1978" s="6"/>
      <c r="BB1978" s="6">
        <f>ROUND(BA1978/1000/Update!$B$31,0)</f>
        <v>0</v>
      </c>
      <c r="BC1978" s="6"/>
      <c r="BD1978" s="6">
        <f t="shared" si="1190"/>
        <v>0</v>
      </c>
      <c r="BE1978" s="322"/>
      <c r="BF1978" s="322"/>
      <c r="BG1978" s="322"/>
      <c r="BH1978" s="322"/>
      <c r="BI1978" s="322"/>
      <c r="BJ1978" s="322"/>
      <c r="BK1978" s="6">
        <f t="shared" ref="BK1978:BK2041" si="1219">ROUND(SUM(BO1978:CI1978),0)</f>
        <v>0</v>
      </c>
      <c r="BL1978" s="322"/>
      <c r="BM1978" s="322"/>
      <c r="BN1978" s="322"/>
      <c r="BO1978" s="322"/>
      <c r="BP1978" s="322"/>
      <c r="BQ1978" s="322"/>
      <c r="BR1978" s="322"/>
      <c r="BS1978" s="322"/>
      <c r="BT1978" s="322"/>
      <c r="BU1978" s="322"/>
      <c r="BV1978" s="322"/>
      <c r="BW1978" s="322"/>
      <c r="BX1978" s="322"/>
      <c r="BY1978" s="322"/>
      <c r="BZ1978" s="322"/>
      <c r="CA1978" s="322"/>
      <c r="CB1978" s="322"/>
      <c r="CC1978" s="322"/>
      <c r="CD1978" s="322"/>
      <c r="CE1978" s="322"/>
      <c r="CF1978" s="322"/>
      <c r="CG1978" s="322"/>
      <c r="CH1978" s="322"/>
      <c r="CI1978" s="322"/>
      <c r="CM1978" s="1139">
        <f t="shared" si="1189"/>
        <v>0</v>
      </c>
      <c r="CN1978" s="1139">
        <v>0</v>
      </c>
      <c r="CP1978" s="923">
        <f t="shared" si="1188"/>
        <v>0</v>
      </c>
      <c r="CZ1978" s="330"/>
    </row>
    <row r="1979" spans="1:104" ht="15" customHeight="1" x14ac:dyDescent="0.25">
      <c r="A1979" s="684">
        <f>MAX($A$6:A1978)+1</f>
        <v>1979</v>
      </c>
      <c r="B1979" s="1060">
        <f t="shared" si="1212"/>
        <v>70</v>
      </c>
      <c r="C1979" s="292" t="s">
        <v>395</v>
      </c>
      <c r="D1979" s="11" t="s">
        <v>404</v>
      </c>
      <c r="E1979" s="7" t="s">
        <v>892</v>
      </c>
      <c r="F1979" s="7"/>
      <c r="G1979" s="1254" t="s">
        <v>892</v>
      </c>
      <c r="H1979" s="6">
        <v>0</v>
      </c>
      <c r="I1979" s="6"/>
      <c r="J1979" s="1257" t="s">
        <v>892</v>
      </c>
      <c r="K1979" s="251">
        <f>SUMIF('alb A - Compensation packages'!$B:$B,$J1979,'alb A - Compensation packages'!$E:$E)</f>
        <v>0</v>
      </c>
      <c r="L1979" s="266"/>
      <c r="M1979" s="2"/>
      <c r="N1979" s="273">
        <f t="shared" si="1216"/>
        <v>0</v>
      </c>
      <c r="O1979" s="12"/>
      <c r="P1979" s="12"/>
      <c r="Q1979" s="12"/>
      <c r="R1979" s="12"/>
      <c r="S1979" s="6">
        <f t="shared" si="1211"/>
        <v>0</v>
      </c>
      <c r="T1979" s="273">
        <f t="shared" si="1217"/>
        <v>0</v>
      </c>
      <c r="U1979" s="6"/>
      <c r="V1979" s="6"/>
      <c r="W1979" s="6">
        <f t="shared" si="1218"/>
        <v>0</v>
      </c>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X1979" s="6"/>
      <c r="AY1979" s="6">
        <f>ROUND(AX1979/1000/Update!$B$31*Update!$B$27,0)</f>
        <v>0</v>
      </c>
      <c r="BA1979" s="6"/>
      <c r="BB1979" s="6">
        <f>ROUND(BA1979/1000/Update!$B$31,0)</f>
        <v>0</v>
      </c>
      <c r="BC1979" s="6"/>
      <c r="BD1979" s="6">
        <f t="shared" si="1190"/>
        <v>0</v>
      </c>
      <c r="BE1979" s="322"/>
      <c r="BF1979" s="322"/>
      <c r="BG1979" s="322"/>
      <c r="BH1979" s="322"/>
      <c r="BI1979" s="322"/>
      <c r="BJ1979" s="322"/>
      <c r="BK1979" s="6">
        <f t="shared" si="1219"/>
        <v>0</v>
      </c>
      <c r="BL1979" s="322"/>
      <c r="BM1979" s="322"/>
      <c r="BN1979" s="322"/>
      <c r="BO1979" s="322"/>
      <c r="BP1979" s="322"/>
      <c r="BQ1979" s="322"/>
      <c r="BR1979" s="322"/>
      <c r="BS1979" s="322"/>
      <c r="BT1979" s="322"/>
      <c r="BU1979" s="322"/>
      <c r="BV1979" s="322"/>
      <c r="BW1979" s="322"/>
      <c r="BX1979" s="322"/>
      <c r="BY1979" s="322"/>
      <c r="BZ1979" s="322"/>
      <c r="CA1979" s="322"/>
      <c r="CB1979" s="322"/>
      <c r="CC1979" s="322"/>
      <c r="CD1979" s="322"/>
      <c r="CE1979" s="322"/>
      <c r="CF1979" s="322"/>
      <c r="CG1979" s="322"/>
      <c r="CH1979" s="322"/>
      <c r="CI1979" s="322"/>
      <c r="CM1979" s="1139">
        <f t="shared" si="1189"/>
        <v>0</v>
      </c>
      <c r="CN1979" s="1139">
        <v>0</v>
      </c>
      <c r="CP1979" s="923">
        <f t="shared" si="1188"/>
        <v>0</v>
      </c>
      <c r="CZ1979" s="330"/>
    </row>
    <row r="1980" spans="1:104" ht="15" customHeight="1" x14ac:dyDescent="0.25">
      <c r="A1980" s="684">
        <f>MAX($A$6:A1979)+1</f>
        <v>1980</v>
      </c>
      <c r="B1980" s="1060">
        <f t="shared" si="1212"/>
        <v>70</v>
      </c>
      <c r="C1980" s="292" t="s">
        <v>395</v>
      </c>
      <c r="D1980" s="11" t="s">
        <v>404</v>
      </c>
      <c r="E1980" s="7" t="s">
        <v>396</v>
      </c>
      <c r="F1980" s="7"/>
      <c r="G1980" s="1254" t="s">
        <v>484</v>
      </c>
      <c r="H1980" s="6">
        <v>0</v>
      </c>
      <c r="I1980" s="6"/>
      <c r="J1980" s="1257" t="s">
        <v>396</v>
      </c>
      <c r="K1980" s="251">
        <f>SUMIF('alb A - Compensation packages'!$B:$B,$J1980,'alb A - Compensation packages'!$E:$E)</f>
        <v>0</v>
      </c>
      <c r="L1980" s="266"/>
      <c r="M1980" s="2"/>
      <c r="N1980" s="273">
        <f t="shared" si="1216"/>
        <v>0</v>
      </c>
      <c r="O1980" s="12"/>
      <c r="P1980" s="12"/>
      <c r="Q1980" s="12"/>
      <c r="R1980" s="12"/>
      <c r="S1980" s="6">
        <f t="shared" si="1211"/>
        <v>0</v>
      </c>
      <c r="T1980" s="273">
        <f t="shared" si="1217"/>
        <v>0</v>
      </c>
      <c r="U1980" s="6"/>
      <c r="V1980" s="6"/>
      <c r="W1980" s="6">
        <f t="shared" si="1218"/>
        <v>0</v>
      </c>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X1980" s="6"/>
      <c r="AY1980" s="6">
        <f>ROUND(AX1980/1000/Update!$B$31*Update!$B$27,0)</f>
        <v>0</v>
      </c>
      <c r="BA1980" s="6"/>
      <c r="BB1980" s="6">
        <f>ROUND(BA1980/1000/Update!$B$31,0)</f>
        <v>0</v>
      </c>
      <c r="BC1980" s="6"/>
      <c r="BD1980" s="6">
        <f t="shared" si="1190"/>
        <v>0</v>
      </c>
      <c r="BE1980" s="322"/>
      <c r="BF1980" s="322"/>
      <c r="BG1980" s="322"/>
      <c r="BH1980" s="322"/>
      <c r="BI1980" s="322"/>
      <c r="BJ1980" s="322"/>
      <c r="BK1980" s="6">
        <f t="shared" si="1219"/>
        <v>0</v>
      </c>
      <c r="BL1980" s="322"/>
      <c r="BM1980" s="322"/>
      <c r="BN1980" s="322"/>
      <c r="BO1980" s="322"/>
      <c r="BP1980" s="322"/>
      <c r="BQ1980" s="322"/>
      <c r="BR1980" s="322"/>
      <c r="BS1980" s="322"/>
      <c r="BT1980" s="322"/>
      <c r="BU1980" s="322"/>
      <c r="BV1980" s="322"/>
      <c r="BW1980" s="322"/>
      <c r="BX1980" s="322"/>
      <c r="BY1980" s="322"/>
      <c r="BZ1980" s="322"/>
      <c r="CA1980" s="322"/>
      <c r="CB1980" s="322"/>
      <c r="CC1980" s="322"/>
      <c r="CD1980" s="322"/>
      <c r="CE1980" s="322"/>
      <c r="CF1980" s="322"/>
      <c r="CG1980" s="322"/>
      <c r="CH1980" s="322"/>
      <c r="CI1980" s="322"/>
      <c r="CM1980" s="1139">
        <f t="shared" si="1189"/>
        <v>0</v>
      </c>
      <c r="CN1980" s="1139">
        <v>0</v>
      </c>
      <c r="CP1980" s="923">
        <f t="shared" si="1188"/>
        <v>0</v>
      </c>
      <c r="CZ1980" s="330"/>
    </row>
    <row r="1981" spans="1:104" ht="15" customHeight="1" x14ac:dyDescent="0.25">
      <c r="A1981" s="684">
        <f>MAX($A$6:A1980)+1</f>
        <v>1981</v>
      </c>
      <c r="B1981" s="1060">
        <f t="shared" si="1212"/>
        <v>70</v>
      </c>
      <c r="C1981" s="292" t="s">
        <v>395</v>
      </c>
      <c r="D1981" s="11" t="s">
        <v>404</v>
      </c>
      <c r="E1981" s="7" t="s">
        <v>397</v>
      </c>
      <c r="F1981" s="7"/>
      <c r="G1981" s="1254" t="s">
        <v>485</v>
      </c>
      <c r="H1981" s="6">
        <v>0</v>
      </c>
      <c r="I1981" s="6"/>
      <c r="J1981" s="1257" t="s">
        <v>397</v>
      </c>
      <c r="K1981" s="251">
        <f>SUMIF('alb A - Compensation packages'!$B:$B,$J1981,'alb A - Compensation packages'!$E:$E)</f>
        <v>0</v>
      </c>
      <c r="L1981" s="266"/>
      <c r="M1981" s="2"/>
      <c r="N1981" s="273">
        <f t="shared" si="1216"/>
        <v>0</v>
      </c>
      <c r="O1981" s="12"/>
      <c r="P1981" s="12"/>
      <c r="Q1981" s="12"/>
      <c r="R1981" s="12"/>
      <c r="S1981" s="6">
        <f t="shared" si="1211"/>
        <v>0</v>
      </c>
      <c r="T1981" s="273">
        <f t="shared" si="1217"/>
        <v>0</v>
      </c>
      <c r="U1981" s="6"/>
      <c r="V1981" s="6"/>
      <c r="W1981" s="6">
        <f t="shared" si="1218"/>
        <v>0</v>
      </c>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X1981" s="6"/>
      <c r="AY1981" s="6">
        <f>ROUND(AX1981/1000/Update!$B$31*Update!$B$27,0)</f>
        <v>0</v>
      </c>
      <c r="BA1981" s="6"/>
      <c r="BB1981" s="6">
        <f>ROUND(BA1981/1000/Update!$B$31,0)</f>
        <v>0</v>
      </c>
      <c r="BC1981" s="6"/>
      <c r="BD1981" s="6">
        <f t="shared" si="1190"/>
        <v>0</v>
      </c>
      <c r="BE1981" s="322"/>
      <c r="BF1981" s="322"/>
      <c r="BG1981" s="322"/>
      <c r="BH1981" s="322"/>
      <c r="BI1981" s="322"/>
      <c r="BJ1981" s="322"/>
      <c r="BK1981" s="6">
        <f t="shared" si="1219"/>
        <v>0</v>
      </c>
      <c r="BL1981" s="322"/>
      <c r="BM1981" s="322"/>
      <c r="BN1981" s="322"/>
      <c r="BO1981" s="322"/>
      <c r="BP1981" s="322"/>
      <c r="BQ1981" s="322"/>
      <c r="BR1981" s="322"/>
      <c r="BS1981" s="322"/>
      <c r="BT1981" s="322"/>
      <c r="BU1981" s="322"/>
      <c r="BV1981" s="322"/>
      <c r="BW1981" s="322"/>
      <c r="BX1981" s="322"/>
      <c r="BY1981" s="322"/>
      <c r="BZ1981" s="322"/>
      <c r="CA1981" s="322"/>
      <c r="CB1981" s="322"/>
      <c r="CC1981" s="322"/>
      <c r="CD1981" s="322"/>
      <c r="CE1981" s="322"/>
      <c r="CF1981" s="322"/>
      <c r="CG1981" s="322"/>
      <c r="CH1981" s="322"/>
      <c r="CI1981" s="322"/>
      <c r="CM1981" s="1139">
        <f t="shared" si="1189"/>
        <v>0</v>
      </c>
      <c r="CN1981" s="1139">
        <v>0</v>
      </c>
      <c r="CP1981" s="923">
        <f t="shared" si="1188"/>
        <v>0</v>
      </c>
      <c r="CZ1981" s="330"/>
    </row>
    <row r="1982" spans="1:104" ht="15" customHeight="1" x14ac:dyDescent="0.25">
      <c r="A1982" s="684">
        <f>MAX($A$6:A1981)+1</f>
        <v>1982</v>
      </c>
      <c r="B1982" s="1060">
        <f t="shared" si="1212"/>
        <v>70</v>
      </c>
      <c r="C1982" s="292" t="s">
        <v>395</v>
      </c>
      <c r="D1982" s="11" t="s">
        <v>404</v>
      </c>
      <c r="E1982" s="7" t="s">
        <v>398</v>
      </c>
      <c r="F1982" s="7"/>
      <c r="G1982" s="1254" t="s">
        <v>486</v>
      </c>
      <c r="H1982" s="6">
        <v>0</v>
      </c>
      <c r="I1982" s="6"/>
      <c r="J1982" s="1257" t="s">
        <v>398</v>
      </c>
      <c r="K1982" s="251">
        <f>SUMIF('alb A - Compensation packages'!$B:$B,$J1982,'alb A - Compensation packages'!$E:$E)</f>
        <v>0</v>
      </c>
      <c r="L1982" s="266"/>
      <c r="M1982" s="2"/>
      <c r="N1982" s="273">
        <f t="shared" si="1216"/>
        <v>0</v>
      </c>
      <c r="O1982" s="12"/>
      <c r="P1982" s="12"/>
      <c r="Q1982" s="12"/>
      <c r="R1982" s="12"/>
      <c r="S1982" s="6">
        <f t="shared" si="1211"/>
        <v>0</v>
      </c>
      <c r="T1982" s="273">
        <f t="shared" si="1217"/>
        <v>0</v>
      </c>
      <c r="U1982" s="6"/>
      <c r="V1982" s="6"/>
      <c r="W1982" s="6">
        <f t="shared" si="1218"/>
        <v>0</v>
      </c>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X1982" s="6"/>
      <c r="AY1982" s="6">
        <f>ROUND(AX1982/1000/Update!$B$31*Update!$B$27,0)</f>
        <v>0</v>
      </c>
      <c r="BA1982" s="6"/>
      <c r="BB1982" s="6">
        <f>ROUND(BA1982/1000/Update!$B$31,0)</f>
        <v>0</v>
      </c>
      <c r="BC1982" s="6"/>
      <c r="BD1982" s="6">
        <f t="shared" si="1190"/>
        <v>0</v>
      </c>
      <c r="BE1982" s="322"/>
      <c r="BF1982" s="322"/>
      <c r="BG1982" s="322"/>
      <c r="BH1982" s="322"/>
      <c r="BI1982" s="322"/>
      <c r="BJ1982" s="322"/>
      <c r="BK1982" s="6">
        <f t="shared" si="1219"/>
        <v>0</v>
      </c>
      <c r="BL1982" s="322"/>
      <c r="BM1982" s="322"/>
      <c r="BN1982" s="322"/>
      <c r="BO1982" s="322"/>
      <c r="BP1982" s="322"/>
      <c r="BQ1982" s="322"/>
      <c r="BR1982" s="322"/>
      <c r="BS1982" s="322"/>
      <c r="BT1982" s="322"/>
      <c r="BU1982" s="322"/>
      <c r="BV1982" s="322"/>
      <c r="BW1982" s="322"/>
      <c r="BX1982" s="322"/>
      <c r="BY1982" s="322"/>
      <c r="BZ1982" s="322"/>
      <c r="CA1982" s="322"/>
      <c r="CB1982" s="322"/>
      <c r="CC1982" s="322"/>
      <c r="CD1982" s="322"/>
      <c r="CE1982" s="322"/>
      <c r="CF1982" s="322"/>
      <c r="CG1982" s="322"/>
      <c r="CH1982" s="322"/>
      <c r="CI1982" s="322"/>
      <c r="CM1982" s="1139">
        <f t="shared" si="1189"/>
        <v>0</v>
      </c>
      <c r="CN1982" s="1139">
        <v>0</v>
      </c>
      <c r="CP1982" s="923">
        <f t="shared" si="1188"/>
        <v>0</v>
      </c>
      <c r="CZ1982" s="330"/>
    </row>
    <row r="1983" spans="1:104" ht="15" customHeight="1" x14ac:dyDescent="0.25">
      <c r="A1983" s="684">
        <f>MAX($A$6:A1982)+1</f>
        <v>1983</v>
      </c>
      <c r="B1983" s="1060">
        <f t="shared" si="1212"/>
        <v>70</v>
      </c>
      <c r="C1983" s="292" t="s">
        <v>395</v>
      </c>
      <c r="D1983" s="11" t="s">
        <v>404</v>
      </c>
      <c r="E1983" s="7" t="s">
        <v>399</v>
      </c>
      <c r="F1983" s="7"/>
      <c r="G1983" s="1254" t="s">
        <v>487</v>
      </c>
      <c r="H1983" s="6">
        <v>0</v>
      </c>
      <c r="I1983" s="6"/>
      <c r="J1983" s="1257" t="s">
        <v>399</v>
      </c>
      <c r="K1983" s="251">
        <f>SUMIF('alb A - Compensation packages'!$B:$B,$J1983,'alb A - Compensation packages'!$E:$E)</f>
        <v>0</v>
      </c>
      <c r="L1983" s="266"/>
      <c r="M1983" s="2"/>
      <c r="N1983" s="273">
        <f t="shared" si="1216"/>
        <v>0</v>
      </c>
      <c r="O1983" s="12"/>
      <c r="P1983" s="12"/>
      <c r="Q1983" s="12"/>
      <c r="R1983" s="12"/>
      <c r="S1983" s="6">
        <f t="shared" si="1211"/>
        <v>0</v>
      </c>
      <c r="T1983" s="273">
        <f t="shared" si="1217"/>
        <v>0</v>
      </c>
      <c r="U1983" s="6"/>
      <c r="V1983" s="6"/>
      <c r="W1983" s="6">
        <f t="shared" si="1218"/>
        <v>0</v>
      </c>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X1983" s="6"/>
      <c r="AY1983" s="6">
        <f>ROUND(AX1983/1000/Update!$B$31*Update!$B$27,0)</f>
        <v>0</v>
      </c>
      <c r="BA1983" s="6"/>
      <c r="BB1983" s="6">
        <f>ROUND(BA1983/1000/Update!$B$31,0)</f>
        <v>0</v>
      </c>
      <c r="BC1983" s="6"/>
      <c r="BD1983" s="6">
        <f t="shared" si="1190"/>
        <v>0</v>
      </c>
      <c r="BE1983" s="322"/>
      <c r="BF1983" s="322"/>
      <c r="BG1983" s="322"/>
      <c r="BH1983" s="322"/>
      <c r="BI1983" s="322"/>
      <c r="BJ1983" s="322"/>
      <c r="BK1983" s="6">
        <f t="shared" si="1219"/>
        <v>0</v>
      </c>
      <c r="BL1983" s="322"/>
      <c r="BM1983" s="322"/>
      <c r="BN1983" s="322"/>
      <c r="BO1983" s="322"/>
      <c r="BP1983" s="322"/>
      <c r="BQ1983" s="322"/>
      <c r="BR1983" s="322"/>
      <c r="BS1983" s="322"/>
      <c r="BT1983" s="322"/>
      <c r="BU1983" s="322"/>
      <c r="BV1983" s="322"/>
      <c r="BW1983" s="322"/>
      <c r="BX1983" s="322"/>
      <c r="BY1983" s="322"/>
      <c r="BZ1983" s="322"/>
      <c r="CA1983" s="322"/>
      <c r="CB1983" s="322"/>
      <c r="CC1983" s="322"/>
      <c r="CD1983" s="322"/>
      <c r="CE1983" s="322"/>
      <c r="CF1983" s="322"/>
      <c r="CG1983" s="322"/>
      <c r="CH1983" s="322"/>
      <c r="CI1983" s="322"/>
      <c r="CM1983" s="1139">
        <f t="shared" si="1189"/>
        <v>0</v>
      </c>
      <c r="CN1983" s="1139">
        <v>0</v>
      </c>
      <c r="CP1983" s="923">
        <f t="shared" si="1188"/>
        <v>0</v>
      </c>
      <c r="CZ1983" s="330"/>
    </row>
    <row r="1984" spans="1:104" ht="15" customHeight="1" x14ac:dyDescent="0.25">
      <c r="A1984" s="684">
        <f>MAX($A$6:A1983)+1</f>
        <v>1984</v>
      </c>
      <c r="B1984" s="1060">
        <f t="shared" si="1212"/>
        <v>70</v>
      </c>
      <c r="C1984" s="292" t="s">
        <v>395</v>
      </c>
      <c r="D1984" s="11" t="s">
        <v>404</v>
      </c>
      <c r="E1984" s="7" t="s">
        <v>400</v>
      </c>
      <c r="F1984" s="7"/>
      <c r="G1984" s="1254" t="s">
        <v>488</v>
      </c>
      <c r="H1984" s="6">
        <v>0</v>
      </c>
      <c r="I1984" s="6"/>
      <c r="J1984" s="1257" t="s">
        <v>400</v>
      </c>
      <c r="K1984" s="251">
        <f>SUMIF('alb A - Compensation packages'!$B:$B,$J1984,'alb A - Compensation packages'!$E:$E)</f>
        <v>0</v>
      </c>
      <c r="L1984" s="266"/>
      <c r="M1984" s="2"/>
      <c r="N1984" s="273">
        <f t="shared" si="1216"/>
        <v>0</v>
      </c>
      <c r="O1984" s="12"/>
      <c r="P1984" s="12"/>
      <c r="Q1984" s="12"/>
      <c r="R1984" s="12"/>
      <c r="S1984" s="6">
        <f t="shared" si="1211"/>
        <v>0</v>
      </c>
      <c r="T1984" s="273">
        <f t="shared" si="1217"/>
        <v>0</v>
      </c>
      <c r="U1984" s="6"/>
      <c r="V1984" s="6"/>
      <c r="W1984" s="6">
        <f t="shared" si="1218"/>
        <v>0</v>
      </c>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X1984" s="6"/>
      <c r="AY1984" s="6">
        <f>ROUND(AX1984/1000/Update!$B$31*Update!$B$27,0)</f>
        <v>0</v>
      </c>
      <c r="BA1984" s="6"/>
      <c r="BB1984" s="6">
        <f>ROUND(BA1984/1000/Update!$B$31,0)</f>
        <v>0</v>
      </c>
      <c r="BC1984" s="6"/>
      <c r="BD1984" s="6">
        <f t="shared" si="1190"/>
        <v>0</v>
      </c>
      <c r="BE1984" s="322"/>
      <c r="BF1984" s="322"/>
      <c r="BG1984" s="322"/>
      <c r="BH1984" s="322"/>
      <c r="BI1984" s="322"/>
      <c r="BJ1984" s="322"/>
      <c r="BK1984" s="6">
        <f t="shared" si="1219"/>
        <v>0</v>
      </c>
      <c r="BL1984" s="322"/>
      <c r="BM1984" s="322"/>
      <c r="BN1984" s="322"/>
      <c r="BO1984" s="322"/>
      <c r="BP1984" s="322"/>
      <c r="BQ1984" s="322"/>
      <c r="BR1984" s="322"/>
      <c r="BS1984" s="322"/>
      <c r="BT1984" s="322"/>
      <c r="BU1984" s="322"/>
      <c r="BV1984" s="322"/>
      <c r="BW1984" s="322"/>
      <c r="BX1984" s="322"/>
      <c r="BY1984" s="322"/>
      <c r="BZ1984" s="322"/>
      <c r="CA1984" s="322"/>
      <c r="CB1984" s="322"/>
      <c r="CC1984" s="322"/>
      <c r="CD1984" s="322"/>
      <c r="CE1984" s="322"/>
      <c r="CF1984" s="322"/>
      <c r="CG1984" s="322"/>
      <c r="CH1984" s="322"/>
      <c r="CI1984" s="322"/>
      <c r="CM1984" s="1139">
        <f t="shared" si="1189"/>
        <v>0</v>
      </c>
      <c r="CN1984" s="1139">
        <v>0</v>
      </c>
      <c r="CP1984" s="923">
        <f t="shared" si="1188"/>
        <v>0</v>
      </c>
      <c r="CZ1984" s="330"/>
    </row>
    <row r="1985" spans="1:104" ht="15" customHeight="1" x14ac:dyDescent="0.25">
      <c r="A1985" s="684">
        <f>MAX($A$6:A1984)+1</f>
        <v>1985</v>
      </c>
      <c r="B1985" s="1060">
        <f t="shared" si="1212"/>
        <v>70</v>
      </c>
      <c r="C1985" s="292" t="s">
        <v>395</v>
      </c>
      <c r="D1985" s="11" t="s">
        <v>404</v>
      </c>
      <c r="E1985" s="7" t="s">
        <v>888</v>
      </c>
      <c r="F1985" s="7"/>
      <c r="G1985" s="1254" t="s">
        <v>489</v>
      </c>
      <c r="H1985" s="6">
        <v>0</v>
      </c>
      <c r="I1985" s="6"/>
      <c r="J1985" s="1257" t="s">
        <v>888</v>
      </c>
      <c r="K1985" s="251">
        <f>SUMIF('alb A - Compensation packages'!$B:$B,$J1985,'alb A - Compensation packages'!$E:$E)</f>
        <v>0</v>
      </c>
      <c r="L1985" s="266"/>
      <c r="M1985" s="2"/>
      <c r="N1985" s="273">
        <f t="shared" si="1216"/>
        <v>0</v>
      </c>
      <c r="O1985" s="12"/>
      <c r="P1985" s="12"/>
      <c r="Q1985" s="12"/>
      <c r="R1985" s="12"/>
      <c r="S1985" s="6">
        <f t="shared" si="1211"/>
        <v>0</v>
      </c>
      <c r="T1985" s="273">
        <f t="shared" si="1217"/>
        <v>0</v>
      </c>
      <c r="U1985" s="6"/>
      <c r="V1985" s="6"/>
      <c r="W1985" s="6">
        <f t="shared" si="1218"/>
        <v>0</v>
      </c>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X1985" s="6"/>
      <c r="AY1985" s="6">
        <f>ROUND(AX1985/1000/Update!$B$31*Update!$B$27,0)</f>
        <v>0</v>
      </c>
      <c r="BA1985" s="6"/>
      <c r="BB1985" s="6">
        <f>ROUND(BA1985/1000/Update!$B$31,0)</f>
        <v>0</v>
      </c>
      <c r="BC1985" s="6"/>
      <c r="BD1985" s="6">
        <f t="shared" si="1190"/>
        <v>0</v>
      </c>
      <c r="BE1985" s="322"/>
      <c r="BF1985" s="322"/>
      <c r="BG1985" s="322"/>
      <c r="BH1985" s="322"/>
      <c r="BI1985" s="322"/>
      <c r="BJ1985" s="322"/>
      <c r="BK1985" s="6">
        <f t="shared" si="1219"/>
        <v>0</v>
      </c>
      <c r="BL1985" s="322"/>
      <c r="BM1985" s="322"/>
      <c r="BN1985" s="322"/>
      <c r="BO1985" s="322"/>
      <c r="BP1985" s="322"/>
      <c r="BQ1985" s="322"/>
      <c r="BR1985" s="322"/>
      <c r="BS1985" s="322"/>
      <c r="BT1985" s="322"/>
      <c r="BU1985" s="322"/>
      <c r="BV1985" s="322"/>
      <c r="BW1985" s="322"/>
      <c r="BX1985" s="322"/>
      <c r="BY1985" s="322"/>
      <c r="BZ1985" s="322"/>
      <c r="CA1985" s="322"/>
      <c r="CB1985" s="322"/>
      <c r="CC1985" s="322"/>
      <c r="CD1985" s="322"/>
      <c r="CE1985" s="322"/>
      <c r="CF1985" s="322"/>
      <c r="CG1985" s="322"/>
      <c r="CH1985" s="322"/>
      <c r="CI1985" s="322"/>
      <c r="CM1985" s="1139">
        <f t="shared" si="1189"/>
        <v>0</v>
      </c>
      <c r="CN1985" s="1139">
        <v>0</v>
      </c>
      <c r="CP1985" s="923">
        <f t="shared" ref="CP1985:CP2048" si="1220">-V1985+BL1985+BM1985+BN1985+CM1985</f>
        <v>0</v>
      </c>
      <c r="CZ1985" s="330"/>
    </row>
    <row r="1986" spans="1:104" ht="15" customHeight="1" x14ac:dyDescent="0.25">
      <c r="A1986" s="684">
        <f>MAX($A$6:A1985)+1</f>
        <v>1986</v>
      </c>
      <c r="B1986" s="1060">
        <f t="shared" si="1212"/>
        <v>70</v>
      </c>
      <c r="C1986" s="292" t="s">
        <v>395</v>
      </c>
      <c r="D1986" s="11" t="s">
        <v>404</v>
      </c>
      <c r="E1986" s="7" t="s">
        <v>889</v>
      </c>
      <c r="F1986" s="7"/>
      <c r="G1986" s="1254" t="s">
        <v>490</v>
      </c>
      <c r="H1986" s="6">
        <v>0</v>
      </c>
      <c r="I1986" s="6"/>
      <c r="J1986" s="1257" t="s">
        <v>889</v>
      </c>
      <c r="K1986" s="251">
        <f>SUMIF('alb A - Compensation packages'!$B:$B,$J1986,'alb A - Compensation packages'!$E:$E)</f>
        <v>0</v>
      </c>
      <c r="L1986" s="266"/>
      <c r="M1986" s="2"/>
      <c r="N1986" s="273">
        <f t="shared" si="1216"/>
        <v>0</v>
      </c>
      <c r="O1986" s="12"/>
      <c r="P1986" s="12"/>
      <c r="Q1986" s="12"/>
      <c r="R1986" s="12"/>
      <c r="S1986" s="6">
        <f t="shared" si="1211"/>
        <v>0</v>
      </c>
      <c r="T1986" s="273">
        <f t="shared" si="1217"/>
        <v>0</v>
      </c>
      <c r="U1986" s="6"/>
      <c r="V1986" s="6"/>
      <c r="W1986" s="6">
        <f t="shared" si="1218"/>
        <v>0</v>
      </c>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X1986" s="6"/>
      <c r="AY1986" s="6"/>
      <c r="BA1986" s="6"/>
      <c r="BB1986" s="6"/>
      <c r="BC1986" s="6"/>
      <c r="BD1986" s="6">
        <f t="shared" si="1190"/>
        <v>0</v>
      </c>
      <c r="BE1986" s="322"/>
      <c r="BF1986" s="322"/>
      <c r="BG1986" s="322"/>
      <c r="BH1986" s="322"/>
      <c r="BI1986" s="322"/>
      <c r="BJ1986" s="322"/>
      <c r="BK1986" s="6">
        <f t="shared" si="1219"/>
        <v>0</v>
      </c>
      <c r="BL1986" s="322"/>
      <c r="BM1986" s="322"/>
      <c r="BN1986" s="322"/>
      <c r="BO1986" s="322"/>
      <c r="BP1986" s="322"/>
      <c r="BQ1986" s="322"/>
      <c r="BR1986" s="322"/>
      <c r="BS1986" s="322"/>
      <c r="BT1986" s="322"/>
      <c r="BU1986" s="322"/>
      <c r="BV1986" s="322"/>
      <c r="BW1986" s="322"/>
      <c r="BX1986" s="322"/>
      <c r="BY1986" s="322"/>
      <c r="BZ1986" s="322"/>
      <c r="CA1986" s="322"/>
      <c r="CB1986" s="322"/>
      <c r="CC1986" s="322"/>
      <c r="CD1986" s="322"/>
      <c r="CE1986" s="322"/>
      <c r="CF1986" s="322"/>
      <c r="CG1986" s="322"/>
      <c r="CH1986" s="322"/>
      <c r="CI1986" s="322"/>
      <c r="CM1986" s="1139">
        <f t="shared" ref="CM1986:CM2049" si="1221">+U1986+V1986</f>
        <v>0</v>
      </c>
      <c r="CN1986" s="1139">
        <v>0</v>
      </c>
      <c r="CP1986" s="923">
        <f t="shared" si="1220"/>
        <v>0</v>
      </c>
      <c r="CZ1986" s="330"/>
    </row>
    <row r="1987" spans="1:104" ht="15" customHeight="1" x14ac:dyDescent="0.25">
      <c r="A1987" s="684">
        <f>MAX($A$6:A1986)+1</f>
        <v>1987</v>
      </c>
      <c r="B1987" s="1060">
        <f t="shared" si="1212"/>
        <v>70</v>
      </c>
      <c r="C1987" s="292" t="s">
        <v>395</v>
      </c>
      <c r="D1987" s="11" t="s">
        <v>404</v>
      </c>
      <c r="E1987" s="7" t="s">
        <v>890</v>
      </c>
      <c r="F1987" s="7"/>
      <c r="G1987" s="1254" t="s">
        <v>491</v>
      </c>
      <c r="H1987" s="6">
        <v>0</v>
      </c>
      <c r="I1987" s="6"/>
      <c r="J1987" s="1257" t="s">
        <v>890</v>
      </c>
      <c r="K1987" s="251">
        <f>SUMIF('alb A - Compensation packages'!$B:$B,$J1987,'alb A - Compensation packages'!$E:$E)</f>
        <v>0</v>
      </c>
      <c r="L1987" s="266"/>
      <c r="M1987" s="2"/>
      <c r="N1987" s="273">
        <f t="shared" si="1216"/>
        <v>0</v>
      </c>
      <c r="O1987" s="12"/>
      <c r="P1987" s="12"/>
      <c r="Q1987" s="12"/>
      <c r="R1987" s="12"/>
      <c r="S1987" s="6">
        <f t="shared" si="1211"/>
        <v>0</v>
      </c>
      <c r="T1987" s="273">
        <f t="shared" si="1217"/>
        <v>0</v>
      </c>
      <c r="U1987" s="6"/>
      <c r="V1987" s="6"/>
      <c r="W1987" s="6">
        <f t="shared" si="1218"/>
        <v>0</v>
      </c>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X1987" s="6"/>
      <c r="AY1987" s="6"/>
      <c r="BA1987" s="6"/>
      <c r="BB1987" s="6"/>
      <c r="BC1987" s="6"/>
      <c r="BD1987" s="6">
        <f t="shared" si="1190"/>
        <v>0</v>
      </c>
      <c r="BE1987" s="322"/>
      <c r="BF1987" s="322"/>
      <c r="BG1987" s="322"/>
      <c r="BH1987" s="322"/>
      <c r="BI1987" s="322"/>
      <c r="BJ1987" s="322"/>
      <c r="BK1987" s="6">
        <f t="shared" si="1219"/>
        <v>0</v>
      </c>
      <c r="BL1987" s="260"/>
      <c r="BM1987" s="260"/>
      <c r="BN1987" s="260"/>
      <c r="BO1987" s="260"/>
      <c r="BP1987" s="322"/>
      <c r="BQ1987" s="260"/>
      <c r="BR1987" s="260"/>
      <c r="BS1987" s="322"/>
      <c r="BT1987" s="322"/>
      <c r="BU1987" s="260"/>
      <c r="BV1987" s="260"/>
      <c r="BW1987" s="260"/>
      <c r="BX1987" s="260"/>
      <c r="BY1987" s="260"/>
      <c r="BZ1987" s="260"/>
      <c r="CA1987" s="260"/>
      <c r="CB1987" s="260"/>
      <c r="CC1987" s="322"/>
      <c r="CD1987" s="322"/>
      <c r="CE1987" s="322"/>
      <c r="CF1987" s="322"/>
      <c r="CG1987" s="322"/>
      <c r="CH1987" s="322"/>
      <c r="CI1987" s="260"/>
      <c r="CM1987" s="1139">
        <f t="shared" si="1221"/>
        <v>0</v>
      </c>
      <c r="CN1987" s="1139">
        <v>0</v>
      </c>
      <c r="CP1987" s="923">
        <f t="shared" si="1220"/>
        <v>0</v>
      </c>
      <c r="CZ1987" s="330"/>
    </row>
    <row r="1988" spans="1:104" ht="15" customHeight="1" x14ac:dyDescent="0.25">
      <c r="A1988" s="684">
        <f>MAX($A$6:A1987)+1</f>
        <v>1988</v>
      </c>
      <c r="B1988" s="1060">
        <f t="shared" si="1212"/>
        <v>70</v>
      </c>
      <c r="C1988" s="292" t="s">
        <v>395</v>
      </c>
      <c r="D1988" s="11" t="s">
        <v>404</v>
      </c>
      <c r="E1988" s="7" t="s">
        <v>891</v>
      </c>
      <c r="F1988" s="7"/>
      <c r="G1988" s="1254" t="s">
        <v>492</v>
      </c>
      <c r="H1988" s="6">
        <v>0</v>
      </c>
      <c r="I1988" s="6"/>
      <c r="J1988" s="1257" t="s">
        <v>891</v>
      </c>
      <c r="K1988" s="251">
        <f>SUMIF('alb A - Compensation packages'!$B:$B,$J1988,'alb A - Compensation packages'!$E:$E)</f>
        <v>0</v>
      </c>
      <c r="L1988" s="266"/>
      <c r="M1988" s="2"/>
      <c r="N1988" s="273">
        <f t="shared" si="1216"/>
        <v>0</v>
      </c>
      <c r="O1988" s="12"/>
      <c r="P1988" s="12"/>
      <c r="Q1988" s="12"/>
      <c r="R1988" s="12"/>
      <c r="S1988" s="6">
        <f t="shared" si="1211"/>
        <v>0</v>
      </c>
      <c r="T1988" s="273">
        <f t="shared" si="1217"/>
        <v>0</v>
      </c>
      <c r="U1988" s="6"/>
      <c r="V1988" s="6"/>
      <c r="W1988" s="6">
        <f t="shared" si="1218"/>
        <v>0</v>
      </c>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X1988" s="6"/>
      <c r="AY1988" s="6"/>
      <c r="BA1988" s="6"/>
      <c r="BB1988" s="6"/>
      <c r="BC1988" s="6"/>
      <c r="BD1988" s="6">
        <f t="shared" si="1190"/>
        <v>0</v>
      </c>
      <c r="BE1988" s="322"/>
      <c r="BF1988" s="322"/>
      <c r="BG1988" s="322"/>
      <c r="BH1988" s="322"/>
      <c r="BI1988" s="322"/>
      <c r="BJ1988" s="322"/>
      <c r="BK1988" s="6">
        <f t="shared" si="1219"/>
        <v>0</v>
      </c>
      <c r="BL1988" s="322"/>
      <c r="BM1988" s="322"/>
      <c r="BN1988" s="322"/>
      <c r="BO1988" s="322"/>
      <c r="BP1988" s="322"/>
      <c r="BQ1988" s="322"/>
      <c r="BR1988" s="322"/>
      <c r="BS1988" s="322"/>
      <c r="BT1988" s="322"/>
      <c r="BU1988" s="322"/>
      <c r="BV1988" s="322"/>
      <c r="BW1988" s="322"/>
      <c r="BX1988" s="322"/>
      <c r="BY1988" s="322"/>
      <c r="BZ1988" s="322"/>
      <c r="CA1988" s="322"/>
      <c r="CB1988" s="322"/>
      <c r="CC1988" s="322"/>
      <c r="CD1988" s="322"/>
      <c r="CE1988" s="322"/>
      <c r="CF1988" s="322"/>
      <c r="CG1988" s="322"/>
      <c r="CH1988" s="322"/>
      <c r="CI1988" s="322"/>
      <c r="CM1988" s="1139">
        <f t="shared" si="1221"/>
        <v>0</v>
      </c>
      <c r="CN1988" s="1139">
        <v>0</v>
      </c>
      <c r="CP1988" s="923">
        <f t="shared" si="1220"/>
        <v>0</v>
      </c>
      <c r="CZ1988" s="330"/>
    </row>
    <row r="1989" spans="1:104" ht="25.5" customHeight="1" x14ac:dyDescent="0.25">
      <c r="A1989" s="684">
        <f>MAX($A$6:A1988)+1</f>
        <v>1989</v>
      </c>
      <c r="B1989" s="1291">
        <f t="shared" si="1212"/>
        <v>70</v>
      </c>
      <c r="C1989" s="299" t="s">
        <v>395</v>
      </c>
      <c r="D1989" s="18" t="s">
        <v>404</v>
      </c>
      <c r="E1989" s="300" t="s">
        <v>401</v>
      </c>
      <c r="F1989" s="300"/>
      <c r="G1989" s="1289" t="s">
        <v>401</v>
      </c>
      <c r="H1989" s="300">
        <v>0</v>
      </c>
      <c r="I1989" s="300"/>
      <c r="J1989" s="1259" t="s">
        <v>893</v>
      </c>
      <c r="K1989" s="256">
        <f>SUM(K1979:K1988)</f>
        <v>0</v>
      </c>
      <c r="L1989" s="256">
        <f>SUM(L1979:L1988)</f>
        <v>0</v>
      </c>
      <c r="M1989" s="263"/>
      <c r="N1989" s="14">
        <f t="shared" si="1216"/>
        <v>0</v>
      </c>
      <c r="O1989" s="264"/>
      <c r="P1989" s="264"/>
      <c r="Q1989" s="264"/>
      <c r="R1989" s="264"/>
      <c r="S1989" s="260">
        <f t="shared" si="1211"/>
        <v>0</v>
      </c>
      <c r="T1989" s="14">
        <f t="shared" si="1217"/>
        <v>0</v>
      </c>
      <c r="U1989" s="260"/>
      <c r="V1989" s="260"/>
      <c r="W1989" s="260">
        <v>0</v>
      </c>
      <c r="X1989" s="260"/>
      <c r="Y1989" s="260"/>
      <c r="Z1989" s="260"/>
      <c r="AA1989" s="260"/>
      <c r="AB1989" s="260"/>
      <c r="AC1989" s="260"/>
      <c r="AD1989" s="260"/>
      <c r="AE1989" s="260"/>
      <c r="AF1989" s="260"/>
      <c r="AG1989" s="260"/>
      <c r="AH1989" s="260"/>
      <c r="AI1989" s="260"/>
      <c r="AJ1989" s="260"/>
      <c r="AK1989" s="260"/>
      <c r="AL1989" s="260"/>
      <c r="AM1989" s="260"/>
      <c r="AN1989" s="260"/>
      <c r="AO1989" s="260"/>
      <c r="AP1989" s="260"/>
      <c r="AQ1989" s="260"/>
      <c r="AR1989" s="260"/>
      <c r="AS1989" s="260"/>
      <c r="AT1989" s="260"/>
      <c r="AU1989" s="260"/>
      <c r="AV1989" s="260"/>
      <c r="AW1989" s="2"/>
      <c r="AX1989" s="260"/>
      <c r="AY1989" s="6">
        <f>ROUND(AX1989/1000/Update!$B$31*Update!$B$27,0)</f>
        <v>0</v>
      </c>
      <c r="AZ1989" s="2"/>
      <c r="BA1989" s="260"/>
      <c r="BB1989" s="6">
        <f>ROUND(BA1989/1000/Update!$B$31,0)</f>
        <v>0</v>
      </c>
      <c r="BC1989" s="6"/>
      <c r="BD1989" s="260">
        <f t="shared" si="1190"/>
        <v>0</v>
      </c>
      <c r="BE1989" s="260"/>
      <c r="BF1989" s="260"/>
      <c r="BG1989" s="260"/>
      <c r="BH1989" s="260"/>
      <c r="BI1989" s="260"/>
      <c r="BJ1989" s="260"/>
      <c r="BK1989" s="260">
        <f t="shared" si="1219"/>
        <v>0</v>
      </c>
      <c r="BL1989" s="14"/>
      <c r="BM1989" s="14"/>
      <c r="BN1989" s="14"/>
      <c r="BO1989" s="14"/>
      <c r="BP1989" s="260"/>
      <c r="BQ1989" s="14"/>
      <c r="BR1989" s="14"/>
      <c r="BS1989" s="260"/>
      <c r="BT1989" s="322"/>
      <c r="BU1989" s="14"/>
      <c r="BV1989" s="14"/>
      <c r="BW1989" s="14"/>
      <c r="BX1989" s="14"/>
      <c r="BY1989" s="14"/>
      <c r="BZ1989" s="14"/>
      <c r="CA1989" s="14"/>
      <c r="CB1989" s="14"/>
      <c r="CC1989" s="260"/>
      <c r="CD1989" s="260"/>
      <c r="CE1989" s="260"/>
      <c r="CF1989" s="260"/>
      <c r="CG1989" s="260"/>
      <c r="CH1989" s="260"/>
      <c r="CI1989" s="14"/>
      <c r="CJ1989" s="2"/>
      <c r="CK1989" s="2"/>
      <c r="CM1989" s="1139">
        <f t="shared" si="1221"/>
        <v>0</v>
      </c>
      <c r="CN1989" s="1139">
        <v>0</v>
      </c>
      <c r="CP1989" s="923">
        <f t="shared" si="1220"/>
        <v>0</v>
      </c>
      <c r="CZ1989" s="330"/>
    </row>
    <row r="1990" spans="1:104" ht="15" customHeight="1" x14ac:dyDescent="0.25">
      <c r="A1990" s="684">
        <f>MAX($A$6:A1989)+1</f>
        <v>1990</v>
      </c>
      <c r="B1990" s="1060">
        <f t="shared" si="1212"/>
        <v>70</v>
      </c>
      <c r="C1990" s="292" t="s">
        <v>395</v>
      </c>
      <c r="D1990" s="11" t="s">
        <v>404</v>
      </c>
      <c r="E1990" s="7" t="s">
        <v>402</v>
      </c>
      <c r="F1990" s="7"/>
      <c r="G1990" s="1254" t="s">
        <v>402</v>
      </c>
      <c r="H1990" s="6">
        <v>0</v>
      </c>
      <c r="I1990" s="6"/>
      <c r="J1990" s="1257" t="s">
        <v>402</v>
      </c>
      <c r="K1990" s="251">
        <f>SUMIF('alb A - Compensation packages'!$B:$B,$J1990,'alb A - Compensation packages'!$E:$E)</f>
        <v>0</v>
      </c>
      <c r="L1990" s="266"/>
      <c r="M1990" s="2"/>
      <c r="N1990" s="273">
        <f t="shared" si="1216"/>
        <v>0</v>
      </c>
      <c r="O1990" s="12"/>
      <c r="P1990" s="12"/>
      <c r="Q1990" s="12"/>
      <c r="R1990" s="12"/>
      <c r="S1990" s="6">
        <f t="shared" si="1211"/>
        <v>0</v>
      </c>
      <c r="T1990" s="273">
        <f t="shared" si="1217"/>
        <v>0</v>
      </c>
      <c r="U1990" s="6"/>
      <c r="V1990" s="6"/>
      <c r="W1990" s="6">
        <f t="shared" ref="W1990:W2002" si="1222">+H1990</f>
        <v>0</v>
      </c>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X1990" s="6"/>
      <c r="AY1990" s="6">
        <f>ROUND(AX1990/1000/Update!$B$31*Update!$B$27,0)</f>
        <v>0</v>
      </c>
      <c r="BA1990" s="6"/>
      <c r="BB1990" s="6">
        <f>ROUND(BA1990/1000/Update!$B$31,0)</f>
        <v>0</v>
      </c>
      <c r="BC1990" s="6"/>
      <c r="BD1990" s="6">
        <f t="shared" si="1190"/>
        <v>0</v>
      </c>
      <c r="BE1990" s="322"/>
      <c r="BF1990" s="322"/>
      <c r="BG1990" s="322"/>
      <c r="BH1990" s="322"/>
      <c r="BI1990" s="322"/>
      <c r="BJ1990" s="322"/>
      <c r="BK1990" s="6">
        <f t="shared" si="1219"/>
        <v>0</v>
      </c>
      <c r="BL1990" s="14"/>
      <c r="BM1990" s="14"/>
      <c r="BN1990" s="14"/>
      <c r="BO1990" s="14"/>
      <c r="BP1990" s="322"/>
      <c r="BQ1990" s="14"/>
      <c r="BR1990" s="14"/>
      <c r="BS1990" s="322"/>
      <c r="BT1990" s="322"/>
      <c r="BU1990" s="14"/>
      <c r="BV1990" s="14"/>
      <c r="BW1990" s="14"/>
      <c r="BX1990" s="14"/>
      <c r="BY1990" s="14"/>
      <c r="BZ1990" s="14"/>
      <c r="CA1990" s="14"/>
      <c r="CB1990" s="14"/>
      <c r="CC1990" s="322"/>
      <c r="CD1990" s="322"/>
      <c r="CE1990" s="322"/>
      <c r="CF1990" s="322"/>
      <c r="CG1990" s="322"/>
      <c r="CH1990" s="322"/>
      <c r="CI1990" s="14"/>
      <c r="CM1990" s="1139">
        <f t="shared" si="1221"/>
        <v>0</v>
      </c>
      <c r="CN1990" s="1139">
        <v>0</v>
      </c>
      <c r="CP1990" s="923">
        <f t="shared" si="1220"/>
        <v>0</v>
      </c>
      <c r="CZ1990" s="330"/>
    </row>
    <row r="1991" spans="1:104" ht="15" customHeight="1" x14ac:dyDescent="0.25">
      <c r="A1991" s="684">
        <f>MAX($A$6:A1990)+1</f>
        <v>1991</v>
      </c>
      <c r="B1991" s="702">
        <f t="shared" si="1212"/>
        <v>70</v>
      </c>
      <c r="C1991" s="299" t="s">
        <v>395</v>
      </c>
      <c r="D1991" s="18" t="s">
        <v>405</v>
      </c>
      <c r="E1991" s="300" t="s">
        <v>892</v>
      </c>
      <c r="F1991" s="300"/>
      <c r="G1991" s="1288" t="s">
        <v>892</v>
      </c>
      <c r="H1991" s="260">
        <f>H1967+H1979</f>
        <v>0</v>
      </c>
      <c r="I1991" s="260"/>
      <c r="J1991" s="1259" t="s">
        <v>286</v>
      </c>
      <c r="K1991" s="256">
        <f>K1967+K1978</f>
        <v>0</v>
      </c>
      <c r="L1991" s="256">
        <f>L1967+L1978</f>
        <v>0</v>
      </c>
      <c r="M1991" s="263"/>
      <c r="N1991" s="256">
        <f t="shared" si="1216"/>
        <v>0</v>
      </c>
      <c r="O1991" s="264"/>
      <c r="P1991" s="264"/>
      <c r="Q1991" s="264"/>
      <c r="R1991" s="264"/>
      <c r="S1991" s="260">
        <f t="shared" si="1211"/>
        <v>0</v>
      </c>
      <c r="T1991" s="256">
        <f t="shared" si="1217"/>
        <v>0</v>
      </c>
      <c r="U1991" s="260"/>
      <c r="V1991" s="260"/>
      <c r="W1991" s="260">
        <f t="shared" si="1222"/>
        <v>0</v>
      </c>
      <c r="X1991" s="260"/>
      <c r="Y1991" s="260"/>
      <c r="Z1991" s="260"/>
      <c r="AA1991" s="260"/>
      <c r="AB1991" s="260"/>
      <c r="AC1991" s="260"/>
      <c r="AD1991" s="260"/>
      <c r="AE1991" s="260"/>
      <c r="AF1991" s="260"/>
      <c r="AG1991" s="260"/>
      <c r="AH1991" s="260"/>
      <c r="AI1991" s="260"/>
      <c r="AJ1991" s="260"/>
      <c r="AK1991" s="260"/>
      <c r="AL1991" s="260"/>
      <c r="AM1991" s="260"/>
      <c r="AN1991" s="260"/>
      <c r="AO1991" s="260"/>
      <c r="AP1991" s="260"/>
      <c r="AQ1991" s="260"/>
      <c r="AR1991" s="260"/>
      <c r="AS1991" s="260"/>
      <c r="AT1991" s="260"/>
      <c r="AU1991" s="260"/>
      <c r="AV1991" s="260"/>
      <c r="AW1991" s="2"/>
      <c r="AX1991" s="260"/>
      <c r="AY1991" s="6">
        <f>ROUND(AX1991/1000/Update!$B$31*Update!$B$27,0)</f>
        <v>0</v>
      </c>
      <c r="AZ1991" s="2"/>
      <c r="BA1991" s="260"/>
      <c r="BB1991" s="6">
        <f>ROUND(BA1991/1000/Update!$B$31,0)</f>
        <v>0</v>
      </c>
      <c r="BC1991" s="6"/>
      <c r="BD1991" s="14">
        <f t="shared" si="1190"/>
        <v>0</v>
      </c>
      <c r="BE1991" s="14"/>
      <c r="BF1991" s="14"/>
      <c r="BG1991" s="14"/>
      <c r="BH1991" s="14"/>
      <c r="BI1991" s="14"/>
      <c r="BJ1991" s="14"/>
      <c r="BK1991" s="14">
        <f t="shared" si="1219"/>
        <v>0</v>
      </c>
      <c r="BL1991" s="14"/>
      <c r="BM1991" s="14"/>
      <c r="BN1991" s="14"/>
      <c r="BO1991" s="14"/>
      <c r="BP1991" s="14"/>
      <c r="BQ1991" s="14"/>
      <c r="BR1991" s="14"/>
      <c r="BS1991" s="14"/>
      <c r="BT1991" s="322"/>
      <c r="BU1991" s="14"/>
      <c r="BV1991" s="14"/>
      <c r="BW1991" s="14"/>
      <c r="BX1991" s="14"/>
      <c r="BY1991" s="14"/>
      <c r="BZ1991" s="14"/>
      <c r="CA1991" s="14"/>
      <c r="CB1991" s="14"/>
      <c r="CC1991" s="14"/>
      <c r="CD1991" s="14"/>
      <c r="CE1991" s="14"/>
      <c r="CF1991" s="14"/>
      <c r="CG1991" s="14"/>
      <c r="CH1991" s="14"/>
      <c r="CI1991" s="14"/>
      <c r="CJ1991" s="2"/>
      <c r="CK1991" s="2"/>
      <c r="CM1991" s="1139">
        <f t="shared" si="1221"/>
        <v>0</v>
      </c>
      <c r="CN1991" s="1139">
        <v>0</v>
      </c>
      <c r="CP1991" s="923">
        <f t="shared" si="1220"/>
        <v>0</v>
      </c>
      <c r="CZ1991" s="330"/>
    </row>
    <row r="1992" spans="1:104" ht="15" customHeight="1" x14ac:dyDescent="0.25">
      <c r="A1992" s="684">
        <f>MAX($A$6:A1991)+1</f>
        <v>1992</v>
      </c>
      <c r="B1992" s="1291">
        <f t="shared" si="1212"/>
        <v>70</v>
      </c>
      <c r="C1992" s="299" t="s">
        <v>395</v>
      </c>
      <c r="D1992" s="18" t="s">
        <v>405</v>
      </c>
      <c r="E1992" s="300" t="s">
        <v>396</v>
      </c>
      <c r="F1992" s="300"/>
      <c r="G1992" s="1288" t="s">
        <v>484</v>
      </c>
      <c r="H1992" s="260">
        <f t="shared" ref="H1992:H2002" si="1223">H1968+H1980</f>
        <v>0</v>
      </c>
      <c r="I1992" s="260"/>
      <c r="J1992" s="1259" t="s">
        <v>286</v>
      </c>
      <c r="K1992" s="256">
        <f t="shared" ref="K1992:L2002" si="1224">K1968+K1979</f>
        <v>0</v>
      </c>
      <c r="L1992" s="256">
        <f t="shared" si="1224"/>
        <v>0</v>
      </c>
      <c r="M1992" s="263"/>
      <c r="N1992" s="256">
        <f t="shared" si="1216"/>
        <v>0</v>
      </c>
      <c r="O1992" s="264"/>
      <c r="P1992" s="264"/>
      <c r="Q1992" s="264"/>
      <c r="R1992" s="264"/>
      <c r="S1992" s="260">
        <f t="shared" si="1211"/>
        <v>0</v>
      </c>
      <c r="T1992" s="256">
        <f t="shared" si="1217"/>
        <v>0</v>
      </c>
      <c r="U1992" s="260"/>
      <c r="V1992" s="260"/>
      <c r="W1992" s="260">
        <f t="shared" si="1222"/>
        <v>0</v>
      </c>
      <c r="X1992" s="260"/>
      <c r="Y1992" s="260"/>
      <c r="Z1992" s="260"/>
      <c r="AA1992" s="260"/>
      <c r="AB1992" s="260"/>
      <c r="AC1992" s="260"/>
      <c r="AD1992" s="260"/>
      <c r="AE1992" s="260"/>
      <c r="AF1992" s="260"/>
      <c r="AG1992" s="260"/>
      <c r="AH1992" s="260"/>
      <c r="AI1992" s="260"/>
      <c r="AJ1992" s="260"/>
      <c r="AK1992" s="260"/>
      <c r="AL1992" s="260"/>
      <c r="AM1992" s="260"/>
      <c r="AN1992" s="260"/>
      <c r="AO1992" s="260"/>
      <c r="AP1992" s="260"/>
      <c r="AQ1992" s="260"/>
      <c r="AR1992" s="260"/>
      <c r="AS1992" s="260"/>
      <c r="AT1992" s="260"/>
      <c r="AU1992" s="260"/>
      <c r="AV1992" s="260"/>
      <c r="AW1992" s="2"/>
      <c r="AX1992" s="260"/>
      <c r="AY1992" s="6">
        <f>ROUND(AX1992/1000/Update!$B$31*Update!$B$27,0)</f>
        <v>0</v>
      </c>
      <c r="AZ1992" s="2"/>
      <c r="BA1992" s="260"/>
      <c r="BB1992" s="6">
        <f>ROUND(BA1992/1000/Update!$B$31,0)</f>
        <v>0</v>
      </c>
      <c r="BC1992" s="6"/>
      <c r="BD1992" s="14">
        <f t="shared" si="1190"/>
        <v>0</v>
      </c>
      <c r="BE1992" s="14"/>
      <c r="BF1992" s="14"/>
      <c r="BG1992" s="14"/>
      <c r="BH1992" s="14"/>
      <c r="BI1992" s="14"/>
      <c r="BJ1992" s="14"/>
      <c r="BK1992" s="14">
        <f t="shared" si="1219"/>
        <v>0</v>
      </c>
      <c r="BL1992" s="14"/>
      <c r="BM1992" s="14"/>
      <c r="BN1992" s="14"/>
      <c r="BO1992" s="14"/>
      <c r="BP1992" s="14"/>
      <c r="BQ1992" s="14"/>
      <c r="BR1992" s="14"/>
      <c r="BS1992" s="14"/>
      <c r="BT1992" s="322"/>
      <c r="BU1992" s="14"/>
      <c r="BV1992" s="14"/>
      <c r="BW1992" s="14"/>
      <c r="BX1992" s="14"/>
      <c r="BY1992" s="14"/>
      <c r="BZ1992" s="14"/>
      <c r="CA1992" s="14"/>
      <c r="CB1992" s="14"/>
      <c r="CC1992" s="14"/>
      <c r="CD1992" s="14"/>
      <c r="CE1992" s="14"/>
      <c r="CF1992" s="14"/>
      <c r="CG1992" s="14"/>
      <c r="CH1992" s="14"/>
      <c r="CI1992" s="14"/>
      <c r="CJ1992" s="2"/>
      <c r="CK1992" s="2"/>
      <c r="CM1992" s="1139">
        <f t="shared" si="1221"/>
        <v>0</v>
      </c>
      <c r="CN1992" s="1139">
        <v>0</v>
      </c>
      <c r="CP1992" s="923">
        <f t="shared" si="1220"/>
        <v>0</v>
      </c>
      <c r="CZ1992" s="330"/>
    </row>
    <row r="1993" spans="1:104" ht="15" customHeight="1" x14ac:dyDescent="0.25">
      <c r="A1993" s="684">
        <f>MAX($A$6:A1992)+1</f>
        <v>1993</v>
      </c>
      <c r="B1993" s="1291">
        <f t="shared" si="1212"/>
        <v>70</v>
      </c>
      <c r="C1993" s="299" t="s">
        <v>395</v>
      </c>
      <c r="D1993" s="18" t="s">
        <v>405</v>
      </c>
      <c r="E1993" s="300" t="s">
        <v>397</v>
      </c>
      <c r="F1993" s="300"/>
      <c r="G1993" s="1288" t="s">
        <v>485</v>
      </c>
      <c r="H1993" s="260">
        <f t="shared" si="1223"/>
        <v>0</v>
      </c>
      <c r="I1993" s="260"/>
      <c r="J1993" s="1259" t="s">
        <v>286</v>
      </c>
      <c r="K1993" s="256">
        <f t="shared" si="1224"/>
        <v>0</v>
      </c>
      <c r="L1993" s="256">
        <f t="shared" si="1224"/>
        <v>0</v>
      </c>
      <c r="M1993" s="263"/>
      <c r="N1993" s="256">
        <f t="shared" si="1216"/>
        <v>0</v>
      </c>
      <c r="O1993" s="264"/>
      <c r="P1993" s="264"/>
      <c r="Q1993" s="264"/>
      <c r="R1993" s="264"/>
      <c r="S1993" s="260">
        <f t="shared" si="1211"/>
        <v>0</v>
      </c>
      <c r="T1993" s="256">
        <f t="shared" si="1217"/>
        <v>0</v>
      </c>
      <c r="U1993" s="260"/>
      <c r="V1993" s="260"/>
      <c r="W1993" s="260">
        <f t="shared" si="1222"/>
        <v>0</v>
      </c>
      <c r="X1993" s="260"/>
      <c r="Y1993" s="260"/>
      <c r="Z1993" s="260"/>
      <c r="AA1993" s="260"/>
      <c r="AB1993" s="260"/>
      <c r="AC1993" s="260"/>
      <c r="AD1993" s="260"/>
      <c r="AE1993" s="260"/>
      <c r="AF1993" s="260"/>
      <c r="AG1993" s="260"/>
      <c r="AH1993" s="260"/>
      <c r="AI1993" s="260"/>
      <c r="AJ1993" s="260"/>
      <c r="AK1993" s="260"/>
      <c r="AL1993" s="260"/>
      <c r="AM1993" s="260"/>
      <c r="AN1993" s="260"/>
      <c r="AO1993" s="260"/>
      <c r="AP1993" s="260"/>
      <c r="AQ1993" s="260"/>
      <c r="AR1993" s="260"/>
      <c r="AS1993" s="260"/>
      <c r="AT1993" s="260"/>
      <c r="AU1993" s="260"/>
      <c r="AV1993" s="260"/>
      <c r="AW1993" s="2"/>
      <c r="AX1993" s="260"/>
      <c r="AY1993" s="6">
        <f>ROUND(AX1993/1000/Update!$B$31*Update!$B$27,0)</f>
        <v>0</v>
      </c>
      <c r="AZ1993" s="2"/>
      <c r="BA1993" s="260"/>
      <c r="BB1993" s="6">
        <f>ROUND(BA1993/1000/Update!$B$31,0)</f>
        <v>0</v>
      </c>
      <c r="BC1993" s="6"/>
      <c r="BD1993" s="14">
        <f t="shared" si="1190"/>
        <v>0</v>
      </c>
      <c r="BE1993" s="14"/>
      <c r="BF1993" s="14"/>
      <c r="BG1993" s="14"/>
      <c r="BH1993" s="14"/>
      <c r="BI1993" s="14"/>
      <c r="BJ1993" s="14"/>
      <c r="BK1993" s="14">
        <f t="shared" si="1219"/>
        <v>0</v>
      </c>
      <c r="BL1993" s="14"/>
      <c r="BM1993" s="14"/>
      <c r="BN1993" s="14"/>
      <c r="BO1993" s="14"/>
      <c r="BP1993" s="14"/>
      <c r="BQ1993" s="14"/>
      <c r="BR1993" s="14"/>
      <c r="BS1993" s="14"/>
      <c r="BT1993" s="322"/>
      <c r="BU1993" s="14"/>
      <c r="BV1993" s="14"/>
      <c r="BW1993" s="14"/>
      <c r="BX1993" s="14"/>
      <c r="BY1993" s="14"/>
      <c r="BZ1993" s="14"/>
      <c r="CA1993" s="14"/>
      <c r="CB1993" s="14"/>
      <c r="CC1993" s="14"/>
      <c r="CD1993" s="14"/>
      <c r="CE1993" s="14"/>
      <c r="CF1993" s="14"/>
      <c r="CG1993" s="14"/>
      <c r="CH1993" s="14"/>
      <c r="CI1993" s="14"/>
      <c r="CJ1993" s="2"/>
      <c r="CK1993" s="2"/>
      <c r="CM1993" s="1139">
        <f t="shared" si="1221"/>
        <v>0</v>
      </c>
      <c r="CN1993" s="1139">
        <v>0</v>
      </c>
      <c r="CP1993" s="923">
        <f t="shared" si="1220"/>
        <v>0</v>
      </c>
      <c r="CZ1993" s="330"/>
    </row>
    <row r="1994" spans="1:104" ht="15" customHeight="1" x14ac:dyDescent="0.25">
      <c r="A1994" s="684">
        <f>MAX($A$6:A1993)+1</f>
        <v>1994</v>
      </c>
      <c r="B1994" s="1291">
        <f t="shared" si="1212"/>
        <v>70</v>
      </c>
      <c r="C1994" s="299" t="s">
        <v>395</v>
      </c>
      <c r="D1994" s="18" t="s">
        <v>405</v>
      </c>
      <c r="E1994" s="300" t="s">
        <v>398</v>
      </c>
      <c r="F1994" s="300"/>
      <c r="G1994" s="1288" t="s">
        <v>486</v>
      </c>
      <c r="H1994" s="260">
        <f t="shared" si="1223"/>
        <v>0</v>
      </c>
      <c r="I1994" s="260"/>
      <c r="J1994" s="1259" t="s">
        <v>286</v>
      </c>
      <c r="K1994" s="256">
        <f t="shared" si="1224"/>
        <v>0</v>
      </c>
      <c r="L1994" s="256">
        <f t="shared" si="1224"/>
        <v>0</v>
      </c>
      <c r="M1994" s="263"/>
      <c r="N1994" s="256">
        <f t="shared" si="1216"/>
        <v>0</v>
      </c>
      <c r="O1994" s="264"/>
      <c r="P1994" s="264"/>
      <c r="Q1994" s="264"/>
      <c r="R1994" s="264"/>
      <c r="S1994" s="260">
        <f t="shared" si="1211"/>
        <v>0</v>
      </c>
      <c r="T1994" s="256">
        <f t="shared" si="1217"/>
        <v>0</v>
      </c>
      <c r="U1994" s="260"/>
      <c r="V1994" s="260"/>
      <c r="W1994" s="260">
        <f t="shared" si="1222"/>
        <v>0</v>
      </c>
      <c r="X1994" s="260"/>
      <c r="Y1994" s="260"/>
      <c r="Z1994" s="260"/>
      <c r="AA1994" s="260"/>
      <c r="AB1994" s="260"/>
      <c r="AC1994" s="260"/>
      <c r="AD1994" s="260"/>
      <c r="AE1994" s="260"/>
      <c r="AF1994" s="260"/>
      <c r="AG1994" s="260"/>
      <c r="AH1994" s="260"/>
      <c r="AI1994" s="260"/>
      <c r="AJ1994" s="260"/>
      <c r="AK1994" s="260"/>
      <c r="AL1994" s="260"/>
      <c r="AM1994" s="260"/>
      <c r="AN1994" s="260"/>
      <c r="AO1994" s="260"/>
      <c r="AP1994" s="260"/>
      <c r="AQ1994" s="260"/>
      <c r="AR1994" s="260"/>
      <c r="AS1994" s="260"/>
      <c r="AT1994" s="260"/>
      <c r="AU1994" s="260"/>
      <c r="AV1994" s="260"/>
      <c r="AW1994" s="2"/>
      <c r="AX1994" s="260"/>
      <c r="AY1994" s="6">
        <f>ROUND(AX1994/1000/Update!$B$31*Update!$B$27,0)</f>
        <v>0</v>
      </c>
      <c r="AZ1994" s="2"/>
      <c r="BA1994" s="260"/>
      <c r="BB1994" s="6">
        <f>ROUND(BA1994/1000/Update!$B$31,0)</f>
        <v>0</v>
      </c>
      <c r="BC1994" s="6"/>
      <c r="BD1994" s="14">
        <f t="shared" si="1190"/>
        <v>0</v>
      </c>
      <c r="BE1994" s="14"/>
      <c r="BF1994" s="14"/>
      <c r="BG1994" s="14"/>
      <c r="BH1994" s="14"/>
      <c r="BI1994" s="14"/>
      <c r="BJ1994" s="14"/>
      <c r="BK1994" s="14">
        <f t="shared" si="1219"/>
        <v>0</v>
      </c>
      <c r="BL1994" s="14"/>
      <c r="BM1994" s="14"/>
      <c r="BN1994" s="14"/>
      <c r="BO1994" s="14"/>
      <c r="BP1994" s="14"/>
      <c r="BQ1994" s="14"/>
      <c r="BR1994" s="14"/>
      <c r="BS1994" s="14"/>
      <c r="BT1994" s="322"/>
      <c r="BU1994" s="14"/>
      <c r="BV1994" s="14"/>
      <c r="BW1994" s="14"/>
      <c r="BX1994" s="14"/>
      <c r="BY1994" s="14"/>
      <c r="BZ1994" s="14"/>
      <c r="CA1994" s="14"/>
      <c r="CB1994" s="14"/>
      <c r="CC1994" s="14"/>
      <c r="CD1994" s="14"/>
      <c r="CE1994" s="14"/>
      <c r="CF1994" s="14"/>
      <c r="CG1994" s="14"/>
      <c r="CH1994" s="14"/>
      <c r="CI1994" s="14"/>
      <c r="CJ1994" s="2"/>
      <c r="CK1994" s="2"/>
      <c r="CM1994" s="1139">
        <f t="shared" si="1221"/>
        <v>0</v>
      </c>
      <c r="CN1994" s="1139">
        <v>0</v>
      </c>
      <c r="CP1994" s="923">
        <f t="shared" si="1220"/>
        <v>0</v>
      </c>
      <c r="CZ1994" s="330"/>
    </row>
    <row r="1995" spans="1:104" ht="15" customHeight="1" x14ac:dyDescent="0.25">
      <c r="A1995" s="684">
        <f>MAX($A$6:A1994)+1</f>
        <v>1995</v>
      </c>
      <c r="B1995" s="1291">
        <f t="shared" si="1212"/>
        <v>70</v>
      </c>
      <c r="C1995" s="299" t="s">
        <v>395</v>
      </c>
      <c r="D1995" s="18" t="s">
        <v>405</v>
      </c>
      <c r="E1995" s="300" t="s">
        <v>399</v>
      </c>
      <c r="F1995" s="300"/>
      <c r="G1995" s="1288" t="s">
        <v>487</v>
      </c>
      <c r="H1995" s="260">
        <f t="shared" si="1223"/>
        <v>0</v>
      </c>
      <c r="I1995" s="260"/>
      <c r="J1995" s="1259" t="s">
        <v>286</v>
      </c>
      <c r="K1995" s="256">
        <f t="shared" si="1224"/>
        <v>0</v>
      </c>
      <c r="L1995" s="256">
        <f t="shared" si="1224"/>
        <v>0</v>
      </c>
      <c r="M1995" s="263"/>
      <c r="N1995" s="256">
        <f t="shared" si="1216"/>
        <v>0</v>
      </c>
      <c r="O1995" s="264"/>
      <c r="P1995" s="264"/>
      <c r="Q1995" s="264"/>
      <c r="R1995" s="264"/>
      <c r="S1995" s="260">
        <f t="shared" si="1211"/>
        <v>0</v>
      </c>
      <c r="T1995" s="256">
        <f t="shared" si="1217"/>
        <v>0</v>
      </c>
      <c r="U1995" s="260"/>
      <c r="V1995" s="260"/>
      <c r="W1995" s="260">
        <f t="shared" si="1222"/>
        <v>0</v>
      </c>
      <c r="X1995" s="260"/>
      <c r="Y1995" s="260"/>
      <c r="Z1995" s="260"/>
      <c r="AA1995" s="260"/>
      <c r="AB1995" s="260"/>
      <c r="AC1995" s="260"/>
      <c r="AD1995" s="260"/>
      <c r="AE1995" s="260"/>
      <c r="AF1995" s="260"/>
      <c r="AG1995" s="260"/>
      <c r="AH1995" s="260"/>
      <c r="AI1995" s="260"/>
      <c r="AJ1995" s="260"/>
      <c r="AK1995" s="260"/>
      <c r="AL1995" s="260"/>
      <c r="AM1995" s="260"/>
      <c r="AN1995" s="260"/>
      <c r="AO1995" s="260"/>
      <c r="AP1995" s="260"/>
      <c r="AQ1995" s="260"/>
      <c r="AR1995" s="260"/>
      <c r="AS1995" s="260"/>
      <c r="AT1995" s="260"/>
      <c r="AU1995" s="260"/>
      <c r="AV1995" s="260"/>
      <c r="AW1995" s="2"/>
      <c r="AX1995" s="260"/>
      <c r="AY1995" s="6">
        <f>ROUND(AX1995/1000/Update!$B$31*Update!$B$27,0)</f>
        <v>0</v>
      </c>
      <c r="AZ1995" s="2"/>
      <c r="BA1995" s="260"/>
      <c r="BB1995" s="6">
        <f>ROUND(BA1995/1000/Update!$B$31,0)</f>
        <v>0</v>
      </c>
      <c r="BC1995" s="6"/>
      <c r="BD1995" s="14">
        <f t="shared" si="1190"/>
        <v>0</v>
      </c>
      <c r="BE1995" s="14"/>
      <c r="BF1995" s="14"/>
      <c r="BG1995" s="14"/>
      <c r="BH1995" s="14"/>
      <c r="BI1995" s="14"/>
      <c r="BJ1995" s="14"/>
      <c r="BK1995" s="14">
        <f t="shared" si="1219"/>
        <v>0</v>
      </c>
      <c r="BL1995" s="14"/>
      <c r="BM1995" s="14"/>
      <c r="BN1995" s="14"/>
      <c r="BO1995" s="14"/>
      <c r="BP1995" s="14"/>
      <c r="BQ1995" s="14"/>
      <c r="BR1995" s="14"/>
      <c r="BS1995" s="14"/>
      <c r="BT1995" s="322"/>
      <c r="BU1995" s="14"/>
      <c r="BV1995" s="14"/>
      <c r="BW1995" s="14"/>
      <c r="BX1995" s="14"/>
      <c r="BY1995" s="14"/>
      <c r="BZ1995" s="14"/>
      <c r="CA1995" s="14"/>
      <c r="CB1995" s="14"/>
      <c r="CC1995" s="14"/>
      <c r="CD1995" s="14"/>
      <c r="CE1995" s="14"/>
      <c r="CF1995" s="14"/>
      <c r="CG1995" s="14"/>
      <c r="CH1995" s="14"/>
      <c r="CI1995" s="14"/>
      <c r="CJ1995" s="2"/>
      <c r="CK1995" s="2"/>
      <c r="CM1995" s="1139">
        <f t="shared" si="1221"/>
        <v>0</v>
      </c>
      <c r="CN1995" s="1139">
        <v>0</v>
      </c>
      <c r="CP1995" s="923">
        <f t="shared" si="1220"/>
        <v>0</v>
      </c>
      <c r="CZ1995" s="330"/>
    </row>
    <row r="1996" spans="1:104" ht="15" customHeight="1" x14ac:dyDescent="0.25">
      <c r="A1996" s="684">
        <f>MAX($A$6:A1995)+1</f>
        <v>1996</v>
      </c>
      <c r="B1996" s="1291">
        <f t="shared" si="1212"/>
        <v>70</v>
      </c>
      <c r="C1996" s="299" t="s">
        <v>395</v>
      </c>
      <c r="D1996" s="18" t="s">
        <v>405</v>
      </c>
      <c r="E1996" s="300" t="s">
        <v>400</v>
      </c>
      <c r="F1996" s="300"/>
      <c r="G1996" s="1288" t="s">
        <v>488</v>
      </c>
      <c r="H1996" s="260">
        <f t="shared" si="1223"/>
        <v>0</v>
      </c>
      <c r="I1996" s="260"/>
      <c r="J1996" s="1259" t="s">
        <v>286</v>
      </c>
      <c r="K1996" s="256">
        <f t="shared" si="1224"/>
        <v>0</v>
      </c>
      <c r="L1996" s="256">
        <f t="shared" si="1224"/>
        <v>0</v>
      </c>
      <c r="M1996" s="263"/>
      <c r="N1996" s="256">
        <f t="shared" si="1216"/>
        <v>0</v>
      </c>
      <c r="O1996" s="264"/>
      <c r="P1996" s="264"/>
      <c r="Q1996" s="264"/>
      <c r="R1996" s="264"/>
      <c r="S1996" s="260">
        <f t="shared" si="1211"/>
        <v>0</v>
      </c>
      <c r="T1996" s="256">
        <f t="shared" si="1217"/>
        <v>0</v>
      </c>
      <c r="U1996" s="260"/>
      <c r="V1996" s="260"/>
      <c r="W1996" s="260">
        <f t="shared" si="1222"/>
        <v>0</v>
      </c>
      <c r="X1996" s="260"/>
      <c r="Y1996" s="260"/>
      <c r="Z1996" s="260"/>
      <c r="AA1996" s="260"/>
      <c r="AB1996" s="260"/>
      <c r="AC1996" s="260"/>
      <c r="AD1996" s="260"/>
      <c r="AE1996" s="260"/>
      <c r="AF1996" s="260"/>
      <c r="AG1996" s="260"/>
      <c r="AH1996" s="260"/>
      <c r="AI1996" s="260"/>
      <c r="AJ1996" s="260"/>
      <c r="AK1996" s="260"/>
      <c r="AL1996" s="260"/>
      <c r="AM1996" s="260"/>
      <c r="AN1996" s="260"/>
      <c r="AO1996" s="260"/>
      <c r="AP1996" s="260"/>
      <c r="AQ1996" s="260"/>
      <c r="AR1996" s="260"/>
      <c r="AS1996" s="260"/>
      <c r="AT1996" s="260"/>
      <c r="AU1996" s="260"/>
      <c r="AV1996" s="260"/>
      <c r="AW1996" s="2"/>
      <c r="AX1996" s="260"/>
      <c r="AY1996" s="6">
        <f>ROUND(AX1996/1000/Update!$B$31*Update!$B$27,0)</f>
        <v>0</v>
      </c>
      <c r="AZ1996" s="2"/>
      <c r="BA1996" s="260"/>
      <c r="BB1996" s="6">
        <f>ROUND(BA1996/1000/Update!$B$31,0)</f>
        <v>0</v>
      </c>
      <c r="BC1996" s="6"/>
      <c r="BD1996" s="14">
        <f t="shared" si="1190"/>
        <v>0</v>
      </c>
      <c r="BE1996" s="14"/>
      <c r="BF1996" s="14"/>
      <c r="BG1996" s="14"/>
      <c r="BH1996" s="14"/>
      <c r="BI1996" s="14"/>
      <c r="BJ1996" s="14"/>
      <c r="BK1996" s="14">
        <f t="shared" si="1219"/>
        <v>0</v>
      </c>
      <c r="BL1996" s="14"/>
      <c r="BM1996" s="14"/>
      <c r="BN1996" s="14"/>
      <c r="BO1996" s="14"/>
      <c r="BP1996" s="14"/>
      <c r="BQ1996" s="14"/>
      <c r="BR1996" s="14"/>
      <c r="BS1996" s="14"/>
      <c r="BT1996" s="322"/>
      <c r="BU1996" s="14"/>
      <c r="BV1996" s="14"/>
      <c r="BW1996" s="14"/>
      <c r="BX1996" s="14"/>
      <c r="BY1996" s="14"/>
      <c r="BZ1996" s="14"/>
      <c r="CA1996" s="14"/>
      <c r="CB1996" s="14"/>
      <c r="CC1996" s="14"/>
      <c r="CD1996" s="14"/>
      <c r="CE1996" s="14"/>
      <c r="CF1996" s="14"/>
      <c r="CG1996" s="14"/>
      <c r="CH1996" s="14"/>
      <c r="CI1996" s="14"/>
      <c r="CJ1996" s="2"/>
      <c r="CK1996" s="2"/>
      <c r="CM1996" s="1139">
        <f t="shared" si="1221"/>
        <v>0</v>
      </c>
      <c r="CN1996" s="1139">
        <v>0</v>
      </c>
      <c r="CP1996" s="923">
        <f t="shared" si="1220"/>
        <v>0</v>
      </c>
      <c r="CZ1996" s="330"/>
    </row>
    <row r="1997" spans="1:104" ht="15" customHeight="1" x14ac:dyDescent="0.25">
      <c r="A1997" s="684">
        <f>MAX($A$6:A1996)+1</f>
        <v>1997</v>
      </c>
      <c r="B1997" s="1291">
        <f t="shared" ref="B1997:B2032" si="1225">B1996</f>
        <v>70</v>
      </c>
      <c r="C1997" s="299" t="s">
        <v>395</v>
      </c>
      <c r="D1997" s="18" t="s">
        <v>405</v>
      </c>
      <c r="E1997" s="300" t="s">
        <v>888</v>
      </c>
      <c r="F1997" s="300"/>
      <c r="G1997" s="1288" t="s">
        <v>489</v>
      </c>
      <c r="H1997" s="260">
        <f t="shared" si="1223"/>
        <v>0</v>
      </c>
      <c r="I1997" s="260"/>
      <c r="J1997" s="1259" t="s">
        <v>286</v>
      </c>
      <c r="K1997" s="256">
        <f t="shared" si="1224"/>
        <v>0</v>
      </c>
      <c r="L1997" s="256">
        <f t="shared" si="1224"/>
        <v>0</v>
      </c>
      <c r="M1997" s="263"/>
      <c r="N1997" s="256">
        <f t="shared" si="1216"/>
        <v>0</v>
      </c>
      <c r="O1997" s="264"/>
      <c r="P1997" s="264"/>
      <c r="Q1997" s="264"/>
      <c r="R1997" s="264"/>
      <c r="S1997" s="260">
        <f t="shared" si="1211"/>
        <v>0</v>
      </c>
      <c r="T1997" s="256">
        <f t="shared" si="1217"/>
        <v>0</v>
      </c>
      <c r="U1997" s="260"/>
      <c r="V1997" s="260"/>
      <c r="W1997" s="260">
        <f t="shared" si="1222"/>
        <v>0</v>
      </c>
      <c r="X1997" s="260"/>
      <c r="Y1997" s="260"/>
      <c r="Z1997" s="260"/>
      <c r="AA1997" s="260"/>
      <c r="AB1997" s="260"/>
      <c r="AC1997" s="260"/>
      <c r="AD1997" s="260"/>
      <c r="AE1997" s="260"/>
      <c r="AF1997" s="260"/>
      <c r="AG1997" s="260"/>
      <c r="AH1997" s="260"/>
      <c r="AI1997" s="260"/>
      <c r="AJ1997" s="260"/>
      <c r="AK1997" s="260"/>
      <c r="AL1997" s="260"/>
      <c r="AM1997" s="260"/>
      <c r="AN1997" s="260"/>
      <c r="AO1997" s="260"/>
      <c r="AP1997" s="260"/>
      <c r="AQ1997" s="260"/>
      <c r="AR1997" s="260"/>
      <c r="AS1997" s="260"/>
      <c r="AT1997" s="260"/>
      <c r="AU1997" s="260"/>
      <c r="AV1997" s="260"/>
      <c r="AW1997" s="2"/>
      <c r="AX1997" s="260"/>
      <c r="AY1997" s="6">
        <f>ROUND(AX1997/1000/Update!$B$31*Update!$B$27,0)</f>
        <v>0</v>
      </c>
      <c r="AZ1997" s="2"/>
      <c r="BA1997" s="260"/>
      <c r="BB1997" s="6">
        <f>ROUND(BA1997/1000/Update!$B$31,0)</f>
        <v>0</v>
      </c>
      <c r="BC1997" s="6"/>
      <c r="BD1997" s="14">
        <f t="shared" si="1190"/>
        <v>0</v>
      </c>
      <c r="BE1997" s="14"/>
      <c r="BF1997" s="14"/>
      <c r="BG1997" s="14"/>
      <c r="BH1997" s="14"/>
      <c r="BI1997" s="14"/>
      <c r="BJ1997" s="14"/>
      <c r="BK1997" s="14">
        <f t="shared" si="1219"/>
        <v>0</v>
      </c>
      <c r="BL1997" s="14"/>
      <c r="BM1997" s="14"/>
      <c r="BN1997" s="14"/>
      <c r="BO1997" s="14"/>
      <c r="BP1997" s="14"/>
      <c r="BQ1997" s="14"/>
      <c r="BR1997" s="14"/>
      <c r="BS1997" s="14"/>
      <c r="BT1997" s="322"/>
      <c r="BU1997" s="14"/>
      <c r="BV1997" s="14"/>
      <c r="BW1997" s="14"/>
      <c r="BX1997" s="14"/>
      <c r="BY1997" s="14"/>
      <c r="BZ1997" s="14"/>
      <c r="CA1997" s="14"/>
      <c r="CB1997" s="14"/>
      <c r="CC1997" s="14"/>
      <c r="CD1997" s="14"/>
      <c r="CE1997" s="14"/>
      <c r="CF1997" s="14"/>
      <c r="CG1997" s="14"/>
      <c r="CH1997" s="14"/>
      <c r="CI1997" s="14"/>
      <c r="CJ1997" s="2"/>
      <c r="CK1997" s="2"/>
      <c r="CM1997" s="1139">
        <f t="shared" si="1221"/>
        <v>0</v>
      </c>
      <c r="CN1997" s="1139">
        <v>0</v>
      </c>
      <c r="CP1997" s="923">
        <f t="shared" si="1220"/>
        <v>0</v>
      </c>
      <c r="CZ1997" s="330"/>
    </row>
    <row r="1998" spans="1:104" ht="15" customHeight="1" x14ac:dyDescent="0.25">
      <c r="A1998" s="684">
        <f>MAX($A$6:A1997)+1</f>
        <v>1998</v>
      </c>
      <c r="B1998" s="1291">
        <f t="shared" si="1225"/>
        <v>70</v>
      </c>
      <c r="C1998" s="299" t="s">
        <v>395</v>
      </c>
      <c r="D1998" s="18" t="s">
        <v>405</v>
      </c>
      <c r="E1998" s="300" t="s">
        <v>889</v>
      </c>
      <c r="F1998" s="300"/>
      <c r="G1998" s="1288" t="s">
        <v>490</v>
      </c>
      <c r="H1998" s="260">
        <f t="shared" si="1223"/>
        <v>0</v>
      </c>
      <c r="I1998" s="260"/>
      <c r="J1998" s="1259" t="s">
        <v>286</v>
      </c>
      <c r="K1998" s="256">
        <f t="shared" si="1224"/>
        <v>0</v>
      </c>
      <c r="L1998" s="256">
        <f t="shared" si="1224"/>
        <v>0</v>
      </c>
      <c r="M1998" s="263"/>
      <c r="N1998" s="256">
        <f t="shared" si="1216"/>
        <v>0</v>
      </c>
      <c r="O1998" s="264"/>
      <c r="P1998" s="264"/>
      <c r="Q1998" s="264"/>
      <c r="R1998" s="264"/>
      <c r="S1998" s="260">
        <f t="shared" si="1211"/>
        <v>0</v>
      </c>
      <c r="T1998" s="256">
        <f t="shared" si="1217"/>
        <v>0</v>
      </c>
      <c r="U1998" s="260"/>
      <c r="V1998" s="260"/>
      <c r="W1998" s="260">
        <f t="shared" si="1222"/>
        <v>0</v>
      </c>
      <c r="X1998" s="260"/>
      <c r="Y1998" s="260"/>
      <c r="Z1998" s="260"/>
      <c r="AA1998" s="260"/>
      <c r="AB1998" s="260"/>
      <c r="AC1998" s="260"/>
      <c r="AD1998" s="260"/>
      <c r="AE1998" s="260"/>
      <c r="AF1998" s="260"/>
      <c r="AG1998" s="260"/>
      <c r="AH1998" s="260"/>
      <c r="AI1998" s="260"/>
      <c r="AJ1998" s="260"/>
      <c r="AK1998" s="260"/>
      <c r="AL1998" s="260"/>
      <c r="AM1998" s="260"/>
      <c r="AN1998" s="260"/>
      <c r="AO1998" s="260"/>
      <c r="AP1998" s="260"/>
      <c r="AQ1998" s="260"/>
      <c r="AR1998" s="260"/>
      <c r="AS1998" s="260"/>
      <c r="AT1998" s="260"/>
      <c r="AU1998" s="260"/>
      <c r="AV1998" s="260"/>
      <c r="AW1998" s="2"/>
      <c r="AX1998" s="260"/>
      <c r="AY1998" s="6"/>
      <c r="AZ1998" s="2"/>
      <c r="BA1998" s="260"/>
      <c r="BB1998" s="6"/>
      <c r="BC1998" s="6"/>
      <c r="BD1998" s="14">
        <f t="shared" si="1190"/>
        <v>0</v>
      </c>
      <c r="BE1998" s="14"/>
      <c r="BF1998" s="14"/>
      <c r="BG1998" s="14"/>
      <c r="BH1998" s="14"/>
      <c r="BI1998" s="14"/>
      <c r="BJ1998" s="14"/>
      <c r="BK1998" s="14">
        <f t="shared" si="1219"/>
        <v>0</v>
      </c>
      <c r="BL1998" s="14"/>
      <c r="BM1998" s="14"/>
      <c r="BN1998" s="14"/>
      <c r="BO1998" s="14"/>
      <c r="BP1998" s="14"/>
      <c r="BQ1998" s="14"/>
      <c r="BR1998" s="14"/>
      <c r="BS1998" s="14"/>
      <c r="BT1998" s="322"/>
      <c r="BU1998" s="14"/>
      <c r="BV1998" s="14"/>
      <c r="BW1998" s="14"/>
      <c r="BX1998" s="14"/>
      <c r="BY1998" s="14"/>
      <c r="BZ1998" s="14"/>
      <c r="CA1998" s="14"/>
      <c r="CB1998" s="14"/>
      <c r="CC1998" s="14"/>
      <c r="CD1998" s="14"/>
      <c r="CE1998" s="14"/>
      <c r="CF1998" s="14"/>
      <c r="CG1998" s="14"/>
      <c r="CH1998" s="14"/>
      <c r="CI1998" s="14"/>
      <c r="CJ1998" s="2"/>
      <c r="CK1998" s="2"/>
      <c r="CM1998" s="1139">
        <f t="shared" si="1221"/>
        <v>0</v>
      </c>
      <c r="CN1998" s="1139">
        <v>0</v>
      </c>
      <c r="CP1998" s="923">
        <f t="shared" si="1220"/>
        <v>0</v>
      </c>
      <c r="CZ1998" s="330"/>
    </row>
    <row r="1999" spans="1:104" ht="15" customHeight="1" x14ac:dyDescent="0.25">
      <c r="A1999" s="684">
        <f>MAX($A$6:A1998)+1</f>
        <v>1999</v>
      </c>
      <c r="B1999" s="702">
        <f t="shared" si="1225"/>
        <v>70</v>
      </c>
      <c r="C1999" s="299" t="s">
        <v>395</v>
      </c>
      <c r="D1999" s="18" t="s">
        <v>405</v>
      </c>
      <c r="E1999" s="300" t="s">
        <v>890</v>
      </c>
      <c r="F1999" s="300"/>
      <c r="G1999" s="1288" t="s">
        <v>491</v>
      </c>
      <c r="H1999" s="260">
        <f t="shared" si="1223"/>
        <v>0</v>
      </c>
      <c r="I1999" s="260"/>
      <c r="J1999" s="1259" t="s">
        <v>286</v>
      </c>
      <c r="K1999" s="256">
        <f t="shared" si="1224"/>
        <v>0</v>
      </c>
      <c r="L1999" s="256">
        <f t="shared" si="1224"/>
        <v>0</v>
      </c>
      <c r="M1999" s="263"/>
      <c r="N1999" s="256">
        <f t="shared" si="1216"/>
        <v>0</v>
      </c>
      <c r="O1999" s="264"/>
      <c r="P1999" s="264"/>
      <c r="Q1999" s="264"/>
      <c r="R1999" s="264"/>
      <c r="S1999" s="260">
        <f t="shared" si="1211"/>
        <v>0</v>
      </c>
      <c r="T1999" s="256">
        <f t="shared" si="1217"/>
        <v>0</v>
      </c>
      <c r="U1999" s="260"/>
      <c r="V1999" s="260"/>
      <c r="W1999" s="260">
        <f t="shared" si="1222"/>
        <v>0</v>
      </c>
      <c r="X1999" s="260"/>
      <c r="Y1999" s="260"/>
      <c r="Z1999" s="260"/>
      <c r="AA1999" s="260"/>
      <c r="AB1999" s="260"/>
      <c r="AC1999" s="260"/>
      <c r="AD1999" s="260"/>
      <c r="AE1999" s="260"/>
      <c r="AF1999" s="260"/>
      <c r="AG1999" s="260"/>
      <c r="AH1999" s="260"/>
      <c r="AI1999" s="260"/>
      <c r="AJ1999" s="260"/>
      <c r="AK1999" s="260"/>
      <c r="AL1999" s="260"/>
      <c r="AM1999" s="260"/>
      <c r="AN1999" s="260"/>
      <c r="AO1999" s="260"/>
      <c r="AP1999" s="260"/>
      <c r="AQ1999" s="260"/>
      <c r="AR1999" s="260"/>
      <c r="AS1999" s="260"/>
      <c r="AT1999" s="260"/>
      <c r="AU1999" s="260"/>
      <c r="AV1999" s="260"/>
      <c r="AW1999" s="2"/>
      <c r="AX1999" s="260"/>
      <c r="AY1999" s="6"/>
      <c r="AZ1999" s="2"/>
      <c r="BA1999" s="260"/>
      <c r="BB1999" s="6"/>
      <c r="BC1999" s="6"/>
      <c r="BD1999" s="14">
        <f t="shared" si="1190"/>
        <v>0</v>
      </c>
      <c r="BE1999" s="14"/>
      <c r="BF1999" s="14"/>
      <c r="BG1999" s="14"/>
      <c r="BH1999" s="14"/>
      <c r="BI1999" s="14"/>
      <c r="BJ1999" s="14"/>
      <c r="BK1999" s="14">
        <f t="shared" si="1219"/>
        <v>0</v>
      </c>
      <c r="BL1999" s="14"/>
      <c r="BM1999" s="14"/>
      <c r="BN1999" s="14"/>
      <c r="BO1999" s="14"/>
      <c r="BP1999" s="14"/>
      <c r="BQ1999" s="14"/>
      <c r="BR1999" s="14"/>
      <c r="BS1999" s="14"/>
      <c r="BT1999" s="322"/>
      <c r="BU1999" s="14"/>
      <c r="BV1999" s="14"/>
      <c r="BW1999" s="14"/>
      <c r="BX1999" s="14"/>
      <c r="BY1999" s="14"/>
      <c r="BZ1999" s="14"/>
      <c r="CA1999" s="14"/>
      <c r="CB1999" s="14"/>
      <c r="CC1999" s="14"/>
      <c r="CD1999" s="14"/>
      <c r="CE1999" s="14"/>
      <c r="CF1999" s="14"/>
      <c r="CG1999" s="14"/>
      <c r="CH1999" s="14"/>
      <c r="CI1999" s="14"/>
      <c r="CJ1999" s="2"/>
      <c r="CK1999" s="2"/>
      <c r="CM1999" s="1139">
        <f t="shared" si="1221"/>
        <v>0</v>
      </c>
      <c r="CN1999" s="1139">
        <v>0</v>
      </c>
      <c r="CP1999" s="923">
        <f t="shared" si="1220"/>
        <v>0</v>
      </c>
      <c r="CZ1999" s="330"/>
    </row>
    <row r="2000" spans="1:104" ht="15" customHeight="1" x14ac:dyDescent="0.25">
      <c r="A2000" s="684">
        <f>MAX($A$6:A1999)+1</f>
        <v>2000</v>
      </c>
      <c r="B2000" s="1291">
        <f t="shared" si="1225"/>
        <v>70</v>
      </c>
      <c r="C2000" s="299" t="s">
        <v>395</v>
      </c>
      <c r="D2000" s="18" t="s">
        <v>405</v>
      </c>
      <c r="E2000" s="300" t="s">
        <v>891</v>
      </c>
      <c r="F2000" s="300"/>
      <c r="G2000" s="1288" t="s">
        <v>492</v>
      </c>
      <c r="H2000" s="260">
        <f t="shared" si="1223"/>
        <v>0</v>
      </c>
      <c r="I2000" s="260"/>
      <c r="J2000" s="1259" t="s">
        <v>286</v>
      </c>
      <c r="K2000" s="256">
        <f t="shared" si="1224"/>
        <v>0</v>
      </c>
      <c r="L2000" s="256">
        <f t="shared" si="1224"/>
        <v>0</v>
      </c>
      <c r="M2000" s="263"/>
      <c r="N2000" s="256">
        <f t="shared" si="1216"/>
        <v>0</v>
      </c>
      <c r="O2000" s="264"/>
      <c r="P2000" s="264"/>
      <c r="Q2000" s="264"/>
      <c r="R2000" s="264"/>
      <c r="S2000" s="260">
        <f t="shared" si="1211"/>
        <v>0</v>
      </c>
      <c r="T2000" s="256">
        <f t="shared" si="1217"/>
        <v>0</v>
      </c>
      <c r="U2000" s="260"/>
      <c r="V2000" s="260"/>
      <c r="W2000" s="260">
        <f t="shared" si="1222"/>
        <v>0</v>
      </c>
      <c r="X2000" s="260"/>
      <c r="Y2000" s="260"/>
      <c r="Z2000" s="260"/>
      <c r="AA2000" s="260"/>
      <c r="AB2000" s="260"/>
      <c r="AC2000" s="260"/>
      <c r="AD2000" s="260"/>
      <c r="AE2000" s="260"/>
      <c r="AF2000" s="260"/>
      <c r="AG2000" s="260"/>
      <c r="AH2000" s="260"/>
      <c r="AI2000" s="260"/>
      <c r="AJ2000" s="260"/>
      <c r="AK2000" s="260"/>
      <c r="AL2000" s="260"/>
      <c r="AM2000" s="260"/>
      <c r="AN2000" s="260"/>
      <c r="AO2000" s="260"/>
      <c r="AP2000" s="260"/>
      <c r="AQ2000" s="260"/>
      <c r="AR2000" s="260"/>
      <c r="AS2000" s="260"/>
      <c r="AT2000" s="260"/>
      <c r="AU2000" s="260"/>
      <c r="AV2000" s="260"/>
      <c r="AW2000" s="2"/>
      <c r="AX2000" s="260"/>
      <c r="AY2000" s="6"/>
      <c r="AZ2000" s="2"/>
      <c r="BA2000" s="260"/>
      <c r="BB2000" s="6"/>
      <c r="BC2000" s="6"/>
      <c r="BD2000" s="14">
        <f t="shared" si="1190"/>
        <v>0</v>
      </c>
      <c r="BE2000" s="14"/>
      <c r="BF2000" s="14"/>
      <c r="BG2000" s="14"/>
      <c r="BH2000" s="14"/>
      <c r="BI2000" s="14"/>
      <c r="BJ2000" s="14"/>
      <c r="BK2000" s="14">
        <f t="shared" si="1219"/>
        <v>0</v>
      </c>
      <c r="BL2000" s="14"/>
      <c r="BM2000" s="14"/>
      <c r="BN2000" s="14"/>
      <c r="BO2000" s="14"/>
      <c r="BP2000" s="14"/>
      <c r="BQ2000" s="14"/>
      <c r="BR2000" s="14"/>
      <c r="BS2000" s="14"/>
      <c r="BT2000" s="322"/>
      <c r="BU2000" s="14"/>
      <c r="BV2000" s="14"/>
      <c r="BW2000" s="14"/>
      <c r="BX2000" s="14"/>
      <c r="BY2000" s="14"/>
      <c r="BZ2000" s="14"/>
      <c r="CA2000" s="14"/>
      <c r="CB2000" s="14"/>
      <c r="CC2000" s="14"/>
      <c r="CD2000" s="14"/>
      <c r="CE2000" s="14"/>
      <c r="CF2000" s="14"/>
      <c r="CG2000" s="14"/>
      <c r="CH2000" s="14"/>
      <c r="CI2000" s="14"/>
      <c r="CJ2000" s="2"/>
      <c r="CK2000" s="2"/>
      <c r="CM2000" s="1139">
        <f t="shared" si="1221"/>
        <v>0</v>
      </c>
      <c r="CN2000" s="1139">
        <v>0</v>
      </c>
      <c r="CP2000" s="923">
        <f t="shared" si="1220"/>
        <v>0</v>
      </c>
      <c r="CZ2000" s="330"/>
    </row>
    <row r="2001" spans="1:104" ht="15" customHeight="1" x14ac:dyDescent="0.25">
      <c r="A2001" s="684">
        <f>MAX($A$6:A2000)+1</f>
        <v>2001</v>
      </c>
      <c r="B2001" s="1291">
        <f t="shared" si="1225"/>
        <v>70</v>
      </c>
      <c r="C2001" s="299" t="s">
        <v>395</v>
      </c>
      <c r="D2001" s="18" t="s">
        <v>405</v>
      </c>
      <c r="E2001" s="300" t="s">
        <v>401</v>
      </c>
      <c r="F2001" s="300"/>
      <c r="G2001" s="1288"/>
      <c r="H2001" s="260">
        <f t="shared" si="1223"/>
        <v>0</v>
      </c>
      <c r="I2001" s="260"/>
      <c r="J2001" s="1259" t="s">
        <v>286</v>
      </c>
      <c r="K2001" s="256">
        <f t="shared" si="1224"/>
        <v>0</v>
      </c>
      <c r="L2001" s="256">
        <f t="shared" si="1224"/>
        <v>0</v>
      </c>
      <c r="M2001" s="263"/>
      <c r="N2001" s="256">
        <f t="shared" si="1216"/>
        <v>0</v>
      </c>
      <c r="O2001" s="264"/>
      <c r="P2001" s="264"/>
      <c r="Q2001" s="264"/>
      <c r="R2001" s="264"/>
      <c r="S2001" s="260">
        <f t="shared" si="1211"/>
        <v>0</v>
      </c>
      <c r="T2001" s="256">
        <f t="shared" si="1217"/>
        <v>0</v>
      </c>
      <c r="U2001" s="260"/>
      <c r="V2001" s="260"/>
      <c r="W2001" s="260">
        <f t="shared" si="1222"/>
        <v>0</v>
      </c>
      <c r="X2001" s="260"/>
      <c r="Y2001" s="260"/>
      <c r="Z2001" s="260"/>
      <c r="AA2001" s="260"/>
      <c r="AB2001" s="260"/>
      <c r="AC2001" s="260"/>
      <c r="AD2001" s="260"/>
      <c r="AE2001" s="260"/>
      <c r="AF2001" s="260"/>
      <c r="AG2001" s="260"/>
      <c r="AH2001" s="260"/>
      <c r="AI2001" s="260"/>
      <c r="AJ2001" s="260"/>
      <c r="AK2001" s="260"/>
      <c r="AL2001" s="260"/>
      <c r="AM2001" s="260"/>
      <c r="AN2001" s="260"/>
      <c r="AO2001" s="260"/>
      <c r="AP2001" s="260"/>
      <c r="AQ2001" s="260"/>
      <c r="AR2001" s="260"/>
      <c r="AS2001" s="260"/>
      <c r="AT2001" s="260"/>
      <c r="AU2001" s="260"/>
      <c r="AV2001" s="260"/>
      <c r="AW2001" s="2"/>
      <c r="AX2001" s="260"/>
      <c r="AY2001" s="6">
        <f>ROUND(AX2001/1000/Update!$B$31*Update!$B$27,0)</f>
        <v>0</v>
      </c>
      <c r="AZ2001" s="2"/>
      <c r="BA2001" s="260"/>
      <c r="BB2001" s="6">
        <f>ROUND(BA2001/1000/Update!$B$31,0)</f>
        <v>0</v>
      </c>
      <c r="BC2001" s="6"/>
      <c r="BD2001" s="14">
        <f t="shared" si="1190"/>
        <v>0</v>
      </c>
      <c r="BE2001" s="14"/>
      <c r="BF2001" s="14"/>
      <c r="BG2001" s="14"/>
      <c r="BH2001" s="14"/>
      <c r="BI2001" s="14"/>
      <c r="BJ2001" s="14"/>
      <c r="BK2001" s="14">
        <f t="shared" si="1219"/>
        <v>0</v>
      </c>
      <c r="BL2001" s="1784"/>
      <c r="BM2001" s="700"/>
      <c r="BN2001" s="700"/>
      <c r="BO2001" s="700"/>
      <c r="BP2001" s="14"/>
      <c r="BQ2001" s="700"/>
      <c r="BR2001" s="700"/>
      <c r="BS2001" s="14"/>
      <c r="BT2001" s="700"/>
      <c r="BU2001" s="700"/>
      <c r="BV2001" s="700"/>
      <c r="BW2001" s="700"/>
      <c r="BX2001" s="700"/>
      <c r="BY2001" s="700"/>
      <c r="BZ2001" s="700"/>
      <c r="CA2001" s="700"/>
      <c r="CB2001" s="700"/>
      <c r="CC2001" s="14"/>
      <c r="CD2001" s="14"/>
      <c r="CE2001" s="14"/>
      <c r="CF2001" s="14"/>
      <c r="CG2001" s="14"/>
      <c r="CH2001" s="14"/>
      <c r="CI2001" s="700"/>
      <c r="CJ2001" s="2"/>
      <c r="CK2001" s="2"/>
      <c r="CM2001" s="1139">
        <f t="shared" si="1221"/>
        <v>0</v>
      </c>
      <c r="CN2001" s="1139">
        <v>0</v>
      </c>
      <c r="CP2001" s="923">
        <f t="shared" si="1220"/>
        <v>0</v>
      </c>
      <c r="CZ2001" s="330"/>
    </row>
    <row r="2002" spans="1:104" ht="15" customHeight="1" x14ac:dyDescent="0.25">
      <c r="A2002" s="684">
        <f>MAX($A$6:A2001)+1</f>
        <v>2002</v>
      </c>
      <c r="B2002" s="1291">
        <f t="shared" si="1225"/>
        <v>70</v>
      </c>
      <c r="C2002" s="299" t="s">
        <v>395</v>
      </c>
      <c r="D2002" s="18" t="s">
        <v>405</v>
      </c>
      <c r="E2002" s="300" t="s">
        <v>402</v>
      </c>
      <c r="F2002" s="300"/>
      <c r="G2002" s="1288"/>
      <c r="H2002" s="260">
        <f t="shared" si="1223"/>
        <v>0</v>
      </c>
      <c r="I2002" s="260"/>
      <c r="J2002" s="1259" t="s">
        <v>286</v>
      </c>
      <c r="K2002" s="256">
        <f t="shared" si="1224"/>
        <v>0</v>
      </c>
      <c r="L2002" s="256">
        <f t="shared" si="1224"/>
        <v>0</v>
      </c>
      <c r="M2002" s="263"/>
      <c r="N2002" s="256">
        <f t="shared" si="1216"/>
        <v>0</v>
      </c>
      <c r="O2002" s="264"/>
      <c r="P2002" s="264"/>
      <c r="Q2002" s="264"/>
      <c r="R2002" s="264"/>
      <c r="S2002" s="260">
        <f t="shared" si="1211"/>
        <v>0</v>
      </c>
      <c r="T2002" s="256">
        <f t="shared" si="1217"/>
        <v>0</v>
      </c>
      <c r="U2002" s="260"/>
      <c r="V2002" s="260"/>
      <c r="W2002" s="260">
        <f t="shared" si="1222"/>
        <v>0</v>
      </c>
      <c r="X2002" s="260"/>
      <c r="Y2002" s="260"/>
      <c r="Z2002" s="260"/>
      <c r="AA2002" s="260"/>
      <c r="AB2002" s="260"/>
      <c r="AC2002" s="260"/>
      <c r="AD2002" s="260"/>
      <c r="AE2002" s="260"/>
      <c r="AF2002" s="260"/>
      <c r="AG2002" s="260"/>
      <c r="AH2002" s="260"/>
      <c r="AI2002" s="260"/>
      <c r="AJ2002" s="260"/>
      <c r="AK2002" s="260"/>
      <c r="AL2002" s="260"/>
      <c r="AM2002" s="260"/>
      <c r="AN2002" s="260"/>
      <c r="AO2002" s="260"/>
      <c r="AP2002" s="260"/>
      <c r="AQ2002" s="260"/>
      <c r="AR2002" s="260"/>
      <c r="AS2002" s="260"/>
      <c r="AT2002" s="260"/>
      <c r="AU2002" s="260"/>
      <c r="AV2002" s="260"/>
      <c r="AW2002" s="2"/>
      <c r="AX2002" s="260"/>
      <c r="AY2002" s="6">
        <f>ROUND(AX2002/1000/Update!$B$31*Update!$B$27,0)</f>
        <v>0</v>
      </c>
      <c r="AZ2002" s="2"/>
      <c r="BA2002" s="260"/>
      <c r="BB2002" s="6">
        <f>ROUND(BA2002/1000/Update!$B$31,0)</f>
        <v>0</v>
      </c>
      <c r="BC2002" s="6"/>
      <c r="BD2002" s="14">
        <f t="shared" si="1190"/>
        <v>0</v>
      </c>
      <c r="BE2002" s="14"/>
      <c r="BF2002" s="14"/>
      <c r="BG2002" s="14"/>
      <c r="BH2002" s="14"/>
      <c r="BI2002" s="14"/>
      <c r="BJ2002" s="14"/>
      <c r="BK2002" s="14">
        <f t="shared" si="1219"/>
        <v>0</v>
      </c>
      <c r="BL2002" s="322"/>
      <c r="BM2002" s="322"/>
      <c r="BN2002" s="322"/>
      <c r="BO2002" s="322"/>
      <c r="BP2002" s="14"/>
      <c r="BQ2002" s="322"/>
      <c r="BR2002" s="322"/>
      <c r="BS2002" s="14"/>
      <c r="BT2002" s="322"/>
      <c r="BU2002" s="322"/>
      <c r="BV2002" s="322"/>
      <c r="BW2002" s="322"/>
      <c r="BX2002" s="322"/>
      <c r="BY2002" s="322"/>
      <c r="BZ2002" s="322"/>
      <c r="CA2002" s="322"/>
      <c r="CB2002" s="322"/>
      <c r="CC2002" s="14"/>
      <c r="CD2002" s="14"/>
      <c r="CE2002" s="14"/>
      <c r="CF2002" s="14"/>
      <c r="CG2002" s="14"/>
      <c r="CH2002" s="14"/>
      <c r="CI2002" s="322"/>
      <c r="CJ2002" s="2"/>
      <c r="CK2002" s="2"/>
      <c r="CM2002" s="1139">
        <f t="shared" si="1221"/>
        <v>0</v>
      </c>
      <c r="CN2002" s="1139">
        <v>0</v>
      </c>
      <c r="CP2002" s="923">
        <f t="shared" si="1220"/>
        <v>0</v>
      </c>
      <c r="CZ2002" s="330"/>
    </row>
    <row r="2003" spans="1:104" ht="18.75" customHeight="1" x14ac:dyDescent="0.25">
      <c r="A2003" s="684">
        <f>MAX($A$6:A2002)+1</f>
        <v>2003</v>
      </c>
      <c r="B2003" s="1295">
        <f>SUMIF(Update!$B$33:$B$106,C2003,Update!$A$33:$A$106)</f>
        <v>80</v>
      </c>
      <c r="C2003" s="696" t="s">
        <v>406</v>
      </c>
      <c r="D2003" s="695"/>
      <c r="E2003" s="696" t="str">
        <f>B2003&amp;" "&amp;C2003</f>
        <v>80 Losses And Special Payments</v>
      </c>
      <c r="F2003" s="697"/>
      <c r="G2003" s="697"/>
      <c r="H2003" s="695"/>
      <c r="I2003" s="695"/>
      <c r="J2003" s="698" t="s">
        <v>286</v>
      </c>
      <c r="K2003" s="699"/>
      <c r="L2003" s="699"/>
      <c r="M2003" s="695"/>
      <c r="N2003" s="713">
        <f t="shared" si="1216"/>
        <v>0</v>
      </c>
      <c r="O2003" s="695"/>
      <c r="P2003" s="695"/>
      <c r="Q2003" s="695"/>
      <c r="R2003" s="695"/>
      <c r="S2003" s="695">
        <f t="shared" si="1211"/>
        <v>0</v>
      </c>
      <c r="T2003" s="713">
        <f t="shared" ref="T2003:T2027" si="1226">ROUND(SUM(U2003:Y2003),0)</f>
        <v>0</v>
      </c>
      <c r="U2003" s="695"/>
      <c r="V2003" s="695"/>
      <c r="W2003" s="695"/>
      <c r="X2003" s="695"/>
      <c r="Y2003" s="695"/>
      <c r="Z2003" s="695"/>
      <c r="AA2003" s="695"/>
      <c r="AB2003" s="695"/>
      <c r="AC2003" s="695"/>
      <c r="AD2003" s="695"/>
      <c r="AE2003" s="695"/>
      <c r="AF2003" s="695"/>
      <c r="AG2003" s="695"/>
      <c r="AH2003" s="695"/>
      <c r="AI2003" s="695"/>
      <c r="AJ2003" s="695"/>
      <c r="AK2003" s="695"/>
      <c r="AL2003" s="695"/>
      <c r="AM2003" s="695"/>
      <c r="AN2003" s="695"/>
      <c r="AO2003" s="695"/>
      <c r="AP2003" s="695"/>
      <c r="AQ2003" s="695"/>
      <c r="AR2003" s="695"/>
      <c r="AS2003" s="695"/>
      <c r="AT2003" s="695"/>
      <c r="AU2003" s="695"/>
      <c r="AV2003" s="695"/>
      <c r="AW2003" s="700"/>
      <c r="AX2003" s="700"/>
      <c r="AY2003" s="700">
        <f>ROUND(AX2003/1000/Update!$B$31*Update!$B$27,0)</f>
        <v>0</v>
      </c>
      <c r="AZ2003" s="700"/>
      <c r="BA2003" s="700"/>
      <c r="BB2003" s="700">
        <f>ROUND(BA2003/1000/Update!$B$31,0)</f>
        <v>0</v>
      </c>
      <c r="BC2003" s="700"/>
      <c r="BD2003" s="721">
        <f t="shared" si="1190"/>
        <v>0</v>
      </c>
      <c r="BE2003" s="700"/>
      <c r="BF2003" s="700"/>
      <c r="BG2003" s="700"/>
      <c r="BH2003" s="700"/>
      <c r="BI2003" s="700"/>
      <c r="BJ2003" s="700"/>
      <c r="BK2003" s="721">
        <f t="shared" si="1219"/>
        <v>0</v>
      </c>
      <c r="BL2003" s="322"/>
      <c r="BM2003" s="322"/>
      <c r="BN2003" s="322"/>
      <c r="BO2003" s="322"/>
      <c r="BP2003" s="700"/>
      <c r="BQ2003" s="322"/>
      <c r="BR2003" s="322"/>
      <c r="BS2003" s="700"/>
      <c r="BT2003" s="322"/>
      <c r="BU2003" s="322"/>
      <c r="BV2003" s="322"/>
      <c r="BW2003" s="322"/>
      <c r="BX2003" s="322"/>
      <c r="BY2003" s="322"/>
      <c r="BZ2003" s="322"/>
      <c r="CA2003" s="322"/>
      <c r="CB2003" s="322"/>
      <c r="CC2003" s="700"/>
      <c r="CD2003" s="700"/>
      <c r="CE2003" s="700"/>
      <c r="CF2003" s="700"/>
      <c r="CG2003" s="700"/>
      <c r="CH2003" s="700"/>
      <c r="CI2003" s="322"/>
      <c r="CJ2003" s="700"/>
      <c r="CK2003" s="700"/>
      <c r="CM2003" s="700">
        <f t="shared" si="1221"/>
        <v>0</v>
      </c>
      <c r="CN2003" s="700">
        <v>0</v>
      </c>
      <c r="CP2003" s="923">
        <f t="shared" si="1220"/>
        <v>0</v>
      </c>
      <c r="CZ2003" s="330"/>
    </row>
    <row r="2004" spans="1:104" ht="15" customHeight="1" x14ac:dyDescent="0.25">
      <c r="A2004" s="684">
        <f>MAX($A$6:A2003)+1</f>
        <v>2004</v>
      </c>
      <c r="B2004" s="1060">
        <f t="shared" si="1225"/>
        <v>80</v>
      </c>
      <c r="C2004" s="11" t="s">
        <v>406</v>
      </c>
      <c r="D2004" s="11" t="s">
        <v>2079</v>
      </c>
      <c r="E2004" s="1257" t="s">
        <v>1707</v>
      </c>
      <c r="F2004" s="1267"/>
      <c r="G2004" s="1254" t="s">
        <v>1707</v>
      </c>
      <c r="H2004" s="6">
        <v>0</v>
      </c>
      <c r="I2004" s="6"/>
      <c r="J2004" s="1257" t="s">
        <v>1707</v>
      </c>
      <c r="K2004" s="251">
        <f>SUMIF('alb A - Losses &amp; special pay'!$B:$B,$J2004,'alb A - Losses &amp; special pay'!$D:$D)</f>
        <v>0</v>
      </c>
      <c r="L2004" s="266"/>
      <c r="M2004" s="2"/>
      <c r="N2004" s="273">
        <f t="shared" si="1216"/>
        <v>0</v>
      </c>
      <c r="O2004" s="12"/>
      <c r="P2004" s="12"/>
      <c r="Q2004" s="12"/>
      <c r="R2004" s="12"/>
      <c r="S2004" s="6">
        <f>-IF(ISNUMBER(BD2004),BD2004,0)</f>
        <v>0</v>
      </c>
      <c r="T2004" s="273">
        <f t="shared" si="1226"/>
        <v>0</v>
      </c>
      <c r="U2004" s="6"/>
      <c r="V2004" s="6"/>
      <c r="W2004" s="6">
        <f t="shared" ref="W2004:W2045" si="1227">+H2004</f>
        <v>0</v>
      </c>
      <c r="X2004" s="6"/>
      <c r="Y2004" s="6"/>
      <c r="Z2004" s="6"/>
      <c r="AA2004" s="1190"/>
      <c r="AB2004" s="6"/>
      <c r="AC2004" s="6"/>
      <c r="AD2004" s="6"/>
      <c r="AE2004" s="6"/>
      <c r="AF2004" s="6"/>
      <c r="AG2004" s="6"/>
      <c r="AH2004" s="6"/>
      <c r="AI2004" s="6"/>
      <c r="AJ2004" s="6"/>
      <c r="AK2004" s="6"/>
      <c r="AL2004" s="6"/>
      <c r="AM2004" s="6"/>
      <c r="AN2004" s="6"/>
      <c r="AO2004" s="6"/>
      <c r="AP2004" s="6"/>
      <c r="AQ2004" s="6"/>
      <c r="AR2004" s="6"/>
      <c r="AS2004" s="6"/>
      <c r="AT2004" s="6"/>
      <c r="AU2004" s="6"/>
      <c r="AV2004" s="6"/>
      <c r="AX2004" s="6"/>
      <c r="AY2004" s="6">
        <f>ROUND(AX2004/1000/Update!$B$31*Update!$B$27,0)</f>
        <v>0</v>
      </c>
      <c r="BA2004" s="6"/>
      <c r="BB2004" s="6">
        <f>ROUND(BA2004/1000/Update!$B$31,0)</f>
        <v>0</v>
      </c>
      <c r="BC2004" s="6"/>
      <c r="BD2004" s="6">
        <f t="shared" si="1190"/>
        <v>0</v>
      </c>
      <c r="BE2004" s="322"/>
      <c r="BF2004" s="322"/>
      <c r="BG2004" s="322"/>
      <c r="BH2004" s="322"/>
      <c r="BI2004" s="322"/>
      <c r="BJ2004" s="322"/>
      <c r="BK2004" s="6">
        <f t="shared" si="1219"/>
        <v>0</v>
      </c>
      <c r="BL2004" s="14"/>
      <c r="BM2004" s="14"/>
      <c r="BN2004" s="14"/>
      <c r="BO2004" s="14"/>
      <c r="BP2004" s="322"/>
      <c r="BQ2004" s="14"/>
      <c r="BR2004" s="14"/>
      <c r="BS2004" s="322"/>
      <c r="BT2004" s="322"/>
      <c r="BU2004" s="14"/>
      <c r="BV2004" s="14"/>
      <c r="BW2004" s="14"/>
      <c r="BX2004" s="14"/>
      <c r="BY2004" s="14"/>
      <c r="BZ2004" s="14"/>
      <c r="CA2004" s="14"/>
      <c r="CB2004" s="14"/>
      <c r="CC2004" s="322"/>
      <c r="CD2004" s="322"/>
      <c r="CE2004" s="322"/>
      <c r="CF2004" s="322"/>
      <c r="CG2004" s="322"/>
      <c r="CH2004" s="322"/>
      <c r="CI2004" s="14"/>
      <c r="CM2004" s="1139">
        <f t="shared" si="1221"/>
        <v>0</v>
      </c>
      <c r="CN2004" s="1139">
        <v>0</v>
      </c>
      <c r="CP2004" s="923">
        <f t="shared" si="1220"/>
        <v>0</v>
      </c>
      <c r="CZ2004" s="330"/>
    </row>
    <row r="2005" spans="1:104" ht="15" customHeight="1" x14ac:dyDescent="0.25">
      <c r="A2005" s="684">
        <f>MAX($A$6:A2004)+1</f>
        <v>2005</v>
      </c>
      <c r="B2005" s="1060">
        <f t="shared" si="1225"/>
        <v>80</v>
      </c>
      <c r="C2005" s="11" t="s">
        <v>406</v>
      </c>
      <c r="D2005" s="11" t="s">
        <v>2080</v>
      </c>
      <c r="E2005" s="1257" t="s">
        <v>2070</v>
      </c>
      <c r="F2005" s="1267"/>
      <c r="G2005" s="1254" t="s">
        <v>2070</v>
      </c>
      <c r="H2005" s="6">
        <v>0</v>
      </c>
      <c r="I2005" s="6"/>
      <c r="J2005" s="1257" t="s">
        <v>1708</v>
      </c>
      <c r="K2005" s="251">
        <f>SUMIF('alb A - Losses &amp; special pay'!$B:$B,$J2005,'alb A - Losses &amp; special pay'!$E:$E)</f>
        <v>0</v>
      </c>
      <c r="L2005" s="266"/>
      <c r="M2005" s="2"/>
      <c r="N2005" s="273">
        <f t="shared" si="1216"/>
        <v>0</v>
      </c>
      <c r="O2005" s="12"/>
      <c r="P2005" s="12"/>
      <c r="Q2005" s="12"/>
      <c r="R2005" s="12"/>
      <c r="S2005" s="6">
        <f>-IF(ISNUMBER(BD2005),BD2005,0)</f>
        <v>0</v>
      </c>
      <c r="T2005" s="273">
        <f t="shared" si="1226"/>
        <v>0</v>
      </c>
      <c r="U2005" s="6"/>
      <c r="V2005" s="6"/>
      <c r="W2005" s="6">
        <f t="shared" si="1227"/>
        <v>0</v>
      </c>
      <c r="X2005" s="6"/>
      <c r="Y2005" s="6"/>
      <c r="Z2005" s="6"/>
      <c r="AA2005" s="1190"/>
      <c r="AB2005" s="6"/>
      <c r="AC2005" s="6"/>
      <c r="AD2005" s="6"/>
      <c r="AE2005" s="6"/>
      <c r="AF2005" s="6"/>
      <c r="AG2005" s="6"/>
      <c r="AH2005" s="6"/>
      <c r="AI2005" s="6"/>
      <c r="AJ2005" s="6"/>
      <c r="AK2005" s="6"/>
      <c r="AL2005" s="6"/>
      <c r="AM2005" s="6"/>
      <c r="AN2005" s="6"/>
      <c r="AO2005" s="6"/>
      <c r="AP2005" s="6"/>
      <c r="AQ2005" s="6"/>
      <c r="AR2005" s="6"/>
      <c r="AS2005" s="6"/>
      <c r="AT2005" s="6"/>
      <c r="AU2005" s="6"/>
      <c r="AV2005" s="6"/>
      <c r="AX2005" s="6"/>
      <c r="AY2005" s="6">
        <f>ROUND(AX2005/1000/Update!$B$31*Update!$B$27,0)</f>
        <v>0</v>
      </c>
      <c r="BA2005" s="6"/>
      <c r="BB2005" s="6">
        <f>ROUND(BA2005/1000/Update!$B$31,0)</f>
        <v>0</v>
      </c>
      <c r="BC2005" s="6"/>
      <c r="BD2005" s="6">
        <f t="shared" si="1190"/>
        <v>0</v>
      </c>
      <c r="BE2005" s="322"/>
      <c r="BF2005" s="322"/>
      <c r="BG2005" s="322"/>
      <c r="BH2005" s="322"/>
      <c r="BI2005" s="322"/>
      <c r="BJ2005" s="322"/>
      <c r="BK2005" s="6">
        <f t="shared" si="1219"/>
        <v>0</v>
      </c>
      <c r="BL2005" s="322"/>
      <c r="BM2005" s="322"/>
      <c r="BN2005" s="322"/>
      <c r="BO2005" s="322"/>
      <c r="BP2005" s="322"/>
      <c r="BQ2005" s="322"/>
      <c r="BR2005" s="322"/>
      <c r="BS2005" s="322"/>
      <c r="BT2005" s="322"/>
      <c r="BU2005" s="322"/>
      <c r="BV2005" s="322"/>
      <c r="BW2005" s="322"/>
      <c r="BX2005" s="322"/>
      <c r="BY2005" s="322"/>
      <c r="BZ2005" s="322"/>
      <c r="CA2005" s="322"/>
      <c r="CB2005" s="322"/>
      <c r="CC2005" s="322"/>
      <c r="CD2005" s="322"/>
      <c r="CE2005" s="322"/>
      <c r="CF2005" s="322"/>
      <c r="CG2005" s="322"/>
      <c r="CH2005" s="322"/>
      <c r="CI2005" s="322"/>
      <c r="CM2005" s="1139">
        <f t="shared" si="1221"/>
        <v>0</v>
      </c>
      <c r="CN2005" s="1139">
        <v>0</v>
      </c>
      <c r="CP2005" s="923">
        <f t="shared" si="1220"/>
        <v>0</v>
      </c>
      <c r="CZ2005" s="330"/>
    </row>
    <row r="2006" spans="1:104" ht="15" customHeight="1" x14ac:dyDescent="0.25">
      <c r="A2006" s="684">
        <f>MAX($A$6:A2005)+1</f>
        <v>2006</v>
      </c>
      <c r="B2006" s="1291">
        <f>B2005</f>
        <v>80</v>
      </c>
      <c r="C2006" s="299" t="s">
        <v>406</v>
      </c>
      <c r="D2006" s="299" t="s">
        <v>909</v>
      </c>
      <c r="E2006" s="19"/>
      <c r="F2006" s="19"/>
      <c r="G2006" s="1288" t="s">
        <v>286</v>
      </c>
      <c r="H2006" s="14"/>
      <c r="I2006" s="14"/>
      <c r="J2006" s="1258" t="s">
        <v>286</v>
      </c>
      <c r="K2006" s="256"/>
      <c r="L2006" s="256"/>
      <c r="M2006" s="263"/>
      <c r="N2006" s="14">
        <f t="shared" si="1216"/>
        <v>0</v>
      </c>
      <c r="O2006" s="14"/>
      <c r="P2006" s="14"/>
      <c r="Q2006" s="14"/>
      <c r="R2006" s="14"/>
      <c r="S2006" s="14">
        <f>-IF(ISNUMBER(BD2006),BD2006,0)</f>
        <v>0</v>
      </c>
      <c r="T2006" s="14"/>
      <c r="U2006" s="14"/>
      <c r="V2006" s="14"/>
      <c r="W2006" s="14"/>
      <c r="X2006" s="14"/>
      <c r="Y2006" s="14"/>
      <c r="Z2006" s="14"/>
      <c r="AA2006" s="14"/>
      <c r="AB2006" s="14"/>
      <c r="AC2006" s="14"/>
      <c r="AD2006" s="14"/>
      <c r="AE2006" s="14"/>
      <c r="AF2006" s="14"/>
      <c r="AG2006" s="14"/>
      <c r="AH2006" s="14"/>
      <c r="AI2006" s="14"/>
      <c r="AJ2006" s="14"/>
      <c r="AK2006" s="14"/>
      <c r="AL2006" s="14"/>
      <c r="AM2006" s="14"/>
      <c r="AN2006" s="14"/>
      <c r="AO2006" s="14"/>
      <c r="AP2006" s="14"/>
      <c r="AQ2006" s="14"/>
      <c r="AR2006" s="14"/>
      <c r="AS2006" s="14"/>
      <c r="AT2006" s="14"/>
      <c r="AU2006" s="14"/>
      <c r="AV2006" s="14"/>
      <c r="AW2006" s="2"/>
      <c r="AX2006" s="14"/>
      <c r="AY2006" s="14"/>
      <c r="AZ2006" s="2"/>
      <c r="BA2006" s="14"/>
      <c r="BB2006" s="14"/>
      <c r="BC2006" s="14"/>
      <c r="BD2006" s="14">
        <f t="shared" si="1190"/>
        <v>0</v>
      </c>
      <c r="BE2006" s="14"/>
      <c r="BF2006" s="14"/>
      <c r="BG2006" s="14"/>
      <c r="BH2006" s="14"/>
      <c r="BI2006" s="14"/>
      <c r="BJ2006" s="14"/>
      <c r="BK2006" s="14">
        <f t="shared" si="1219"/>
        <v>0</v>
      </c>
      <c r="BL2006" s="322"/>
      <c r="BM2006" s="322"/>
      <c r="BN2006" s="322"/>
      <c r="BO2006" s="322"/>
      <c r="BP2006" s="14"/>
      <c r="BQ2006" s="322"/>
      <c r="BR2006" s="322"/>
      <c r="BS2006" s="14"/>
      <c r="BT2006" s="322"/>
      <c r="BU2006" s="322"/>
      <c r="BV2006" s="322"/>
      <c r="BW2006" s="322"/>
      <c r="BX2006" s="322"/>
      <c r="BY2006" s="322"/>
      <c r="BZ2006" s="322"/>
      <c r="CA2006" s="322"/>
      <c r="CB2006" s="322"/>
      <c r="CC2006" s="14"/>
      <c r="CD2006" s="14"/>
      <c r="CE2006" s="14"/>
      <c r="CF2006" s="14"/>
      <c r="CG2006" s="14"/>
      <c r="CH2006" s="14"/>
      <c r="CI2006" s="322"/>
      <c r="CJ2006" s="2"/>
      <c r="CK2006" s="2"/>
      <c r="CM2006" s="1139">
        <f t="shared" si="1221"/>
        <v>0</v>
      </c>
      <c r="CN2006" s="1139">
        <v>0</v>
      </c>
      <c r="CP2006" s="923">
        <f t="shared" si="1220"/>
        <v>0</v>
      </c>
      <c r="CZ2006" s="330"/>
    </row>
    <row r="2007" spans="1:104" ht="15" customHeight="1" x14ac:dyDescent="0.25">
      <c r="A2007" s="684">
        <f>MAX($A$6:A2006)+1</f>
        <v>2007</v>
      </c>
      <c r="B2007" s="1060">
        <f t="shared" si="1225"/>
        <v>80</v>
      </c>
      <c r="C2007" s="11" t="s">
        <v>406</v>
      </c>
      <c r="D2007" s="11" t="s">
        <v>418</v>
      </c>
      <c r="E2007" s="7" t="s">
        <v>410</v>
      </c>
      <c r="F2007" s="7"/>
      <c r="G2007" s="1254" t="s">
        <v>410</v>
      </c>
      <c r="H2007" s="6">
        <v>0</v>
      </c>
      <c r="I2007" s="6"/>
      <c r="J2007" s="1257" t="s">
        <v>410</v>
      </c>
      <c r="K2007" s="251">
        <f>SUMIF('alb A - Losses &amp; special pay'!$B:$B,$J2007,'alb A - Losses &amp; special pay'!$D:$D)</f>
        <v>0</v>
      </c>
      <c r="L2007" s="266"/>
      <c r="M2007" s="2"/>
      <c r="N2007" s="273">
        <f t="shared" si="1216"/>
        <v>0</v>
      </c>
      <c r="O2007" s="12"/>
      <c r="P2007" s="12"/>
      <c r="Q2007" s="12"/>
      <c r="R2007" s="12"/>
      <c r="S2007" s="6">
        <f t="shared" si="1211"/>
        <v>0</v>
      </c>
      <c r="T2007" s="273">
        <f t="shared" si="1226"/>
        <v>0</v>
      </c>
      <c r="U2007" s="6"/>
      <c r="V2007" s="6"/>
      <c r="W2007" s="6">
        <f t="shared" si="1227"/>
        <v>0</v>
      </c>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X2007" s="6"/>
      <c r="AY2007" s="6">
        <f>ROUND(AX2007/1000/Update!$B$31*Update!$B$27,0)</f>
        <v>0</v>
      </c>
      <c r="BA2007" s="6"/>
      <c r="BB2007" s="6">
        <f>ROUND(BA2007/1000/Update!$B$31,0)</f>
        <v>0</v>
      </c>
      <c r="BC2007" s="6"/>
      <c r="BD2007" s="6">
        <f t="shared" si="1190"/>
        <v>0</v>
      </c>
      <c r="BE2007" s="322"/>
      <c r="BF2007" s="322"/>
      <c r="BG2007" s="322"/>
      <c r="BH2007" s="322"/>
      <c r="BI2007" s="322"/>
      <c r="BJ2007" s="322"/>
      <c r="BK2007" s="6">
        <f t="shared" si="1219"/>
        <v>0</v>
      </c>
      <c r="BL2007" s="322"/>
      <c r="BM2007" s="322"/>
      <c r="BN2007" s="322"/>
      <c r="BO2007" s="322"/>
      <c r="BP2007" s="322"/>
      <c r="BQ2007" s="322"/>
      <c r="BR2007" s="322"/>
      <c r="BS2007" s="322"/>
      <c r="BT2007" s="322"/>
      <c r="BU2007" s="322"/>
      <c r="BV2007" s="322"/>
      <c r="BW2007" s="322"/>
      <c r="BX2007" s="322"/>
      <c r="BY2007" s="322"/>
      <c r="BZ2007" s="322"/>
      <c r="CA2007" s="322"/>
      <c r="CB2007" s="322"/>
      <c r="CC2007" s="322"/>
      <c r="CD2007" s="322"/>
      <c r="CE2007" s="322"/>
      <c r="CF2007" s="322"/>
      <c r="CG2007" s="322"/>
      <c r="CH2007" s="322"/>
      <c r="CI2007" s="322"/>
      <c r="CM2007" s="1139">
        <f t="shared" si="1221"/>
        <v>0</v>
      </c>
      <c r="CN2007" s="1139">
        <v>0</v>
      </c>
      <c r="CP2007" s="923">
        <f t="shared" si="1220"/>
        <v>0</v>
      </c>
      <c r="CZ2007" s="330"/>
    </row>
    <row r="2008" spans="1:104" ht="15" customHeight="1" x14ac:dyDescent="0.25">
      <c r="A2008" s="684">
        <f>MAX($A$6:A2007)+1</f>
        <v>2008</v>
      </c>
      <c r="B2008" s="1060">
        <f>B2007</f>
        <v>80</v>
      </c>
      <c r="C2008" s="11" t="s">
        <v>406</v>
      </c>
      <c r="D2008" s="11" t="s">
        <v>419</v>
      </c>
      <c r="E2008" s="7" t="s">
        <v>411</v>
      </c>
      <c r="F2008" s="7"/>
      <c r="G2008" s="1254" t="s">
        <v>411</v>
      </c>
      <c r="H2008" s="6">
        <v>0</v>
      </c>
      <c r="I2008" s="6"/>
      <c r="J2008" s="1257" t="s">
        <v>411</v>
      </c>
      <c r="K2008" s="251">
        <f>SUMIF('alb A - Losses &amp; special pay'!$B:$B,$J2008,'alb A - Losses &amp; special pay'!$D:$D)</f>
        <v>0</v>
      </c>
      <c r="L2008" s="266"/>
      <c r="M2008" s="2"/>
      <c r="N2008" s="273">
        <f t="shared" si="1216"/>
        <v>0</v>
      </c>
      <c r="O2008" s="12"/>
      <c r="P2008" s="12"/>
      <c r="Q2008" s="12"/>
      <c r="R2008" s="12"/>
      <c r="S2008" s="6">
        <f t="shared" si="1211"/>
        <v>0</v>
      </c>
      <c r="T2008" s="273">
        <f t="shared" si="1226"/>
        <v>0</v>
      </c>
      <c r="U2008" s="6"/>
      <c r="V2008" s="6"/>
      <c r="W2008" s="6">
        <f t="shared" si="1227"/>
        <v>0</v>
      </c>
      <c r="X2008" s="6"/>
      <c r="Y2008" s="6"/>
      <c r="Z2008" s="6"/>
      <c r="AA2008" s="1190"/>
      <c r="AB2008" s="1190"/>
      <c r="AC2008" s="1190"/>
      <c r="AD2008" s="6"/>
      <c r="AE2008" s="6"/>
      <c r="AF2008" s="6"/>
      <c r="AG2008" s="6"/>
      <c r="AH2008" s="6"/>
      <c r="AI2008" s="6"/>
      <c r="AJ2008" s="6"/>
      <c r="AK2008" s="6"/>
      <c r="AL2008" s="6"/>
      <c r="AM2008" s="6"/>
      <c r="AN2008" s="6"/>
      <c r="AO2008" s="6"/>
      <c r="AP2008" s="6"/>
      <c r="AQ2008" s="6"/>
      <c r="AR2008" s="6"/>
      <c r="AS2008" s="6"/>
      <c r="AT2008" s="6"/>
      <c r="AU2008" s="6"/>
      <c r="AV2008" s="6"/>
      <c r="AX2008" s="6"/>
      <c r="AY2008" s="6">
        <f>ROUND(AX2008/1000/Update!$B$31*Update!$B$27,0)</f>
        <v>0</v>
      </c>
      <c r="BA2008" s="6"/>
      <c r="BB2008" s="6">
        <f>ROUND(BA2008/1000/Update!$B$31,0)</f>
        <v>0</v>
      </c>
      <c r="BC2008" s="6"/>
      <c r="BD2008" s="6">
        <f t="shared" ref="BD2008:BD2032" si="1228">ROUND(SUM(BE2008:BK2008),0)</f>
        <v>0</v>
      </c>
      <c r="BE2008" s="322"/>
      <c r="BF2008" s="322"/>
      <c r="BG2008" s="322"/>
      <c r="BH2008" s="322"/>
      <c r="BI2008" s="322"/>
      <c r="BJ2008" s="322"/>
      <c r="BK2008" s="6">
        <f t="shared" si="1219"/>
        <v>0</v>
      </c>
      <c r="BL2008" s="322"/>
      <c r="BM2008" s="322"/>
      <c r="BN2008" s="322"/>
      <c r="BO2008" s="322"/>
      <c r="BP2008" s="322"/>
      <c r="BQ2008" s="322"/>
      <c r="BR2008" s="322"/>
      <c r="BS2008" s="322"/>
      <c r="BT2008" s="322"/>
      <c r="BU2008" s="322"/>
      <c r="BV2008" s="322"/>
      <c r="BW2008" s="322"/>
      <c r="BX2008" s="322"/>
      <c r="BY2008" s="322"/>
      <c r="BZ2008" s="322"/>
      <c r="CA2008" s="322"/>
      <c r="CB2008" s="322"/>
      <c r="CC2008" s="322"/>
      <c r="CD2008" s="322"/>
      <c r="CE2008" s="322"/>
      <c r="CF2008" s="322"/>
      <c r="CG2008" s="322"/>
      <c r="CH2008" s="322"/>
      <c r="CI2008" s="322"/>
      <c r="CM2008" s="1139">
        <f t="shared" si="1221"/>
        <v>0</v>
      </c>
      <c r="CN2008" s="1139">
        <v>0</v>
      </c>
      <c r="CP2008" s="923">
        <f t="shared" si="1220"/>
        <v>0</v>
      </c>
      <c r="CZ2008" s="330"/>
    </row>
    <row r="2009" spans="1:104" ht="15" customHeight="1" x14ac:dyDescent="0.25">
      <c r="A2009" s="684">
        <f>MAX($A$6:A2008)+1</f>
        <v>2009</v>
      </c>
      <c r="B2009" s="1060">
        <f t="shared" ref="B2009:B2018" si="1229">B2008</f>
        <v>80</v>
      </c>
      <c r="C2009" s="11" t="s">
        <v>406</v>
      </c>
      <c r="D2009" s="11" t="s">
        <v>420</v>
      </c>
      <c r="E2009" s="7" t="s">
        <v>412</v>
      </c>
      <c r="F2009" s="7"/>
      <c r="G2009" s="1254" t="s">
        <v>412</v>
      </c>
      <c r="H2009" s="6">
        <v>0</v>
      </c>
      <c r="I2009" s="6"/>
      <c r="J2009" s="1257" t="s">
        <v>412</v>
      </c>
      <c r="K2009" s="251">
        <f>SUMIF('alb A - Losses &amp; special pay'!$B:$B,$J2009,'alb A - Losses &amp; special pay'!$D:$D)</f>
        <v>0</v>
      </c>
      <c r="L2009" s="266"/>
      <c r="M2009" s="2"/>
      <c r="N2009" s="273">
        <f t="shared" si="1216"/>
        <v>0</v>
      </c>
      <c r="O2009" s="12"/>
      <c r="P2009" s="12"/>
      <c r="Q2009" s="12"/>
      <c r="R2009" s="12"/>
      <c r="S2009" s="6">
        <f t="shared" si="1211"/>
        <v>0</v>
      </c>
      <c r="T2009" s="273">
        <f t="shared" si="1226"/>
        <v>0</v>
      </c>
      <c r="U2009" s="6"/>
      <c r="V2009" s="6"/>
      <c r="W2009" s="6">
        <f t="shared" si="1227"/>
        <v>0</v>
      </c>
      <c r="X2009" s="6"/>
      <c r="Y2009" s="6"/>
      <c r="Z2009" s="6"/>
      <c r="AA2009" s="1190"/>
      <c r="AB2009" s="1190"/>
      <c r="AC2009" s="1190"/>
      <c r="AD2009" s="6"/>
      <c r="AE2009" s="6"/>
      <c r="AF2009" s="6"/>
      <c r="AG2009" s="6"/>
      <c r="AH2009" s="6"/>
      <c r="AI2009" s="6"/>
      <c r="AJ2009" s="6"/>
      <c r="AK2009" s="6"/>
      <c r="AL2009" s="6"/>
      <c r="AM2009" s="6"/>
      <c r="AN2009" s="6"/>
      <c r="AO2009" s="6"/>
      <c r="AP2009" s="6"/>
      <c r="AQ2009" s="6"/>
      <c r="AR2009" s="6"/>
      <c r="AS2009" s="6"/>
      <c r="AT2009" s="6"/>
      <c r="AU2009" s="6"/>
      <c r="AV2009" s="6"/>
      <c r="AX2009" s="6"/>
      <c r="AY2009" s="6">
        <f>ROUND(AX2009/1000/Update!$B$31*Update!$B$27,0)</f>
        <v>0</v>
      </c>
      <c r="BA2009" s="6"/>
      <c r="BB2009" s="6">
        <f>ROUND(BA2009/1000/Update!$B$31,0)</f>
        <v>0</v>
      </c>
      <c r="BC2009" s="6"/>
      <c r="BD2009" s="6">
        <f t="shared" si="1228"/>
        <v>0</v>
      </c>
      <c r="BE2009" s="322"/>
      <c r="BF2009" s="322"/>
      <c r="BG2009" s="322"/>
      <c r="BH2009" s="322"/>
      <c r="BI2009" s="322"/>
      <c r="BJ2009" s="322"/>
      <c r="BK2009" s="6">
        <f t="shared" si="1219"/>
        <v>0</v>
      </c>
      <c r="BL2009" s="322"/>
      <c r="BM2009" s="322"/>
      <c r="BN2009" s="322"/>
      <c r="BO2009" s="322"/>
      <c r="BP2009" s="322"/>
      <c r="BQ2009" s="322"/>
      <c r="BR2009" s="322"/>
      <c r="BS2009" s="322"/>
      <c r="BT2009" s="322"/>
      <c r="BU2009" s="322"/>
      <c r="BV2009" s="322"/>
      <c r="BW2009" s="322"/>
      <c r="BX2009" s="322"/>
      <c r="BY2009" s="322"/>
      <c r="BZ2009" s="322"/>
      <c r="CA2009" s="322"/>
      <c r="CB2009" s="322"/>
      <c r="CC2009" s="322"/>
      <c r="CD2009" s="322"/>
      <c r="CE2009" s="322"/>
      <c r="CF2009" s="322"/>
      <c r="CG2009" s="322"/>
      <c r="CH2009" s="322"/>
      <c r="CI2009" s="322"/>
      <c r="CM2009" s="1139">
        <f t="shared" si="1221"/>
        <v>0</v>
      </c>
      <c r="CN2009" s="1139">
        <v>0</v>
      </c>
      <c r="CP2009" s="923">
        <f t="shared" si="1220"/>
        <v>0</v>
      </c>
      <c r="CZ2009" s="330"/>
    </row>
    <row r="2010" spans="1:104" ht="15" customHeight="1" x14ac:dyDescent="0.25">
      <c r="A2010" s="684">
        <f>MAX($A$6:A2009)+1</f>
        <v>2010</v>
      </c>
      <c r="B2010" s="1060">
        <f t="shared" si="1229"/>
        <v>80</v>
      </c>
      <c r="C2010" s="11" t="s">
        <v>406</v>
      </c>
      <c r="D2010" s="11" t="s">
        <v>421</v>
      </c>
      <c r="E2010" s="7" t="s">
        <v>413</v>
      </c>
      <c r="F2010" s="7"/>
      <c r="G2010" s="1254" t="s">
        <v>413</v>
      </c>
      <c r="H2010" s="6">
        <v>0</v>
      </c>
      <c r="I2010" s="6"/>
      <c r="J2010" s="1257" t="s">
        <v>413</v>
      </c>
      <c r="K2010" s="251">
        <f>SUMIF('alb A - Losses &amp; special pay'!$B:$B,$J2010,'alb A - Losses &amp; special pay'!$D:$D)</f>
        <v>0</v>
      </c>
      <c r="L2010" s="266"/>
      <c r="M2010" s="2"/>
      <c r="N2010" s="273">
        <f t="shared" si="1216"/>
        <v>0</v>
      </c>
      <c r="O2010" s="12"/>
      <c r="P2010" s="12"/>
      <c r="Q2010" s="12"/>
      <c r="R2010" s="12"/>
      <c r="S2010" s="6">
        <f t="shared" si="1211"/>
        <v>0</v>
      </c>
      <c r="T2010" s="273">
        <f t="shared" si="1226"/>
        <v>0</v>
      </c>
      <c r="U2010" s="6"/>
      <c r="V2010" s="6"/>
      <c r="W2010" s="6">
        <f t="shared" si="1227"/>
        <v>0</v>
      </c>
      <c r="X2010" s="6"/>
      <c r="Y2010" s="6"/>
      <c r="Z2010" s="6"/>
      <c r="AA2010" s="1190"/>
      <c r="AB2010" s="1190"/>
      <c r="AC2010" s="1190"/>
      <c r="AD2010" s="6"/>
      <c r="AE2010" s="6"/>
      <c r="AF2010" s="6"/>
      <c r="AG2010" s="6"/>
      <c r="AH2010" s="6"/>
      <c r="AI2010" s="6"/>
      <c r="AJ2010" s="6"/>
      <c r="AK2010" s="6"/>
      <c r="AL2010" s="6"/>
      <c r="AM2010" s="6"/>
      <c r="AN2010" s="6"/>
      <c r="AO2010" s="6"/>
      <c r="AP2010" s="6"/>
      <c r="AQ2010" s="6"/>
      <c r="AR2010" s="6"/>
      <c r="AS2010" s="6"/>
      <c r="AT2010" s="6"/>
      <c r="AU2010" s="6"/>
      <c r="AV2010" s="6"/>
      <c r="AX2010" s="6"/>
      <c r="AY2010" s="6">
        <f>ROUND(AX2010/1000/Update!$B$31*Update!$B$27,0)</f>
        <v>0</v>
      </c>
      <c r="BA2010" s="6"/>
      <c r="BB2010" s="6">
        <f>ROUND(BA2010/1000/Update!$B$31,0)</f>
        <v>0</v>
      </c>
      <c r="BC2010" s="6"/>
      <c r="BD2010" s="6">
        <f t="shared" si="1228"/>
        <v>0</v>
      </c>
      <c r="BE2010" s="322"/>
      <c r="BF2010" s="322"/>
      <c r="BG2010" s="322"/>
      <c r="BH2010" s="322"/>
      <c r="BI2010" s="322"/>
      <c r="BJ2010" s="322"/>
      <c r="BK2010" s="6">
        <f t="shared" si="1219"/>
        <v>0</v>
      </c>
      <c r="BL2010" s="322"/>
      <c r="BM2010" s="322"/>
      <c r="BN2010" s="322"/>
      <c r="BO2010" s="322"/>
      <c r="BP2010" s="322"/>
      <c r="BQ2010" s="322"/>
      <c r="BR2010" s="322"/>
      <c r="BS2010" s="322"/>
      <c r="BT2010" s="322"/>
      <c r="BU2010" s="322"/>
      <c r="BV2010" s="322"/>
      <c r="BW2010" s="322"/>
      <c r="BX2010" s="322"/>
      <c r="BY2010" s="322"/>
      <c r="BZ2010" s="322"/>
      <c r="CA2010" s="322"/>
      <c r="CB2010" s="322"/>
      <c r="CC2010" s="322"/>
      <c r="CD2010" s="322"/>
      <c r="CE2010" s="322"/>
      <c r="CF2010" s="322"/>
      <c r="CG2010" s="322"/>
      <c r="CH2010" s="322"/>
      <c r="CI2010" s="322"/>
      <c r="CM2010" s="1139">
        <f t="shared" si="1221"/>
        <v>0</v>
      </c>
      <c r="CN2010" s="1139">
        <v>0</v>
      </c>
      <c r="CP2010" s="923">
        <f t="shared" si="1220"/>
        <v>0</v>
      </c>
      <c r="CZ2010" s="330"/>
    </row>
    <row r="2011" spans="1:104" ht="15" customHeight="1" x14ac:dyDescent="0.25">
      <c r="A2011" s="684">
        <f>MAX($A$6:A2010)+1</f>
        <v>2011</v>
      </c>
      <c r="B2011" s="1060">
        <f t="shared" si="1229"/>
        <v>80</v>
      </c>
      <c r="C2011" s="11" t="s">
        <v>406</v>
      </c>
      <c r="D2011" s="11" t="s">
        <v>422</v>
      </c>
      <c r="E2011" s="7" t="s">
        <v>414</v>
      </c>
      <c r="F2011" s="7"/>
      <c r="G2011" s="1254" t="s">
        <v>414</v>
      </c>
      <c r="H2011" s="6">
        <v>0</v>
      </c>
      <c r="I2011" s="6"/>
      <c r="J2011" s="1257" t="s">
        <v>414</v>
      </c>
      <c r="K2011" s="251">
        <f>SUMIF('alb A - Losses &amp; special pay'!$B:$B,$J2011,'alb A - Losses &amp; special pay'!$D:$D)</f>
        <v>0</v>
      </c>
      <c r="L2011" s="266"/>
      <c r="M2011" s="2"/>
      <c r="N2011" s="273">
        <f t="shared" si="1216"/>
        <v>0</v>
      </c>
      <c r="O2011" s="12"/>
      <c r="P2011" s="12"/>
      <c r="Q2011" s="12"/>
      <c r="R2011" s="12"/>
      <c r="S2011" s="6">
        <f t="shared" si="1211"/>
        <v>0</v>
      </c>
      <c r="T2011" s="273">
        <f t="shared" si="1226"/>
        <v>0</v>
      </c>
      <c r="U2011" s="6"/>
      <c r="V2011" s="6"/>
      <c r="W2011" s="6">
        <f t="shared" si="1227"/>
        <v>0</v>
      </c>
      <c r="X2011" s="6"/>
      <c r="Y2011" s="6"/>
      <c r="Z2011" s="6"/>
      <c r="AA2011" s="1190"/>
      <c r="AB2011" s="1190"/>
      <c r="AC2011" s="1190"/>
      <c r="AD2011" s="6"/>
      <c r="AE2011" s="6"/>
      <c r="AF2011" s="6"/>
      <c r="AG2011" s="6"/>
      <c r="AH2011" s="6"/>
      <c r="AI2011" s="6"/>
      <c r="AJ2011" s="6"/>
      <c r="AK2011" s="6"/>
      <c r="AL2011" s="6"/>
      <c r="AM2011" s="6"/>
      <c r="AN2011" s="6"/>
      <c r="AO2011" s="6"/>
      <c r="AP2011" s="6"/>
      <c r="AQ2011" s="6"/>
      <c r="AR2011" s="6"/>
      <c r="AS2011" s="6"/>
      <c r="AT2011" s="6"/>
      <c r="AU2011" s="6"/>
      <c r="AV2011" s="6"/>
      <c r="AX2011" s="6"/>
      <c r="AY2011" s="6">
        <f>ROUND(AX2011/1000/Update!$B$31*Update!$B$27,0)</f>
        <v>0</v>
      </c>
      <c r="BA2011" s="6"/>
      <c r="BB2011" s="6">
        <f>ROUND(BA2011/1000/Update!$B$31,0)</f>
        <v>0</v>
      </c>
      <c r="BC2011" s="6"/>
      <c r="BD2011" s="6">
        <f t="shared" si="1228"/>
        <v>0</v>
      </c>
      <c r="BE2011" s="322"/>
      <c r="BF2011" s="322"/>
      <c r="BG2011" s="322"/>
      <c r="BH2011" s="322"/>
      <c r="BI2011" s="322"/>
      <c r="BJ2011" s="322"/>
      <c r="BK2011" s="6">
        <f t="shared" si="1219"/>
        <v>0</v>
      </c>
      <c r="BL2011" s="322"/>
      <c r="BM2011" s="322"/>
      <c r="BN2011" s="322"/>
      <c r="BO2011" s="322"/>
      <c r="BP2011" s="322"/>
      <c r="BQ2011" s="322"/>
      <c r="BR2011" s="322"/>
      <c r="BS2011" s="322"/>
      <c r="BT2011" s="322"/>
      <c r="BU2011" s="322"/>
      <c r="BV2011" s="322"/>
      <c r="BW2011" s="322"/>
      <c r="BX2011" s="322"/>
      <c r="BY2011" s="322"/>
      <c r="BZ2011" s="322"/>
      <c r="CA2011" s="322"/>
      <c r="CB2011" s="322"/>
      <c r="CC2011" s="322"/>
      <c r="CD2011" s="322"/>
      <c r="CE2011" s="322"/>
      <c r="CF2011" s="322"/>
      <c r="CG2011" s="322"/>
      <c r="CH2011" s="322"/>
      <c r="CI2011" s="322"/>
      <c r="CM2011" s="1139">
        <f t="shared" si="1221"/>
        <v>0</v>
      </c>
      <c r="CN2011" s="1139">
        <v>0</v>
      </c>
      <c r="CP2011" s="923">
        <f t="shared" si="1220"/>
        <v>0</v>
      </c>
      <c r="CZ2011" s="330"/>
    </row>
    <row r="2012" spans="1:104" ht="15" customHeight="1" x14ac:dyDescent="0.25">
      <c r="A2012" s="684">
        <f>MAX($A$6:A2011)+1</f>
        <v>2012</v>
      </c>
      <c r="B2012" s="1060">
        <f t="shared" si="1229"/>
        <v>80</v>
      </c>
      <c r="C2012" s="11" t="s">
        <v>406</v>
      </c>
      <c r="D2012" s="11" t="s">
        <v>423</v>
      </c>
      <c r="E2012" s="7" t="s">
        <v>272</v>
      </c>
      <c r="F2012" s="7"/>
      <c r="G2012" s="1254" t="s">
        <v>272</v>
      </c>
      <c r="H2012" s="6">
        <v>0</v>
      </c>
      <c r="I2012" s="6"/>
      <c r="J2012" s="1257" t="s">
        <v>272</v>
      </c>
      <c r="K2012" s="251">
        <f>SUMIF('alb A - Losses &amp; special pay'!$C:$C,$J2012,'alb A - Losses &amp; special pay'!$D:$D)</f>
        <v>0</v>
      </c>
      <c r="L2012" s="266"/>
      <c r="M2012" s="2"/>
      <c r="N2012" s="273">
        <f t="shared" si="1216"/>
        <v>0</v>
      </c>
      <c r="O2012" s="12"/>
      <c r="P2012" s="12"/>
      <c r="Q2012" s="12"/>
      <c r="R2012" s="12"/>
      <c r="S2012" s="6">
        <f t="shared" si="1211"/>
        <v>0</v>
      </c>
      <c r="T2012" s="273">
        <f t="shared" si="1226"/>
        <v>0</v>
      </c>
      <c r="U2012" s="251"/>
      <c r="V2012" s="251"/>
      <c r="W2012" s="251">
        <f t="shared" si="1227"/>
        <v>0</v>
      </c>
      <c r="X2012" s="251"/>
      <c r="Y2012" s="251"/>
      <c r="Z2012" s="251"/>
      <c r="AA2012" s="1185"/>
      <c r="AB2012" s="1185"/>
      <c r="AC2012" s="1185"/>
      <c r="AD2012" s="251"/>
      <c r="AE2012" s="251"/>
      <c r="AF2012" s="251"/>
      <c r="AG2012" s="251"/>
      <c r="AH2012" s="251"/>
      <c r="AI2012" s="251"/>
      <c r="AJ2012" s="251"/>
      <c r="AK2012" s="251"/>
      <c r="AL2012" s="251"/>
      <c r="AM2012" s="251"/>
      <c r="AN2012" s="251"/>
      <c r="AO2012" s="251"/>
      <c r="AP2012" s="251"/>
      <c r="AQ2012" s="251"/>
      <c r="AR2012" s="251"/>
      <c r="AS2012" s="251"/>
      <c r="AT2012" s="251"/>
      <c r="AU2012" s="251"/>
      <c r="AV2012" s="251"/>
      <c r="AX2012" s="6"/>
      <c r="AY2012" s="6">
        <f>ROUND(AX2012/1000/Update!$B$31*Update!$B$27,0)</f>
        <v>0</v>
      </c>
      <c r="BA2012" s="6"/>
      <c r="BB2012" s="6">
        <f>ROUND(BA2012/1000/Update!$B$31,0)</f>
        <v>0</v>
      </c>
      <c r="BC2012" s="6"/>
      <c r="BD2012" s="6">
        <f t="shared" si="1228"/>
        <v>0</v>
      </c>
      <c r="BE2012" s="322"/>
      <c r="BF2012" s="322"/>
      <c r="BG2012" s="322"/>
      <c r="BH2012" s="322"/>
      <c r="BI2012" s="322"/>
      <c r="BJ2012" s="322"/>
      <c r="BK2012" s="6">
        <f t="shared" si="1219"/>
        <v>0</v>
      </c>
      <c r="BL2012" s="322"/>
      <c r="BM2012" s="322"/>
      <c r="BN2012" s="322"/>
      <c r="BO2012" s="322"/>
      <c r="BP2012" s="322"/>
      <c r="BQ2012" s="322"/>
      <c r="BR2012" s="322"/>
      <c r="BS2012" s="322"/>
      <c r="BT2012" s="322"/>
      <c r="BU2012" s="322"/>
      <c r="BV2012" s="322"/>
      <c r="BW2012" s="322"/>
      <c r="BX2012" s="322"/>
      <c r="BY2012" s="322"/>
      <c r="BZ2012" s="322"/>
      <c r="CA2012" s="322"/>
      <c r="CB2012" s="322"/>
      <c r="CC2012" s="322"/>
      <c r="CD2012" s="322"/>
      <c r="CE2012" s="322"/>
      <c r="CF2012" s="322"/>
      <c r="CG2012" s="322"/>
      <c r="CH2012" s="322"/>
      <c r="CI2012" s="322"/>
      <c r="CM2012" s="1139">
        <f t="shared" si="1221"/>
        <v>0</v>
      </c>
      <c r="CN2012" s="1139">
        <v>0</v>
      </c>
      <c r="CP2012" s="923">
        <f t="shared" si="1220"/>
        <v>0</v>
      </c>
      <c r="CZ2012" s="330"/>
    </row>
    <row r="2013" spans="1:104" ht="15" customHeight="1" x14ac:dyDescent="0.25">
      <c r="A2013" s="684">
        <f>MAX($A$6:A2012)+1</f>
        <v>2013</v>
      </c>
      <c r="B2013" s="1060">
        <f t="shared" si="1229"/>
        <v>80</v>
      </c>
      <c r="C2013" s="11" t="s">
        <v>406</v>
      </c>
      <c r="D2013" s="11" t="s">
        <v>423</v>
      </c>
      <c r="E2013" s="7" t="s">
        <v>416</v>
      </c>
      <c r="F2013" s="7"/>
      <c r="G2013" s="1254" t="s">
        <v>416</v>
      </c>
      <c r="H2013" s="6">
        <v>0</v>
      </c>
      <c r="I2013" s="6"/>
      <c r="J2013" s="1257" t="s">
        <v>416</v>
      </c>
      <c r="K2013" s="251">
        <f>SUMIF('alb A - Losses &amp; special pay'!$C:$C,$J2013,'alb A - Losses &amp; special pay'!$D:$D)</f>
        <v>0</v>
      </c>
      <c r="L2013" s="266"/>
      <c r="M2013" s="2"/>
      <c r="N2013" s="273">
        <f t="shared" si="1216"/>
        <v>0</v>
      </c>
      <c r="O2013" s="12"/>
      <c r="P2013" s="12"/>
      <c r="Q2013" s="12"/>
      <c r="R2013" s="12"/>
      <c r="S2013" s="6">
        <f t="shared" si="1211"/>
        <v>0</v>
      </c>
      <c r="T2013" s="273">
        <f t="shared" si="1226"/>
        <v>0</v>
      </c>
      <c r="U2013" s="251"/>
      <c r="V2013" s="251"/>
      <c r="W2013" s="251">
        <f t="shared" si="1227"/>
        <v>0</v>
      </c>
      <c r="X2013" s="251"/>
      <c r="Y2013" s="251"/>
      <c r="Z2013" s="251"/>
      <c r="AA2013" s="1185"/>
      <c r="AB2013" s="1185"/>
      <c r="AC2013" s="1185"/>
      <c r="AD2013" s="251"/>
      <c r="AE2013" s="251"/>
      <c r="AF2013" s="251"/>
      <c r="AG2013" s="251"/>
      <c r="AH2013" s="251"/>
      <c r="AI2013" s="251"/>
      <c r="AJ2013" s="251"/>
      <c r="AK2013" s="251"/>
      <c r="AL2013" s="251"/>
      <c r="AM2013" s="251"/>
      <c r="AN2013" s="251"/>
      <c r="AO2013" s="251"/>
      <c r="AP2013" s="251"/>
      <c r="AQ2013" s="251"/>
      <c r="AR2013" s="251"/>
      <c r="AS2013" s="251"/>
      <c r="AT2013" s="251"/>
      <c r="AU2013" s="251"/>
      <c r="AV2013" s="251"/>
      <c r="AX2013" s="6"/>
      <c r="AY2013" s="6">
        <f>ROUND(AX2013/1000/Update!$B$31*Update!$B$27,0)</f>
        <v>0</v>
      </c>
      <c r="BA2013" s="6"/>
      <c r="BB2013" s="6">
        <f>ROUND(BA2013/1000/Update!$B$31,0)</f>
        <v>0</v>
      </c>
      <c r="BC2013" s="6"/>
      <c r="BD2013" s="6">
        <f t="shared" si="1228"/>
        <v>0</v>
      </c>
      <c r="BE2013" s="322"/>
      <c r="BF2013" s="322"/>
      <c r="BG2013" s="322"/>
      <c r="BH2013" s="322"/>
      <c r="BI2013" s="322"/>
      <c r="BJ2013" s="322"/>
      <c r="BK2013" s="6">
        <f t="shared" si="1219"/>
        <v>0</v>
      </c>
      <c r="BL2013" s="322"/>
      <c r="BM2013" s="322"/>
      <c r="BN2013" s="322"/>
      <c r="BO2013" s="322"/>
      <c r="BP2013" s="322"/>
      <c r="BQ2013" s="322"/>
      <c r="BR2013" s="322"/>
      <c r="BS2013" s="322"/>
      <c r="BT2013" s="322"/>
      <c r="BU2013" s="322"/>
      <c r="BV2013" s="322"/>
      <c r="BW2013" s="322"/>
      <c r="BX2013" s="322"/>
      <c r="BY2013" s="322"/>
      <c r="BZ2013" s="322"/>
      <c r="CA2013" s="322"/>
      <c r="CB2013" s="322"/>
      <c r="CC2013" s="322"/>
      <c r="CD2013" s="322"/>
      <c r="CE2013" s="322"/>
      <c r="CF2013" s="322"/>
      <c r="CG2013" s="322"/>
      <c r="CH2013" s="322"/>
      <c r="CI2013" s="322"/>
      <c r="CM2013" s="1139">
        <f t="shared" si="1221"/>
        <v>0</v>
      </c>
      <c r="CN2013" s="1139">
        <v>0</v>
      </c>
      <c r="CP2013" s="923">
        <f t="shared" si="1220"/>
        <v>0</v>
      </c>
      <c r="CZ2013" s="330"/>
    </row>
    <row r="2014" spans="1:104" ht="15" customHeight="1" x14ac:dyDescent="0.25">
      <c r="A2014" s="684">
        <f>MAX($A$6:A2013)+1</f>
        <v>2014</v>
      </c>
      <c r="B2014" s="1060">
        <f t="shared" si="1229"/>
        <v>80</v>
      </c>
      <c r="C2014" s="11" t="s">
        <v>406</v>
      </c>
      <c r="D2014" s="11" t="s">
        <v>423</v>
      </c>
      <c r="E2014" s="7" t="s">
        <v>417</v>
      </c>
      <c r="F2014" s="7"/>
      <c r="G2014" s="1254" t="s">
        <v>417</v>
      </c>
      <c r="H2014" s="6">
        <v>0</v>
      </c>
      <c r="I2014" s="6"/>
      <c r="J2014" s="1257" t="s">
        <v>417</v>
      </c>
      <c r="K2014" s="251">
        <f>SUMIF('alb A - Losses &amp; special pay'!$C:$C,$J2014,'alb A - Losses &amp; special pay'!$D:$D)</f>
        <v>0</v>
      </c>
      <c r="L2014" s="266"/>
      <c r="M2014" s="2"/>
      <c r="N2014" s="273">
        <f t="shared" si="1216"/>
        <v>0</v>
      </c>
      <c r="O2014" s="12"/>
      <c r="P2014" s="12"/>
      <c r="Q2014" s="12"/>
      <c r="R2014" s="12"/>
      <c r="S2014" s="6">
        <f t="shared" si="1211"/>
        <v>0</v>
      </c>
      <c r="T2014" s="273">
        <f t="shared" si="1226"/>
        <v>0</v>
      </c>
      <c r="U2014" s="251"/>
      <c r="V2014" s="251"/>
      <c r="W2014" s="251">
        <f t="shared" si="1227"/>
        <v>0</v>
      </c>
      <c r="X2014" s="251"/>
      <c r="Y2014" s="251"/>
      <c r="Z2014" s="251"/>
      <c r="AA2014" s="1185"/>
      <c r="AB2014" s="1185"/>
      <c r="AC2014" s="1185"/>
      <c r="AD2014" s="251"/>
      <c r="AE2014" s="251"/>
      <c r="AF2014" s="251"/>
      <c r="AG2014" s="251"/>
      <c r="AH2014" s="251"/>
      <c r="AI2014" s="251"/>
      <c r="AJ2014" s="251"/>
      <c r="AK2014" s="251"/>
      <c r="AL2014" s="251"/>
      <c r="AM2014" s="251"/>
      <c r="AN2014" s="251"/>
      <c r="AO2014" s="251"/>
      <c r="AP2014" s="251"/>
      <c r="AQ2014" s="251"/>
      <c r="AR2014" s="251"/>
      <c r="AS2014" s="251"/>
      <c r="AT2014" s="251"/>
      <c r="AU2014" s="251"/>
      <c r="AV2014" s="251"/>
      <c r="AX2014" s="6"/>
      <c r="AY2014" s="6">
        <f>ROUND(AX2014/1000/Update!$B$31*Update!$B$27,0)</f>
        <v>0</v>
      </c>
      <c r="BA2014" s="6"/>
      <c r="BB2014" s="6">
        <f>ROUND(BA2014/1000/Update!$B$31,0)</f>
        <v>0</v>
      </c>
      <c r="BC2014" s="6"/>
      <c r="BD2014" s="6">
        <f t="shared" si="1228"/>
        <v>0</v>
      </c>
      <c r="BE2014" s="322"/>
      <c r="BF2014" s="322"/>
      <c r="BG2014" s="322"/>
      <c r="BH2014" s="322"/>
      <c r="BI2014" s="322"/>
      <c r="BJ2014" s="322"/>
      <c r="BK2014" s="6">
        <f t="shared" si="1219"/>
        <v>0</v>
      </c>
      <c r="BL2014" s="322"/>
      <c r="BM2014" s="322"/>
      <c r="BN2014" s="322"/>
      <c r="BO2014" s="322"/>
      <c r="BP2014" s="322"/>
      <c r="BQ2014" s="322"/>
      <c r="BR2014" s="322"/>
      <c r="BS2014" s="322"/>
      <c r="BT2014" s="322"/>
      <c r="BU2014" s="322"/>
      <c r="BV2014" s="322"/>
      <c r="BW2014" s="322"/>
      <c r="BX2014" s="322"/>
      <c r="BY2014" s="322"/>
      <c r="BZ2014" s="322"/>
      <c r="CA2014" s="322"/>
      <c r="CB2014" s="322"/>
      <c r="CC2014" s="322"/>
      <c r="CD2014" s="322"/>
      <c r="CE2014" s="322"/>
      <c r="CF2014" s="322"/>
      <c r="CG2014" s="322"/>
      <c r="CH2014" s="322"/>
      <c r="CI2014" s="322"/>
      <c r="CM2014" s="1139">
        <f t="shared" si="1221"/>
        <v>0</v>
      </c>
      <c r="CN2014" s="1139">
        <v>0</v>
      </c>
      <c r="CP2014" s="923">
        <f t="shared" si="1220"/>
        <v>0</v>
      </c>
      <c r="CZ2014" s="330"/>
    </row>
    <row r="2015" spans="1:104" ht="15" customHeight="1" x14ac:dyDescent="0.25">
      <c r="A2015" s="684">
        <f>MAX($A$6:A2014)+1</f>
        <v>2015</v>
      </c>
      <c r="B2015" s="1060">
        <f t="shared" si="1229"/>
        <v>80</v>
      </c>
      <c r="C2015" s="11" t="s">
        <v>406</v>
      </c>
      <c r="D2015" s="11" t="s">
        <v>423</v>
      </c>
      <c r="E2015" s="7" t="s">
        <v>910</v>
      </c>
      <c r="F2015" s="7"/>
      <c r="G2015" s="1254" t="s">
        <v>910</v>
      </c>
      <c r="H2015" s="6">
        <v>0</v>
      </c>
      <c r="I2015" s="6"/>
      <c r="J2015" s="1273" t="s">
        <v>910</v>
      </c>
      <c r="K2015" s="251">
        <f>SUMIF('alb A - Losses &amp; special pay'!$C:$C,$J2015,'alb A - Losses &amp; special pay'!$D:$D)</f>
        <v>0</v>
      </c>
      <c r="L2015" s="266"/>
      <c r="M2015" s="2"/>
      <c r="N2015" s="273">
        <f t="shared" si="1216"/>
        <v>0</v>
      </c>
      <c r="O2015" s="12"/>
      <c r="P2015" s="12"/>
      <c r="Q2015" s="12"/>
      <c r="R2015" s="12"/>
      <c r="S2015" s="6">
        <f t="shared" si="1211"/>
        <v>0</v>
      </c>
      <c r="T2015" s="273">
        <f t="shared" si="1226"/>
        <v>0</v>
      </c>
      <c r="U2015" s="6"/>
      <c r="V2015" s="6"/>
      <c r="W2015" s="6">
        <f t="shared" si="1227"/>
        <v>0</v>
      </c>
      <c r="X2015" s="6"/>
      <c r="Y2015" s="6"/>
      <c r="Z2015" s="6"/>
      <c r="AA2015" s="1190"/>
      <c r="AB2015" s="1190"/>
      <c r="AC2015" s="1190"/>
      <c r="AD2015" s="6"/>
      <c r="AE2015" s="6"/>
      <c r="AF2015" s="6"/>
      <c r="AG2015" s="6"/>
      <c r="AH2015" s="6"/>
      <c r="AI2015" s="6"/>
      <c r="AJ2015" s="6"/>
      <c r="AK2015" s="6"/>
      <c r="AL2015" s="6"/>
      <c r="AM2015" s="6"/>
      <c r="AN2015" s="6"/>
      <c r="AO2015" s="6"/>
      <c r="AP2015" s="6"/>
      <c r="AQ2015" s="6"/>
      <c r="AR2015" s="6"/>
      <c r="AS2015" s="6"/>
      <c r="AT2015" s="6"/>
      <c r="AU2015" s="6"/>
      <c r="AV2015" s="6"/>
      <c r="AX2015" s="6"/>
      <c r="AY2015" s="6">
        <f>ROUND(AX2015/1000/Update!$B$31*Update!$B$27,0)</f>
        <v>0</v>
      </c>
      <c r="BA2015" s="6"/>
      <c r="BB2015" s="6">
        <f>ROUND(BA2015/1000/Update!$B$31,0)</f>
        <v>0</v>
      </c>
      <c r="BC2015" s="6"/>
      <c r="BD2015" s="6">
        <f t="shared" si="1228"/>
        <v>0</v>
      </c>
      <c r="BE2015" s="322"/>
      <c r="BF2015" s="322"/>
      <c r="BG2015" s="322"/>
      <c r="BH2015" s="322"/>
      <c r="BI2015" s="322"/>
      <c r="BJ2015" s="322"/>
      <c r="BK2015" s="6">
        <f t="shared" si="1219"/>
        <v>0</v>
      </c>
      <c r="BL2015" s="322"/>
      <c r="BM2015" s="322"/>
      <c r="BN2015" s="322"/>
      <c r="BO2015" s="322"/>
      <c r="BP2015" s="322"/>
      <c r="BQ2015" s="322"/>
      <c r="BR2015" s="322"/>
      <c r="BS2015" s="322"/>
      <c r="BT2015" s="322"/>
      <c r="BU2015" s="322"/>
      <c r="BV2015" s="322"/>
      <c r="BW2015" s="322"/>
      <c r="BX2015" s="322"/>
      <c r="BY2015" s="322"/>
      <c r="BZ2015" s="322"/>
      <c r="CA2015" s="322"/>
      <c r="CB2015" s="322"/>
      <c r="CC2015" s="322"/>
      <c r="CD2015" s="322"/>
      <c r="CE2015" s="322"/>
      <c r="CF2015" s="322"/>
      <c r="CG2015" s="322"/>
      <c r="CH2015" s="322"/>
      <c r="CI2015" s="322"/>
      <c r="CM2015" s="1139">
        <f t="shared" si="1221"/>
        <v>0</v>
      </c>
      <c r="CN2015" s="1139">
        <v>0</v>
      </c>
      <c r="CP2015" s="923">
        <f t="shared" si="1220"/>
        <v>0</v>
      </c>
      <c r="CZ2015" s="330"/>
    </row>
    <row r="2016" spans="1:104" ht="15" customHeight="1" x14ac:dyDescent="0.25">
      <c r="A2016" s="684">
        <f>MAX($A$6:A2015)+1</f>
        <v>2016</v>
      </c>
      <c r="B2016" s="1060">
        <f t="shared" si="1229"/>
        <v>80</v>
      </c>
      <c r="C2016" s="11" t="s">
        <v>406</v>
      </c>
      <c r="D2016" s="11" t="s">
        <v>424</v>
      </c>
      <c r="E2016" s="7" t="s">
        <v>407</v>
      </c>
      <c r="F2016" s="7"/>
      <c r="G2016" s="1254" t="s">
        <v>407</v>
      </c>
      <c r="H2016" s="6">
        <v>0</v>
      </c>
      <c r="I2016" s="6"/>
      <c r="J2016" s="1257" t="s">
        <v>407</v>
      </c>
      <c r="K2016" s="251">
        <f>SUMIF('alb A - Losses &amp; special pay'!$C:$C,$J2016,'alb A - Losses &amp; special pay'!$D:$D)</f>
        <v>0</v>
      </c>
      <c r="L2016" s="266"/>
      <c r="M2016" s="2"/>
      <c r="N2016" s="273">
        <f t="shared" si="1216"/>
        <v>0</v>
      </c>
      <c r="O2016" s="12"/>
      <c r="P2016" s="12"/>
      <c r="Q2016" s="12"/>
      <c r="R2016" s="12"/>
      <c r="S2016" s="6">
        <f t="shared" ref="S2016:S2032" si="1230">-IF(ISNUMBER(BD2016),BD2016,0)</f>
        <v>0</v>
      </c>
      <c r="T2016" s="273">
        <f t="shared" si="1226"/>
        <v>0</v>
      </c>
      <c r="U2016" s="6"/>
      <c r="V2016" s="6"/>
      <c r="W2016" s="6">
        <f t="shared" si="1227"/>
        <v>0</v>
      </c>
      <c r="X2016" s="6"/>
      <c r="Y2016" s="6"/>
      <c r="Z2016" s="6"/>
      <c r="AA2016" s="1190"/>
      <c r="AB2016" s="1190"/>
      <c r="AC2016" s="1190"/>
      <c r="AD2016" s="6"/>
      <c r="AE2016" s="6"/>
      <c r="AF2016" s="6"/>
      <c r="AG2016" s="6"/>
      <c r="AH2016" s="6"/>
      <c r="AI2016" s="6"/>
      <c r="AJ2016" s="6"/>
      <c r="AK2016" s="6"/>
      <c r="AL2016" s="6"/>
      <c r="AM2016" s="6"/>
      <c r="AN2016" s="6"/>
      <c r="AO2016" s="6"/>
      <c r="AP2016" s="6"/>
      <c r="AQ2016" s="6"/>
      <c r="AR2016" s="6"/>
      <c r="AS2016" s="6"/>
      <c r="AT2016" s="6"/>
      <c r="AU2016" s="6"/>
      <c r="AV2016" s="6"/>
      <c r="AX2016" s="6"/>
      <c r="AY2016" s="6">
        <f>ROUND(AX2016/1000/Update!$B$31*Update!$B$27,0)</f>
        <v>0</v>
      </c>
      <c r="BA2016" s="6"/>
      <c r="BB2016" s="6">
        <f>ROUND(BA2016/1000/Update!$B$31,0)</f>
        <v>0</v>
      </c>
      <c r="BC2016" s="6"/>
      <c r="BD2016" s="6">
        <f t="shared" si="1228"/>
        <v>0</v>
      </c>
      <c r="BE2016" s="322"/>
      <c r="BF2016" s="322"/>
      <c r="BG2016" s="322"/>
      <c r="BH2016" s="322"/>
      <c r="BI2016" s="322"/>
      <c r="BJ2016" s="322"/>
      <c r="BK2016" s="6">
        <f t="shared" si="1219"/>
        <v>0</v>
      </c>
      <c r="BL2016" s="322"/>
      <c r="BM2016" s="322"/>
      <c r="BN2016" s="322"/>
      <c r="BO2016" s="322"/>
      <c r="BP2016" s="322"/>
      <c r="BQ2016" s="322"/>
      <c r="BR2016" s="322"/>
      <c r="BS2016" s="322"/>
      <c r="BT2016" s="322"/>
      <c r="BU2016" s="322"/>
      <c r="BV2016" s="322"/>
      <c r="BW2016" s="322"/>
      <c r="BX2016" s="322"/>
      <c r="BY2016" s="322"/>
      <c r="BZ2016" s="322"/>
      <c r="CA2016" s="322"/>
      <c r="CB2016" s="322"/>
      <c r="CC2016" s="322"/>
      <c r="CD2016" s="322"/>
      <c r="CE2016" s="322"/>
      <c r="CF2016" s="322"/>
      <c r="CG2016" s="322"/>
      <c r="CH2016" s="322"/>
      <c r="CI2016" s="322"/>
      <c r="CM2016" s="1139">
        <f t="shared" si="1221"/>
        <v>0</v>
      </c>
      <c r="CN2016" s="1139">
        <v>0</v>
      </c>
      <c r="CP2016" s="923">
        <f t="shared" si="1220"/>
        <v>0</v>
      </c>
      <c r="CZ2016" s="330"/>
    </row>
    <row r="2017" spans="1:104" ht="15" customHeight="1" x14ac:dyDescent="0.25">
      <c r="A2017" s="684">
        <f>MAX($A$6:A2016)+1</f>
        <v>2017</v>
      </c>
      <c r="B2017" s="1060">
        <f t="shared" si="1229"/>
        <v>80</v>
      </c>
      <c r="C2017" s="11" t="s">
        <v>406</v>
      </c>
      <c r="D2017" s="11" t="s">
        <v>424</v>
      </c>
      <c r="E2017" s="7" t="s">
        <v>408</v>
      </c>
      <c r="F2017" s="7"/>
      <c r="G2017" s="1254" t="s">
        <v>408</v>
      </c>
      <c r="H2017" s="6">
        <v>0</v>
      </c>
      <c r="I2017" s="6"/>
      <c r="J2017" s="1257" t="s">
        <v>408</v>
      </c>
      <c r="K2017" s="251">
        <f>SUMIF('alb A - Losses &amp; special pay'!$C:$C,$J2017,'alb A - Losses &amp; special pay'!$D:$D)</f>
        <v>0</v>
      </c>
      <c r="L2017" s="266"/>
      <c r="M2017" s="2"/>
      <c r="N2017" s="273">
        <f t="shared" si="1216"/>
        <v>0</v>
      </c>
      <c r="O2017" s="12"/>
      <c r="P2017" s="12"/>
      <c r="Q2017" s="12"/>
      <c r="R2017" s="12"/>
      <c r="S2017" s="6">
        <f t="shared" si="1230"/>
        <v>0</v>
      </c>
      <c r="T2017" s="273">
        <f t="shared" si="1226"/>
        <v>0</v>
      </c>
      <c r="U2017" s="6"/>
      <c r="V2017" s="6"/>
      <c r="W2017" s="6">
        <f t="shared" si="1227"/>
        <v>0</v>
      </c>
      <c r="X2017" s="6"/>
      <c r="Y2017" s="6"/>
      <c r="Z2017" s="6"/>
      <c r="AA2017" s="1190"/>
      <c r="AB2017" s="1190"/>
      <c r="AC2017" s="1190"/>
      <c r="AD2017" s="6"/>
      <c r="AE2017" s="6"/>
      <c r="AF2017" s="6"/>
      <c r="AG2017" s="6"/>
      <c r="AH2017" s="6"/>
      <c r="AI2017" s="6"/>
      <c r="AJ2017" s="6"/>
      <c r="AK2017" s="6"/>
      <c r="AL2017" s="6"/>
      <c r="AM2017" s="6"/>
      <c r="AN2017" s="6"/>
      <c r="AO2017" s="6"/>
      <c r="AP2017" s="6"/>
      <c r="AQ2017" s="6"/>
      <c r="AR2017" s="6"/>
      <c r="AS2017" s="6"/>
      <c r="AT2017" s="6"/>
      <c r="AU2017" s="6"/>
      <c r="AV2017" s="6"/>
      <c r="AX2017" s="6"/>
      <c r="AY2017" s="6">
        <f>ROUND(AX2017/1000/Update!$B$31*Update!$B$27,0)</f>
        <v>0</v>
      </c>
      <c r="BA2017" s="6"/>
      <c r="BB2017" s="6">
        <f>ROUND(BA2017/1000/Update!$B$31,0)</f>
        <v>0</v>
      </c>
      <c r="BC2017" s="6"/>
      <c r="BD2017" s="6">
        <f t="shared" si="1228"/>
        <v>0</v>
      </c>
      <c r="BE2017" s="322"/>
      <c r="BF2017" s="322"/>
      <c r="BG2017" s="322"/>
      <c r="BH2017" s="322"/>
      <c r="BI2017" s="322"/>
      <c r="BJ2017" s="322"/>
      <c r="BK2017" s="6">
        <f t="shared" si="1219"/>
        <v>0</v>
      </c>
      <c r="BL2017" s="322"/>
      <c r="BM2017" s="322"/>
      <c r="BN2017" s="322"/>
      <c r="BO2017" s="322"/>
      <c r="BP2017" s="322"/>
      <c r="BQ2017" s="322"/>
      <c r="BR2017" s="322"/>
      <c r="BS2017" s="322"/>
      <c r="BT2017" s="322"/>
      <c r="BU2017" s="322"/>
      <c r="BV2017" s="322"/>
      <c r="BW2017" s="322"/>
      <c r="BX2017" s="322"/>
      <c r="BY2017" s="322"/>
      <c r="BZ2017" s="322"/>
      <c r="CA2017" s="322"/>
      <c r="CB2017" s="322"/>
      <c r="CC2017" s="322"/>
      <c r="CD2017" s="322"/>
      <c r="CE2017" s="322"/>
      <c r="CF2017" s="322"/>
      <c r="CG2017" s="322"/>
      <c r="CH2017" s="322"/>
      <c r="CI2017" s="322"/>
      <c r="CM2017" s="1139">
        <f t="shared" si="1221"/>
        <v>0</v>
      </c>
      <c r="CN2017" s="1139">
        <v>0</v>
      </c>
      <c r="CP2017" s="923">
        <f t="shared" si="1220"/>
        <v>0</v>
      </c>
      <c r="CZ2017" s="330"/>
    </row>
    <row r="2018" spans="1:104" ht="15" customHeight="1" x14ac:dyDescent="0.25">
      <c r="A2018" s="684">
        <f>MAX($A$6:A2017)+1</f>
        <v>2018</v>
      </c>
      <c r="B2018" s="1060">
        <f t="shared" si="1229"/>
        <v>80</v>
      </c>
      <c r="C2018" s="11" t="s">
        <v>406</v>
      </c>
      <c r="D2018" s="11" t="s">
        <v>424</v>
      </c>
      <c r="E2018" s="7" t="s">
        <v>409</v>
      </c>
      <c r="F2018" s="7"/>
      <c r="G2018" s="1254" t="s">
        <v>409</v>
      </c>
      <c r="H2018" s="6">
        <v>0</v>
      </c>
      <c r="I2018" s="6"/>
      <c r="J2018" s="1257" t="s">
        <v>409</v>
      </c>
      <c r="K2018" s="251">
        <f>SUMIF('alb A - Losses &amp; special pay'!$C:$C,$J2018,'alb A - Losses &amp; special pay'!$D:$D)</f>
        <v>0</v>
      </c>
      <c r="L2018" s="266"/>
      <c r="M2018" s="2"/>
      <c r="N2018" s="273">
        <f t="shared" si="1216"/>
        <v>0</v>
      </c>
      <c r="O2018" s="12"/>
      <c r="P2018" s="12"/>
      <c r="Q2018" s="12"/>
      <c r="R2018" s="12"/>
      <c r="S2018" s="6">
        <f t="shared" si="1230"/>
        <v>0</v>
      </c>
      <c r="T2018" s="273">
        <f t="shared" si="1226"/>
        <v>0</v>
      </c>
      <c r="U2018" s="6"/>
      <c r="V2018" s="6"/>
      <c r="W2018" s="6">
        <f t="shared" si="1227"/>
        <v>0</v>
      </c>
      <c r="X2018" s="6"/>
      <c r="Y2018" s="6"/>
      <c r="Z2018" s="6"/>
      <c r="AA2018" s="1190"/>
      <c r="AB2018" s="1190"/>
      <c r="AC2018" s="1190"/>
      <c r="AD2018" s="6"/>
      <c r="AE2018" s="6"/>
      <c r="AF2018" s="6"/>
      <c r="AG2018" s="6"/>
      <c r="AH2018" s="6"/>
      <c r="AI2018" s="6"/>
      <c r="AJ2018" s="6"/>
      <c r="AK2018" s="6"/>
      <c r="AL2018" s="6"/>
      <c r="AM2018" s="6"/>
      <c r="AN2018" s="6"/>
      <c r="AO2018" s="6"/>
      <c r="AP2018" s="6"/>
      <c r="AQ2018" s="6"/>
      <c r="AR2018" s="6"/>
      <c r="AS2018" s="6"/>
      <c r="AT2018" s="6"/>
      <c r="AU2018" s="6"/>
      <c r="AV2018" s="6"/>
      <c r="AX2018" s="6"/>
      <c r="AY2018" s="6">
        <f>ROUND(AX2018/1000/Update!$B$31*Update!$B$27,0)</f>
        <v>0</v>
      </c>
      <c r="BA2018" s="6"/>
      <c r="BB2018" s="6">
        <f>ROUND(BA2018/1000/Update!$B$31,0)</f>
        <v>0</v>
      </c>
      <c r="BC2018" s="6"/>
      <c r="BD2018" s="6">
        <f t="shared" si="1228"/>
        <v>0</v>
      </c>
      <c r="BE2018" s="322"/>
      <c r="BF2018" s="322"/>
      <c r="BG2018" s="322"/>
      <c r="BH2018" s="322"/>
      <c r="BI2018" s="322"/>
      <c r="BJ2018" s="322"/>
      <c r="BK2018" s="6">
        <f t="shared" si="1219"/>
        <v>0</v>
      </c>
      <c r="BL2018" s="322"/>
      <c r="BM2018" s="322"/>
      <c r="BN2018" s="322"/>
      <c r="BO2018" s="322"/>
      <c r="BP2018" s="322"/>
      <c r="BQ2018" s="322"/>
      <c r="BR2018" s="322"/>
      <c r="BS2018" s="322"/>
      <c r="BT2018" s="322"/>
      <c r="BU2018" s="322"/>
      <c r="BV2018" s="322"/>
      <c r="BW2018" s="322"/>
      <c r="BX2018" s="322"/>
      <c r="BY2018" s="322"/>
      <c r="BZ2018" s="322"/>
      <c r="CA2018" s="322"/>
      <c r="CB2018" s="322"/>
      <c r="CC2018" s="322"/>
      <c r="CD2018" s="322"/>
      <c r="CE2018" s="322"/>
      <c r="CF2018" s="322"/>
      <c r="CG2018" s="322"/>
      <c r="CH2018" s="322"/>
      <c r="CI2018" s="322"/>
      <c r="CM2018" s="1139">
        <f t="shared" si="1221"/>
        <v>0</v>
      </c>
      <c r="CN2018" s="1139">
        <v>0</v>
      </c>
      <c r="CP2018" s="923">
        <f t="shared" si="1220"/>
        <v>0</v>
      </c>
      <c r="CZ2018" s="330"/>
    </row>
    <row r="2019" spans="1:104" ht="15" customHeight="1" x14ac:dyDescent="0.25">
      <c r="A2019" s="684">
        <f>MAX($A$6:A2018)+1</f>
        <v>2019</v>
      </c>
      <c r="B2019" s="1060">
        <f t="shared" si="1225"/>
        <v>80</v>
      </c>
      <c r="C2019" s="11" t="s">
        <v>406</v>
      </c>
      <c r="D2019" s="11" t="s">
        <v>1728</v>
      </c>
      <c r="E2019" s="7" t="s">
        <v>1728</v>
      </c>
      <c r="F2019" s="7"/>
      <c r="G2019" s="1254" t="s">
        <v>1728</v>
      </c>
      <c r="H2019" s="6">
        <v>0</v>
      </c>
      <c r="I2019" s="6"/>
      <c r="J2019" s="1257" t="s">
        <v>1728</v>
      </c>
      <c r="K2019" s="251">
        <f>SUMIF('alb A - Losses &amp; special pay'!$B:$B,$J2019,'alb A - Losses &amp; special pay'!$D:$D)</f>
        <v>0</v>
      </c>
      <c r="L2019" s="266">
        <v>0</v>
      </c>
      <c r="M2019" s="2"/>
      <c r="N2019" s="273">
        <f t="shared" si="1216"/>
        <v>0</v>
      </c>
      <c r="O2019" s="12"/>
      <c r="P2019" s="12"/>
      <c r="Q2019" s="12"/>
      <c r="R2019" s="12"/>
      <c r="S2019" s="6">
        <f t="shared" si="1230"/>
        <v>0</v>
      </c>
      <c r="T2019" s="273">
        <f t="shared" si="1226"/>
        <v>0</v>
      </c>
      <c r="U2019" s="6"/>
      <c r="V2019" s="6"/>
      <c r="W2019" s="6">
        <f t="shared" si="1227"/>
        <v>0</v>
      </c>
      <c r="X2019" s="6"/>
      <c r="Y2019" s="6"/>
      <c r="Z2019" s="6"/>
      <c r="AA2019" s="1190"/>
      <c r="AB2019" s="1190"/>
      <c r="AC2019" s="1190"/>
      <c r="AD2019" s="6"/>
      <c r="AE2019" s="6"/>
      <c r="AF2019" s="6"/>
      <c r="AG2019" s="6"/>
      <c r="AH2019" s="6"/>
      <c r="AI2019" s="6"/>
      <c r="AJ2019" s="6"/>
      <c r="AK2019" s="6"/>
      <c r="AL2019" s="6"/>
      <c r="AM2019" s="6"/>
      <c r="AN2019" s="6"/>
      <c r="AO2019" s="6"/>
      <c r="AP2019" s="6"/>
      <c r="AQ2019" s="6"/>
      <c r="AR2019" s="6"/>
      <c r="AS2019" s="6"/>
      <c r="AT2019" s="6"/>
      <c r="AU2019" s="6"/>
      <c r="AV2019" s="6"/>
      <c r="AX2019" s="6">
        <f>SUM(AX2007:AX2018)</f>
        <v>0</v>
      </c>
      <c r="AY2019" s="6">
        <f>ROUND(AX2019/1000/Update!$B$31*Update!$B$27,0)</f>
        <v>0</v>
      </c>
      <c r="BA2019" s="6">
        <f>SUM(BA2007:BA2018)</f>
        <v>0</v>
      </c>
      <c r="BB2019" s="6">
        <f>ROUND(BA2019/1000/Update!$B$31,0)</f>
        <v>0</v>
      </c>
      <c r="BC2019" s="6"/>
      <c r="BD2019" s="6">
        <f t="shared" si="1228"/>
        <v>0</v>
      </c>
      <c r="BE2019" s="322">
        <f t="shared" ref="BE2019:BJ2019" si="1231">SUM(BE2007:BE2018)</f>
        <v>0</v>
      </c>
      <c r="BF2019" s="322">
        <f t="shared" si="1231"/>
        <v>0</v>
      </c>
      <c r="BG2019" s="322">
        <f t="shared" si="1231"/>
        <v>0</v>
      </c>
      <c r="BH2019" s="322">
        <f t="shared" si="1231"/>
        <v>0</v>
      </c>
      <c r="BI2019" s="322">
        <f t="shared" si="1231"/>
        <v>0</v>
      </c>
      <c r="BJ2019" s="322">
        <f t="shared" si="1231"/>
        <v>0</v>
      </c>
      <c r="BK2019" s="6">
        <f t="shared" si="1219"/>
        <v>0</v>
      </c>
      <c r="BL2019" s="322"/>
      <c r="BM2019" s="322"/>
      <c r="BN2019" s="322"/>
      <c r="BO2019" s="322"/>
      <c r="BP2019" s="322"/>
      <c r="BQ2019" s="322"/>
      <c r="BR2019" s="322"/>
      <c r="BS2019" s="322"/>
      <c r="BT2019" s="322"/>
      <c r="BU2019" s="322"/>
      <c r="BV2019" s="322"/>
      <c r="BW2019" s="322"/>
      <c r="BX2019" s="322"/>
      <c r="BY2019" s="322"/>
      <c r="BZ2019" s="322"/>
      <c r="CA2019" s="322"/>
      <c r="CB2019" s="322"/>
      <c r="CC2019" s="322"/>
      <c r="CD2019" s="322"/>
      <c r="CE2019" s="322"/>
      <c r="CF2019" s="322"/>
      <c r="CG2019" s="322"/>
      <c r="CH2019" s="322"/>
      <c r="CI2019" s="322"/>
      <c r="CM2019" s="1139">
        <f t="shared" si="1221"/>
        <v>0</v>
      </c>
      <c r="CN2019" s="1139">
        <v>0</v>
      </c>
      <c r="CP2019" s="923">
        <f t="shared" si="1220"/>
        <v>0</v>
      </c>
      <c r="CZ2019" s="330"/>
    </row>
    <row r="2020" spans="1:104" ht="15" customHeight="1" x14ac:dyDescent="0.25">
      <c r="A2020" s="684">
        <f>MAX($A$6:A2019)+1</f>
        <v>2020</v>
      </c>
      <c r="B2020" s="1060">
        <f t="shared" si="1225"/>
        <v>80</v>
      </c>
      <c r="C2020" s="11" t="s">
        <v>406</v>
      </c>
      <c r="D2020" s="11" t="s">
        <v>426</v>
      </c>
      <c r="E2020" s="7" t="s">
        <v>410</v>
      </c>
      <c r="F2020" s="7"/>
      <c r="G2020" s="1254" t="s">
        <v>410</v>
      </c>
      <c r="H2020" s="6">
        <v>0</v>
      </c>
      <c r="I2020" s="6"/>
      <c r="J2020" s="1257" t="s">
        <v>410</v>
      </c>
      <c r="K2020" s="251">
        <f>SUMIF('alb A - Losses &amp; special pay'!$B:$B,$J2020,'alb A - Losses &amp; special pay'!$E:$E)</f>
        <v>0</v>
      </c>
      <c r="L2020" s="266"/>
      <c r="M2020" s="2"/>
      <c r="N2020" s="273">
        <f t="shared" si="1216"/>
        <v>0</v>
      </c>
      <c r="O2020" s="12"/>
      <c r="P2020" s="12"/>
      <c r="Q2020" s="12"/>
      <c r="R2020" s="12"/>
      <c r="S2020" s="6">
        <f t="shared" si="1230"/>
        <v>0</v>
      </c>
      <c r="T2020" s="273">
        <f t="shared" si="1226"/>
        <v>0</v>
      </c>
      <c r="U2020" s="6"/>
      <c r="V2020" s="6"/>
      <c r="W2020" s="6">
        <f t="shared" si="1227"/>
        <v>0</v>
      </c>
      <c r="X2020" s="6"/>
      <c r="Y2020" s="6"/>
      <c r="Z2020" s="6"/>
      <c r="AA2020" s="1190"/>
      <c r="AB2020" s="1190"/>
      <c r="AC2020" s="1190"/>
      <c r="AD2020" s="6"/>
      <c r="AE2020" s="6"/>
      <c r="AF2020" s="6"/>
      <c r="AG2020" s="6"/>
      <c r="AH2020" s="6"/>
      <c r="AI2020" s="6"/>
      <c r="AJ2020" s="6"/>
      <c r="AK2020" s="6"/>
      <c r="AL2020" s="6"/>
      <c r="AM2020" s="6"/>
      <c r="AN2020" s="6"/>
      <c r="AO2020" s="6"/>
      <c r="AP2020" s="6"/>
      <c r="AQ2020" s="6"/>
      <c r="AR2020" s="6"/>
      <c r="AS2020" s="6"/>
      <c r="AT2020" s="6"/>
      <c r="AU2020" s="6"/>
      <c r="AV2020" s="6"/>
      <c r="AX2020" s="6"/>
      <c r="AY2020" s="6">
        <f>ROUND(AX2020/1000/Update!$B$31*Update!$B$27,0)</f>
        <v>0</v>
      </c>
      <c r="BA2020" s="6"/>
      <c r="BB2020" s="6">
        <f>ROUND(BA2020/1000/Update!$B$31,0)</f>
        <v>0</v>
      </c>
      <c r="BC2020" s="6"/>
      <c r="BD2020" s="6">
        <f t="shared" si="1228"/>
        <v>0</v>
      </c>
      <c r="BE2020" s="322"/>
      <c r="BF2020" s="322"/>
      <c r="BG2020" s="322"/>
      <c r="BH2020" s="322"/>
      <c r="BI2020" s="322"/>
      <c r="BJ2020" s="322"/>
      <c r="BK2020" s="6">
        <f t="shared" si="1219"/>
        <v>0</v>
      </c>
      <c r="BL2020" s="322"/>
      <c r="BM2020" s="322"/>
      <c r="BN2020" s="322"/>
      <c r="BO2020" s="322"/>
      <c r="BP2020" s="322"/>
      <c r="BQ2020" s="322"/>
      <c r="BR2020" s="322"/>
      <c r="BS2020" s="322"/>
      <c r="BT2020" s="322"/>
      <c r="BU2020" s="322"/>
      <c r="BV2020" s="322"/>
      <c r="BW2020" s="322"/>
      <c r="BX2020" s="322"/>
      <c r="BY2020" s="322"/>
      <c r="BZ2020" s="322"/>
      <c r="CA2020" s="322"/>
      <c r="CB2020" s="322"/>
      <c r="CC2020" s="322"/>
      <c r="CD2020" s="322"/>
      <c r="CE2020" s="322"/>
      <c r="CF2020" s="322"/>
      <c r="CG2020" s="322"/>
      <c r="CH2020" s="322"/>
      <c r="CI2020" s="322"/>
      <c r="CM2020" s="1139">
        <f t="shared" si="1221"/>
        <v>0</v>
      </c>
      <c r="CN2020" s="1139">
        <v>0</v>
      </c>
      <c r="CP2020" s="923">
        <f t="shared" si="1220"/>
        <v>0</v>
      </c>
      <c r="CZ2020" s="330"/>
    </row>
    <row r="2021" spans="1:104" ht="15" customHeight="1" x14ac:dyDescent="0.25">
      <c r="A2021" s="684">
        <f>MAX($A$6:A2020)+1</f>
        <v>2021</v>
      </c>
      <c r="B2021" s="1060">
        <f t="shared" si="1225"/>
        <v>80</v>
      </c>
      <c r="C2021" s="11" t="s">
        <v>406</v>
      </c>
      <c r="D2021" s="11" t="s">
        <v>427</v>
      </c>
      <c r="E2021" s="7" t="s">
        <v>411</v>
      </c>
      <c r="F2021" s="7"/>
      <c r="G2021" s="1254" t="s">
        <v>411</v>
      </c>
      <c r="H2021" s="6">
        <v>0</v>
      </c>
      <c r="I2021" s="6"/>
      <c r="J2021" s="1257" t="s">
        <v>411</v>
      </c>
      <c r="K2021" s="251">
        <f>SUMIF('alb A - Losses &amp; special pay'!$B:$B,$J2021,'alb A - Losses &amp; special pay'!$E:$E)</f>
        <v>0</v>
      </c>
      <c r="L2021" s="266"/>
      <c r="M2021" s="2"/>
      <c r="N2021" s="273">
        <f t="shared" si="1216"/>
        <v>0</v>
      </c>
      <c r="O2021" s="12"/>
      <c r="P2021" s="12"/>
      <c r="Q2021" s="12"/>
      <c r="R2021" s="12"/>
      <c r="S2021" s="6">
        <f t="shared" si="1230"/>
        <v>0</v>
      </c>
      <c r="T2021" s="273">
        <f t="shared" si="1226"/>
        <v>0</v>
      </c>
      <c r="U2021" s="6"/>
      <c r="V2021" s="6"/>
      <c r="W2021" s="6">
        <f t="shared" si="1227"/>
        <v>0</v>
      </c>
      <c r="X2021" s="6"/>
      <c r="Y2021" s="6"/>
      <c r="Z2021" s="6"/>
      <c r="AA2021" s="1190"/>
      <c r="AB2021" s="1190"/>
      <c r="AC2021" s="1190"/>
      <c r="AD2021" s="6"/>
      <c r="AE2021" s="6"/>
      <c r="AF2021" s="6"/>
      <c r="AG2021" s="6"/>
      <c r="AH2021" s="6"/>
      <c r="AI2021" s="6"/>
      <c r="AJ2021" s="6"/>
      <c r="AK2021" s="6"/>
      <c r="AL2021" s="6"/>
      <c r="AM2021" s="6"/>
      <c r="AN2021" s="6"/>
      <c r="AO2021" s="6"/>
      <c r="AP2021" s="6"/>
      <c r="AQ2021" s="6"/>
      <c r="AR2021" s="6"/>
      <c r="AS2021" s="6"/>
      <c r="AT2021" s="6"/>
      <c r="AU2021" s="6"/>
      <c r="AV2021" s="6"/>
      <c r="AX2021" s="6"/>
      <c r="AY2021" s="6">
        <f>ROUND(AX2021/1000/Update!$B$31*Update!$B$27,0)</f>
        <v>0</v>
      </c>
      <c r="BA2021" s="6"/>
      <c r="BB2021" s="6">
        <f>ROUND(BA2021/1000/Update!$B$31,0)</f>
        <v>0</v>
      </c>
      <c r="BC2021" s="6"/>
      <c r="BD2021" s="6">
        <f t="shared" si="1228"/>
        <v>0</v>
      </c>
      <c r="BE2021" s="322"/>
      <c r="BF2021" s="322"/>
      <c r="BG2021" s="322"/>
      <c r="BH2021" s="322"/>
      <c r="BI2021" s="322"/>
      <c r="BJ2021" s="322"/>
      <c r="BK2021" s="6">
        <f t="shared" si="1219"/>
        <v>0</v>
      </c>
      <c r="BL2021" s="322"/>
      <c r="BM2021" s="322"/>
      <c r="BN2021" s="322"/>
      <c r="BO2021" s="322"/>
      <c r="BP2021" s="322"/>
      <c r="BQ2021" s="322"/>
      <c r="BR2021" s="322"/>
      <c r="BS2021" s="322"/>
      <c r="BT2021" s="322"/>
      <c r="BU2021" s="322"/>
      <c r="BV2021" s="322"/>
      <c r="BW2021" s="322"/>
      <c r="BX2021" s="322"/>
      <c r="BY2021" s="322"/>
      <c r="BZ2021" s="322"/>
      <c r="CA2021" s="322"/>
      <c r="CB2021" s="322"/>
      <c r="CC2021" s="322"/>
      <c r="CD2021" s="322"/>
      <c r="CE2021" s="322"/>
      <c r="CF2021" s="322"/>
      <c r="CG2021" s="322"/>
      <c r="CH2021" s="322"/>
      <c r="CI2021" s="322"/>
      <c r="CM2021" s="1139">
        <f t="shared" si="1221"/>
        <v>0</v>
      </c>
      <c r="CN2021" s="1139">
        <v>0</v>
      </c>
      <c r="CP2021" s="923">
        <f t="shared" si="1220"/>
        <v>0</v>
      </c>
      <c r="CZ2021" s="330"/>
    </row>
    <row r="2022" spans="1:104" ht="15" customHeight="1" x14ac:dyDescent="0.25">
      <c r="A2022" s="684">
        <f>MAX($A$6:A2021)+1</f>
        <v>2022</v>
      </c>
      <c r="B2022" s="1060">
        <f t="shared" si="1225"/>
        <v>80</v>
      </c>
      <c r="C2022" s="11" t="s">
        <v>406</v>
      </c>
      <c r="D2022" s="11" t="s">
        <v>428</v>
      </c>
      <c r="E2022" s="7" t="s">
        <v>412</v>
      </c>
      <c r="F2022" s="7"/>
      <c r="G2022" s="1254" t="s">
        <v>412</v>
      </c>
      <c r="H2022" s="6">
        <v>0</v>
      </c>
      <c r="I2022" s="6"/>
      <c r="J2022" s="1257" t="s">
        <v>412</v>
      </c>
      <c r="K2022" s="251">
        <f>SUMIF('alb A - Losses &amp; special pay'!$B:$B,$J2022,'alb A - Losses &amp; special pay'!$E:$E)</f>
        <v>0</v>
      </c>
      <c r="L2022" s="266"/>
      <c r="M2022" s="2"/>
      <c r="N2022" s="273">
        <f t="shared" si="1216"/>
        <v>0</v>
      </c>
      <c r="O2022" s="12"/>
      <c r="P2022" s="12"/>
      <c r="Q2022" s="12"/>
      <c r="R2022" s="12"/>
      <c r="S2022" s="6">
        <f t="shared" si="1230"/>
        <v>0</v>
      </c>
      <c r="T2022" s="273">
        <f t="shared" si="1226"/>
        <v>0</v>
      </c>
      <c r="U2022" s="6"/>
      <c r="V2022" s="6"/>
      <c r="W2022" s="6">
        <f t="shared" si="1227"/>
        <v>0</v>
      </c>
      <c r="X2022" s="6"/>
      <c r="Y2022" s="6"/>
      <c r="Z2022" s="6"/>
      <c r="AA2022" s="1190"/>
      <c r="AB2022" s="1190"/>
      <c r="AC2022" s="1190"/>
      <c r="AD2022" s="6"/>
      <c r="AE2022" s="6"/>
      <c r="AF2022" s="6"/>
      <c r="AG2022" s="6"/>
      <c r="AH2022" s="6"/>
      <c r="AI2022" s="6"/>
      <c r="AJ2022" s="6"/>
      <c r="AK2022" s="6"/>
      <c r="AL2022" s="6"/>
      <c r="AM2022" s="6"/>
      <c r="AN2022" s="6"/>
      <c r="AO2022" s="6"/>
      <c r="AP2022" s="6"/>
      <c r="AQ2022" s="6"/>
      <c r="AR2022" s="6"/>
      <c r="AS2022" s="6"/>
      <c r="AT2022" s="6"/>
      <c r="AU2022" s="6"/>
      <c r="AV2022" s="6"/>
      <c r="AX2022" s="6"/>
      <c r="AY2022" s="6">
        <f>ROUND(AX2022/1000/Update!$B$31*Update!$B$27,0)</f>
        <v>0</v>
      </c>
      <c r="BA2022" s="6"/>
      <c r="BB2022" s="6">
        <f>ROUND(BA2022/1000/Update!$B$31,0)</f>
        <v>0</v>
      </c>
      <c r="BC2022" s="6"/>
      <c r="BD2022" s="6">
        <f t="shared" si="1228"/>
        <v>0</v>
      </c>
      <c r="BE2022" s="322"/>
      <c r="BF2022" s="322"/>
      <c r="BG2022" s="322"/>
      <c r="BH2022" s="322"/>
      <c r="BI2022" s="322"/>
      <c r="BJ2022" s="322"/>
      <c r="BK2022" s="6">
        <f t="shared" si="1219"/>
        <v>0</v>
      </c>
      <c r="BL2022" s="322"/>
      <c r="BM2022" s="322"/>
      <c r="BN2022" s="322"/>
      <c r="BO2022" s="322"/>
      <c r="BP2022" s="322"/>
      <c r="BQ2022" s="322"/>
      <c r="BR2022" s="322"/>
      <c r="BS2022" s="322"/>
      <c r="BT2022" s="322"/>
      <c r="BU2022" s="322"/>
      <c r="BV2022" s="322"/>
      <c r="BW2022" s="322"/>
      <c r="BX2022" s="322"/>
      <c r="BY2022" s="322"/>
      <c r="BZ2022" s="322"/>
      <c r="CA2022" s="322"/>
      <c r="CB2022" s="322"/>
      <c r="CC2022" s="322"/>
      <c r="CD2022" s="322"/>
      <c r="CE2022" s="322"/>
      <c r="CF2022" s="322"/>
      <c r="CG2022" s="322"/>
      <c r="CH2022" s="322"/>
      <c r="CI2022" s="322"/>
      <c r="CM2022" s="1139">
        <f t="shared" si="1221"/>
        <v>0</v>
      </c>
      <c r="CN2022" s="1139">
        <v>0</v>
      </c>
      <c r="CP2022" s="923">
        <f t="shared" si="1220"/>
        <v>0</v>
      </c>
      <c r="CZ2022" s="330"/>
    </row>
    <row r="2023" spans="1:104" ht="15" customHeight="1" x14ac:dyDescent="0.25">
      <c r="A2023" s="684">
        <f>MAX($A$6:A2022)+1</f>
        <v>2023</v>
      </c>
      <c r="B2023" s="1060">
        <f t="shared" si="1225"/>
        <v>80</v>
      </c>
      <c r="C2023" s="11" t="s">
        <v>406</v>
      </c>
      <c r="D2023" s="11" t="s">
        <v>429</v>
      </c>
      <c r="E2023" s="7" t="s">
        <v>413</v>
      </c>
      <c r="F2023" s="7"/>
      <c r="G2023" s="1254" t="s">
        <v>413</v>
      </c>
      <c r="H2023" s="6">
        <v>0</v>
      </c>
      <c r="I2023" s="6"/>
      <c r="J2023" s="1257" t="s">
        <v>413</v>
      </c>
      <c r="K2023" s="251">
        <f>SUMIF('alb A - Losses &amp; special pay'!$B:$B,$J2023,'alb A - Losses &amp; special pay'!$E:$E)</f>
        <v>0</v>
      </c>
      <c r="L2023" s="266"/>
      <c r="M2023" s="2"/>
      <c r="N2023" s="273">
        <f t="shared" si="1216"/>
        <v>0</v>
      </c>
      <c r="O2023" s="12"/>
      <c r="P2023" s="12"/>
      <c r="Q2023" s="12"/>
      <c r="R2023" s="12"/>
      <c r="S2023" s="6">
        <f t="shared" si="1230"/>
        <v>0</v>
      </c>
      <c r="T2023" s="273">
        <f t="shared" si="1226"/>
        <v>0</v>
      </c>
      <c r="U2023" s="6"/>
      <c r="V2023" s="6"/>
      <c r="W2023" s="6">
        <f t="shared" si="1227"/>
        <v>0</v>
      </c>
      <c r="X2023" s="6"/>
      <c r="Y2023" s="6"/>
      <c r="Z2023" s="6"/>
      <c r="AA2023" s="1190"/>
      <c r="AB2023" s="1190"/>
      <c r="AC2023" s="1190"/>
      <c r="AD2023" s="6"/>
      <c r="AE2023" s="6"/>
      <c r="AF2023" s="6"/>
      <c r="AG2023" s="6"/>
      <c r="AH2023" s="6"/>
      <c r="AI2023" s="6"/>
      <c r="AJ2023" s="6"/>
      <c r="AK2023" s="6"/>
      <c r="AL2023" s="6"/>
      <c r="AM2023" s="6"/>
      <c r="AN2023" s="6"/>
      <c r="AO2023" s="6"/>
      <c r="AP2023" s="6"/>
      <c r="AQ2023" s="6"/>
      <c r="AR2023" s="6"/>
      <c r="AS2023" s="6"/>
      <c r="AT2023" s="6"/>
      <c r="AU2023" s="6"/>
      <c r="AV2023" s="6"/>
      <c r="AX2023" s="6"/>
      <c r="AY2023" s="6">
        <f>ROUND(AX2023/1000/Update!$B$31*Update!$B$27,0)</f>
        <v>0</v>
      </c>
      <c r="BA2023" s="6"/>
      <c r="BB2023" s="6">
        <f>ROUND(BA2023/1000/Update!$B$31,0)</f>
        <v>0</v>
      </c>
      <c r="BC2023" s="6"/>
      <c r="BD2023" s="6">
        <f t="shared" si="1228"/>
        <v>0</v>
      </c>
      <c r="BE2023" s="322"/>
      <c r="BF2023" s="322"/>
      <c r="BG2023" s="322"/>
      <c r="BH2023" s="322"/>
      <c r="BI2023" s="322"/>
      <c r="BJ2023" s="322"/>
      <c r="BK2023" s="6">
        <f t="shared" si="1219"/>
        <v>0</v>
      </c>
      <c r="BL2023" s="322"/>
      <c r="BM2023" s="322"/>
      <c r="BN2023" s="322"/>
      <c r="BO2023" s="322"/>
      <c r="BP2023" s="322"/>
      <c r="BQ2023" s="322"/>
      <c r="BR2023" s="322"/>
      <c r="BS2023" s="322"/>
      <c r="BT2023" s="322"/>
      <c r="BU2023" s="322"/>
      <c r="BV2023" s="322"/>
      <c r="BW2023" s="322"/>
      <c r="BX2023" s="322"/>
      <c r="BY2023" s="322"/>
      <c r="BZ2023" s="322"/>
      <c r="CA2023" s="322"/>
      <c r="CB2023" s="322"/>
      <c r="CC2023" s="322"/>
      <c r="CD2023" s="322"/>
      <c r="CE2023" s="322"/>
      <c r="CF2023" s="322"/>
      <c r="CG2023" s="322"/>
      <c r="CH2023" s="322"/>
      <c r="CI2023" s="322"/>
      <c r="CM2023" s="1139">
        <f t="shared" si="1221"/>
        <v>0</v>
      </c>
      <c r="CN2023" s="1139">
        <v>0</v>
      </c>
      <c r="CP2023" s="923">
        <f t="shared" si="1220"/>
        <v>0</v>
      </c>
      <c r="CZ2023" s="330"/>
    </row>
    <row r="2024" spans="1:104" ht="15" customHeight="1" x14ac:dyDescent="0.25">
      <c r="A2024" s="684">
        <f>MAX($A$6:A2023)+1</f>
        <v>2024</v>
      </c>
      <c r="B2024" s="1060">
        <f t="shared" si="1225"/>
        <v>80</v>
      </c>
      <c r="C2024" s="11" t="s">
        <v>406</v>
      </c>
      <c r="D2024" s="11" t="s">
        <v>430</v>
      </c>
      <c r="E2024" s="7" t="s">
        <v>414</v>
      </c>
      <c r="F2024" s="7"/>
      <c r="G2024" s="1254" t="s">
        <v>414</v>
      </c>
      <c r="H2024" s="6">
        <v>0</v>
      </c>
      <c r="I2024" s="6"/>
      <c r="J2024" s="1257" t="s">
        <v>414</v>
      </c>
      <c r="K2024" s="251">
        <f>SUMIF('alb A - Losses &amp; special pay'!$B:$B,$J2024,'alb A - Losses &amp; special pay'!$E:$E)</f>
        <v>0</v>
      </c>
      <c r="L2024" s="266"/>
      <c r="M2024" s="2"/>
      <c r="N2024" s="273">
        <f t="shared" si="1216"/>
        <v>0</v>
      </c>
      <c r="O2024" s="12"/>
      <c r="P2024" s="12"/>
      <c r="Q2024" s="12"/>
      <c r="R2024" s="12"/>
      <c r="S2024" s="6">
        <f t="shared" si="1230"/>
        <v>0</v>
      </c>
      <c r="T2024" s="273">
        <f t="shared" si="1226"/>
        <v>0</v>
      </c>
      <c r="U2024" s="251"/>
      <c r="V2024" s="251"/>
      <c r="W2024" s="251">
        <f t="shared" si="1227"/>
        <v>0</v>
      </c>
      <c r="X2024" s="251"/>
      <c r="Y2024" s="251"/>
      <c r="Z2024" s="251"/>
      <c r="AA2024" s="1185"/>
      <c r="AB2024" s="1185"/>
      <c r="AC2024" s="1185"/>
      <c r="AD2024" s="251"/>
      <c r="AE2024" s="251"/>
      <c r="AF2024" s="251"/>
      <c r="AG2024" s="251"/>
      <c r="AH2024" s="251"/>
      <c r="AI2024" s="251"/>
      <c r="AJ2024" s="251"/>
      <c r="AK2024" s="251"/>
      <c r="AL2024" s="251"/>
      <c r="AM2024" s="251"/>
      <c r="AN2024" s="251"/>
      <c r="AO2024" s="251"/>
      <c r="AP2024" s="251"/>
      <c r="AQ2024" s="251"/>
      <c r="AR2024" s="251"/>
      <c r="AS2024" s="251"/>
      <c r="AT2024" s="251"/>
      <c r="AU2024" s="251"/>
      <c r="AV2024" s="251"/>
      <c r="AX2024" s="6"/>
      <c r="AY2024" s="6">
        <f>ROUND(AX2024/1000/Update!$B$31*Update!$B$27,0)</f>
        <v>0</v>
      </c>
      <c r="BA2024" s="6"/>
      <c r="BB2024" s="6">
        <f>ROUND(BA2024/1000/Update!$B$31,0)</f>
        <v>0</v>
      </c>
      <c r="BC2024" s="6"/>
      <c r="BD2024" s="6">
        <f t="shared" si="1228"/>
        <v>0</v>
      </c>
      <c r="BE2024" s="322"/>
      <c r="BF2024" s="322"/>
      <c r="BG2024" s="322"/>
      <c r="BH2024" s="322"/>
      <c r="BI2024" s="322"/>
      <c r="BJ2024" s="322"/>
      <c r="BK2024" s="6">
        <f t="shared" si="1219"/>
        <v>0</v>
      </c>
      <c r="BL2024" s="322"/>
      <c r="BM2024" s="322"/>
      <c r="BN2024" s="322"/>
      <c r="BO2024" s="322"/>
      <c r="BP2024" s="322"/>
      <c r="BQ2024" s="322"/>
      <c r="BR2024" s="322"/>
      <c r="BS2024" s="322"/>
      <c r="BT2024" s="322"/>
      <c r="BU2024" s="322"/>
      <c r="BV2024" s="322"/>
      <c r="BW2024" s="322"/>
      <c r="BX2024" s="322"/>
      <c r="BY2024" s="322"/>
      <c r="BZ2024" s="322"/>
      <c r="CA2024" s="322"/>
      <c r="CB2024" s="322"/>
      <c r="CC2024" s="322"/>
      <c r="CD2024" s="322"/>
      <c r="CE2024" s="322"/>
      <c r="CF2024" s="322"/>
      <c r="CG2024" s="322"/>
      <c r="CH2024" s="322"/>
      <c r="CI2024" s="322"/>
      <c r="CM2024" s="1139">
        <f t="shared" si="1221"/>
        <v>0</v>
      </c>
      <c r="CN2024" s="1139">
        <v>0</v>
      </c>
      <c r="CP2024" s="923">
        <f t="shared" si="1220"/>
        <v>0</v>
      </c>
      <c r="CZ2024" s="330"/>
    </row>
    <row r="2025" spans="1:104" ht="15" customHeight="1" x14ac:dyDescent="0.25">
      <c r="A2025" s="684">
        <f>MAX($A$6:A2024)+1</f>
        <v>2025</v>
      </c>
      <c r="B2025" s="1060">
        <f t="shared" si="1225"/>
        <v>80</v>
      </c>
      <c r="C2025" s="11" t="s">
        <v>406</v>
      </c>
      <c r="D2025" s="11" t="s">
        <v>431</v>
      </c>
      <c r="E2025" s="7" t="s">
        <v>272</v>
      </c>
      <c r="F2025" s="7"/>
      <c r="G2025" s="1254" t="s">
        <v>272</v>
      </c>
      <c r="H2025" s="6">
        <v>0</v>
      </c>
      <c r="I2025" s="6"/>
      <c r="J2025" s="1257" t="s">
        <v>272</v>
      </c>
      <c r="K2025" s="251">
        <f>SUMIF('alb A - Losses &amp; special pay'!$C:$C,$J2025,'alb A - Losses &amp; special pay'!$E:$E)</f>
        <v>0</v>
      </c>
      <c r="L2025" s="266"/>
      <c r="M2025" s="2"/>
      <c r="N2025" s="273">
        <f t="shared" ref="N2025:N2055" si="1232">ROUND(SUM(O2025:AU2025)-T2025,0)</f>
        <v>0</v>
      </c>
      <c r="O2025" s="12"/>
      <c r="P2025" s="12"/>
      <c r="Q2025" s="12"/>
      <c r="R2025" s="12"/>
      <c r="S2025" s="6">
        <f t="shared" si="1230"/>
        <v>0</v>
      </c>
      <c r="T2025" s="273">
        <f t="shared" si="1226"/>
        <v>0</v>
      </c>
      <c r="U2025" s="251"/>
      <c r="V2025" s="251"/>
      <c r="W2025" s="251">
        <f t="shared" si="1227"/>
        <v>0</v>
      </c>
      <c r="X2025" s="251"/>
      <c r="Y2025" s="251"/>
      <c r="Z2025" s="251"/>
      <c r="AA2025" s="1185"/>
      <c r="AB2025" s="1185"/>
      <c r="AC2025" s="1185"/>
      <c r="AD2025" s="251"/>
      <c r="AE2025" s="251"/>
      <c r="AF2025" s="251"/>
      <c r="AG2025" s="251"/>
      <c r="AH2025" s="251"/>
      <c r="AI2025" s="251"/>
      <c r="AJ2025" s="251"/>
      <c r="AK2025" s="251"/>
      <c r="AL2025" s="251"/>
      <c r="AM2025" s="251"/>
      <c r="AN2025" s="251"/>
      <c r="AO2025" s="251"/>
      <c r="AP2025" s="251"/>
      <c r="AQ2025" s="251"/>
      <c r="AR2025" s="251"/>
      <c r="AS2025" s="251"/>
      <c r="AT2025" s="251"/>
      <c r="AU2025" s="251"/>
      <c r="AV2025" s="251"/>
      <c r="AX2025" s="6"/>
      <c r="AY2025" s="6">
        <f>ROUND(AX2025/1000/Update!$B$31*Update!$B$27,0)</f>
        <v>0</v>
      </c>
      <c r="BA2025" s="6"/>
      <c r="BB2025" s="6">
        <f>ROUND(BA2025/1000/Update!$B$31,0)</f>
        <v>0</v>
      </c>
      <c r="BC2025" s="6"/>
      <c r="BD2025" s="6">
        <f t="shared" si="1228"/>
        <v>0</v>
      </c>
      <c r="BE2025" s="322"/>
      <c r="BF2025" s="322"/>
      <c r="BG2025" s="322"/>
      <c r="BH2025" s="322"/>
      <c r="BI2025" s="322"/>
      <c r="BJ2025" s="322"/>
      <c r="BK2025" s="6">
        <f t="shared" si="1219"/>
        <v>0</v>
      </c>
      <c r="BL2025" s="322"/>
      <c r="BM2025" s="322"/>
      <c r="BN2025" s="322"/>
      <c r="BO2025" s="322"/>
      <c r="BP2025" s="322"/>
      <c r="BQ2025" s="322"/>
      <c r="BR2025" s="322"/>
      <c r="BS2025" s="322"/>
      <c r="BT2025" s="322"/>
      <c r="BU2025" s="322"/>
      <c r="BV2025" s="322"/>
      <c r="BW2025" s="322"/>
      <c r="BX2025" s="322"/>
      <c r="BY2025" s="322"/>
      <c r="BZ2025" s="322"/>
      <c r="CA2025" s="322"/>
      <c r="CB2025" s="322"/>
      <c r="CC2025" s="322"/>
      <c r="CD2025" s="322"/>
      <c r="CE2025" s="322"/>
      <c r="CF2025" s="322"/>
      <c r="CG2025" s="322"/>
      <c r="CH2025" s="322"/>
      <c r="CI2025" s="322"/>
      <c r="CM2025" s="1139">
        <f t="shared" si="1221"/>
        <v>0</v>
      </c>
      <c r="CN2025" s="1139">
        <v>0</v>
      </c>
      <c r="CP2025" s="923">
        <f t="shared" si="1220"/>
        <v>0</v>
      </c>
      <c r="CZ2025" s="330"/>
    </row>
    <row r="2026" spans="1:104" ht="15" customHeight="1" x14ac:dyDescent="0.25">
      <c r="A2026" s="684">
        <f>MAX($A$6:A2025)+1</f>
        <v>2026</v>
      </c>
      <c r="B2026" s="1060">
        <f t="shared" si="1225"/>
        <v>80</v>
      </c>
      <c r="C2026" s="11" t="s">
        <v>406</v>
      </c>
      <c r="D2026" s="11" t="s">
        <v>431</v>
      </c>
      <c r="E2026" s="7" t="s">
        <v>416</v>
      </c>
      <c r="F2026" s="7"/>
      <c r="G2026" s="1254" t="s">
        <v>416</v>
      </c>
      <c r="H2026" s="6">
        <v>0</v>
      </c>
      <c r="I2026" s="6"/>
      <c r="J2026" s="1257" t="s">
        <v>416</v>
      </c>
      <c r="K2026" s="251">
        <f>SUMIF('alb A - Losses &amp; special pay'!$C:$C,$J2026,'alb A - Losses &amp; special pay'!$E:$E)</f>
        <v>0</v>
      </c>
      <c r="L2026" s="266"/>
      <c r="M2026" s="2"/>
      <c r="N2026" s="273">
        <f t="shared" si="1232"/>
        <v>0</v>
      </c>
      <c r="O2026" s="12"/>
      <c r="P2026" s="12"/>
      <c r="Q2026" s="12"/>
      <c r="R2026" s="12"/>
      <c r="S2026" s="6">
        <f t="shared" si="1230"/>
        <v>0</v>
      </c>
      <c r="T2026" s="273">
        <f t="shared" si="1226"/>
        <v>0</v>
      </c>
      <c r="U2026" s="251"/>
      <c r="V2026" s="251"/>
      <c r="W2026" s="251">
        <f t="shared" si="1227"/>
        <v>0</v>
      </c>
      <c r="X2026" s="251"/>
      <c r="Y2026" s="251"/>
      <c r="Z2026" s="251"/>
      <c r="AA2026" s="1185"/>
      <c r="AB2026" s="1185"/>
      <c r="AC2026" s="1185"/>
      <c r="AD2026" s="251"/>
      <c r="AE2026" s="251"/>
      <c r="AF2026" s="251"/>
      <c r="AG2026" s="251"/>
      <c r="AH2026" s="251"/>
      <c r="AI2026" s="251"/>
      <c r="AJ2026" s="251"/>
      <c r="AK2026" s="251"/>
      <c r="AL2026" s="251"/>
      <c r="AM2026" s="251"/>
      <c r="AN2026" s="251"/>
      <c r="AO2026" s="251"/>
      <c r="AP2026" s="251"/>
      <c r="AQ2026" s="251"/>
      <c r="AR2026" s="251"/>
      <c r="AS2026" s="251"/>
      <c r="AT2026" s="251"/>
      <c r="AU2026" s="251"/>
      <c r="AV2026" s="251"/>
      <c r="AX2026" s="6"/>
      <c r="AY2026" s="6">
        <f>ROUND(AX2026/1000/Update!$B$31*Update!$B$27,0)</f>
        <v>0</v>
      </c>
      <c r="BA2026" s="6"/>
      <c r="BB2026" s="6">
        <f>ROUND(BA2026/1000/Update!$B$31,0)</f>
        <v>0</v>
      </c>
      <c r="BC2026" s="6"/>
      <c r="BD2026" s="6">
        <f t="shared" si="1228"/>
        <v>0</v>
      </c>
      <c r="BE2026" s="322"/>
      <c r="BF2026" s="322"/>
      <c r="BG2026" s="322"/>
      <c r="BH2026" s="322"/>
      <c r="BI2026" s="322"/>
      <c r="BJ2026" s="322"/>
      <c r="BK2026" s="6">
        <f t="shared" si="1219"/>
        <v>0</v>
      </c>
      <c r="BL2026" s="322"/>
      <c r="BM2026" s="322"/>
      <c r="BN2026" s="322"/>
      <c r="BO2026" s="322"/>
      <c r="BP2026" s="322"/>
      <c r="BQ2026" s="322"/>
      <c r="BR2026" s="322"/>
      <c r="BS2026" s="322"/>
      <c r="BT2026" s="322"/>
      <c r="BU2026" s="322"/>
      <c r="BV2026" s="322"/>
      <c r="BW2026" s="322"/>
      <c r="BX2026" s="322"/>
      <c r="BY2026" s="322"/>
      <c r="BZ2026" s="322"/>
      <c r="CA2026" s="322"/>
      <c r="CB2026" s="322"/>
      <c r="CC2026" s="322"/>
      <c r="CD2026" s="322"/>
      <c r="CE2026" s="322"/>
      <c r="CF2026" s="322"/>
      <c r="CG2026" s="322"/>
      <c r="CH2026" s="322"/>
      <c r="CI2026" s="322"/>
      <c r="CM2026" s="1139">
        <f t="shared" si="1221"/>
        <v>0</v>
      </c>
      <c r="CN2026" s="1139">
        <v>0</v>
      </c>
      <c r="CP2026" s="923">
        <f t="shared" si="1220"/>
        <v>0</v>
      </c>
      <c r="CZ2026" s="330"/>
    </row>
    <row r="2027" spans="1:104" ht="15" customHeight="1" x14ac:dyDescent="0.25">
      <c r="A2027" s="684">
        <f>MAX($A$6:A2026)+1</f>
        <v>2027</v>
      </c>
      <c r="B2027" s="1060">
        <f t="shared" si="1225"/>
        <v>80</v>
      </c>
      <c r="C2027" s="11" t="s">
        <v>406</v>
      </c>
      <c r="D2027" s="11" t="s">
        <v>431</v>
      </c>
      <c r="E2027" s="7" t="s">
        <v>417</v>
      </c>
      <c r="F2027" s="7"/>
      <c r="G2027" s="1254" t="s">
        <v>417</v>
      </c>
      <c r="H2027" s="6">
        <v>0</v>
      </c>
      <c r="I2027" s="6"/>
      <c r="J2027" s="1257" t="s">
        <v>417</v>
      </c>
      <c r="K2027" s="251">
        <f>SUMIF('alb A - Losses &amp; special pay'!$C:$C,$J2027,'alb A - Losses &amp; special pay'!$E:$E)</f>
        <v>0</v>
      </c>
      <c r="L2027" s="266"/>
      <c r="M2027" s="2"/>
      <c r="N2027" s="273">
        <f t="shared" si="1232"/>
        <v>0</v>
      </c>
      <c r="O2027" s="12"/>
      <c r="P2027" s="12"/>
      <c r="Q2027" s="12"/>
      <c r="R2027" s="12"/>
      <c r="S2027" s="6">
        <f t="shared" si="1230"/>
        <v>0</v>
      </c>
      <c r="T2027" s="273">
        <f t="shared" si="1226"/>
        <v>0</v>
      </c>
      <c r="U2027" s="251"/>
      <c r="V2027" s="251"/>
      <c r="W2027" s="251">
        <f t="shared" si="1227"/>
        <v>0</v>
      </c>
      <c r="X2027" s="251"/>
      <c r="Y2027" s="251"/>
      <c r="Z2027" s="251"/>
      <c r="AA2027" s="1185"/>
      <c r="AB2027" s="1185"/>
      <c r="AC2027" s="1185"/>
      <c r="AD2027" s="251"/>
      <c r="AE2027" s="251"/>
      <c r="AF2027" s="251"/>
      <c r="AG2027" s="251"/>
      <c r="AH2027" s="251"/>
      <c r="AI2027" s="251"/>
      <c r="AJ2027" s="251"/>
      <c r="AK2027" s="251"/>
      <c r="AL2027" s="251"/>
      <c r="AM2027" s="251"/>
      <c r="AN2027" s="251"/>
      <c r="AO2027" s="251"/>
      <c r="AP2027" s="251"/>
      <c r="AQ2027" s="251"/>
      <c r="AR2027" s="251"/>
      <c r="AS2027" s="251"/>
      <c r="AT2027" s="251"/>
      <c r="AU2027" s="251"/>
      <c r="AV2027" s="251"/>
      <c r="AX2027" s="6"/>
      <c r="AY2027" s="6">
        <f>ROUND(AX2027/1000/Update!$B$31*Update!$B$27,0)</f>
        <v>0</v>
      </c>
      <c r="BA2027" s="6"/>
      <c r="BB2027" s="6">
        <f>ROUND(BA2027/1000/Update!$B$31,0)</f>
        <v>0</v>
      </c>
      <c r="BC2027" s="6"/>
      <c r="BD2027" s="6">
        <f t="shared" si="1228"/>
        <v>0</v>
      </c>
      <c r="BE2027" s="322"/>
      <c r="BF2027" s="322"/>
      <c r="BG2027" s="322"/>
      <c r="BH2027" s="322"/>
      <c r="BI2027" s="322"/>
      <c r="BJ2027" s="322"/>
      <c r="BK2027" s="6">
        <f t="shared" si="1219"/>
        <v>0</v>
      </c>
      <c r="BL2027" s="322"/>
      <c r="BM2027" s="322"/>
      <c r="BN2027" s="322"/>
      <c r="BO2027" s="322"/>
      <c r="BP2027" s="322"/>
      <c r="BQ2027" s="322"/>
      <c r="BR2027" s="322"/>
      <c r="BS2027" s="322"/>
      <c r="BT2027" s="322"/>
      <c r="BU2027" s="322"/>
      <c r="BV2027" s="322"/>
      <c r="BW2027" s="322"/>
      <c r="BX2027" s="322"/>
      <c r="BY2027" s="322"/>
      <c r="BZ2027" s="322"/>
      <c r="CA2027" s="322"/>
      <c r="CB2027" s="322"/>
      <c r="CC2027" s="322"/>
      <c r="CD2027" s="322"/>
      <c r="CE2027" s="322"/>
      <c r="CF2027" s="322"/>
      <c r="CG2027" s="322"/>
      <c r="CH2027" s="322"/>
      <c r="CI2027" s="322"/>
      <c r="CM2027" s="1139">
        <f t="shared" si="1221"/>
        <v>0</v>
      </c>
      <c r="CN2027" s="1139">
        <v>0</v>
      </c>
      <c r="CP2027" s="923">
        <f t="shared" si="1220"/>
        <v>0</v>
      </c>
      <c r="CZ2027" s="330"/>
    </row>
    <row r="2028" spans="1:104" ht="15" customHeight="1" x14ac:dyDescent="0.25">
      <c r="A2028" s="684">
        <f>MAX($A$6:A2027)+1</f>
        <v>2028</v>
      </c>
      <c r="B2028" s="1060">
        <f t="shared" si="1225"/>
        <v>80</v>
      </c>
      <c r="C2028" s="11" t="s">
        <v>406</v>
      </c>
      <c r="D2028" s="11" t="s">
        <v>431</v>
      </c>
      <c r="E2028" s="7" t="s">
        <v>910</v>
      </c>
      <c r="F2028" s="7"/>
      <c r="G2028" s="1254" t="s">
        <v>910</v>
      </c>
      <c r="H2028" s="6">
        <v>0</v>
      </c>
      <c r="I2028" s="6"/>
      <c r="J2028" s="1257" t="s">
        <v>910</v>
      </c>
      <c r="K2028" s="251">
        <f>SUMIF('alb A - Losses &amp; special pay'!$C:$C,$J2028,'alb A - Losses &amp; special pay'!$E:$E)</f>
        <v>0</v>
      </c>
      <c r="L2028" s="266"/>
      <c r="M2028" s="2"/>
      <c r="N2028" s="273">
        <f t="shared" si="1232"/>
        <v>0</v>
      </c>
      <c r="O2028" s="12"/>
      <c r="P2028" s="12"/>
      <c r="Q2028" s="12"/>
      <c r="R2028" s="12"/>
      <c r="S2028" s="6">
        <f t="shared" si="1230"/>
        <v>0</v>
      </c>
      <c r="T2028" s="273">
        <f t="shared" ref="T2028:T2037" si="1233">ROUND(SUM(U2028:Y2028),0)</f>
        <v>0</v>
      </c>
      <c r="U2028" s="251"/>
      <c r="V2028" s="251"/>
      <c r="W2028" s="251">
        <f t="shared" si="1227"/>
        <v>0</v>
      </c>
      <c r="X2028" s="251"/>
      <c r="Y2028" s="251"/>
      <c r="Z2028" s="251"/>
      <c r="AA2028" s="1185"/>
      <c r="AB2028" s="1185"/>
      <c r="AC2028" s="1185"/>
      <c r="AD2028" s="251"/>
      <c r="AE2028" s="251"/>
      <c r="AF2028" s="251"/>
      <c r="AG2028" s="251"/>
      <c r="AH2028" s="251"/>
      <c r="AI2028" s="251"/>
      <c r="AJ2028" s="251"/>
      <c r="AK2028" s="251"/>
      <c r="AL2028" s="251"/>
      <c r="AM2028" s="251"/>
      <c r="AN2028" s="251"/>
      <c r="AO2028" s="251"/>
      <c r="AP2028" s="251"/>
      <c r="AQ2028" s="251"/>
      <c r="AR2028" s="251"/>
      <c r="AS2028" s="251"/>
      <c r="AT2028" s="251"/>
      <c r="AU2028" s="251"/>
      <c r="AV2028" s="251"/>
      <c r="AX2028" s="6"/>
      <c r="AY2028" s="6">
        <f>ROUND(AX2028/1000/Update!$B$31*Update!$B$27,0)</f>
        <v>0</v>
      </c>
      <c r="BA2028" s="6"/>
      <c r="BB2028" s="6">
        <f>ROUND(BA2028/1000/Update!$B$31,0)</f>
        <v>0</v>
      </c>
      <c r="BC2028" s="6"/>
      <c r="BD2028" s="6">
        <f t="shared" si="1228"/>
        <v>0</v>
      </c>
      <c r="BE2028" s="322"/>
      <c r="BF2028" s="322"/>
      <c r="BG2028" s="322"/>
      <c r="BH2028" s="322"/>
      <c r="BI2028" s="322"/>
      <c r="BJ2028" s="322"/>
      <c r="BK2028" s="6">
        <f t="shared" si="1219"/>
        <v>0</v>
      </c>
      <c r="BL2028" s="322"/>
      <c r="BM2028" s="322"/>
      <c r="BN2028" s="322"/>
      <c r="BO2028" s="322"/>
      <c r="BP2028" s="322"/>
      <c r="BQ2028" s="322"/>
      <c r="BR2028" s="322"/>
      <c r="BS2028" s="322"/>
      <c r="BT2028" s="322"/>
      <c r="BU2028" s="322"/>
      <c r="BV2028" s="322"/>
      <c r="BW2028" s="322"/>
      <c r="BX2028" s="322"/>
      <c r="BY2028" s="322"/>
      <c r="BZ2028" s="322"/>
      <c r="CA2028" s="322"/>
      <c r="CB2028" s="322"/>
      <c r="CC2028" s="322"/>
      <c r="CD2028" s="322"/>
      <c r="CE2028" s="322"/>
      <c r="CF2028" s="322"/>
      <c r="CG2028" s="322"/>
      <c r="CH2028" s="322"/>
      <c r="CI2028" s="322"/>
      <c r="CM2028" s="1139">
        <f t="shared" si="1221"/>
        <v>0</v>
      </c>
      <c r="CN2028" s="1139">
        <v>0</v>
      </c>
      <c r="CP2028" s="923">
        <f t="shared" si="1220"/>
        <v>0</v>
      </c>
      <c r="CZ2028" s="330"/>
    </row>
    <row r="2029" spans="1:104" ht="15" customHeight="1" x14ac:dyDescent="0.25">
      <c r="A2029" s="684">
        <f>MAX($A$6:A2028)+1</f>
        <v>2029</v>
      </c>
      <c r="B2029" s="1060">
        <f t="shared" si="1225"/>
        <v>80</v>
      </c>
      <c r="C2029" s="11" t="s">
        <v>406</v>
      </c>
      <c r="D2029" s="11" t="s">
        <v>432</v>
      </c>
      <c r="E2029" s="7" t="s">
        <v>407</v>
      </c>
      <c r="F2029" s="7"/>
      <c r="G2029" s="1254" t="s">
        <v>407</v>
      </c>
      <c r="H2029" s="6">
        <v>0</v>
      </c>
      <c r="I2029" s="6"/>
      <c r="J2029" s="1257" t="s">
        <v>407</v>
      </c>
      <c r="K2029" s="251">
        <f>SUMIF('alb A - Losses &amp; special pay'!$C:$C,$J2029,'alb A - Losses &amp; special pay'!$E:$E)</f>
        <v>0</v>
      </c>
      <c r="L2029" s="266"/>
      <c r="M2029" s="2"/>
      <c r="N2029" s="273">
        <f t="shared" si="1232"/>
        <v>0</v>
      </c>
      <c r="O2029" s="12"/>
      <c r="P2029" s="12"/>
      <c r="Q2029" s="12"/>
      <c r="R2029" s="12"/>
      <c r="S2029" s="6">
        <f t="shared" si="1230"/>
        <v>0</v>
      </c>
      <c r="T2029" s="273">
        <f t="shared" si="1233"/>
        <v>0</v>
      </c>
      <c r="U2029" s="251"/>
      <c r="V2029" s="251"/>
      <c r="W2029" s="251">
        <f t="shared" si="1227"/>
        <v>0</v>
      </c>
      <c r="X2029" s="251"/>
      <c r="Y2029" s="251"/>
      <c r="Z2029" s="251"/>
      <c r="AA2029" s="1185"/>
      <c r="AB2029" s="1185"/>
      <c r="AC2029" s="1185"/>
      <c r="AD2029" s="251"/>
      <c r="AE2029" s="251"/>
      <c r="AF2029" s="251"/>
      <c r="AG2029" s="251"/>
      <c r="AH2029" s="251"/>
      <c r="AI2029" s="251"/>
      <c r="AJ2029" s="251"/>
      <c r="AK2029" s="251"/>
      <c r="AL2029" s="251"/>
      <c r="AM2029" s="251"/>
      <c r="AN2029" s="251"/>
      <c r="AO2029" s="251"/>
      <c r="AP2029" s="251"/>
      <c r="AQ2029" s="251"/>
      <c r="AR2029" s="251"/>
      <c r="AS2029" s="251"/>
      <c r="AT2029" s="251"/>
      <c r="AU2029" s="251"/>
      <c r="AV2029" s="251"/>
      <c r="AX2029" s="6"/>
      <c r="AY2029" s="6">
        <f>ROUND(AX2029/1000/Update!$B$31*Update!$B$27,0)</f>
        <v>0</v>
      </c>
      <c r="BA2029" s="6"/>
      <c r="BB2029" s="6">
        <f>ROUND(BA2029/1000/Update!$B$31,0)</f>
        <v>0</v>
      </c>
      <c r="BC2029" s="6"/>
      <c r="BD2029" s="6">
        <f t="shared" si="1228"/>
        <v>0</v>
      </c>
      <c r="BE2029" s="322"/>
      <c r="BF2029" s="322"/>
      <c r="BG2029" s="322"/>
      <c r="BH2029" s="322"/>
      <c r="BI2029" s="322"/>
      <c r="BJ2029" s="322"/>
      <c r="BK2029" s="6">
        <f t="shared" si="1219"/>
        <v>0</v>
      </c>
      <c r="BL2029" s="322"/>
      <c r="BM2029" s="322"/>
      <c r="BN2029" s="322"/>
      <c r="BO2029" s="322"/>
      <c r="BP2029" s="322"/>
      <c r="BQ2029" s="322"/>
      <c r="BR2029" s="322"/>
      <c r="BS2029" s="322"/>
      <c r="BT2029" s="322"/>
      <c r="BU2029" s="322"/>
      <c r="BV2029" s="322"/>
      <c r="BW2029" s="322"/>
      <c r="BX2029" s="322"/>
      <c r="BY2029" s="322"/>
      <c r="BZ2029" s="322"/>
      <c r="CA2029" s="322"/>
      <c r="CB2029" s="322"/>
      <c r="CC2029" s="322"/>
      <c r="CD2029" s="322"/>
      <c r="CE2029" s="322"/>
      <c r="CF2029" s="322"/>
      <c r="CG2029" s="322"/>
      <c r="CH2029" s="322"/>
      <c r="CI2029" s="322"/>
      <c r="CM2029" s="1139">
        <f t="shared" si="1221"/>
        <v>0</v>
      </c>
      <c r="CN2029" s="1139">
        <v>0</v>
      </c>
      <c r="CP2029" s="923">
        <f t="shared" si="1220"/>
        <v>0</v>
      </c>
      <c r="CZ2029" s="330"/>
    </row>
    <row r="2030" spans="1:104" ht="15" customHeight="1" x14ac:dyDescent="0.25">
      <c r="A2030" s="684">
        <f>MAX($A$6:A2029)+1</f>
        <v>2030</v>
      </c>
      <c r="B2030" s="1060">
        <f t="shared" si="1225"/>
        <v>80</v>
      </c>
      <c r="C2030" s="11" t="s">
        <v>406</v>
      </c>
      <c r="D2030" s="11" t="s">
        <v>432</v>
      </c>
      <c r="E2030" s="7" t="s">
        <v>408</v>
      </c>
      <c r="F2030" s="7"/>
      <c r="G2030" s="1254" t="s">
        <v>408</v>
      </c>
      <c r="H2030" s="6">
        <v>0</v>
      </c>
      <c r="I2030" s="6"/>
      <c r="J2030" s="1257" t="s">
        <v>408</v>
      </c>
      <c r="K2030" s="251">
        <f>SUMIF('alb A - Losses &amp; special pay'!$C:$C,$J2030,'alb A - Losses &amp; special pay'!$E:$E)</f>
        <v>0</v>
      </c>
      <c r="L2030" s="266"/>
      <c r="M2030" s="2"/>
      <c r="N2030" s="273">
        <f t="shared" si="1232"/>
        <v>0</v>
      </c>
      <c r="O2030" s="12"/>
      <c r="P2030" s="12"/>
      <c r="Q2030" s="12"/>
      <c r="R2030" s="12"/>
      <c r="S2030" s="6">
        <f t="shared" si="1230"/>
        <v>0</v>
      </c>
      <c r="T2030" s="273">
        <f t="shared" si="1233"/>
        <v>0</v>
      </c>
      <c r="U2030" s="251"/>
      <c r="V2030" s="251"/>
      <c r="W2030" s="251">
        <f t="shared" si="1227"/>
        <v>0</v>
      </c>
      <c r="X2030" s="251"/>
      <c r="Y2030" s="251"/>
      <c r="Z2030" s="251"/>
      <c r="AA2030" s="1185"/>
      <c r="AB2030" s="1185"/>
      <c r="AC2030" s="1185"/>
      <c r="AD2030" s="251"/>
      <c r="AE2030" s="251"/>
      <c r="AF2030" s="251"/>
      <c r="AG2030" s="251"/>
      <c r="AH2030" s="251"/>
      <c r="AI2030" s="251"/>
      <c r="AJ2030" s="251"/>
      <c r="AK2030" s="251"/>
      <c r="AL2030" s="251"/>
      <c r="AM2030" s="251"/>
      <c r="AN2030" s="251"/>
      <c r="AO2030" s="251"/>
      <c r="AP2030" s="251"/>
      <c r="AQ2030" s="251"/>
      <c r="AR2030" s="251"/>
      <c r="AS2030" s="251"/>
      <c r="AT2030" s="251"/>
      <c r="AU2030" s="251"/>
      <c r="AV2030" s="251"/>
      <c r="AX2030" s="6"/>
      <c r="AY2030" s="6">
        <f>ROUND(AX2030/1000/Update!$B$31*Update!$B$27,0)</f>
        <v>0</v>
      </c>
      <c r="BA2030" s="6"/>
      <c r="BB2030" s="6">
        <f>ROUND(BA2030/1000/Update!$B$31,0)</f>
        <v>0</v>
      </c>
      <c r="BC2030" s="6"/>
      <c r="BD2030" s="6">
        <f t="shared" si="1228"/>
        <v>0</v>
      </c>
      <c r="BE2030" s="322"/>
      <c r="BF2030" s="322"/>
      <c r="BG2030" s="322"/>
      <c r="BH2030" s="322"/>
      <c r="BI2030" s="322"/>
      <c r="BJ2030" s="322"/>
      <c r="BK2030" s="6">
        <f t="shared" si="1219"/>
        <v>0</v>
      </c>
      <c r="BL2030" s="322"/>
      <c r="BM2030" s="322"/>
      <c r="BN2030" s="322"/>
      <c r="BO2030" s="322"/>
      <c r="BP2030" s="322"/>
      <c r="BQ2030" s="322"/>
      <c r="BR2030" s="322"/>
      <c r="BS2030" s="322"/>
      <c r="BT2030" s="322"/>
      <c r="BU2030" s="322"/>
      <c r="BV2030" s="322"/>
      <c r="BW2030" s="322"/>
      <c r="BX2030" s="322"/>
      <c r="BY2030" s="322"/>
      <c r="BZ2030" s="322"/>
      <c r="CA2030" s="322"/>
      <c r="CB2030" s="322"/>
      <c r="CC2030" s="322"/>
      <c r="CD2030" s="322"/>
      <c r="CE2030" s="322"/>
      <c r="CF2030" s="322"/>
      <c r="CG2030" s="322"/>
      <c r="CH2030" s="322"/>
      <c r="CI2030" s="322"/>
      <c r="CM2030" s="1139">
        <f t="shared" si="1221"/>
        <v>0</v>
      </c>
      <c r="CN2030" s="1139">
        <v>0</v>
      </c>
      <c r="CP2030" s="923">
        <f t="shared" si="1220"/>
        <v>0</v>
      </c>
      <c r="CZ2030" s="330"/>
    </row>
    <row r="2031" spans="1:104" ht="15" customHeight="1" x14ac:dyDescent="0.25">
      <c r="A2031" s="684">
        <f>MAX($A$6:A2030)+1</f>
        <v>2031</v>
      </c>
      <c r="B2031" s="1060">
        <f t="shared" si="1225"/>
        <v>80</v>
      </c>
      <c r="C2031" s="11" t="s">
        <v>406</v>
      </c>
      <c r="D2031" s="11" t="s">
        <v>432</v>
      </c>
      <c r="E2031" s="7" t="s">
        <v>409</v>
      </c>
      <c r="F2031" s="7"/>
      <c r="G2031" s="1254" t="s">
        <v>409</v>
      </c>
      <c r="H2031" s="6">
        <v>0</v>
      </c>
      <c r="I2031" s="6"/>
      <c r="J2031" s="1257" t="s">
        <v>409</v>
      </c>
      <c r="K2031" s="251">
        <f>SUMIF('alb A - Losses &amp; special pay'!$C:$C,$J2031,'alb A - Losses &amp; special pay'!$E:$E)</f>
        <v>0</v>
      </c>
      <c r="L2031" s="266"/>
      <c r="M2031" s="2"/>
      <c r="N2031" s="273">
        <f t="shared" si="1232"/>
        <v>0</v>
      </c>
      <c r="O2031" s="12"/>
      <c r="P2031" s="12"/>
      <c r="Q2031" s="12"/>
      <c r="R2031" s="12"/>
      <c r="S2031" s="6">
        <f t="shared" si="1230"/>
        <v>0</v>
      </c>
      <c r="T2031" s="273">
        <f t="shared" si="1233"/>
        <v>0</v>
      </c>
      <c r="U2031" s="251"/>
      <c r="V2031" s="251"/>
      <c r="W2031" s="251">
        <f t="shared" si="1227"/>
        <v>0</v>
      </c>
      <c r="X2031" s="251"/>
      <c r="Y2031" s="251"/>
      <c r="Z2031" s="251"/>
      <c r="AA2031" s="1185"/>
      <c r="AB2031" s="1185"/>
      <c r="AC2031" s="1185"/>
      <c r="AD2031" s="251"/>
      <c r="AE2031" s="251"/>
      <c r="AF2031" s="251"/>
      <c r="AG2031" s="251"/>
      <c r="AH2031" s="251"/>
      <c r="AI2031" s="251"/>
      <c r="AJ2031" s="251"/>
      <c r="AK2031" s="251"/>
      <c r="AL2031" s="251"/>
      <c r="AM2031" s="251"/>
      <c r="AN2031" s="251"/>
      <c r="AO2031" s="251"/>
      <c r="AP2031" s="251"/>
      <c r="AQ2031" s="251"/>
      <c r="AR2031" s="251"/>
      <c r="AS2031" s="251"/>
      <c r="AT2031" s="251"/>
      <c r="AU2031" s="251"/>
      <c r="AV2031" s="251"/>
      <c r="AX2031" s="6"/>
      <c r="AY2031" s="6">
        <f>ROUND(AX2031/1000/Update!$B$31*Update!$B$27,0)</f>
        <v>0</v>
      </c>
      <c r="BA2031" s="6"/>
      <c r="BB2031" s="6">
        <f>ROUND(BA2031/1000/Update!$B$31,0)</f>
        <v>0</v>
      </c>
      <c r="BC2031" s="6"/>
      <c r="BD2031" s="6">
        <f t="shared" si="1228"/>
        <v>0</v>
      </c>
      <c r="BE2031" s="322"/>
      <c r="BF2031" s="322"/>
      <c r="BG2031" s="322"/>
      <c r="BH2031" s="322"/>
      <c r="BI2031" s="322"/>
      <c r="BJ2031" s="322"/>
      <c r="BK2031" s="6">
        <f t="shared" si="1219"/>
        <v>0</v>
      </c>
      <c r="BL2031" s="322"/>
      <c r="BM2031" s="322"/>
      <c r="BN2031" s="322"/>
      <c r="BO2031" s="322"/>
      <c r="BP2031" s="322"/>
      <c r="BQ2031" s="322"/>
      <c r="BR2031" s="322"/>
      <c r="BS2031" s="322"/>
      <c r="BT2031" s="322"/>
      <c r="BU2031" s="322"/>
      <c r="BV2031" s="322"/>
      <c r="BW2031" s="322"/>
      <c r="BX2031" s="322"/>
      <c r="BY2031" s="322"/>
      <c r="BZ2031" s="322"/>
      <c r="CA2031" s="322"/>
      <c r="CB2031" s="322"/>
      <c r="CC2031" s="322"/>
      <c r="CD2031" s="322"/>
      <c r="CE2031" s="322"/>
      <c r="CF2031" s="322"/>
      <c r="CG2031" s="322"/>
      <c r="CH2031" s="322"/>
      <c r="CI2031" s="322"/>
      <c r="CM2031" s="1139">
        <f t="shared" si="1221"/>
        <v>0</v>
      </c>
      <c r="CN2031" s="1139">
        <v>0</v>
      </c>
      <c r="CP2031" s="923">
        <f t="shared" si="1220"/>
        <v>0</v>
      </c>
      <c r="CZ2031" s="330"/>
    </row>
    <row r="2032" spans="1:104" ht="25.5" customHeight="1" x14ac:dyDescent="0.25">
      <c r="A2032" s="684">
        <f>MAX($A$6:A2031)+1</f>
        <v>2032</v>
      </c>
      <c r="B2032" s="1060">
        <f t="shared" si="1225"/>
        <v>80</v>
      </c>
      <c r="C2032" s="11" t="s">
        <v>406</v>
      </c>
      <c r="D2032" s="11" t="s">
        <v>1870</v>
      </c>
      <c r="E2032" s="7" t="s">
        <v>2071</v>
      </c>
      <c r="F2032" s="7"/>
      <c r="G2032" s="1254" t="s">
        <v>2071</v>
      </c>
      <c r="H2032" s="6">
        <v>0</v>
      </c>
      <c r="I2032" s="6"/>
      <c r="J2032" s="1257" t="s">
        <v>1729</v>
      </c>
      <c r="K2032" s="251">
        <f>SUMIF('alb A - Losses &amp; special pay'!$B:$B,$J2032,'alb A - Losses &amp; special pay'!$E:$E)</f>
        <v>0</v>
      </c>
      <c r="L2032" s="266"/>
      <c r="M2032" s="2"/>
      <c r="N2032" s="273">
        <f t="shared" si="1232"/>
        <v>0</v>
      </c>
      <c r="O2032" s="12"/>
      <c r="P2032" s="12"/>
      <c r="Q2032" s="1605"/>
      <c r="R2032" s="12"/>
      <c r="S2032" s="6">
        <f t="shared" si="1230"/>
        <v>0</v>
      </c>
      <c r="T2032" s="273">
        <f t="shared" si="1233"/>
        <v>0</v>
      </c>
      <c r="U2032" s="251"/>
      <c r="V2032" s="251"/>
      <c r="W2032" s="251">
        <f t="shared" si="1227"/>
        <v>0</v>
      </c>
      <c r="X2032" s="251"/>
      <c r="Y2032" s="251"/>
      <c r="Z2032" s="251"/>
      <c r="AA2032" s="1185"/>
      <c r="AB2032" s="1185"/>
      <c r="AC2032" s="1185"/>
      <c r="AD2032" s="251"/>
      <c r="AE2032" s="251"/>
      <c r="AF2032" s="251"/>
      <c r="AG2032" s="251"/>
      <c r="AH2032" s="251"/>
      <c r="AI2032" s="251"/>
      <c r="AJ2032" s="251"/>
      <c r="AK2032" s="251"/>
      <c r="AL2032" s="251"/>
      <c r="AM2032" s="251"/>
      <c r="AN2032" s="251"/>
      <c r="AO2032" s="251"/>
      <c r="AP2032" s="251"/>
      <c r="AQ2032" s="251"/>
      <c r="AR2032" s="251"/>
      <c r="AS2032" s="251"/>
      <c r="AT2032" s="251"/>
      <c r="AU2032" s="251"/>
      <c r="AV2032" s="251"/>
      <c r="AX2032" s="6">
        <f>SUM(AX2020:AX2031)</f>
        <v>0</v>
      </c>
      <c r="AY2032" s="6">
        <f>ROUND(AX2032/1000/Update!$B$31*Update!$B$27,0)</f>
        <v>0</v>
      </c>
      <c r="BA2032" s="6">
        <f>SUM(BA2020:BA2031)</f>
        <v>0</v>
      </c>
      <c r="BB2032" s="6">
        <f>ROUND(BA2032/1000/Update!$B$31,0)</f>
        <v>0</v>
      </c>
      <c r="BC2032" s="6"/>
      <c r="BD2032" s="6">
        <f t="shared" si="1228"/>
        <v>0</v>
      </c>
      <c r="BE2032" s="322">
        <f t="shared" ref="BE2032:BJ2032" si="1234">SUM(BE2020:BE2031)</f>
        <v>0</v>
      </c>
      <c r="BF2032" s="322">
        <f t="shared" si="1234"/>
        <v>0</v>
      </c>
      <c r="BG2032" s="322">
        <f t="shared" si="1234"/>
        <v>0</v>
      </c>
      <c r="BH2032" s="322">
        <f t="shared" si="1234"/>
        <v>0</v>
      </c>
      <c r="BI2032" s="322">
        <f t="shared" si="1234"/>
        <v>0</v>
      </c>
      <c r="BJ2032" s="322">
        <f t="shared" si="1234"/>
        <v>0</v>
      </c>
      <c r="BK2032" s="6">
        <f t="shared" si="1219"/>
        <v>0</v>
      </c>
      <c r="BL2032" s="322"/>
      <c r="BM2032" s="322"/>
      <c r="BN2032" s="322"/>
      <c r="BO2032" s="322"/>
      <c r="BP2032" s="322"/>
      <c r="BQ2032" s="322"/>
      <c r="BR2032" s="322"/>
      <c r="BS2032" s="322"/>
      <c r="BT2032" s="322"/>
      <c r="BU2032" s="322"/>
      <c r="BV2032" s="322"/>
      <c r="BW2032" s="322"/>
      <c r="BX2032" s="322"/>
      <c r="BY2032" s="322"/>
      <c r="BZ2032" s="322"/>
      <c r="CA2032" s="322"/>
      <c r="CB2032" s="322"/>
      <c r="CC2032" s="322"/>
      <c r="CD2032" s="322"/>
      <c r="CE2032" s="322"/>
      <c r="CF2032" s="322"/>
      <c r="CG2032" s="322"/>
      <c r="CH2032" s="322"/>
      <c r="CI2032" s="322"/>
      <c r="CM2032" s="1139">
        <f t="shared" si="1221"/>
        <v>0</v>
      </c>
      <c r="CN2032" s="1139">
        <v>0</v>
      </c>
      <c r="CP2032" s="923">
        <f t="shared" si="1220"/>
        <v>0</v>
      </c>
      <c r="CZ2032" s="330"/>
    </row>
    <row r="2033" spans="1:104" ht="15" customHeight="1" x14ac:dyDescent="0.25">
      <c r="A2033" s="684">
        <f>MAX($A$6:A2032)+1</f>
        <v>2033</v>
      </c>
      <c r="B2033" s="1060">
        <f>B2032</f>
        <v>80</v>
      </c>
      <c r="C2033" s="11" t="s">
        <v>406</v>
      </c>
      <c r="D2033" s="11" t="s">
        <v>1709</v>
      </c>
      <c r="E2033" s="1254" t="s">
        <v>2614</v>
      </c>
      <c r="F2033" s="15"/>
      <c r="G2033" s="1254" t="s">
        <v>1731</v>
      </c>
      <c r="H2033" s="6">
        <v>0</v>
      </c>
      <c r="I2033" s="1290"/>
      <c r="J2033" s="1253" t="s">
        <v>2614</v>
      </c>
      <c r="K2033" s="1252">
        <f>'alb A - Losses &amp; special pay'!D26</f>
        <v>0</v>
      </c>
      <c r="L2033" s="985" t="s">
        <v>1732</v>
      </c>
      <c r="M2033" s="2"/>
      <c r="N2033" s="273">
        <f t="shared" si="1232"/>
        <v>0</v>
      </c>
      <c r="O2033" s="12"/>
      <c r="P2033" s="12"/>
      <c r="Q2033" s="12"/>
      <c r="R2033" s="12"/>
      <c r="S2033" s="6">
        <f>-IF(ISNUMBER(BD2033),BD2033,0)</f>
        <v>0</v>
      </c>
      <c r="T2033" s="273">
        <f t="shared" si="1233"/>
        <v>0</v>
      </c>
      <c r="U2033" s="6"/>
      <c r="V2033" s="6"/>
      <c r="W2033" s="6">
        <f t="shared" si="1227"/>
        <v>0</v>
      </c>
      <c r="X2033" s="6"/>
      <c r="Y2033" s="6"/>
      <c r="Z2033" s="6"/>
      <c r="AA2033" s="1190"/>
      <c r="AB2033" s="1190"/>
      <c r="AC2033" s="1190"/>
      <c r="AD2033" s="6"/>
      <c r="AE2033" s="6"/>
      <c r="AF2033" s="6"/>
      <c r="AG2033" s="6"/>
      <c r="AH2033" s="6"/>
      <c r="AI2033" s="6"/>
      <c r="AJ2033" s="6"/>
      <c r="AK2033" s="6"/>
      <c r="AL2033" s="6"/>
      <c r="AM2033" s="6"/>
      <c r="AN2033" s="6"/>
      <c r="AO2033" s="6"/>
      <c r="AP2033" s="6"/>
      <c r="AQ2033" s="6"/>
      <c r="AR2033" s="6"/>
      <c r="AS2033" s="6"/>
      <c r="AT2033" s="6"/>
      <c r="AU2033" s="6"/>
      <c r="AV2033" s="6"/>
      <c r="AX2033" s="6"/>
      <c r="AY2033" s="6"/>
      <c r="BA2033" s="6"/>
      <c r="BB2033" s="6"/>
      <c r="BC2033" s="6"/>
      <c r="BD2033" s="6">
        <f>ROUND(SUM(BE2033:BK2033),0)</f>
        <v>0</v>
      </c>
      <c r="BE2033" s="322"/>
      <c r="BF2033" s="322"/>
      <c r="BG2033" s="322"/>
      <c r="BH2033" s="322"/>
      <c r="BI2033" s="322"/>
      <c r="BJ2033" s="322"/>
      <c r="BK2033" s="6">
        <f t="shared" si="1219"/>
        <v>0</v>
      </c>
      <c r="BL2033" s="322"/>
      <c r="BM2033" s="322"/>
      <c r="BN2033" s="322"/>
      <c r="BO2033" s="322"/>
      <c r="BP2033" s="322"/>
      <c r="BQ2033" s="322"/>
      <c r="BR2033" s="322"/>
      <c r="BS2033" s="322"/>
      <c r="BT2033" s="322"/>
      <c r="BU2033" s="322"/>
      <c r="BV2033" s="322"/>
      <c r="BW2033" s="322"/>
      <c r="BX2033" s="322"/>
      <c r="BY2033" s="322"/>
      <c r="BZ2033" s="322"/>
      <c r="CA2033" s="322"/>
      <c r="CB2033" s="322"/>
      <c r="CC2033" s="322"/>
      <c r="CD2033" s="322"/>
      <c r="CE2033" s="322"/>
      <c r="CF2033" s="322"/>
      <c r="CG2033" s="322"/>
      <c r="CH2033" s="322"/>
      <c r="CI2033" s="322"/>
      <c r="CM2033" s="1139">
        <f t="shared" si="1221"/>
        <v>0</v>
      </c>
      <c r="CN2033" s="1139">
        <v>0</v>
      </c>
      <c r="CP2033" s="923">
        <f t="shared" si="1220"/>
        <v>0</v>
      </c>
      <c r="CZ2033" s="330"/>
    </row>
    <row r="2034" spans="1:104" ht="15" customHeight="1" x14ac:dyDescent="0.25">
      <c r="A2034" s="684">
        <f>MAX($A$6:A2033)+1</f>
        <v>2034</v>
      </c>
      <c r="B2034" s="1060">
        <f>B2033</f>
        <v>80</v>
      </c>
      <c r="C2034" s="11" t="s">
        <v>406</v>
      </c>
      <c r="D2034" s="11" t="s">
        <v>1709</v>
      </c>
      <c r="E2034" s="1254" t="s">
        <v>2615</v>
      </c>
      <c r="F2034" s="15"/>
      <c r="G2034" s="1254" t="s">
        <v>1731</v>
      </c>
      <c r="H2034" s="6">
        <v>0</v>
      </c>
      <c r="I2034" s="1290"/>
      <c r="J2034" s="1253" t="s">
        <v>2615</v>
      </c>
      <c r="K2034" s="1252">
        <f>'alb A - Losses &amp; special pay'!E26</f>
        <v>0</v>
      </c>
      <c r="L2034" s="985" t="s">
        <v>1732</v>
      </c>
      <c r="M2034" s="2"/>
      <c r="N2034" s="273">
        <f t="shared" si="1232"/>
        <v>0</v>
      </c>
      <c r="O2034" s="12"/>
      <c r="P2034" s="12"/>
      <c r="Q2034" s="12"/>
      <c r="R2034" s="12"/>
      <c r="S2034" s="6">
        <f>-IF(ISNUMBER(BD2034),BD2034,0)</f>
        <v>0</v>
      </c>
      <c r="T2034" s="273">
        <f t="shared" si="1233"/>
        <v>0</v>
      </c>
      <c r="U2034" s="6"/>
      <c r="V2034" s="6"/>
      <c r="W2034" s="6">
        <f t="shared" si="1227"/>
        <v>0</v>
      </c>
      <c r="X2034" s="6"/>
      <c r="Y2034" s="6"/>
      <c r="Z2034" s="6"/>
      <c r="AA2034" s="1190"/>
      <c r="AB2034" s="1190"/>
      <c r="AC2034" s="1190"/>
      <c r="AD2034" s="6"/>
      <c r="AE2034" s="6"/>
      <c r="AF2034" s="6"/>
      <c r="AG2034" s="6"/>
      <c r="AH2034" s="6"/>
      <c r="AI2034" s="6"/>
      <c r="AJ2034" s="6"/>
      <c r="AK2034" s="6"/>
      <c r="AL2034" s="6"/>
      <c r="AM2034" s="6"/>
      <c r="AN2034" s="6"/>
      <c r="AO2034" s="6"/>
      <c r="AP2034" s="6"/>
      <c r="AQ2034" s="6"/>
      <c r="AR2034" s="6"/>
      <c r="AS2034" s="6"/>
      <c r="AT2034" s="6"/>
      <c r="AU2034" s="6"/>
      <c r="AV2034" s="6"/>
      <c r="AX2034" s="6"/>
      <c r="AY2034" s="6"/>
      <c r="BA2034" s="6"/>
      <c r="BB2034" s="6"/>
      <c r="BC2034" s="6"/>
      <c r="BD2034" s="6">
        <f>ROUND(SUM(BE2034:BK2034),0)</f>
        <v>0</v>
      </c>
      <c r="BE2034" s="322"/>
      <c r="BF2034" s="322"/>
      <c r="BG2034" s="322"/>
      <c r="BH2034" s="322"/>
      <c r="BI2034" s="322"/>
      <c r="BJ2034" s="322"/>
      <c r="BK2034" s="6">
        <f t="shared" si="1219"/>
        <v>0</v>
      </c>
      <c r="BL2034" s="322"/>
      <c r="BM2034" s="322"/>
      <c r="BN2034" s="322"/>
      <c r="BO2034" s="322"/>
      <c r="BP2034" s="322"/>
      <c r="BQ2034" s="322"/>
      <c r="BR2034" s="322"/>
      <c r="BS2034" s="322"/>
      <c r="BT2034" s="322"/>
      <c r="BU2034" s="322"/>
      <c r="BV2034" s="322"/>
      <c r="BW2034" s="322"/>
      <c r="BX2034" s="322"/>
      <c r="BY2034" s="322"/>
      <c r="BZ2034" s="322"/>
      <c r="CA2034" s="322"/>
      <c r="CB2034" s="322"/>
      <c r="CC2034" s="322"/>
      <c r="CD2034" s="322"/>
      <c r="CE2034" s="322"/>
      <c r="CF2034" s="322"/>
      <c r="CG2034" s="322"/>
      <c r="CH2034" s="322"/>
      <c r="CI2034" s="322"/>
      <c r="CM2034" s="1139">
        <f t="shared" si="1221"/>
        <v>0</v>
      </c>
      <c r="CN2034" s="1139">
        <v>0</v>
      </c>
      <c r="CP2034" s="923">
        <f t="shared" si="1220"/>
        <v>0</v>
      </c>
      <c r="CZ2034" s="330"/>
    </row>
    <row r="2035" spans="1:104" ht="15" customHeight="1" x14ac:dyDescent="0.25">
      <c r="A2035" s="684">
        <f>MAX($A$6:A2034)+1</f>
        <v>2035</v>
      </c>
      <c r="B2035" s="1060">
        <f>B2034</f>
        <v>80</v>
      </c>
      <c r="C2035" s="11" t="s">
        <v>406</v>
      </c>
      <c r="D2035" s="11" t="s">
        <v>415</v>
      </c>
      <c r="E2035" s="1254" t="s">
        <v>2616</v>
      </c>
      <c r="F2035" s="15"/>
      <c r="G2035" s="1254" t="s">
        <v>1897</v>
      </c>
      <c r="H2035" s="6">
        <v>0</v>
      </c>
      <c r="I2035" s="1290"/>
      <c r="J2035" s="1253" t="s">
        <v>2616</v>
      </c>
      <c r="K2035" s="1252">
        <f>'alb A - Losses &amp; special pay'!D57</f>
        <v>0</v>
      </c>
      <c r="L2035" s="985" t="s">
        <v>1734</v>
      </c>
      <c r="M2035" s="2"/>
      <c r="N2035" s="273">
        <f t="shared" si="1232"/>
        <v>0</v>
      </c>
      <c r="O2035" s="12"/>
      <c r="P2035" s="12"/>
      <c r="Q2035" s="12"/>
      <c r="R2035" s="12"/>
      <c r="S2035" s="6">
        <f>-IF(ISNUMBER(BD2035),BD2035,0)</f>
        <v>0</v>
      </c>
      <c r="T2035" s="273">
        <f t="shared" si="1233"/>
        <v>0</v>
      </c>
      <c r="U2035" s="6"/>
      <c r="V2035" s="6"/>
      <c r="W2035" s="6">
        <f t="shared" si="1227"/>
        <v>0</v>
      </c>
      <c r="X2035" s="6"/>
      <c r="Y2035" s="6"/>
      <c r="Z2035" s="6"/>
      <c r="AA2035" s="1190"/>
      <c r="AB2035" s="1190"/>
      <c r="AC2035" s="1190"/>
      <c r="AD2035" s="6"/>
      <c r="AE2035" s="6"/>
      <c r="AF2035" s="6"/>
      <c r="AG2035" s="6"/>
      <c r="AH2035" s="6"/>
      <c r="AI2035" s="6"/>
      <c r="AJ2035" s="6"/>
      <c r="AK2035" s="6"/>
      <c r="AL2035" s="6"/>
      <c r="AM2035" s="6"/>
      <c r="AN2035" s="6"/>
      <c r="AO2035" s="6"/>
      <c r="AP2035" s="6"/>
      <c r="AQ2035" s="6"/>
      <c r="AR2035" s="6"/>
      <c r="AS2035" s="6"/>
      <c r="AT2035" s="6"/>
      <c r="AU2035" s="6"/>
      <c r="AV2035" s="6"/>
      <c r="AX2035" s="6"/>
      <c r="AY2035" s="6"/>
      <c r="BA2035" s="6"/>
      <c r="BB2035" s="6"/>
      <c r="BC2035" s="6"/>
      <c r="BD2035" s="6">
        <f>ROUND(SUM(BE2035:BK2035),0)</f>
        <v>0</v>
      </c>
      <c r="BE2035" s="322"/>
      <c r="BF2035" s="322"/>
      <c r="BG2035" s="322"/>
      <c r="BH2035" s="322"/>
      <c r="BI2035" s="322"/>
      <c r="BJ2035" s="322"/>
      <c r="BK2035" s="6">
        <f t="shared" si="1219"/>
        <v>0</v>
      </c>
      <c r="BL2035" s="322"/>
      <c r="BM2035" s="322"/>
      <c r="BN2035" s="322"/>
      <c r="BO2035" s="322"/>
      <c r="BP2035" s="322"/>
      <c r="BQ2035" s="322"/>
      <c r="BR2035" s="322"/>
      <c r="BS2035" s="322"/>
      <c r="BT2035" s="322"/>
      <c r="BU2035" s="322"/>
      <c r="BV2035" s="322"/>
      <c r="BW2035" s="322"/>
      <c r="BX2035" s="322"/>
      <c r="BY2035" s="322"/>
      <c r="BZ2035" s="322"/>
      <c r="CA2035" s="322"/>
      <c r="CB2035" s="322"/>
      <c r="CC2035" s="322"/>
      <c r="CD2035" s="322"/>
      <c r="CE2035" s="322"/>
      <c r="CF2035" s="322"/>
      <c r="CG2035" s="322"/>
      <c r="CH2035" s="322"/>
      <c r="CI2035" s="322"/>
      <c r="CM2035" s="1139">
        <f t="shared" si="1221"/>
        <v>0</v>
      </c>
      <c r="CN2035" s="1139">
        <v>0</v>
      </c>
      <c r="CP2035" s="923">
        <f t="shared" si="1220"/>
        <v>0</v>
      </c>
      <c r="CZ2035" s="330"/>
    </row>
    <row r="2036" spans="1:104" ht="15" customHeight="1" x14ac:dyDescent="0.25">
      <c r="A2036" s="684">
        <f>MAX($A$6:A2035)+1</f>
        <v>2036</v>
      </c>
      <c r="B2036" s="1060">
        <f>B2035</f>
        <v>80</v>
      </c>
      <c r="C2036" s="11" t="s">
        <v>406</v>
      </c>
      <c r="D2036" s="11" t="s">
        <v>415</v>
      </c>
      <c r="E2036" s="1254" t="s">
        <v>2617</v>
      </c>
      <c r="F2036" s="15"/>
      <c r="G2036" s="1254" t="s">
        <v>1897</v>
      </c>
      <c r="H2036" s="6">
        <v>0</v>
      </c>
      <c r="I2036" s="1290"/>
      <c r="J2036" s="1253" t="s">
        <v>2617</v>
      </c>
      <c r="K2036" s="1252">
        <f>'alb A - Losses &amp; special pay'!E57</f>
        <v>0</v>
      </c>
      <c r="L2036" s="985" t="s">
        <v>1734</v>
      </c>
      <c r="M2036" s="2"/>
      <c r="N2036" s="273">
        <f t="shared" si="1232"/>
        <v>0</v>
      </c>
      <c r="O2036" s="12"/>
      <c r="P2036" s="12"/>
      <c r="Q2036" s="12"/>
      <c r="R2036" s="12"/>
      <c r="S2036" s="6">
        <f>-IF(ISNUMBER(BD2036),BD2036,0)</f>
        <v>0</v>
      </c>
      <c r="T2036" s="273">
        <f t="shared" si="1233"/>
        <v>0</v>
      </c>
      <c r="U2036" s="6"/>
      <c r="V2036" s="6"/>
      <c r="W2036" s="6">
        <f t="shared" si="1227"/>
        <v>0</v>
      </c>
      <c r="X2036" s="6"/>
      <c r="Y2036" s="6"/>
      <c r="Z2036" s="6"/>
      <c r="AA2036" s="1190"/>
      <c r="AB2036" s="1190"/>
      <c r="AC2036" s="1190"/>
      <c r="AD2036" s="6"/>
      <c r="AE2036" s="6"/>
      <c r="AF2036" s="6"/>
      <c r="AG2036" s="6"/>
      <c r="AH2036" s="6"/>
      <c r="AI2036" s="6"/>
      <c r="AJ2036" s="6"/>
      <c r="AK2036" s="6"/>
      <c r="AL2036" s="6"/>
      <c r="AM2036" s="6"/>
      <c r="AN2036" s="6"/>
      <c r="AO2036" s="6"/>
      <c r="AP2036" s="6"/>
      <c r="AQ2036" s="6"/>
      <c r="AR2036" s="6"/>
      <c r="AS2036" s="6"/>
      <c r="AT2036" s="6"/>
      <c r="AU2036" s="6"/>
      <c r="AV2036" s="6"/>
      <c r="AX2036" s="6"/>
      <c r="AY2036" s="6"/>
      <c r="BA2036" s="6"/>
      <c r="BB2036" s="6"/>
      <c r="BC2036" s="6"/>
      <c r="BD2036" s="6">
        <f>ROUND(SUM(BE2036:BK2036),0)</f>
        <v>0</v>
      </c>
      <c r="BE2036" s="322"/>
      <c r="BF2036" s="322"/>
      <c r="BG2036" s="322"/>
      <c r="BH2036" s="322"/>
      <c r="BI2036" s="322"/>
      <c r="BJ2036" s="322"/>
      <c r="BK2036" s="6">
        <f t="shared" si="1219"/>
        <v>0</v>
      </c>
      <c r="BL2036" s="322"/>
      <c r="BM2036" s="322"/>
      <c r="BN2036" s="322"/>
      <c r="BO2036" s="322"/>
      <c r="BP2036" s="322"/>
      <c r="BQ2036" s="322"/>
      <c r="BR2036" s="322"/>
      <c r="BS2036" s="322"/>
      <c r="BT2036" s="322"/>
      <c r="BU2036" s="322"/>
      <c r="BV2036" s="322"/>
      <c r="BW2036" s="322"/>
      <c r="BX2036" s="322"/>
      <c r="BY2036" s="322"/>
      <c r="BZ2036" s="322"/>
      <c r="CA2036" s="322"/>
      <c r="CB2036" s="322"/>
      <c r="CC2036" s="322"/>
      <c r="CD2036" s="322"/>
      <c r="CE2036" s="322"/>
      <c r="CF2036" s="322"/>
      <c r="CG2036" s="322"/>
      <c r="CH2036" s="322"/>
      <c r="CI2036" s="322"/>
      <c r="CM2036" s="1139">
        <f t="shared" si="1221"/>
        <v>0</v>
      </c>
      <c r="CN2036" s="1139">
        <v>0</v>
      </c>
      <c r="CP2036" s="923">
        <f t="shared" si="1220"/>
        <v>0</v>
      </c>
      <c r="CZ2036" s="330"/>
    </row>
    <row r="2037" spans="1:104" ht="74.25" customHeight="1" x14ac:dyDescent="0.25">
      <c r="A2037" s="684">
        <f>MAX($A$6:A2036)+1</f>
        <v>2037</v>
      </c>
      <c r="B2037" s="1060">
        <f>B2036</f>
        <v>80</v>
      </c>
      <c r="C2037" s="11" t="s">
        <v>406</v>
      </c>
      <c r="D2037" s="11"/>
      <c r="E2037" s="7"/>
      <c r="F2037" s="7"/>
      <c r="G2037" s="26"/>
      <c r="H2037" s="6"/>
      <c r="I2037" s="6"/>
      <c r="J2037" s="1269" t="s">
        <v>1821</v>
      </c>
      <c r="K2037" s="1255">
        <f>'alb A - Losses &amp; special pay'!B60</f>
        <v>0</v>
      </c>
      <c r="L2037" s="266"/>
      <c r="M2037" s="2"/>
      <c r="N2037" s="273">
        <f>ROUND(SUM(O2037:AU2037)-T2037,0)</f>
        <v>0</v>
      </c>
      <c r="O2037" s="12"/>
      <c r="P2037" s="12"/>
      <c r="Q2037" s="12"/>
      <c r="R2037" s="12"/>
      <c r="S2037" s="6">
        <f>-IF(ISNUMBER(BD2037),BD2037,0)</f>
        <v>0</v>
      </c>
      <c r="T2037" s="273">
        <f t="shared" si="1233"/>
        <v>0</v>
      </c>
      <c r="U2037" s="6"/>
      <c r="V2037" s="6"/>
      <c r="W2037" s="6">
        <f t="shared" si="1227"/>
        <v>0</v>
      </c>
      <c r="X2037" s="6"/>
      <c r="Y2037" s="6"/>
      <c r="Z2037" s="6"/>
      <c r="AA2037" s="1190"/>
      <c r="AB2037" s="1190"/>
      <c r="AC2037" s="1190"/>
      <c r="AD2037" s="6"/>
      <c r="AE2037" s="6"/>
      <c r="AF2037" s="6"/>
      <c r="AG2037" s="6"/>
      <c r="AH2037" s="6"/>
      <c r="AI2037" s="6"/>
      <c r="AJ2037" s="6"/>
      <c r="AK2037" s="6"/>
      <c r="AL2037" s="6"/>
      <c r="AM2037" s="6"/>
      <c r="AN2037" s="6"/>
      <c r="AO2037" s="6"/>
      <c r="AP2037" s="6"/>
      <c r="AQ2037" s="6"/>
      <c r="AR2037" s="6"/>
      <c r="AS2037" s="6"/>
      <c r="AT2037" s="6"/>
      <c r="AU2037" s="6"/>
      <c r="AV2037" s="6"/>
      <c r="AX2037" s="6"/>
      <c r="AY2037" s="6">
        <f>ROUND(AX2037/1000/Update!$B$31*Update!$B$27,0)</f>
        <v>0</v>
      </c>
      <c r="BA2037" s="6"/>
      <c r="BB2037" s="6">
        <f>ROUND(BA2037/1000/Update!$B$31,0)</f>
        <v>0</v>
      </c>
      <c r="BC2037" s="6"/>
      <c r="BD2037" s="6">
        <f>ROUND(SUM(BE2037:BK2037),0)</f>
        <v>0</v>
      </c>
      <c r="BE2037" s="322"/>
      <c r="BF2037" s="322"/>
      <c r="BG2037" s="322"/>
      <c r="BH2037" s="322"/>
      <c r="BI2037" s="322"/>
      <c r="BJ2037" s="322"/>
      <c r="BK2037" s="6">
        <f t="shared" si="1219"/>
        <v>0</v>
      </c>
      <c r="BL2037" s="322"/>
      <c r="BM2037" s="322"/>
      <c r="BN2037" s="322"/>
      <c r="BO2037" s="322"/>
      <c r="BP2037" s="322"/>
      <c r="BQ2037" s="322"/>
      <c r="BR2037" s="322"/>
      <c r="BS2037" s="322"/>
      <c r="BT2037" s="322"/>
      <c r="BU2037" s="322"/>
      <c r="BV2037" s="322"/>
      <c r="BW2037" s="322"/>
      <c r="BX2037" s="322"/>
      <c r="BY2037" s="322"/>
      <c r="BZ2037" s="322"/>
      <c r="CA2037" s="322"/>
      <c r="CB2037" s="322"/>
      <c r="CC2037" s="322"/>
      <c r="CD2037" s="322"/>
      <c r="CE2037" s="322"/>
      <c r="CF2037" s="322"/>
      <c r="CG2037" s="322"/>
      <c r="CH2037" s="322"/>
      <c r="CI2037" s="322"/>
      <c r="CM2037" s="1139">
        <f t="shared" si="1221"/>
        <v>0</v>
      </c>
      <c r="CN2037" s="1139">
        <v>0</v>
      </c>
      <c r="CP2037" s="923">
        <f t="shared" si="1220"/>
        <v>0</v>
      </c>
      <c r="CZ2037" s="330"/>
    </row>
    <row r="2038" spans="1:104" ht="15" customHeight="1" x14ac:dyDescent="0.25">
      <c r="A2038" s="684">
        <f>MAX($A$6:A2037)+1</f>
        <v>2038</v>
      </c>
      <c r="B2038" s="1060">
        <f>B2035</f>
        <v>80</v>
      </c>
      <c r="C2038" s="11" t="s">
        <v>406</v>
      </c>
      <c r="D2038" s="11" t="s">
        <v>894</v>
      </c>
      <c r="E2038" s="7" t="s">
        <v>286</v>
      </c>
      <c r="F2038" s="15"/>
      <c r="G2038" s="26"/>
      <c r="H2038" s="1190"/>
      <c r="I2038" s="1290"/>
      <c r="J2038" s="965" t="s">
        <v>1733</v>
      </c>
      <c r="K2038" s="1255">
        <f>'alb A - Losses &amp; special pay'!B65</f>
        <v>0</v>
      </c>
      <c r="L2038" s="266"/>
      <c r="M2038" s="2"/>
      <c r="N2038" s="273">
        <f t="shared" si="1232"/>
        <v>0</v>
      </c>
      <c r="O2038" s="12"/>
      <c r="P2038" s="12"/>
      <c r="Q2038" s="12"/>
      <c r="R2038" s="12"/>
      <c r="S2038" s="6">
        <f t="shared" ref="S2038:S2069" si="1235">-IF(ISNUMBER(BD2038),BD2038,0)</f>
        <v>0</v>
      </c>
      <c r="T2038" s="273">
        <f t="shared" ref="T2038:T2045" si="1236">ROUND(SUM(U2038:Y2038),0)</f>
        <v>0</v>
      </c>
      <c r="U2038" s="6"/>
      <c r="V2038" s="6"/>
      <c r="W2038" s="6">
        <f t="shared" si="1227"/>
        <v>0</v>
      </c>
      <c r="X2038" s="6"/>
      <c r="Y2038" s="6"/>
      <c r="Z2038" s="6"/>
      <c r="AA2038" s="1190"/>
      <c r="AB2038" s="1190"/>
      <c r="AC2038" s="1190"/>
      <c r="AD2038" s="6"/>
      <c r="AE2038" s="6"/>
      <c r="AF2038" s="6"/>
      <c r="AG2038" s="6"/>
      <c r="AH2038" s="6"/>
      <c r="AI2038" s="6"/>
      <c r="AJ2038" s="6"/>
      <c r="AK2038" s="6"/>
      <c r="AL2038" s="6"/>
      <c r="AM2038" s="6"/>
      <c r="AN2038" s="6"/>
      <c r="AO2038" s="6"/>
      <c r="AP2038" s="6"/>
      <c r="AQ2038" s="6"/>
      <c r="AR2038" s="6"/>
      <c r="AS2038" s="6"/>
      <c r="AT2038" s="6"/>
      <c r="AU2038" s="6"/>
      <c r="AV2038" s="6"/>
      <c r="AX2038" s="6"/>
      <c r="AY2038" s="6"/>
      <c r="BA2038" s="6"/>
      <c r="BB2038" s="6"/>
      <c r="BC2038" s="6"/>
      <c r="BD2038" s="6">
        <f t="shared" ref="BD2038:BD2045" si="1237">ROUND(SUM(BE2038:BK2038),0)</f>
        <v>0</v>
      </c>
      <c r="BE2038" s="322"/>
      <c r="BF2038" s="322"/>
      <c r="BG2038" s="322"/>
      <c r="BH2038" s="322"/>
      <c r="BI2038" s="322"/>
      <c r="BJ2038" s="322"/>
      <c r="BK2038" s="6">
        <f t="shared" si="1219"/>
        <v>0</v>
      </c>
      <c r="BL2038" s="322"/>
      <c r="BM2038" s="322"/>
      <c r="BN2038" s="322"/>
      <c r="BO2038" s="322"/>
      <c r="BP2038" s="322"/>
      <c r="BQ2038" s="322"/>
      <c r="BR2038" s="322"/>
      <c r="BS2038" s="322"/>
      <c r="BT2038" s="322"/>
      <c r="BU2038" s="322"/>
      <c r="BV2038" s="322"/>
      <c r="BW2038" s="322"/>
      <c r="BX2038" s="322"/>
      <c r="BY2038" s="322"/>
      <c r="BZ2038" s="322"/>
      <c r="CA2038" s="322"/>
      <c r="CB2038" s="322"/>
      <c r="CC2038" s="322"/>
      <c r="CD2038" s="322"/>
      <c r="CE2038" s="322"/>
      <c r="CF2038" s="322"/>
      <c r="CG2038" s="322"/>
      <c r="CH2038" s="322"/>
      <c r="CI2038" s="322"/>
      <c r="CM2038" s="1139">
        <f t="shared" si="1221"/>
        <v>0</v>
      </c>
      <c r="CN2038" s="1139">
        <v>0</v>
      </c>
      <c r="CP2038" s="923">
        <f t="shared" si="1220"/>
        <v>0</v>
      </c>
      <c r="CZ2038" s="330"/>
    </row>
    <row r="2039" spans="1:104" ht="15" customHeight="1" x14ac:dyDescent="0.25">
      <c r="A2039" s="684">
        <f>MAX($A$6:A2038)+1</f>
        <v>2039</v>
      </c>
      <c r="B2039" s="1060">
        <f t="shared" ref="B2039:B2044" si="1238">B2036</f>
        <v>80</v>
      </c>
      <c r="C2039" s="11" t="s">
        <v>406</v>
      </c>
      <c r="D2039" s="11" t="s">
        <v>2062</v>
      </c>
      <c r="E2039" s="1257" t="s">
        <v>2063</v>
      </c>
      <c r="F2039" s="15"/>
      <c r="G2039" s="1254" t="s">
        <v>2063</v>
      </c>
      <c r="H2039" s="1190">
        <v>0</v>
      </c>
      <c r="I2039" s="1290"/>
      <c r="J2039" s="1262" t="s">
        <v>2063</v>
      </c>
      <c r="K2039" s="251">
        <f>SUMIF('alb A - Losses &amp; special pay'!$B:$B,$J2039,'alb A - Losses &amp; special pay'!$D:$D)</f>
        <v>0</v>
      </c>
      <c r="L2039" s="266"/>
      <c r="M2039" s="2"/>
      <c r="N2039" s="273">
        <f t="shared" si="1232"/>
        <v>0</v>
      </c>
      <c r="O2039" s="12"/>
      <c r="P2039" s="12"/>
      <c r="Q2039" s="12"/>
      <c r="R2039" s="12"/>
      <c r="S2039" s="6">
        <f t="shared" si="1235"/>
        <v>0</v>
      </c>
      <c r="T2039" s="273">
        <f t="shared" si="1236"/>
        <v>0</v>
      </c>
      <c r="U2039" s="6"/>
      <c r="V2039" s="6"/>
      <c r="W2039" s="6">
        <f t="shared" si="1227"/>
        <v>0</v>
      </c>
      <c r="X2039" s="6"/>
      <c r="Y2039" s="6"/>
      <c r="Z2039" s="6"/>
      <c r="AA2039" s="1190"/>
      <c r="AB2039" s="1190"/>
      <c r="AC2039" s="1190"/>
      <c r="AD2039" s="6"/>
      <c r="AE2039" s="6"/>
      <c r="AF2039" s="6"/>
      <c r="AG2039" s="6"/>
      <c r="AH2039" s="6"/>
      <c r="AI2039" s="6"/>
      <c r="AJ2039" s="6"/>
      <c r="AK2039" s="6"/>
      <c r="AL2039" s="6"/>
      <c r="AM2039" s="6"/>
      <c r="AN2039" s="6"/>
      <c r="AO2039" s="6"/>
      <c r="AP2039" s="6"/>
      <c r="AQ2039" s="6"/>
      <c r="AR2039" s="6"/>
      <c r="AS2039" s="6"/>
      <c r="AT2039" s="6"/>
      <c r="AU2039" s="6"/>
      <c r="AV2039" s="6"/>
      <c r="AX2039" s="6"/>
      <c r="AY2039" s="6"/>
      <c r="BA2039" s="6"/>
      <c r="BB2039" s="6"/>
      <c r="BC2039" s="6"/>
      <c r="BD2039" s="6">
        <f t="shared" si="1237"/>
        <v>0</v>
      </c>
      <c r="BE2039" s="322"/>
      <c r="BF2039" s="322"/>
      <c r="BG2039" s="322"/>
      <c r="BH2039" s="322"/>
      <c r="BI2039" s="322"/>
      <c r="BJ2039" s="322"/>
      <c r="BK2039" s="6">
        <f t="shared" si="1219"/>
        <v>0</v>
      </c>
      <c r="BL2039" s="322"/>
      <c r="BM2039" s="322"/>
      <c r="BN2039" s="322"/>
      <c r="BO2039" s="322"/>
      <c r="BP2039" s="322"/>
      <c r="BQ2039" s="322"/>
      <c r="BR2039" s="322"/>
      <c r="BS2039" s="322"/>
      <c r="BT2039" s="322"/>
      <c r="BU2039" s="322"/>
      <c r="BV2039" s="322"/>
      <c r="BW2039" s="322"/>
      <c r="BX2039" s="322"/>
      <c r="BY2039" s="322"/>
      <c r="BZ2039" s="322"/>
      <c r="CA2039" s="322"/>
      <c r="CB2039" s="322"/>
      <c r="CC2039" s="322"/>
      <c r="CD2039" s="322"/>
      <c r="CE2039" s="322"/>
      <c r="CF2039" s="322"/>
      <c r="CG2039" s="322"/>
      <c r="CH2039" s="322"/>
      <c r="CI2039" s="322"/>
      <c r="CM2039" s="1139">
        <f t="shared" si="1221"/>
        <v>0</v>
      </c>
      <c r="CN2039" s="1139">
        <v>0</v>
      </c>
      <c r="CP2039" s="923">
        <f t="shared" si="1220"/>
        <v>0</v>
      </c>
      <c r="CZ2039" s="330"/>
    </row>
    <row r="2040" spans="1:104" ht="15" customHeight="1" x14ac:dyDescent="0.25">
      <c r="A2040" s="684">
        <f>MAX($A$6:A2039)+1</f>
        <v>2040</v>
      </c>
      <c r="B2040" s="1060">
        <f t="shared" si="1238"/>
        <v>80</v>
      </c>
      <c r="C2040" s="11" t="s">
        <v>406</v>
      </c>
      <c r="D2040" s="11" t="s">
        <v>2062</v>
      </c>
      <c r="E2040" s="1257" t="s">
        <v>2072</v>
      </c>
      <c r="F2040" s="15"/>
      <c r="G2040" s="1254" t="s">
        <v>2072</v>
      </c>
      <c r="H2040" s="1190">
        <v>0</v>
      </c>
      <c r="I2040" s="1290"/>
      <c r="J2040" s="1262" t="s">
        <v>2064</v>
      </c>
      <c r="K2040" s="251">
        <f>SUMIF('alb A - Losses &amp; special pay'!$B:$B,$J2040,'alb A - Losses &amp; special pay'!$E:$E)</f>
        <v>0</v>
      </c>
      <c r="L2040" s="266"/>
      <c r="M2040" s="2"/>
      <c r="N2040" s="273">
        <f t="shared" si="1232"/>
        <v>0</v>
      </c>
      <c r="O2040" s="12"/>
      <c r="P2040" s="12"/>
      <c r="Q2040" s="12"/>
      <c r="R2040" s="12"/>
      <c r="S2040" s="6">
        <f t="shared" si="1235"/>
        <v>0</v>
      </c>
      <c r="T2040" s="273">
        <f t="shared" si="1236"/>
        <v>0</v>
      </c>
      <c r="U2040" s="6"/>
      <c r="V2040" s="6"/>
      <c r="W2040" s="6">
        <f t="shared" si="1227"/>
        <v>0</v>
      </c>
      <c r="X2040" s="6"/>
      <c r="Y2040" s="6"/>
      <c r="Z2040" s="6"/>
      <c r="AA2040" s="1190"/>
      <c r="AB2040" s="1190"/>
      <c r="AC2040" s="1190"/>
      <c r="AD2040" s="6"/>
      <c r="AE2040" s="6"/>
      <c r="AF2040" s="6"/>
      <c r="AG2040" s="6"/>
      <c r="AH2040" s="6"/>
      <c r="AI2040" s="6"/>
      <c r="AJ2040" s="6"/>
      <c r="AK2040" s="6"/>
      <c r="AL2040" s="6"/>
      <c r="AM2040" s="6"/>
      <c r="AN2040" s="6"/>
      <c r="AO2040" s="6"/>
      <c r="AP2040" s="6"/>
      <c r="AQ2040" s="6"/>
      <c r="AR2040" s="6"/>
      <c r="AS2040" s="6"/>
      <c r="AT2040" s="6"/>
      <c r="AU2040" s="6"/>
      <c r="AV2040" s="6"/>
      <c r="AX2040" s="6"/>
      <c r="AY2040" s="6"/>
      <c r="BA2040" s="6"/>
      <c r="BB2040" s="6"/>
      <c r="BC2040" s="6"/>
      <c r="BD2040" s="6">
        <f t="shared" si="1237"/>
        <v>0</v>
      </c>
      <c r="BE2040" s="322"/>
      <c r="BF2040" s="322"/>
      <c r="BG2040" s="322"/>
      <c r="BH2040" s="322"/>
      <c r="BI2040" s="322"/>
      <c r="BJ2040" s="322"/>
      <c r="BK2040" s="6">
        <f t="shared" si="1219"/>
        <v>0</v>
      </c>
      <c r="BL2040" s="322"/>
      <c r="BM2040" s="322"/>
      <c r="BN2040" s="322"/>
      <c r="BO2040" s="322"/>
      <c r="BP2040" s="322"/>
      <c r="BQ2040" s="322"/>
      <c r="BR2040" s="322"/>
      <c r="BS2040" s="322"/>
      <c r="BT2040" s="322"/>
      <c r="BU2040" s="322"/>
      <c r="BV2040" s="322"/>
      <c r="BW2040" s="322"/>
      <c r="BX2040" s="322"/>
      <c r="BY2040" s="322"/>
      <c r="BZ2040" s="322"/>
      <c r="CA2040" s="322"/>
      <c r="CB2040" s="322"/>
      <c r="CC2040" s="322"/>
      <c r="CD2040" s="322"/>
      <c r="CE2040" s="322"/>
      <c r="CF2040" s="322"/>
      <c r="CG2040" s="322"/>
      <c r="CH2040" s="322"/>
      <c r="CI2040" s="322"/>
      <c r="CM2040" s="1139">
        <f t="shared" si="1221"/>
        <v>0</v>
      </c>
      <c r="CN2040" s="1139">
        <v>0</v>
      </c>
      <c r="CP2040" s="923">
        <f t="shared" si="1220"/>
        <v>0</v>
      </c>
      <c r="CZ2040" s="330"/>
    </row>
    <row r="2041" spans="1:104" ht="15" customHeight="1" x14ac:dyDescent="0.25">
      <c r="A2041" s="684">
        <f>MAX($A$6:A2040)+1</f>
        <v>2041</v>
      </c>
      <c r="B2041" s="1060">
        <f t="shared" si="1238"/>
        <v>80</v>
      </c>
      <c r="C2041" s="11" t="s">
        <v>406</v>
      </c>
      <c r="D2041" s="11" t="s">
        <v>2066</v>
      </c>
      <c r="E2041" s="7" t="s">
        <v>2065</v>
      </c>
      <c r="F2041" s="15"/>
      <c r="G2041" s="1254" t="s">
        <v>2065</v>
      </c>
      <c r="H2041" s="1190">
        <v>0</v>
      </c>
      <c r="I2041" s="1290"/>
      <c r="J2041" s="1262" t="s">
        <v>2065</v>
      </c>
      <c r="K2041" s="251">
        <f>SUMIF('alb A - Losses &amp; special pay'!$B:$B,$J2041,'alb A - Losses &amp; special pay'!$D:$D)</f>
        <v>0</v>
      </c>
      <c r="L2041" s="266"/>
      <c r="M2041" s="2"/>
      <c r="N2041" s="273">
        <f t="shared" si="1232"/>
        <v>0</v>
      </c>
      <c r="O2041" s="12"/>
      <c r="P2041" s="12"/>
      <c r="Q2041" s="12"/>
      <c r="R2041" s="12"/>
      <c r="S2041" s="6">
        <f t="shared" si="1235"/>
        <v>0</v>
      </c>
      <c r="T2041" s="273">
        <f t="shared" si="1236"/>
        <v>0</v>
      </c>
      <c r="U2041" s="6"/>
      <c r="V2041" s="6"/>
      <c r="W2041" s="6">
        <f t="shared" si="1227"/>
        <v>0</v>
      </c>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X2041" s="6"/>
      <c r="AY2041" s="6"/>
      <c r="BA2041" s="6"/>
      <c r="BB2041" s="6"/>
      <c r="BC2041" s="6"/>
      <c r="BD2041" s="6">
        <f t="shared" si="1237"/>
        <v>0</v>
      </c>
      <c r="BE2041" s="322"/>
      <c r="BF2041" s="322"/>
      <c r="BG2041" s="322"/>
      <c r="BH2041" s="322"/>
      <c r="BI2041" s="322"/>
      <c r="BJ2041" s="322"/>
      <c r="BK2041" s="6">
        <f t="shared" si="1219"/>
        <v>0</v>
      </c>
      <c r="BL2041" s="322"/>
      <c r="BM2041" s="322"/>
      <c r="BN2041" s="322"/>
      <c r="BO2041" s="322"/>
      <c r="BP2041" s="322"/>
      <c r="BQ2041" s="322"/>
      <c r="BR2041" s="322"/>
      <c r="BS2041" s="322"/>
      <c r="BT2041" s="322"/>
      <c r="BU2041" s="322"/>
      <c r="BV2041" s="322"/>
      <c r="BW2041" s="322"/>
      <c r="BX2041" s="322"/>
      <c r="BY2041" s="322"/>
      <c r="BZ2041" s="322"/>
      <c r="CA2041" s="322"/>
      <c r="CB2041" s="322"/>
      <c r="CC2041" s="322"/>
      <c r="CD2041" s="322"/>
      <c r="CE2041" s="322"/>
      <c r="CF2041" s="322"/>
      <c r="CG2041" s="322"/>
      <c r="CH2041" s="322"/>
      <c r="CI2041" s="322"/>
      <c r="CM2041" s="1139">
        <f t="shared" si="1221"/>
        <v>0</v>
      </c>
      <c r="CN2041" s="1139">
        <v>0</v>
      </c>
      <c r="CP2041" s="923">
        <f t="shared" si="1220"/>
        <v>0</v>
      </c>
      <c r="CZ2041" s="330"/>
    </row>
    <row r="2042" spans="1:104" ht="15" customHeight="1" x14ac:dyDescent="0.25">
      <c r="A2042" s="684">
        <f>MAX($A$6:A2041)+1</f>
        <v>2042</v>
      </c>
      <c r="B2042" s="1060">
        <f t="shared" si="1238"/>
        <v>80</v>
      </c>
      <c r="C2042" s="11" t="s">
        <v>406</v>
      </c>
      <c r="D2042" s="11" t="s">
        <v>2067</v>
      </c>
      <c r="E2042" s="7" t="s">
        <v>2065</v>
      </c>
      <c r="F2042" s="15"/>
      <c r="G2042" s="1254" t="s">
        <v>2065</v>
      </c>
      <c r="H2042" s="1190">
        <v>0</v>
      </c>
      <c r="I2042" s="1290"/>
      <c r="J2042" s="1262" t="s">
        <v>2065</v>
      </c>
      <c r="K2042" s="251">
        <f>SUMIF('alb A - Losses &amp; special pay'!$B:$B,$J2042,'alb A - Losses &amp; special pay'!$E:$E)</f>
        <v>0</v>
      </c>
      <c r="L2042" s="266"/>
      <c r="M2042" s="2"/>
      <c r="N2042" s="273">
        <f t="shared" si="1232"/>
        <v>0</v>
      </c>
      <c r="O2042" s="12"/>
      <c r="P2042" s="12"/>
      <c r="Q2042" s="12"/>
      <c r="R2042" s="12"/>
      <c r="S2042" s="6">
        <f t="shared" si="1235"/>
        <v>0</v>
      </c>
      <c r="T2042" s="273">
        <f t="shared" si="1236"/>
        <v>0</v>
      </c>
      <c r="U2042" s="6"/>
      <c r="V2042" s="6"/>
      <c r="W2042" s="6">
        <f t="shared" si="1227"/>
        <v>0</v>
      </c>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X2042" s="6"/>
      <c r="AY2042" s="6"/>
      <c r="BA2042" s="6"/>
      <c r="BB2042" s="6"/>
      <c r="BC2042" s="6"/>
      <c r="BD2042" s="6">
        <f t="shared" si="1237"/>
        <v>0</v>
      </c>
      <c r="BE2042" s="322"/>
      <c r="BF2042" s="322"/>
      <c r="BG2042" s="322"/>
      <c r="BH2042" s="322"/>
      <c r="BI2042" s="322"/>
      <c r="BJ2042" s="322"/>
      <c r="BK2042" s="6">
        <f t="shared" ref="BK2042:BK2097" si="1239">ROUND(SUM(BO2042:CI2042),0)</f>
        <v>0</v>
      </c>
      <c r="BL2042" s="322"/>
      <c r="BM2042" s="322"/>
      <c r="BN2042" s="322"/>
      <c r="BO2042" s="322"/>
      <c r="BP2042" s="322"/>
      <c r="BQ2042" s="322"/>
      <c r="BR2042" s="322"/>
      <c r="BS2042" s="322"/>
      <c r="BT2042" s="322"/>
      <c r="BU2042" s="322"/>
      <c r="BV2042" s="322"/>
      <c r="BW2042" s="322"/>
      <c r="BX2042" s="322"/>
      <c r="BY2042" s="322"/>
      <c r="BZ2042" s="322"/>
      <c r="CA2042" s="322"/>
      <c r="CB2042" s="322"/>
      <c r="CC2042" s="322"/>
      <c r="CD2042" s="322"/>
      <c r="CE2042" s="322"/>
      <c r="CF2042" s="322"/>
      <c r="CG2042" s="322"/>
      <c r="CH2042" s="322"/>
      <c r="CI2042" s="322"/>
      <c r="CM2042" s="1139">
        <f t="shared" si="1221"/>
        <v>0</v>
      </c>
      <c r="CN2042" s="1139">
        <v>0</v>
      </c>
      <c r="CP2042" s="923">
        <f t="shared" si="1220"/>
        <v>0</v>
      </c>
      <c r="CZ2042" s="330"/>
    </row>
    <row r="2043" spans="1:104" ht="15" customHeight="1" x14ac:dyDescent="0.25">
      <c r="A2043" s="684">
        <f>MAX($A$6:A2042)+1</f>
        <v>2043</v>
      </c>
      <c r="B2043" s="1060">
        <f t="shared" si="1238"/>
        <v>80</v>
      </c>
      <c r="C2043" s="11" t="s">
        <v>406</v>
      </c>
      <c r="D2043" s="11" t="s">
        <v>2067</v>
      </c>
      <c r="E2043" s="7" t="s">
        <v>2618</v>
      </c>
      <c r="F2043" s="15"/>
      <c r="G2043" s="1254" t="s">
        <v>2068</v>
      </c>
      <c r="H2043" s="1190">
        <v>0</v>
      </c>
      <c r="I2043" s="1290"/>
      <c r="J2043" s="1253" t="s">
        <v>2618</v>
      </c>
      <c r="K2043" s="251">
        <f>+'alb A - Losses &amp; special pay'!D81</f>
        <v>0</v>
      </c>
      <c r="L2043" s="266"/>
      <c r="M2043" s="2"/>
      <c r="N2043" s="273">
        <f>ROUND(SUM(O2043:AU2043)-T2043,0)</f>
        <v>0</v>
      </c>
      <c r="O2043" s="12"/>
      <c r="P2043" s="12"/>
      <c r="Q2043" s="12"/>
      <c r="R2043" s="12"/>
      <c r="S2043" s="6">
        <f>-IF(ISNUMBER(BD2043),BD2043,0)</f>
        <v>0</v>
      </c>
      <c r="T2043" s="273">
        <f>ROUND(SUM(U2043:Y2043),0)</f>
        <v>0</v>
      </c>
      <c r="U2043" s="6"/>
      <c r="V2043" s="6"/>
      <c r="W2043" s="6">
        <f>+H2043</f>
        <v>0</v>
      </c>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X2043" s="6"/>
      <c r="AY2043" s="6"/>
      <c r="BA2043" s="6"/>
      <c r="BB2043" s="6"/>
      <c r="BC2043" s="6"/>
      <c r="BD2043" s="6">
        <f>ROUND(SUM(BE2043:BK2043),0)</f>
        <v>0</v>
      </c>
      <c r="BE2043" s="322"/>
      <c r="BF2043" s="322"/>
      <c r="BG2043" s="322"/>
      <c r="BH2043" s="322"/>
      <c r="BI2043" s="322"/>
      <c r="BJ2043" s="322"/>
      <c r="BK2043" s="6">
        <f t="shared" si="1239"/>
        <v>0</v>
      </c>
      <c r="BL2043" s="322"/>
      <c r="BM2043" s="322"/>
      <c r="BN2043" s="322"/>
      <c r="BO2043" s="322"/>
      <c r="BP2043" s="322"/>
      <c r="BQ2043" s="322"/>
      <c r="BR2043" s="322"/>
      <c r="BS2043" s="322"/>
      <c r="BT2043" s="322"/>
      <c r="BU2043" s="322"/>
      <c r="BV2043" s="322"/>
      <c r="BW2043" s="322"/>
      <c r="BX2043" s="322"/>
      <c r="BY2043" s="322"/>
      <c r="BZ2043" s="322"/>
      <c r="CA2043" s="322"/>
      <c r="CB2043" s="322"/>
      <c r="CC2043" s="322"/>
      <c r="CD2043" s="322"/>
      <c r="CE2043" s="322"/>
      <c r="CF2043" s="322"/>
      <c r="CG2043" s="322"/>
      <c r="CH2043" s="322"/>
      <c r="CI2043" s="322"/>
      <c r="CM2043" s="1139">
        <f t="shared" si="1221"/>
        <v>0</v>
      </c>
      <c r="CN2043" s="1139">
        <v>0</v>
      </c>
      <c r="CP2043" s="923">
        <f t="shared" si="1220"/>
        <v>0</v>
      </c>
      <c r="CZ2043" s="330"/>
    </row>
    <row r="2044" spans="1:104" ht="15" customHeight="1" x14ac:dyDescent="0.25">
      <c r="A2044" s="684">
        <f>MAX($A$6:A2043)+1</f>
        <v>2044</v>
      </c>
      <c r="B2044" s="1060">
        <f t="shared" si="1238"/>
        <v>80</v>
      </c>
      <c r="C2044" s="11" t="s">
        <v>406</v>
      </c>
      <c r="D2044" s="11" t="s">
        <v>2067</v>
      </c>
      <c r="E2044" s="7" t="s">
        <v>2619</v>
      </c>
      <c r="F2044" s="15"/>
      <c r="G2044" s="1254" t="s">
        <v>2068</v>
      </c>
      <c r="H2044" s="1190">
        <v>0</v>
      </c>
      <c r="I2044" s="1290"/>
      <c r="J2044" s="1253" t="s">
        <v>2619</v>
      </c>
      <c r="K2044" s="251">
        <f>+'alb A - Losses &amp; special pay'!E81</f>
        <v>0</v>
      </c>
      <c r="L2044" s="266"/>
      <c r="M2044" s="2"/>
      <c r="N2044" s="273">
        <f>ROUND(SUM(O2044:AU2044)-T2044,0)</f>
        <v>0</v>
      </c>
      <c r="O2044" s="12"/>
      <c r="P2044" s="12"/>
      <c r="Q2044" s="12"/>
      <c r="R2044" s="12"/>
      <c r="S2044" s="6">
        <f>-IF(ISNUMBER(BD2044),BD2044,0)</f>
        <v>0</v>
      </c>
      <c r="T2044" s="273">
        <f>ROUND(SUM(U2044:Y2044),0)</f>
        <v>0</v>
      </c>
      <c r="U2044" s="6"/>
      <c r="V2044" s="6"/>
      <c r="W2044" s="6">
        <f>+H2044</f>
        <v>0</v>
      </c>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X2044" s="6"/>
      <c r="AY2044" s="6"/>
      <c r="BA2044" s="6"/>
      <c r="BB2044" s="6"/>
      <c r="BC2044" s="6"/>
      <c r="BD2044" s="6">
        <f>ROUND(SUM(BE2044:BK2044),0)</f>
        <v>0</v>
      </c>
      <c r="BE2044" s="322"/>
      <c r="BF2044" s="322"/>
      <c r="BG2044" s="322"/>
      <c r="BH2044" s="322"/>
      <c r="BI2044" s="322"/>
      <c r="BJ2044" s="322"/>
      <c r="BK2044" s="6">
        <f t="shared" si="1239"/>
        <v>0</v>
      </c>
      <c r="BL2044" s="322"/>
      <c r="BM2044" s="322"/>
      <c r="BN2044" s="322"/>
      <c r="BO2044" s="322"/>
      <c r="BP2044" s="322"/>
      <c r="BQ2044" s="322"/>
      <c r="BR2044" s="322"/>
      <c r="BS2044" s="322"/>
      <c r="BT2044" s="322"/>
      <c r="BU2044" s="322"/>
      <c r="BV2044" s="322"/>
      <c r="BW2044" s="322"/>
      <c r="BX2044" s="322"/>
      <c r="BY2044" s="322"/>
      <c r="BZ2044" s="322"/>
      <c r="CA2044" s="322"/>
      <c r="CB2044" s="322"/>
      <c r="CC2044" s="322"/>
      <c r="CD2044" s="322"/>
      <c r="CE2044" s="322"/>
      <c r="CF2044" s="322"/>
      <c r="CG2044" s="322"/>
      <c r="CH2044" s="322"/>
      <c r="CI2044" s="322"/>
      <c r="CM2044" s="1139">
        <f t="shared" si="1221"/>
        <v>0</v>
      </c>
      <c r="CN2044" s="1139">
        <v>0</v>
      </c>
      <c r="CP2044" s="923">
        <f t="shared" si="1220"/>
        <v>0</v>
      </c>
      <c r="CZ2044" s="330"/>
    </row>
    <row r="2045" spans="1:104" ht="15" customHeight="1" x14ac:dyDescent="0.25">
      <c r="A2045" s="684">
        <f>MAX($A$6:A2044)+1</f>
        <v>2045</v>
      </c>
      <c r="B2045" s="1060">
        <f>B2040</f>
        <v>80</v>
      </c>
      <c r="C2045" s="11" t="s">
        <v>406</v>
      </c>
      <c r="D2045" s="11" t="s">
        <v>2062</v>
      </c>
      <c r="E2045" s="7" t="s">
        <v>286</v>
      </c>
      <c r="F2045" s="15"/>
      <c r="G2045" s="1254"/>
      <c r="H2045" s="1190"/>
      <c r="I2045" s="1290"/>
      <c r="J2045" s="1262"/>
      <c r="K2045" s="1255"/>
      <c r="L2045" s="266"/>
      <c r="M2045" s="2"/>
      <c r="N2045" s="273">
        <f t="shared" si="1232"/>
        <v>0</v>
      </c>
      <c r="O2045" s="12"/>
      <c r="P2045" s="12"/>
      <c r="Q2045" s="12"/>
      <c r="R2045" s="12"/>
      <c r="S2045" s="6">
        <f t="shared" si="1235"/>
        <v>0</v>
      </c>
      <c r="T2045" s="273">
        <f t="shared" si="1236"/>
        <v>0</v>
      </c>
      <c r="U2045" s="6"/>
      <c r="V2045" s="6"/>
      <c r="W2045" s="6">
        <f t="shared" si="1227"/>
        <v>0</v>
      </c>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X2045" s="6"/>
      <c r="AY2045" s="6"/>
      <c r="BA2045" s="6"/>
      <c r="BB2045" s="6"/>
      <c r="BC2045" s="6"/>
      <c r="BD2045" s="6">
        <f t="shared" si="1237"/>
        <v>0</v>
      </c>
      <c r="BE2045" s="322"/>
      <c r="BF2045" s="322"/>
      <c r="BG2045" s="322"/>
      <c r="BH2045" s="322"/>
      <c r="BI2045" s="322"/>
      <c r="BJ2045" s="322"/>
      <c r="BK2045" s="6">
        <f t="shared" si="1239"/>
        <v>0</v>
      </c>
      <c r="BL2045" s="322"/>
      <c r="BM2045" s="322"/>
      <c r="BN2045" s="322"/>
      <c r="BO2045" s="322"/>
      <c r="BP2045" s="322"/>
      <c r="BQ2045" s="322"/>
      <c r="BR2045" s="322"/>
      <c r="BS2045" s="322"/>
      <c r="BT2045" s="322"/>
      <c r="BU2045" s="322"/>
      <c r="BV2045" s="322"/>
      <c r="BW2045" s="322"/>
      <c r="BX2045" s="322"/>
      <c r="BY2045" s="322"/>
      <c r="BZ2045" s="322"/>
      <c r="CA2045" s="322"/>
      <c r="CB2045" s="322"/>
      <c r="CC2045" s="322"/>
      <c r="CD2045" s="322"/>
      <c r="CE2045" s="322"/>
      <c r="CF2045" s="322"/>
      <c r="CG2045" s="322"/>
      <c r="CH2045" s="322"/>
      <c r="CI2045" s="322"/>
      <c r="CM2045" s="1139">
        <f t="shared" si="1221"/>
        <v>0</v>
      </c>
      <c r="CN2045" s="1139">
        <v>0</v>
      </c>
      <c r="CP2045" s="923">
        <f t="shared" si="1220"/>
        <v>0</v>
      </c>
      <c r="CZ2045" s="330"/>
    </row>
    <row r="2046" spans="1:104" ht="15" customHeight="1" x14ac:dyDescent="0.25">
      <c r="A2046" s="684">
        <f>MAX($A$6:A2045)+1</f>
        <v>2046</v>
      </c>
      <c r="B2046" s="1060">
        <f>B2045</f>
        <v>80</v>
      </c>
      <c r="C2046" s="11" t="s">
        <v>406</v>
      </c>
      <c r="D2046" s="11" t="s">
        <v>2081</v>
      </c>
      <c r="E2046" s="1257" t="s">
        <v>1707</v>
      </c>
      <c r="F2046" s="1267"/>
      <c r="G2046" s="1254" t="s">
        <v>1707</v>
      </c>
      <c r="H2046" s="6">
        <v>9</v>
      </c>
      <c r="I2046" s="6"/>
      <c r="J2046" s="1257" t="s">
        <v>1707</v>
      </c>
      <c r="K2046" s="251">
        <f>SUMIF('alb A - Losses &amp; special pay'!$B:$B,$J2046,'alb A - Losses &amp; special pay'!$F:$F)</f>
        <v>0</v>
      </c>
      <c r="L2046" s="266"/>
      <c r="M2046" s="2"/>
      <c r="N2046" s="273">
        <f t="shared" si="1232"/>
        <v>9</v>
      </c>
      <c r="O2046" s="12"/>
      <c r="P2046" s="12"/>
      <c r="Q2046" s="12"/>
      <c r="R2046" s="12"/>
      <c r="S2046" s="6">
        <f t="shared" si="1235"/>
        <v>0</v>
      </c>
      <c r="T2046" s="273">
        <f>ROUND(SUM(U2046:Y2046),0)</f>
        <v>9</v>
      </c>
      <c r="U2046" s="6"/>
      <c r="V2046" s="6"/>
      <c r="W2046" s="6">
        <f>+H2046</f>
        <v>9</v>
      </c>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X2046" s="6"/>
      <c r="AY2046" s="6">
        <f>ROUND(AX2046/1000/Update!$B$31*Update!$B$27,0)</f>
        <v>0</v>
      </c>
      <c r="BA2046" s="6"/>
      <c r="BB2046" s="6">
        <f>ROUND(BA2046/1000/Update!$B$31,0)</f>
        <v>0</v>
      </c>
      <c r="BC2046" s="6"/>
      <c r="BD2046" s="6">
        <f t="shared" ref="BD2046:BD2063" si="1240">ROUND(SUM(BE2046:BK2046),0)</f>
        <v>0</v>
      </c>
      <c r="BE2046" s="322"/>
      <c r="BF2046" s="322"/>
      <c r="BG2046" s="322"/>
      <c r="BH2046" s="322"/>
      <c r="BI2046" s="322"/>
      <c r="BJ2046" s="322"/>
      <c r="BK2046" s="6">
        <f t="shared" si="1239"/>
        <v>0</v>
      </c>
      <c r="BL2046" s="322"/>
      <c r="BM2046" s="322"/>
      <c r="BN2046" s="322"/>
      <c r="BO2046" s="322"/>
      <c r="BP2046" s="322"/>
      <c r="BQ2046" s="322"/>
      <c r="BR2046" s="322"/>
      <c r="BS2046" s="322"/>
      <c r="BT2046" s="322"/>
      <c r="BU2046" s="322"/>
      <c r="BV2046" s="322"/>
      <c r="BW2046" s="322"/>
      <c r="BX2046" s="322"/>
      <c r="BY2046" s="322"/>
      <c r="BZ2046" s="322"/>
      <c r="CA2046" s="322"/>
      <c r="CB2046" s="322"/>
      <c r="CC2046" s="322"/>
      <c r="CD2046" s="322"/>
      <c r="CE2046" s="322"/>
      <c r="CF2046" s="322"/>
      <c r="CG2046" s="322"/>
      <c r="CH2046" s="322"/>
      <c r="CI2046" s="322"/>
      <c r="CM2046" s="1139">
        <f t="shared" si="1221"/>
        <v>0</v>
      </c>
      <c r="CN2046" s="1139">
        <v>0</v>
      </c>
      <c r="CP2046" s="923">
        <f t="shared" si="1220"/>
        <v>0</v>
      </c>
      <c r="CZ2046" s="330"/>
    </row>
    <row r="2047" spans="1:104" ht="15" customHeight="1" x14ac:dyDescent="0.25">
      <c r="A2047" s="684">
        <f>MAX($A$6:A2046)+1</f>
        <v>2047</v>
      </c>
      <c r="B2047" s="1060">
        <f>B2046</f>
        <v>80</v>
      </c>
      <c r="C2047" s="11" t="s">
        <v>406</v>
      </c>
      <c r="D2047" s="11" t="s">
        <v>2082</v>
      </c>
      <c r="E2047" s="1257" t="s">
        <v>2070</v>
      </c>
      <c r="F2047" s="1267"/>
      <c r="G2047" s="1254" t="s">
        <v>2070</v>
      </c>
      <c r="H2047" s="6">
        <v>4156</v>
      </c>
      <c r="I2047" s="6"/>
      <c r="J2047" s="1257" t="s">
        <v>1708</v>
      </c>
      <c r="K2047" s="251">
        <f>SUMIF('alb A - Losses &amp; special pay'!$B:$B,$J2047,'alb A - Losses &amp; special pay'!$F:$F)</f>
        <v>0</v>
      </c>
      <c r="L2047" s="266"/>
      <c r="M2047" s="2"/>
      <c r="N2047" s="273">
        <f t="shared" si="1232"/>
        <v>4156</v>
      </c>
      <c r="O2047" s="12"/>
      <c r="P2047" s="12"/>
      <c r="Q2047" s="12"/>
      <c r="R2047" s="12"/>
      <c r="S2047" s="6">
        <f t="shared" si="1235"/>
        <v>0</v>
      </c>
      <c r="T2047" s="273">
        <f>ROUND(SUM(U2047:Y2047),0)</f>
        <v>4156</v>
      </c>
      <c r="U2047" s="6"/>
      <c r="V2047" s="6"/>
      <c r="W2047" s="6">
        <f>+H2047</f>
        <v>4156</v>
      </c>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X2047" s="6"/>
      <c r="AY2047" s="6">
        <f>ROUND(AX2047/1000/Update!$B$31*Update!$B$27,0)</f>
        <v>0</v>
      </c>
      <c r="BA2047" s="6"/>
      <c r="BB2047" s="6">
        <f>ROUND(BA2047/1000/Update!$B$31,0)</f>
        <v>0</v>
      </c>
      <c r="BC2047" s="6"/>
      <c r="BD2047" s="6">
        <f t="shared" si="1240"/>
        <v>0</v>
      </c>
      <c r="BE2047" s="322"/>
      <c r="BF2047" s="322"/>
      <c r="BG2047" s="322"/>
      <c r="BH2047" s="322"/>
      <c r="BI2047" s="322"/>
      <c r="BJ2047" s="322"/>
      <c r="BK2047" s="6">
        <f t="shared" si="1239"/>
        <v>0</v>
      </c>
      <c r="BL2047" s="322"/>
      <c r="BM2047" s="322"/>
      <c r="BN2047" s="322"/>
      <c r="BO2047" s="322"/>
      <c r="BP2047" s="322"/>
      <c r="BQ2047" s="322"/>
      <c r="BR2047" s="322"/>
      <c r="BS2047" s="322"/>
      <c r="BT2047" s="322"/>
      <c r="BU2047" s="322"/>
      <c r="BV2047" s="322"/>
      <c r="BW2047" s="322"/>
      <c r="BX2047" s="322"/>
      <c r="BY2047" s="322"/>
      <c r="BZ2047" s="322"/>
      <c r="CA2047" s="322"/>
      <c r="CB2047" s="322"/>
      <c r="CC2047" s="322"/>
      <c r="CD2047" s="322"/>
      <c r="CE2047" s="322"/>
      <c r="CF2047" s="322"/>
      <c r="CG2047" s="322"/>
      <c r="CH2047" s="322"/>
      <c r="CI2047" s="322"/>
      <c r="CM2047" s="1139">
        <f t="shared" si="1221"/>
        <v>0</v>
      </c>
      <c r="CN2047" s="1139">
        <v>0</v>
      </c>
      <c r="CP2047" s="923">
        <f t="shared" si="1220"/>
        <v>0</v>
      </c>
      <c r="CZ2047" s="330"/>
    </row>
    <row r="2048" spans="1:104" ht="15" customHeight="1" x14ac:dyDescent="0.25">
      <c r="A2048" s="684">
        <f>MAX($A$6:A2047)+1</f>
        <v>2048</v>
      </c>
      <c r="B2048" s="1060">
        <f>B2047</f>
        <v>80</v>
      </c>
      <c r="C2048" s="11" t="s">
        <v>406</v>
      </c>
      <c r="D2048" s="11" t="s">
        <v>1728</v>
      </c>
      <c r="E2048" s="7" t="s">
        <v>1728</v>
      </c>
      <c r="F2048" s="7"/>
      <c r="G2048" s="1254" t="s">
        <v>1728</v>
      </c>
      <c r="H2048" s="6">
        <v>5</v>
      </c>
      <c r="I2048" s="6"/>
      <c r="J2048" s="1257" t="s">
        <v>1728</v>
      </c>
      <c r="K2048" s="251">
        <f>SUMIF('alb A - Losses &amp; special pay'!$B:$B,$J2048,'alb A - Losses &amp; special pay'!$F:$F)</f>
        <v>0</v>
      </c>
      <c r="L2048" s="266">
        <v>0</v>
      </c>
      <c r="M2048" s="2"/>
      <c r="N2048" s="273">
        <f t="shared" si="1232"/>
        <v>5</v>
      </c>
      <c r="O2048" s="12"/>
      <c r="P2048" s="12"/>
      <c r="Q2048" s="12"/>
      <c r="R2048" s="12"/>
      <c r="S2048" s="6">
        <f t="shared" si="1235"/>
        <v>0</v>
      </c>
      <c r="T2048" s="273">
        <f>ROUND(SUM(U2048:Y2048),0)</f>
        <v>5</v>
      </c>
      <c r="U2048" s="6"/>
      <c r="V2048" s="6"/>
      <c r="W2048" s="6">
        <f>+H2048</f>
        <v>5</v>
      </c>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X2048" s="6">
        <f>SUM(AX2036:AX2047)</f>
        <v>0</v>
      </c>
      <c r="AY2048" s="6">
        <f>ROUND(AX2048/1000/Update!$B$31*Update!$B$27,0)</f>
        <v>0</v>
      </c>
      <c r="BA2048" s="6">
        <f>SUM(BA2036:BA2047)</f>
        <v>0</v>
      </c>
      <c r="BB2048" s="6">
        <f>ROUND(BA2048/1000/Update!$B$31,0)</f>
        <v>0</v>
      </c>
      <c r="BC2048" s="6"/>
      <c r="BD2048" s="6">
        <f t="shared" si="1240"/>
        <v>0</v>
      </c>
      <c r="BE2048" s="322">
        <f t="shared" ref="BE2048:BJ2049" si="1241">SUM(BE2036:BE2047)</f>
        <v>0</v>
      </c>
      <c r="BF2048" s="322">
        <f t="shared" si="1241"/>
        <v>0</v>
      </c>
      <c r="BG2048" s="322">
        <f t="shared" si="1241"/>
        <v>0</v>
      </c>
      <c r="BH2048" s="322">
        <f t="shared" si="1241"/>
        <v>0</v>
      </c>
      <c r="BI2048" s="322">
        <f t="shared" si="1241"/>
        <v>0</v>
      </c>
      <c r="BJ2048" s="322">
        <f t="shared" si="1241"/>
        <v>0</v>
      </c>
      <c r="BK2048" s="6">
        <f t="shared" si="1239"/>
        <v>0</v>
      </c>
      <c r="BL2048" s="14"/>
      <c r="BM2048" s="14"/>
      <c r="BN2048" s="14"/>
      <c r="BO2048" s="14"/>
      <c r="BP2048" s="322"/>
      <c r="BQ2048" s="14"/>
      <c r="BR2048" s="14"/>
      <c r="BS2048" s="322"/>
      <c r="BT2048" s="322"/>
      <c r="BU2048" s="14"/>
      <c r="BV2048" s="14"/>
      <c r="BW2048" s="14"/>
      <c r="BX2048" s="14"/>
      <c r="BY2048" s="14"/>
      <c r="BZ2048" s="14"/>
      <c r="CA2048" s="14"/>
      <c r="CB2048" s="14"/>
      <c r="CC2048" s="322"/>
      <c r="CD2048" s="322"/>
      <c r="CE2048" s="322"/>
      <c r="CF2048" s="322"/>
      <c r="CG2048" s="322"/>
      <c r="CH2048" s="322"/>
      <c r="CI2048" s="14"/>
      <c r="CM2048" s="1139">
        <f t="shared" si="1221"/>
        <v>0</v>
      </c>
      <c r="CN2048" s="1139">
        <v>0</v>
      </c>
      <c r="CP2048" s="923">
        <f t="shared" si="1220"/>
        <v>0</v>
      </c>
      <c r="CZ2048" s="330"/>
    </row>
    <row r="2049" spans="1:104" ht="25.5" customHeight="1" x14ac:dyDescent="0.25">
      <c r="A2049" s="684">
        <f>MAX($A$6:A2048)+1</f>
        <v>2049</v>
      </c>
      <c r="B2049" s="1060">
        <f>B2048</f>
        <v>80</v>
      </c>
      <c r="C2049" s="11" t="s">
        <v>406</v>
      </c>
      <c r="D2049" s="11" t="s">
        <v>1870</v>
      </c>
      <c r="E2049" s="7" t="s">
        <v>2071</v>
      </c>
      <c r="F2049" s="7"/>
      <c r="G2049" s="1254" t="s">
        <v>2071</v>
      </c>
      <c r="H2049" s="6">
        <v>193</v>
      </c>
      <c r="I2049" s="6"/>
      <c r="J2049" s="1257" t="s">
        <v>1729</v>
      </c>
      <c r="K2049" s="251">
        <f>SUMIF('alb A - Losses &amp; special pay'!$B:$B,$J2049,'alb A - Losses &amp; special pay'!$F:$F)</f>
        <v>0</v>
      </c>
      <c r="L2049" s="266"/>
      <c r="M2049" s="2"/>
      <c r="N2049" s="273">
        <f>ROUND(SUM(O2049:AU2049)-T2049,0)</f>
        <v>193</v>
      </c>
      <c r="O2049" s="12"/>
      <c r="P2049" s="12"/>
      <c r="Q2049" s="12"/>
      <c r="R2049" s="12"/>
      <c r="S2049" s="6">
        <f t="shared" si="1235"/>
        <v>0</v>
      </c>
      <c r="T2049" s="273">
        <f>ROUND(SUM(U2049:Y2049),0)</f>
        <v>193</v>
      </c>
      <c r="U2049" s="251"/>
      <c r="V2049" s="251"/>
      <c r="W2049" s="251">
        <f>+H2049</f>
        <v>193</v>
      </c>
      <c r="X2049" s="251"/>
      <c r="Y2049" s="251"/>
      <c r="Z2049" s="251"/>
      <c r="AA2049" s="251"/>
      <c r="AB2049" s="251"/>
      <c r="AC2049" s="251"/>
      <c r="AD2049" s="251"/>
      <c r="AE2049" s="251"/>
      <c r="AF2049" s="251"/>
      <c r="AG2049" s="251"/>
      <c r="AH2049" s="251"/>
      <c r="AI2049" s="251"/>
      <c r="AJ2049" s="251"/>
      <c r="AK2049" s="251"/>
      <c r="AL2049" s="251"/>
      <c r="AM2049" s="251"/>
      <c r="AN2049" s="251"/>
      <c r="AO2049" s="251"/>
      <c r="AP2049" s="251"/>
      <c r="AQ2049" s="251"/>
      <c r="AR2049" s="251"/>
      <c r="AS2049" s="251"/>
      <c r="AT2049" s="251"/>
      <c r="AU2049" s="251"/>
      <c r="AV2049" s="251"/>
      <c r="AX2049" s="6">
        <f>SUM(AX2037:AX2048)</f>
        <v>0</v>
      </c>
      <c r="AY2049" s="6">
        <f>ROUND(AX2049/1000/Update!$B$31*Update!$B$27,0)</f>
        <v>0</v>
      </c>
      <c r="BA2049" s="6">
        <f>SUM(BA2037:BA2048)</f>
        <v>0</v>
      </c>
      <c r="BB2049" s="6">
        <f>ROUND(BA2049/1000/Update!$B$31,0)</f>
        <v>0</v>
      </c>
      <c r="BC2049" s="6"/>
      <c r="BD2049" s="6">
        <f t="shared" si="1240"/>
        <v>0</v>
      </c>
      <c r="BE2049" s="322">
        <f t="shared" si="1241"/>
        <v>0</v>
      </c>
      <c r="BF2049" s="322">
        <f t="shared" si="1241"/>
        <v>0</v>
      </c>
      <c r="BG2049" s="322">
        <f t="shared" si="1241"/>
        <v>0</v>
      </c>
      <c r="BH2049" s="322">
        <f t="shared" si="1241"/>
        <v>0</v>
      </c>
      <c r="BI2049" s="322">
        <f t="shared" si="1241"/>
        <v>0</v>
      </c>
      <c r="BJ2049" s="322">
        <f t="shared" si="1241"/>
        <v>0</v>
      </c>
      <c r="BK2049" s="6">
        <f t="shared" si="1239"/>
        <v>0</v>
      </c>
      <c r="BL2049" s="322"/>
      <c r="BM2049" s="322"/>
      <c r="BN2049" s="322"/>
      <c r="BO2049" s="322"/>
      <c r="BP2049" s="322"/>
      <c r="BQ2049" s="322"/>
      <c r="BR2049" s="322"/>
      <c r="BS2049" s="322"/>
      <c r="BT2049" s="322"/>
      <c r="BU2049" s="322"/>
      <c r="BV2049" s="322"/>
      <c r="BW2049" s="322"/>
      <c r="BX2049" s="322"/>
      <c r="BY2049" s="322"/>
      <c r="BZ2049" s="322"/>
      <c r="CA2049" s="322"/>
      <c r="CB2049" s="322"/>
      <c r="CC2049" s="322"/>
      <c r="CD2049" s="322"/>
      <c r="CE2049" s="322"/>
      <c r="CF2049" s="322"/>
      <c r="CG2049" s="322"/>
      <c r="CH2049" s="322"/>
      <c r="CI2049" s="322"/>
      <c r="CM2049" s="1139">
        <f t="shared" si="1221"/>
        <v>0</v>
      </c>
      <c r="CN2049" s="1139">
        <v>0</v>
      </c>
      <c r="CP2049" s="923">
        <f t="shared" ref="CP2049:CP2097" si="1242">-V2049+BL2049+BM2049+BN2049+CM2049</f>
        <v>0</v>
      </c>
      <c r="CZ2049" s="330"/>
    </row>
    <row r="2050" spans="1:104" ht="15" customHeight="1" x14ac:dyDescent="0.25">
      <c r="A2050" s="684">
        <f>MAX($A$6:A2049)+1</f>
        <v>2050</v>
      </c>
      <c r="B2050" s="1291">
        <f>B2047</f>
        <v>80</v>
      </c>
      <c r="C2050" s="299" t="s">
        <v>406</v>
      </c>
      <c r="D2050" s="299" t="s">
        <v>2083</v>
      </c>
      <c r="E2050" s="19"/>
      <c r="F2050" s="19"/>
      <c r="G2050" s="1288" t="s">
        <v>286</v>
      </c>
      <c r="H2050" s="14"/>
      <c r="I2050" s="14"/>
      <c r="J2050" s="1258" t="s">
        <v>286</v>
      </c>
      <c r="K2050" s="256"/>
      <c r="L2050" s="256"/>
      <c r="M2050" s="263"/>
      <c r="N2050" s="14">
        <f t="shared" si="1232"/>
        <v>0</v>
      </c>
      <c r="O2050" s="14"/>
      <c r="P2050" s="14"/>
      <c r="Q2050" s="14"/>
      <c r="R2050" s="14"/>
      <c r="S2050" s="14">
        <f t="shared" si="1235"/>
        <v>0</v>
      </c>
      <c r="T2050" s="14"/>
      <c r="U2050" s="14"/>
      <c r="V2050" s="14"/>
      <c r="W2050" s="14"/>
      <c r="X2050" s="14"/>
      <c r="Y2050" s="14"/>
      <c r="Z2050" s="14"/>
      <c r="AA2050" s="14"/>
      <c r="AB2050" s="14"/>
      <c r="AC2050" s="14"/>
      <c r="AD2050" s="14"/>
      <c r="AE2050" s="14"/>
      <c r="AF2050" s="14"/>
      <c r="AG2050" s="14"/>
      <c r="AH2050" s="14"/>
      <c r="AI2050" s="14"/>
      <c r="AJ2050" s="14"/>
      <c r="AK2050" s="14"/>
      <c r="AL2050" s="14"/>
      <c r="AM2050" s="14"/>
      <c r="AN2050" s="14"/>
      <c r="AO2050" s="14"/>
      <c r="AP2050" s="14"/>
      <c r="AQ2050" s="14"/>
      <c r="AR2050" s="14"/>
      <c r="AS2050" s="14"/>
      <c r="AT2050" s="14"/>
      <c r="AU2050" s="14"/>
      <c r="AV2050" s="14"/>
      <c r="AW2050" s="2"/>
      <c r="AX2050" s="14"/>
      <c r="AY2050" s="14"/>
      <c r="AZ2050" s="2"/>
      <c r="BA2050" s="14"/>
      <c r="BB2050" s="14"/>
      <c r="BC2050" s="14"/>
      <c r="BD2050" s="14">
        <f t="shared" si="1240"/>
        <v>0</v>
      </c>
      <c r="BE2050" s="14"/>
      <c r="BF2050" s="14"/>
      <c r="BG2050" s="14"/>
      <c r="BH2050" s="14"/>
      <c r="BI2050" s="14"/>
      <c r="BJ2050" s="14"/>
      <c r="BK2050" s="14">
        <f t="shared" si="1239"/>
        <v>0</v>
      </c>
      <c r="BL2050" s="322"/>
      <c r="BM2050" s="322"/>
      <c r="BN2050" s="322"/>
      <c r="BO2050" s="322"/>
      <c r="BP2050" s="14"/>
      <c r="BQ2050" s="322"/>
      <c r="BR2050" s="322"/>
      <c r="BS2050" s="14"/>
      <c r="BT2050" s="322"/>
      <c r="BU2050" s="322"/>
      <c r="BV2050" s="322"/>
      <c r="BW2050" s="322"/>
      <c r="BX2050" s="322"/>
      <c r="BY2050" s="322"/>
      <c r="BZ2050" s="322"/>
      <c r="CA2050" s="322"/>
      <c r="CB2050" s="322"/>
      <c r="CC2050" s="14"/>
      <c r="CD2050" s="14"/>
      <c r="CE2050" s="14"/>
      <c r="CF2050" s="14"/>
      <c r="CG2050" s="14"/>
      <c r="CH2050" s="14"/>
      <c r="CI2050" s="322"/>
      <c r="CJ2050" s="2"/>
      <c r="CK2050" s="2"/>
      <c r="CM2050" s="1139">
        <f t="shared" ref="CM2050:CM2097" si="1243">+U2050+V2050</f>
        <v>0</v>
      </c>
      <c r="CN2050" s="1139">
        <v>0</v>
      </c>
      <c r="CP2050" s="923">
        <f t="shared" si="1242"/>
        <v>0</v>
      </c>
      <c r="CZ2050" s="330"/>
    </row>
    <row r="2051" spans="1:104" ht="15" customHeight="1" x14ac:dyDescent="0.25">
      <c r="A2051" s="684">
        <f>MAX($A$6:A2050)+1</f>
        <v>2051</v>
      </c>
      <c r="B2051" s="1060">
        <f t="shared" ref="B2051:B2063" si="1244">B2050</f>
        <v>80</v>
      </c>
      <c r="C2051" s="11" t="s">
        <v>406</v>
      </c>
      <c r="D2051" s="11" t="s">
        <v>426</v>
      </c>
      <c r="E2051" s="7" t="s">
        <v>410</v>
      </c>
      <c r="F2051" s="7"/>
      <c r="G2051" s="1254" t="s">
        <v>410</v>
      </c>
      <c r="H2051" s="6">
        <v>0</v>
      </c>
      <c r="I2051" s="6"/>
      <c r="J2051" s="1257" t="s">
        <v>410</v>
      </c>
      <c r="K2051" s="251">
        <f>SUMIF('alb A - Losses &amp; special pay'!$B:$B,$J2051,'alb A - Losses &amp; special pay'!$F:$F)</f>
        <v>0</v>
      </c>
      <c r="L2051" s="266"/>
      <c r="M2051" s="2"/>
      <c r="N2051" s="273">
        <f t="shared" si="1232"/>
        <v>0</v>
      </c>
      <c r="O2051" s="12"/>
      <c r="P2051" s="12"/>
      <c r="Q2051" s="12"/>
      <c r="R2051" s="12"/>
      <c r="S2051" s="6">
        <f t="shared" si="1235"/>
        <v>0</v>
      </c>
      <c r="T2051" s="273">
        <f t="shared" ref="T2051:T2058" si="1245">ROUND(SUM(U2051:Y2051),0)</f>
        <v>0</v>
      </c>
      <c r="U2051" s="6"/>
      <c r="V2051" s="6"/>
      <c r="W2051" s="6">
        <f t="shared" ref="W2051:W2077" si="1246">+H2051</f>
        <v>0</v>
      </c>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X2051" s="6"/>
      <c r="AY2051" s="6">
        <f>ROUND(AX2051/1000/Update!$B$31*Update!$B$27,0)</f>
        <v>0</v>
      </c>
      <c r="BA2051" s="6"/>
      <c r="BB2051" s="6">
        <f>ROUND(BA2051/1000/Update!$B$31,0)</f>
        <v>0</v>
      </c>
      <c r="BC2051" s="6"/>
      <c r="BD2051" s="6">
        <f t="shared" si="1240"/>
        <v>0</v>
      </c>
      <c r="BE2051" s="322"/>
      <c r="BF2051" s="322"/>
      <c r="BG2051" s="322"/>
      <c r="BH2051" s="322"/>
      <c r="BI2051" s="322"/>
      <c r="BJ2051" s="322"/>
      <c r="BK2051" s="6">
        <f t="shared" si="1239"/>
        <v>0</v>
      </c>
      <c r="BL2051" s="322"/>
      <c r="BM2051" s="322"/>
      <c r="BN2051" s="322"/>
      <c r="BO2051" s="322"/>
      <c r="BP2051" s="322"/>
      <c r="BQ2051" s="322"/>
      <c r="BR2051" s="322"/>
      <c r="BS2051" s="322"/>
      <c r="BT2051" s="322"/>
      <c r="BU2051" s="322"/>
      <c r="BV2051" s="322"/>
      <c r="BW2051" s="322"/>
      <c r="BX2051" s="322"/>
      <c r="BY2051" s="322"/>
      <c r="BZ2051" s="322"/>
      <c r="CA2051" s="322"/>
      <c r="CB2051" s="322"/>
      <c r="CC2051" s="322"/>
      <c r="CD2051" s="322"/>
      <c r="CE2051" s="322"/>
      <c r="CF2051" s="322"/>
      <c r="CG2051" s="322"/>
      <c r="CH2051" s="322"/>
      <c r="CI2051" s="322"/>
      <c r="CM2051" s="1139">
        <f t="shared" si="1243"/>
        <v>0</v>
      </c>
      <c r="CN2051" s="1139">
        <v>0</v>
      </c>
      <c r="CP2051" s="923">
        <f t="shared" si="1242"/>
        <v>0</v>
      </c>
      <c r="CZ2051" s="330"/>
    </row>
    <row r="2052" spans="1:104" ht="15" customHeight="1" x14ac:dyDescent="0.25">
      <c r="A2052" s="684">
        <f>MAX($A$6:A2051)+1</f>
        <v>2052</v>
      </c>
      <c r="B2052" s="1060">
        <f t="shared" si="1244"/>
        <v>80</v>
      </c>
      <c r="C2052" s="11" t="s">
        <v>406</v>
      </c>
      <c r="D2052" s="11" t="s">
        <v>427</v>
      </c>
      <c r="E2052" s="7" t="s">
        <v>411</v>
      </c>
      <c r="F2052" s="7"/>
      <c r="G2052" s="1254" t="s">
        <v>411</v>
      </c>
      <c r="H2052" s="6">
        <v>0</v>
      </c>
      <c r="I2052" s="6"/>
      <c r="J2052" s="1257" t="s">
        <v>411</v>
      </c>
      <c r="K2052" s="251">
        <f>SUMIF('alb A - Losses &amp; special pay'!$B:$B,$J2052,'alb A - Losses &amp; special pay'!$F:$F)</f>
        <v>0</v>
      </c>
      <c r="L2052" s="266"/>
      <c r="M2052" s="2"/>
      <c r="N2052" s="273">
        <f t="shared" si="1232"/>
        <v>0</v>
      </c>
      <c r="O2052" s="12"/>
      <c r="P2052" s="12"/>
      <c r="Q2052" s="12"/>
      <c r="R2052" s="12"/>
      <c r="S2052" s="6">
        <f t="shared" si="1235"/>
        <v>0</v>
      </c>
      <c r="T2052" s="273">
        <f t="shared" si="1245"/>
        <v>0</v>
      </c>
      <c r="U2052" s="6"/>
      <c r="V2052" s="6"/>
      <c r="W2052" s="6">
        <f t="shared" si="1246"/>
        <v>0</v>
      </c>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X2052" s="6"/>
      <c r="AY2052" s="6">
        <f>ROUND(AX2052/1000/Update!$B$31*Update!$B$27,0)</f>
        <v>0</v>
      </c>
      <c r="BA2052" s="6"/>
      <c r="BB2052" s="6">
        <f>ROUND(BA2052/1000/Update!$B$31,0)</f>
        <v>0</v>
      </c>
      <c r="BC2052" s="6"/>
      <c r="BD2052" s="6">
        <f t="shared" si="1240"/>
        <v>0</v>
      </c>
      <c r="BE2052" s="322"/>
      <c r="BF2052" s="322"/>
      <c r="BG2052" s="322"/>
      <c r="BH2052" s="322"/>
      <c r="BI2052" s="322"/>
      <c r="BJ2052" s="322"/>
      <c r="BK2052" s="6">
        <f t="shared" si="1239"/>
        <v>0</v>
      </c>
      <c r="BL2052" s="322"/>
      <c r="BM2052" s="322"/>
      <c r="BN2052" s="322"/>
      <c r="BO2052" s="322"/>
      <c r="BP2052" s="322"/>
      <c r="BQ2052" s="322"/>
      <c r="BR2052" s="322"/>
      <c r="BS2052" s="322"/>
      <c r="BT2052" s="322"/>
      <c r="BU2052" s="322"/>
      <c r="BV2052" s="322"/>
      <c r="BW2052" s="322"/>
      <c r="BX2052" s="322"/>
      <c r="BY2052" s="322"/>
      <c r="BZ2052" s="322"/>
      <c r="CA2052" s="322"/>
      <c r="CB2052" s="322"/>
      <c r="CC2052" s="322"/>
      <c r="CD2052" s="322"/>
      <c r="CE2052" s="322"/>
      <c r="CF2052" s="322"/>
      <c r="CG2052" s="322"/>
      <c r="CH2052" s="322"/>
      <c r="CI2052" s="322"/>
      <c r="CM2052" s="1139">
        <f t="shared" si="1243"/>
        <v>0</v>
      </c>
      <c r="CN2052" s="1139">
        <v>0</v>
      </c>
      <c r="CP2052" s="923">
        <f t="shared" si="1242"/>
        <v>0</v>
      </c>
      <c r="CZ2052" s="330"/>
    </row>
    <row r="2053" spans="1:104" ht="15" customHeight="1" x14ac:dyDescent="0.25">
      <c r="A2053" s="684">
        <f>MAX($A$6:A2052)+1</f>
        <v>2053</v>
      </c>
      <c r="B2053" s="1060">
        <f t="shared" si="1244"/>
        <v>80</v>
      </c>
      <c r="C2053" s="11" t="s">
        <v>406</v>
      </c>
      <c r="D2053" s="11" t="s">
        <v>428</v>
      </c>
      <c r="E2053" s="7" t="s">
        <v>412</v>
      </c>
      <c r="F2053" s="7"/>
      <c r="G2053" s="1254" t="s">
        <v>412</v>
      </c>
      <c r="H2053" s="6">
        <v>4153</v>
      </c>
      <c r="I2053" s="6"/>
      <c r="J2053" s="1257" t="s">
        <v>412</v>
      </c>
      <c r="K2053" s="251">
        <f>SUMIF('alb A - Losses &amp; special pay'!$B:$B,$J2053,'alb A - Losses &amp; special pay'!$F:$F)</f>
        <v>0</v>
      </c>
      <c r="L2053" s="266"/>
      <c r="M2053" s="2"/>
      <c r="N2053" s="273">
        <f t="shared" si="1232"/>
        <v>4153</v>
      </c>
      <c r="O2053" s="12"/>
      <c r="P2053" s="12"/>
      <c r="Q2053" s="12"/>
      <c r="R2053" s="12"/>
      <c r="S2053" s="6">
        <f t="shared" si="1235"/>
        <v>0</v>
      </c>
      <c r="T2053" s="273">
        <f t="shared" si="1245"/>
        <v>4153</v>
      </c>
      <c r="U2053" s="6"/>
      <c r="V2053" s="6"/>
      <c r="W2053" s="6">
        <f t="shared" si="1246"/>
        <v>4153</v>
      </c>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X2053" s="6"/>
      <c r="AY2053" s="6">
        <f>ROUND(AX2053/1000/Update!$B$31*Update!$B$27,0)</f>
        <v>0</v>
      </c>
      <c r="BA2053" s="6"/>
      <c r="BB2053" s="6">
        <f>ROUND(BA2053/1000/Update!$B$31,0)</f>
        <v>0</v>
      </c>
      <c r="BC2053" s="6"/>
      <c r="BD2053" s="6">
        <f t="shared" si="1240"/>
        <v>0</v>
      </c>
      <c r="BE2053" s="322"/>
      <c r="BF2053" s="322"/>
      <c r="BG2053" s="322"/>
      <c r="BH2053" s="322"/>
      <c r="BI2053" s="322"/>
      <c r="BJ2053" s="322"/>
      <c r="BK2053" s="6">
        <f t="shared" si="1239"/>
        <v>0</v>
      </c>
      <c r="BL2053" s="322"/>
      <c r="BM2053" s="322"/>
      <c r="BN2053" s="322"/>
      <c r="BO2053" s="322"/>
      <c r="BP2053" s="322"/>
      <c r="BQ2053" s="322"/>
      <c r="BR2053" s="322"/>
      <c r="BS2053" s="322"/>
      <c r="BT2053" s="322"/>
      <c r="BU2053" s="322"/>
      <c r="BV2053" s="322"/>
      <c r="BW2053" s="322"/>
      <c r="BX2053" s="322"/>
      <c r="BY2053" s="322"/>
      <c r="BZ2053" s="322"/>
      <c r="CA2053" s="322"/>
      <c r="CB2053" s="322"/>
      <c r="CC2053" s="322"/>
      <c r="CD2053" s="322"/>
      <c r="CE2053" s="322"/>
      <c r="CF2053" s="322"/>
      <c r="CG2053" s="322"/>
      <c r="CH2053" s="322"/>
      <c r="CI2053" s="322"/>
      <c r="CM2053" s="1139">
        <f t="shared" si="1243"/>
        <v>0</v>
      </c>
      <c r="CN2053" s="1139">
        <v>0</v>
      </c>
      <c r="CP2053" s="923">
        <f t="shared" si="1242"/>
        <v>0</v>
      </c>
      <c r="CZ2053" s="330"/>
    </row>
    <row r="2054" spans="1:104" ht="15" customHeight="1" x14ac:dyDescent="0.25">
      <c r="A2054" s="684">
        <f>MAX($A$6:A2053)+1</f>
        <v>2054</v>
      </c>
      <c r="B2054" s="1060">
        <f t="shared" si="1244"/>
        <v>80</v>
      </c>
      <c r="C2054" s="11" t="s">
        <v>406</v>
      </c>
      <c r="D2054" s="11" t="s">
        <v>429</v>
      </c>
      <c r="E2054" s="7" t="s">
        <v>413</v>
      </c>
      <c r="F2054" s="7"/>
      <c r="G2054" s="1254" t="s">
        <v>413</v>
      </c>
      <c r="H2054" s="6">
        <v>0</v>
      </c>
      <c r="I2054" s="6"/>
      <c r="J2054" s="1257" t="s">
        <v>413</v>
      </c>
      <c r="K2054" s="251">
        <f>SUMIF('alb A - Losses &amp; special pay'!$B:$B,$J2054,'alb A - Losses &amp; special pay'!$F:$F)</f>
        <v>0</v>
      </c>
      <c r="L2054" s="266"/>
      <c r="M2054" s="2"/>
      <c r="N2054" s="273">
        <f t="shared" si="1232"/>
        <v>0</v>
      </c>
      <c r="O2054" s="12"/>
      <c r="P2054" s="12"/>
      <c r="Q2054" s="12"/>
      <c r="R2054" s="12"/>
      <c r="S2054" s="6">
        <f t="shared" si="1235"/>
        <v>0</v>
      </c>
      <c r="T2054" s="273">
        <f t="shared" si="1245"/>
        <v>0</v>
      </c>
      <c r="U2054" s="6"/>
      <c r="V2054" s="6"/>
      <c r="W2054" s="6">
        <f t="shared" si="1246"/>
        <v>0</v>
      </c>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X2054" s="6"/>
      <c r="AY2054" s="6">
        <f>ROUND(AX2054/1000/Update!$B$31*Update!$B$27,0)</f>
        <v>0</v>
      </c>
      <c r="BA2054" s="6"/>
      <c r="BB2054" s="6">
        <f>ROUND(BA2054/1000/Update!$B$31,0)</f>
        <v>0</v>
      </c>
      <c r="BC2054" s="6"/>
      <c r="BD2054" s="6">
        <f t="shared" si="1240"/>
        <v>0</v>
      </c>
      <c r="BE2054" s="322"/>
      <c r="BF2054" s="322"/>
      <c r="BG2054" s="322"/>
      <c r="BH2054" s="322"/>
      <c r="BI2054" s="322"/>
      <c r="BJ2054" s="322"/>
      <c r="BK2054" s="6">
        <f t="shared" si="1239"/>
        <v>0</v>
      </c>
      <c r="BL2054" s="322"/>
      <c r="BM2054" s="322"/>
      <c r="BN2054" s="322"/>
      <c r="BO2054" s="322"/>
      <c r="BP2054" s="322"/>
      <c r="BQ2054" s="322"/>
      <c r="BR2054" s="322"/>
      <c r="BS2054" s="322"/>
      <c r="BT2054" s="322"/>
      <c r="BU2054" s="322"/>
      <c r="BV2054" s="322"/>
      <c r="BW2054" s="322"/>
      <c r="BX2054" s="322"/>
      <c r="BY2054" s="322"/>
      <c r="BZ2054" s="322"/>
      <c r="CA2054" s="322"/>
      <c r="CB2054" s="322"/>
      <c r="CC2054" s="322"/>
      <c r="CD2054" s="322"/>
      <c r="CE2054" s="322"/>
      <c r="CF2054" s="322"/>
      <c r="CG2054" s="322"/>
      <c r="CH2054" s="322"/>
      <c r="CI2054" s="322"/>
      <c r="CM2054" s="1139">
        <f t="shared" si="1243"/>
        <v>0</v>
      </c>
      <c r="CN2054" s="1139">
        <v>0</v>
      </c>
      <c r="CP2054" s="923">
        <f t="shared" si="1242"/>
        <v>0</v>
      </c>
      <c r="CZ2054" s="330"/>
    </row>
    <row r="2055" spans="1:104" ht="15" customHeight="1" x14ac:dyDescent="0.25">
      <c r="A2055" s="684">
        <f>MAX($A$6:A2054)+1</f>
        <v>2055</v>
      </c>
      <c r="B2055" s="1060">
        <f t="shared" si="1244"/>
        <v>80</v>
      </c>
      <c r="C2055" s="11" t="s">
        <v>406</v>
      </c>
      <c r="D2055" s="11" t="s">
        <v>430</v>
      </c>
      <c r="E2055" s="7" t="s">
        <v>414</v>
      </c>
      <c r="F2055" s="7"/>
      <c r="G2055" s="1254" t="s">
        <v>414</v>
      </c>
      <c r="H2055" s="6">
        <v>0</v>
      </c>
      <c r="I2055" s="6"/>
      <c r="J2055" s="1257" t="s">
        <v>414</v>
      </c>
      <c r="K2055" s="251">
        <f>SUMIF('alb A - Losses &amp; special pay'!$B:$B,$J2055,'alb A - Losses &amp; special pay'!$F:$F)</f>
        <v>0</v>
      </c>
      <c r="L2055" s="266"/>
      <c r="M2055" s="2"/>
      <c r="N2055" s="273">
        <f t="shared" si="1232"/>
        <v>0</v>
      </c>
      <c r="O2055" s="12"/>
      <c r="P2055" s="12"/>
      <c r="Q2055" s="12"/>
      <c r="R2055" s="12"/>
      <c r="S2055" s="6">
        <f t="shared" si="1235"/>
        <v>0</v>
      </c>
      <c r="T2055" s="273">
        <f t="shared" si="1245"/>
        <v>0</v>
      </c>
      <c r="U2055" s="251"/>
      <c r="V2055" s="251"/>
      <c r="W2055" s="251">
        <f t="shared" si="1246"/>
        <v>0</v>
      </c>
      <c r="X2055" s="251"/>
      <c r="Y2055" s="251"/>
      <c r="Z2055" s="251"/>
      <c r="AA2055" s="251"/>
      <c r="AB2055" s="251"/>
      <c r="AC2055" s="251"/>
      <c r="AD2055" s="251"/>
      <c r="AE2055" s="251"/>
      <c r="AF2055" s="251"/>
      <c r="AG2055" s="251"/>
      <c r="AH2055" s="251"/>
      <c r="AI2055" s="251"/>
      <c r="AJ2055" s="251"/>
      <c r="AK2055" s="251"/>
      <c r="AL2055" s="251"/>
      <c r="AM2055" s="251"/>
      <c r="AN2055" s="251"/>
      <c r="AO2055" s="251"/>
      <c r="AP2055" s="251"/>
      <c r="AQ2055" s="251"/>
      <c r="AR2055" s="251"/>
      <c r="AS2055" s="251"/>
      <c r="AT2055" s="251"/>
      <c r="AU2055" s="251"/>
      <c r="AV2055" s="251"/>
      <c r="AX2055" s="6"/>
      <c r="AY2055" s="6">
        <f>ROUND(AX2055/1000/Update!$B$31*Update!$B$27,0)</f>
        <v>0</v>
      </c>
      <c r="BA2055" s="6"/>
      <c r="BB2055" s="6">
        <f>ROUND(BA2055/1000/Update!$B$31,0)</f>
        <v>0</v>
      </c>
      <c r="BC2055" s="6"/>
      <c r="BD2055" s="6">
        <f t="shared" si="1240"/>
        <v>0</v>
      </c>
      <c r="BE2055" s="322"/>
      <c r="BF2055" s="322"/>
      <c r="BG2055" s="322"/>
      <c r="BH2055" s="322"/>
      <c r="BI2055" s="322"/>
      <c r="BJ2055" s="322"/>
      <c r="BK2055" s="6">
        <f t="shared" si="1239"/>
        <v>0</v>
      </c>
      <c r="BL2055" s="322"/>
      <c r="BM2055" s="322"/>
      <c r="BN2055" s="322"/>
      <c r="BO2055" s="322"/>
      <c r="BP2055" s="322"/>
      <c r="BQ2055" s="322"/>
      <c r="BR2055" s="322"/>
      <c r="BS2055" s="322"/>
      <c r="BT2055" s="322"/>
      <c r="BU2055" s="322"/>
      <c r="BV2055" s="322"/>
      <c r="BW2055" s="322"/>
      <c r="BX2055" s="322"/>
      <c r="BY2055" s="322"/>
      <c r="BZ2055" s="322"/>
      <c r="CA2055" s="322"/>
      <c r="CB2055" s="322"/>
      <c r="CC2055" s="322"/>
      <c r="CD2055" s="322"/>
      <c r="CE2055" s="322"/>
      <c r="CF2055" s="322"/>
      <c r="CG2055" s="322"/>
      <c r="CH2055" s="322"/>
      <c r="CI2055" s="322"/>
      <c r="CM2055" s="1139">
        <f t="shared" si="1243"/>
        <v>0</v>
      </c>
      <c r="CN2055" s="1139">
        <v>0</v>
      </c>
      <c r="CP2055" s="923">
        <f t="shared" si="1242"/>
        <v>0</v>
      </c>
      <c r="CZ2055" s="330"/>
    </row>
    <row r="2056" spans="1:104" ht="15" customHeight="1" x14ac:dyDescent="0.25">
      <c r="A2056" s="684">
        <f>MAX($A$6:A2055)+1</f>
        <v>2056</v>
      </c>
      <c r="B2056" s="1060">
        <f t="shared" si="1244"/>
        <v>80</v>
      </c>
      <c r="C2056" s="11" t="s">
        <v>406</v>
      </c>
      <c r="D2056" s="11" t="s">
        <v>431</v>
      </c>
      <c r="E2056" s="7" t="s">
        <v>272</v>
      </c>
      <c r="F2056" s="7"/>
      <c r="G2056" s="1254" t="s">
        <v>272</v>
      </c>
      <c r="H2056" s="6">
        <v>0</v>
      </c>
      <c r="I2056" s="6"/>
      <c r="J2056" s="1257" t="s">
        <v>272</v>
      </c>
      <c r="K2056" s="251">
        <f>SUMIF('alb A - Losses &amp; special pay'!$C:$C,$J2056,'alb A - Losses &amp; special pay'!$F:$F)</f>
        <v>0</v>
      </c>
      <c r="L2056" s="266"/>
      <c r="M2056" s="2"/>
      <c r="N2056" s="273">
        <f t="shared" ref="N2056:N2069" si="1247">ROUND(SUM(O2056:AU2056)-T2056,0)</f>
        <v>0</v>
      </c>
      <c r="O2056" s="12"/>
      <c r="P2056" s="12"/>
      <c r="Q2056" s="12"/>
      <c r="R2056" s="12"/>
      <c r="S2056" s="6">
        <f t="shared" si="1235"/>
        <v>0</v>
      </c>
      <c r="T2056" s="273">
        <f t="shared" si="1245"/>
        <v>0</v>
      </c>
      <c r="U2056" s="251"/>
      <c r="V2056" s="251"/>
      <c r="W2056" s="251">
        <f t="shared" si="1246"/>
        <v>0</v>
      </c>
      <c r="X2056" s="251"/>
      <c r="Y2056" s="251"/>
      <c r="Z2056" s="251"/>
      <c r="AA2056" s="251"/>
      <c r="AB2056" s="251"/>
      <c r="AC2056" s="251"/>
      <c r="AD2056" s="251"/>
      <c r="AE2056" s="251"/>
      <c r="AF2056" s="251"/>
      <c r="AG2056" s="251"/>
      <c r="AH2056" s="251"/>
      <c r="AI2056" s="251"/>
      <c r="AJ2056" s="251"/>
      <c r="AK2056" s="251"/>
      <c r="AL2056" s="251"/>
      <c r="AM2056" s="251"/>
      <c r="AN2056" s="251"/>
      <c r="AO2056" s="251"/>
      <c r="AP2056" s="251"/>
      <c r="AQ2056" s="251"/>
      <c r="AR2056" s="251"/>
      <c r="AS2056" s="251"/>
      <c r="AT2056" s="251"/>
      <c r="AU2056" s="251"/>
      <c r="AV2056" s="251"/>
      <c r="AX2056" s="6"/>
      <c r="AY2056" s="6">
        <f>ROUND(AX2056/1000/Update!$B$31*Update!$B$27,0)</f>
        <v>0</v>
      </c>
      <c r="BA2056" s="6"/>
      <c r="BB2056" s="6">
        <f>ROUND(BA2056/1000/Update!$B$31,0)</f>
        <v>0</v>
      </c>
      <c r="BC2056" s="6"/>
      <c r="BD2056" s="6">
        <f t="shared" si="1240"/>
        <v>0</v>
      </c>
      <c r="BE2056" s="322"/>
      <c r="BF2056" s="322"/>
      <c r="BG2056" s="322"/>
      <c r="BH2056" s="322"/>
      <c r="BI2056" s="322"/>
      <c r="BJ2056" s="322"/>
      <c r="BK2056" s="6">
        <f t="shared" si="1239"/>
        <v>0</v>
      </c>
      <c r="BL2056" s="322"/>
      <c r="BM2056" s="322"/>
      <c r="BN2056" s="322"/>
      <c r="BO2056" s="322"/>
      <c r="BP2056" s="322"/>
      <c r="BQ2056" s="322"/>
      <c r="BR2056" s="322"/>
      <c r="BS2056" s="322"/>
      <c r="BT2056" s="322"/>
      <c r="BU2056" s="322"/>
      <c r="BV2056" s="322"/>
      <c r="BW2056" s="322"/>
      <c r="BX2056" s="322"/>
      <c r="BY2056" s="322"/>
      <c r="BZ2056" s="322"/>
      <c r="CA2056" s="322"/>
      <c r="CB2056" s="322"/>
      <c r="CC2056" s="322"/>
      <c r="CD2056" s="322"/>
      <c r="CE2056" s="322"/>
      <c r="CF2056" s="322"/>
      <c r="CG2056" s="322"/>
      <c r="CH2056" s="322"/>
      <c r="CI2056" s="322"/>
      <c r="CM2056" s="1139">
        <f t="shared" si="1243"/>
        <v>0</v>
      </c>
      <c r="CN2056" s="1139">
        <v>0</v>
      </c>
      <c r="CP2056" s="923">
        <f t="shared" si="1242"/>
        <v>0</v>
      </c>
      <c r="CZ2056" s="330"/>
    </row>
    <row r="2057" spans="1:104" ht="15" customHeight="1" x14ac:dyDescent="0.25">
      <c r="A2057" s="684">
        <f>MAX($A$6:A2056)+1</f>
        <v>2057</v>
      </c>
      <c r="B2057" s="1060">
        <f t="shared" si="1244"/>
        <v>80</v>
      </c>
      <c r="C2057" s="11" t="s">
        <v>406</v>
      </c>
      <c r="D2057" s="11" t="s">
        <v>431</v>
      </c>
      <c r="E2057" s="7" t="s">
        <v>416</v>
      </c>
      <c r="F2057" s="7"/>
      <c r="G2057" s="1254" t="s">
        <v>416</v>
      </c>
      <c r="H2057" s="6">
        <v>0</v>
      </c>
      <c r="I2057" s="6"/>
      <c r="J2057" s="1257" t="s">
        <v>416</v>
      </c>
      <c r="K2057" s="251">
        <f>SUMIF('alb A - Losses &amp; special pay'!$C:$C,$J2057,'alb A - Losses &amp; special pay'!$F:$F)</f>
        <v>0</v>
      </c>
      <c r="L2057" s="266"/>
      <c r="M2057" s="2"/>
      <c r="N2057" s="273">
        <f t="shared" si="1247"/>
        <v>0</v>
      </c>
      <c r="O2057" s="12"/>
      <c r="P2057" s="12"/>
      <c r="Q2057" s="12"/>
      <c r="R2057" s="12"/>
      <c r="S2057" s="6">
        <f t="shared" si="1235"/>
        <v>0</v>
      </c>
      <c r="T2057" s="273">
        <f t="shared" si="1245"/>
        <v>0</v>
      </c>
      <c r="U2057" s="251"/>
      <c r="V2057" s="251"/>
      <c r="W2057" s="251">
        <f t="shared" si="1246"/>
        <v>0</v>
      </c>
      <c r="X2057" s="251"/>
      <c r="Y2057" s="251"/>
      <c r="Z2057" s="251"/>
      <c r="AA2057" s="251"/>
      <c r="AB2057" s="251"/>
      <c r="AC2057" s="251"/>
      <c r="AD2057" s="251"/>
      <c r="AE2057" s="251"/>
      <c r="AF2057" s="251"/>
      <c r="AG2057" s="251"/>
      <c r="AH2057" s="251"/>
      <c r="AI2057" s="251"/>
      <c r="AJ2057" s="251"/>
      <c r="AK2057" s="251"/>
      <c r="AL2057" s="251"/>
      <c r="AM2057" s="251"/>
      <c r="AN2057" s="251"/>
      <c r="AO2057" s="251"/>
      <c r="AP2057" s="251"/>
      <c r="AQ2057" s="251"/>
      <c r="AR2057" s="251"/>
      <c r="AS2057" s="251"/>
      <c r="AT2057" s="251"/>
      <c r="AU2057" s="251"/>
      <c r="AV2057" s="251"/>
      <c r="AX2057" s="6"/>
      <c r="AY2057" s="6">
        <f>ROUND(AX2057/1000/Update!$B$31*Update!$B$27,0)</f>
        <v>0</v>
      </c>
      <c r="BA2057" s="6"/>
      <c r="BB2057" s="6">
        <f>ROUND(BA2057/1000/Update!$B$31,0)</f>
        <v>0</v>
      </c>
      <c r="BC2057" s="6"/>
      <c r="BD2057" s="6">
        <f t="shared" si="1240"/>
        <v>0</v>
      </c>
      <c r="BE2057" s="322"/>
      <c r="BF2057" s="322"/>
      <c r="BG2057" s="322"/>
      <c r="BH2057" s="322"/>
      <c r="BI2057" s="322"/>
      <c r="BJ2057" s="322"/>
      <c r="BK2057" s="6">
        <f t="shared" si="1239"/>
        <v>0</v>
      </c>
      <c r="BL2057" s="322"/>
      <c r="BM2057" s="322"/>
      <c r="BN2057" s="322"/>
      <c r="BO2057" s="322"/>
      <c r="BP2057" s="322"/>
      <c r="BQ2057" s="322"/>
      <c r="BR2057" s="322"/>
      <c r="BS2057" s="322"/>
      <c r="BT2057" s="322"/>
      <c r="BU2057" s="322"/>
      <c r="BV2057" s="322"/>
      <c r="BW2057" s="322"/>
      <c r="BX2057" s="322"/>
      <c r="BY2057" s="322"/>
      <c r="BZ2057" s="322"/>
      <c r="CA2057" s="322"/>
      <c r="CB2057" s="322"/>
      <c r="CC2057" s="322"/>
      <c r="CD2057" s="322"/>
      <c r="CE2057" s="322"/>
      <c r="CF2057" s="322"/>
      <c r="CG2057" s="322"/>
      <c r="CH2057" s="322"/>
      <c r="CI2057" s="322"/>
      <c r="CM2057" s="1139">
        <f t="shared" si="1243"/>
        <v>0</v>
      </c>
      <c r="CN2057" s="1139">
        <v>0</v>
      </c>
      <c r="CP2057" s="923">
        <f t="shared" si="1242"/>
        <v>0</v>
      </c>
      <c r="CZ2057" s="330"/>
    </row>
    <row r="2058" spans="1:104" ht="15" customHeight="1" x14ac:dyDescent="0.25">
      <c r="A2058" s="684">
        <f>MAX($A$6:A2057)+1</f>
        <v>2058</v>
      </c>
      <c r="B2058" s="1060">
        <f t="shared" si="1244"/>
        <v>80</v>
      </c>
      <c r="C2058" s="11" t="s">
        <v>406</v>
      </c>
      <c r="D2058" s="11" t="s">
        <v>431</v>
      </c>
      <c r="E2058" s="7" t="s">
        <v>417</v>
      </c>
      <c r="F2058" s="7"/>
      <c r="G2058" s="1254" t="s">
        <v>417</v>
      </c>
      <c r="H2058" s="6">
        <v>0</v>
      </c>
      <c r="I2058" s="6"/>
      <c r="J2058" s="1257" t="s">
        <v>417</v>
      </c>
      <c r="K2058" s="251">
        <f>SUMIF('alb A - Losses &amp; special pay'!$C:$C,$J2058,'alb A - Losses &amp; special pay'!$F:$F)</f>
        <v>0</v>
      </c>
      <c r="L2058" s="266"/>
      <c r="M2058" s="2"/>
      <c r="N2058" s="273">
        <f t="shared" si="1247"/>
        <v>0</v>
      </c>
      <c r="O2058" s="12"/>
      <c r="P2058" s="12"/>
      <c r="Q2058" s="12"/>
      <c r="R2058" s="12"/>
      <c r="S2058" s="6">
        <f t="shared" si="1235"/>
        <v>0</v>
      </c>
      <c r="T2058" s="273">
        <f t="shared" si="1245"/>
        <v>0</v>
      </c>
      <c r="U2058" s="251"/>
      <c r="V2058" s="251"/>
      <c r="W2058" s="251">
        <f t="shared" si="1246"/>
        <v>0</v>
      </c>
      <c r="X2058" s="251"/>
      <c r="Y2058" s="251"/>
      <c r="Z2058" s="251"/>
      <c r="AA2058" s="251"/>
      <c r="AB2058" s="251"/>
      <c r="AC2058" s="251"/>
      <c r="AD2058" s="251"/>
      <c r="AE2058" s="251"/>
      <c r="AF2058" s="251"/>
      <c r="AG2058" s="251"/>
      <c r="AH2058" s="251"/>
      <c r="AI2058" s="251"/>
      <c r="AJ2058" s="251"/>
      <c r="AK2058" s="251"/>
      <c r="AL2058" s="251"/>
      <c r="AM2058" s="251"/>
      <c r="AN2058" s="251"/>
      <c r="AO2058" s="251"/>
      <c r="AP2058" s="251"/>
      <c r="AQ2058" s="251"/>
      <c r="AR2058" s="251"/>
      <c r="AS2058" s="251"/>
      <c r="AT2058" s="251"/>
      <c r="AU2058" s="251"/>
      <c r="AV2058" s="251"/>
      <c r="AX2058" s="6"/>
      <c r="AY2058" s="6">
        <f>ROUND(AX2058/1000/Update!$B$31*Update!$B$27,0)</f>
        <v>0</v>
      </c>
      <c r="BA2058" s="6"/>
      <c r="BB2058" s="6">
        <f>ROUND(BA2058/1000/Update!$B$31,0)</f>
        <v>0</v>
      </c>
      <c r="BC2058" s="6"/>
      <c r="BD2058" s="6">
        <f t="shared" si="1240"/>
        <v>0</v>
      </c>
      <c r="BE2058" s="322"/>
      <c r="BF2058" s="322"/>
      <c r="BG2058" s="322"/>
      <c r="BH2058" s="322"/>
      <c r="BI2058" s="322"/>
      <c r="BJ2058" s="322"/>
      <c r="BK2058" s="6">
        <f t="shared" si="1239"/>
        <v>0</v>
      </c>
      <c r="BL2058" s="322"/>
      <c r="BM2058" s="322"/>
      <c r="BN2058" s="322"/>
      <c r="BO2058" s="322"/>
      <c r="BP2058" s="322"/>
      <c r="BQ2058" s="322"/>
      <c r="BR2058" s="322"/>
      <c r="BS2058" s="322"/>
      <c r="BT2058" s="322"/>
      <c r="BU2058" s="322"/>
      <c r="BV2058" s="322"/>
      <c r="BW2058" s="322"/>
      <c r="BX2058" s="322"/>
      <c r="BY2058" s="322"/>
      <c r="BZ2058" s="322"/>
      <c r="CA2058" s="322"/>
      <c r="CB2058" s="322"/>
      <c r="CC2058" s="322"/>
      <c r="CD2058" s="322"/>
      <c r="CE2058" s="322"/>
      <c r="CF2058" s="322"/>
      <c r="CG2058" s="322"/>
      <c r="CH2058" s="322"/>
      <c r="CI2058" s="322"/>
      <c r="CM2058" s="1139">
        <f t="shared" si="1243"/>
        <v>0</v>
      </c>
      <c r="CN2058" s="1139">
        <v>0</v>
      </c>
      <c r="CP2058" s="923">
        <f t="shared" si="1242"/>
        <v>0</v>
      </c>
      <c r="CZ2058" s="330"/>
    </row>
    <row r="2059" spans="1:104" ht="15" customHeight="1" x14ac:dyDescent="0.25">
      <c r="A2059" s="684">
        <f>MAX($A$6:A2058)+1</f>
        <v>2059</v>
      </c>
      <c r="B2059" s="1060">
        <f t="shared" si="1244"/>
        <v>80</v>
      </c>
      <c r="C2059" s="11" t="s">
        <v>406</v>
      </c>
      <c r="D2059" s="11" t="s">
        <v>431</v>
      </c>
      <c r="E2059" s="7" t="s">
        <v>910</v>
      </c>
      <c r="F2059" s="7"/>
      <c r="G2059" s="1254" t="s">
        <v>910</v>
      </c>
      <c r="H2059" s="6">
        <v>0</v>
      </c>
      <c r="I2059" s="6"/>
      <c r="J2059" s="1257" t="s">
        <v>910</v>
      </c>
      <c r="K2059" s="251">
        <f>SUMIF('alb A - Losses &amp; special pay'!$C:$C,$J2059,'alb A - Losses &amp; special pay'!$F:$F)</f>
        <v>0</v>
      </c>
      <c r="L2059" s="266"/>
      <c r="M2059" s="2"/>
      <c r="N2059" s="273">
        <f t="shared" si="1247"/>
        <v>0</v>
      </c>
      <c r="O2059" s="12"/>
      <c r="P2059" s="12"/>
      <c r="Q2059" s="12"/>
      <c r="R2059" s="12"/>
      <c r="S2059" s="6">
        <f t="shared" si="1235"/>
        <v>0</v>
      </c>
      <c r="T2059" s="273">
        <f t="shared" ref="T2059:T2069" si="1248">ROUND(SUM(U2059:Y2059),0)</f>
        <v>0</v>
      </c>
      <c r="U2059" s="251"/>
      <c r="V2059" s="251"/>
      <c r="W2059" s="251">
        <f t="shared" si="1246"/>
        <v>0</v>
      </c>
      <c r="X2059" s="251"/>
      <c r="Y2059" s="251"/>
      <c r="Z2059" s="251"/>
      <c r="AA2059" s="251"/>
      <c r="AB2059" s="251"/>
      <c r="AC2059" s="251"/>
      <c r="AD2059" s="251"/>
      <c r="AE2059" s="251"/>
      <c r="AF2059" s="251"/>
      <c r="AG2059" s="251"/>
      <c r="AH2059" s="251"/>
      <c r="AI2059" s="251"/>
      <c r="AJ2059" s="251"/>
      <c r="AK2059" s="251"/>
      <c r="AL2059" s="251"/>
      <c r="AM2059" s="251"/>
      <c r="AN2059" s="251"/>
      <c r="AO2059" s="251"/>
      <c r="AP2059" s="251"/>
      <c r="AQ2059" s="251"/>
      <c r="AR2059" s="251"/>
      <c r="AS2059" s="251"/>
      <c r="AT2059" s="251"/>
      <c r="AU2059" s="251"/>
      <c r="AV2059" s="251"/>
      <c r="AX2059" s="6"/>
      <c r="AY2059" s="6">
        <f>ROUND(AX2059/1000/Update!$B$31*Update!$B$27,0)</f>
        <v>0</v>
      </c>
      <c r="BA2059" s="6"/>
      <c r="BB2059" s="6">
        <f>ROUND(BA2059/1000/Update!$B$31,0)</f>
        <v>0</v>
      </c>
      <c r="BC2059" s="6"/>
      <c r="BD2059" s="6">
        <f t="shared" si="1240"/>
        <v>0</v>
      </c>
      <c r="BE2059" s="322"/>
      <c r="BF2059" s="322"/>
      <c r="BG2059" s="322"/>
      <c r="BH2059" s="322"/>
      <c r="BI2059" s="322"/>
      <c r="BJ2059" s="322"/>
      <c r="BK2059" s="6">
        <f t="shared" si="1239"/>
        <v>0</v>
      </c>
      <c r="BL2059" s="322"/>
      <c r="BM2059" s="322"/>
      <c r="BN2059" s="322"/>
      <c r="BO2059" s="322"/>
      <c r="BP2059" s="322"/>
      <c r="BQ2059" s="322"/>
      <c r="BR2059" s="322"/>
      <c r="BS2059" s="322"/>
      <c r="BT2059" s="322"/>
      <c r="BU2059" s="322"/>
      <c r="BV2059" s="322"/>
      <c r="BW2059" s="322"/>
      <c r="BX2059" s="322"/>
      <c r="BY2059" s="322"/>
      <c r="BZ2059" s="322"/>
      <c r="CA2059" s="322"/>
      <c r="CB2059" s="322"/>
      <c r="CC2059" s="322"/>
      <c r="CD2059" s="322"/>
      <c r="CE2059" s="322"/>
      <c r="CF2059" s="322"/>
      <c r="CG2059" s="322"/>
      <c r="CH2059" s="322"/>
      <c r="CI2059" s="322"/>
      <c r="CM2059" s="1139">
        <f t="shared" si="1243"/>
        <v>0</v>
      </c>
      <c r="CN2059" s="1139">
        <v>0</v>
      </c>
      <c r="CP2059" s="923">
        <f t="shared" si="1242"/>
        <v>0</v>
      </c>
      <c r="CZ2059" s="330"/>
    </row>
    <row r="2060" spans="1:104" ht="15" customHeight="1" x14ac:dyDescent="0.25">
      <c r="A2060" s="684">
        <f>MAX($A$6:A2059)+1</f>
        <v>2060</v>
      </c>
      <c r="B2060" s="1060">
        <f t="shared" si="1244"/>
        <v>80</v>
      </c>
      <c r="C2060" s="11" t="s">
        <v>406</v>
      </c>
      <c r="D2060" s="11" t="s">
        <v>432</v>
      </c>
      <c r="E2060" s="7" t="s">
        <v>407</v>
      </c>
      <c r="F2060" s="7"/>
      <c r="G2060" s="1254" t="s">
        <v>407</v>
      </c>
      <c r="H2060" s="6">
        <v>0</v>
      </c>
      <c r="I2060" s="6"/>
      <c r="J2060" s="1257" t="s">
        <v>407</v>
      </c>
      <c r="K2060" s="251">
        <f>SUMIF('alb A - Losses &amp; special pay'!$C:$C,$J2060,'alb A - Losses &amp; special pay'!$F:$F)</f>
        <v>0</v>
      </c>
      <c r="L2060" s="266"/>
      <c r="M2060" s="2"/>
      <c r="N2060" s="273">
        <f t="shared" si="1247"/>
        <v>0</v>
      </c>
      <c r="O2060" s="12"/>
      <c r="P2060" s="12"/>
      <c r="Q2060" s="12"/>
      <c r="R2060" s="12"/>
      <c r="S2060" s="6">
        <f t="shared" si="1235"/>
        <v>0</v>
      </c>
      <c r="T2060" s="273">
        <f t="shared" si="1248"/>
        <v>0</v>
      </c>
      <c r="U2060" s="251"/>
      <c r="V2060" s="251"/>
      <c r="W2060" s="251">
        <f t="shared" si="1246"/>
        <v>0</v>
      </c>
      <c r="X2060" s="251"/>
      <c r="Y2060" s="251"/>
      <c r="Z2060" s="251"/>
      <c r="AA2060" s="251"/>
      <c r="AB2060" s="251"/>
      <c r="AC2060" s="251"/>
      <c r="AD2060" s="251"/>
      <c r="AE2060" s="251"/>
      <c r="AF2060" s="251"/>
      <c r="AG2060" s="251"/>
      <c r="AH2060" s="251"/>
      <c r="AI2060" s="251"/>
      <c r="AJ2060" s="251"/>
      <c r="AK2060" s="251"/>
      <c r="AL2060" s="251"/>
      <c r="AM2060" s="251"/>
      <c r="AN2060" s="251"/>
      <c r="AO2060" s="251"/>
      <c r="AP2060" s="251"/>
      <c r="AQ2060" s="251"/>
      <c r="AR2060" s="251"/>
      <c r="AS2060" s="251"/>
      <c r="AT2060" s="251"/>
      <c r="AU2060" s="251"/>
      <c r="AV2060" s="251"/>
      <c r="AX2060" s="6"/>
      <c r="AY2060" s="6">
        <f>ROUND(AX2060/1000/Update!$B$31*Update!$B$27,0)</f>
        <v>0</v>
      </c>
      <c r="BA2060" s="6"/>
      <c r="BB2060" s="6">
        <f>ROUND(BA2060/1000/Update!$B$31,0)</f>
        <v>0</v>
      </c>
      <c r="BC2060" s="6"/>
      <c r="BD2060" s="6">
        <f t="shared" si="1240"/>
        <v>0</v>
      </c>
      <c r="BE2060" s="322"/>
      <c r="BF2060" s="322"/>
      <c r="BG2060" s="322"/>
      <c r="BH2060" s="322"/>
      <c r="BI2060" s="322"/>
      <c r="BJ2060" s="322"/>
      <c r="BK2060" s="6">
        <f t="shared" si="1239"/>
        <v>0</v>
      </c>
      <c r="BL2060" s="322"/>
      <c r="BM2060" s="322"/>
      <c r="BN2060" s="322"/>
      <c r="BO2060" s="322"/>
      <c r="BP2060" s="322"/>
      <c r="BQ2060" s="322"/>
      <c r="BR2060" s="322"/>
      <c r="BS2060" s="322"/>
      <c r="BT2060" s="322"/>
      <c r="BU2060" s="322"/>
      <c r="BV2060" s="322"/>
      <c r="BW2060" s="322"/>
      <c r="BX2060" s="322"/>
      <c r="BY2060" s="322"/>
      <c r="BZ2060" s="322"/>
      <c r="CA2060" s="322"/>
      <c r="CB2060" s="322"/>
      <c r="CC2060" s="322"/>
      <c r="CD2060" s="322"/>
      <c r="CE2060" s="322"/>
      <c r="CF2060" s="322"/>
      <c r="CG2060" s="322"/>
      <c r="CH2060" s="322"/>
      <c r="CI2060" s="322"/>
      <c r="CM2060" s="1139">
        <f t="shared" si="1243"/>
        <v>0</v>
      </c>
      <c r="CN2060" s="1139">
        <v>0</v>
      </c>
      <c r="CP2060" s="923">
        <f t="shared" si="1242"/>
        <v>0</v>
      </c>
      <c r="CZ2060" s="330"/>
    </row>
    <row r="2061" spans="1:104" ht="15" customHeight="1" x14ac:dyDescent="0.25">
      <c r="A2061" s="684">
        <f>MAX($A$6:A2060)+1</f>
        <v>2061</v>
      </c>
      <c r="B2061" s="1060">
        <f t="shared" si="1244"/>
        <v>80</v>
      </c>
      <c r="C2061" s="11" t="s">
        <v>406</v>
      </c>
      <c r="D2061" s="11" t="s">
        <v>432</v>
      </c>
      <c r="E2061" s="7" t="s">
        <v>408</v>
      </c>
      <c r="F2061" s="7"/>
      <c r="G2061" s="1254" t="s">
        <v>408</v>
      </c>
      <c r="H2061" s="6">
        <v>0</v>
      </c>
      <c r="I2061" s="6"/>
      <c r="J2061" s="1257" t="s">
        <v>408</v>
      </c>
      <c r="K2061" s="251">
        <f>SUMIF('alb A - Losses &amp; special pay'!$C:$C,$J2061,'alb A - Losses &amp; special pay'!$F:$F)</f>
        <v>0</v>
      </c>
      <c r="L2061" s="266"/>
      <c r="M2061" s="2"/>
      <c r="N2061" s="273">
        <f t="shared" si="1247"/>
        <v>0</v>
      </c>
      <c r="O2061" s="12"/>
      <c r="P2061" s="12"/>
      <c r="Q2061" s="12"/>
      <c r="R2061" s="12"/>
      <c r="S2061" s="6">
        <f t="shared" si="1235"/>
        <v>0</v>
      </c>
      <c r="T2061" s="273">
        <f t="shared" si="1248"/>
        <v>0</v>
      </c>
      <c r="U2061" s="251"/>
      <c r="V2061" s="251"/>
      <c r="W2061" s="251">
        <f t="shared" si="1246"/>
        <v>0</v>
      </c>
      <c r="X2061" s="251"/>
      <c r="Y2061" s="251"/>
      <c r="Z2061" s="251"/>
      <c r="AA2061" s="251"/>
      <c r="AB2061" s="251"/>
      <c r="AC2061" s="251"/>
      <c r="AD2061" s="251"/>
      <c r="AE2061" s="251"/>
      <c r="AF2061" s="251"/>
      <c r="AG2061" s="251"/>
      <c r="AH2061" s="251"/>
      <c r="AI2061" s="251"/>
      <c r="AJ2061" s="251"/>
      <c r="AK2061" s="251"/>
      <c r="AL2061" s="251"/>
      <c r="AM2061" s="251"/>
      <c r="AN2061" s="251"/>
      <c r="AO2061" s="251"/>
      <c r="AP2061" s="251"/>
      <c r="AQ2061" s="251"/>
      <c r="AR2061" s="251"/>
      <c r="AS2061" s="251"/>
      <c r="AT2061" s="251"/>
      <c r="AU2061" s="251"/>
      <c r="AV2061" s="251"/>
      <c r="AX2061" s="6"/>
      <c r="AY2061" s="6">
        <f>ROUND(AX2061/1000/Update!$B$31*Update!$B$27,0)</f>
        <v>0</v>
      </c>
      <c r="BA2061" s="6"/>
      <c r="BB2061" s="6">
        <f>ROUND(BA2061/1000/Update!$B$31,0)</f>
        <v>0</v>
      </c>
      <c r="BC2061" s="6"/>
      <c r="BD2061" s="6">
        <f t="shared" si="1240"/>
        <v>0</v>
      </c>
      <c r="BE2061" s="322"/>
      <c r="BF2061" s="322"/>
      <c r="BG2061" s="322"/>
      <c r="BH2061" s="322"/>
      <c r="BI2061" s="322"/>
      <c r="BJ2061" s="322"/>
      <c r="BK2061" s="6">
        <f t="shared" si="1239"/>
        <v>0</v>
      </c>
      <c r="BL2061" s="322"/>
      <c r="BM2061" s="322"/>
      <c r="BN2061" s="322"/>
      <c r="BO2061" s="322"/>
      <c r="BP2061" s="322"/>
      <c r="BQ2061" s="322"/>
      <c r="BR2061" s="322"/>
      <c r="BS2061" s="322"/>
      <c r="BT2061" s="322"/>
      <c r="BU2061" s="322"/>
      <c r="BV2061" s="322"/>
      <c r="BW2061" s="322"/>
      <c r="BX2061" s="322"/>
      <c r="BY2061" s="322"/>
      <c r="BZ2061" s="322"/>
      <c r="CA2061" s="322"/>
      <c r="CB2061" s="322"/>
      <c r="CC2061" s="322"/>
      <c r="CD2061" s="322"/>
      <c r="CE2061" s="322"/>
      <c r="CF2061" s="322"/>
      <c r="CG2061" s="322"/>
      <c r="CH2061" s="322"/>
      <c r="CI2061" s="322"/>
      <c r="CM2061" s="1139">
        <f t="shared" si="1243"/>
        <v>0</v>
      </c>
      <c r="CN2061" s="1139">
        <v>0</v>
      </c>
      <c r="CP2061" s="923">
        <f t="shared" si="1242"/>
        <v>0</v>
      </c>
      <c r="CZ2061" s="330"/>
    </row>
    <row r="2062" spans="1:104" ht="15" customHeight="1" x14ac:dyDescent="0.25">
      <c r="A2062" s="684">
        <f>MAX($A$6:A2061)+1</f>
        <v>2062</v>
      </c>
      <c r="B2062" s="1060">
        <f t="shared" si="1244"/>
        <v>80</v>
      </c>
      <c r="C2062" s="11" t="s">
        <v>406</v>
      </c>
      <c r="D2062" s="11" t="s">
        <v>432</v>
      </c>
      <c r="E2062" s="7" t="s">
        <v>409</v>
      </c>
      <c r="F2062" s="7"/>
      <c r="G2062" s="1254" t="s">
        <v>409</v>
      </c>
      <c r="H2062" s="6">
        <v>0</v>
      </c>
      <c r="I2062" s="6"/>
      <c r="J2062" s="1257" t="s">
        <v>409</v>
      </c>
      <c r="K2062" s="251">
        <f>SUMIF('alb A - Losses &amp; special pay'!$C:$C,$J2062,'alb A - Losses &amp; special pay'!$F:$F)</f>
        <v>0</v>
      </c>
      <c r="L2062" s="266"/>
      <c r="M2062" s="2"/>
      <c r="N2062" s="273">
        <f t="shared" si="1247"/>
        <v>0</v>
      </c>
      <c r="O2062" s="12"/>
      <c r="P2062" s="12"/>
      <c r="Q2062" s="12"/>
      <c r="R2062" s="12"/>
      <c r="S2062" s="6">
        <f t="shared" si="1235"/>
        <v>0</v>
      </c>
      <c r="T2062" s="273">
        <f t="shared" si="1248"/>
        <v>0</v>
      </c>
      <c r="U2062" s="251"/>
      <c r="V2062" s="251"/>
      <c r="W2062" s="251">
        <f t="shared" si="1246"/>
        <v>0</v>
      </c>
      <c r="X2062" s="251"/>
      <c r="Y2062" s="251"/>
      <c r="Z2062" s="251"/>
      <c r="AA2062" s="251"/>
      <c r="AB2062" s="251"/>
      <c r="AC2062" s="251"/>
      <c r="AD2062" s="251"/>
      <c r="AE2062" s="251"/>
      <c r="AF2062" s="251"/>
      <c r="AG2062" s="251"/>
      <c r="AH2062" s="251"/>
      <c r="AI2062" s="251"/>
      <c r="AJ2062" s="251"/>
      <c r="AK2062" s="251"/>
      <c r="AL2062" s="251"/>
      <c r="AM2062" s="251"/>
      <c r="AN2062" s="251"/>
      <c r="AO2062" s="251"/>
      <c r="AP2062" s="251"/>
      <c r="AQ2062" s="251"/>
      <c r="AR2062" s="251"/>
      <c r="AS2062" s="251"/>
      <c r="AT2062" s="251"/>
      <c r="AU2062" s="251"/>
      <c r="AV2062" s="251"/>
      <c r="AX2062" s="6"/>
      <c r="AY2062" s="6">
        <f>ROUND(AX2062/1000/Update!$B$31*Update!$B$27,0)</f>
        <v>0</v>
      </c>
      <c r="BA2062" s="6"/>
      <c r="BB2062" s="6">
        <f>ROUND(BA2062/1000/Update!$B$31,0)</f>
        <v>0</v>
      </c>
      <c r="BC2062" s="6"/>
      <c r="BD2062" s="6">
        <f t="shared" si="1240"/>
        <v>0</v>
      </c>
      <c r="BE2062" s="322"/>
      <c r="BF2062" s="322"/>
      <c r="BG2062" s="322"/>
      <c r="BH2062" s="322"/>
      <c r="BI2062" s="322"/>
      <c r="BJ2062" s="322"/>
      <c r="BK2062" s="6">
        <f t="shared" si="1239"/>
        <v>0</v>
      </c>
      <c r="BL2062" s="322"/>
      <c r="BM2062" s="322"/>
      <c r="BN2062" s="322"/>
      <c r="BO2062" s="322"/>
      <c r="BP2062" s="322"/>
      <c r="BQ2062" s="322"/>
      <c r="BR2062" s="322"/>
      <c r="BS2062" s="322"/>
      <c r="BT2062" s="322"/>
      <c r="BU2062" s="322"/>
      <c r="BV2062" s="322"/>
      <c r="BW2062" s="322"/>
      <c r="BX2062" s="322"/>
      <c r="BY2062" s="322"/>
      <c r="BZ2062" s="322"/>
      <c r="CA2062" s="322"/>
      <c r="CB2062" s="322"/>
      <c r="CC2062" s="322"/>
      <c r="CD2062" s="322"/>
      <c r="CE2062" s="322"/>
      <c r="CF2062" s="322"/>
      <c r="CG2062" s="322"/>
      <c r="CH2062" s="322"/>
      <c r="CI2062" s="322"/>
      <c r="CM2062" s="1139">
        <f t="shared" si="1243"/>
        <v>0</v>
      </c>
      <c r="CN2062" s="1139">
        <v>0</v>
      </c>
      <c r="CP2062" s="923">
        <f t="shared" si="1242"/>
        <v>0</v>
      </c>
      <c r="CZ2062" s="330"/>
    </row>
    <row r="2063" spans="1:104" ht="25.5" customHeight="1" x14ac:dyDescent="0.25">
      <c r="A2063" s="684">
        <f>MAX($A$6:A2062)+1</f>
        <v>2063</v>
      </c>
      <c r="B2063" s="1060">
        <f t="shared" si="1244"/>
        <v>80</v>
      </c>
      <c r="C2063" s="11" t="s">
        <v>406</v>
      </c>
      <c r="D2063" s="11" t="s">
        <v>1870</v>
      </c>
      <c r="E2063" s="7" t="s">
        <v>2071</v>
      </c>
      <c r="F2063" s="7"/>
      <c r="G2063" s="1254" t="s">
        <v>2071</v>
      </c>
      <c r="H2063" s="6">
        <v>193</v>
      </c>
      <c r="I2063" s="6"/>
      <c r="J2063" s="1257" t="s">
        <v>1729</v>
      </c>
      <c r="K2063" s="251">
        <f>SUMIF('alb A - Losses &amp; special pay'!$B:$B,$J2063,'alb A - Losses &amp; special pay'!$F:$F)</f>
        <v>0</v>
      </c>
      <c r="L2063" s="266"/>
      <c r="M2063" s="2"/>
      <c r="N2063" s="273">
        <f t="shared" si="1247"/>
        <v>193</v>
      </c>
      <c r="O2063" s="12"/>
      <c r="P2063" s="12"/>
      <c r="Q2063" s="12"/>
      <c r="R2063" s="12"/>
      <c r="S2063" s="6">
        <f t="shared" si="1235"/>
        <v>0</v>
      </c>
      <c r="T2063" s="273">
        <f t="shared" si="1248"/>
        <v>193</v>
      </c>
      <c r="U2063" s="251"/>
      <c r="V2063" s="251"/>
      <c r="W2063" s="251">
        <f t="shared" si="1246"/>
        <v>193</v>
      </c>
      <c r="X2063" s="251"/>
      <c r="Y2063" s="251"/>
      <c r="Z2063" s="251"/>
      <c r="AA2063" s="251"/>
      <c r="AB2063" s="251"/>
      <c r="AC2063" s="251"/>
      <c r="AD2063" s="251"/>
      <c r="AE2063" s="251"/>
      <c r="AF2063" s="251"/>
      <c r="AG2063" s="251"/>
      <c r="AH2063" s="251"/>
      <c r="AI2063" s="251"/>
      <c r="AJ2063" s="251"/>
      <c r="AK2063" s="251"/>
      <c r="AL2063" s="251"/>
      <c r="AM2063" s="251"/>
      <c r="AN2063" s="251"/>
      <c r="AO2063" s="251"/>
      <c r="AP2063" s="251"/>
      <c r="AQ2063" s="251"/>
      <c r="AR2063" s="251"/>
      <c r="AS2063" s="251"/>
      <c r="AT2063" s="251"/>
      <c r="AU2063" s="251"/>
      <c r="AV2063" s="251"/>
      <c r="AX2063" s="6">
        <f>SUM(AX2051:AX2062)</f>
        <v>0</v>
      </c>
      <c r="AY2063" s="6">
        <f>ROUND(AX2063/1000/Update!$B$31*Update!$B$27,0)</f>
        <v>0</v>
      </c>
      <c r="BA2063" s="6">
        <f>SUM(BA2051:BA2062)</f>
        <v>0</v>
      </c>
      <c r="BB2063" s="6">
        <f>ROUND(BA2063/1000/Update!$B$31,0)</f>
        <v>0</v>
      </c>
      <c r="BC2063" s="6"/>
      <c r="BD2063" s="6">
        <f t="shared" si="1240"/>
        <v>0</v>
      </c>
      <c r="BE2063" s="322">
        <f t="shared" ref="BE2063:BJ2063" si="1249">SUM(BE2051:BE2062)</f>
        <v>0</v>
      </c>
      <c r="BF2063" s="322">
        <f t="shared" si="1249"/>
        <v>0</v>
      </c>
      <c r="BG2063" s="322">
        <f t="shared" si="1249"/>
        <v>0</v>
      </c>
      <c r="BH2063" s="322">
        <f t="shared" si="1249"/>
        <v>0</v>
      </c>
      <c r="BI2063" s="322">
        <f t="shared" si="1249"/>
        <v>0</v>
      </c>
      <c r="BJ2063" s="322">
        <f t="shared" si="1249"/>
        <v>0</v>
      </c>
      <c r="BK2063" s="6">
        <f t="shared" si="1239"/>
        <v>0</v>
      </c>
      <c r="BL2063" s="322"/>
      <c r="BM2063" s="322"/>
      <c r="BN2063" s="322"/>
      <c r="BO2063" s="322"/>
      <c r="BP2063" s="322"/>
      <c r="BQ2063" s="322"/>
      <c r="BR2063" s="322"/>
      <c r="BS2063" s="322"/>
      <c r="BT2063" s="322"/>
      <c r="BU2063" s="322"/>
      <c r="BV2063" s="322"/>
      <c r="BW2063" s="322"/>
      <c r="BX2063" s="322"/>
      <c r="BY2063" s="322"/>
      <c r="BZ2063" s="322"/>
      <c r="CA2063" s="322"/>
      <c r="CB2063" s="322"/>
      <c r="CC2063" s="322"/>
      <c r="CD2063" s="322"/>
      <c r="CE2063" s="322"/>
      <c r="CF2063" s="322"/>
      <c r="CG2063" s="322"/>
      <c r="CH2063" s="322"/>
      <c r="CI2063" s="322"/>
      <c r="CM2063" s="1139">
        <f t="shared" si="1243"/>
        <v>0</v>
      </c>
      <c r="CN2063" s="1139">
        <v>0</v>
      </c>
      <c r="CP2063" s="923">
        <f t="shared" si="1242"/>
        <v>0</v>
      </c>
      <c r="CZ2063" s="330"/>
    </row>
    <row r="2064" spans="1:104" ht="15" customHeight="1" x14ac:dyDescent="0.25">
      <c r="A2064" s="684">
        <f>MAX($A$6:A2063)+1</f>
        <v>2064</v>
      </c>
      <c r="B2064" s="1060">
        <v>80</v>
      </c>
      <c r="C2064" s="11" t="s">
        <v>406</v>
      </c>
      <c r="D2064" s="11" t="s">
        <v>2062</v>
      </c>
      <c r="E2064" s="1257" t="s">
        <v>2063</v>
      </c>
      <c r="F2064" s="15"/>
      <c r="G2064" s="1254" t="s">
        <v>2063</v>
      </c>
      <c r="H2064" s="6">
        <v>0</v>
      </c>
      <c r="I2064" s="1290"/>
      <c r="J2064" s="1262" t="s">
        <v>2063</v>
      </c>
      <c r="K2064" s="251">
        <f>SUMIF('alb A - Losses &amp; special pay'!$B:$B,$J2064,'alb A - Losses &amp; special pay'!$F:$F)</f>
        <v>0</v>
      </c>
      <c r="L2064" s="266"/>
      <c r="M2064" s="2"/>
      <c r="N2064" s="273">
        <f t="shared" si="1247"/>
        <v>0</v>
      </c>
      <c r="O2064" s="12"/>
      <c r="P2064" s="12"/>
      <c r="Q2064" s="12"/>
      <c r="R2064" s="12"/>
      <c r="S2064" s="6">
        <f t="shared" si="1235"/>
        <v>0</v>
      </c>
      <c r="T2064" s="273">
        <f t="shared" si="1248"/>
        <v>0</v>
      </c>
      <c r="U2064" s="6"/>
      <c r="V2064" s="6"/>
      <c r="W2064" s="251">
        <f t="shared" si="1246"/>
        <v>0</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X2064" s="6"/>
      <c r="AY2064" s="6"/>
      <c r="BA2064" s="6"/>
      <c r="BB2064" s="6"/>
      <c r="BC2064" s="6"/>
      <c r="BD2064" s="6">
        <v>0</v>
      </c>
      <c r="BE2064" s="322"/>
      <c r="BF2064" s="322"/>
      <c r="BG2064" s="322"/>
      <c r="BH2064" s="322"/>
      <c r="BI2064" s="322"/>
      <c r="BJ2064" s="322"/>
      <c r="BK2064" s="6">
        <f t="shared" si="1239"/>
        <v>0</v>
      </c>
      <c r="BL2064" s="322"/>
      <c r="BM2064" s="322"/>
      <c r="BN2064" s="322"/>
      <c r="BO2064" s="322"/>
      <c r="BP2064" s="322"/>
      <c r="BQ2064" s="322"/>
      <c r="BR2064" s="322"/>
      <c r="BS2064" s="322"/>
      <c r="BT2064" s="322"/>
      <c r="BU2064" s="322"/>
      <c r="BV2064" s="322"/>
      <c r="BW2064" s="322"/>
      <c r="BX2064" s="322"/>
      <c r="BY2064" s="322"/>
      <c r="BZ2064" s="322"/>
      <c r="CA2064" s="322"/>
      <c r="CB2064" s="322"/>
      <c r="CC2064" s="322"/>
      <c r="CD2064" s="322"/>
      <c r="CE2064" s="322"/>
      <c r="CF2064" s="322"/>
      <c r="CG2064" s="322"/>
      <c r="CH2064" s="322"/>
      <c r="CI2064" s="322"/>
      <c r="CM2064" s="1139">
        <f t="shared" si="1243"/>
        <v>0</v>
      </c>
      <c r="CN2064" s="1139">
        <v>0</v>
      </c>
      <c r="CP2064" s="923">
        <f t="shared" si="1242"/>
        <v>0</v>
      </c>
      <c r="CZ2064" s="330"/>
    </row>
    <row r="2065" spans="1:104" ht="15" customHeight="1" x14ac:dyDescent="0.25">
      <c r="A2065" s="684">
        <f>MAX($A$6:A2064)+1</f>
        <v>2065</v>
      </c>
      <c r="B2065" s="1060">
        <v>80</v>
      </c>
      <c r="C2065" s="11" t="s">
        <v>406</v>
      </c>
      <c r="D2065" s="11" t="s">
        <v>2062</v>
      </c>
      <c r="E2065" s="1257" t="s">
        <v>2072</v>
      </c>
      <c r="F2065" s="15"/>
      <c r="G2065" s="1254" t="s">
        <v>2072</v>
      </c>
      <c r="H2065" s="6">
        <v>0</v>
      </c>
      <c r="I2065" s="1290"/>
      <c r="J2065" s="1262" t="s">
        <v>2064</v>
      </c>
      <c r="K2065" s="251">
        <f>SUMIF('alb A - Losses &amp; special pay'!$B:$B,$J2065,'alb A - Losses &amp; special pay'!$F:$F)</f>
        <v>0</v>
      </c>
      <c r="L2065" s="266"/>
      <c r="M2065" s="2"/>
      <c r="N2065" s="273">
        <f t="shared" si="1247"/>
        <v>0</v>
      </c>
      <c r="O2065" s="12"/>
      <c r="P2065" s="12"/>
      <c r="Q2065" s="12"/>
      <c r="R2065" s="12"/>
      <c r="S2065" s="6">
        <f t="shared" si="1235"/>
        <v>0</v>
      </c>
      <c r="T2065" s="273">
        <f t="shared" si="1248"/>
        <v>0</v>
      </c>
      <c r="U2065" s="6"/>
      <c r="V2065" s="6"/>
      <c r="W2065" s="251">
        <f t="shared" si="1246"/>
        <v>0</v>
      </c>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X2065" s="6"/>
      <c r="AY2065" s="6"/>
      <c r="BA2065" s="6"/>
      <c r="BB2065" s="6"/>
      <c r="BC2065" s="6"/>
      <c r="BD2065" s="6">
        <v>0</v>
      </c>
      <c r="BE2065" s="322"/>
      <c r="BF2065" s="322"/>
      <c r="BG2065" s="322"/>
      <c r="BH2065" s="322"/>
      <c r="BI2065" s="322"/>
      <c r="BJ2065" s="322"/>
      <c r="BK2065" s="6">
        <f t="shared" si="1239"/>
        <v>0</v>
      </c>
      <c r="BL2065" s="322"/>
      <c r="BM2065" s="322"/>
      <c r="BN2065" s="322"/>
      <c r="BO2065" s="322"/>
      <c r="BP2065" s="322"/>
      <c r="BQ2065" s="322"/>
      <c r="BR2065" s="322"/>
      <c r="BS2065" s="322"/>
      <c r="BT2065" s="322"/>
      <c r="BU2065" s="322"/>
      <c r="BV2065" s="322"/>
      <c r="BW2065" s="322"/>
      <c r="BX2065" s="322"/>
      <c r="BY2065" s="322"/>
      <c r="BZ2065" s="322"/>
      <c r="CA2065" s="322"/>
      <c r="CB2065" s="322"/>
      <c r="CC2065" s="322"/>
      <c r="CD2065" s="322"/>
      <c r="CE2065" s="322"/>
      <c r="CF2065" s="322"/>
      <c r="CG2065" s="322"/>
      <c r="CH2065" s="322"/>
      <c r="CI2065" s="322"/>
      <c r="CM2065" s="1139">
        <f t="shared" si="1243"/>
        <v>0</v>
      </c>
      <c r="CN2065" s="1139">
        <v>0</v>
      </c>
      <c r="CP2065" s="923">
        <f t="shared" si="1242"/>
        <v>0</v>
      </c>
      <c r="CZ2065" s="330"/>
    </row>
    <row r="2066" spans="1:104" ht="15" customHeight="1" x14ac:dyDescent="0.25">
      <c r="A2066" s="684">
        <f>MAX($A$6:A2065)+1</f>
        <v>2066</v>
      </c>
      <c r="B2066" s="1060">
        <v>80</v>
      </c>
      <c r="C2066" s="11" t="s">
        <v>406</v>
      </c>
      <c r="D2066" s="11" t="s">
        <v>2067</v>
      </c>
      <c r="E2066" s="7" t="s">
        <v>2065</v>
      </c>
      <c r="F2066" s="15"/>
      <c r="G2066" s="1254" t="s">
        <v>2065</v>
      </c>
      <c r="H2066" s="6">
        <v>0</v>
      </c>
      <c r="I2066" s="1290"/>
      <c r="J2066" s="1262" t="s">
        <v>2065</v>
      </c>
      <c r="K2066" s="251">
        <f>SUMIF('alb A - Losses &amp; special pay'!$B:$B,$J2066,'alb A - Losses &amp; special pay'!$F:$F)</f>
        <v>0</v>
      </c>
      <c r="L2066" s="266"/>
      <c r="M2066" s="2"/>
      <c r="N2066" s="273">
        <f t="shared" si="1247"/>
        <v>0</v>
      </c>
      <c r="O2066" s="12"/>
      <c r="P2066" s="12"/>
      <c r="Q2066" s="12"/>
      <c r="R2066" s="12"/>
      <c r="S2066" s="6">
        <f t="shared" si="1235"/>
        <v>0</v>
      </c>
      <c r="T2066" s="273">
        <f t="shared" si="1248"/>
        <v>0</v>
      </c>
      <c r="U2066" s="6"/>
      <c r="V2066" s="6"/>
      <c r="W2066" s="251">
        <f t="shared" si="1246"/>
        <v>0</v>
      </c>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X2066" s="6"/>
      <c r="AY2066" s="6"/>
      <c r="BA2066" s="6"/>
      <c r="BB2066" s="6"/>
      <c r="BC2066" s="6"/>
      <c r="BD2066" s="6">
        <v>0</v>
      </c>
      <c r="BE2066" s="322"/>
      <c r="BF2066" s="322"/>
      <c r="BG2066" s="322"/>
      <c r="BH2066" s="322"/>
      <c r="BI2066" s="322"/>
      <c r="BJ2066" s="322"/>
      <c r="BK2066" s="6">
        <f t="shared" si="1239"/>
        <v>0</v>
      </c>
      <c r="BL2066" s="322"/>
      <c r="BM2066" s="322"/>
      <c r="BN2066" s="322"/>
      <c r="BO2066" s="322"/>
      <c r="BP2066" s="322"/>
      <c r="BQ2066" s="322"/>
      <c r="BR2066" s="322"/>
      <c r="BS2066" s="322"/>
      <c r="BT2066" s="322"/>
      <c r="BU2066" s="322"/>
      <c r="BV2066" s="322"/>
      <c r="BW2066" s="322"/>
      <c r="BX2066" s="322"/>
      <c r="BY2066" s="322"/>
      <c r="BZ2066" s="322"/>
      <c r="CA2066" s="322"/>
      <c r="CB2066" s="322"/>
      <c r="CC2066" s="322"/>
      <c r="CD2066" s="322"/>
      <c r="CE2066" s="322"/>
      <c r="CF2066" s="322"/>
      <c r="CG2066" s="322"/>
      <c r="CH2066" s="322"/>
      <c r="CI2066" s="322"/>
      <c r="CM2066" s="1139">
        <f t="shared" si="1243"/>
        <v>0</v>
      </c>
      <c r="CN2066" s="1139">
        <v>0</v>
      </c>
      <c r="CP2066" s="923">
        <f t="shared" si="1242"/>
        <v>0</v>
      </c>
      <c r="CZ2066" s="330"/>
    </row>
    <row r="2067" spans="1:104" ht="15" customHeight="1" x14ac:dyDescent="0.25">
      <c r="A2067" s="684">
        <f>MAX($A$6:A2066)+1</f>
        <v>2067</v>
      </c>
      <c r="B2067" s="1060">
        <v>80</v>
      </c>
      <c r="C2067" s="11" t="s">
        <v>406</v>
      </c>
      <c r="D2067" s="11" t="s">
        <v>2067</v>
      </c>
      <c r="E2067" s="7" t="s">
        <v>2618</v>
      </c>
      <c r="F2067" s="15"/>
      <c r="G2067" s="1254" t="s">
        <v>2068</v>
      </c>
      <c r="H2067" s="6">
        <v>0</v>
      </c>
      <c r="I2067" s="1290"/>
      <c r="J2067" s="1253" t="s">
        <v>2618</v>
      </c>
      <c r="K2067" s="251">
        <f>SUMIF('alb A - Losses &amp; special pay'!$B:$B,$J2067,'alb A - Losses &amp; special pay'!$F:$F)</f>
        <v>0</v>
      </c>
      <c r="L2067" s="266"/>
      <c r="M2067" s="2"/>
      <c r="N2067" s="273">
        <f>ROUND(SUM(O2067:AU2067)-T2067,0)</f>
        <v>0</v>
      </c>
      <c r="O2067" s="12"/>
      <c r="P2067" s="12"/>
      <c r="Q2067" s="12"/>
      <c r="R2067" s="12"/>
      <c r="S2067" s="6">
        <f t="shared" si="1235"/>
        <v>0</v>
      </c>
      <c r="T2067" s="273">
        <f t="shared" si="1248"/>
        <v>0</v>
      </c>
      <c r="U2067" s="6"/>
      <c r="V2067" s="6"/>
      <c r="W2067" s="251">
        <f t="shared" si="1246"/>
        <v>0</v>
      </c>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X2067" s="6"/>
      <c r="AY2067" s="6"/>
      <c r="BA2067" s="6"/>
      <c r="BB2067" s="6"/>
      <c r="BC2067" s="6"/>
      <c r="BD2067" s="6">
        <v>0</v>
      </c>
      <c r="BE2067" s="322"/>
      <c r="BF2067" s="322"/>
      <c r="BG2067" s="322"/>
      <c r="BH2067" s="322"/>
      <c r="BI2067" s="322"/>
      <c r="BJ2067" s="322"/>
      <c r="BK2067" s="6">
        <f t="shared" si="1239"/>
        <v>0</v>
      </c>
      <c r="BL2067" s="322"/>
      <c r="BM2067" s="322"/>
      <c r="BN2067" s="322"/>
      <c r="BO2067" s="322"/>
      <c r="BP2067" s="322"/>
      <c r="BQ2067" s="322"/>
      <c r="BR2067" s="322"/>
      <c r="BS2067" s="322"/>
      <c r="BT2067" s="322"/>
      <c r="BU2067" s="322"/>
      <c r="BV2067" s="322"/>
      <c r="BW2067" s="322"/>
      <c r="BX2067" s="322"/>
      <c r="BY2067" s="322"/>
      <c r="BZ2067" s="322"/>
      <c r="CA2067" s="322"/>
      <c r="CB2067" s="322"/>
      <c r="CC2067" s="322"/>
      <c r="CD2067" s="322"/>
      <c r="CE2067" s="322"/>
      <c r="CF2067" s="322"/>
      <c r="CG2067" s="322"/>
      <c r="CH2067" s="322"/>
      <c r="CI2067" s="322"/>
      <c r="CM2067" s="1139">
        <f t="shared" si="1243"/>
        <v>0</v>
      </c>
      <c r="CN2067" s="1139">
        <v>0</v>
      </c>
      <c r="CP2067" s="923">
        <f t="shared" si="1242"/>
        <v>0</v>
      </c>
      <c r="CZ2067" s="330"/>
    </row>
    <row r="2068" spans="1:104" ht="15" customHeight="1" x14ac:dyDescent="0.25">
      <c r="A2068" s="684">
        <f>MAX($A$6:A2067)+1</f>
        <v>2068</v>
      </c>
      <c r="B2068" s="1060">
        <v>80</v>
      </c>
      <c r="C2068" s="11" t="s">
        <v>406</v>
      </c>
      <c r="D2068" s="11" t="s">
        <v>2067</v>
      </c>
      <c r="E2068" s="7" t="s">
        <v>2619</v>
      </c>
      <c r="F2068" s="15"/>
      <c r="G2068" s="1254" t="s">
        <v>2068</v>
      </c>
      <c r="H2068" s="6">
        <v>0</v>
      </c>
      <c r="I2068" s="1290"/>
      <c r="J2068" s="1253" t="s">
        <v>2619</v>
      </c>
      <c r="K2068" s="251">
        <f>SUMIF('alb A - Losses &amp; special pay'!$B:$B,$J2068,'alb A - Losses &amp; special pay'!$F:$F)</f>
        <v>0</v>
      </c>
      <c r="L2068" s="266"/>
      <c r="M2068" s="2"/>
      <c r="N2068" s="273">
        <f t="shared" si="1247"/>
        <v>0</v>
      </c>
      <c r="O2068" s="12"/>
      <c r="P2068" s="12"/>
      <c r="Q2068" s="12"/>
      <c r="R2068" s="12"/>
      <c r="S2068" s="6">
        <f t="shared" si="1235"/>
        <v>0</v>
      </c>
      <c r="T2068" s="273">
        <f t="shared" si="1248"/>
        <v>0</v>
      </c>
      <c r="U2068" s="6"/>
      <c r="V2068" s="6"/>
      <c r="W2068" s="251">
        <f t="shared" si="1246"/>
        <v>0</v>
      </c>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X2068" s="6"/>
      <c r="AY2068" s="6"/>
      <c r="BA2068" s="6"/>
      <c r="BB2068" s="6"/>
      <c r="BC2068" s="6"/>
      <c r="BD2068" s="6">
        <v>0</v>
      </c>
      <c r="BE2068" s="322"/>
      <c r="BF2068" s="322"/>
      <c r="BG2068" s="322"/>
      <c r="BH2068" s="322"/>
      <c r="BI2068" s="322"/>
      <c r="BJ2068" s="322"/>
      <c r="BK2068" s="6">
        <f t="shared" si="1239"/>
        <v>0</v>
      </c>
      <c r="BL2068" s="1784"/>
      <c r="BM2068" s="700"/>
      <c r="BN2068" s="700"/>
      <c r="BO2068" s="700"/>
      <c r="BP2068" s="322"/>
      <c r="BQ2068" s="700"/>
      <c r="BR2068" s="700"/>
      <c r="BS2068" s="322"/>
      <c r="BT2068" s="700"/>
      <c r="BU2068" s="700"/>
      <c r="BV2068" s="700"/>
      <c r="BW2068" s="700"/>
      <c r="BX2068" s="700"/>
      <c r="BY2068" s="700"/>
      <c r="BZ2068" s="700"/>
      <c r="CA2068" s="700"/>
      <c r="CB2068" s="700"/>
      <c r="CC2068" s="322"/>
      <c r="CD2068" s="322"/>
      <c r="CE2068" s="322"/>
      <c r="CF2068" s="322"/>
      <c r="CG2068" s="322"/>
      <c r="CH2068" s="322"/>
      <c r="CI2068" s="700"/>
      <c r="CM2068" s="1139">
        <f t="shared" si="1243"/>
        <v>0</v>
      </c>
      <c r="CN2068" s="1139">
        <v>0</v>
      </c>
      <c r="CP2068" s="923">
        <f t="shared" si="1242"/>
        <v>0</v>
      </c>
      <c r="CZ2068" s="330"/>
    </row>
    <row r="2069" spans="1:104" ht="15" customHeight="1" x14ac:dyDescent="0.25">
      <c r="A2069" s="684">
        <f>MAX($A$6:A2068)+1</f>
        <v>2069</v>
      </c>
      <c r="B2069" s="1060">
        <v>80</v>
      </c>
      <c r="C2069" s="11" t="s">
        <v>406</v>
      </c>
      <c r="D2069" s="11" t="s">
        <v>2062</v>
      </c>
      <c r="E2069" s="7" t="s">
        <v>286</v>
      </c>
      <c r="F2069" s="15"/>
      <c r="G2069" s="1254"/>
      <c r="H2069" s="1190"/>
      <c r="I2069" s="1290"/>
      <c r="J2069" s="1262"/>
      <c r="K2069" s="1255"/>
      <c r="L2069" s="266"/>
      <c r="M2069" s="2"/>
      <c r="N2069" s="273">
        <f t="shared" si="1247"/>
        <v>0</v>
      </c>
      <c r="O2069" s="12"/>
      <c r="P2069" s="12"/>
      <c r="Q2069" s="12"/>
      <c r="R2069" s="12"/>
      <c r="S2069" s="6">
        <f t="shared" si="1235"/>
        <v>0</v>
      </c>
      <c r="T2069" s="273">
        <f t="shared" si="1248"/>
        <v>0</v>
      </c>
      <c r="U2069" s="6"/>
      <c r="V2069" s="6"/>
      <c r="W2069" s="251">
        <f t="shared" si="1246"/>
        <v>0</v>
      </c>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X2069" s="6"/>
      <c r="AY2069" s="6"/>
      <c r="BA2069" s="6"/>
      <c r="BB2069" s="6"/>
      <c r="BC2069" s="6"/>
      <c r="BD2069" s="6">
        <v>0</v>
      </c>
      <c r="BE2069" s="322"/>
      <c r="BF2069" s="322"/>
      <c r="BG2069" s="322"/>
      <c r="BH2069" s="322"/>
      <c r="BI2069" s="322"/>
      <c r="BJ2069" s="322"/>
      <c r="BK2069" s="6">
        <f t="shared" si="1239"/>
        <v>0</v>
      </c>
      <c r="BL2069" s="322"/>
      <c r="BM2069" s="322"/>
      <c r="BN2069" s="322"/>
      <c r="BO2069" s="322"/>
      <c r="BP2069" s="322"/>
      <c r="BQ2069" s="322"/>
      <c r="BR2069" s="322"/>
      <c r="BS2069" s="322"/>
      <c r="BT2069" s="322"/>
      <c r="BU2069" s="322"/>
      <c r="BV2069" s="322"/>
      <c r="BW2069" s="322"/>
      <c r="BX2069" s="322"/>
      <c r="BY2069" s="322"/>
      <c r="BZ2069" s="322"/>
      <c r="CA2069" s="322"/>
      <c r="CB2069" s="322"/>
      <c r="CC2069" s="322"/>
      <c r="CD2069" s="322"/>
      <c r="CE2069" s="322"/>
      <c r="CF2069" s="322"/>
      <c r="CG2069" s="322"/>
      <c r="CH2069" s="322"/>
      <c r="CI2069" s="322"/>
      <c r="CM2069" s="1139">
        <f t="shared" si="1243"/>
        <v>0</v>
      </c>
      <c r="CN2069" s="1139">
        <v>0</v>
      </c>
      <c r="CP2069" s="923">
        <f t="shared" si="1242"/>
        <v>0</v>
      </c>
      <c r="CZ2069" s="330"/>
    </row>
    <row r="2070" spans="1:104" ht="18.75" customHeight="1" x14ac:dyDescent="0.25">
      <c r="A2070" s="684">
        <f>MAX($A$6:A2069)+1</f>
        <v>2070</v>
      </c>
      <c r="B2070" s="1295">
        <f>B2038</f>
        <v>80</v>
      </c>
      <c r="C2070" s="696" t="s">
        <v>926</v>
      </c>
      <c r="D2070" s="695"/>
      <c r="E2070" s="696"/>
      <c r="F2070" s="697"/>
      <c r="G2070" s="697"/>
      <c r="H2070" s="695"/>
      <c r="I2070" s="695"/>
      <c r="J2070" s="698"/>
      <c r="K2070" s="699"/>
      <c r="L2070" s="699"/>
      <c r="M2070" s="695"/>
      <c r="N2070" s="713">
        <f t="shared" ref="N2070:N2077" si="1250">ROUND(SUM(O2070:AU2070)-T2070,0)</f>
        <v>0</v>
      </c>
      <c r="O2070" s="695"/>
      <c r="P2070" s="695"/>
      <c r="Q2070" s="695"/>
      <c r="R2070" s="695"/>
      <c r="S2070" s="695">
        <f>-IF(ISNUMBER(BD2070),BD2070,0)</f>
        <v>0</v>
      </c>
      <c r="T2070" s="695"/>
      <c r="U2070" s="695"/>
      <c r="V2070" s="695"/>
      <c r="W2070" s="695"/>
      <c r="X2070" s="695"/>
      <c r="Y2070" s="695"/>
      <c r="Z2070" s="695"/>
      <c r="AA2070" s="695"/>
      <c r="AB2070" s="695"/>
      <c r="AC2070" s="695"/>
      <c r="AD2070" s="695"/>
      <c r="AE2070" s="695"/>
      <c r="AF2070" s="695"/>
      <c r="AG2070" s="695"/>
      <c r="AH2070" s="695"/>
      <c r="AI2070" s="695"/>
      <c r="AJ2070" s="695"/>
      <c r="AK2070" s="695"/>
      <c r="AL2070" s="695"/>
      <c r="AM2070" s="695"/>
      <c r="AN2070" s="695"/>
      <c r="AO2070" s="695"/>
      <c r="AP2070" s="695"/>
      <c r="AQ2070" s="695"/>
      <c r="AR2070" s="695"/>
      <c r="AS2070" s="695"/>
      <c r="AT2070" s="695"/>
      <c r="AU2070" s="695"/>
      <c r="AV2070" s="695"/>
      <c r="AW2070" s="700"/>
      <c r="AX2070" s="700"/>
      <c r="AY2070" s="700">
        <f>ROUND(AX2070/1000/Update!$B$31*Update!$B$27,0)</f>
        <v>0</v>
      </c>
      <c r="AZ2070" s="700"/>
      <c r="BA2070" s="700"/>
      <c r="BB2070" s="700">
        <f>ROUND(BA2070/1000/Update!$B$31,0)</f>
        <v>0</v>
      </c>
      <c r="BC2070" s="700"/>
      <c r="BD2070" s="721">
        <f>ROUND(SUM(BE2070:BK2070),0)</f>
        <v>0</v>
      </c>
      <c r="BE2070" s="700"/>
      <c r="BF2070" s="700"/>
      <c r="BG2070" s="700"/>
      <c r="BH2070" s="700"/>
      <c r="BI2070" s="700"/>
      <c r="BJ2070" s="700"/>
      <c r="BK2070" s="721">
        <f t="shared" si="1239"/>
        <v>0</v>
      </c>
      <c r="BL2070" s="322"/>
      <c r="BM2070" s="322"/>
      <c r="BN2070" s="322"/>
      <c r="BO2070" s="322"/>
      <c r="BP2070" s="700"/>
      <c r="BQ2070" s="322"/>
      <c r="BR2070" s="322"/>
      <c r="BS2070" s="700"/>
      <c r="BT2070" s="322"/>
      <c r="BU2070" s="322"/>
      <c r="BV2070" s="322"/>
      <c r="BW2070" s="322"/>
      <c r="BX2070" s="322"/>
      <c r="BY2070" s="322"/>
      <c r="BZ2070" s="322"/>
      <c r="CA2070" s="322"/>
      <c r="CB2070" s="322"/>
      <c r="CC2070" s="700"/>
      <c r="CD2070" s="700"/>
      <c r="CE2070" s="700"/>
      <c r="CF2070" s="700"/>
      <c r="CG2070" s="700"/>
      <c r="CH2070" s="700"/>
      <c r="CI2070" s="322"/>
      <c r="CJ2070" s="700"/>
      <c r="CK2070" s="700"/>
      <c r="CM2070" s="700">
        <f t="shared" si="1243"/>
        <v>0</v>
      </c>
      <c r="CN2070" s="700">
        <v>0</v>
      </c>
      <c r="CP2070" s="923">
        <f t="shared" si="1242"/>
        <v>0</v>
      </c>
      <c r="CZ2070" s="330"/>
    </row>
    <row r="2071" spans="1:104" ht="15" customHeight="1" x14ac:dyDescent="0.25">
      <c r="A2071" s="684">
        <f>MAX($A$6:A2070)+1</f>
        <v>2071</v>
      </c>
      <c r="B2071" s="1060">
        <f t="shared" ref="B2071:B2076" si="1251">B2070</f>
        <v>80</v>
      </c>
      <c r="C2071" s="11" t="s">
        <v>2358</v>
      </c>
      <c r="D2071" s="11" t="s">
        <v>2359</v>
      </c>
      <c r="E2071" s="7" t="s">
        <v>815</v>
      </c>
      <c r="F2071" s="15"/>
      <c r="G2071" s="1254" t="s">
        <v>286</v>
      </c>
      <c r="H2071" s="1290">
        <v>0</v>
      </c>
      <c r="I2071" s="1290"/>
      <c r="J2071" s="1257" t="s">
        <v>815</v>
      </c>
      <c r="K2071" s="251">
        <f>SUMIF('alb Note 15 - Cont liab'!$A:$A,$J2071,'alb Note 15 - Cont liab'!$B:$B)</f>
        <v>0</v>
      </c>
      <c r="L2071" s="4">
        <v>0</v>
      </c>
      <c r="M2071" s="263"/>
      <c r="N2071" s="273">
        <f t="shared" si="1250"/>
        <v>0</v>
      </c>
      <c r="O2071" s="14"/>
      <c r="P2071" s="14"/>
      <c r="Q2071" s="14"/>
      <c r="R2071" s="14"/>
      <c r="S2071" s="14"/>
      <c r="T2071" s="273">
        <f t="shared" ref="T2071:T2077" si="1252">ROUND(SUM(U2071:Y2071),0)</f>
        <v>0</v>
      </c>
      <c r="U2071" s="14"/>
      <c r="V2071" s="14"/>
      <c r="W2071" s="251">
        <f t="shared" si="1246"/>
        <v>0</v>
      </c>
      <c r="X2071" s="1464"/>
      <c r="Y2071" s="1290"/>
      <c r="Z2071" s="1290"/>
      <c r="AA2071" s="1290"/>
      <c r="AB2071" s="1290"/>
      <c r="AC2071" s="1290"/>
      <c r="AD2071" s="1290"/>
      <c r="AE2071" s="1290"/>
      <c r="AF2071" s="1290"/>
      <c r="AG2071" s="1290"/>
      <c r="AH2071" s="1290"/>
      <c r="AI2071" s="1290"/>
      <c r="AJ2071" s="1290"/>
      <c r="AK2071" s="1290"/>
      <c r="AL2071" s="1290"/>
      <c r="AM2071" s="1290"/>
      <c r="AN2071" s="1290"/>
      <c r="AO2071" s="1290"/>
      <c r="AP2071" s="1290"/>
      <c r="AQ2071" s="1290"/>
      <c r="AR2071" s="1290"/>
      <c r="AS2071" s="1290"/>
      <c r="AT2071" s="1290"/>
      <c r="AU2071" s="1290"/>
      <c r="AV2071" s="1290"/>
      <c r="AX2071" s="1290"/>
      <c r="AY2071" s="1290"/>
      <c r="BA2071" s="1290"/>
      <c r="BB2071" s="1290"/>
      <c r="BC2071" s="1290"/>
      <c r="BD2071" s="1290"/>
      <c r="BE2071" s="322"/>
      <c r="BF2071" s="322"/>
      <c r="BG2071" s="322"/>
      <c r="BH2071" s="322"/>
      <c r="BI2071" s="322"/>
      <c r="BJ2071" s="322"/>
      <c r="BK2071" s="14">
        <f t="shared" si="1239"/>
        <v>0</v>
      </c>
      <c r="BL2071" s="322"/>
      <c r="BM2071" s="322"/>
      <c r="BN2071" s="322"/>
      <c r="BO2071" s="322"/>
      <c r="BP2071" s="322"/>
      <c r="BQ2071" s="322"/>
      <c r="BR2071" s="322"/>
      <c r="BS2071" s="322"/>
      <c r="BT2071" s="322"/>
      <c r="BU2071" s="322"/>
      <c r="BV2071" s="322"/>
      <c r="BW2071" s="322"/>
      <c r="BX2071" s="322"/>
      <c r="BY2071" s="322"/>
      <c r="BZ2071" s="322"/>
      <c r="CA2071" s="322"/>
      <c r="CB2071" s="322"/>
      <c r="CC2071" s="322"/>
      <c r="CD2071" s="322"/>
      <c r="CE2071" s="322"/>
      <c r="CF2071" s="322"/>
      <c r="CG2071" s="322"/>
      <c r="CH2071" s="322"/>
      <c r="CI2071" s="322"/>
      <c r="CM2071" s="1139">
        <f t="shared" si="1243"/>
        <v>0</v>
      </c>
      <c r="CN2071" s="1139"/>
      <c r="CP2071" s="923">
        <f t="shared" si="1242"/>
        <v>0</v>
      </c>
      <c r="CZ2071" s="330"/>
    </row>
    <row r="2072" spans="1:104" ht="15" customHeight="1" x14ac:dyDescent="0.25">
      <c r="A2072" s="684">
        <f>MAX($A$6:A2071)+1</f>
        <v>2072</v>
      </c>
      <c r="B2072" s="1060">
        <f t="shared" si="1251"/>
        <v>80</v>
      </c>
      <c r="C2072" s="11" t="s">
        <v>2358</v>
      </c>
      <c r="D2072" s="11" t="s">
        <v>2359</v>
      </c>
      <c r="E2072" s="7" t="s">
        <v>816</v>
      </c>
      <c r="F2072" s="15"/>
      <c r="G2072" s="1254" t="s">
        <v>286</v>
      </c>
      <c r="H2072" s="1290">
        <v>0</v>
      </c>
      <c r="I2072" s="1290"/>
      <c r="J2072" s="1257" t="s">
        <v>816</v>
      </c>
      <c r="K2072" s="251">
        <f>SUMIF('alb Note 15 - Cont liab'!$A:$A,$J2072,'alb Note 15 - Cont liab'!$B:$B)</f>
        <v>0</v>
      </c>
      <c r="L2072" s="4">
        <v>0</v>
      </c>
      <c r="M2072" s="263"/>
      <c r="N2072" s="273">
        <f t="shared" si="1250"/>
        <v>0</v>
      </c>
      <c r="O2072" s="14"/>
      <c r="P2072" s="14"/>
      <c r="Q2072" s="14"/>
      <c r="R2072" s="14"/>
      <c r="S2072" s="14"/>
      <c r="T2072" s="273">
        <f t="shared" si="1252"/>
        <v>0</v>
      </c>
      <c r="U2072" s="14"/>
      <c r="V2072" s="14"/>
      <c r="W2072" s="251">
        <f t="shared" si="1246"/>
        <v>0</v>
      </c>
      <c r="X2072" s="1464"/>
      <c r="Y2072" s="1290"/>
      <c r="Z2072" s="1290"/>
      <c r="AA2072" s="1290"/>
      <c r="AB2072" s="1290"/>
      <c r="AC2072" s="1290"/>
      <c r="AD2072" s="1290"/>
      <c r="AE2072" s="1290"/>
      <c r="AF2072" s="1290"/>
      <c r="AG2072" s="1290"/>
      <c r="AH2072" s="1290"/>
      <c r="AI2072" s="1290"/>
      <c r="AJ2072" s="1290"/>
      <c r="AK2072" s="1290"/>
      <c r="AL2072" s="1290"/>
      <c r="AM2072" s="1290"/>
      <c r="AN2072" s="1290"/>
      <c r="AO2072" s="1290"/>
      <c r="AP2072" s="1290"/>
      <c r="AQ2072" s="1290"/>
      <c r="AR2072" s="1290"/>
      <c r="AS2072" s="1290"/>
      <c r="AT2072" s="1290"/>
      <c r="AU2072" s="1290"/>
      <c r="AV2072" s="1290"/>
      <c r="AX2072" s="1290"/>
      <c r="AY2072" s="1290"/>
      <c r="BA2072" s="1290"/>
      <c r="BB2072" s="1290"/>
      <c r="BC2072" s="1290"/>
      <c r="BD2072" s="1290"/>
      <c r="BE2072" s="322"/>
      <c r="BF2072" s="322"/>
      <c r="BG2072" s="322"/>
      <c r="BH2072" s="322"/>
      <c r="BI2072" s="322"/>
      <c r="BJ2072" s="322"/>
      <c r="BK2072" s="14">
        <f t="shared" si="1239"/>
        <v>0</v>
      </c>
      <c r="BL2072" s="322"/>
      <c r="BM2072" s="322"/>
      <c r="BN2072" s="322"/>
      <c r="BO2072" s="322"/>
      <c r="BP2072" s="322"/>
      <c r="BQ2072" s="322"/>
      <c r="BR2072" s="322"/>
      <c r="BS2072" s="322"/>
      <c r="BT2072" s="322"/>
      <c r="BU2072" s="322"/>
      <c r="BV2072" s="322"/>
      <c r="BW2072" s="322"/>
      <c r="BX2072" s="322"/>
      <c r="BY2072" s="322"/>
      <c r="BZ2072" s="322"/>
      <c r="CA2072" s="322"/>
      <c r="CB2072" s="322"/>
      <c r="CC2072" s="322"/>
      <c r="CD2072" s="322"/>
      <c r="CE2072" s="322"/>
      <c r="CF2072" s="322"/>
      <c r="CG2072" s="322"/>
      <c r="CH2072" s="322"/>
      <c r="CI2072" s="322"/>
      <c r="CM2072" s="1139">
        <f t="shared" si="1243"/>
        <v>0</v>
      </c>
      <c r="CN2072" s="1139"/>
      <c r="CP2072" s="923">
        <f t="shared" si="1242"/>
        <v>0</v>
      </c>
      <c r="CZ2072" s="330"/>
    </row>
    <row r="2073" spans="1:104" ht="15" customHeight="1" x14ac:dyDescent="0.25">
      <c r="A2073" s="684">
        <f>MAX($A$6:A2072)+1</f>
        <v>2073</v>
      </c>
      <c r="B2073" s="1060">
        <f t="shared" si="1251"/>
        <v>80</v>
      </c>
      <c r="C2073" s="11" t="s">
        <v>2358</v>
      </c>
      <c r="D2073" s="11" t="s">
        <v>2359</v>
      </c>
      <c r="E2073" s="7" t="s">
        <v>817</v>
      </c>
      <c r="F2073" s="15"/>
      <c r="G2073" s="1254" t="s">
        <v>286</v>
      </c>
      <c r="H2073" s="1290">
        <v>0</v>
      </c>
      <c r="I2073" s="1290"/>
      <c r="J2073" s="1257" t="s">
        <v>817</v>
      </c>
      <c r="K2073" s="251">
        <f>SUMIF('alb Note 15 - Cont liab'!$A:$A,$J2073,'alb Note 15 - Cont liab'!$B:$B)</f>
        <v>0</v>
      </c>
      <c r="L2073" s="4">
        <v>0</v>
      </c>
      <c r="M2073" s="263"/>
      <c r="N2073" s="273">
        <f t="shared" si="1250"/>
        <v>0</v>
      </c>
      <c r="O2073" s="14"/>
      <c r="P2073" s="14"/>
      <c r="Q2073" s="14"/>
      <c r="R2073" s="14"/>
      <c r="S2073" s="14"/>
      <c r="T2073" s="273">
        <f t="shared" si="1252"/>
        <v>0</v>
      </c>
      <c r="U2073" s="14"/>
      <c r="V2073" s="14"/>
      <c r="W2073" s="251">
        <f t="shared" si="1246"/>
        <v>0</v>
      </c>
      <c r="X2073" s="1464"/>
      <c r="Y2073" s="1290"/>
      <c r="Z2073" s="1290"/>
      <c r="AA2073" s="1290"/>
      <c r="AB2073" s="1290"/>
      <c r="AC2073" s="1290"/>
      <c r="AD2073" s="1290"/>
      <c r="AE2073" s="1290"/>
      <c r="AF2073" s="1290"/>
      <c r="AG2073" s="1290"/>
      <c r="AH2073" s="1290"/>
      <c r="AI2073" s="1290"/>
      <c r="AJ2073" s="1290"/>
      <c r="AK2073" s="1290"/>
      <c r="AL2073" s="1290"/>
      <c r="AM2073" s="1290"/>
      <c r="AN2073" s="1290"/>
      <c r="AO2073" s="1290"/>
      <c r="AP2073" s="1290"/>
      <c r="AQ2073" s="1290"/>
      <c r="AR2073" s="1290"/>
      <c r="AS2073" s="1290"/>
      <c r="AT2073" s="1290"/>
      <c r="AU2073" s="1290"/>
      <c r="AV2073" s="1290"/>
      <c r="AX2073" s="1290"/>
      <c r="AY2073" s="1290"/>
      <c r="BA2073" s="1290"/>
      <c r="BB2073" s="1290"/>
      <c r="BC2073" s="1290"/>
      <c r="BD2073" s="1290"/>
      <c r="BE2073" s="322"/>
      <c r="BF2073" s="322"/>
      <c r="BG2073" s="322"/>
      <c r="BH2073" s="322"/>
      <c r="BI2073" s="322"/>
      <c r="BJ2073" s="322"/>
      <c r="BK2073" s="14">
        <f t="shared" si="1239"/>
        <v>0</v>
      </c>
      <c r="BL2073" s="322"/>
      <c r="BM2073" s="322"/>
      <c r="BN2073" s="322"/>
      <c r="BO2073" s="322"/>
      <c r="BP2073" s="322"/>
      <c r="BQ2073" s="322"/>
      <c r="BR2073" s="322"/>
      <c r="BS2073" s="322"/>
      <c r="BT2073" s="322"/>
      <c r="BU2073" s="322"/>
      <c r="BV2073" s="322"/>
      <c r="BW2073" s="322"/>
      <c r="BX2073" s="322"/>
      <c r="BY2073" s="322"/>
      <c r="BZ2073" s="322"/>
      <c r="CA2073" s="322"/>
      <c r="CB2073" s="322"/>
      <c r="CC2073" s="322"/>
      <c r="CD2073" s="322"/>
      <c r="CE2073" s="322"/>
      <c r="CF2073" s="322"/>
      <c r="CG2073" s="322"/>
      <c r="CH2073" s="322"/>
      <c r="CI2073" s="322"/>
      <c r="CM2073" s="1139">
        <f t="shared" si="1243"/>
        <v>0</v>
      </c>
      <c r="CN2073" s="1139"/>
      <c r="CP2073" s="923">
        <f t="shared" si="1242"/>
        <v>0</v>
      </c>
      <c r="CZ2073" s="330"/>
    </row>
    <row r="2074" spans="1:104" ht="15" customHeight="1" x14ac:dyDescent="0.25">
      <c r="A2074" s="684">
        <f>MAX($A$6:A2073)+1</f>
        <v>2074</v>
      </c>
      <c r="B2074" s="1060">
        <f t="shared" si="1251"/>
        <v>80</v>
      </c>
      <c r="C2074" s="11" t="s">
        <v>2358</v>
      </c>
      <c r="D2074" s="11" t="s">
        <v>2359</v>
      </c>
      <c r="E2074" s="7" t="s">
        <v>818</v>
      </c>
      <c r="F2074" s="15"/>
      <c r="G2074" s="1254" t="s">
        <v>286</v>
      </c>
      <c r="H2074" s="1290">
        <v>0</v>
      </c>
      <c r="I2074" s="1290"/>
      <c r="J2074" s="1257" t="s">
        <v>818</v>
      </c>
      <c r="K2074" s="251">
        <f>SUMIF('alb Note 15 - Cont liab'!$A:$A,$J2074,'alb Note 15 - Cont liab'!$B:$B)</f>
        <v>0</v>
      </c>
      <c r="L2074" s="4">
        <v>0</v>
      </c>
      <c r="M2074" s="263"/>
      <c r="N2074" s="273">
        <f t="shared" si="1250"/>
        <v>0</v>
      </c>
      <c r="O2074" s="14"/>
      <c r="P2074" s="14"/>
      <c r="Q2074" s="14"/>
      <c r="R2074" s="14"/>
      <c r="S2074" s="14"/>
      <c r="T2074" s="273">
        <f t="shared" si="1252"/>
        <v>0</v>
      </c>
      <c r="U2074" s="14"/>
      <c r="V2074" s="14"/>
      <c r="W2074" s="251">
        <f t="shared" si="1246"/>
        <v>0</v>
      </c>
      <c r="X2074" s="1464"/>
      <c r="Y2074" s="1290"/>
      <c r="Z2074" s="1290"/>
      <c r="AA2074" s="1290"/>
      <c r="AB2074" s="1290"/>
      <c r="AC2074" s="1290"/>
      <c r="AD2074" s="1290"/>
      <c r="AE2074" s="1290"/>
      <c r="AF2074" s="1290"/>
      <c r="AG2074" s="1290"/>
      <c r="AH2074" s="1290"/>
      <c r="AI2074" s="1290"/>
      <c r="AJ2074" s="1290"/>
      <c r="AK2074" s="1290"/>
      <c r="AL2074" s="1290"/>
      <c r="AM2074" s="1290"/>
      <c r="AN2074" s="1290"/>
      <c r="AO2074" s="1290"/>
      <c r="AP2074" s="1290"/>
      <c r="AQ2074" s="1290"/>
      <c r="AR2074" s="1290"/>
      <c r="AS2074" s="1290"/>
      <c r="AT2074" s="1290"/>
      <c r="AU2074" s="1290"/>
      <c r="AV2074" s="1290"/>
      <c r="AX2074" s="1290"/>
      <c r="AY2074" s="1290"/>
      <c r="BA2074" s="1290"/>
      <c r="BB2074" s="1290"/>
      <c r="BC2074" s="1290"/>
      <c r="BD2074" s="1290"/>
      <c r="BE2074" s="322"/>
      <c r="BF2074" s="322"/>
      <c r="BG2074" s="322"/>
      <c r="BH2074" s="322"/>
      <c r="BI2074" s="322"/>
      <c r="BJ2074" s="322"/>
      <c r="BK2074" s="14">
        <f t="shared" si="1239"/>
        <v>0</v>
      </c>
      <c r="BL2074" s="322"/>
      <c r="BM2074" s="322"/>
      <c r="BN2074" s="322"/>
      <c r="BO2074" s="322"/>
      <c r="BP2074" s="322"/>
      <c r="BQ2074" s="322"/>
      <c r="BR2074" s="322"/>
      <c r="BS2074" s="322"/>
      <c r="BT2074" s="322"/>
      <c r="BU2074" s="322"/>
      <c r="BV2074" s="322"/>
      <c r="BW2074" s="322"/>
      <c r="BX2074" s="322"/>
      <c r="BY2074" s="322"/>
      <c r="BZ2074" s="322"/>
      <c r="CA2074" s="322"/>
      <c r="CB2074" s="322"/>
      <c r="CC2074" s="322"/>
      <c r="CD2074" s="322"/>
      <c r="CE2074" s="322"/>
      <c r="CF2074" s="322"/>
      <c r="CG2074" s="322"/>
      <c r="CH2074" s="322"/>
      <c r="CI2074" s="322"/>
      <c r="CM2074" s="1139">
        <f t="shared" si="1243"/>
        <v>0</v>
      </c>
      <c r="CN2074" s="1139"/>
      <c r="CP2074" s="923">
        <f t="shared" si="1242"/>
        <v>0</v>
      </c>
      <c r="CZ2074" s="330"/>
    </row>
    <row r="2075" spans="1:104" ht="15" customHeight="1" x14ac:dyDescent="0.25">
      <c r="A2075" s="684">
        <f>MAX($A$6:A2074)+1</f>
        <v>2075</v>
      </c>
      <c r="B2075" s="1060">
        <f t="shared" si="1251"/>
        <v>80</v>
      </c>
      <c r="C2075" s="11" t="s">
        <v>2358</v>
      </c>
      <c r="D2075" s="11" t="s">
        <v>2359</v>
      </c>
      <c r="E2075" s="7" t="s">
        <v>819</v>
      </c>
      <c r="F2075" s="15"/>
      <c r="G2075" s="1254" t="s">
        <v>286</v>
      </c>
      <c r="H2075" s="1290">
        <v>0</v>
      </c>
      <c r="I2075" s="1290"/>
      <c r="J2075" s="1257" t="s">
        <v>819</v>
      </c>
      <c r="K2075" s="251">
        <f>SUMIF('alb Note 15 - Cont liab'!$A:$A,$J2075,'alb Note 15 - Cont liab'!$B:$B)</f>
        <v>0</v>
      </c>
      <c r="L2075" s="4">
        <v>0</v>
      </c>
      <c r="M2075" s="263"/>
      <c r="N2075" s="273">
        <f t="shared" si="1250"/>
        <v>0</v>
      </c>
      <c r="O2075" s="14"/>
      <c r="P2075" s="14"/>
      <c r="Q2075" s="14"/>
      <c r="R2075" s="14"/>
      <c r="S2075" s="14"/>
      <c r="T2075" s="273">
        <f t="shared" si="1252"/>
        <v>0</v>
      </c>
      <c r="U2075" s="14"/>
      <c r="V2075" s="14"/>
      <c r="W2075" s="251">
        <f t="shared" si="1246"/>
        <v>0</v>
      </c>
      <c r="X2075" s="1464"/>
      <c r="Y2075" s="1290"/>
      <c r="Z2075" s="1290"/>
      <c r="AA2075" s="1290"/>
      <c r="AB2075" s="1290"/>
      <c r="AC2075" s="1290"/>
      <c r="AD2075" s="1290"/>
      <c r="AE2075" s="1290"/>
      <c r="AF2075" s="1290"/>
      <c r="AG2075" s="1290"/>
      <c r="AH2075" s="1290"/>
      <c r="AI2075" s="1290"/>
      <c r="AJ2075" s="1290"/>
      <c r="AK2075" s="1290"/>
      <c r="AL2075" s="1290"/>
      <c r="AM2075" s="1290"/>
      <c r="AN2075" s="1290"/>
      <c r="AO2075" s="1290"/>
      <c r="AP2075" s="1290"/>
      <c r="AQ2075" s="1290"/>
      <c r="AR2075" s="1290"/>
      <c r="AS2075" s="1290"/>
      <c r="AT2075" s="1290"/>
      <c r="AU2075" s="1290"/>
      <c r="AV2075" s="1290"/>
      <c r="AX2075" s="1290"/>
      <c r="AY2075" s="1290"/>
      <c r="BA2075" s="1290"/>
      <c r="BB2075" s="1290"/>
      <c r="BC2075" s="1290"/>
      <c r="BD2075" s="1290"/>
      <c r="BE2075" s="322"/>
      <c r="BF2075" s="322"/>
      <c r="BG2075" s="322"/>
      <c r="BH2075" s="322"/>
      <c r="BI2075" s="322"/>
      <c r="BJ2075" s="322"/>
      <c r="BK2075" s="14">
        <f t="shared" si="1239"/>
        <v>0</v>
      </c>
      <c r="BL2075" s="322"/>
      <c r="BM2075" s="322"/>
      <c r="BN2075" s="322"/>
      <c r="BO2075" s="322"/>
      <c r="BP2075" s="322"/>
      <c r="BQ2075" s="322"/>
      <c r="BR2075" s="322"/>
      <c r="BS2075" s="322"/>
      <c r="BT2075" s="322"/>
      <c r="BU2075" s="322"/>
      <c r="BV2075" s="322"/>
      <c r="BW2075" s="322"/>
      <c r="BX2075" s="322"/>
      <c r="BY2075" s="322"/>
      <c r="BZ2075" s="322"/>
      <c r="CA2075" s="322"/>
      <c r="CB2075" s="322"/>
      <c r="CC2075" s="322"/>
      <c r="CD2075" s="322"/>
      <c r="CE2075" s="322"/>
      <c r="CF2075" s="322"/>
      <c r="CG2075" s="322"/>
      <c r="CH2075" s="322"/>
      <c r="CI2075" s="322"/>
      <c r="CM2075" s="1139">
        <f t="shared" si="1243"/>
        <v>0</v>
      </c>
      <c r="CN2075" s="1139"/>
      <c r="CP2075" s="923">
        <f t="shared" si="1242"/>
        <v>0</v>
      </c>
      <c r="CZ2075" s="330"/>
    </row>
    <row r="2076" spans="1:104" ht="15" customHeight="1" x14ac:dyDescent="0.25">
      <c r="A2076" s="684">
        <f>MAX($A$6:A2075)+1</f>
        <v>2076</v>
      </c>
      <c r="B2076" s="1060">
        <f t="shared" si="1251"/>
        <v>80</v>
      </c>
      <c r="C2076" s="11" t="s">
        <v>2358</v>
      </c>
      <c r="D2076" s="11" t="s">
        <v>2359</v>
      </c>
      <c r="E2076" s="7" t="s">
        <v>820</v>
      </c>
      <c r="F2076" s="15"/>
      <c r="G2076" s="1254" t="s">
        <v>286</v>
      </c>
      <c r="H2076" s="1290">
        <v>0</v>
      </c>
      <c r="I2076" s="1290"/>
      <c r="J2076" s="1257" t="s">
        <v>820</v>
      </c>
      <c r="K2076" s="251">
        <f>SUMIF('alb Note 15 - Cont liab'!$A:$A,$J2076,'alb Note 15 - Cont liab'!$B:$B)</f>
        <v>0</v>
      </c>
      <c r="L2076" s="4">
        <v>0</v>
      </c>
      <c r="M2076" s="263"/>
      <c r="N2076" s="273">
        <f t="shared" si="1250"/>
        <v>0</v>
      </c>
      <c r="O2076" s="14"/>
      <c r="P2076" s="14"/>
      <c r="Q2076" s="14"/>
      <c r="R2076" s="14"/>
      <c r="S2076" s="14"/>
      <c r="T2076" s="273">
        <f t="shared" si="1252"/>
        <v>0</v>
      </c>
      <c r="U2076" s="14"/>
      <c r="V2076" s="14"/>
      <c r="W2076" s="251">
        <f t="shared" si="1246"/>
        <v>0</v>
      </c>
      <c r="X2076" s="1464"/>
      <c r="Y2076" s="1290"/>
      <c r="Z2076" s="1290"/>
      <c r="AA2076" s="1290"/>
      <c r="AB2076" s="1290"/>
      <c r="AC2076" s="1290"/>
      <c r="AD2076" s="1290"/>
      <c r="AE2076" s="1290"/>
      <c r="AF2076" s="1290"/>
      <c r="AG2076" s="1290"/>
      <c r="AH2076" s="1290"/>
      <c r="AI2076" s="1290"/>
      <c r="AJ2076" s="1290"/>
      <c r="AK2076" s="1290"/>
      <c r="AL2076" s="1290"/>
      <c r="AM2076" s="1290"/>
      <c r="AN2076" s="1290"/>
      <c r="AO2076" s="1290"/>
      <c r="AP2076" s="1290"/>
      <c r="AQ2076" s="1290"/>
      <c r="AR2076" s="1290"/>
      <c r="AS2076" s="1290"/>
      <c r="AT2076" s="1290"/>
      <c r="AU2076" s="1290"/>
      <c r="AV2076" s="1290"/>
      <c r="AX2076" s="1290"/>
      <c r="AY2076" s="1290"/>
      <c r="BA2076" s="1290"/>
      <c r="BB2076" s="1290"/>
      <c r="BC2076" s="1290"/>
      <c r="BD2076" s="1290"/>
      <c r="BE2076" s="322"/>
      <c r="BF2076" s="322"/>
      <c r="BG2076" s="322"/>
      <c r="BH2076" s="322"/>
      <c r="BI2076" s="322"/>
      <c r="BJ2076" s="322"/>
      <c r="BK2076" s="14">
        <f t="shared" si="1239"/>
        <v>0</v>
      </c>
      <c r="BL2076" s="322"/>
      <c r="BM2076" s="322"/>
      <c r="BN2076" s="322"/>
      <c r="BO2076" s="322"/>
      <c r="BP2076" s="322"/>
      <c r="BQ2076" s="322"/>
      <c r="BR2076" s="322"/>
      <c r="BS2076" s="322"/>
      <c r="BT2076" s="322"/>
      <c r="BU2076" s="322"/>
      <c r="BV2076" s="322"/>
      <c r="BW2076" s="322"/>
      <c r="BX2076" s="322"/>
      <c r="BY2076" s="322"/>
      <c r="BZ2076" s="322"/>
      <c r="CA2076" s="322"/>
      <c r="CB2076" s="322"/>
      <c r="CC2076" s="322"/>
      <c r="CD2076" s="322"/>
      <c r="CE2076" s="322"/>
      <c r="CF2076" s="322"/>
      <c r="CG2076" s="322"/>
      <c r="CH2076" s="322"/>
      <c r="CI2076" s="322"/>
      <c r="CM2076" s="1139">
        <f t="shared" si="1243"/>
        <v>0</v>
      </c>
      <c r="CN2076" s="1139"/>
      <c r="CP2076" s="923">
        <f t="shared" si="1242"/>
        <v>0</v>
      </c>
      <c r="CZ2076" s="330"/>
    </row>
    <row r="2077" spans="1:104" ht="15" customHeight="1" x14ac:dyDescent="0.25">
      <c r="A2077" s="684">
        <f>MAX($A$6:A2076)+1</f>
        <v>2077</v>
      </c>
      <c r="B2077" s="1060">
        <f>B2076</f>
        <v>80</v>
      </c>
      <c r="C2077" s="11" t="s">
        <v>2358</v>
      </c>
      <c r="D2077" s="11" t="s">
        <v>2359</v>
      </c>
      <c r="E2077" s="7" t="s">
        <v>286</v>
      </c>
      <c r="F2077" s="15"/>
      <c r="G2077" s="1254" t="s">
        <v>286</v>
      </c>
      <c r="H2077" s="1290">
        <v>0</v>
      </c>
      <c r="I2077" s="1290"/>
      <c r="J2077" s="1257" t="s">
        <v>286</v>
      </c>
      <c r="K2077" s="251">
        <f>SUMIF('alb Note 15 - Cont liab'!$A:$A,$J2077,'alb Note 15 - Cont liab'!$B:$B)</f>
        <v>0</v>
      </c>
      <c r="L2077" s="4">
        <v>0</v>
      </c>
      <c r="M2077" s="263"/>
      <c r="N2077" s="273">
        <f t="shared" si="1250"/>
        <v>0</v>
      </c>
      <c r="O2077" s="14"/>
      <c r="P2077" s="14"/>
      <c r="Q2077" s="14"/>
      <c r="R2077" s="14"/>
      <c r="S2077" s="14"/>
      <c r="T2077" s="273">
        <f t="shared" si="1252"/>
        <v>0</v>
      </c>
      <c r="U2077" s="14"/>
      <c r="V2077" s="14"/>
      <c r="W2077" s="251">
        <f t="shared" si="1246"/>
        <v>0</v>
      </c>
      <c r="X2077" s="1464"/>
      <c r="Y2077" s="1290"/>
      <c r="Z2077" s="1290"/>
      <c r="AA2077" s="1290"/>
      <c r="AB2077" s="1290"/>
      <c r="AC2077" s="1290"/>
      <c r="AD2077" s="1290"/>
      <c r="AE2077" s="1290"/>
      <c r="AF2077" s="1290"/>
      <c r="AG2077" s="1290"/>
      <c r="AH2077" s="1290"/>
      <c r="AI2077" s="1290"/>
      <c r="AJ2077" s="1290"/>
      <c r="AK2077" s="1290"/>
      <c r="AL2077" s="1290"/>
      <c r="AM2077" s="1290"/>
      <c r="AN2077" s="1290"/>
      <c r="AO2077" s="1290"/>
      <c r="AP2077" s="1290"/>
      <c r="AQ2077" s="1290"/>
      <c r="AR2077" s="1290"/>
      <c r="AS2077" s="1290"/>
      <c r="AT2077" s="1290"/>
      <c r="AU2077" s="1290"/>
      <c r="AV2077" s="1290"/>
      <c r="AX2077" s="1290"/>
      <c r="AY2077" s="1290"/>
      <c r="BA2077" s="1290"/>
      <c r="BB2077" s="1290"/>
      <c r="BC2077" s="1290"/>
      <c r="BD2077" s="1290"/>
      <c r="BE2077" s="322"/>
      <c r="BF2077" s="322"/>
      <c r="BG2077" s="322"/>
      <c r="BH2077" s="322"/>
      <c r="BI2077" s="322"/>
      <c r="BJ2077" s="322"/>
      <c r="BK2077" s="14">
        <f t="shared" si="1239"/>
        <v>0</v>
      </c>
      <c r="BL2077" s="322"/>
      <c r="BM2077" s="322"/>
      <c r="BN2077" s="322"/>
      <c r="BO2077" s="322"/>
      <c r="BP2077" s="322"/>
      <c r="BQ2077" s="322"/>
      <c r="BR2077" s="322"/>
      <c r="BS2077" s="322"/>
      <c r="BT2077" s="322"/>
      <c r="BU2077" s="322"/>
      <c r="BV2077" s="322"/>
      <c r="BW2077" s="322"/>
      <c r="BX2077" s="322"/>
      <c r="BY2077" s="322"/>
      <c r="BZ2077" s="322"/>
      <c r="CA2077" s="322"/>
      <c r="CB2077" s="322"/>
      <c r="CC2077" s="322"/>
      <c r="CD2077" s="322"/>
      <c r="CE2077" s="322"/>
      <c r="CF2077" s="322"/>
      <c r="CG2077" s="322"/>
      <c r="CH2077" s="322"/>
      <c r="CI2077" s="322"/>
      <c r="CM2077" s="1139">
        <f t="shared" si="1243"/>
        <v>0</v>
      </c>
      <c r="CN2077" s="1139"/>
      <c r="CP2077" s="923">
        <f t="shared" si="1242"/>
        <v>0</v>
      </c>
      <c r="CZ2077" s="330"/>
    </row>
    <row r="2078" spans="1:104" ht="15" customHeight="1" x14ac:dyDescent="0.25">
      <c r="A2078" s="684">
        <f>MAX($A$6:A2077)+1</f>
        <v>2078</v>
      </c>
      <c r="B2078" s="1060">
        <f t="shared" ref="B2078:B2085" si="1253">B2077</f>
        <v>80</v>
      </c>
      <c r="C2078" s="11" t="s">
        <v>2358</v>
      </c>
      <c r="D2078" s="11" t="s">
        <v>2360</v>
      </c>
      <c r="E2078" s="7" t="s">
        <v>286</v>
      </c>
      <c r="F2078" s="15"/>
      <c r="G2078" s="965"/>
      <c r="H2078" s="1450"/>
      <c r="I2078" s="1290"/>
      <c r="J2078" s="1262" t="s">
        <v>733</v>
      </c>
      <c r="K2078" s="298">
        <f>'alb Note 15 - Cont liab'!$A$21</f>
        <v>0</v>
      </c>
      <c r="L2078" s="1513">
        <v>0</v>
      </c>
      <c r="M2078" s="263"/>
      <c r="N2078" s="273">
        <f t="shared" ref="N2078:N2085" si="1254">ROUND(SUM(O2078:AU2078)-T2078,0)</f>
        <v>0</v>
      </c>
      <c r="O2078" s="14"/>
      <c r="P2078" s="14"/>
      <c r="Q2078" s="14"/>
      <c r="R2078" s="14"/>
      <c r="S2078" s="14"/>
      <c r="T2078" s="273">
        <f t="shared" ref="T2078:T2085" si="1255">ROUND(SUM(U2078:Y2078),0)</f>
        <v>0</v>
      </c>
      <c r="U2078" s="14"/>
      <c r="V2078" s="14"/>
      <c r="W2078" s="251">
        <f t="shared" ref="W2078:W2085" si="1256">+H2078</f>
        <v>0</v>
      </c>
      <c r="X2078" s="1464"/>
      <c r="Y2078" s="1290"/>
      <c r="Z2078" s="1290"/>
      <c r="AA2078" s="1290"/>
      <c r="AB2078" s="1290"/>
      <c r="AC2078" s="1290"/>
      <c r="AD2078" s="1290"/>
      <c r="AE2078" s="1290"/>
      <c r="AF2078" s="1290"/>
      <c r="AG2078" s="1290"/>
      <c r="AH2078" s="1290"/>
      <c r="AI2078" s="1290"/>
      <c r="AJ2078" s="1290"/>
      <c r="AK2078" s="1290"/>
      <c r="AL2078" s="1290"/>
      <c r="AM2078" s="1290"/>
      <c r="AN2078" s="1290"/>
      <c r="AO2078" s="1290"/>
      <c r="AP2078" s="1290"/>
      <c r="AQ2078" s="1290"/>
      <c r="AR2078" s="1290"/>
      <c r="AS2078" s="1290"/>
      <c r="AT2078" s="1290"/>
      <c r="AU2078" s="1290"/>
      <c r="AV2078" s="1290"/>
      <c r="AX2078" s="1290"/>
      <c r="AY2078" s="1290"/>
      <c r="BA2078" s="1290"/>
      <c r="BB2078" s="1290"/>
      <c r="BC2078" s="1290"/>
      <c r="BD2078" s="1290"/>
      <c r="BE2078" s="322"/>
      <c r="BF2078" s="322"/>
      <c r="BG2078" s="322"/>
      <c r="BH2078" s="322"/>
      <c r="BI2078" s="322"/>
      <c r="BJ2078" s="322"/>
      <c r="BK2078" s="14">
        <f t="shared" ref="BK2078:BK2085" si="1257">ROUND(SUM(BO2078:CI2078),0)</f>
        <v>0</v>
      </c>
      <c r="BL2078" s="322"/>
      <c r="BM2078" s="322"/>
      <c r="BN2078" s="322"/>
      <c r="BO2078" s="322"/>
      <c r="BP2078" s="322"/>
      <c r="BQ2078" s="322"/>
      <c r="BR2078" s="322"/>
      <c r="BS2078" s="322"/>
      <c r="BT2078" s="322"/>
      <c r="BU2078" s="322"/>
      <c r="BV2078" s="322"/>
      <c r="BW2078" s="322"/>
      <c r="BX2078" s="322"/>
      <c r="BY2078" s="322"/>
      <c r="BZ2078" s="322"/>
      <c r="CA2078" s="322"/>
      <c r="CB2078" s="322"/>
      <c r="CC2078" s="322"/>
      <c r="CD2078" s="322"/>
      <c r="CE2078" s="322"/>
      <c r="CF2078" s="322"/>
      <c r="CG2078" s="322"/>
      <c r="CH2078" s="322"/>
      <c r="CI2078" s="322"/>
      <c r="CM2078" s="1139">
        <f t="shared" si="1243"/>
        <v>0</v>
      </c>
      <c r="CN2078" s="1139"/>
      <c r="CP2078" s="923">
        <f t="shared" si="1242"/>
        <v>0</v>
      </c>
      <c r="CZ2078" s="330"/>
    </row>
    <row r="2079" spans="1:104" ht="15" customHeight="1" x14ac:dyDescent="0.25">
      <c r="A2079" s="684">
        <f>MAX($A$6:A2078)+1</f>
        <v>2079</v>
      </c>
      <c r="B2079" s="1060">
        <f t="shared" si="1253"/>
        <v>80</v>
      </c>
      <c r="C2079" s="11" t="s">
        <v>2358</v>
      </c>
      <c r="D2079" s="11" t="s">
        <v>2360</v>
      </c>
      <c r="E2079" s="7" t="s">
        <v>286</v>
      </c>
      <c r="F2079" s="15"/>
      <c r="G2079" s="965"/>
      <c r="H2079" s="1450"/>
      <c r="I2079" s="1290"/>
      <c r="J2079" s="1262" t="s">
        <v>733</v>
      </c>
      <c r="K2079" s="298">
        <f>'alb Note 15 - Cont liab'!$A$21</f>
        <v>0</v>
      </c>
      <c r="L2079" s="1513">
        <v>0</v>
      </c>
      <c r="M2079" s="263"/>
      <c r="N2079" s="273">
        <f t="shared" si="1254"/>
        <v>0</v>
      </c>
      <c r="O2079" s="14"/>
      <c r="P2079" s="14"/>
      <c r="Q2079" s="14"/>
      <c r="R2079" s="14"/>
      <c r="S2079" s="14"/>
      <c r="T2079" s="273">
        <f t="shared" si="1255"/>
        <v>0</v>
      </c>
      <c r="U2079" s="14"/>
      <c r="V2079" s="14"/>
      <c r="W2079" s="251">
        <f t="shared" si="1256"/>
        <v>0</v>
      </c>
      <c r="X2079" s="1464"/>
      <c r="Y2079" s="1290"/>
      <c r="Z2079" s="1290"/>
      <c r="AA2079" s="1290"/>
      <c r="AB2079" s="1290"/>
      <c r="AC2079" s="1290"/>
      <c r="AD2079" s="1290"/>
      <c r="AE2079" s="1290"/>
      <c r="AF2079" s="1290"/>
      <c r="AG2079" s="1290"/>
      <c r="AH2079" s="1290"/>
      <c r="AI2079" s="1290"/>
      <c r="AJ2079" s="1290"/>
      <c r="AK2079" s="1290"/>
      <c r="AL2079" s="1290"/>
      <c r="AM2079" s="1290"/>
      <c r="AN2079" s="1290"/>
      <c r="AO2079" s="1290"/>
      <c r="AP2079" s="1290"/>
      <c r="AQ2079" s="1290"/>
      <c r="AR2079" s="1290"/>
      <c r="AS2079" s="1290"/>
      <c r="AT2079" s="1290"/>
      <c r="AU2079" s="1290"/>
      <c r="AV2079" s="1290"/>
      <c r="AX2079" s="1290"/>
      <c r="AY2079" s="1290"/>
      <c r="BA2079" s="1290"/>
      <c r="BB2079" s="1290"/>
      <c r="BC2079" s="1290"/>
      <c r="BD2079" s="1290"/>
      <c r="BE2079" s="322"/>
      <c r="BF2079" s="322"/>
      <c r="BG2079" s="322"/>
      <c r="BH2079" s="322"/>
      <c r="BI2079" s="322"/>
      <c r="BJ2079" s="322"/>
      <c r="BK2079" s="14">
        <f t="shared" si="1257"/>
        <v>0</v>
      </c>
      <c r="BL2079" s="322"/>
      <c r="BM2079" s="322"/>
      <c r="BN2079" s="322"/>
      <c r="BO2079" s="322"/>
      <c r="BP2079" s="322"/>
      <c r="BQ2079" s="322"/>
      <c r="BR2079" s="322"/>
      <c r="BS2079" s="322"/>
      <c r="BT2079" s="322"/>
      <c r="BU2079" s="322"/>
      <c r="BV2079" s="322"/>
      <c r="BW2079" s="322"/>
      <c r="BX2079" s="322"/>
      <c r="BY2079" s="322"/>
      <c r="BZ2079" s="322"/>
      <c r="CA2079" s="322"/>
      <c r="CB2079" s="322"/>
      <c r="CC2079" s="322"/>
      <c r="CD2079" s="322"/>
      <c r="CE2079" s="322"/>
      <c r="CF2079" s="322"/>
      <c r="CG2079" s="322"/>
      <c r="CH2079" s="322"/>
      <c r="CI2079" s="322"/>
      <c r="CM2079" s="1139">
        <f t="shared" si="1243"/>
        <v>0</v>
      </c>
      <c r="CN2079" s="1139"/>
      <c r="CP2079" s="923">
        <f t="shared" si="1242"/>
        <v>0</v>
      </c>
      <c r="CZ2079" s="330"/>
    </row>
    <row r="2080" spans="1:104" ht="15" customHeight="1" x14ac:dyDescent="0.25">
      <c r="A2080" s="684">
        <f>MAX($A$6:A2079)+1</f>
        <v>2080</v>
      </c>
      <c r="B2080" s="1060">
        <f t="shared" si="1253"/>
        <v>80</v>
      </c>
      <c r="C2080" s="11" t="s">
        <v>2358</v>
      </c>
      <c r="D2080" s="11" t="s">
        <v>2360</v>
      </c>
      <c r="E2080" s="7" t="s">
        <v>286</v>
      </c>
      <c r="F2080" s="15"/>
      <c r="G2080" s="965"/>
      <c r="H2080" s="1450"/>
      <c r="I2080" s="1290"/>
      <c r="J2080" s="1262" t="s">
        <v>733</v>
      </c>
      <c r="K2080" s="298">
        <f>'alb Note 15 - Cont liab'!$A$21</f>
        <v>0</v>
      </c>
      <c r="L2080" s="1513">
        <v>0</v>
      </c>
      <c r="M2080" s="263"/>
      <c r="N2080" s="273">
        <f t="shared" si="1254"/>
        <v>0</v>
      </c>
      <c r="O2080" s="14"/>
      <c r="P2080" s="14"/>
      <c r="Q2080" s="14"/>
      <c r="R2080" s="14"/>
      <c r="S2080" s="14"/>
      <c r="T2080" s="273">
        <f t="shared" si="1255"/>
        <v>0</v>
      </c>
      <c r="U2080" s="14"/>
      <c r="V2080" s="14"/>
      <c r="W2080" s="251">
        <f t="shared" si="1256"/>
        <v>0</v>
      </c>
      <c r="X2080" s="1464"/>
      <c r="Y2080" s="1290"/>
      <c r="Z2080" s="1290"/>
      <c r="AA2080" s="1290"/>
      <c r="AB2080" s="1290"/>
      <c r="AC2080" s="1290"/>
      <c r="AD2080" s="1290"/>
      <c r="AE2080" s="1290"/>
      <c r="AF2080" s="1290"/>
      <c r="AG2080" s="1290"/>
      <c r="AH2080" s="1290"/>
      <c r="AI2080" s="1290"/>
      <c r="AJ2080" s="1290"/>
      <c r="AK2080" s="1290"/>
      <c r="AL2080" s="1290"/>
      <c r="AM2080" s="1290"/>
      <c r="AN2080" s="1290"/>
      <c r="AO2080" s="1290"/>
      <c r="AP2080" s="1290"/>
      <c r="AQ2080" s="1290"/>
      <c r="AR2080" s="1290"/>
      <c r="AS2080" s="1290"/>
      <c r="AT2080" s="1290"/>
      <c r="AU2080" s="1290"/>
      <c r="AV2080" s="1290"/>
      <c r="AX2080" s="1290"/>
      <c r="AY2080" s="1290"/>
      <c r="BA2080" s="1290"/>
      <c r="BB2080" s="1290"/>
      <c r="BC2080" s="1290"/>
      <c r="BD2080" s="1290"/>
      <c r="BE2080" s="322"/>
      <c r="BF2080" s="322"/>
      <c r="BG2080" s="322"/>
      <c r="BH2080" s="322"/>
      <c r="BI2080" s="322"/>
      <c r="BJ2080" s="322"/>
      <c r="BK2080" s="14">
        <f t="shared" si="1257"/>
        <v>0</v>
      </c>
      <c r="BL2080" s="322"/>
      <c r="BM2080" s="322"/>
      <c r="BN2080" s="322"/>
      <c r="BO2080" s="322"/>
      <c r="BP2080" s="322"/>
      <c r="BQ2080" s="322"/>
      <c r="BR2080" s="322"/>
      <c r="BS2080" s="322"/>
      <c r="BT2080" s="322"/>
      <c r="BU2080" s="322"/>
      <c r="BV2080" s="322"/>
      <c r="BW2080" s="322"/>
      <c r="BX2080" s="322"/>
      <c r="BY2080" s="322"/>
      <c r="BZ2080" s="322"/>
      <c r="CA2080" s="322"/>
      <c r="CB2080" s="322"/>
      <c r="CC2080" s="322"/>
      <c r="CD2080" s="322"/>
      <c r="CE2080" s="322"/>
      <c r="CF2080" s="322"/>
      <c r="CG2080" s="322"/>
      <c r="CH2080" s="322"/>
      <c r="CI2080" s="322"/>
      <c r="CM2080" s="1139">
        <f t="shared" si="1243"/>
        <v>0</v>
      </c>
      <c r="CN2080" s="1139"/>
      <c r="CP2080" s="923">
        <f t="shared" si="1242"/>
        <v>0</v>
      </c>
      <c r="CZ2080" s="330"/>
    </row>
    <row r="2081" spans="1:104" ht="15" customHeight="1" x14ac:dyDescent="0.25">
      <c r="A2081" s="684">
        <f>MAX($A$6:A2080)+1</f>
        <v>2081</v>
      </c>
      <c r="B2081" s="1060">
        <f t="shared" si="1253"/>
        <v>80</v>
      </c>
      <c r="C2081" s="11" t="s">
        <v>2358</v>
      </c>
      <c r="D2081" s="11" t="s">
        <v>2360</v>
      </c>
      <c r="E2081" s="7" t="s">
        <v>286</v>
      </c>
      <c r="F2081" s="15"/>
      <c r="G2081" s="965"/>
      <c r="H2081" s="1450"/>
      <c r="I2081" s="1290"/>
      <c r="J2081" s="1262" t="s">
        <v>733</v>
      </c>
      <c r="K2081" s="298">
        <f>'alb Note 15 - Cont liab'!$A$21</f>
        <v>0</v>
      </c>
      <c r="L2081" s="1513">
        <v>0</v>
      </c>
      <c r="M2081" s="263"/>
      <c r="N2081" s="273">
        <f t="shared" si="1254"/>
        <v>0</v>
      </c>
      <c r="O2081" s="14"/>
      <c r="P2081" s="14"/>
      <c r="Q2081" s="14"/>
      <c r="R2081" s="14"/>
      <c r="S2081" s="14"/>
      <c r="T2081" s="273">
        <f t="shared" si="1255"/>
        <v>0</v>
      </c>
      <c r="U2081" s="14"/>
      <c r="V2081" s="14"/>
      <c r="W2081" s="251">
        <f t="shared" si="1256"/>
        <v>0</v>
      </c>
      <c r="X2081" s="1464"/>
      <c r="Y2081" s="1290"/>
      <c r="Z2081" s="1290"/>
      <c r="AA2081" s="1290"/>
      <c r="AB2081" s="1290"/>
      <c r="AC2081" s="1290"/>
      <c r="AD2081" s="1290"/>
      <c r="AE2081" s="1290"/>
      <c r="AF2081" s="1290"/>
      <c r="AG2081" s="1290"/>
      <c r="AH2081" s="1290"/>
      <c r="AI2081" s="1290"/>
      <c r="AJ2081" s="1290"/>
      <c r="AK2081" s="1290"/>
      <c r="AL2081" s="1290"/>
      <c r="AM2081" s="1290"/>
      <c r="AN2081" s="1290"/>
      <c r="AO2081" s="1290"/>
      <c r="AP2081" s="1290"/>
      <c r="AQ2081" s="1290"/>
      <c r="AR2081" s="1290"/>
      <c r="AS2081" s="1290"/>
      <c r="AT2081" s="1290"/>
      <c r="AU2081" s="1290"/>
      <c r="AV2081" s="1290"/>
      <c r="AX2081" s="1290"/>
      <c r="AY2081" s="1290"/>
      <c r="BA2081" s="1290"/>
      <c r="BB2081" s="1290"/>
      <c r="BC2081" s="1290"/>
      <c r="BD2081" s="1290"/>
      <c r="BE2081" s="322"/>
      <c r="BF2081" s="322"/>
      <c r="BG2081" s="322"/>
      <c r="BH2081" s="322"/>
      <c r="BI2081" s="322"/>
      <c r="BJ2081" s="322"/>
      <c r="BK2081" s="14">
        <f t="shared" si="1257"/>
        <v>0</v>
      </c>
      <c r="BL2081" s="322"/>
      <c r="BM2081" s="322"/>
      <c r="BN2081" s="322"/>
      <c r="BO2081" s="322"/>
      <c r="BP2081" s="322"/>
      <c r="BQ2081" s="322"/>
      <c r="BR2081" s="322"/>
      <c r="BS2081" s="322"/>
      <c r="BT2081" s="322"/>
      <c r="BU2081" s="322"/>
      <c r="BV2081" s="322"/>
      <c r="BW2081" s="322"/>
      <c r="BX2081" s="322"/>
      <c r="BY2081" s="322"/>
      <c r="BZ2081" s="322"/>
      <c r="CA2081" s="322"/>
      <c r="CB2081" s="322"/>
      <c r="CC2081" s="322"/>
      <c r="CD2081" s="322"/>
      <c r="CE2081" s="322"/>
      <c r="CF2081" s="322"/>
      <c r="CG2081" s="322"/>
      <c r="CH2081" s="322"/>
      <c r="CI2081" s="322"/>
      <c r="CM2081" s="1139">
        <f t="shared" si="1243"/>
        <v>0</v>
      </c>
      <c r="CN2081" s="1139"/>
      <c r="CP2081" s="923">
        <f t="shared" si="1242"/>
        <v>0</v>
      </c>
      <c r="CZ2081" s="330"/>
    </row>
    <row r="2082" spans="1:104" ht="15" customHeight="1" x14ac:dyDescent="0.25">
      <c r="A2082" s="684">
        <f>MAX($A$6:A2081)+1</f>
        <v>2082</v>
      </c>
      <c r="B2082" s="1060">
        <f t="shared" si="1253"/>
        <v>80</v>
      </c>
      <c r="C2082" s="11" t="s">
        <v>2358</v>
      </c>
      <c r="D2082" s="11" t="s">
        <v>2360</v>
      </c>
      <c r="E2082" s="7" t="s">
        <v>286</v>
      </c>
      <c r="F2082" s="15"/>
      <c r="G2082" s="965"/>
      <c r="H2082" s="1450"/>
      <c r="I2082" s="1290"/>
      <c r="J2082" s="1262" t="s">
        <v>733</v>
      </c>
      <c r="K2082" s="298">
        <f>'alb Note 15 - Cont liab'!$A$21</f>
        <v>0</v>
      </c>
      <c r="L2082" s="1513">
        <v>0</v>
      </c>
      <c r="M2082" s="263"/>
      <c r="N2082" s="273">
        <f t="shared" si="1254"/>
        <v>0</v>
      </c>
      <c r="O2082" s="14"/>
      <c r="P2082" s="14"/>
      <c r="Q2082" s="14"/>
      <c r="R2082" s="14"/>
      <c r="S2082" s="14"/>
      <c r="T2082" s="273">
        <f t="shared" si="1255"/>
        <v>0</v>
      </c>
      <c r="U2082" s="14"/>
      <c r="V2082" s="14"/>
      <c r="W2082" s="251">
        <f t="shared" si="1256"/>
        <v>0</v>
      </c>
      <c r="X2082" s="1464"/>
      <c r="Y2082" s="1290"/>
      <c r="Z2082" s="1290"/>
      <c r="AA2082" s="1290"/>
      <c r="AB2082" s="1290"/>
      <c r="AC2082" s="1290"/>
      <c r="AD2082" s="1290"/>
      <c r="AE2082" s="1290"/>
      <c r="AF2082" s="1290"/>
      <c r="AG2082" s="1290"/>
      <c r="AH2082" s="1290"/>
      <c r="AI2082" s="1290"/>
      <c r="AJ2082" s="1290"/>
      <c r="AK2082" s="1290"/>
      <c r="AL2082" s="1290"/>
      <c r="AM2082" s="1290"/>
      <c r="AN2082" s="1290"/>
      <c r="AO2082" s="1290"/>
      <c r="AP2082" s="1290"/>
      <c r="AQ2082" s="1290"/>
      <c r="AR2082" s="1290"/>
      <c r="AS2082" s="1290"/>
      <c r="AT2082" s="1290"/>
      <c r="AU2082" s="1290"/>
      <c r="AV2082" s="1290"/>
      <c r="AX2082" s="1290"/>
      <c r="AY2082" s="1290"/>
      <c r="BA2082" s="1290"/>
      <c r="BB2082" s="1290"/>
      <c r="BC2082" s="1290"/>
      <c r="BD2082" s="1290"/>
      <c r="BE2082" s="322"/>
      <c r="BF2082" s="322"/>
      <c r="BG2082" s="322"/>
      <c r="BH2082" s="322"/>
      <c r="BI2082" s="322"/>
      <c r="BJ2082" s="322"/>
      <c r="BK2082" s="14">
        <f t="shared" si="1257"/>
        <v>0</v>
      </c>
      <c r="BL2082" s="322"/>
      <c r="BM2082" s="322"/>
      <c r="BN2082" s="322"/>
      <c r="BO2082" s="322"/>
      <c r="BP2082" s="322"/>
      <c r="BQ2082" s="322"/>
      <c r="BR2082" s="322"/>
      <c r="BS2082" s="322"/>
      <c r="BT2082" s="322"/>
      <c r="BU2082" s="322"/>
      <c r="BV2082" s="322"/>
      <c r="BW2082" s="322"/>
      <c r="BX2082" s="322"/>
      <c r="BY2082" s="322"/>
      <c r="BZ2082" s="322"/>
      <c r="CA2082" s="322"/>
      <c r="CB2082" s="322"/>
      <c r="CC2082" s="322"/>
      <c r="CD2082" s="322"/>
      <c r="CE2082" s="322"/>
      <c r="CF2082" s="322"/>
      <c r="CG2082" s="322"/>
      <c r="CH2082" s="322"/>
      <c r="CI2082" s="322"/>
      <c r="CM2082" s="1139">
        <f t="shared" si="1243"/>
        <v>0</v>
      </c>
      <c r="CN2082" s="1139"/>
      <c r="CP2082" s="923">
        <f t="shared" si="1242"/>
        <v>0</v>
      </c>
      <c r="CZ2082" s="330"/>
    </row>
    <row r="2083" spans="1:104" ht="15" customHeight="1" x14ac:dyDescent="0.25">
      <c r="A2083" s="684">
        <f>MAX($A$6:A2082)+1</f>
        <v>2083</v>
      </c>
      <c r="B2083" s="1060">
        <f t="shared" si="1253"/>
        <v>80</v>
      </c>
      <c r="C2083" s="11" t="s">
        <v>2358</v>
      </c>
      <c r="D2083" s="11" t="s">
        <v>2360</v>
      </c>
      <c r="E2083" s="7" t="s">
        <v>286</v>
      </c>
      <c r="F2083" s="15"/>
      <c r="G2083" s="965"/>
      <c r="H2083" s="1450"/>
      <c r="I2083" s="1290"/>
      <c r="J2083" s="1262" t="s">
        <v>733</v>
      </c>
      <c r="K2083" s="1514">
        <f>'alb A - Losses &amp; special pay'!E116</f>
        <v>0</v>
      </c>
      <c r="L2083" s="1513">
        <v>0</v>
      </c>
      <c r="M2083" s="263"/>
      <c r="N2083" s="273">
        <f t="shared" si="1254"/>
        <v>0</v>
      </c>
      <c r="O2083" s="14"/>
      <c r="P2083" s="14"/>
      <c r="Q2083" s="14"/>
      <c r="R2083" s="14"/>
      <c r="S2083" s="14"/>
      <c r="T2083" s="273">
        <f t="shared" si="1255"/>
        <v>0</v>
      </c>
      <c r="U2083" s="14"/>
      <c r="V2083" s="14"/>
      <c r="W2083" s="251">
        <f t="shared" si="1256"/>
        <v>0</v>
      </c>
      <c r="X2083" s="1464"/>
      <c r="Y2083" s="1290"/>
      <c r="Z2083" s="1290"/>
      <c r="AA2083" s="1290"/>
      <c r="AB2083" s="1290"/>
      <c r="AC2083" s="1290"/>
      <c r="AD2083" s="1290"/>
      <c r="AE2083" s="1290"/>
      <c r="AF2083" s="1290"/>
      <c r="AG2083" s="1290"/>
      <c r="AH2083" s="1290"/>
      <c r="AI2083" s="1290"/>
      <c r="AJ2083" s="1290"/>
      <c r="AK2083" s="1290"/>
      <c r="AL2083" s="1290"/>
      <c r="AM2083" s="1290"/>
      <c r="AN2083" s="1290"/>
      <c r="AO2083" s="1290"/>
      <c r="AP2083" s="1290"/>
      <c r="AQ2083" s="1290"/>
      <c r="AR2083" s="1290"/>
      <c r="AS2083" s="1290"/>
      <c r="AT2083" s="1290"/>
      <c r="AU2083" s="1290"/>
      <c r="AV2083" s="1290"/>
      <c r="AX2083" s="1290"/>
      <c r="AY2083" s="1290"/>
      <c r="BA2083" s="1290"/>
      <c r="BB2083" s="1290"/>
      <c r="BC2083" s="1290"/>
      <c r="BD2083" s="1290"/>
      <c r="BE2083" s="322"/>
      <c r="BF2083" s="322"/>
      <c r="BG2083" s="322"/>
      <c r="BH2083" s="322"/>
      <c r="BI2083" s="322"/>
      <c r="BJ2083" s="322"/>
      <c r="BK2083" s="14">
        <f t="shared" si="1257"/>
        <v>0</v>
      </c>
      <c r="BL2083" s="322"/>
      <c r="BM2083" s="322"/>
      <c r="BN2083" s="322"/>
      <c r="BO2083" s="322"/>
      <c r="BP2083" s="322"/>
      <c r="BQ2083" s="322"/>
      <c r="BR2083" s="322"/>
      <c r="BS2083" s="322"/>
      <c r="BT2083" s="322"/>
      <c r="BU2083" s="322"/>
      <c r="BV2083" s="322"/>
      <c r="BW2083" s="322"/>
      <c r="BX2083" s="322"/>
      <c r="BY2083" s="322"/>
      <c r="BZ2083" s="322"/>
      <c r="CA2083" s="322"/>
      <c r="CB2083" s="322"/>
      <c r="CC2083" s="322"/>
      <c r="CD2083" s="322"/>
      <c r="CE2083" s="322"/>
      <c r="CF2083" s="322"/>
      <c r="CG2083" s="322"/>
      <c r="CH2083" s="322"/>
      <c r="CI2083" s="322"/>
      <c r="CM2083" s="1139">
        <f t="shared" si="1243"/>
        <v>0</v>
      </c>
      <c r="CN2083" s="1139"/>
      <c r="CP2083" s="923">
        <f t="shared" si="1242"/>
        <v>0</v>
      </c>
      <c r="CZ2083" s="330"/>
    </row>
    <row r="2084" spans="1:104" ht="15" customHeight="1" x14ac:dyDescent="0.25">
      <c r="A2084" s="684">
        <f>MAX($A$6:A2083)+1</f>
        <v>2084</v>
      </c>
      <c r="B2084" s="1060">
        <f t="shared" si="1253"/>
        <v>80</v>
      </c>
      <c r="C2084" s="11" t="s">
        <v>2358</v>
      </c>
      <c r="D2084" s="11" t="s">
        <v>2360</v>
      </c>
      <c r="E2084" s="7" t="s">
        <v>286</v>
      </c>
      <c r="F2084" s="15"/>
      <c r="G2084" s="965"/>
      <c r="H2084" s="1450"/>
      <c r="I2084" s="1290"/>
      <c r="J2084" s="1262" t="s">
        <v>733</v>
      </c>
      <c r="K2084" s="1514">
        <f>'alb A - Losses &amp; special pay'!E117</f>
        <v>0</v>
      </c>
      <c r="L2084" s="1513">
        <v>0</v>
      </c>
      <c r="M2084" s="263"/>
      <c r="N2084" s="273">
        <f t="shared" si="1254"/>
        <v>0</v>
      </c>
      <c r="O2084" s="14"/>
      <c r="P2084" s="14"/>
      <c r="Q2084" s="14"/>
      <c r="R2084" s="14"/>
      <c r="S2084" s="14"/>
      <c r="T2084" s="273">
        <f t="shared" si="1255"/>
        <v>0</v>
      </c>
      <c r="U2084" s="14"/>
      <c r="V2084" s="14"/>
      <c r="W2084" s="251">
        <f t="shared" si="1256"/>
        <v>0</v>
      </c>
      <c r="X2084" s="1464"/>
      <c r="Y2084" s="1290"/>
      <c r="Z2084" s="1290"/>
      <c r="AA2084" s="1290"/>
      <c r="AB2084" s="1290"/>
      <c r="AC2084" s="1290"/>
      <c r="AD2084" s="1290"/>
      <c r="AE2084" s="1290"/>
      <c r="AF2084" s="1290"/>
      <c r="AG2084" s="1290"/>
      <c r="AH2084" s="1290"/>
      <c r="AI2084" s="1290"/>
      <c r="AJ2084" s="1290"/>
      <c r="AK2084" s="1290"/>
      <c r="AL2084" s="1290"/>
      <c r="AM2084" s="1290"/>
      <c r="AN2084" s="1290"/>
      <c r="AO2084" s="1290"/>
      <c r="AP2084" s="1290"/>
      <c r="AQ2084" s="1290"/>
      <c r="AR2084" s="1290"/>
      <c r="AS2084" s="1290"/>
      <c r="AT2084" s="1290"/>
      <c r="AU2084" s="1290"/>
      <c r="AV2084" s="1290"/>
      <c r="AX2084" s="1290"/>
      <c r="AY2084" s="1290"/>
      <c r="BA2084" s="1290"/>
      <c r="BB2084" s="1290"/>
      <c r="BC2084" s="1290"/>
      <c r="BD2084" s="1290"/>
      <c r="BE2084" s="322"/>
      <c r="BF2084" s="322"/>
      <c r="BG2084" s="322"/>
      <c r="BH2084" s="322"/>
      <c r="BI2084" s="322"/>
      <c r="BJ2084" s="322"/>
      <c r="BK2084" s="14">
        <f t="shared" si="1257"/>
        <v>0</v>
      </c>
      <c r="BL2084" s="1784"/>
      <c r="BM2084" s="700"/>
      <c r="BN2084" s="700"/>
      <c r="BO2084" s="700"/>
      <c r="BP2084" s="322"/>
      <c r="BQ2084" s="700"/>
      <c r="BR2084" s="700"/>
      <c r="BS2084" s="322"/>
      <c r="BT2084" s="700"/>
      <c r="BU2084" s="700"/>
      <c r="BV2084" s="700"/>
      <c r="BW2084" s="700"/>
      <c r="BX2084" s="700"/>
      <c r="BY2084" s="700"/>
      <c r="BZ2084" s="700"/>
      <c r="CA2084" s="700"/>
      <c r="CB2084" s="700"/>
      <c r="CC2084" s="322"/>
      <c r="CD2084" s="322"/>
      <c r="CE2084" s="322"/>
      <c r="CF2084" s="322"/>
      <c r="CG2084" s="322"/>
      <c r="CH2084" s="322"/>
      <c r="CI2084" s="700"/>
      <c r="CM2084" s="1139">
        <f t="shared" si="1243"/>
        <v>0</v>
      </c>
      <c r="CN2084" s="1139"/>
      <c r="CP2084" s="923">
        <f t="shared" si="1242"/>
        <v>0</v>
      </c>
      <c r="CZ2084" s="330"/>
    </row>
    <row r="2085" spans="1:104" ht="15" customHeight="1" x14ac:dyDescent="0.25">
      <c r="A2085" s="684">
        <f>MAX($A$6:A2084)+1</f>
        <v>2085</v>
      </c>
      <c r="B2085" s="1060">
        <f t="shared" si="1253"/>
        <v>80</v>
      </c>
      <c r="C2085" s="11" t="s">
        <v>2358</v>
      </c>
      <c r="D2085" s="11" t="s">
        <v>2360</v>
      </c>
      <c r="E2085" s="7" t="s">
        <v>286</v>
      </c>
      <c r="F2085" s="15"/>
      <c r="G2085" s="965"/>
      <c r="H2085" s="1450"/>
      <c r="I2085" s="1290"/>
      <c r="J2085" s="1262" t="s">
        <v>733</v>
      </c>
      <c r="K2085" s="1514">
        <f>'alb A - Losses &amp; special pay'!E118</f>
        <v>0</v>
      </c>
      <c r="L2085" s="1513">
        <v>0</v>
      </c>
      <c r="M2085" s="263"/>
      <c r="N2085" s="273">
        <f t="shared" si="1254"/>
        <v>0</v>
      </c>
      <c r="O2085" s="14"/>
      <c r="P2085" s="14"/>
      <c r="Q2085" s="14"/>
      <c r="R2085" s="14"/>
      <c r="S2085" s="14"/>
      <c r="T2085" s="273">
        <f t="shared" si="1255"/>
        <v>0</v>
      </c>
      <c r="U2085" s="14"/>
      <c r="V2085" s="14"/>
      <c r="W2085" s="251">
        <f t="shared" si="1256"/>
        <v>0</v>
      </c>
      <c r="X2085" s="1464"/>
      <c r="Y2085" s="1290"/>
      <c r="Z2085" s="1290"/>
      <c r="AA2085" s="1290"/>
      <c r="AB2085" s="1290"/>
      <c r="AC2085" s="1290"/>
      <c r="AD2085" s="1290"/>
      <c r="AE2085" s="1290"/>
      <c r="AF2085" s="1290"/>
      <c r="AG2085" s="1290"/>
      <c r="AH2085" s="1290"/>
      <c r="AI2085" s="1290"/>
      <c r="AJ2085" s="1290"/>
      <c r="AK2085" s="1290"/>
      <c r="AL2085" s="1290"/>
      <c r="AM2085" s="1290"/>
      <c r="AN2085" s="1290"/>
      <c r="AO2085" s="1290"/>
      <c r="AP2085" s="1290"/>
      <c r="AQ2085" s="1290"/>
      <c r="AR2085" s="1290"/>
      <c r="AS2085" s="1290"/>
      <c r="AT2085" s="1290"/>
      <c r="AU2085" s="1290"/>
      <c r="AV2085" s="1290"/>
      <c r="AX2085" s="1290"/>
      <c r="AY2085" s="1290"/>
      <c r="BA2085" s="1290"/>
      <c r="BB2085" s="1290"/>
      <c r="BC2085" s="1290"/>
      <c r="BD2085" s="1290"/>
      <c r="BE2085" s="322"/>
      <c r="BF2085" s="322"/>
      <c r="BG2085" s="322"/>
      <c r="BH2085" s="322"/>
      <c r="BI2085" s="322"/>
      <c r="BJ2085" s="322"/>
      <c r="BK2085" s="14">
        <f t="shared" si="1257"/>
        <v>0</v>
      </c>
      <c r="BL2085" s="317"/>
      <c r="BM2085" s="317"/>
      <c r="BN2085" s="317"/>
      <c r="BO2085" s="317"/>
      <c r="BP2085" s="322"/>
      <c r="BQ2085" s="317"/>
      <c r="BR2085" s="317"/>
      <c r="BS2085" s="322"/>
      <c r="BT2085" s="317"/>
      <c r="BU2085" s="317"/>
      <c r="BV2085" s="317"/>
      <c r="BW2085" s="317"/>
      <c r="BX2085" s="317"/>
      <c r="BY2085" s="317"/>
      <c r="BZ2085" s="317"/>
      <c r="CA2085" s="317"/>
      <c r="CB2085" s="317"/>
      <c r="CC2085" s="322"/>
      <c r="CD2085" s="322"/>
      <c r="CE2085" s="322"/>
      <c r="CF2085" s="322"/>
      <c r="CG2085" s="322"/>
      <c r="CH2085" s="322"/>
      <c r="CI2085" s="317"/>
      <c r="CM2085" s="1139">
        <f t="shared" si="1243"/>
        <v>0</v>
      </c>
      <c r="CN2085" s="1139"/>
      <c r="CP2085" s="923">
        <f t="shared" si="1242"/>
        <v>0</v>
      </c>
      <c r="CZ2085" s="330"/>
    </row>
    <row r="2086" spans="1:104" ht="18.75" customHeight="1" x14ac:dyDescent="0.25">
      <c r="A2086" s="684">
        <f>MAX($A$6:A2085)+1</f>
        <v>2086</v>
      </c>
      <c r="B2086" s="1295">
        <f>SUMIF(Update!$B$33:$B$106,C2086,Update!$A$33:$A$106)</f>
        <v>90</v>
      </c>
      <c r="C2086" s="696" t="s">
        <v>734</v>
      </c>
      <c r="D2086" s="695"/>
      <c r="E2086" s="696" t="str">
        <f>B2086&amp;" "&amp;C2086</f>
        <v>90 Prompt Payment</v>
      </c>
      <c r="F2086" s="697"/>
      <c r="G2086" s="697"/>
      <c r="H2086" s="695"/>
      <c r="I2086" s="695"/>
      <c r="J2086" s="698" t="s">
        <v>286</v>
      </c>
      <c r="K2086" s="699"/>
      <c r="L2086" s="699"/>
      <c r="M2086" s="695"/>
      <c r="N2086" s="713">
        <f>ROUND(SUM(O2086:AU2086)-T2086,0)</f>
        <v>0</v>
      </c>
      <c r="O2086" s="695"/>
      <c r="P2086" s="695"/>
      <c r="Q2086" s="695"/>
      <c r="R2086" s="695"/>
      <c r="S2086" s="695">
        <f t="shared" ref="S2086:S2097" si="1258">-IF(ISNUMBER(BD2086),BD2086,0)</f>
        <v>0</v>
      </c>
      <c r="T2086" s="713">
        <f t="shared" ref="T2086:T2097" si="1259">ROUND(SUM(U2086:Y2086),0)</f>
        <v>0</v>
      </c>
      <c r="U2086" s="695"/>
      <c r="V2086" s="695"/>
      <c r="W2086" s="695"/>
      <c r="X2086" s="695"/>
      <c r="Y2086" s="695"/>
      <c r="Z2086" s="695"/>
      <c r="AA2086" s="695"/>
      <c r="AB2086" s="695"/>
      <c r="AC2086" s="695"/>
      <c r="AD2086" s="695"/>
      <c r="AE2086" s="695"/>
      <c r="AF2086" s="695"/>
      <c r="AG2086" s="695"/>
      <c r="AH2086" s="695"/>
      <c r="AI2086" s="695"/>
      <c r="AJ2086" s="695"/>
      <c r="AK2086" s="695"/>
      <c r="AL2086" s="695"/>
      <c r="AM2086" s="695"/>
      <c r="AN2086" s="695"/>
      <c r="AO2086" s="695"/>
      <c r="AP2086" s="695"/>
      <c r="AQ2086" s="695"/>
      <c r="AR2086" s="695"/>
      <c r="AS2086" s="695"/>
      <c r="AT2086" s="695"/>
      <c r="AU2086" s="695"/>
      <c r="AV2086" s="695"/>
      <c r="AW2086" s="700"/>
      <c r="AX2086" s="700"/>
      <c r="AY2086" s="700"/>
      <c r="AZ2086" s="700"/>
      <c r="BA2086" s="700"/>
      <c r="BB2086" s="700"/>
      <c r="BC2086" s="700"/>
      <c r="BD2086" s="721">
        <f t="shared" ref="BD2086:BD2097" si="1260">ROUND(SUM(BE2086:BK2086),0)</f>
        <v>0</v>
      </c>
      <c r="BE2086" s="700"/>
      <c r="BF2086" s="700"/>
      <c r="BG2086" s="700"/>
      <c r="BH2086" s="700"/>
      <c r="BI2086" s="700"/>
      <c r="BJ2086" s="700"/>
      <c r="BK2086" s="721">
        <f t="shared" si="1239"/>
        <v>0</v>
      </c>
      <c r="BL2086" s="317"/>
      <c r="BM2086" s="317"/>
      <c r="BN2086" s="317"/>
      <c r="BO2086" s="317"/>
      <c r="BP2086" s="700"/>
      <c r="BQ2086" s="317"/>
      <c r="BR2086" s="317"/>
      <c r="BS2086" s="700"/>
      <c r="BT2086" s="317"/>
      <c r="BU2086" s="317"/>
      <c r="BV2086" s="317"/>
      <c r="BW2086" s="317"/>
      <c r="BX2086" s="317"/>
      <c r="BY2086" s="317"/>
      <c r="BZ2086" s="317"/>
      <c r="CA2086" s="317"/>
      <c r="CB2086" s="317"/>
      <c r="CC2086" s="700"/>
      <c r="CD2086" s="700"/>
      <c r="CE2086" s="700"/>
      <c r="CF2086" s="700"/>
      <c r="CG2086" s="700"/>
      <c r="CH2086" s="700"/>
      <c r="CI2086" s="317"/>
      <c r="CJ2086" s="700"/>
      <c r="CK2086" s="700"/>
      <c r="CM2086" s="700">
        <f t="shared" si="1243"/>
        <v>0</v>
      </c>
      <c r="CN2086" s="700">
        <v>0</v>
      </c>
      <c r="CP2086" s="923">
        <f t="shared" si="1242"/>
        <v>0</v>
      </c>
      <c r="CZ2086" s="330"/>
    </row>
    <row r="2087" spans="1:104" ht="15" customHeight="1" x14ac:dyDescent="0.25">
      <c r="A2087" s="684">
        <f>MAX($A$6:A2086)+1</f>
        <v>2087</v>
      </c>
      <c r="B2087" s="1060">
        <f t="shared" ref="B2087:B2097" si="1261">B2086</f>
        <v>90</v>
      </c>
      <c r="C2087" s="11" t="str">
        <f t="shared" ref="C2087:C2094" si="1262">C2086</f>
        <v>Prompt Payment</v>
      </c>
      <c r="D2087" s="11" t="s">
        <v>737</v>
      </c>
      <c r="E2087" s="7" t="s">
        <v>738</v>
      </c>
      <c r="F2087" s="7"/>
      <c r="G2087" s="26"/>
      <c r="H2087" s="6"/>
      <c r="I2087" s="6"/>
      <c r="J2087" s="1257" t="s">
        <v>785</v>
      </c>
      <c r="K2087" s="266"/>
      <c r="L2087" s="266"/>
      <c r="M2087" s="2"/>
      <c r="N2087" s="273">
        <f t="shared" ref="N2087:N2097" si="1263">ROUND(SUM(O2087:AU2087)-T2087,0)</f>
        <v>0</v>
      </c>
      <c r="O2087" s="12"/>
      <c r="P2087" s="12"/>
      <c r="Q2087" s="12"/>
      <c r="R2087" s="12"/>
      <c r="S2087" s="6">
        <f t="shared" si="1258"/>
        <v>0</v>
      </c>
      <c r="T2087" s="273">
        <f t="shared" si="1259"/>
        <v>0</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X2087" s="6"/>
      <c r="AY2087" s="6">
        <f>ROUND(AX2087/1000/Update!$B$31*Update!$B$27,0)</f>
        <v>0</v>
      </c>
      <c r="BA2087" s="6"/>
      <c r="BB2087" s="6">
        <f>ROUND(BA2087/1000/Update!$B$31,0)</f>
        <v>0</v>
      </c>
      <c r="BC2087" s="6"/>
      <c r="BD2087" s="1190">
        <f t="shared" si="1260"/>
        <v>0</v>
      </c>
      <c r="BE2087" s="317"/>
      <c r="BF2087" s="317"/>
      <c r="BG2087" s="317"/>
      <c r="BH2087" s="317"/>
      <c r="BI2087" s="317"/>
      <c r="BJ2087" s="317"/>
      <c r="BK2087" s="1190">
        <f t="shared" si="1239"/>
        <v>0</v>
      </c>
      <c r="BL2087" s="317"/>
      <c r="BM2087" s="317"/>
      <c r="BN2087" s="317"/>
      <c r="BO2087" s="317"/>
      <c r="BP2087" s="317"/>
      <c r="BQ2087" s="317"/>
      <c r="BR2087" s="317"/>
      <c r="BS2087" s="317"/>
      <c r="BT2087" s="317"/>
      <c r="BU2087" s="317"/>
      <c r="BV2087" s="317"/>
      <c r="BW2087" s="317"/>
      <c r="BX2087" s="317"/>
      <c r="BY2087" s="317"/>
      <c r="BZ2087" s="317"/>
      <c r="CA2087" s="317"/>
      <c r="CB2087" s="317"/>
      <c r="CC2087" s="317"/>
      <c r="CD2087" s="317"/>
      <c r="CE2087" s="317"/>
      <c r="CF2087" s="317"/>
      <c r="CG2087" s="317"/>
      <c r="CH2087" s="317"/>
      <c r="CI2087" s="317"/>
      <c r="CM2087" s="1139">
        <f t="shared" si="1243"/>
        <v>0</v>
      </c>
      <c r="CN2087" s="1139">
        <v>0</v>
      </c>
      <c r="CP2087" s="923">
        <f t="shared" si="1242"/>
        <v>0</v>
      </c>
      <c r="CZ2087" s="330"/>
    </row>
    <row r="2088" spans="1:104" ht="15" customHeight="1" x14ac:dyDescent="0.25">
      <c r="A2088" s="684">
        <f>MAX($A$6:A2087)+1</f>
        <v>2088</v>
      </c>
      <c r="B2088" s="1060">
        <f t="shared" si="1261"/>
        <v>90</v>
      </c>
      <c r="C2088" s="11" t="str">
        <f t="shared" si="1262"/>
        <v>Prompt Payment</v>
      </c>
      <c r="D2088" s="11" t="s">
        <v>737</v>
      </c>
      <c r="E2088" s="7" t="s">
        <v>739</v>
      </c>
      <c r="F2088" s="7"/>
      <c r="G2088" s="26"/>
      <c r="H2088" s="6"/>
      <c r="I2088" s="6"/>
      <c r="J2088" s="1257" t="s">
        <v>786</v>
      </c>
      <c r="K2088" s="266"/>
      <c r="L2088" s="266"/>
      <c r="M2088" s="2"/>
      <c r="N2088" s="273">
        <f t="shared" si="1263"/>
        <v>0</v>
      </c>
      <c r="O2088" s="12"/>
      <c r="P2088" s="12"/>
      <c r="Q2088" s="12"/>
      <c r="R2088" s="12"/>
      <c r="S2088" s="6">
        <f t="shared" si="1258"/>
        <v>0</v>
      </c>
      <c r="T2088" s="273">
        <f t="shared" si="1259"/>
        <v>0</v>
      </c>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X2088" s="6"/>
      <c r="AY2088" s="6">
        <f>ROUND(AX2088/1000/Update!$B$31*Update!$B$27,0)</f>
        <v>0</v>
      </c>
      <c r="BA2088" s="6"/>
      <c r="BB2088" s="6">
        <f>ROUND(BA2088/1000/Update!$B$31,0)</f>
        <v>0</v>
      </c>
      <c r="BC2088" s="6"/>
      <c r="BD2088" s="1190">
        <f t="shared" si="1260"/>
        <v>0</v>
      </c>
      <c r="BE2088" s="317"/>
      <c r="BF2088" s="317"/>
      <c r="BG2088" s="317"/>
      <c r="BH2088" s="317"/>
      <c r="BI2088" s="317"/>
      <c r="BJ2088" s="317"/>
      <c r="BK2088" s="1190">
        <f t="shared" si="1239"/>
        <v>0</v>
      </c>
      <c r="BL2088" s="317"/>
      <c r="BM2088" s="317"/>
      <c r="BN2088" s="317"/>
      <c r="BO2088" s="317"/>
      <c r="BP2088" s="317"/>
      <c r="BQ2088" s="317"/>
      <c r="BR2088" s="317"/>
      <c r="BS2088" s="317"/>
      <c r="BT2088" s="317"/>
      <c r="BU2088" s="317"/>
      <c r="BV2088" s="317"/>
      <c r="BW2088" s="317"/>
      <c r="BX2088" s="317"/>
      <c r="BY2088" s="317"/>
      <c r="BZ2088" s="317"/>
      <c r="CA2088" s="317"/>
      <c r="CB2088" s="317"/>
      <c r="CC2088" s="317"/>
      <c r="CD2088" s="317"/>
      <c r="CE2088" s="317"/>
      <c r="CF2088" s="317"/>
      <c r="CG2088" s="317"/>
      <c r="CH2088" s="317"/>
      <c r="CI2088" s="317"/>
      <c r="CM2088" s="1139">
        <f t="shared" si="1243"/>
        <v>0</v>
      </c>
      <c r="CN2088" s="1139">
        <v>0</v>
      </c>
      <c r="CP2088" s="923">
        <f t="shared" si="1242"/>
        <v>0</v>
      </c>
      <c r="CZ2088" s="330"/>
    </row>
    <row r="2089" spans="1:104" ht="15" customHeight="1" x14ac:dyDescent="0.25">
      <c r="A2089" s="684">
        <f>MAX($A$6:A2088)+1</f>
        <v>2089</v>
      </c>
      <c r="B2089" s="1060">
        <f t="shared" si="1261"/>
        <v>90</v>
      </c>
      <c r="C2089" s="11" t="str">
        <f t="shared" si="1262"/>
        <v>Prompt Payment</v>
      </c>
      <c r="D2089" s="11" t="s">
        <v>737</v>
      </c>
      <c r="E2089" s="7" t="s">
        <v>740</v>
      </c>
      <c r="F2089" s="7"/>
      <c r="G2089" s="26"/>
      <c r="H2089" s="6"/>
      <c r="I2089" s="6"/>
      <c r="J2089" s="1257" t="s">
        <v>735</v>
      </c>
      <c r="K2089" s="266"/>
      <c r="L2089" s="266"/>
      <c r="M2089" s="2"/>
      <c r="N2089" s="273">
        <f t="shared" si="1263"/>
        <v>0</v>
      </c>
      <c r="O2089" s="12"/>
      <c r="P2089" s="12"/>
      <c r="Q2089" s="12"/>
      <c r="R2089" s="12"/>
      <c r="S2089" s="6">
        <f t="shared" si="1258"/>
        <v>0</v>
      </c>
      <c r="T2089" s="273">
        <f t="shared" si="1259"/>
        <v>0</v>
      </c>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X2089" s="6"/>
      <c r="AY2089" s="6">
        <f>ROUND(AX2089/1000/Update!$B$31*Update!$B$27,0)</f>
        <v>0</v>
      </c>
      <c r="BA2089" s="6"/>
      <c r="BB2089" s="6">
        <f>ROUND(BA2089/1000/Update!$B$31,0)</f>
        <v>0</v>
      </c>
      <c r="BC2089" s="6"/>
      <c r="BD2089" s="1190">
        <f t="shared" si="1260"/>
        <v>0</v>
      </c>
      <c r="BE2089" s="317"/>
      <c r="BF2089" s="317"/>
      <c r="BG2089" s="317"/>
      <c r="BH2089" s="317"/>
      <c r="BI2089" s="317"/>
      <c r="BJ2089" s="317"/>
      <c r="BK2089" s="1190">
        <f t="shared" si="1239"/>
        <v>0</v>
      </c>
      <c r="BL2089" s="317"/>
      <c r="BM2089" s="317"/>
      <c r="BN2089" s="317"/>
      <c r="BO2089" s="317"/>
      <c r="BP2089" s="317"/>
      <c r="BQ2089" s="317"/>
      <c r="BR2089" s="317"/>
      <c r="BS2089" s="317"/>
      <c r="BT2089" s="317"/>
      <c r="BU2089" s="317"/>
      <c r="BV2089" s="317"/>
      <c r="BW2089" s="317"/>
      <c r="BX2089" s="317"/>
      <c r="BY2089" s="317"/>
      <c r="BZ2089" s="317"/>
      <c r="CA2089" s="317"/>
      <c r="CB2089" s="317"/>
      <c r="CC2089" s="317"/>
      <c r="CD2089" s="317"/>
      <c r="CE2089" s="317"/>
      <c r="CF2089" s="317"/>
      <c r="CG2089" s="317"/>
      <c r="CH2089" s="317"/>
      <c r="CI2089" s="317"/>
      <c r="CM2089" s="1139">
        <f t="shared" si="1243"/>
        <v>0</v>
      </c>
      <c r="CN2089" s="1139">
        <v>0</v>
      </c>
      <c r="CP2089" s="923">
        <f t="shared" si="1242"/>
        <v>0</v>
      </c>
      <c r="CZ2089" s="330"/>
    </row>
    <row r="2090" spans="1:104" ht="15" customHeight="1" x14ac:dyDescent="0.25">
      <c r="A2090" s="684">
        <f>MAX($A$6:A2089)+1</f>
        <v>2090</v>
      </c>
      <c r="B2090" s="1060">
        <f t="shared" si="1261"/>
        <v>90</v>
      </c>
      <c r="C2090" s="11" t="str">
        <f>C2089</f>
        <v>Prompt Payment</v>
      </c>
      <c r="D2090" s="11" t="s">
        <v>737</v>
      </c>
      <c r="E2090" s="7" t="s">
        <v>740</v>
      </c>
      <c r="F2090" s="7"/>
      <c r="G2090" s="26"/>
      <c r="H2090" s="6"/>
      <c r="I2090" s="6"/>
      <c r="J2090" s="1257" t="s">
        <v>787</v>
      </c>
      <c r="K2090" s="266"/>
      <c r="L2090" s="266"/>
      <c r="M2090" s="2"/>
      <c r="N2090" s="273">
        <f t="shared" si="1263"/>
        <v>0</v>
      </c>
      <c r="O2090" s="12"/>
      <c r="P2090" s="12"/>
      <c r="Q2090" s="12"/>
      <c r="R2090" s="12"/>
      <c r="S2090" s="6">
        <f t="shared" si="1258"/>
        <v>0</v>
      </c>
      <c r="T2090" s="273">
        <f t="shared" si="1259"/>
        <v>0</v>
      </c>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X2090" s="6"/>
      <c r="AY2090" s="6">
        <f>ROUND(AX2090/1000/Update!$B$31*Update!$B$27,0)</f>
        <v>0</v>
      </c>
      <c r="BA2090" s="6"/>
      <c r="BB2090" s="6">
        <f>ROUND(BA2090/1000/Update!$B$31,0)</f>
        <v>0</v>
      </c>
      <c r="BC2090" s="6"/>
      <c r="BD2090" s="1190">
        <f t="shared" si="1260"/>
        <v>0</v>
      </c>
      <c r="BE2090" s="317"/>
      <c r="BF2090" s="317"/>
      <c r="BG2090" s="317"/>
      <c r="BH2090" s="317"/>
      <c r="BI2090" s="317"/>
      <c r="BJ2090" s="317"/>
      <c r="BK2090" s="1190">
        <f t="shared" si="1239"/>
        <v>0</v>
      </c>
      <c r="BL2090" s="317"/>
      <c r="BM2090" s="317"/>
      <c r="BN2090" s="317"/>
      <c r="BO2090" s="317"/>
      <c r="BP2090" s="317"/>
      <c r="BQ2090" s="317"/>
      <c r="BR2090" s="317"/>
      <c r="BS2090" s="317"/>
      <c r="BT2090" s="317"/>
      <c r="BU2090" s="317"/>
      <c r="BV2090" s="317"/>
      <c r="BW2090" s="317"/>
      <c r="BX2090" s="317"/>
      <c r="BY2090" s="317"/>
      <c r="BZ2090" s="317"/>
      <c r="CA2090" s="317"/>
      <c r="CB2090" s="317"/>
      <c r="CC2090" s="317"/>
      <c r="CD2090" s="317"/>
      <c r="CE2090" s="317"/>
      <c r="CF2090" s="317"/>
      <c r="CG2090" s="317"/>
      <c r="CH2090" s="317"/>
      <c r="CI2090" s="317"/>
      <c r="CM2090" s="1139">
        <f t="shared" si="1243"/>
        <v>0</v>
      </c>
      <c r="CN2090" s="1139">
        <v>0</v>
      </c>
      <c r="CP2090" s="923">
        <f t="shared" si="1242"/>
        <v>0</v>
      </c>
      <c r="CZ2090" s="330"/>
    </row>
    <row r="2091" spans="1:104" ht="15" customHeight="1" x14ac:dyDescent="0.25">
      <c r="A2091" s="684">
        <f>MAX($A$6:A2090)+1</f>
        <v>2091</v>
      </c>
      <c r="B2091" s="1060">
        <f t="shared" si="1261"/>
        <v>90</v>
      </c>
      <c r="C2091" s="11" t="str">
        <f>C2089</f>
        <v>Prompt Payment</v>
      </c>
      <c r="D2091" s="11" t="s">
        <v>736</v>
      </c>
      <c r="E2091" s="7" t="s">
        <v>738</v>
      </c>
      <c r="F2091" s="7"/>
      <c r="G2091" s="26"/>
      <c r="H2091" s="6"/>
      <c r="I2091" s="6"/>
      <c r="J2091" s="1257" t="s">
        <v>785</v>
      </c>
      <c r="K2091" s="266"/>
      <c r="L2091" s="266"/>
      <c r="M2091" s="2"/>
      <c r="N2091" s="273">
        <f t="shared" si="1263"/>
        <v>0</v>
      </c>
      <c r="O2091" s="12"/>
      <c r="P2091" s="12"/>
      <c r="Q2091" s="12"/>
      <c r="R2091" s="12"/>
      <c r="S2091" s="6">
        <f t="shared" si="1258"/>
        <v>0</v>
      </c>
      <c r="T2091" s="273">
        <f t="shared" si="1259"/>
        <v>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X2091" s="6"/>
      <c r="AY2091" s="6">
        <f>ROUND(AX2091/1000/Update!$B$31*Update!$B$27,0)</f>
        <v>0</v>
      </c>
      <c r="BA2091" s="6"/>
      <c r="BB2091" s="6">
        <f>ROUND(BA2091/1000/Update!$B$31,0)</f>
        <v>0</v>
      </c>
      <c r="BC2091" s="6"/>
      <c r="BD2091" s="1190">
        <f t="shared" si="1260"/>
        <v>0</v>
      </c>
      <c r="BE2091" s="317"/>
      <c r="BF2091" s="317"/>
      <c r="BG2091" s="317"/>
      <c r="BH2091" s="317"/>
      <c r="BI2091" s="317"/>
      <c r="BJ2091" s="317"/>
      <c r="BK2091" s="1190">
        <f t="shared" si="1239"/>
        <v>0</v>
      </c>
      <c r="BL2091" s="317"/>
      <c r="BM2091" s="317"/>
      <c r="BN2091" s="317"/>
      <c r="BO2091" s="317"/>
      <c r="BP2091" s="317"/>
      <c r="BQ2091" s="317"/>
      <c r="BR2091" s="317"/>
      <c r="BS2091" s="317"/>
      <c r="BT2091" s="317"/>
      <c r="BU2091" s="317"/>
      <c r="BV2091" s="317"/>
      <c r="BW2091" s="317"/>
      <c r="BX2091" s="317"/>
      <c r="BY2091" s="317"/>
      <c r="BZ2091" s="317"/>
      <c r="CA2091" s="317"/>
      <c r="CB2091" s="317"/>
      <c r="CC2091" s="317"/>
      <c r="CD2091" s="317"/>
      <c r="CE2091" s="317"/>
      <c r="CF2091" s="317"/>
      <c r="CG2091" s="317"/>
      <c r="CH2091" s="317"/>
      <c r="CI2091" s="317"/>
      <c r="CM2091" s="1139">
        <f t="shared" si="1243"/>
        <v>0</v>
      </c>
      <c r="CN2091" s="1139">
        <v>0</v>
      </c>
      <c r="CP2091" s="923">
        <f t="shared" si="1242"/>
        <v>0</v>
      </c>
      <c r="CZ2091" s="330"/>
    </row>
    <row r="2092" spans="1:104" ht="15" customHeight="1" x14ac:dyDescent="0.25">
      <c r="A2092" s="684">
        <f>MAX($A$6:A2091)+1</f>
        <v>2092</v>
      </c>
      <c r="B2092" s="1060">
        <f t="shared" si="1261"/>
        <v>90</v>
      </c>
      <c r="C2092" s="11" t="str">
        <f t="shared" si="1262"/>
        <v>Prompt Payment</v>
      </c>
      <c r="D2092" s="11" t="s">
        <v>736</v>
      </c>
      <c r="E2092" s="7" t="s">
        <v>739</v>
      </c>
      <c r="F2092" s="7"/>
      <c r="G2092" s="26"/>
      <c r="H2092" s="6"/>
      <c r="I2092" s="6"/>
      <c r="J2092" s="1257" t="s">
        <v>786</v>
      </c>
      <c r="K2092" s="266"/>
      <c r="L2092" s="266"/>
      <c r="M2092" s="2"/>
      <c r="N2092" s="273">
        <f t="shared" si="1263"/>
        <v>0</v>
      </c>
      <c r="O2092" s="12"/>
      <c r="P2092" s="12"/>
      <c r="Q2092" s="12"/>
      <c r="R2092" s="12"/>
      <c r="S2092" s="6">
        <f t="shared" si="1258"/>
        <v>0</v>
      </c>
      <c r="T2092" s="273">
        <f t="shared" si="1259"/>
        <v>0</v>
      </c>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X2092" s="6"/>
      <c r="AY2092" s="6">
        <f>ROUND(AX2092/1000/Update!$B$31*Update!$B$27,0)</f>
        <v>0</v>
      </c>
      <c r="BA2092" s="6"/>
      <c r="BB2092" s="6">
        <f>ROUND(BA2092/1000/Update!$B$31,0)</f>
        <v>0</v>
      </c>
      <c r="BC2092" s="6"/>
      <c r="BD2092" s="1190">
        <f t="shared" si="1260"/>
        <v>0</v>
      </c>
      <c r="BE2092" s="317"/>
      <c r="BF2092" s="317"/>
      <c r="BG2092" s="317"/>
      <c r="BH2092" s="317"/>
      <c r="BI2092" s="317"/>
      <c r="BJ2092" s="317"/>
      <c r="BK2092" s="1190">
        <f t="shared" si="1239"/>
        <v>0</v>
      </c>
      <c r="BL2092" s="317"/>
      <c r="BM2092" s="317"/>
      <c r="BN2092" s="317"/>
      <c r="BO2092" s="317"/>
      <c r="BP2092" s="317"/>
      <c r="BQ2092" s="317"/>
      <c r="BR2092" s="317"/>
      <c r="BS2092" s="317"/>
      <c r="BT2092" s="317"/>
      <c r="BU2092" s="317"/>
      <c r="BV2092" s="317"/>
      <c r="BW2092" s="317"/>
      <c r="BX2092" s="317"/>
      <c r="BY2092" s="317"/>
      <c r="BZ2092" s="317"/>
      <c r="CA2092" s="317"/>
      <c r="CB2092" s="317"/>
      <c r="CC2092" s="317"/>
      <c r="CD2092" s="317"/>
      <c r="CE2092" s="317"/>
      <c r="CF2092" s="317"/>
      <c r="CG2092" s="317"/>
      <c r="CH2092" s="317"/>
      <c r="CI2092" s="317"/>
      <c r="CM2092" s="1139">
        <f t="shared" si="1243"/>
        <v>0</v>
      </c>
      <c r="CN2092" s="1139">
        <v>0</v>
      </c>
      <c r="CP2092" s="923">
        <f t="shared" si="1242"/>
        <v>0</v>
      </c>
      <c r="CZ2092" s="330"/>
    </row>
    <row r="2093" spans="1:104" ht="15" customHeight="1" x14ac:dyDescent="0.25">
      <c r="A2093" s="684">
        <f>MAX($A$6:A2092)+1</f>
        <v>2093</v>
      </c>
      <c r="B2093" s="1060">
        <f t="shared" si="1261"/>
        <v>90</v>
      </c>
      <c r="C2093" s="11" t="str">
        <f t="shared" si="1262"/>
        <v>Prompt Payment</v>
      </c>
      <c r="D2093" s="11" t="s">
        <v>736</v>
      </c>
      <c r="E2093" s="7" t="s">
        <v>740</v>
      </c>
      <c r="F2093" s="7"/>
      <c r="G2093" s="26"/>
      <c r="H2093" s="6"/>
      <c r="I2093" s="6"/>
      <c r="J2093" s="1257" t="s">
        <v>735</v>
      </c>
      <c r="K2093" s="266"/>
      <c r="L2093" s="266"/>
      <c r="M2093" s="2"/>
      <c r="N2093" s="273">
        <f t="shared" si="1263"/>
        <v>0</v>
      </c>
      <c r="O2093" s="12"/>
      <c r="P2093" s="12"/>
      <c r="Q2093" s="12"/>
      <c r="R2093" s="12"/>
      <c r="S2093" s="6">
        <f t="shared" si="1258"/>
        <v>0</v>
      </c>
      <c r="T2093" s="273">
        <f t="shared" si="1259"/>
        <v>0</v>
      </c>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X2093" s="6"/>
      <c r="AY2093" s="6">
        <f>ROUND(AX2093/1000/Update!$B$31*Update!$B$27,0)</f>
        <v>0</v>
      </c>
      <c r="BA2093" s="6"/>
      <c r="BB2093" s="6">
        <f>ROUND(BA2093/1000/Update!$B$31,0)</f>
        <v>0</v>
      </c>
      <c r="BC2093" s="6"/>
      <c r="BD2093" s="1190">
        <f t="shared" si="1260"/>
        <v>0</v>
      </c>
      <c r="BE2093" s="317"/>
      <c r="BF2093" s="317"/>
      <c r="BG2093" s="317"/>
      <c r="BH2093" s="317"/>
      <c r="BI2093" s="317"/>
      <c r="BJ2093" s="317"/>
      <c r="BK2093" s="1190">
        <f t="shared" si="1239"/>
        <v>0</v>
      </c>
      <c r="BL2093" s="317"/>
      <c r="BM2093" s="317"/>
      <c r="BN2093" s="317"/>
      <c r="BO2093" s="317"/>
      <c r="BP2093" s="317"/>
      <c r="BQ2093" s="317"/>
      <c r="BR2093" s="317"/>
      <c r="BS2093" s="317"/>
      <c r="BT2093" s="317"/>
      <c r="BU2093" s="317"/>
      <c r="BV2093" s="317"/>
      <c r="BW2093" s="317"/>
      <c r="BX2093" s="317"/>
      <c r="BY2093" s="317"/>
      <c r="BZ2093" s="317"/>
      <c r="CA2093" s="317"/>
      <c r="CB2093" s="317"/>
      <c r="CC2093" s="317"/>
      <c r="CD2093" s="317"/>
      <c r="CE2093" s="317"/>
      <c r="CF2093" s="317"/>
      <c r="CG2093" s="317"/>
      <c r="CH2093" s="317"/>
      <c r="CI2093" s="317"/>
      <c r="CM2093" s="1139">
        <f t="shared" si="1243"/>
        <v>0</v>
      </c>
      <c r="CN2093" s="1139">
        <v>0</v>
      </c>
      <c r="CP2093" s="923">
        <f t="shared" si="1242"/>
        <v>0</v>
      </c>
      <c r="CZ2093" s="330"/>
    </row>
    <row r="2094" spans="1:104" ht="15" customHeight="1" x14ac:dyDescent="0.25">
      <c r="A2094" s="684">
        <f>MAX($A$6:A2093)+1</f>
        <v>2094</v>
      </c>
      <c r="B2094" s="1060">
        <f t="shared" si="1261"/>
        <v>90</v>
      </c>
      <c r="C2094" s="11" t="str">
        <f t="shared" si="1262"/>
        <v>Prompt Payment</v>
      </c>
      <c r="D2094" s="11" t="s">
        <v>736</v>
      </c>
      <c r="E2094" s="7" t="s">
        <v>740</v>
      </c>
      <c r="F2094" s="7"/>
      <c r="G2094" s="26"/>
      <c r="H2094" s="6"/>
      <c r="I2094" s="6"/>
      <c r="J2094" s="1257" t="s">
        <v>787</v>
      </c>
      <c r="K2094" s="266"/>
      <c r="L2094" s="266"/>
      <c r="M2094" s="2"/>
      <c r="N2094" s="273">
        <f t="shared" si="1263"/>
        <v>0</v>
      </c>
      <c r="O2094" s="12"/>
      <c r="P2094" s="12"/>
      <c r="Q2094" s="12"/>
      <c r="R2094" s="12"/>
      <c r="S2094" s="6">
        <f t="shared" si="1258"/>
        <v>0</v>
      </c>
      <c r="T2094" s="273">
        <f t="shared" si="1259"/>
        <v>0</v>
      </c>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X2094" s="6"/>
      <c r="AY2094" s="6"/>
      <c r="BA2094" s="6"/>
      <c r="BB2094" s="6"/>
      <c r="BC2094" s="6"/>
      <c r="BD2094" s="1190">
        <f t="shared" si="1260"/>
        <v>0</v>
      </c>
      <c r="BE2094" s="317"/>
      <c r="BF2094" s="317"/>
      <c r="BG2094" s="317"/>
      <c r="BH2094" s="317"/>
      <c r="BI2094" s="317"/>
      <c r="BJ2094" s="317"/>
      <c r="BK2094" s="1190">
        <f t="shared" si="1239"/>
        <v>0</v>
      </c>
      <c r="BL2094" s="317"/>
      <c r="BM2094" s="317"/>
      <c r="BN2094" s="317"/>
      <c r="BO2094" s="317"/>
      <c r="BP2094" s="317"/>
      <c r="BQ2094" s="317"/>
      <c r="BR2094" s="317"/>
      <c r="BS2094" s="317"/>
      <c r="BT2094" s="317"/>
      <c r="BU2094" s="317"/>
      <c r="BV2094" s="317"/>
      <c r="BW2094" s="317"/>
      <c r="BX2094" s="317"/>
      <c r="BY2094" s="317"/>
      <c r="BZ2094" s="317"/>
      <c r="CA2094" s="317"/>
      <c r="CB2094" s="317"/>
      <c r="CC2094" s="317"/>
      <c r="CD2094" s="317"/>
      <c r="CE2094" s="317"/>
      <c r="CF2094" s="317"/>
      <c r="CG2094" s="317"/>
      <c r="CH2094" s="317"/>
      <c r="CI2094" s="317"/>
      <c r="CM2094" s="1139">
        <f t="shared" si="1243"/>
        <v>0</v>
      </c>
      <c r="CN2094" s="1139">
        <v>0</v>
      </c>
      <c r="CP2094" s="923">
        <f t="shared" si="1242"/>
        <v>0</v>
      </c>
      <c r="CZ2094" s="330"/>
    </row>
    <row r="2095" spans="1:104" ht="15" customHeight="1" x14ac:dyDescent="0.25">
      <c r="A2095" s="684">
        <f>MAX($A$6:A2094)+1</f>
        <v>2095</v>
      </c>
      <c r="B2095" s="1060">
        <f t="shared" si="1261"/>
        <v>90</v>
      </c>
      <c r="C2095" s="11" t="s">
        <v>788</v>
      </c>
      <c r="D2095" s="11"/>
      <c r="E2095" s="7"/>
      <c r="F2095" s="7"/>
      <c r="G2095" s="26"/>
      <c r="H2095" s="6"/>
      <c r="I2095" s="6"/>
      <c r="J2095" s="1257" t="s">
        <v>286</v>
      </c>
      <c r="K2095" s="266"/>
      <c r="L2095" s="266"/>
      <c r="M2095" s="2"/>
      <c r="N2095" s="273">
        <f t="shared" si="1263"/>
        <v>0</v>
      </c>
      <c r="O2095" s="12"/>
      <c r="P2095" s="12"/>
      <c r="Q2095" s="12"/>
      <c r="R2095" s="12"/>
      <c r="S2095" s="6">
        <f t="shared" si="1258"/>
        <v>0</v>
      </c>
      <c r="T2095" s="273">
        <f t="shared" si="1259"/>
        <v>0</v>
      </c>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X2095" s="6"/>
      <c r="AY2095" s="6">
        <f>ROUND(AX2095/1000/Update!$B$31*Update!$B$27,0)</f>
        <v>0</v>
      </c>
      <c r="BA2095" s="6"/>
      <c r="BB2095" s="6">
        <f>ROUND(BA2095/1000/Update!$B$31,0)</f>
        <v>0</v>
      </c>
      <c r="BC2095" s="6"/>
      <c r="BD2095" s="1190">
        <f t="shared" si="1260"/>
        <v>0</v>
      </c>
      <c r="BE2095" s="317"/>
      <c r="BF2095" s="317"/>
      <c r="BG2095" s="317"/>
      <c r="BH2095" s="317"/>
      <c r="BI2095" s="317"/>
      <c r="BJ2095" s="317"/>
      <c r="BK2095" s="1190">
        <f t="shared" si="1239"/>
        <v>0</v>
      </c>
      <c r="BL2095" s="317"/>
      <c r="BM2095" s="317"/>
      <c r="BN2095" s="317"/>
      <c r="BO2095" s="317"/>
      <c r="BP2095" s="317"/>
      <c r="BQ2095" s="317"/>
      <c r="BR2095" s="317"/>
      <c r="BS2095" s="317"/>
      <c r="BT2095" s="317"/>
      <c r="BU2095" s="317"/>
      <c r="BV2095" s="317"/>
      <c r="BW2095" s="317"/>
      <c r="BX2095" s="317"/>
      <c r="BY2095" s="317"/>
      <c r="BZ2095" s="317"/>
      <c r="CA2095" s="317"/>
      <c r="CB2095" s="317"/>
      <c r="CC2095" s="317"/>
      <c r="CD2095" s="317"/>
      <c r="CE2095" s="317"/>
      <c r="CF2095" s="317"/>
      <c r="CG2095" s="317"/>
      <c r="CH2095" s="317"/>
      <c r="CI2095" s="317"/>
      <c r="CM2095" s="1139">
        <f t="shared" si="1243"/>
        <v>0</v>
      </c>
      <c r="CN2095" s="1139">
        <v>0</v>
      </c>
      <c r="CP2095" s="923">
        <f t="shared" si="1242"/>
        <v>0</v>
      </c>
      <c r="CZ2095" s="330"/>
    </row>
    <row r="2096" spans="1:104" ht="15" customHeight="1" x14ac:dyDescent="0.25">
      <c r="A2096" s="684">
        <f>MAX($A$6:A2095)+1</f>
        <v>2096</v>
      </c>
      <c r="B2096" s="1060">
        <f t="shared" si="1261"/>
        <v>90</v>
      </c>
      <c r="C2096" s="11" t="s">
        <v>788</v>
      </c>
      <c r="D2096" s="11"/>
      <c r="E2096" s="7"/>
      <c r="F2096" s="7"/>
      <c r="G2096" s="26"/>
      <c r="H2096" s="6"/>
      <c r="I2096" s="6"/>
      <c r="J2096" s="1257" t="s">
        <v>789</v>
      </c>
      <c r="K2096" s="266"/>
      <c r="L2096" s="266"/>
      <c r="M2096" s="2"/>
      <c r="N2096" s="273">
        <f t="shared" si="1263"/>
        <v>0</v>
      </c>
      <c r="O2096" s="12"/>
      <c r="P2096" s="12"/>
      <c r="Q2096" s="12"/>
      <c r="R2096" s="12"/>
      <c r="S2096" s="6">
        <f t="shared" si="1258"/>
        <v>0</v>
      </c>
      <c r="T2096" s="273">
        <f t="shared" si="1259"/>
        <v>0</v>
      </c>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X2096" s="6"/>
      <c r="AY2096" s="6">
        <f>ROUND(AX2096/1000/Update!$B$31*Update!$B$27,0)</f>
        <v>0</v>
      </c>
      <c r="BA2096" s="6"/>
      <c r="BB2096" s="6">
        <f>ROUND(BA2096/1000/Update!$B$31,0)</f>
        <v>0</v>
      </c>
      <c r="BC2096" s="6"/>
      <c r="BD2096" s="1190">
        <f t="shared" si="1260"/>
        <v>0</v>
      </c>
      <c r="BE2096" s="317"/>
      <c r="BF2096" s="317"/>
      <c r="BG2096" s="317"/>
      <c r="BH2096" s="317"/>
      <c r="BI2096" s="317"/>
      <c r="BJ2096" s="317"/>
      <c r="BK2096" s="1190">
        <f t="shared" si="1239"/>
        <v>0</v>
      </c>
      <c r="BL2096" s="1190"/>
      <c r="BM2096" s="1190"/>
      <c r="BN2096" s="1190"/>
      <c r="BO2096" s="1190"/>
      <c r="BP2096" s="317"/>
      <c r="BQ2096" s="1190"/>
      <c r="BR2096" s="1190"/>
      <c r="BS2096" s="317"/>
      <c r="BU2096" s="1190"/>
      <c r="BV2096" s="1190"/>
      <c r="BW2096" s="1190"/>
      <c r="BX2096" s="1190"/>
      <c r="BY2096" s="1190"/>
      <c r="BZ2096" s="1190"/>
      <c r="CA2096" s="1190"/>
      <c r="CB2096" s="1190"/>
      <c r="CC2096" s="317"/>
      <c r="CD2096" s="317"/>
      <c r="CE2096" s="317"/>
      <c r="CF2096" s="317"/>
      <c r="CG2096" s="317"/>
      <c r="CH2096" s="317"/>
      <c r="CI2096" s="1190"/>
      <c r="CM2096" s="1139">
        <f t="shared" si="1243"/>
        <v>0</v>
      </c>
      <c r="CN2096" s="1139">
        <v>0</v>
      </c>
      <c r="CP2096" s="923">
        <f t="shared" si="1242"/>
        <v>0</v>
      </c>
      <c r="CZ2096" s="330"/>
    </row>
    <row r="2097" spans="1:104" ht="15" customHeight="1" x14ac:dyDescent="0.25">
      <c r="A2097" s="684">
        <f>MAX($A$6:A2096)+1</f>
        <v>2097</v>
      </c>
      <c r="B2097" s="1060">
        <f t="shared" si="1261"/>
        <v>90</v>
      </c>
      <c r="C2097" s="11" t="s">
        <v>788</v>
      </c>
      <c r="D2097" s="11"/>
      <c r="E2097" s="7"/>
      <c r="F2097" s="7"/>
      <c r="G2097" s="26"/>
      <c r="H2097" s="6"/>
      <c r="I2097" s="6"/>
      <c r="J2097" s="1257" t="s">
        <v>790</v>
      </c>
      <c r="K2097" s="266"/>
      <c r="L2097" s="266"/>
      <c r="M2097" s="2"/>
      <c r="N2097" s="273">
        <f t="shared" si="1263"/>
        <v>0</v>
      </c>
      <c r="O2097" s="12"/>
      <c r="P2097" s="12"/>
      <c r="Q2097" s="12"/>
      <c r="R2097" s="12"/>
      <c r="S2097" s="6">
        <f t="shared" si="1258"/>
        <v>0</v>
      </c>
      <c r="T2097" s="273">
        <f t="shared" si="1259"/>
        <v>0</v>
      </c>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X2097" s="6"/>
      <c r="AY2097" s="6">
        <f>ROUND(AX2097/1000/Update!$B$31*Update!$B$27,0)</f>
        <v>0</v>
      </c>
      <c r="BA2097" s="6"/>
      <c r="BB2097" s="6">
        <f>ROUND(BA2097/1000/Update!$B$31,0)</f>
        <v>0</v>
      </c>
      <c r="BC2097" s="6"/>
      <c r="BD2097" s="1190">
        <f t="shared" si="1260"/>
        <v>0</v>
      </c>
      <c r="BE2097" s="317"/>
      <c r="BF2097" s="317"/>
      <c r="BG2097" s="317"/>
      <c r="BH2097" s="317"/>
      <c r="BI2097" s="317"/>
      <c r="BJ2097" s="317"/>
      <c r="BK2097" s="1190">
        <f t="shared" si="1239"/>
        <v>0</v>
      </c>
      <c r="BL2097" s="1190"/>
      <c r="BM2097" s="1190"/>
      <c r="BN2097" s="1190"/>
      <c r="BO2097" s="1190"/>
      <c r="BP2097" s="317"/>
      <c r="BQ2097" s="1190"/>
      <c r="BR2097" s="1190"/>
      <c r="BS2097" s="317"/>
      <c r="BU2097" s="1190"/>
      <c r="BV2097" s="1190"/>
      <c r="BW2097" s="1190"/>
      <c r="BX2097" s="1190"/>
      <c r="BY2097" s="1190"/>
      <c r="BZ2097" s="1190"/>
      <c r="CA2097" s="1190"/>
      <c r="CB2097" s="1190"/>
      <c r="CC2097" s="317"/>
      <c r="CD2097" s="317"/>
      <c r="CE2097" s="317"/>
      <c r="CF2097" s="317"/>
      <c r="CG2097" s="317"/>
      <c r="CH2097" s="317"/>
      <c r="CI2097" s="1190"/>
      <c r="CM2097" s="1139">
        <f t="shared" si="1243"/>
        <v>0</v>
      </c>
      <c r="CN2097" s="1139">
        <v>0</v>
      </c>
      <c r="CP2097" s="923">
        <f t="shared" si="1242"/>
        <v>0</v>
      </c>
      <c r="CZ2097" s="330"/>
    </row>
    <row r="2098" spans="1:104" ht="15" customHeight="1" x14ac:dyDescent="0.25">
      <c r="A2098" s="684">
        <f>MAX($A$6:A2097)+1</f>
        <v>2098</v>
      </c>
      <c r="B2098" s="1060">
        <f>B1874</f>
        <v>50</v>
      </c>
      <c r="C2098" s="292" t="str">
        <f>C1874</f>
        <v>Staff Data</v>
      </c>
      <c r="D2098" s="292" t="s">
        <v>388</v>
      </c>
      <c r="E2098" s="1270" t="s">
        <v>374</v>
      </c>
      <c r="F2098" s="1267"/>
      <c r="G2098" s="1254" t="s">
        <v>286</v>
      </c>
      <c r="H2098" s="6"/>
      <c r="I2098" s="6"/>
      <c r="J2098" s="1270" t="s">
        <v>374</v>
      </c>
      <c r="K2098" s="946">
        <f>SUMIF('alb A - Staff data'!$A:$A,$J2098,'alb A - Staff data'!$B:$B)</f>
        <v>0</v>
      </c>
      <c r="L2098" s="946">
        <f>SUMIF('alb A - Staff data'!$A:$A,$J2098,'alb A - Staff data'!$H:$H)</f>
        <v>0</v>
      </c>
      <c r="M2098" s="2"/>
      <c r="N2098" s="273">
        <f t="shared" ref="N2098:N2111" si="1264">ROUND(SUM(O2098:AU2098)-T2098,0)</f>
        <v>0</v>
      </c>
      <c r="O2098" s="12"/>
      <c r="P2098" s="12"/>
      <c r="Q2098" s="12"/>
      <c r="R2098" s="12"/>
      <c r="S2098" s="6"/>
      <c r="T2098" s="273">
        <f t="shared" ref="T2098:T2111" si="1265">ROUND(SUM(U2098:Y2098),0)</f>
        <v>0</v>
      </c>
      <c r="U2098" s="6"/>
      <c r="V2098" s="6"/>
      <c r="W2098" s="6">
        <f t="shared" ref="W2098:W2113" si="1266">+H2098</f>
        <v>0</v>
      </c>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BD2098" s="1190">
        <f t="shared" ref="BD2098:BD2119" si="1267">ROUND(SUM(BE2098:BK2098),0)</f>
        <v>0</v>
      </c>
      <c r="BK2098" s="1190">
        <f t="shared" ref="BK2098:BK2119" si="1268">ROUND(SUM(BO2098:CI2098),0)</f>
        <v>0</v>
      </c>
      <c r="BL2098" s="1190"/>
      <c r="BM2098" s="1190"/>
      <c r="BN2098" s="1190"/>
      <c r="BO2098" s="1190"/>
      <c r="BP2098" s="1190"/>
      <c r="BQ2098" s="1190"/>
      <c r="BR2098" s="1190"/>
      <c r="BS2098" s="1190"/>
      <c r="BU2098" s="1190"/>
      <c r="BV2098" s="1190"/>
      <c r="BW2098" s="1190"/>
      <c r="BX2098" s="1190"/>
      <c r="BY2098" s="1190"/>
      <c r="BZ2098" s="1190"/>
      <c r="CA2098" s="1190"/>
      <c r="CB2098" s="1190"/>
      <c r="CC2098" s="1190"/>
      <c r="CD2098" s="1190"/>
      <c r="CE2098" s="1190"/>
      <c r="CF2098" s="1190"/>
      <c r="CG2098" s="1190"/>
      <c r="CH2098" s="1190"/>
      <c r="CI2098" s="1190"/>
      <c r="CM2098" s="196">
        <f t="shared" ref="CM2098:CM2119" si="1269">+U2098+V2098</f>
        <v>0</v>
      </c>
      <c r="CN2098" s="196">
        <v>0</v>
      </c>
      <c r="CP2098" s="923">
        <f t="shared" ref="CP2098:CP2119" si="1270">-V2098+BL2098+BM2098+BN2098+CM2098</f>
        <v>0</v>
      </c>
      <c r="CZ2098" s="330"/>
    </row>
    <row r="2099" spans="1:104" ht="15" customHeight="1" x14ac:dyDescent="0.25">
      <c r="A2099" s="684">
        <f>MAX($A$6:A2098)+1</f>
        <v>2099</v>
      </c>
      <c r="B2099" s="1060">
        <f t="shared" ref="B2099:C2111" si="1271">B2098</f>
        <v>50</v>
      </c>
      <c r="C2099" s="292" t="str">
        <f t="shared" si="1271"/>
        <v>Staff Data</v>
      </c>
      <c r="D2099" s="292" t="s">
        <v>388</v>
      </c>
      <c r="E2099" s="1271" t="s">
        <v>375</v>
      </c>
      <c r="F2099" s="1267"/>
      <c r="G2099" s="1254" t="s">
        <v>286</v>
      </c>
      <c r="H2099" s="6"/>
      <c r="I2099" s="6"/>
      <c r="J2099" s="1271" t="s">
        <v>375</v>
      </c>
      <c r="K2099" s="946">
        <f>SUMIF('alb A - Staff data'!$A:$A,$J2099,'alb A - Staff data'!$B:$B)</f>
        <v>0</v>
      </c>
      <c r="L2099" s="946">
        <f>SUMIF('alb A - Staff data'!$A:$A,$J2099,'alb A - Staff data'!$H:$H)</f>
        <v>0</v>
      </c>
      <c r="M2099" s="2"/>
      <c r="N2099" s="273">
        <f t="shared" si="1264"/>
        <v>0</v>
      </c>
      <c r="O2099" s="12"/>
      <c r="P2099" s="12"/>
      <c r="Q2099" s="12"/>
      <c r="R2099" s="12"/>
      <c r="S2099" s="6"/>
      <c r="T2099" s="273">
        <f t="shared" si="1265"/>
        <v>0</v>
      </c>
      <c r="U2099" s="6"/>
      <c r="V2099" s="6"/>
      <c r="W2099" s="6">
        <f t="shared" si="1266"/>
        <v>0</v>
      </c>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BD2099" s="1190">
        <f t="shared" si="1267"/>
        <v>0</v>
      </c>
      <c r="BK2099" s="1190">
        <f t="shared" si="1268"/>
        <v>0</v>
      </c>
      <c r="BL2099" s="1190"/>
      <c r="BM2099" s="1190"/>
      <c r="BN2099" s="1190"/>
      <c r="BO2099" s="1190"/>
      <c r="BP2099" s="1190"/>
      <c r="BQ2099" s="1190"/>
      <c r="BR2099" s="1190"/>
      <c r="BS2099" s="1190"/>
      <c r="BU2099" s="1190"/>
      <c r="BV2099" s="1190"/>
      <c r="BW2099" s="1190"/>
      <c r="BX2099" s="1190"/>
      <c r="BY2099" s="1190"/>
      <c r="BZ2099" s="1190"/>
      <c r="CA2099" s="1190"/>
      <c r="CB2099" s="1190"/>
      <c r="CC2099" s="1190"/>
      <c r="CD2099" s="1190"/>
      <c r="CE2099" s="1190"/>
      <c r="CF2099" s="1190"/>
      <c r="CG2099" s="1190"/>
      <c r="CH2099" s="1190"/>
      <c r="CI2099" s="1190"/>
      <c r="CM2099" s="196">
        <f t="shared" si="1269"/>
        <v>0</v>
      </c>
      <c r="CN2099" s="196">
        <v>0</v>
      </c>
      <c r="CP2099" s="923">
        <f t="shared" si="1270"/>
        <v>0</v>
      </c>
      <c r="CZ2099" s="330"/>
    </row>
    <row r="2100" spans="1:104" ht="15" customHeight="1" x14ac:dyDescent="0.25">
      <c r="A2100" s="684">
        <f>MAX($A$6:A2099)+1</f>
        <v>2100</v>
      </c>
      <c r="B2100" s="1060">
        <f t="shared" si="1271"/>
        <v>50</v>
      </c>
      <c r="C2100" s="292" t="str">
        <f t="shared" si="1271"/>
        <v>Staff Data</v>
      </c>
      <c r="D2100" s="292" t="s">
        <v>388</v>
      </c>
      <c r="E2100" s="1271" t="s">
        <v>376</v>
      </c>
      <c r="F2100" s="1267"/>
      <c r="G2100" s="1254" t="s">
        <v>286</v>
      </c>
      <c r="H2100" s="6"/>
      <c r="I2100" s="6"/>
      <c r="J2100" s="1271" t="s">
        <v>376</v>
      </c>
      <c r="K2100" s="946">
        <f>SUMIF('alb A - Staff data'!$A:$A,$J2100,'alb A - Staff data'!$B:$B)</f>
        <v>0</v>
      </c>
      <c r="L2100" s="946">
        <f>SUMIF('alb A - Staff data'!$A:$A,$J2100,'alb A - Staff data'!$H:$H)</f>
        <v>0</v>
      </c>
      <c r="M2100" s="2"/>
      <c r="N2100" s="273">
        <f t="shared" si="1264"/>
        <v>0</v>
      </c>
      <c r="O2100" s="12"/>
      <c r="P2100" s="12"/>
      <c r="Q2100" s="12"/>
      <c r="R2100" s="12"/>
      <c r="S2100" s="6"/>
      <c r="T2100" s="273">
        <f t="shared" si="1265"/>
        <v>0</v>
      </c>
      <c r="U2100" s="6"/>
      <c r="V2100" s="6"/>
      <c r="W2100" s="6">
        <f t="shared" si="1266"/>
        <v>0</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BD2100" s="1190">
        <f t="shared" si="1267"/>
        <v>0</v>
      </c>
      <c r="BK2100" s="1190">
        <f t="shared" si="1268"/>
        <v>0</v>
      </c>
      <c r="BL2100" s="1190"/>
      <c r="BM2100" s="1190"/>
      <c r="BN2100" s="1190"/>
      <c r="BO2100" s="1190"/>
      <c r="BP2100" s="1190"/>
      <c r="BQ2100" s="1190"/>
      <c r="BR2100" s="1190"/>
      <c r="BS2100" s="1190"/>
      <c r="BU2100" s="1190"/>
      <c r="BV2100" s="1190"/>
      <c r="BW2100" s="1190"/>
      <c r="BX2100" s="1190"/>
      <c r="BY2100" s="1190"/>
      <c r="BZ2100" s="1190"/>
      <c r="CA2100" s="1190"/>
      <c r="CB2100" s="1190"/>
      <c r="CC2100" s="1190"/>
      <c r="CD2100" s="1190"/>
      <c r="CE2100" s="1190"/>
      <c r="CF2100" s="1190"/>
      <c r="CG2100" s="1190"/>
      <c r="CH2100" s="1190"/>
      <c r="CI2100" s="1190"/>
      <c r="CM2100" s="196">
        <f t="shared" si="1269"/>
        <v>0</v>
      </c>
      <c r="CN2100" s="196">
        <v>0</v>
      </c>
      <c r="CP2100" s="923">
        <f t="shared" si="1270"/>
        <v>0</v>
      </c>
      <c r="CZ2100" s="330"/>
    </row>
    <row r="2101" spans="1:104" ht="15" customHeight="1" x14ac:dyDescent="0.25">
      <c r="A2101" s="684">
        <f>MAX($A$6:A2100)+1</f>
        <v>2101</v>
      </c>
      <c r="B2101" s="1060">
        <f t="shared" si="1271"/>
        <v>50</v>
      </c>
      <c r="C2101" s="292" t="str">
        <f t="shared" si="1271"/>
        <v>Staff Data</v>
      </c>
      <c r="D2101" s="292" t="s">
        <v>388</v>
      </c>
      <c r="E2101" s="1271" t="s">
        <v>377</v>
      </c>
      <c r="F2101" s="1267"/>
      <c r="G2101" s="1254" t="s">
        <v>286</v>
      </c>
      <c r="H2101" s="6"/>
      <c r="I2101" s="6"/>
      <c r="J2101" s="1271" t="s">
        <v>377</v>
      </c>
      <c r="K2101" s="946">
        <f>SUMIF('alb A - Staff data'!$A:$A,$J2101,'alb A - Staff data'!$B:$B)</f>
        <v>0</v>
      </c>
      <c r="L2101" s="946">
        <f>SUMIF('alb A - Staff data'!$A:$A,$J2101,'alb A - Staff data'!$H:$H)</f>
        <v>0</v>
      </c>
      <c r="M2101" s="2"/>
      <c r="N2101" s="273">
        <f t="shared" si="1264"/>
        <v>0</v>
      </c>
      <c r="O2101" s="12"/>
      <c r="P2101" s="12"/>
      <c r="Q2101" s="12"/>
      <c r="R2101" s="12"/>
      <c r="S2101" s="6"/>
      <c r="T2101" s="273">
        <f t="shared" si="1265"/>
        <v>0</v>
      </c>
      <c r="U2101" s="6"/>
      <c r="V2101" s="6"/>
      <c r="W2101" s="6">
        <f t="shared" si="1266"/>
        <v>0</v>
      </c>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BD2101" s="1190">
        <f t="shared" si="1267"/>
        <v>0</v>
      </c>
      <c r="BK2101" s="1190">
        <f t="shared" si="1268"/>
        <v>0</v>
      </c>
      <c r="BL2101" s="1190"/>
      <c r="BM2101" s="1190"/>
      <c r="BN2101" s="1190"/>
      <c r="BO2101" s="1190"/>
      <c r="BP2101" s="1190"/>
      <c r="BQ2101" s="1190"/>
      <c r="BR2101" s="1190"/>
      <c r="BS2101" s="1190"/>
      <c r="BU2101" s="1190"/>
      <c r="BV2101" s="1190"/>
      <c r="BW2101" s="1190"/>
      <c r="BX2101" s="1190"/>
      <c r="BY2101" s="1190"/>
      <c r="BZ2101" s="1190"/>
      <c r="CA2101" s="1190"/>
      <c r="CB2101" s="1190"/>
      <c r="CC2101" s="1190"/>
      <c r="CD2101" s="1190"/>
      <c r="CE2101" s="1190"/>
      <c r="CF2101" s="1190"/>
      <c r="CG2101" s="1190"/>
      <c r="CH2101" s="1190"/>
      <c r="CI2101" s="1190"/>
      <c r="CM2101" s="196">
        <f t="shared" si="1269"/>
        <v>0</v>
      </c>
      <c r="CN2101" s="196">
        <v>0</v>
      </c>
      <c r="CP2101" s="923">
        <f t="shared" si="1270"/>
        <v>0</v>
      </c>
      <c r="CZ2101" s="330"/>
    </row>
    <row r="2102" spans="1:104" ht="15" customHeight="1" x14ac:dyDescent="0.25">
      <c r="A2102" s="684">
        <f>MAX($A$6:A2101)+1</f>
        <v>2102</v>
      </c>
      <c r="B2102" s="1060">
        <f t="shared" si="1271"/>
        <v>50</v>
      </c>
      <c r="C2102" s="292" t="str">
        <f t="shared" si="1271"/>
        <v>Staff Data</v>
      </c>
      <c r="D2102" s="292" t="s">
        <v>388</v>
      </c>
      <c r="E2102" s="1271" t="s">
        <v>378</v>
      </c>
      <c r="F2102" s="1267"/>
      <c r="G2102" s="1254" t="s">
        <v>286</v>
      </c>
      <c r="H2102" s="6">
        <v>0</v>
      </c>
      <c r="I2102" s="6"/>
      <c r="J2102" s="1271" t="s">
        <v>378</v>
      </c>
      <c r="K2102" s="946">
        <f>SUMIF('alb A - Staff data'!$A:$A,$J2102,'alb A - Staff data'!$B:$B)</f>
        <v>0</v>
      </c>
      <c r="L2102" s="946">
        <f>SUMIF('alb A - Staff data'!$A:$A,$J2102,'alb A - Staff data'!$H:$H)</f>
        <v>0</v>
      </c>
      <c r="M2102" s="2"/>
      <c r="N2102" s="273">
        <f t="shared" si="1264"/>
        <v>0</v>
      </c>
      <c r="O2102" s="12"/>
      <c r="P2102" s="12"/>
      <c r="Q2102" s="12"/>
      <c r="R2102" s="12"/>
      <c r="S2102" s="6"/>
      <c r="T2102" s="273">
        <f t="shared" si="1265"/>
        <v>0</v>
      </c>
      <c r="U2102" s="946"/>
      <c r="V2102" s="946"/>
      <c r="W2102" s="6">
        <f t="shared" si="1266"/>
        <v>0</v>
      </c>
      <c r="X2102" s="946"/>
      <c r="Y2102" s="946"/>
      <c r="Z2102" s="946"/>
      <c r="AA2102" s="946"/>
      <c r="AB2102" s="946"/>
      <c r="AC2102" s="946"/>
      <c r="AD2102" s="946"/>
      <c r="AE2102" s="946"/>
      <c r="AF2102" s="946"/>
      <c r="AG2102" s="946"/>
      <c r="AH2102" s="946"/>
      <c r="AI2102" s="946"/>
      <c r="AJ2102" s="946"/>
      <c r="AK2102" s="946"/>
      <c r="AL2102" s="946"/>
      <c r="AM2102" s="946"/>
      <c r="AN2102" s="946"/>
      <c r="AO2102" s="946"/>
      <c r="AP2102" s="946"/>
      <c r="AQ2102" s="946"/>
      <c r="AR2102" s="946"/>
      <c r="AS2102" s="946"/>
      <c r="AT2102" s="946"/>
      <c r="AU2102" s="946"/>
      <c r="AV2102" s="946"/>
      <c r="BD2102" s="1190">
        <f t="shared" si="1267"/>
        <v>0</v>
      </c>
      <c r="BK2102" s="1190">
        <f t="shared" si="1268"/>
        <v>0</v>
      </c>
      <c r="BL2102" s="1190"/>
      <c r="BM2102" s="1190"/>
      <c r="BN2102" s="1190"/>
      <c r="BO2102" s="1190"/>
      <c r="BP2102" s="1190"/>
      <c r="BQ2102" s="1190"/>
      <c r="BR2102" s="1190"/>
      <c r="BS2102" s="1190"/>
      <c r="BU2102" s="1190"/>
      <c r="BV2102" s="1190"/>
      <c r="BW2102" s="1190"/>
      <c r="BX2102" s="1190"/>
      <c r="BY2102" s="1190"/>
      <c r="BZ2102" s="1190"/>
      <c r="CA2102" s="1190"/>
      <c r="CB2102" s="1190"/>
      <c r="CC2102" s="1190"/>
      <c r="CD2102" s="1190"/>
      <c r="CE2102" s="1190"/>
      <c r="CF2102" s="1190"/>
      <c r="CG2102" s="1190"/>
      <c r="CH2102" s="1190"/>
      <c r="CI2102" s="1190"/>
      <c r="CM2102" s="196">
        <f t="shared" si="1269"/>
        <v>0</v>
      </c>
      <c r="CN2102" s="196">
        <v>1</v>
      </c>
      <c r="CP2102" s="923">
        <f t="shared" si="1270"/>
        <v>0</v>
      </c>
      <c r="CZ2102" s="330"/>
    </row>
    <row r="2103" spans="1:104" ht="15" customHeight="1" x14ac:dyDescent="0.25">
      <c r="A2103" s="684">
        <f>MAX($A$6:A2102)+1</f>
        <v>2103</v>
      </c>
      <c r="B2103" s="1060">
        <f t="shared" si="1271"/>
        <v>50</v>
      </c>
      <c r="C2103" s="292" t="str">
        <f t="shared" si="1271"/>
        <v>Staff Data</v>
      </c>
      <c r="D2103" s="292" t="s">
        <v>388</v>
      </c>
      <c r="E2103" s="1271" t="s">
        <v>379</v>
      </c>
      <c r="F2103" s="1267"/>
      <c r="G2103" s="1254" t="s">
        <v>286</v>
      </c>
      <c r="H2103" s="6"/>
      <c r="I2103" s="6"/>
      <c r="J2103" s="1271" t="s">
        <v>379</v>
      </c>
      <c r="K2103" s="946">
        <f>SUMIF('alb A - Staff data'!$A:$A,$J2103,'alb A - Staff data'!$B:$B)</f>
        <v>0</v>
      </c>
      <c r="L2103" s="946">
        <f>SUMIF('alb A - Staff data'!$A:$A,$J2103,'alb A - Staff data'!$H:$H)</f>
        <v>0</v>
      </c>
      <c r="M2103" s="2"/>
      <c r="N2103" s="273">
        <f t="shared" si="1264"/>
        <v>0</v>
      </c>
      <c r="O2103" s="12"/>
      <c r="P2103" s="12"/>
      <c r="Q2103" s="12"/>
      <c r="R2103" s="12"/>
      <c r="S2103" s="6"/>
      <c r="T2103" s="273">
        <f t="shared" si="1265"/>
        <v>0</v>
      </c>
      <c r="U2103" s="946"/>
      <c r="V2103" s="946"/>
      <c r="W2103" s="946">
        <f t="shared" si="1266"/>
        <v>0</v>
      </c>
      <c r="X2103" s="946"/>
      <c r="Y2103" s="946"/>
      <c r="Z2103" s="946"/>
      <c r="AA2103" s="946"/>
      <c r="AB2103" s="946"/>
      <c r="AC2103" s="946"/>
      <c r="AD2103" s="946"/>
      <c r="AE2103" s="946"/>
      <c r="AF2103" s="946"/>
      <c r="AG2103" s="946"/>
      <c r="AH2103" s="946"/>
      <c r="AI2103" s="946"/>
      <c r="AJ2103" s="946"/>
      <c r="AK2103" s="946"/>
      <c r="AL2103" s="946"/>
      <c r="AM2103" s="946"/>
      <c r="AN2103" s="946"/>
      <c r="AO2103" s="946"/>
      <c r="AP2103" s="946"/>
      <c r="AQ2103" s="946"/>
      <c r="AR2103" s="946"/>
      <c r="AS2103" s="946"/>
      <c r="AT2103" s="946"/>
      <c r="AU2103" s="946"/>
      <c r="AV2103" s="946"/>
      <c r="BD2103" s="1190">
        <f t="shared" si="1267"/>
        <v>0</v>
      </c>
      <c r="BK2103" s="1190">
        <f t="shared" si="1268"/>
        <v>0</v>
      </c>
      <c r="BL2103" s="1190"/>
      <c r="BM2103" s="1190"/>
      <c r="BN2103" s="1190"/>
      <c r="BO2103" s="1190"/>
      <c r="BP2103" s="1190"/>
      <c r="BQ2103" s="1190"/>
      <c r="BR2103" s="1190"/>
      <c r="BS2103" s="1190"/>
      <c r="BU2103" s="1190"/>
      <c r="BV2103" s="1190"/>
      <c r="BW2103" s="1190"/>
      <c r="BX2103" s="1190"/>
      <c r="BY2103" s="1190"/>
      <c r="BZ2103" s="1190"/>
      <c r="CA2103" s="1190"/>
      <c r="CB2103" s="1190"/>
      <c r="CC2103" s="1190"/>
      <c r="CD2103" s="1190"/>
      <c r="CE2103" s="1190"/>
      <c r="CF2103" s="1190"/>
      <c r="CG2103" s="1190"/>
      <c r="CH2103" s="1190"/>
      <c r="CI2103" s="1190"/>
      <c r="CM2103" s="196">
        <f t="shared" si="1269"/>
        <v>0</v>
      </c>
      <c r="CN2103" s="196">
        <v>0</v>
      </c>
      <c r="CP2103" s="923">
        <f t="shared" si="1270"/>
        <v>0</v>
      </c>
      <c r="CZ2103" s="330"/>
    </row>
    <row r="2104" spans="1:104" ht="15" customHeight="1" x14ac:dyDescent="0.25">
      <c r="A2104" s="684">
        <f>MAX($A$6:A2103)+1</f>
        <v>2104</v>
      </c>
      <c r="B2104" s="1060">
        <f t="shared" si="1271"/>
        <v>50</v>
      </c>
      <c r="C2104" s="292" t="str">
        <f t="shared" si="1271"/>
        <v>Staff Data</v>
      </c>
      <c r="D2104" s="292" t="s">
        <v>388</v>
      </c>
      <c r="E2104" s="1271" t="s">
        <v>2086</v>
      </c>
      <c r="F2104" s="1267"/>
      <c r="G2104" s="1254" t="s">
        <v>286</v>
      </c>
      <c r="H2104" s="6"/>
      <c r="I2104" s="6"/>
      <c r="J2104" s="1271" t="s">
        <v>2086</v>
      </c>
      <c r="K2104" s="946">
        <f>SUMIF('alb A - Staff data'!$A:$A,$J2104,'alb A - Staff data'!$B:$B)</f>
        <v>0</v>
      </c>
      <c r="L2104" s="946">
        <f>SUMIF('alb A - Staff data'!$A:$A,$J2104,'alb A - Staff data'!$H:$H)</f>
        <v>0</v>
      </c>
      <c r="M2104" s="2"/>
      <c r="N2104" s="273">
        <f t="shared" si="1264"/>
        <v>0</v>
      </c>
      <c r="O2104" s="12"/>
      <c r="P2104" s="12"/>
      <c r="Q2104" s="12"/>
      <c r="R2104" s="12"/>
      <c r="S2104" s="6"/>
      <c r="T2104" s="273">
        <f t="shared" si="1265"/>
        <v>0</v>
      </c>
      <c r="U2104" s="946"/>
      <c r="V2104" s="946"/>
      <c r="W2104" s="946">
        <f t="shared" si="1266"/>
        <v>0</v>
      </c>
      <c r="X2104" s="946"/>
      <c r="Y2104" s="946"/>
      <c r="Z2104" s="946"/>
      <c r="AA2104" s="946"/>
      <c r="AB2104" s="946"/>
      <c r="AC2104" s="946"/>
      <c r="AD2104" s="946"/>
      <c r="AE2104" s="946"/>
      <c r="AF2104" s="946"/>
      <c r="AG2104" s="946"/>
      <c r="AH2104" s="946"/>
      <c r="AI2104" s="946"/>
      <c r="AJ2104" s="946"/>
      <c r="AK2104" s="946"/>
      <c r="AL2104" s="946"/>
      <c r="AM2104" s="946"/>
      <c r="AN2104" s="946"/>
      <c r="AO2104" s="946"/>
      <c r="AP2104" s="946"/>
      <c r="AQ2104" s="946"/>
      <c r="AR2104" s="946"/>
      <c r="AS2104" s="946"/>
      <c r="AT2104" s="946"/>
      <c r="AU2104" s="946"/>
      <c r="AV2104" s="946"/>
      <c r="BD2104" s="1190">
        <f t="shared" si="1267"/>
        <v>0</v>
      </c>
      <c r="BK2104" s="1190">
        <f t="shared" si="1268"/>
        <v>0</v>
      </c>
      <c r="BL2104" s="1190"/>
      <c r="BM2104" s="1190"/>
      <c r="BN2104" s="1190"/>
      <c r="BO2104" s="1190"/>
      <c r="BP2104" s="1190"/>
      <c r="BQ2104" s="1190"/>
      <c r="BR2104" s="1190"/>
      <c r="BS2104" s="1190"/>
      <c r="BU2104" s="1190"/>
      <c r="BV2104" s="1190"/>
      <c r="BW2104" s="1190"/>
      <c r="BX2104" s="1190"/>
      <c r="BY2104" s="1190"/>
      <c r="BZ2104" s="1190"/>
      <c r="CA2104" s="1190"/>
      <c r="CB2104" s="1190"/>
      <c r="CC2104" s="1190"/>
      <c r="CD2104" s="1190"/>
      <c r="CE2104" s="1190"/>
      <c r="CF2104" s="1190"/>
      <c r="CG2104" s="1190"/>
      <c r="CH2104" s="1190"/>
      <c r="CI2104" s="1190"/>
      <c r="CM2104" s="196">
        <f t="shared" si="1269"/>
        <v>0</v>
      </c>
      <c r="CN2104" s="196">
        <v>0</v>
      </c>
      <c r="CP2104" s="923">
        <f t="shared" si="1270"/>
        <v>0</v>
      </c>
      <c r="CZ2104" s="330"/>
    </row>
    <row r="2105" spans="1:104" ht="15" customHeight="1" x14ac:dyDescent="0.25">
      <c r="A2105" s="684">
        <f>MAX($A$6:A2104)+1</f>
        <v>2105</v>
      </c>
      <c r="B2105" s="1060">
        <f>B2103</f>
        <v>50</v>
      </c>
      <c r="C2105" s="292" t="str">
        <f>C2103</f>
        <v>Staff Data</v>
      </c>
      <c r="D2105" s="292" t="s">
        <v>388</v>
      </c>
      <c r="E2105" s="1271" t="s">
        <v>380</v>
      </c>
      <c r="F2105" s="1267"/>
      <c r="G2105" s="1254" t="s">
        <v>286</v>
      </c>
      <c r="H2105" s="6"/>
      <c r="I2105" s="6"/>
      <c r="J2105" s="1271" t="s">
        <v>380</v>
      </c>
      <c r="K2105" s="946">
        <f>SUMIF('alb A - Staff data'!$A:$A,$J2105,'alb A - Staff data'!$B:$B)</f>
        <v>0</v>
      </c>
      <c r="L2105" s="946">
        <f>SUMIF('alb A - Staff data'!$A:$A,$J2105,'alb A - Staff data'!$H:$H)</f>
        <v>0</v>
      </c>
      <c r="M2105" s="2"/>
      <c r="N2105" s="273">
        <f t="shared" si="1264"/>
        <v>0</v>
      </c>
      <c r="O2105" s="12"/>
      <c r="P2105" s="12"/>
      <c r="Q2105" s="12"/>
      <c r="R2105" s="12"/>
      <c r="S2105" s="6"/>
      <c r="T2105" s="273">
        <f t="shared" si="1265"/>
        <v>0</v>
      </c>
      <c r="U2105" s="946"/>
      <c r="V2105" s="946"/>
      <c r="W2105" s="946">
        <f t="shared" si="1266"/>
        <v>0</v>
      </c>
      <c r="X2105" s="946"/>
      <c r="Y2105" s="946"/>
      <c r="Z2105" s="946"/>
      <c r="AA2105" s="946"/>
      <c r="AB2105" s="946"/>
      <c r="AC2105" s="946"/>
      <c r="AD2105" s="946"/>
      <c r="AE2105" s="946"/>
      <c r="AF2105" s="946"/>
      <c r="AG2105" s="946"/>
      <c r="AH2105" s="946"/>
      <c r="AI2105" s="946"/>
      <c r="AJ2105" s="946"/>
      <c r="AK2105" s="946"/>
      <c r="AL2105" s="946"/>
      <c r="AM2105" s="946"/>
      <c r="AN2105" s="946"/>
      <c r="AO2105" s="946"/>
      <c r="AP2105" s="946"/>
      <c r="AQ2105" s="946"/>
      <c r="AR2105" s="946"/>
      <c r="AS2105" s="946"/>
      <c r="AT2105" s="946"/>
      <c r="AU2105" s="946"/>
      <c r="AV2105" s="946"/>
      <c r="BD2105" s="1190">
        <f t="shared" si="1267"/>
        <v>0</v>
      </c>
      <c r="BK2105" s="1190">
        <f t="shared" si="1268"/>
        <v>0</v>
      </c>
      <c r="BL2105" s="1190"/>
      <c r="BM2105" s="1190"/>
      <c r="BN2105" s="1190"/>
      <c r="BO2105" s="1190"/>
      <c r="BP2105" s="1190"/>
      <c r="BQ2105" s="1190"/>
      <c r="BR2105" s="1190"/>
      <c r="BS2105" s="1190"/>
      <c r="BU2105" s="1190"/>
      <c r="BV2105" s="1190"/>
      <c r="BW2105" s="1190"/>
      <c r="BX2105" s="1190"/>
      <c r="BY2105" s="1190"/>
      <c r="BZ2105" s="1190"/>
      <c r="CA2105" s="1190"/>
      <c r="CB2105" s="1190"/>
      <c r="CC2105" s="1190"/>
      <c r="CD2105" s="1190"/>
      <c r="CE2105" s="1190"/>
      <c r="CF2105" s="1190"/>
      <c r="CG2105" s="1190"/>
      <c r="CH2105" s="1190"/>
      <c r="CI2105" s="1190"/>
      <c r="CM2105" s="196">
        <f t="shared" si="1269"/>
        <v>0</v>
      </c>
      <c r="CN2105" s="196">
        <v>0</v>
      </c>
      <c r="CP2105" s="923">
        <f t="shared" si="1270"/>
        <v>0</v>
      </c>
      <c r="CZ2105" s="330"/>
    </row>
    <row r="2106" spans="1:104" ht="15" customHeight="1" x14ac:dyDescent="0.25">
      <c r="A2106" s="684">
        <f>MAX($A$6:A2105)+1</f>
        <v>2106</v>
      </c>
      <c r="B2106" s="1060">
        <f t="shared" si="1271"/>
        <v>50</v>
      </c>
      <c r="C2106" s="292" t="str">
        <f t="shared" si="1271"/>
        <v>Staff Data</v>
      </c>
      <c r="D2106" s="292" t="s">
        <v>388</v>
      </c>
      <c r="E2106" s="1271" t="s">
        <v>381</v>
      </c>
      <c r="F2106" s="1267"/>
      <c r="G2106" s="1254" t="s">
        <v>286</v>
      </c>
      <c r="H2106" s="6"/>
      <c r="I2106" s="6"/>
      <c r="J2106" s="1271" t="s">
        <v>381</v>
      </c>
      <c r="K2106" s="946">
        <f>SUMIF('alb A - Staff data'!$A:$A,$J2106,'alb A - Staff data'!$B:$B)</f>
        <v>0</v>
      </c>
      <c r="L2106" s="946">
        <f>SUMIF('alb A - Staff data'!$A:$A,$J2106,'alb A - Staff data'!$H:$H)</f>
        <v>0</v>
      </c>
      <c r="M2106" s="2"/>
      <c r="N2106" s="273">
        <f t="shared" si="1264"/>
        <v>0</v>
      </c>
      <c r="O2106" s="12"/>
      <c r="P2106" s="12"/>
      <c r="Q2106" s="12"/>
      <c r="R2106" s="12"/>
      <c r="S2106" s="6"/>
      <c r="T2106" s="273">
        <f t="shared" si="1265"/>
        <v>0</v>
      </c>
      <c r="U2106" s="946"/>
      <c r="V2106" s="946"/>
      <c r="W2106" s="946">
        <f t="shared" si="1266"/>
        <v>0</v>
      </c>
      <c r="X2106" s="946"/>
      <c r="Y2106" s="946"/>
      <c r="Z2106" s="946"/>
      <c r="AA2106" s="946"/>
      <c r="AB2106" s="946"/>
      <c r="AC2106" s="946"/>
      <c r="AD2106" s="946"/>
      <c r="AE2106" s="946"/>
      <c r="AF2106" s="946"/>
      <c r="AG2106" s="946"/>
      <c r="AH2106" s="946"/>
      <c r="AI2106" s="946"/>
      <c r="AJ2106" s="946"/>
      <c r="AK2106" s="946"/>
      <c r="AL2106" s="946"/>
      <c r="AM2106" s="946"/>
      <c r="AN2106" s="946"/>
      <c r="AO2106" s="946"/>
      <c r="AP2106" s="946"/>
      <c r="AQ2106" s="946"/>
      <c r="AR2106" s="946"/>
      <c r="AS2106" s="946"/>
      <c r="AT2106" s="946"/>
      <c r="AU2106" s="946"/>
      <c r="AV2106" s="946"/>
      <c r="BD2106" s="1190">
        <f t="shared" si="1267"/>
        <v>0</v>
      </c>
      <c r="BK2106" s="1190">
        <f t="shared" si="1268"/>
        <v>0</v>
      </c>
      <c r="BL2106" s="1190"/>
      <c r="BM2106" s="1190"/>
      <c r="BN2106" s="1190"/>
      <c r="BO2106" s="1190"/>
      <c r="BP2106" s="1190"/>
      <c r="BQ2106" s="1190"/>
      <c r="BR2106" s="1190"/>
      <c r="BS2106" s="1190"/>
      <c r="BU2106" s="1190"/>
      <c r="BV2106" s="1190"/>
      <c r="BW2106" s="1190"/>
      <c r="BX2106" s="1190"/>
      <c r="BY2106" s="1190"/>
      <c r="BZ2106" s="1190"/>
      <c r="CA2106" s="1190"/>
      <c r="CB2106" s="1190"/>
      <c r="CC2106" s="1190"/>
      <c r="CD2106" s="1190"/>
      <c r="CE2106" s="1190"/>
      <c r="CF2106" s="1190"/>
      <c r="CG2106" s="1190"/>
      <c r="CH2106" s="1190"/>
      <c r="CI2106" s="1190"/>
      <c r="CM2106" s="196">
        <f t="shared" si="1269"/>
        <v>0</v>
      </c>
      <c r="CN2106" s="196">
        <v>0</v>
      </c>
      <c r="CP2106" s="923">
        <f t="shared" si="1270"/>
        <v>0</v>
      </c>
      <c r="CZ2106" s="330"/>
    </row>
    <row r="2107" spans="1:104" ht="15" customHeight="1" x14ac:dyDescent="0.25">
      <c r="A2107" s="684">
        <f>MAX($A$6:A2106)+1</f>
        <v>2107</v>
      </c>
      <c r="B2107" s="1060">
        <f t="shared" si="1271"/>
        <v>50</v>
      </c>
      <c r="C2107" s="292" t="str">
        <f t="shared" si="1271"/>
        <v>Staff Data</v>
      </c>
      <c r="D2107" s="292" t="s">
        <v>388</v>
      </c>
      <c r="E2107" s="1271" t="s">
        <v>382</v>
      </c>
      <c r="F2107" s="1267"/>
      <c r="G2107" s="1254" t="s">
        <v>286</v>
      </c>
      <c r="H2107" s="6"/>
      <c r="I2107" s="6"/>
      <c r="J2107" s="1271" t="s">
        <v>382</v>
      </c>
      <c r="K2107" s="946">
        <f>SUMIF('alb A - Staff data'!$A:$A,$J2107,'alb A - Staff data'!$B:$B)</f>
        <v>0</v>
      </c>
      <c r="L2107" s="946">
        <f>SUMIF('alb A - Staff data'!$A:$A,$J2107,'alb A - Staff data'!$H:$H)</f>
        <v>0</v>
      </c>
      <c r="M2107" s="2"/>
      <c r="N2107" s="273">
        <f t="shared" si="1264"/>
        <v>0</v>
      </c>
      <c r="O2107" s="12"/>
      <c r="P2107" s="12"/>
      <c r="Q2107" s="12"/>
      <c r="R2107" s="12"/>
      <c r="S2107" s="6"/>
      <c r="T2107" s="273">
        <f t="shared" si="1265"/>
        <v>0</v>
      </c>
      <c r="U2107" s="946"/>
      <c r="V2107" s="946"/>
      <c r="W2107" s="946">
        <f t="shared" si="1266"/>
        <v>0</v>
      </c>
      <c r="X2107" s="946"/>
      <c r="Y2107" s="946"/>
      <c r="Z2107" s="946"/>
      <c r="AA2107" s="946"/>
      <c r="AB2107" s="946"/>
      <c r="AC2107" s="946"/>
      <c r="AD2107" s="946"/>
      <c r="AE2107" s="946"/>
      <c r="AF2107" s="946"/>
      <c r="AG2107" s="946"/>
      <c r="AH2107" s="946"/>
      <c r="AI2107" s="946"/>
      <c r="AJ2107" s="946"/>
      <c r="AK2107" s="946"/>
      <c r="AL2107" s="946"/>
      <c r="AM2107" s="946"/>
      <c r="AN2107" s="946"/>
      <c r="AO2107" s="946"/>
      <c r="AP2107" s="946"/>
      <c r="AQ2107" s="946"/>
      <c r="AR2107" s="946"/>
      <c r="AS2107" s="946"/>
      <c r="AT2107" s="946"/>
      <c r="AU2107" s="946"/>
      <c r="AV2107" s="946"/>
      <c r="BD2107" s="1190">
        <f t="shared" si="1267"/>
        <v>0</v>
      </c>
      <c r="BK2107" s="1190">
        <f t="shared" si="1268"/>
        <v>0</v>
      </c>
      <c r="BL2107" s="1190"/>
      <c r="BM2107" s="1190"/>
      <c r="BN2107" s="1190"/>
      <c r="BO2107" s="1190"/>
      <c r="BP2107" s="1190"/>
      <c r="BQ2107" s="1190"/>
      <c r="BR2107" s="1190"/>
      <c r="BS2107" s="1190"/>
      <c r="BU2107" s="1190"/>
      <c r="BV2107" s="1190"/>
      <c r="BW2107" s="1190"/>
      <c r="BX2107" s="1190"/>
      <c r="BY2107" s="1190"/>
      <c r="BZ2107" s="1190"/>
      <c r="CA2107" s="1190"/>
      <c r="CB2107" s="1190"/>
      <c r="CC2107" s="1190"/>
      <c r="CD2107" s="1190"/>
      <c r="CE2107" s="1190"/>
      <c r="CF2107" s="1190"/>
      <c r="CG2107" s="1190"/>
      <c r="CH2107" s="1190"/>
      <c r="CI2107" s="1190"/>
      <c r="CM2107" s="196">
        <f t="shared" si="1269"/>
        <v>0</v>
      </c>
      <c r="CN2107" s="196">
        <v>0</v>
      </c>
      <c r="CP2107" s="923">
        <f t="shared" si="1270"/>
        <v>0</v>
      </c>
      <c r="CZ2107" s="330"/>
    </row>
    <row r="2108" spans="1:104" ht="15" customHeight="1" x14ac:dyDescent="0.25">
      <c r="A2108" s="684">
        <f>MAX($A$6:A2107)+1</f>
        <v>2108</v>
      </c>
      <c r="B2108" s="1060">
        <f t="shared" si="1271"/>
        <v>50</v>
      </c>
      <c r="C2108" s="292" t="str">
        <f t="shared" si="1271"/>
        <v>Staff Data</v>
      </c>
      <c r="D2108" s="292" t="s">
        <v>388</v>
      </c>
      <c r="E2108" s="1271" t="s">
        <v>383</v>
      </c>
      <c r="F2108" s="1267"/>
      <c r="G2108" s="1254" t="s">
        <v>286</v>
      </c>
      <c r="H2108" s="6"/>
      <c r="I2108" s="6"/>
      <c r="J2108" s="1271" t="s">
        <v>383</v>
      </c>
      <c r="K2108" s="946">
        <f>SUMIF('alb A - Staff data'!$A:$A,$J2108,'alb A - Staff data'!$B:$B)</f>
        <v>0</v>
      </c>
      <c r="L2108" s="946">
        <f>SUMIF('alb A - Staff data'!$A:$A,$J2108,'alb A - Staff data'!$H:$H)</f>
        <v>0</v>
      </c>
      <c r="M2108" s="2"/>
      <c r="N2108" s="273">
        <f t="shared" si="1264"/>
        <v>0</v>
      </c>
      <c r="O2108" s="12"/>
      <c r="P2108" s="12"/>
      <c r="Q2108" s="12"/>
      <c r="R2108" s="12"/>
      <c r="S2108" s="6"/>
      <c r="T2108" s="273">
        <f t="shared" si="1265"/>
        <v>0</v>
      </c>
      <c r="U2108" s="946"/>
      <c r="V2108" s="946"/>
      <c r="W2108" s="946">
        <f t="shared" si="1266"/>
        <v>0</v>
      </c>
      <c r="X2108" s="946"/>
      <c r="Y2108" s="946"/>
      <c r="Z2108" s="946"/>
      <c r="AA2108" s="946"/>
      <c r="AB2108" s="946"/>
      <c r="AC2108" s="946"/>
      <c r="AD2108" s="946"/>
      <c r="AE2108" s="946"/>
      <c r="AF2108" s="946"/>
      <c r="AG2108" s="946"/>
      <c r="AH2108" s="946"/>
      <c r="AI2108" s="946"/>
      <c r="AJ2108" s="946"/>
      <c r="AK2108" s="946"/>
      <c r="AL2108" s="946"/>
      <c r="AM2108" s="946"/>
      <c r="AN2108" s="946"/>
      <c r="AO2108" s="946"/>
      <c r="AP2108" s="946"/>
      <c r="AQ2108" s="946"/>
      <c r="AR2108" s="946"/>
      <c r="AS2108" s="946"/>
      <c r="AT2108" s="946"/>
      <c r="AU2108" s="946"/>
      <c r="AV2108" s="946"/>
      <c r="BD2108" s="1190">
        <f t="shared" si="1267"/>
        <v>0</v>
      </c>
      <c r="BK2108" s="1190">
        <f t="shared" si="1268"/>
        <v>0</v>
      </c>
      <c r="BL2108" s="1190"/>
      <c r="BM2108" s="1190"/>
      <c r="BN2108" s="1190"/>
      <c r="BO2108" s="1190"/>
      <c r="BP2108" s="1190"/>
      <c r="BQ2108" s="1190"/>
      <c r="BR2108" s="1190"/>
      <c r="BS2108" s="1190"/>
      <c r="BU2108" s="1190"/>
      <c r="BV2108" s="1190"/>
      <c r="BW2108" s="1190"/>
      <c r="BX2108" s="1190"/>
      <c r="BY2108" s="1190"/>
      <c r="BZ2108" s="1190"/>
      <c r="CA2108" s="1190"/>
      <c r="CB2108" s="1190"/>
      <c r="CC2108" s="1190"/>
      <c r="CD2108" s="1190"/>
      <c r="CE2108" s="1190"/>
      <c r="CF2108" s="1190"/>
      <c r="CG2108" s="1190"/>
      <c r="CH2108" s="1190"/>
      <c r="CI2108" s="1190"/>
      <c r="CM2108" s="196">
        <f t="shared" si="1269"/>
        <v>0</v>
      </c>
      <c r="CN2108" s="196">
        <v>0</v>
      </c>
      <c r="CP2108" s="923">
        <f t="shared" si="1270"/>
        <v>0</v>
      </c>
      <c r="CZ2108" s="330"/>
    </row>
    <row r="2109" spans="1:104" ht="15" customHeight="1" x14ac:dyDescent="0.25">
      <c r="A2109" s="684">
        <f>MAX($A$6:A2108)+1</f>
        <v>2109</v>
      </c>
      <c r="B2109" s="1060">
        <f t="shared" si="1271"/>
        <v>50</v>
      </c>
      <c r="C2109" s="292" t="str">
        <f t="shared" si="1271"/>
        <v>Staff Data</v>
      </c>
      <c r="D2109" s="292" t="s">
        <v>388</v>
      </c>
      <c r="E2109" s="1271" t="s">
        <v>384</v>
      </c>
      <c r="F2109" s="1267"/>
      <c r="G2109" s="1254" t="s">
        <v>286</v>
      </c>
      <c r="H2109" s="6"/>
      <c r="I2109" s="6"/>
      <c r="J2109" s="1271" t="s">
        <v>384</v>
      </c>
      <c r="K2109" s="946">
        <f>SUMIF('alb A - Staff data'!$A:$A,$J2109,'alb A - Staff data'!$B:$B)</f>
        <v>0</v>
      </c>
      <c r="L2109" s="946">
        <f>SUMIF('alb A - Staff data'!$A:$A,$J2109,'alb A - Staff data'!$H:$H)</f>
        <v>0</v>
      </c>
      <c r="M2109" s="2"/>
      <c r="N2109" s="273">
        <f t="shared" si="1264"/>
        <v>0</v>
      </c>
      <c r="O2109" s="12"/>
      <c r="P2109" s="12"/>
      <c r="Q2109" s="12"/>
      <c r="R2109" s="12"/>
      <c r="S2109" s="6"/>
      <c r="T2109" s="273">
        <f t="shared" si="1265"/>
        <v>0</v>
      </c>
      <c r="U2109" s="946"/>
      <c r="V2109" s="946"/>
      <c r="W2109" s="946">
        <f t="shared" si="1266"/>
        <v>0</v>
      </c>
      <c r="X2109" s="946"/>
      <c r="Y2109" s="946"/>
      <c r="Z2109" s="946"/>
      <c r="AA2109" s="946"/>
      <c r="AB2109" s="946"/>
      <c r="AC2109" s="946"/>
      <c r="AD2109" s="946"/>
      <c r="AE2109" s="946"/>
      <c r="AF2109" s="946"/>
      <c r="AG2109" s="946"/>
      <c r="AH2109" s="946"/>
      <c r="AI2109" s="946"/>
      <c r="AJ2109" s="946"/>
      <c r="AK2109" s="946"/>
      <c r="AL2109" s="946"/>
      <c r="AM2109" s="946"/>
      <c r="AN2109" s="946"/>
      <c r="AO2109" s="946"/>
      <c r="AP2109" s="946"/>
      <c r="AQ2109" s="946"/>
      <c r="AR2109" s="946"/>
      <c r="AS2109" s="946"/>
      <c r="AT2109" s="946"/>
      <c r="AU2109" s="946"/>
      <c r="AV2109" s="946"/>
      <c r="BD2109" s="1190">
        <f t="shared" si="1267"/>
        <v>0</v>
      </c>
      <c r="BK2109" s="1190">
        <f t="shared" si="1268"/>
        <v>0</v>
      </c>
      <c r="BL2109" s="1190"/>
      <c r="BM2109" s="1190"/>
      <c r="BN2109" s="1190"/>
      <c r="BO2109" s="1190"/>
      <c r="BP2109" s="1190"/>
      <c r="BQ2109" s="1190"/>
      <c r="BR2109" s="1190"/>
      <c r="BS2109" s="1190"/>
      <c r="BU2109" s="1190"/>
      <c r="BV2109" s="1190"/>
      <c r="BW2109" s="1190"/>
      <c r="BX2109" s="1190"/>
      <c r="BY2109" s="1190"/>
      <c r="BZ2109" s="1190"/>
      <c r="CA2109" s="1190"/>
      <c r="CB2109" s="1190"/>
      <c r="CC2109" s="1190"/>
      <c r="CD2109" s="1190"/>
      <c r="CE2109" s="1190"/>
      <c r="CF2109" s="1190"/>
      <c r="CG2109" s="1190"/>
      <c r="CH2109" s="1190"/>
      <c r="CI2109" s="1190"/>
      <c r="CM2109" s="196">
        <f t="shared" si="1269"/>
        <v>0</v>
      </c>
      <c r="CN2109" s="196">
        <v>1</v>
      </c>
      <c r="CP2109" s="923">
        <f t="shared" si="1270"/>
        <v>0</v>
      </c>
      <c r="CZ2109" s="330"/>
    </row>
    <row r="2110" spans="1:104" ht="15" customHeight="1" x14ac:dyDescent="0.25">
      <c r="A2110" s="684">
        <f>MAX($A$6:A2109)+1</f>
        <v>2110</v>
      </c>
      <c r="B2110" s="1060">
        <f t="shared" si="1271"/>
        <v>50</v>
      </c>
      <c r="C2110" s="292" t="str">
        <f t="shared" si="1271"/>
        <v>Staff Data</v>
      </c>
      <c r="D2110" s="292" t="s">
        <v>388</v>
      </c>
      <c r="E2110" s="1271" t="s">
        <v>385</v>
      </c>
      <c r="F2110" s="1267"/>
      <c r="G2110" s="1254" t="s">
        <v>286</v>
      </c>
      <c r="H2110" s="6"/>
      <c r="I2110" s="6"/>
      <c r="J2110" s="1271" t="s">
        <v>385</v>
      </c>
      <c r="K2110" s="946">
        <f>SUMIF('alb A - Staff data'!$A:$A,$J2110,'alb A - Staff data'!$B:$B)</f>
        <v>0</v>
      </c>
      <c r="L2110" s="946">
        <f>SUMIF('alb A - Staff data'!$A:$A,$J2110,'alb A - Staff data'!$H:$H)</f>
        <v>0</v>
      </c>
      <c r="M2110" s="2"/>
      <c r="N2110" s="273">
        <f t="shared" si="1264"/>
        <v>0</v>
      </c>
      <c r="O2110" s="12"/>
      <c r="P2110" s="12"/>
      <c r="Q2110" s="12"/>
      <c r="R2110" s="12"/>
      <c r="S2110" s="6"/>
      <c r="T2110" s="273">
        <f t="shared" si="1265"/>
        <v>0</v>
      </c>
      <c r="U2110" s="946"/>
      <c r="V2110" s="946"/>
      <c r="W2110" s="946">
        <f t="shared" si="1266"/>
        <v>0</v>
      </c>
      <c r="X2110" s="946"/>
      <c r="Y2110" s="946"/>
      <c r="Z2110" s="946"/>
      <c r="AA2110" s="946"/>
      <c r="AB2110" s="946"/>
      <c r="AC2110" s="946"/>
      <c r="AD2110" s="946"/>
      <c r="AE2110" s="946"/>
      <c r="AF2110" s="946"/>
      <c r="AG2110" s="946"/>
      <c r="AH2110" s="946"/>
      <c r="AI2110" s="946"/>
      <c r="AJ2110" s="946"/>
      <c r="AK2110" s="946"/>
      <c r="AL2110" s="946"/>
      <c r="AM2110" s="946"/>
      <c r="AN2110" s="946"/>
      <c r="AO2110" s="946"/>
      <c r="AP2110" s="946"/>
      <c r="AQ2110" s="946"/>
      <c r="AR2110" s="946"/>
      <c r="AS2110" s="946"/>
      <c r="AT2110" s="946"/>
      <c r="AU2110" s="946"/>
      <c r="AV2110" s="946"/>
      <c r="BD2110" s="1190">
        <f t="shared" si="1267"/>
        <v>0</v>
      </c>
      <c r="BK2110" s="1190">
        <f t="shared" si="1268"/>
        <v>0</v>
      </c>
      <c r="BL2110" s="1190"/>
      <c r="BM2110" s="1190"/>
      <c r="BN2110" s="1190"/>
      <c r="BO2110" s="1190"/>
      <c r="BP2110" s="1190"/>
      <c r="BQ2110" s="1190"/>
      <c r="BR2110" s="1190"/>
      <c r="BS2110" s="1190"/>
      <c r="BU2110" s="1190"/>
      <c r="BV2110" s="1190"/>
      <c r="BW2110" s="1190"/>
      <c r="BX2110" s="1190"/>
      <c r="BY2110" s="1190"/>
      <c r="BZ2110" s="1190"/>
      <c r="CA2110" s="1190"/>
      <c r="CB2110" s="1190"/>
      <c r="CC2110" s="1190"/>
      <c r="CD2110" s="1190"/>
      <c r="CE2110" s="1190"/>
      <c r="CF2110" s="1190"/>
      <c r="CG2110" s="1190"/>
      <c r="CH2110" s="1190"/>
      <c r="CI2110" s="1190"/>
      <c r="CM2110" s="196">
        <f t="shared" si="1269"/>
        <v>0</v>
      </c>
      <c r="CN2110" s="196">
        <v>0</v>
      </c>
      <c r="CP2110" s="923">
        <f t="shared" si="1270"/>
        <v>0</v>
      </c>
      <c r="CZ2110" s="330"/>
    </row>
    <row r="2111" spans="1:104" ht="15" customHeight="1" x14ac:dyDescent="0.25">
      <c r="A2111" s="684">
        <f>MAX($A$6:A2110)+1</f>
        <v>2111</v>
      </c>
      <c r="B2111" s="1060">
        <f t="shared" si="1271"/>
        <v>50</v>
      </c>
      <c r="C2111" s="292" t="str">
        <f t="shared" si="1271"/>
        <v>Staff Data</v>
      </c>
      <c r="D2111" s="292" t="s">
        <v>388</v>
      </c>
      <c r="E2111" s="1271" t="s">
        <v>386</v>
      </c>
      <c r="F2111" s="1267"/>
      <c r="G2111" s="1254" t="s">
        <v>286</v>
      </c>
      <c r="H2111" s="6">
        <v>0</v>
      </c>
      <c r="I2111" s="6"/>
      <c r="J2111" s="1271" t="s">
        <v>386</v>
      </c>
      <c r="K2111" s="946">
        <f>SUMIF('alb A - Staff data'!$A:$A,$J2111,'alb A - Staff data'!$B:$B)</f>
        <v>0</v>
      </c>
      <c r="L2111" s="946">
        <f>SUMIF('alb A - Staff data'!$A:$A,$J2111,'alb A - Staff data'!$H:$H)</f>
        <v>0</v>
      </c>
      <c r="M2111" s="2"/>
      <c r="N2111" s="273">
        <f t="shared" si="1264"/>
        <v>0</v>
      </c>
      <c r="O2111" s="12"/>
      <c r="P2111" s="12"/>
      <c r="Q2111" s="12"/>
      <c r="R2111" s="12"/>
      <c r="S2111" s="6">
        <f>-IF(ISNUMBER(BD2111),BD2111,0)</f>
        <v>0</v>
      </c>
      <c r="T2111" s="273">
        <f t="shared" si="1265"/>
        <v>0</v>
      </c>
      <c r="U2111" s="946"/>
      <c r="V2111" s="946"/>
      <c r="W2111" s="946">
        <f t="shared" si="1266"/>
        <v>0</v>
      </c>
      <c r="X2111" s="946"/>
      <c r="Y2111" s="946"/>
      <c r="Z2111" s="946"/>
      <c r="AA2111" s="946"/>
      <c r="AB2111" s="946"/>
      <c r="AC2111" s="946"/>
      <c r="AD2111" s="946"/>
      <c r="AE2111" s="946"/>
      <c r="AF2111" s="946"/>
      <c r="AG2111" s="946"/>
      <c r="AH2111" s="946"/>
      <c r="AI2111" s="946"/>
      <c r="AJ2111" s="946"/>
      <c r="AK2111" s="946"/>
      <c r="AL2111" s="946"/>
      <c r="AM2111" s="946"/>
      <c r="AN2111" s="946"/>
      <c r="AO2111" s="946"/>
      <c r="AP2111" s="946"/>
      <c r="AQ2111" s="946"/>
      <c r="AR2111" s="946"/>
      <c r="AS2111" s="946"/>
      <c r="AT2111" s="946"/>
      <c r="AU2111" s="946"/>
      <c r="AV2111" s="946"/>
      <c r="BD2111" s="1190">
        <f t="shared" si="1267"/>
        <v>0</v>
      </c>
      <c r="BK2111" s="1190">
        <f t="shared" si="1268"/>
        <v>0</v>
      </c>
      <c r="BL2111" s="1190"/>
      <c r="BM2111" s="1190"/>
      <c r="BN2111" s="1190"/>
      <c r="BO2111" s="1190"/>
      <c r="BP2111" s="1190"/>
      <c r="BQ2111" s="1190"/>
      <c r="BR2111" s="1190"/>
      <c r="BS2111" s="1190"/>
      <c r="BU2111" s="1190"/>
      <c r="BV2111" s="1190"/>
      <c r="BW2111" s="1190"/>
      <c r="BX2111" s="1190"/>
      <c r="BY2111" s="1190"/>
      <c r="BZ2111" s="1190"/>
      <c r="CA2111" s="1190"/>
      <c r="CB2111" s="1190"/>
      <c r="CC2111" s="1190"/>
      <c r="CD2111" s="1190"/>
      <c r="CE2111" s="1190"/>
      <c r="CF2111" s="1190"/>
      <c r="CG2111" s="1190"/>
      <c r="CH2111" s="1190"/>
      <c r="CI2111" s="1190"/>
      <c r="CM2111" s="196">
        <f t="shared" si="1269"/>
        <v>0</v>
      </c>
      <c r="CN2111" s="196">
        <v>0</v>
      </c>
      <c r="CP2111" s="923">
        <f t="shared" si="1270"/>
        <v>0</v>
      </c>
      <c r="CZ2111" s="330"/>
    </row>
    <row r="2112" spans="1:104" ht="15" customHeight="1" x14ac:dyDescent="0.25">
      <c r="A2112" s="684">
        <f>MAX($A$6:A2111)+1</f>
        <v>2112</v>
      </c>
      <c r="B2112" s="1060"/>
      <c r="C2112" s="292"/>
      <c r="D2112" s="292" t="s">
        <v>388</v>
      </c>
      <c r="E2112" s="1271"/>
      <c r="F2112" s="1267"/>
      <c r="G2112" s="1254"/>
      <c r="H2112" s="6">
        <f>SUM(H2098:H2111)</f>
        <v>0</v>
      </c>
      <c r="I2112" s="6"/>
      <c r="J2112" s="1271"/>
      <c r="K2112" s="946"/>
      <c r="L2112" s="251"/>
      <c r="M2112" s="2"/>
      <c r="N2112" s="273"/>
      <c r="O2112" s="12"/>
      <c r="P2112" s="12"/>
      <c r="Q2112" s="12"/>
      <c r="R2112" s="12"/>
      <c r="S2112" s="6"/>
      <c r="T2112" s="273"/>
      <c r="U2112" s="946"/>
      <c r="V2112" s="946"/>
      <c r="W2112" s="946">
        <f t="shared" si="1266"/>
        <v>0</v>
      </c>
      <c r="X2112" s="946"/>
      <c r="Y2112" s="946"/>
      <c r="Z2112" s="946"/>
      <c r="AA2112" s="946"/>
      <c r="AB2112" s="946"/>
      <c r="AC2112" s="946"/>
      <c r="AD2112" s="946"/>
      <c r="AE2112" s="946"/>
      <c r="AF2112" s="946"/>
      <c r="AG2112" s="946"/>
      <c r="AH2112" s="946"/>
      <c r="AI2112" s="946"/>
      <c r="AJ2112" s="946"/>
      <c r="AK2112" s="946"/>
      <c r="AL2112" s="946"/>
      <c r="AM2112" s="946"/>
      <c r="AN2112" s="946"/>
      <c r="AO2112" s="946"/>
      <c r="AP2112" s="946"/>
      <c r="AQ2112" s="946"/>
      <c r="AR2112" s="946"/>
      <c r="AS2112" s="946"/>
      <c r="AT2112" s="946"/>
      <c r="AU2112" s="946"/>
      <c r="AV2112" s="946"/>
      <c r="BD2112" s="1190">
        <f t="shared" si="1267"/>
        <v>0</v>
      </c>
      <c r="BK2112" s="1190">
        <f t="shared" si="1268"/>
        <v>0</v>
      </c>
      <c r="BL2112" s="1190"/>
      <c r="BM2112" s="1190"/>
      <c r="BN2112" s="1190"/>
      <c r="BO2112" s="1190"/>
      <c r="BP2112" s="1190"/>
      <c r="BQ2112" s="1190"/>
      <c r="BR2112" s="1190"/>
      <c r="BS2112" s="1190"/>
      <c r="BU2112" s="1190"/>
      <c r="BV2112" s="1190"/>
      <c r="BW2112" s="1190"/>
      <c r="BX2112" s="1190"/>
      <c r="BY2112" s="1190"/>
      <c r="BZ2112" s="1190"/>
      <c r="CA2112" s="1190"/>
      <c r="CB2112" s="1190"/>
      <c r="CC2112" s="1190"/>
      <c r="CD2112" s="1190"/>
      <c r="CE2112" s="1190"/>
      <c r="CF2112" s="1190"/>
      <c r="CG2112" s="1190"/>
      <c r="CH2112" s="1190"/>
      <c r="CI2112" s="1190"/>
      <c r="CM2112" s="196">
        <f t="shared" si="1269"/>
        <v>0</v>
      </c>
      <c r="CN2112" s="196">
        <v>0</v>
      </c>
      <c r="CP2112" s="923">
        <f t="shared" si="1270"/>
        <v>0</v>
      </c>
      <c r="CZ2112" s="330"/>
    </row>
    <row r="2113" spans="1:104" ht="15" customHeight="1" x14ac:dyDescent="0.25">
      <c r="A2113" s="684">
        <f>MAX($A$6:A2112)+1</f>
        <v>2113</v>
      </c>
      <c r="B2113" s="1060">
        <f>B2111</f>
        <v>50</v>
      </c>
      <c r="C2113" s="292" t="str">
        <f>C2111</f>
        <v>Staff Data</v>
      </c>
      <c r="D2113" s="292" t="s">
        <v>388</v>
      </c>
      <c r="E2113" s="1267" t="s">
        <v>1898</v>
      </c>
      <c r="F2113" s="1267"/>
      <c r="G2113" s="1254" t="s">
        <v>286</v>
      </c>
      <c r="H2113" s="6"/>
      <c r="I2113" s="6"/>
      <c r="J2113" s="1272" t="s">
        <v>387</v>
      </c>
      <c r="K2113" s="946">
        <f>SUMIF('alb A - Staff data'!$A:$A,$J2113,'alb A - Staff data'!$B:$B)</f>
        <v>0</v>
      </c>
      <c r="L2113" s="946">
        <f>SUMIF('alb A - Staff data'!$A:$A,$J2113,'alb A - Staff data'!$H:$H)</f>
        <v>0</v>
      </c>
      <c r="M2113" s="2"/>
      <c r="N2113" s="273">
        <f>ROUND(SUM(O2113:AU2113)-T2113,0)</f>
        <v>0</v>
      </c>
      <c r="O2113" s="12"/>
      <c r="P2113" s="12"/>
      <c r="Q2113" s="12"/>
      <c r="R2113" s="12"/>
      <c r="S2113" s="6">
        <f>-IF(ISNUMBER(BD2113),BD2113,0)</f>
        <v>0</v>
      </c>
      <c r="T2113" s="273">
        <f>ROUND(SUM(U2113:Y2113),0)</f>
        <v>0</v>
      </c>
      <c r="U2113" s="6"/>
      <c r="V2113" s="6"/>
      <c r="W2113" s="946">
        <f t="shared" si="1266"/>
        <v>0</v>
      </c>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BD2113" s="1190">
        <f t="shared" si="1267"/>
        <v>0</v>
      </c>
      <c r="BK2113" s="1190">
        <f t="shared" si="1268"/>
        <v>0</v>
      </c>
      <c r="BL2113" s="1190"/>
      <c r="BM2113" s="1190"/>
      <c r="BN2113" s="1190"/>
      <c r="BO2113" s="1190"/>
      <c r="BP2113" s="1190"/>
      <c r="BQ2113" s="1190"/>
      <c r="BR2113" s="1190"/>
      <c r="BS2113" s="1190"/>
      <c r="BU2113" s="1190"/>
      <c r="BV2113" s="1190"/>
      <c r="BW2113" s="1190"/>
      <c r="BX2113" s="1190"/>
      <c r="BY2113" s="1190"/>
      <c r="BZ2113" s="1190"/>
      <c r="CA2113" s="1190"/>
      <c r="CB2113" s="1190"/>
      <c r="CC2113" s="1190"/>
      <c r="CD2113" s="1190"/>
      <c r="CE2113" s="1190"/>
      <c r="CF2113" s="1190"/>
      <c r="CG2113" s="1190"/>
      <c r="CH2113" s="1190"/>
      <c r="CI2113" s="1190"/>
      <c r="CM2113" s="196">
        <f t="shared" si="1269"/>
        <v>0</v>
      </c>
      <c r="CN2113" s="196">
        <v>1</v>
      </c>
      <c r="CP2113" s="923">
        <f t="shared" si="1270"/>
        <v>0</v>
      </c>
      <c r="CZ2113" s="330"/>
    </row>
    <row r="2114" spans="1:104" ht="15" customHeight="1" x14ac:dyDescent="0.25">
      <c r="A2114" s="684">
        <f>MAX($A$6:A2113)+1</f>
        <v>2114</v>
      </c>
      <c r="B2114" s="1060">
        <f>B2113</f>
        <v>50</v>
      </c>
      <c r="C2114" s="292" t="str">
        <f>C2113</f>
        <v>Staff Data</v>
      </c>
      <c r="D2114" s="11" t="s">
        <v>1425</v>
      </c>
      <c r="E2114" s="1267" t="s">
        <v>478</v>
      </c>
      <c r="F2114" s="1267"/>
      <c r="G2114" s="1254" t="s">
        <v>286</v>
      </c>
      <c r="H2114" s="6"/>
      <c r="I2114" s="6"/>
      <c r="J2114" s="1257" t="s">
        <v>1704</v>
      </c>
      <c r="K2114" s="946">
        <f>SUMIF('alb A - Staff data'!$A:$A,$J2114,'alb A - Staff data'!$B:$B)</f>
        <v>0</v>
      </c>
      <c r="L2114" s="266"/>
      <c r="M2114" s="2"/>
      <c r="N2114" s="273">
        <f t="shared" ref="N2114:N2119" si="1272">ROUND(SUM(O2114:AU2114)-T2114,0)</f>
        <v>0</v>
      </c>
      <c r="O2114" s="12"/>
      <c r="P2114" s="12"/>
      <c r="Q2114" s="12"/>
      <c r="R2114" s="12"/>
      <c r="S2114" s="6">
        <f t="shared" ref="S2114:S2118" si="1273">-IF(ISNUMBER(BD2114),BD2114,0)</f>
        <v>0</v>
      </c>
      <c r="T2114" s="273">
        <f t="shared" ref="T2114:T2119" si="1274">ROUND(SUM(U2114:Y2114),0)</f>
        <v>0</v>
      </c>
      <c r="U2114" s="946"/>
      <c r="V2114" s="946"/>
      <c r="W2114" s="946">
        <f t="shared" ref="W2114:W2119" si="1275">+H2114</f>
        <v>0</v>
      </c>
      <c r="X2114" s="946"/>
      <c r="Y2114" s="946"/>
      <c r="Z2114" s="946"/>
      <c r="AA2114" s="946"/>
      <c r="AB2114" s="946"/>
      <c r="AC2114" s="946"/>
      <c r="AD2114" s="946"/>
      <c r="AE2114" s="946"/>
      <c r="AF2114" s="946"/>
      <c r="AG2114" s="946"/>
      <c r="AH2114" s="946"/>
      <c r="AI2114" s="946"/>
      <c r="AJ2114" s="946"/>
      <c r="AK2114" s="946"/>
      <c r="AL2114" s="946"/>
      <c r="AM2114" s="946"/>
      <c r="AN2114" s="946"/>
      <c r="AO2114" s="946"/>
      <c r="AP2114" s="946"/>
      <c r="AQ2114" s="946"/>
      <c r="AR2114" s="946"/>
      <c r="AS2114" s="946"/>
      <c r="AT2114" s="946"/>
      <c r="AU2114" s="946"/>
      <c r="AV2114" s="946"/>
      <c r="BD2114" s="1190">
        <f t="shared" si="1267"/>
        <v>0</v>
      </c>
      <c r="BK2114" s="1190">
        <f t="shared" si="1268"/>
        <v>0</v>
      </c>
      <c r="BL2114" s="1190"/>
      <c r="BM2114" s="1190"/>
      <c r="BN2114" s="1190"/>
      <c r="BO2114" s="1190"/>
      <c r="BP2114" s="1190"/>
      <c r="BQ2114" s="1190"/>
      <c r="BR2114" s="1190"/>
      <c r="BS2114" s="1190"/>
      <c r="BU2114" s="1190"/>
      <c r="BV2114" s="1190"/>
      <c r="BW2114" s="1190"/>
      <c r="BX2114" s="1190"/>
      <c r="BY2114" s="1190"/>
      <c r="BZ2114" s="1190"/>
      <c r="CA2114" s="1190"/>
      <c r="CB2114" s="1190"/>
      <c r="CC2114" s="1190"/>
      <c r="CD2114" s="1190"/>
      <c r="CE2114" s="1190"/>
      <c r="CF2114" s="1190"/>
      <c r="CG2114" s="1190"/>
      <c r="CH2114" s="1190"/>
      <c r="CI2114" s="1190"/>
      <c r="CM2114" s="196">
        <f t="shared" si="1269"/>
        <v>0</v>
      </c>
      <c r="CN2114" s="196">
        <v>0</v>
      </c>
      <c r="CP2114" s="923">
        <f t="shared" si="1270"/>
        <v>0</v>
      </c>
      <c r="CZ2114" s="330"/>
    </row>
    <row r="2115" spans="1:104" ht="15" customHeight="1" x14ac:dyDescent="0.25">
      <c r="A2115" s="684">
        <f>MAX($A$6:A2114)+1</f>
        <v>2115</v>
      </c>
      <c r="B2115" s="1060">
        <f t="shared" ref="B2115:C2119" si="1276">B2114</f>
        <v>50</v>
      </c>
      <c r="C2115" s="292" t="str">
        <f t="shared" si="1276"/>
        <v>Staff Data</v>
      </c>
      <c r="D2115" s="11" t="s">
        <v>1425</v>
      </c>
      <c r="E2115" s="1267" t="s">
        <v>181</v>
      </c>
      <c r="F2115" s="1267"/>
      <c r="G2115" s="1254" t="s">
        <v>286</v>
      </c>
      <c r="H2115" s="6"/>
      <c r="I2115" s="6"/>
      <c r="J2115" s="1257" t="s">
        <v>1705</v>
      </c>
      <c r="K2115" s="946">
        <f>SUMIF('alb A - Staff data'!$A:$A,$J2115,'alb A - Staff data'!$B:$B)</f>
        <v>0</v>
      </c>
      <c r="L2115" s="266"/>
      <c r="M2115" s="2"/>
      <c r="N2115" s="273">
        <f t="shared" si="1272"/>
        <v>0</v>
      </c>
      <c r="O2115" s="12"/>
      <c r="P2115" s="12"/>
      <c r="Q2115" s="12"/>
      <c r="R2115" s="12"/>
      <c r="S2115" s="6">
        <f t="shared" si="1273"/>
        <v>0</v>
      </c>
      <c r="T2115" s="273">
        <f t="shared" si="1274"/>
        <v>0</v>
      </c>
      <c r="U2115" s="946"/>
      <c r="V2115" s="946"/>
      <c r="W2115" s="946">
        <f t="shared" si="1275"/>
        <v>0</v>
      </c>
      <c r="X2115" s="946"/>
      <c r="Y2115" s="946"/>
      <c r="Z2115" s="946"/>
      <c r="AA2115" s="946"/>
      <c r="AB2115" s="946"/>
      <c r="AC2115" s="946"/>
      <c r="AD2115" s="946"/>
      <c r="AE2115" s="946"/>
      <c r="AF2115" s="946"/>
      <c r="AG2115" s="946"/>
      <c r="AH2115" s="946"/>
      <c r="AI2115" s="946"/>
      <c r="AJ2115" s="946"/>
      <c r="AK2115" s="946"/>
      <c r="AL2115" s="946"/>
      <c r="AM2115" s="946"/>
      <c r="AN2115" s="946"/>
      <c r="AO2115" s="946"/>
      <c r="AP2115" s="946"/>
      <c r="AQ2115" s="946"/>
      <c r="AR2115" s="946"/>
      <c r="AS2115" s="946"/>
      <c r="AT2115" s="946"/>
      <c r="AU2115" s="946"/>
      <c r="AV2115" s="946"/>
      <c r="BD2115" s="1190">
        <f t="shared" si="1267"/>
        <v>0</v>
      </c>
      <c r="BK2115" s="1190">
        <f t="shared" si="1268"/>
        <v>0</v>
      </c>
      <c r="BL2115" s="1190"/>
      <c r="BM2115" s="1190"/>
      <c r="BN2115" s="1190"/>
      <c r="BO2115" s="1190"/>
      <c r="BP2115" s="1190"/>
      <c r="BQ2115" s="1190"/>
      <c r="BR2115" s="1190"/>
      <c r="BS2115" s="1190"/>
      <c r="BU2115" s="1190"/>
      <c r="BV2115" s="1190"/>
      <c r="BW2115" s="1190"/>
      <c r="BX2115" s="1190"/>
      <c r="BY2115" s="1190"/>
      <c r="BZ2115" s="1190"/>
      <c r="CA2115" s="1190"/>
      <c r="CB2115" s="1190"/>
      <c r="CC2115" s="1190"/>
      <c r="CD2115" s="1190"/>
      <c r="CE2115" s="1190"/>
      <c r="CF2115" s="1190"/>
      <c r="CG2115" s="1190"/>
      <c r="CH2115" s="1190"/>
      <c r="CI2115" s="1190"/>
      <c r="CM2115" s="196">
        <f t="shared" si="1269"/>
        <v>0</v>
      </c>
      <c r="CN2115" s="196">
        <v>0</v>
      </c>
      <c r="CP2115" s="923">
        <f t="shared" si="1270"/>
        <v>0</v>
      </c>
      <c r="CZ2115" s="330"/>
    </row>
    <row r="2116" spans="1:104" ht="15" customHeight="1" x14ac:dyDescent="0.25">
      <c r="A2116" s="684">
        <f>MAX($A$6:A2115)+1</f>
        <v>2116</v>
      </c>
      <c r="B2116" s="1060">
        <f t="shared" si="1276"/>
        <v>50</v>
      </c>
      <c r="C2116" s="292" t="str">
        <f t="shared" si="1276"/>
        <v>Staff Data</v>
      </c>
      <c r="D2116" s="11" t="s">
        <v>1425</v>
      </c>
      <c r="E2116" s="1267" t="s">
        <v>181</v>
      </c>
      <c r="F2116" s="1267"/>
      <c r="G2116" s="1254" t="s">
        <v>286</v>
      </c>
      <c r="H2116" s="6"/>
      <c r="I2116" s="6"/>
      <c r="J2116" s="1257" t="s">
        <v>820</v>
      </c>
      <c r="K2116" s="946">
        <f>SUMIF('alb A - Staff data'!$A:$A,$J2116,'alb A - Staff data'!$B:$B)</f>
        <v>0</v>
      </c>
      <c r="L2116" s="266"/>
      <c r="M2116" s="2"/>
      <c r="N2116" s="273">
        <f t="shared" si="1272"/>
        <v>0</v>
      </c>
      <c r="O2116" s="12"/>
      <c r="P2116" s="12"/>
      <c r="Q2116" s="12"/>
      <c r="R2116" s="12"/>
      <c r="S2116" s="6">
        <f t="shared" si="1273"/>
        <v>0</v>
      </c>
      <c r="T2116" s="273">
        <f t="shared" si="1274"/>
        <v>0</v>
      </c>
      <c r="U2116" s="6"/>
      <c r="V2116" s="6"/>
      <c r="W2116" s="6">
        <f t="shared" si="1275"/>
        <v>0</v>
      </c>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BD2116" s="1190">
        <f t="shared" si="1267"/>
        <v>0</v>
      </c>
      <c r="BK2116" s="1190">
        <f t="shared" si="1268"/>
        <v>0</v>
      </c>
      <c r="BL2116" s="1190"/>
      <c r="BM2116" s="1190"/>
      <c r="BN2116" s="1190"/>
      <c r="BO2116" s="1190"/>
      <c r="BP2116" s="1190"/>
      <c r="BQ2116" s="1190"/>
      <c r="BR2116" s="1190"/>
      <c r="BS2116" s="1190"/>
      <c r="BU2116" s="1190"/>
      <c r="BV2116" s="1190"/>
      <c r="BW2116" s="1190"/>
      <c r="BX2116" s="1190"/>
      <c r="BY2116" s="1190"/>
      <c r="BZ2116" s="1190"/>
      <c r="CA2116" s="1190"/>
      <c r="CB2116" s="1190"/>
      <c r="CC2116" s="1190"/>
      <c r="CD2116" s="1190"/>
      <c r="CE2116" s="1190"/>
      <c r="CF2116" s="1190"/>
      <c r="CG2116" s="1190"/>
      <c r="CH2116" s="1190"/>
      <c r="CI2116" s="1190"/>
      <c r="CM2116" s="196">
        <f t="shared" si="1269"/>
        <v>0</v>
      </c>
      <c r="CN2116" s="196">
        <v>0</v>
      </c>
      <c r="CP2116" s="923">
        <f t="shared" si="1270"/>
        <v>0</v>
      </c>
      <c r="CZ2116" s="330"/>
    </row>
    <row r="2117" spans="1:104" ht="15" customHeight="1" x14ac:dyDescent="0.25">
      <c r="A2117" s="684">
        <f>MAX($A$6:A2116)+1</f>
        <v>2117</v>
      </c>
      <c r="B2117" s="1060">
        <f t="shared" si="1276"/>
        <v>50</v>
      </c>
      <c r="C2117" s="292" t="str">
        <f t="shared" si="1276"/>
        <v>Staff Data</v>
      </c>
      <c r="D2117" s="11" t="s">
        <v>1426</v>
      </c>
      <c r="E2117" s="1267" t="s">
        <v>476</v>
      </c>
      <c r="F2117" s="1267"/>
      <c r="G2117" s="1254" t="s">
        <v>286</v>
      </c>
      <c r="H2117" s="6"/>
      <c r="I2117" s="6"/>
      <c r="J2117" s="1257" t="s">
        <v>1704</v>
      </c>
      <c r="K2117" s="946">
        <f>SUMIF('alb A - Staff data'!$A:$A,$J2117,'alb A - Staff data'!$C:$C)</f>
        <v>0</v>
      </c>
      <c r="L2117" s="266"/>
      <c r="M2117" s="2"/>
      <c r="N2117" s="273">
        <f t="shared" si="1272"/>
        <v>0</v>
      </c>
      <c r="O2117" s="12"/>
      <c r="P2117" s="12"/>
      <c r="Q2117" s="12"/>
      <c r="R2117" s="12"/>
      <c r="S2117" s="6">
        <f t="shared" si="1273"/>
        <v>0</v>
      </c>
      <c r="T2117" s="273">
        <f t="shared" si="1274"/>
        <v>0</v>
      </c>
      <c r="U2117" s="6"/>
      <c r="V2117" s="6"/>
      <c r="W2117" s="6">
        <f t="shared" si="1275"/>
        <v>0</v>
      </c>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BD2117" s="1190">
        <f t="shared" si="1267"/>
        <v>0</v>
      </c>
      <c r="BK2117" s="1190">
        <f t="shared" si="1268"/>
        <v>0</v>
      </c>
      <c r="BL2117" s="1190"/>
      <c r="BM2117" s="1190"/>
      <c r="BN2117" s="1190"/>
      <c r="BO2117" s="1190"/>
      <c r="BP2117" s="1190"/>
      <c r="BQ2117" s="1190"/>
      <c r="BR2117" s="1190"/>
      <c r="BS2117" s="1190"/>
      <c r="BU2117" s="1190"/>
      <c r="BV2117" s="1190"/>
      <c r="BW2117" s="1190"/>
      <c r="BX2117" s="1190"/>
      <c r="BY2117" s="1190"/>
      <c r="BZ2117" s="1190"/>
      <c r="CA2117" s="1190"/>
      <c r="CB2117" s="1190"/>
      <c r="CC2117" s="1190"/>
      <c r="CD2117" s="1190"/>
      <c r="CE2117" s="1190"/>
      <c r="CF2117" s="1190"/>
      <c r="CG2117" s="1190"/>
      <c r="CH2117" s="1190"/>
      <c r="CI2117" s="1190"/>
      <c r="CM2117" s="196">
        <f t="shared" si="1269"/>
        <v>0</v>
      </c>
      <c r="CN2117" s="196">
        <v>0</v>
      </c>
      <c r="CP2117" s="923">
        <f t="shared" si="1270"/>
        <v>0</v>
      </c>
      <c r="CZ2117" s="330"/>
    </row>
    <row r="2118" spans="1:104" ht="15" customHeight="1" x14ac:dyDescent="0.25">
      <c r="A2118" s="684">
        <f>MAX($A$6:A2117)+1</f>
        <v>2118</v>
      </c>
      <c r="B2118" s="1060">
        <f t="shared" si="1276"/>
        <v>50</v>
      </c>
      <c r="C2118" s="292" t="str">
        <f t="shared" si="1276"/>
        <v>Staff Data</v>
      </c>
      <c r="D2118" s="11" t="s">
        <v>1426</v>
      </c>
      <c r="E2118" s="1267" t="s">
        <v>478</v>
      </c>
      <c r="F2118" s="1267"/>
      <c r="G2118" s="1254" t="s">
        <v>286</v>
      </c>
      <c r="H2118" s="6"/>
      <c r="I2118" s="6"/>
      <c r="J2118" s="1257" t="s">
        <v>1705</v>
      </c>
      <c r="K2118" s="946">
        <f>SUMIF('alb A - Staff data'!$A:$A,$J2118,'alb A - Staff data'!$C:$C)</f>
        <v>0</v>
      </c>
      <c r="L2118" s="266"/>
      <c r="M2118" s="2"/>
      <c r="N2118" s="273">
        <f t="shared" si="1272"/>
        <v>0</v>
      </c>
      <c r="O2118" s="12"/>
      <c r="P2118" s="12"/>
      <c r="Q2118" s="12"/>
      <c r="R2118" s="12"/>
      <c r="S2118" s="6">
        <f t="shared" si="1273"/>
        <v>0</v>
      </c>
      <c r="T2118" s="273">
        <f t="shared" si="1274"/>
        <v>0</v>
      </c>
      <c r="U2118" s="6"/>
      <c r="V2118" s="6"/>
      <c r="W2118" s="6">
        <f t="shared" si="1275"/>
        <v>0</v>
      </c>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BD2118" s="1190">
        <f t="shared" si="1267"/>
        <v>0</v>
      </c>
      <c r="BK2118" s="1190">
        <f t="shared" si="1268"/>
        <v>0</v>
      </c>
      <c r="BL2118" s="1190"/>
      <c r="BM2118" s="1190"/>
      <c r="BN2118" s="1190"/>
      <c r="BO2118" s="1190"/>
      <c r="BP2118" s="1190"/>
      <c r="BQ2118" s="1190"/>
      <c r="BR2118" s="1190"/>
      <c r="BS2118" s="1190"/>
      <c r="BU2118" s="1190"/>
      <c r="BV2118" s="1190"/>
      <c r="BW2118" s="1190"/>
      <c r="BX2118" s="1190"/>
      <c r="BY2118" s="1190"/>
      <c r="BZ2118" s="1190"/>
      <c r="CA2118" s="1190"/>
      <c r="CB2118" s="1190"/>
      <c r="CC2118" s="1190"/>
      <c r="CD2118" s="1190"/>
      <c r="CE2118" s="1190"/>
      <c r="CF2118" s="1190"/>
      <c r="CG2118" s="1190"/>
      <c r="CH2118" s="1190"/>
      <c r="CI2118" s="1190"/>
      <c r="CM2118" s="196">
        <f t="shared" si="1269"/>
        <v>0</v>
      </c>
      <c r="CN2118" s="196">
        <v>0</v>
      </c>
      <c r="CP2118" s="923">
        <f t="shared" si="1270"/>
        <v>0</v>
      </c>
      <c r="CZ2118" s="330"/>
    </row>
    <row r="2119" spans="1:104" ht="15" customHeight="1" x14ac:dyDescent="0.25">
      <c r="A2119" s="684">
        <f>MAX($A$6:A2118)+1</f>
        <v>2119</v>
      </c>
      <c r="B2119" s="1060">
        <f t="shared" si="1276"/>
        <v>50</v>
      </c>
      <c r="C2119" s="292" t="str">
        <f t="shared" si="1276"/>
        <v>Staff Data</v>
      </c>
      <c r="D2119" s="11" t="s">
        <v>1426</v>
      </c>
      <c r="E2119" s="1267" t="s">
        <v>181</v>
      </c>
      <c r="F2119" s="1267"/>
      <c r="G2119" s="1254" t="s">
        <v>286</v>
      </c>
      <c r="H2119" s="6"/>
      <c r="I2119" s="6"/>
      <c r="J2119" s="1257" t="s">
        <v>820</v>
      </c>
      <c r="K2119" s="946">
        <f>SUMIF('alb A - Staff data'!$A:$A,$J2119,'alb A - Staff data'!$C:$C)</f>
        <v>0</v>
      </c>
      <c r="L2119" s="266"/>
      <c r="M2119" s="2"/>
      <c r="N2119" s="273">
        <f t="shared" si="1272"/>
        <v>0</v>
      </c>
      <c r="O2119" s="12"/>
      <c r="P2119" s="12"/>
      <c r="Q2119" s="12"/>
      <c r="R2119" s="12"/>
      <c r="S2119" s="6"/>
      <c r="T2119" s="273">
        <f t="shared" si="1274"/>
        <v>0</v>
      </c>
      <c r="U2119" s="946">
        <f>U2113</f>
        <v>0</v>
      </c>
      <c r="V2119" s="946">
        <f>V2113</f>
        <v>0</v>
      </c>
      <c r="W2119" s="946">
        <f t="shared" si="1275"/>
        <v>0</v>
      </c>
      <c r="X2119" s="946"/>
      <c r="Y2119" s="946"/>
      <c r="Z2119" s="946"/>
      <c r="AA2119" s="946"/>
      <c r="AB2119" s="946"/>
      <c r="AC2119" s="946"/>
      <c r="AD2119" s="946"/>
      <c r="AE2119" s="946"/>
      <c r="AF2119" s="946"/>
      <c r="AG2119" s="946"/>
      <c r="AH2119" s="946"/>
      <c r="AI2119" s="946"/>
      <c r="AJ2119" s="946"/>
      <c r="AK2119" s="946"/>
      <c r="AL2119" s="946"/>
      <c r="AM2119" s="946"/>
      <c r="AN2119" s="946"/>
      <c r="AO2119" s="946"/>
      <c r="AP2119" s="946"/>
      <c r="AQ2119" s="946"/>
      <c r="AR2119" s="946"/>
      <c r="AS2119" s="946"/>
      <c r="AT2119" s="946"/>
      <c r="AU2119" s="946"/>
      <c r="AV2119" s="946"/>
      <c r="BD2119" s="1190">
        <f t="shared" si="1267"/>
        <v>0</v>
      </c>
      <c r="BK2119" s="1190">
        <f t="shared" si="1268"/>
        <v>0</v>
      </c>
      <c r="BL2119" s="1190"/>
      <c r="BM2119" s="1190"/>
      <c r="BN2119" s="1190"/>
      <c r="BO2119" s="1190"/>
      <c r="BP2119" s="1190"/>
      <c r="BQ2119" s="1190"/>
      <c r="BR2119" s="1190"/>
      <c r="BS2119" s="1190"/>
      <c r="BU2119" s="1190"/>
      <c r="BV2119" s="1190"/>
      <c r="BW2119" s="1190"/>
      <c r="BX2119" s="1190"/>
      <c r="BY2119" s="1190"/>
      <c r="BZ2119" s="1190"/>
      <c r="CA2119" s="1190"/>
      <c r="CB2119" s="1190"/>
      <c r="CC2119" s="1190"/>
      <c r="CD2119" s="1190"/>
      <c r="CE2119" s="1190"/>
      <c r="CF2119" s="1190"/>
      <c r="CG2119" s="1190"/>
      <c r="CH2119" s="1190"/>
      <c r="CI2119" s="1190"/>
      <c r="CM2119" s="196">
        <f t="shared" si="1269"/>
        <v>0</v>
      </c>
      <c r="CN2119" s="196">
        <v>0</v>
      </c>
      <c r="CP2119" s="923">
        <f t="shared" si="1270"/>
        <v>0</v>
      </c>
      <c r="CZ2119" s="330"/>
    </row>
    <row r="2120" spans="1:104" ht="15" customHeight="1" x14ac:dyDescent="0.25">
      <c r="A2120" s="684">
        <f>MAX($A$6:A2119)+1</f>
        <v>2120</v>
      </c>
      <c r="J2120" s="1274"/>
      <c r="N2120" s="1244"/>
      <c r="T2120" s="1244"/>
      <c r="BK2120" s="1190">
        <f t="shared" ref="BK2120:BK2127" si="1277">ROUND(SUM(BO2120:CI2120),0)</f>
        <v>0</v>
      </c>
      <c r="BL2120" s="1190"/>
      <c r="BM2120" s="1190"/>
      <c r="BN2120" s="1190"/>
      <c r="BO2120" s="1190"/>
      <c r="BP2120" s="1190"/>
      <c r="BQ2120" s="1190"/>
      <c r="BR2120" s="1190"/>
      <c r="BS2120" s="1190"/>
      <c r="BU2120" s="1190"/>
      <c r="BV2120" s="1190"/>
      <c r="BW2120" s="1190"/>
      <c r="BX2120" s="1190"/>
      <c r="BY2120" s="1190"/>
      <c r="BZ2120" s="1190"/>
      <c r="CA2120" s="1190"/>
      <c r="CB2120" s="1190"/>
      <c r="CC2120" s="1190"/>
      <c r="CD2120" s="1190"/>
      <c r="CE2120" s="1190"/>
      <c r="CF2120" s="1190"/>
      <c r="CG2120" s="1190"/>
      <c r="CH2120" s="1190"/>
      <c r="CI2120" s="1190"/>
      <c r="CM2120">
        <f t="shared" ref="CM2120:CM2123" si="1278">+U2120+V2120</f>
        <v>0</v>
      </c>
      <c r="CP2120" s="923">
        <f t="shared" ref="CP2120:CP2150" si="1279">-V2120+BL2120+BM2120+BN2120+CM2120</f>
        <v>0</v>
      </c>
      <c r="CZ2120" s="330"/>
    </row>
    <row r="2121" spans="1:104" ht="18.75" customHeight="1" x14ac:dyDescent="0.25">
      <c r="A2121" s="684">
        <f>MAX($A$6:A2120)+1</f>
        <v>2121</v>
      </c>
      <c r="B2121" s="1295"/>
      <c r="C2121" s="696"/>
      <c r="D2121" s="695"/>
      <c r="E2121" s="696"/>
      <c r="F2121" s="697"/>
      <c r="G2121" s="697"/>
      <c r="H2121" s="695"/>
      <c r="I2121" s="695"/>
      <c r="J2121" s="698"/>
      <c r="K2121" s="699"/>
      <c r="L2121" s="699"/>
      <c r="M2121" s="695"/>
      <c r="N2121" s="713"/>
      <c r="O2121" s="695"/>
      <c r="P2121" s="695"/>
      <c r="Q2121" s="695"/>
      <c r="R2121" s="695"/>
      <c r="S2121" s="695"/>
      <c r="T2121" s="713"/>
      <c r="U2121" s="695"/>
      <c r="V2121" s="695"/>
      <c r="W2121" s="695"/>
      <c r="X2121" s="695"/>
      <c r="Y2121" s="695"/>
      <c r="Z2121" s="695"/>
      <c r="AA2121" s="695"/>
      <c r="AB2121" s="695"/>
      <c r="AC2121" s="695"/>
      <c r="AD2121" s="695"/>
      <c r="AE2121" s="695"/>
      <c r="AF2121" s="695"/>
      <c r="AG2121" s="695"/>
      <c r="AH2121" s="695"/>
      <c r="AI2121" s="695"/>
      <c r="AJ2121" s="695"/>
      <c r="AK2121" s="695"/>
      <c r="AL2121" s="695"/>
      <c r="AM2121" s="695"/>
      <c r="AN2121" s="695"/>
      <c r="AO2121" s="695"/>
      <c r="AP2121" s="695"/>
      <c r="AQ2121" s="695"/>
      <c r="AR2121" s="695"/>
      <c r="AS2121" s="695"/>
      <c r="AT2121" s="695"/>
      <c r="AU2121" s="695"/>
      <c r="AV2121" s="695"/>
      <c r="AW2121" s="700"/>
      <c r="AX2121" s="700"/>
      <c r="AY2121" s="700"/>
      <c r="AZ2121" s="700"/>
      <c r="BA2121" s="700"/>
      <c r="BB2121" s="700"/>
      <c r="BC2121" s="700"/>
      <c r="BD2121" s="721"/>
      <c r="BE2121" s="700"/>
      <c r="BF2121" s="700"/>
      <c r="BG2121" s="700"/>
      <c r="BH2121" s="700"/>
      <c r="BI2121" s="700"/>
      <c r="BJ2121" s="700"/>
      <c r="BK2121" s="721">
        <f t="shared" si="1277"/>
        <v>0</v>
      </c>
      <c r="BL2121" s="317"/>
      <c r="BM2121" s="317"/>
      <c r="BN2121" s="317"/>
      <c r="BO2121" s="317"/>
      <c r="BP2121" s="700"/>
      <c r="BQ2121" s="317"/>
      <c r="BR2121" s="317"/>
      <c r="BS2121" s="700"/>
      <c r="BT2121" s="317"/>
      <c r="BU2121" s="317"/>
      <c r="BV2121" s="317"/>
      <c r="BW2121" s="317"/>
      <c r="BX2121" s="317"/>
      <c r="BY2121" s="317"/>
      <c r="BZ2121" s="317"/>
      <c r="CA2121" s="317"/>
      <c r="CB2121" s="317"/>
      <c r="CC2121" s="700"/>
      <c r="CD2121" s="700"/>
      <c r="CE2121" s="700"/>
      <c r="CF2121" s="700"/>
      <c r="CG2121" s="700"/>
      <c r="CH2121" s="700"/>
      <c r="CI2121" s="317"/>
      <c r="CJ2121" s="700"/>
      <c r="CK2121" s="700"/>
      <c r="CM2121" s="700">
        <f t="shared" si="1278"/>
        <v>0</v>
      </c>
      <c r="CN2121" s="700"/>
      <c r="CP2121" s="923">
        <f t="shared" si="1279"/>
        <v>0</v>
      </c>
      <c r="CZ2121" s="330"/>
    </row>
    <row r="2122" spans="1:104" ht="15" customHeight="1" x14ac:dyDescent="0.25">
      <c r="A2122" s="684">
        <f>MAX($A$6:A2121)+1</f>
        <v>2122</v>
      </c>
      <c r="C2122" s="292" t="s">
        <v>2697</v>
      </c>
      <c r="E2122" s="1695" t="s">
        <v>2697</v>
      </c>
      <c r="F2122" s="1257"/>
      <c r="G2122" s="1695" t="s">
        <v>677</v>
      </c>
      <c r="H2122" s="946">
        <v>0</v>
      </c>
      <c r="J2122" s="1695" t="s">
        <v>1176</v>
      </c>
      <c r="K2122" s="946">
        <f>+'alb Check Sheet'!C77</f>
        <v>0</v>
      </c>
      <c r="N2122" s="273">
        <f t="shared" ref="N2122:N2123" si="1280">ROUND(SUM(O2122:AU2122)-T2122,0)</f>
        <v>0</v>
      </c>
      <c r="T2122" s="273">
        <f t="shared" ref="T2122:T2123" si="1281">ROUND(SUM(U2122:Y2122),0)</f>
        <v>0</v>
      </c>
      <c r="U2122" s="946">
        <f>U2116</f>
        <v>0</v>
      </c>
      <c r="V2122" s="946">
        <f>V2116</f>
        <v>0</v>
      </c>
      <c r="W2122" s="946">
        <f t="shared" ref="W2122:W2123" si="1282">+H2122</f>
        <v>0</v>
      </c>
      <c r="X2122" s="946"/>
      <c r="Y2122" s="946"/>
      <c r="Z2122" s="946"/>
      <c r="AA2122" s="946"/>
      <c r="AB2122" s="946"/>
      <c r="AC2122" s="946"/>
      <c r="AD2122" s="946"/>
      <c r="AE2122" s="946"/>
      <c r="AF2122" s="946"/>
      <c r="AG2122" s="946"/>
      <c r="AH2122" s="946"/>
      <c r="AI2122" s="946"/>
      <c r="AJ2122" s="946"/>
      <c r="AK2122" s="946"/>
      <c r="AL2122" s="946"/>
      <c r="AM2122" s="946"/>
      <c r="AN2122" s="946"/>
      <c r="AO2122" s="946"/>
      <c r="AP2122" s="946"/>
      <c r="AQ2122" s="946"/>
      <c r="AR2122" s="946"/>
      <c r="AS2122" s="946"/>
      <c r="AT2122" s="946"/>
      <c r="AU2122" s="946"/>
      <c r="AV2122" s="946"/>
      <c r="BD2122" s="1190">
        <f t="shared" ref="BD2122:BD2123" si="1283">ROUND(SUM(BE2122:BK2122),0)</f>
        <v>0</v>
      </c>
      <c r="BK2122" s="1190">
        <f t="shared" ref="BK2122:BK2123" si="1284">ROUND(SUM(BO2122:CI2122),0)</f>
        <v>0</v>
      </c>
      <c r="BL2122" s="1190"/>
      <c r="BM2122" s="1190"/>
      <c r="BN2122" s="1190"/>
      <c r="BO2122" s="1190"/>
      <c r="BP2122" s="1190"/>
      <c r="BQ2122" s="1190"/>
      <c r="BR2122" s="1190"/>
      <c r="BS2122" s="1190"/>
      <c r="BU2122" s="1190"/>
      <c r="BV2122" s="1190"/>
      <c r="BW2122" s="1190"/>
      <c r="BX2122" s="1190"/>
      <c r="BY2122" s="1190"/>
      <c r="BZ2122" s="1190"/>
      <c r="CA2122" s="1190"/>
      <c r="CB2122" s="1190"/>
      <c r="CC2122" s="1190"/>
      <c r="CD2122" s="1190"/>
      <c r="CE2122" s="1190"/>
      <c r="CF2122" s="1190"/>
      <c r="CG2122" s="1190"/>
      <c r="CH2122" s="1190"/>
      <c r="CI2122" s="1190"/>
      <c r="CM2122" s="196">
        <f t="shared" si="1278"/>
        <v>0</v>
      </c>
      <c r="CN2122" s="196">
        <v>0</v>
      </c>
      <c r="CP2122" s="923">
        <f t="shared" si="1279"/>
        <v>0</v>
      </c>
      <c r="CZ2122" s="330"/>
    </row>
    <row r="2123" spans="1:104" ht="15" customHeight="1" x14ac:dyDescent="0.25">
      <c r="A2123" s="684">
        <f>MAX($A$6:A2122)+1</f>
        <v>2123</v>
      </c>
      <c r="C2123" s="292" t="s">
        <v>2697</v>
      </c>
      <c r="E2123" s="1257" t="s">
        <v>2697</v>
      </c>
      <c r="F2123" s="1257"/>
      <c r="G2123" s="1257" t="s">
        <v>678</v>
      </c>
      <c r="H2123" s="946">
        <v>0</v>
      </c>
      <c r="J2123" s="1274"/>
      <c r="N2123" s="273">
        <f t="shared" si="1280"/>
        <v>0</v>
      </c>
      <c r="T2123" s="273">
        <f t="shared" si="1281"/>
        <v>0</v>
      </c>
      <c r="U2123" s="946">
        <f>U2117</f>
        <v>0</v>
      </c>
      <c r="V2123" s="946">
        <f>V2117</f>
        <v>0</v>
      </c>
      <c r="W2123" s="946">
        <f t="shared" si="1282"/>
        <v>0</v>
      </c>
      <c r="X2123" s="946"/>
      <c r="Y2123" s="946"/>
      <c r="Z2123" s="946"/>
      <c r="AA2123" s="946"/>
      <c r="AB2123" s="946"/>
      <c r="AC2123" s="946"/>
      <c r="AD2123" s="946"/>
      <c r="AE2123" s="946"/>
      <c r="AF2123" s="946"/>
      <c r="AG2123" s="946"/>
      <c r="AH2123" s="946"/>
      <c r="AI2123" s="946"/>
      <c r="AJ2123" s="946"/>
      <c r="AK2123" s="946"/>
      <c r="AL2123" s="946"/>
      <c r="AM2123" s="946"/>
      <c r="AN2123" s="946"/>
      <c r="AO2123" s="946"/>
      <c r="AP2123" s="946"/>
      <c r="AQ2123" s="946"/>
      <c r="AR2123" s="946"/>
      <c r="AS2123" s="946"/>
      <c r="AT2123" s="946"/>
      <c r="AU2123" s="946"/>
      <c r="AV2123" s="946"/>
      <c r="BD2123" s="1190">
        <f t="shared" si="1283"/>
        <v>0</v>
      </c>
      <c r="BK2123" s="1190">
        <f t="shared" si="1284"/>
        <v>0</v>
      </c>
      <c r="BL2123" s="1190"/>
      <c r="BM2123" s="1190"/>
      <c r="BN2123" s="1190"/>
      <c r="BO2123" s="1190"/>
      <c r="BP2123" s="1190"/>
      <c r="BQ2123" s="1190"/>
      <c r="BR2123" s="1190"/>
      <c r="BS2123" s="1190"/>
      <c r="BU2123" s="1190"/>
      <c r="BV2123" s="1190"/>
      <c r="BW2123" s="1190"/>
      <c r="BX2123" s="1190"/>
      <c r="BY2123" s="1190"/>
      <c r="BZ2123" s="1190"/>
      <c r="CA2123" s="1190"/>
      <c r="CB2123" s="1190"/>
      <c r="CC2123" s="1190"/>
      <c r="CD2123" s="1190"/>
      <c r="CE2123" s="1190"/>
      <c r="CF2123" s="1190"/>
      <c r="CG2123" s="1190"/>
      <c r="CH2123" s="1190"/>
      <c r="CI2123" s="1190"/>
      <c r="CM2123" s="196">
        <f t="shared" si="1278"/>
        <v>0</v>
      </c>
      <c r="CN2123" s="196">
        <v>0</v>
      </c>
      <c r="CP2123" s="923">
        <f t="shared" si="1279"/>
        <v>0</v>
      </c>
      <c r="CZ2123" s="330"/>
    </row>
    <row r="2124" spans="1:104" ht="15" customHeight="1" x14ac:dyDescent="0.25">
      <c r="A2124" s="684">
        <f>MAX($A$6:A2123)+1</f>
        <v>2124</v>
      </c>
      <c r="J2124" s="1274"/>
      <c r="N2124" s="1244"/>
      <c r="T2124" s="1244"/>
      <c r="BK2124" s="1190">
        <f t="shared" si="1277"/>
        <v>0</v>
      </c>
      <c r="BL2124" s="1190"/>
      <c r="BM2124" s="1190"/>
      <c r="BN2124" s="1190"/>
      <c r="BO2124" s="1190"/>
      <c r="BP2124" s="1190"/>
      <c r="BQ2124" s="1190"/>
      <c r="BR2124" s="1190"/>
      <c r="BS2124" s="1190"/>
      <c r="BU2124" s="1190"/>
      <c r="BV2124" s="1190"/>
      <c r="BW2124" s="1190"/>
      <c r="BX2124" s="1190"/>
      <c r="BY2124" s="1190"/>
      <c r="BZ2124" s="1190"/>
      <c r="CA2124" s="1190"/>
      <c r="CB2124" s="1190"/>
      <c r="CC2124" s="1190"/>
      <c r="CD2124" s="1190"/>
      <c r="CE2124" s="1190"/>
      <c r="CF2124" s="1190"/>
      <c r="CG2124" s="1190"/>
      <c r="CH2124" s="1190"/>
      <c r="CI2124" s="1190"/>
      <c r="CP2124" s="923">
        <f t="shared" si="1279"/>
        <v>0</v>
      </c>
      <c r="CZ2124" s="330"/>
    </row>
    <row r="2125" spans="1:104" ht="15" customHeight="1" x14ac:dyDescent="0.25">
      <c r="A2125" s="684">
        <f>MAX($A$6:A2124)+1</f>
        <v>2125</v>
      </c>
      <c r="J2125" s="1274"/>
      <c r="N2125" s="1244"/>
      <c r="T2125" s="1244"/>
      <c r="BK2125" s="1190">
        <f t="shared" si="1277"/>
        <v>0</v>
      </c>
      <c r="BL2125" s="1190"/>
      <c r="BM2125" s="1190"/>
      <c r="BN2125" s="1190"/>
      <c r="BO2125" s="1190"/>
      <c r="BP2125" s="1190"/>
      <c r="BQ2125" s="1190"/>
      <c r="BR2125" s="1190"/>
      <c r="BS2125" s="1190"/>
      <c r="BU2125" s="1190"/>
      <c r="BV2125" s="1190"/>
      <c r="BW2125" s="1190"/>
      <c r="BX2125" s="1190"/>
      <c r="BY2125" s="1190"/>
      <c r="BZ2125" s="1190"/>
      <c r="CA2125" s="1190"/>
      <c r="CB2125" s="1190"/>
      <c r="CC2125" s="1190"/>
      <c r="CD2125" s="1190"/>
      <c r="CE2125" s="1190"/>
      <c r="CF2125" s="1190"/>
      <c r="CG2125" s="1190"/>
      <c r="CH2125" s="1190"/>
      <c r="CI2125" s="1190"/>
      <c r="CP2125" s="923">
        <f t="shared" si="1279"/>
        <v>0</v>
      </c>
      <c r="CZ2125" s="330"/>
    </row>
    <row r="2126" spans="1:104" ht="15" customHeight="1" x14ac:dyDescent="0.25">
      <c r="A2126" s="684">
        <f>MAX($A$6:A2125)+1</f>
        <v>2126</v>
      </c>
      <c r="J2126" s="1274"/>
      <c r="N2126" s="1244"/>
      <c r="T2126" s="1244"/>
      <c r="BK2126" s="1190">
        <f t="shared" si="1277"/>
        <v>0</v>
      </c>
      <c r="BP2126" s="1190"/>
      <c r="BS2126" s="1190"/>
      <c r="CC2126" s="1190"/>
      <c r="CD2126" s="1190"/>
      <c r="CE2126" s="1190"/>
      <c r="CF2126" s="1190"/>
      <c r="CG2126" s="1190"/>
      <c r="CH2126" s="1190"/>
      <c r="CP2126" s="923">
        <f t="shared" si="1279"/>
        <v>0</v>
      </c>
      <c r="CZ2126" s="330"/>
    </row>
    <row r="2127" spans="1:104" ht="15" customHeight="1" x14ac:dyDescent="0.25">
      <c r="A2127" s="684">
        <f>MAX($A$6:A2126)+1</f>
        <v>2127</v>
      </c>
      <c r="J2127" s="1274"/>
      <c r="N2127" s="1244"/>
      <c r="T2127" s="1244"/>
      <c r="BK2127" s="1190">
        <f t="shared" si="1277"/>
        <v>0</v>
      </c>
      <c r="BP2127" s="1190"/>
      <c r="BS2127" s="1190"/>
      <c r="CC2127" s="1190"/>
      <c r="CD2127" s="1190"/>
      <c r="CE2127" s="1190"/>
      <c r="CF2127" s="1190"/>
      <c r="CG2127" s="1190"/>
      <c r="CH2127" s="1190"/>
      <c r="CP2127" s="923">
        <f t="shared" si="1279"/>
        <v>0</v>
      </c>
      <c r="CZ2127" s="330"/>
    </row>
    <row r="2128" spans="1:104" ht="15" customHeight="1" x14ac:dyDescent="0.25">
      <c r="J2128" s="1274"/>
      <c r="W2128" s="923"/>
      <c r="CP2128" s="923">
        <f t="shared" si="1279"/>
        <v>0</v>
      </c>
      <c r="CZ2128" s="330"/>
    </row>
    <row r="2129" spans="14:104" x14ac:dyDescent="0.25">
      <c r="X2129" s="923"/>
      <c r="Y2129" s="923"/>
      <c r="Z2129" s="923"/>
      <c r="AA2129" s="923"/>
      <c r="AB2129" s="923"/>
      <c r="AC2129" s="923"/>
      <c r="AD2129" s="923"/>
      <c r="AE2129" s="923"/>
      <c r="AF2129" s="923"/>
      <c r="AG2129" s="923"/>
      <c r="AH2129" s="923"/>
      <c r="AI2129" s="923"/>
      <c r="AJ2129" s="923"/>
      <c r="AK2129" s="923"/>
      <c r="AL2129" s="923"/>
      <c r="AM2129" s="923"/>
      <c r="AN2129" s="923"/>
      <c r="AO2129" s="923"/>
      <c r="AP2129" s="923"/>
      <c r="AQ2129" s="923"/>
      <c r="CP2129" s="923">
        <f t="shared" si="1279"/>
        <v>0</v>
      </c>
      <c r="CZ2129" s="330"/>
    </row>
    <row r="2130" spans="14:104" x14ac:dyDescent="0.25">
      <c r="X2130" s="923"/>
      <c r="Y2130" s="923"/>
      <c r="Z2130" s="923"/>
      <c r="AA2130" s="923"/>
      <c r="AB2130" s="923"/>
      <c r="AC2130" s="923"/>
      <c r="AD2130" s="923"/>
      <c r="AE2130" s="923"/>
      <c r="AF2130" s="923"/>
      <c r="AG2130" s="923"/>
      <c r="AH2130" s="923"/>
      <c r="AI2130" s="923"/>
      <c r="AJ2130" s="923"/>
      <c r="AK2130" s="923"/>
      <c r="AL2130" s="923"/>
      <c r="AM2130" s="923"/>
      <c r="AN2130" s="923"/>
      <c r="AO2130" s="923"/>
      <c r="AP2130" s="923"/>
      <c r="AQ2130" s="923"/>
      <c r="CP2130" s="923">
        <f t="shared" si="1279"/>
        <v>0</v>
      </c>
      <c r="CZ2130" s="330"/>
    </row>
    <row r="2131" spans="14:104" x14ac:dyDescent="0.25">
      <c r="W2131" s="923"/>
      <c r="X2131" s="923"/>
      <c r="Y2131" s="923"/>
      <c r="Z2131" s="923"/>
      <c r="AA2131" s="923"/>
      <c r="AB2131" s="923"/>
      <c r="AC2131" s="923"/>
      <c r="AD2131" s="923"/>
      <c r="AE2131" s="923"/>
      <c r="AF2131" s="923"/>
      <c r="AG2131" s="923"/>
      <c r="AH2131" s="923"/>
      <c r="AI2131" s="923"/>
      <c r="AJ2131" s="923"/>
      <c r="AK2131" s="923"/>
      <c r="AL2131" s="923"/>
      <c r="AM2131" s="923"/>
      <c r="AN2131" s="923"/>
      <c r="AO2131" s="923"/>
      <c r="AP2131" s="923"/>
      <c r="AQ2131" s="923"/>
      <c r="AR2131" s="923"/>
      <c r="CP2131" s="923">
        <f t="shared" si="1279"/>
        <v>0</v>
      </c>
      <c r="CZ2131" s="330"/>
    </row>
    <row r="2132" spans="14:104" x14ac:dyDescent="0.25">
      <c r="N2132" s="923"/>
      <c r="O2132" s="923"/>
      <c r="P2132" s="923"/>
      <c r="Q2132" s="923"/>
      <c r="R2132" s="923"/>
      <c r="S2132" s="923"/>
      <c r="T2132" s="923"/>
      <c r="U2132" s="923"/>
      <c r="V2132" s="923"/>
      <c r="W2132" s="923"/>
      <c r="X2132" s="923"/>
      <c r="Y2132" s="923"/>
      <c r="Z2132" s="923"/>
      <c r="AA2132" s="923"/>
      <c r="AB2132" s="923"/>
      <c r="AC2132" s="923"/>
      <c r="AD2132" s="923"/>
      <c r="AE2132" s="923"/>
      <c r="AF2132" s="923"/>
      <c r="AG2132" s="923"/>
      <c r="AH2132" s="923"/>
      <c r="AI2132" s="923"/>
      <c r="AJ2132" s="923"/>
      <c r="AK2132" s="923"/>
      <c r="AL2132" s="923"/>
      <c r="AM2132" s="923"/>
      <c r="AN2132" s="923"/>
      <c r="AO2132" s="923"/>
      <c r="AP2132" s="923"/>
      <c r="AQ2132" s="923"/>
      <c r="AR2132" s="923"/>
      <c r="CP2132" s="923">
        <f t="shared" si="1279"/>
        <v>0</v>
      </c>
      <c r="CZ2132" s="330"/>
    </row>
    <row r="2133" spans="14:104" x14ac:dyDescent="0.25">
      <c r="V2133" s="923"/>
      <c r="W2133" s="923"/>
      <c r="X2133" s="923"/>
      <c r="Y2133" s="923"/>
      <c r="Z2133" s="923"/>
      <c r="AA2133" s="923"/>
      <c r="AB2133" s="923"/>
      <c r="AC2133" s="923"/>
      <c r="AD2133" s="923"/>
      <c r="AE2133" s="923"/>
      <c r="AF2133" s="923"/>
      <c r="AG2133" s="923"/>
      <c r="AH2133" s="923"/>
      <c r="AI2133" s="923"/>
      <c r="AJ2133" s="923"/>
      <c r="AK2133" s="923"/>
      <c r="AL2133" s="923"/>
      <c r="AM2133" s="923"/>
      <c r="AN2133" s="923"/>
      <c r="AO2133" s="923"/>
      <c r="AP2133" s="923"/>
      <c r="AQ2133" s="923"/>
      <c r="AR2133" s="923"/>
      <c r="CP2133" s="923">
        <f t="shared" si="1279"/>
        <v>0</v>
      </c>
      <c r="CZ2133" s="330"/>
    </row>
    <row r="2134" spans="14:104" x14ac:dyDescent="0.25">
      <c r="N2134" s="923"/>
      <c r="T2134" s="923"/>
      <c r="U2134" s="923"/>
      <c r="V2134" s="923"/>
      <c r="W2134" s="923"/>
      <c r="X2134" s="923"/>
      <c r="Y2134" s="923"/>
      <c r="Z2134" s="923"/>
      <c r="AA2134" s="923"/>
      <c r="AB2134" s="923"/>
      <c r="AC2134" s="923"/>
      <c r="AD2134" s="923"/>
      <c r="AE2134" s="923"/>
      <c r="AF2134" s="923"/>
      <c r="AG2134" s="923"/>
      <c r="AH2134" s="923"/>
      <c r="AI2134" s="923"/>
      <c r="AJ2134" s="923"/>
      <c r="AK2134" s="923"/>
      <c r="AL2134" s="923"/>
      <c r="AM2134" s="923"/>
      <c r="AN2134" s="923"/>
      <c r="AO2134" s="923"/>
      <c r="AP2134" s="923"/>
      <c r="AQ2134" s="923"/>
      <c r="AR2134" s="923"/>
      <c r="CP2134" s="923">
        <f t="shared" si="1279"/>
        <v>0</v>
      </c>
      <c r="CZ2134" s="330"/>
    </row>
    <row r="2135" spans="14:104" x14ac:dyDescent="0.25">
      <c r="V2135" s="923"/>
      <c r="W2135" s="923"/>
      <c r="X2135" s="923"/>
      <c r="Y2135" s="923"/>
      <c r="Z2135" s="923"/>
      <c r="AA2135" s="923"/>
      <c r="AB2135" s="923"/>
      <c r="AC2135" s="923"/>
      <c r="AD2135" s="923"/>
      <c r="AE2135" s="923"/>
      <c r="AF2135" s="923"/>
      <c r="AG2135" s="923"/>
      <c r="AH2135" s="923"/>
      <c r="AI2135" s="923"/>
      <c r="AJ2135" s="923"/>
      <c r="AK2135" s="923"/>
      <c r="AL2135" s="923"/>
      <c r="AM2135" s="923"/>
      <c r="AN2135" s="923"/>
      <c r="AO2135" s="923"/>
      <c r="AP2135" s="923"/>
      <c r="AQ2135" s="923"/>
      <c r="AR2135" s="923"/>
      <c r="CP2135" s="923">
        <f t="shared" si="1279"/>
        <v>0</v>
      </c>
      <c r="CZ2135" s="330"/>
    </row>
    <row r="2136" spans="14:104" x14ac:dyDescent="0.25">
      <c r="U2136" s="923"/>
      <c r="V2136" s="923"/>
      <c r="W2136" s="923"/>
      <c r="X2136" s="923"/>
      <c r="Y2136" s="923"/>
      <c r="Z2136" s="923"/>
      <c r="AA2136" s="923"/>
      <c r="AB2136" s="923"/>
      <c r="AC2136" s="923"/>
      <c r="AD2136" s="923"/>
      <c r="AE2136" s="923"/>
      <c r="AF2136" s="923"/>
      <c r="AG2136" s="923"/>
      <c r="AH2136" s="923"/>
      <c r="AI2136" s="923"/>
      <c r="AJ2136" s="923"/>
      <c r="AK2136" s="923"/>
      <c r="AL2136" s="923"/>
      <c r="AM2136" s="923"/>
      <c r="AN2136" s="923"/>
      <c r="AO2136" s="923"/>
      <c r="AP2136" s="923"/>
      <c r="AQ2136" s="923"/>
      <c r="AR2136" s="923"/>
      <c r="CP2136" s="923">
        <f t="shared" si="1279"/>
        <v>0</v>
      </c>
      <c r="CZ2136" s="330"/>
    </row>
    <row r="2137" spans="14:104" x14ac:dyDescent="0.25">
      <c r="V2137" s="923"/>
      <c r="W2137" s="923"/>
      <c r="X2137" s="923"/>
      <c r="Y2137" s="923"/>
      <c r="Z2137" s="923"/>
      <c r="AA2137" s="923"/>
      <c r="AB2137" s="923"/>
      <c r="AC2137" s="923"/>
      <c r="AD2137" s="923"/>
      <c r="AE2137" s="923"/>
      <c r="AF2137" s="923"/>
      <c r="AG2137" s="923"/>
      <c r="AH2137" s="923"/>
      <c r="AI2137" s="923"/>
      <c r="AJ2137" s="923"/>
      <c r="AK2137" s="923"/>
      <c r="AL2137" s="923"/>
      <c r="AM2137" s="923"/>
      <c r="AN2137" s="923"/>
      <c r="AO2137" s="923"/>
      <c r="AP2137" s="923"/>
      <c r="AQ2137" s="923"/>
      <c r="AR2137" s="923"/>
      <c r="CP2137" s="923">
        <f t="shared" si="1279"/>
        <v>0</v>
      </c>
      <c r="CZ2137" s="330"/>
    </row>
    <row r="2138" spans="14:104" x14ac:dyDescent="0.25">
      <c r="U2138" s="923"/>
      <c r="W2138" s="923"/>
      <c r="X2138" s="923"/>
      <c r="Y2138" s="923"/>
      <c r="Z2138" s="923"/>
      <c r="AA2138" s="923"/>
      <c r="AB2138" s="923"/>
      <c r="AC2138" s="923"/>
      <c r="AD2138" s="923"/>
      <c r="AE2138" s="923"/>
      <c r="AF2138" s="923"/>
      <c r="AG2138" s="923"/>
      <c r="AH2138" s="923"/>
      <c r="AI2138" s="923"/>
      <c r="AJ2138" s="923"/>
      <c r="AK2138" s="923"/>
      <c r="AL2138" s="923"/>
      <c r="AM2138" s="923"/>
      <c r="AN2138" s="923"/>
      <c r="AO2138" s="923"/>
      <c r="AP2138" s="923"/>
      <c r="AQ2138" s="923"/>
      <c r="CP2138" s="923">
        <f t="shared" si="1279"/>
        <v>0</v>
      </c>
      <c r="CZ2138" s="330"/>
    </row>
    <row r="2139" spans="14:104" x14ac:dyDescent="0.25">
      <c r="CP2139" s="923">
        <f t="shared" si="1279"/>
        <v>0</v>
      </c>
      <c r="CZ2139" s="330"/>
    </row>
    <row r="2140" spans="14:104" x14ac:dyDescent="0.25">
      <c r="CP2140" s="923" t="e">
        <f>-#REF!+BL2140+BM2140+BN2140+CM2140</f>
        <v>#REF!</v>
      </c>
      <c r="CZ2140" s="330"/>
    </row>
    <row r="2141" spans="14:104" x14ac:dyDescent="0.25">
      <c r="R2141" s="923"/>
      <c r="S2141" s="923"/>
      <c r="T2141" s="923"/>
      <c r="CP2141" s="923">
        <f>-V2140+BL2141+BM2141+BN2141+CM2141</f>
        <v>0</v>
      </c>
      <c r="CZ2141" s="330"/>
    </row>
    <row r="2142" spans="14:104" x14ac:dyDescent="0.25">
      <c r="S2142" s="923"/>
      <c r="CP2142" s="923">
        <f t="shared" si="1279"/>
        <v>0</v>
      </c>
      <c r="CZ2142" s="330"/>
    </row>
    <row r="2143" spans="14:104" x14ac:dyDescent="0.25">
      <c r="S2143" s="923"/>
      <c r="W2143" s="923"/>
      <c r="X2143" s="923"/>
      <c r="Y2143" s="923"/>
      <c r="Z2143" s="923"/>
      <c r="AA2143" s="923"/>
      <c r="AB2143" s="923"/>
      <c r="AC2143" s="923"/>
      <c r="AD2143" s="923"/>
      <c r="AE2143" s="923"/>
      <c r="AF2143" s="923"/>
      <c r="AG2143" s="923"/>
      <c r="AH2143" s="923"/>
      <c r="AI2143" s="923"/>
      <c r="AJ2143" s="923"/>
      <c r="AK2143" s="923"/>
      <c r="AL2143" s="923"/>
      <c r="AM2143" s="923"/>
      <c r="AN2143" s="923"/>
      <c r="AO2143" s="923"/>
      <c r="CP2143" s="923">
        <f t="shared" si="1279"/>
        <v>0</v>
      </c>
      <c r="CZ2143" s="330"/>
    </row>
    <row r="2144" spans="14:104" x14ac:dyDescent="0.25">
      <c r="CP2144" s="923">
        <f t="shared" si="1279"/>
        <v>0</v>
      </c>
      <c r="CZ2144" s="330"/>
    </row>
    <row r="2145" spans="19:104" x14ac:dyDescent="0.25">
      <c r="S2145" s="923"/>
      <c r="W2145" s="923"/>
      <c r="X2145" s="923"/>
      <c r="Y2145" s="923"/>
      <c r="Z2145" s="923"/>
      <c r="AA2145" s="923"/>
      <c r="AB2145" s="923"/>
      <c r="AC2145" s="923"/>
      <c r="AD2145" s="923"/>
      <c r="AE2145" s="923"/>
      <c r="AF2145" s="923"/>
      <c r="AG2145" s="923"/>
      <c r="AH2145" s="923"/>
      <c r="AI2145" s="923"/>
      <c r="AJ2145" s="923"/>
      <c r="AK2145" s="923"/>
      <c r="AL2145" s="923"/>
      <c r="AM2145" s="923"/>
      <c r="AN2145" s="923"/>
      <c r="AO2145" s="923"/>
      <c r="CP2145" s="923">
        <f t="shared" si="1279"/>
        <v>0</v>
      </c>
      <c r="CZ2145" s="330"/>
    </row>
    <row r="2146" spans="19:104" x14ac:dyDescent="0.25">
      <c r="CP2146" s="923">
        <f t="shared" si="1279"/>
        <v>0</v>
      </c>
      <c r="CZ2146" s="330"/>
    </row>
    <row r="2147" spans="19:104" x14ac:dyDescent="0.25">
      <c r="W2147" s="923"/>
      <c r="X2147" s="923"/>
      <c r="Y2147" s="923"/>
      <c r="Z2147" s="923"/>
      <c r="AA2147" s="923"/>
      <c r="AB2147" s="923"/>
      <c r="AC2147" s="923"/>
      <c r="AD2147" s="923"/>
      <c r="AE2147" s="923"/>
      <c r="AF2147" s="923"/>
      <c r="AG2147" s="923"/>
      <c r="AH2147" s="923"/>
      <c r="AI2147" s="923"/>
      <c r="AJ2147" s="923"/>
      <c r="AK2147" s="923"/>
      <c r="AL2147" s="923"/>
      <c r="AM2147" s="923"/>
      <c r="AN2147" s="923"/>
      <c r="AO2147" s="923"/>
      <c r="CP2147" s="923">
        <f t="shared" si="1279"/>
        <v>0</v>
      </c>
      <c r="CZ2147" s="330"/>
    </row>
    <row r="2148" spans="19:104" x14ac:dyDescent="0.25">
      <c r="CP2148" s="923">
        <f t="shared" si="1279"/>
        <v>0</v>
      </c>
      <c r="CZ2148" s="330"/>
    </row>
    <row r="2149" spans="19:104" x14ac:dyDescent="0.25">
      <c r="W2149" s="923"/>
      <c r="X2149" s="923"/>
      <c r="Y2149" s="923"/>
      <c r="Z2149" s="923"/>
      <c r="AA2149" s="923"/>
      <c r="AB2149" s="923"/>
      <c r="AC2149" s="923"/>
      <c r="AD2149" s="923"/>
      <c r="AE2149" s="923"/>
      <c r="AF2149" s="923"/>
      <c r="AG2149" s="923"/>
      <c r="AH2149" s="923"/>
      <c r="AI2149" s="923"/>
      <c r="AJ2149" s="923"/>
      <c r="AK2149" s="923"/>
      <c r="AL2149" s="923"/>
      <c r="AM2149" s="923"/>
      <c r="AN2149" s="923"/>
      <c r="AO2149" s="923"/>
      <c r="CP2149" s="923">
        <f t="shared" si="1279"/>
        <v>0</v>
      </c>
      <c r="CZ2149" s="330"/>
    </row>
    <row r="2150" spans="19:104" x14ac:dyDescent="0.25">
      <c r="W2150" s="923"/>
      <c r="X2150" s="923"/>
      <c r="Y2150" s="923"/>
      <c r="Z2150" s="923"/>
      <c r="AA2150" s="923"/>
      <c r="AB2150" s="923"/>
      <c r="AC2150" s="923"/>
      <c r="AD2150" s="923"/>
      <c r="AE2150" s="923"/>
      <c r="AF2150" s="923"/>
      <c r="AG2150" s="923"/>
      <c r="AH2150" s="923"/>
      <c r="AI2150" s="923"/>
      <c r="AJ2150" s="923"/>
      <c r="AK2150" s="923"/>
      <c r="AL2150" s="923"/>
      <c r="AM2150" s="923"/>
      <c r="AN2150" s="923"/>
      <c r="AO2150" s="923"/>
      <c r="CP2150" s="923">
        <f t="shared" si="1279"/>
        <v>0</v>
      </c>
      <c r="CZ2150" s="330"/>
    </row>
    <row r="2151" spans="19:104" x14ac:dyDescent="0.25">
      <c r="W2151" s="923"/>
      <c r="X2151" s="923"/>
      <c r="Y2151" s="923"/>
      <c r="Z2151" s="923"/>
      <c r="AA2151" s="923"/>
      <c r="AB2151" s="923"/>
      <c r="AC2151" s="923"/>
      <c r="AD2151" s="923"/>
      <c r="AE2151" s="923"/>
      <c r="AF2151" s="923"/>
      <c r="AG2151" s="923"/>
      <c r="AH2151" s="923"/>
      <c r="AI2151" s="923"/>
      <c r="AJ2151" s="923"/>
      <c r="AK2151" s="923"/>
      <c r="AL2151" s="923"/>
      <c r="AM2151" s="923"/>
      <c r="AN2151" s="923"/>
      <c r="AO2151" s="923"/>
      <c r="CP2151" s="923">
        <f t="shared" ref="CP2151:CP2214" si="1285">-V2151+BL2151+BM2151+BN2151+CM2151</f>
        <v>0</v>
      </c>
      <c r="CZ2151" s="330"/>
    </row>
    <row r="2152" spans="19:104" x14ac:dyDescent="0.25">
      <c r="CP2152" s="923">
        <f t="shared" si="1285"/>
        <v>0</v>
      </c>
      <c r="CZ2152" s="330"/>
    </row>
    <row r="2153" spans="19:104" x14ac:dyDescent="0.25">
      <c r="W2153" s="923"/>
      <c r="X2153" s="923"/>
      <c r="Y2153" s="923"/>
      <c r="Z2153" s="923"/>
      <c r="AA2153" s="923"/>
      <c r="AB2153" s="923"/>
      <c r="AC2153" s="923"/>
      <c r="AD2153" s="923"/>
      <c r="AE2153" s="923"/>
      <c r="AF2153" s="923"/>
      <c r="AG2153" s="923"/>
      <c r="AH2153" s="923"/>
      <c r="AI2153" s="923"/>
      <c r="AJ2153" s="923"/>
      <c r="AK2153" s="923"/>
      <c r="AL2153" s="923"/>
      <c r="AM2153" s="923"/>
      <c r="AN2153" s="923"/>
      <c r="AO2153" s="923"/>
      <c r="CP2153" s="923">
        <f t="shared" si="1285"/>
        <v>0</v>
      </c>
      <c r="CZ2153" s="330"/>
    </row>
    <row r="2154" spans="19:104" x14ac:dyDescent="0.25">
      <c r="W2154" s="923"/>
      <c r="X2154" s="923"/>
      <c r="Y2154" s="923"/>
      <c r="Z2154" s="923"/>
      <c r="AA2154" s="923"/>
      <c r="AB2154" s="923"/>
      <c r="AC2154" s="923"/>
      <c r="AD2154" s="923"/>
      <c r="AE2154" s="923"/>
      <c r="AF2154" s="923"/>
      <c r="AG2154" s="923"/>
      <c r="AH2154" s="923"/>
      <c r="AI2154" s="923"/>
      <c r="AJ2154" s="923"/>
      <c r="AK2154" s="923"/>
      <c r="AL2154" s="923"/>
      <c r="AM2154" s="923"/>
      <c r="AN2154" s="923"/>
      <c r="AO2154" s="923"/>
      <c r="CP2154" s="923">
        <f t="shared" si="1285"/>
        <v>0</v>
      </c>
      <c r="CZ2154" s="330"/>
    </row>
    <row r="2155" spans="19:104" x14ac:dyDescent="0.25">
      <c r="W2155" s="923"/>
      <c r="X2155" s="923"/>
      <c r="Y2155" s="923"/>
      <c r="Z2155" s="923"/>
      <c r="AA2155" s="923"/>
      <c r="AB2155" s="923"/>
      <c r="AC2155" s="923"/>
      <c r="AD2155" s="923"/>
      <c r="AE2155" s="923"/>
      <c r="AF2155" s="923"/>
      <c r="AG2155" s="923"/>
      <c r="AH2155" s="923"/>
      <c r="AI2155" s="923"/>
      <c r="AJ2155" s="923"/>
      <c r="AK2155" s="923"/>
      <c r="AL2155" s="923"/>
      <c r="AM2155" s="923"/>
      <c r="AN2155" s="923"/>
      <c r="AO2155" s="923"/>
      <c r="CP2155" s="923">
        <f t="shared" si="1285"/>
        <v>0</v>
      </c>
      <c r="CZ2155" s="330"/>
    </row>
    <row r="2156" spans="19:104" x14ac:dyDescent="0.25">
      <c r="W2156" s="923"/>
      <c r="X2156" s="923"/>
      <c r="Y2156" s="923"/>
      <c r="Z2156" s="923"/>
      <c r="AA2156" s="923"/>
      <c r="AB2156" s="923"/>
      <c r="AC2156" s="923"/>
      <c r="AD2156" s="923"/>
      <c r="AE2156" s="923"/>
      <c r="AF2156" s="923"/>
      <c r="AG2156" s="923"/>
      <c r="AH2156" s="923"/>
      <c r="AI2156" s="923"/>
      <c r="AJ2156" s="923"/>
      <c r="AK2156" s="923"/>
      <c r="AL2156" s="923"/>
      <c r="AM2156" s="923"/>
      <c r="AN2156" s="923"/>
      <c r="AO2156" s="923"/>
      <c r="CP2156" s="923">
        <f t="shared" si="1285"/>
        <v>0</v>
      </c>
      <c r="CZ2156" s="330"/>
    </row>
    <row r="2157" spans="19:104" x14ac:dyDescent="0.25">
      <c r="CP2157" s="923">
        <f t="shared" si="1285"/>
        <v>0</v>
      </c>
      <c r="CZ2157" s="330"/>
    </row>
    <row r="2158" spans="19:104" x14ac:dyDescent="0.25">
      <c r="CP2158" s="923">
        <f t="shared" si="1285"/>
        <v>0</v>
      </c>
      <c r="CZ2158" s="330"/>
    </row>
    <row r="2159" spans="19:104" x14ac:dyDescent="0.25">
      <c r="CP2159" s="923">
        <f t="shared" si="1285"/>
        <v>0</v>
      </c>
      <c r="CZ2159" s="330"/>
    </row>
    <row r="2160" spans="19:104" x14ac:dyDescent="0.25">
      <c r="CP2160" s="923">
        <f t="shared" si="1285"/>
        <v>0</v>
      </c>
      <c r="CZ2160" s="330"/>
    </row>
    <row r="2161" spans="94:104" x14ac:dyDescent="0.25">
      <c r="CP2161" s="923">
        <f t="shared" si="1285"/>
        <v>0</v>
      </c>
      <c r="CZ2161" s="330"/>
    </row>
    <row r="2162" spans="94:104" x14ac:dyDescent="0.25">
      <c r="CP2162" s="923">
        <f t="shared" si="1285"/>
        <v>0</v>
      </c>
      <c r="CZ2162" s="330"/>
    </row>
    <row r="2163" spans="94:104" x14ac:dyDescent="0.25">
      <c r="CP2163" s="923">
        <f t="shared" si="1285"/>
        <v>0</v>
      </c>
      <c r="CZ2163" s="330"/>
    </row>
    <row r="2164" spans="94:104" x14ac:dyDescent="0.25">
      <c r="CP2164" s="923">
        <f t="shared" si="1285"/>
        <v>0</v>
      </c>
      <c r="CZ2164" s="330"/>
    </row>
    <row r="2165" spans="94:104" x14ac:dyDescent="0.25">
      <c r="CP2165" s="923">
        <f t="shared" si="1285"/>
        <v>0</v>
      </c>
      <c r="CZ2165" s="330"/>
    </row>
    <row r="2166" spans="94:104" x14ac:dyDescent="0.25">
      <c r="CP2166" s="923">
        <f t="shared" si="1285"/>
        <v>0</v>
      </c>
      <c r="CZ2166" s="330"/>
    </row>
    <row r="2167" spans="94:104" x14ac:dyDescent="0.25">
      <c r="CP2167" s="923">
        <f t="shared" si="1285"/>
        <v>0</v>
      </c>
      <c r="CZ2167" s="330"/>
    </row>
    <row r="2168" spans="94:104" x14ac:dyDescent="0.25">
      <c r="CP2168" s="923">
        <f t="shared" si="1285"/>
        <v>0</v>
      </c>
      <c r="CZ2168" s="330"/>
    </row>
    <row r="2169" spans="94:104" x14ac:dyDescent="0.25">
      <c r="CP2169" s="923">
        <f t="shared" si="1285"/>
        <v>0</v>
      </c>
      <c r="CZ2169" s="330"/>
    </row>
    <row r="2170" spans="94:104" x14ac:dyDescent="0.25">
      <c r="CP2170" s="923">
        <f t="shared" si="1285"/>
        <v>0</v>
      </c>
      <c r="CZ2170" s="330"/>
    </row>
    <row r="2171" spans="94:104" x14ac:dyDescent="0.25">
      <c r="CP2171" s="923">
        <f t="shared" si="1285"/>
        <v>0</v>
      </c>
      <c r="CZ2171" s="330"/>
    </row>
    <row r="2172" spans="94:104" x14ac:dyDescent="0.25">
      <c r="CP2172" s="923">
        <f t="shared" si="1285"/>
        <v>0</v>
      </c>
      <c r="CZ2172" s="330"/>
    </row>
    <row r="2173" spans="94:104" x14ac:dyDescent="0.25">
      <c r="CP2173" s="923">
        <f t="shared" si="1285"/>
        <v>0</v>
      </c>
      <c r="CZ2173" s="330"/>
    </row>
    <row r="2174" spans="94:104" x14ac:dyDescent="0.25">
      <c r="CP2174" s="923">
        <f t="shared" si="1285"/>
        <v>0</v>
      </c>
      <c r="CZ2174" s="330"/>
    </row>
    <row r="2175" spans="94:104" x14ac:dyDescent="0.25">
      <c r="CP2175" s="923">
        <f t="shared" si="1285"/>
        <v>0</v>
      </c>
      <c r="CZ2175" s="330"/>
    </row>
    <row r="2176" spans="94:104" x14ac:dyDescent="0.25">
      <c r="CP2176" s="923">
        <f t="shared" si="1285"/>
        <v>0</v>
      </c>
      <c r="CZ2176" s="330"/>
    </row>
    <row r="2177" spans="94:104" x14ac:dyDescent="0.25">
      <c r="CP2177" s="923">
        <f t="shared" si="1285"/>
        <v>0</v>
      </c>
      <c r="CZ2177" s="330"/>
    </row>
    <row r="2178" spans="94:104" x14ac:dyDescent="0.25">
      <c r="CP2178" s="923">
        <f t="shared" si="1285"/>
        <v>0</v>
      </c>
      <c r="CZ2178" s="330"/>
    </row>
    <row r="2179" spans="94:104" x14ac:dyDescent="0.25">
      <c r="CP2179" s="923">
        <f t="shared" si="1285"/>
        <v>0</v>
      </c>
      <c r="CZ2179" s="330"/>
    </row>
    <row r="2180" spans="94:104" x14ac:dyDescent="0.25">
      <c r="CP2180" s="923">
        <f t="shared" si="1285"/>
        <v>0</v>
      </c>
      <c r="CZ2180" s="330"/>
    </row>
    <row r="2181" spans="94:104" x14ac:dyDescent="0.25">
      <c r="CP2181" s="923">
        <f t="shared" si="1285"/>
        <v>0</v>
      </c>
      <c r="CZ2181" s="330"/>
    </row>
    <row r="2182" spans="94:104" x14ac:dyDescent="0.25">
      <c r="CP2182" s="923">
        <f t="shared" si="1285"/>
        <v>0</v>
      </c>
      <c r="CZ2182" s="330"/>
    </row>
    <row r="2183" spans="94:104" x14ac:dyDescent="0.25">
      <c r="CP2183" s="923">
        <f t="shared" si="1285"/>
        <v>0</v>
      </c>
      <c r="CZ2183" s="330"/>
    </row>
    <row r="2184" spans="94:104" x14ac:dyDescent="0.25">
      <c r="CP2184" s="923">
        <f t="shared" si="1285"/>
        <v>0</v>
      </c>
      <c r="CZ2184" s="330"/>
    </row>
    <row r="2185" spans="94:104" x14ac:dyDescent="0.25">
      <c r="CP2185" s="923">
        <f t="shared" si="1285"/>
        <v>0</v>
      </c>
      <c r="CZ2185" s="330"/>
    </row>
    <row r="2186" spans="94:104" x14ac:dyDescent="0.25">
      <c r="CP2186" s="923">
        <f t="shared" si="1285"/>
        <v>0</v>
      </c>
      <c r="CZ2186" s="330"/>
    </row>
    <row r="2187" spans="94:104" x14ac:dyDescent="0.25">
      <c r="CP2187" s="923">
        <f t="shared" si="1285"/>
        <v>0</v>
      </c>
      <c r="CZ2187" s="330"/>
    </row>
    <row r="2188" spans="94:104" x14ac:dyDescent="0.25">
      <c r="CP2188" s="923">
        <f t="shared" si="1285"/>
        <v>0</v>
      </c>
      <c r="CZ2188" s="330"/>
    </row>
    <row r="2189" spans="94:104" x14ac:dyDescent="0.25">
      <c r="CP2189" s="923">
        <f t="shared" si="1285"/>
        <v>0</v>
      </c>
      <c r="CZ2189" s="330"/>
    </row>
    <row r="2190" spans="94:104" x14ac:dyDescent="0.25">
      <c r="CP2190" s="923">
        <f t="shared" si="1285"/>
        <v>0</v>
      </c>
      <c r="CZ2190" s="330"/>
    </row>
    <row r="2191" spans="94:104" x14ac:dyDescent="0.25">
      <c r="CP2191" s="923">
        <f t="shared" si="1285"/>
        <v>0</v>
      </c>
      <c r="CZ2191" s="330"/>
    </row>
    <row r="2192" spans="94:104" x14ac:dyDescent="0.25">
      <c r="CP2192" s="923">
        <f t="shared" si="1285"/>
        <v>0</v>
      </c>
      <c r="CZ2192" s="330"/>
    </row>
    <row r="2193" spans="94:104" x14ac:dyDescent="0.25">
      <c r="CP2193" s="923">
        <f t="shared" si="1285"/>
        <v>0</v>
      </c>
      <c r="CZ2193" s="330"/>
    </row>
    <row r="2194" spans="94:104" x14ac:dyDescent="0.25">
      <c r="CP2194" s="923">
        <f t="shared" si="1285"/>
        <v>0</v>
      </c>
      <c r="CZ2194" s="330"/>
    </row>
    <row r="2195" spans="94:104" x14ac:dyDescent="0.25">
      <c r="CP2195" s="923">
        <f t="shared" si="1285"/>
        <v>0</v>
      </c>
      <c r="CZ2195" s="330"/>
    </row>
    <row r="2196" spans="94:104" x14ac:dyDescent="0.25">
      <c r="CP2196" s="923">
        <f t="shared" si="1285"/>
        <v>0</v>
      </c>
      <c r="CZ2196" s="330"/>
    </row>
    <row r="2197" spans="94:104" x14ac:dyDescent="0.25">
      <c r="CP2197" s="923">
        <f t="shared" si="1285"/>
        <v>0</v>
      </c>
      <c r="CZ2197" s="330"/>
    </row>
    <row r="2198" spans="94:104" x14ac:dyDescent="0.25">
      <c r="CP2198" s="923">
        <f t="shared" si="1285"/>
        <v>0</v>
      </c>
      <c r="CZ2198" s="330"/>
    </row>
    <row r="2199" spans="94:104" x14ac:dyDescent="0.25">
      <c r="CP2199" s="923">
        <f t="shared" si="1285"/>
        <v>0</v>
      </c>
      <c r="CZ2199" s="330"/>
    </row>
    <row r="2200" spans="94:104" x14ac:dyDescent="0.25">
      <c r="CP2200" s="923">
        <f t="shared" si="1285"/>
        <v>0</v>
      </c>
      <c r="CZ2200" s="330"/>
    </row>
    <row r="2201" spans="94:104" x14ac:dyDescent="0.25">
      <c r="CP2201" s="923">
        <f t="shared" si="1285"/>
        <v>0</v>
      </c>
      <c r="CZ2201" s="330"/>
    </row>
    <row r="2202" spans="94:104" x14ac:dyDescent="0.25">
      <c r="CP2202" s="923">
        <f t="shared" si="1285"/>
        <v>0</v>
      </c>
      <c r="CZ2202" s="330"/>
    </row>
    <row r="2203" spans="94:104" x14ac:dyDescent="0.25">
      <c r="CP2203" s="923">
        <f t="shared" si="1285"/>
        <v>0</v>
      </c>
      <c r="CZ2203" s="330"/>
    </row>
    <row r="2204" spans="94:104" x14ac:dyDescent="0.25">
      <c r="CP2204" s="923">
        <f t="shared" si="1285"/>
        <v>0</v>
      </c>
      <c r="CZ2204" s="330"/>
    </row>
    <row r="2205" spans="94:104" x14ac:dyDescent="0.25">
      <c r="CP2205" s="923">
        <f t="shared" si="1285"/>
        <v>0</v>
      </c>
      <c r="CZ2205" s="330"/>
    </row>
    <row r="2206" spans="94:104" x14ac:dyDescent="0.25">
      <c r="CP2206" s="923">
        <f t="shared" si="1285"/>
        <v>0</v>
      </c>
      <c r="CZ2206" s="330"/>
    </row>
    <row r="2207" spans="94:104" x14ac:dyDescent="0.25">
      <c r="CP2207" s="923">
        <f t="shared" si="1285"/>
        <v>0</v>
      </c>
      <c r="CZ2207" s="330"/>
    </row>
    <row r="2208" spans="94:104" x14ac:dyDescent="0.25">
      <c r="CP2208" s="923">
        <f t="shared" si="1285"/>
        <v>0</v>
      </c>
      <c r="CZ2208" s="330"/>
    </row>
    <row r="2209" spans="94:104" x14ac:dyDescent="0.25">
      <c r="CP2209" s="923">
        <f t="shared" si="1285"/>
        <v>0</v>
      </c>
      <c r="CZ2209" s="330"/>
    </row>
    <row r="2210" spans="94:104" x14ac:dyDescent="0.25">
      <c r="CP2210" s="923">
        <f t="shared" si="1285"/>
        <v>0</v>
      </c>
      <c r="CZ2210" s="330"/>
    </row>
    <row r="2211" spans="94:104" x14ac:dyDescent="0.25">
      <c r="CP2211" s="923">
        <f t="shared" si="1285"/>
        <v>0</v>
      </c>
      <c r="CZ2211" s="330"/>
    </row>
    <row r="2212" spans="94:104" x14ac:dyDescent="0.25">
      <c r="CP2212" s="923">
        <f t="shared" si="1285"/>
        <v>0</v>
      </c>
      <c r="CZ2212" s="330"/>
    </row>
    <row r="2213" spans="94:104" x14ac:dyDescent="0.25">
      <c r="CP2213" s="923">
        <f t="shared" si="1285"/>
        <v>0</v>
      </c>
      <c r="CZ2213" s="330"/>
    </row>
    <row r="2214" spans="94:104" x14ac:dyDescent="0.25">
      <c r="CP2214" s="923">
        <f t="shared" si="1285"/>
        <v>0</v>
      </c>
      <c r="CZ2214" s="330"/>
    </row>
    <row r="2215" spans="94:104" x14ac:dyDescent="0.25">
      <c r="CP2215" s="923">
        <f t="shared" ref="CP2215:CP2278" si="1286">-V2215+BL2215+BM2215+BN2215+CM2215</f>
        <v>0</v>
      </c>
      <c r="CZ2215" s="330"/>
    </row>
    <row r="2216" spans="94:104" x14ac:dyDescent="0.25">
      <c r="CP2216" s="923">
        <f t="shared" si="1286"/>
        <v>0</v>
      </c>
      <c r="CZ2216" s="330"/>
    </row>
    <row r="2217" spans="94:104" x14ac:dyDescent="0.25">
      <c r="CP2217" s="923">
        <f t="shared" si="1286"/>
        <v>0</v>
      </c>
      <c r="CZ2217" s="330"/>
    </row>
    <row r="2218" spans="94:104" x14ac:dyDescent="0.25">
      <c r="CP2218" s="923">
        <f t="shared" si="1286"/>
        <v>0</v>
      </c>
      <c r="CZ2218" s="330"/>
    </row>
    <row r="2219" spans="94:104" x14ac:dyDescent="0.25">
      <c r="CP2219" s="923">
        <f t="shared" si="1286"/>
        <v>0</v>
      </c>
      <c r="CZ2219" s="330"/>
    </row>
    <row r="2220" spans="94:104" x14ac:dyDescent="0.25">
      <c r="CP2220" s="923">
        <f t="shared" si="1286"/>
        <v>0</v>
      </c>
      <c r="CZ2220" s="330"/>
    </row>
    <row r="2221" spans="94:104" x14ac:dyDescent="0.25">
      <c r="CP2221" s="923">
        <f t="shared" si="1286"/>
        <v>0</v>
      </c>
      <c r="CZ2221" s="330"/>
    </row>
    <row r="2222" spans="94:104" x14ac:dyDescent="0.25">
      <c r="CP2222" s="923">
        <f t="shared" si="1286"/>
        <v>0</v>
      </c>
      <c r="CZ2222" s="330"/>
    </row>
    <row r="2223" spans="94:104" x14ac:dyDescent="0.25">
      <c r="CP2223" s="923">
        <f t="shared" si="1286"/>
        <v>0</v>
      </c>
      <c r="CZ2223" s="330"/>
    </row>
    <row r="2224" spans="94:104" x14ac:dyDescent="0.25">
      <c r="CP2224" s="923">
        <f t="shared" si="1286"/>
        <v>0</v>
      </c>
      <c r="CZ2224" s="330"/>
    </row>
    <row r="2225" spans="94:104" x14ac:dyDescent="0.25">
      <c r="CP2225" s="923">
        <f t="shared" si="1286"/>
        <v>0</v>
      </c>
      <c r="CZ2225" s="330"/>
    </row>
    <row r="2226" spans="94:104" x14ac:dyDescent="0.25">
      <c r="CP2226" s="923">
        <f t="shared" si="1286"/>
        <v>0</v>
      </c>
      <c r="CZ2226" s="330"/>
    </row>
    <row r="2227" spans="94:104" x14ac:dyDescent="0.25">
      <c r="CP2227" s="923">
        <f t="shared" si="1286"/>
        <v>0</v>
      </c>
      <c r="CZ2227" s="330"/>
    </row>
    <row r="2228" spans="94:104" x14ac:dyDescent="0.25">
      <c r="CP2228" s="923">
        <f t="shared" si="1286"/>
        <v>0</v>
      </c>
      <c r="CZ2228" s="330"/>
    </row>
    <row r="2229" spans="94:104" x14ac:dyDescent="0.25">
      <c r="CP2229" s="923">
        <f t="shared" si="1286"/>
        <v>0</v>
      </c>
      <c r="CZ2229" s="330"/>
    </row>
    <row r="2230" spans="94:104" x14ac:dyDescent="0.25">
      <c r="CP2230" s="923">
        <f t="shared" si="1286"/>
        <v>0</v>
      </c>
      <c r="CZ2230" s="330"/>
    </row>
    <row r="2231" spans="94:104" x14ac:dyDescent="0.25">
      <c r="CP2231" s="923">
        <f t="shared" si="1286"/>
        <v>0</v>
      </c>
      <c r="CZ2231" s="330"/>
    </row>
    <row r="2232" spans="94:104" x14ac:dyDescent="0.25">
      <c r="CP2232" s="923">
        <f t="shared" si="1286"/>
        <v>0</v>
      </c>
      <c r="CZ2232" s="330"/>
    </row>
    <row r="2233" spans="94:104" x14ac:dyDescent="0.25">
      <c r="CP2233" s="923">
        <f t="shared" si="1286"/>
        <v>0</v>
      </c>
      <c r="CZ2233" s="330"/>
    </row>
    <row r="2234" spans="94:104" x14ac:dyDescent="0.25">
      <c r="CP2234" s="923">
        <f t="shared" si="1286"/>
        <v>0</v>
      </c>
      <c r="CZ2234" s="330"/>
    </row>
    <row r="2235" spans="94:104" x14ac:dyDescent="0.25">
      <c r="CP2235" s="923">
        <f t="shared" si="1286"/>
        <v>0</v>
      </c>
      <c r="CZ2235" s="330"/>
    </row>
    <row r="2236" spans="94:104" x14ac:dyDescent="0.25">
      <c r="CP2236" s="923">
        <f t="shared" si="1286"/>
        <v>0</v>
      </c>
      <c r="CZ2236" s="330"/>
    </row>
    <row r="2237" spans="94:104" x14ac:dyDescent="0.25">
      <c r="CP2237" s="923">
        <f t="shared" si="1286"/>
        <v>0</v>
      </c>
      <c r="CZ2237" s="330"/>
    </row>
    <row r="2238" spans="94:104" x14ac:dyDescent="0.25">
      <c r="CP2238" s="923">
        <f t="shared" si="1286"/>
        <v>0</v>
      </c>
      <c r="CZ2238" s="330"/>
    </row>
    <row r="2239" spans="94:104" x14ac:dyDescent="0.25">
      <c r="CP2239" s="923">
        <f t="shared" si="1286"/>
        <v>0</v>
      </c>
      <c r="CZ2239" s="330"/>
    </row>
    <row r="2240" spans="94:104" x14ac:dyDescent="0.25">
      <c r="CP2240" s="923">
        <f t="shared" si="1286"/>
        <v>0</v>
      </c>
      <c r="CZ2240" s="330"/>
    </row>
    <row r="2241" spans="94:104" x14ac:dyDescent="0.25">
      <c r="CP2241" s="923">
        <f t="shared" si="1286"/>
        <v>0</v>
      </c>
      <c r="CZ2241" s="330"/>
    </row>
    <row r="2242" spans="94:104" x14ac:dyDescent="0.25">
      <c r="CP2242" s="923">
        <f t="shared" si="1286"/>
        <v>0</v>
      </c>
      <c r="CZ2242" s="330"/>
    </row>
    <row r="2243" spans="94:104" x14ac:dyDescent="0.25">
      <c r="CP2243" s="923">
        <f t="shared" si="1286"/>
        <v>0</v>
      </c>
      <c r="CZ2243" s="330"/>
    </row>
    <row r="2244" spans="94:104" x14ac:dyDescent="0.25">
      <c r="CP2244" s="923">
        <f t="shared" si="1286"/>
        <v>0</v>
      </c>
      <c r="CZ2244" s="330"/>
    </row>
    <row r="2245" spans="94:104" x14ac:dyDescent="0.25">
      <c r="CP2245" s="923">
        <f t="shared" si="1286"/>
        <v>0</v>
      </c>
      <c r="CZ2245" s="330"/>
    </row>
    <row r="2246" spans="94:104" x14ac:dyDescent="0.25">
      <c r="CP2246" s="923">
        <f t="shared" si="1286"/>
        <v>0</v>
      </c>
      <c r="CZ2246" s="330"/>
    </row>
    <row r="2247" spans="94:104" x14ac:dyDescent="0.25">
      <c r="CP2247" s="923">
        <f t="shared" si="1286"/>
        <v>0</v>
      </c>
      <c r="CZ2247" s="330"/>
    </row>
    <row r="2248" spans="94:104" x14ac:dyDescent="0.25">
      <c r="CP2248" s="923">
        <f t="shared" si="1286"/>
        <v>0</v>
      </c>
      <c r="CZ2248" s="330"/>
    </row>
    <row r="2249" spans="94:104" x14ac:dyDescent="0.25">
      <c r="CP2249" s="923">
        <f t="shared" si="1286"/>
        <v>0</v>
      </c>
      <c r="CZ2249" s="330"/>
    </row>
    <row r="2250" spans="94:104" x14ac:dyDescent="0.25">
      <c r="CP2250" s="923">
        <f t="shared" si="1286"/>
        <v>0</v>
      </c>
      <c r="CZ2250" s="330"/>
    </row>
    <row r="2251" spans="94:104" x14ac:dyDescent="0.25">
      <c r="CP2251" s="923">
        <f t="shared" si="1286"/>
        <v>0</v>
      </c>
      <c r="CZ2251" s="330"/>
    </row>
    <row r="2252" spans="94:104" x14ac:dyDescent="0.25">
      <c r="CP2252" s="923">
        <f t="shared" si="1286"/>
        <v>0</v>
      </c>
      <c r="CZ2252" s="330"/>
    </row>
    <row r="2253" spans="94:104" x14ac:dyDescent="0.25">
      <c r="CP2253" s="923">
        <f t="shared" si="1286"/>
        <v>0</v>
      </c>
      <c r="CZ2253" s="330"/>
    </row>
    <row r="2254" spans="94:104" x14ac:dyDescent="0.25">
      <c r="CP2254" s="923">
        <f t="shared" si="1286"/>
        <v>0</v>
      </c>
      <c r="CZ2254" s="330"/>
    </row>
    <row r="2255" spans="94:104" x14ac:dyDescent="0.25">
      <c r="CP2255" s="923">
        <f t="shared" si="1286"/>
        <v>0</v>
      </c>
      <c r="CZ2255" s="330"/>
    </row>
    <row r="2256" spans="94:104" x14ac:dyDescent="0.25">
      <c r="CP2256" s="923">
        <f t="shared" si="1286"/>
        <v>0</v>
      </c>
      <c r="CZ2256" s="330"/>
    </row>
    <row r="2257" spans="94:104" x14ac:dyDescent="0.25">
      <c r="CP2257" s="923">
        <f t="shared" si="1286"/>
        <v>0</v>
      </c>
      <c r="CZ2257" s="330"/>
    </row>
    <row r="2258" spans="94:104" x14ac:dyDescent="0.25">
      <c r="CP2258" s="923">
        <f t="shared" si="1286"/>
        <v>0</v>
      </c>
      <c r="CZ2258" s="330"/>
    </row>
    <row r="2259" spans="94:104" x14ac:dyDescent="0.25">
      <c r="CP2259" s="923">
        <f t="shared" si="1286"/>
        <v>0</v>
      </c>
      <c r="CZ2259" s="330"/>
    </row>
    <row r="2260" spans="94:104" x14ac:dyDescent="0.25">
      <c r="CP2260" s="923">
        <f t="shared" si="1286"/>
        <v>0</v>
      </c>
      <c r="CZ2260" s="330"/>
    </row>
    <row r="2261" spans="94:104" x14ac:dyDescent="0.25">
      <c r="CP2261" s="923">
        <f t="shared" si="1286"/>
        <v>0</v>
      </c>
      <c r="CZ2261" s="330"/>
    </row>
    <row r="2262" spans="94:104" x14ac:dyDescent="0.25">
      <c r="CP2262" s="923">
        <f t="shared" si="1286"/>
        <v>0</v>
      </c>
      <c r="CZ2262" s="330"/>
    </row>
    <row r="2263" spans="94:104" x14ac:dyDescent="0.25">
      <c r="CP2263" s="923">
        <f t="shared" si="1286"/>
        <v>0</v>
      </c>
      <c r="CZ2263" s="330"/>
    </row>
    <row r="2264" spans="94:104" x14ac:dyDescent="0.25">
      <c r="CP2264" s="923">
        <f t="shared" si="1286"/>
        <v>0</v>
      </c>
      <c r="CZ2264" s="330"/>
    </row>
    <row r="2265" spans="94:104" x14ac:dyDescent="0.25">
      <c r="CP2265" s="923">
        <f t="shared" si="1286"/>
        <v>0</v>
      </c>
      <c r="CZ2265" s="330"/>
    </row>
    <row r="2266" spans="94:104" x14ac:dyDescent="0.25">
      <c r="CP2266" s="923">
        <f t="shared" si="1286"/>
        <v>0</v>
      </c>
      <c r="CZ2266" s="330"/>
    </row>
    <row r="2267" spans="94:104" x14ac:dyDescent="0.25">
      <c r="CP2267" s="923">
        <f t="shared" si="1286"/>
        <v>0</v>
      </c>
      <c r="CZ2267" s="330"/>
    </row>
    <row r="2268" spans="94:104" x14ac:dyDescent="0.25">
      <c r="CP2268" s="923">
        <f t="shared" si="1286"/>
        <v>0</v>
      </c>
      <c r="CZ2268" s="330"/>
    </row>
    <row r="2269" spans="94:104" x14ac:dyDescent="0.25">
      <c r="CP2269" s="923">
        <f t="shared" si="1286"/>
        <v>0</v>
      </c>
      <c r="CZ2269" s="330"/>
    </row>
    <row r="2270" spans="94:104" x14ac:dyDescent="0.25">
      <c r="CP2270" s="923">
        <f t="shared" si="1286"/>
        <v>0</v>
      </c>
      <c r="CZ2270" s="330"/>
    </row>
    <row r="2271" spans="94:104" x14ac:dyDescent="0.25">
      <c r="CP2271" s="923">
        <f t="shared" si="1286"/>
        <v>0</v>
      </c>
      <c r="CZ2271" s="330"/>
    </row>
    <row r="2272" spans="94:104" x14ac:dyDescent="0.25">
      <c r="CP2272" s="923">
        <f t="shared" si="1286"/>
        <v>0</v>
      </c>
      <c r="CZ2272" s="330"/>
    </row>
    <row r="2273" spans="94:104" x14ac:dyDescent="0.25">
      <c r="CP2273" s="923">
        <f t="shared" si="1286"/>
        <v>0</v>
      </c>
      <c r="CZ2273" s="330"/>
    </row>
    <row r="2274" spans="94:104" x14ac:dyDescent="0.25">
      <c r="CP2274" s="923">
        <f t="shared" si="1286"/>
        <v>0</v>
      </c>
      <c r="CZ2274" s="330"/>
    </row>
    <row r="2275" spans="94:104" x14ac:dyDescent="0.25">
      <c r="CP2275" s="923">
        <f t="shared" si="1286"/>
        <v>0</v>
      </c>
      <c r="CZ2275" s="330"/>
    </row>
    <row r="2276" spans="94:104" x14ac:dyDescent="0.25">
      <c r="CP2276" s="923">
        <f t="shared" si="1286"/>
        <v>0</v>
      </c>
      <c r="CZ2276" s="330"/>
    </row>
    <row r="2277" spans="94:104" x14ac:dyDescent="0.25">
      <c r="CP2277" s="923">
        <f t="shared" si="1286"/>
        <v>0</v>
      </c>
      <c r="CZ2277" s="330"/>
    </row>
    <row r="2278" spans="94:104" x14ac:dyDescent="0.25">
      <c r="CP2278" s="923">
        <f t="shared" si="1286"/>
        <v>0</v>
      </c>
      <c r="CZ2278" s="330"/>
    </row>
    <row r="2279" spans="94:104" x14ac:dyDescent="0.25">
      <c r="CP2279" s="923">
        <f t="shared" ref="CP2279:CP2342" si="1287">-V2279+BL2279+BM2279+BN2279+CM2279</f>
        <v>0</v>
      </c>
      <c r="CZ2279" s="330"/>
    </row>
    <row r="2280" spans="94:104" x14ac:dyDescent="0.25">
      <c r="CP2280" s="923">
        <f t="shared" si="1287"/>
        <v>0</v>
      </c>
      <c r="CZ2280" s="330"/>
    </row>
    <row r="2281" spans="94:104" x14ac:dyDescent="0.25">
      <c r="CP2281" s="923">
        <f t="shared" si="1287"/>
        <v>0</v>
      </c>
      <c r="CZ2281" s="330"/>
    </row>
    <row r="2282" spans="94:104" x14ac:dyDescent="0.25">
      <c r="CP2282" s="923">
        <f t="shared" si="1287"/>
        <v>0</v>
      </c>
      <c r="CZ2282" s="330"/>
    </row>
    <row r="2283" spans="94:104" x14ac:dyDescent="0.25">
      <c r="CP2283" s="923">
        <f t="shared" si="1287"/>
        <v>0</v>
      </c>
      <c r="CZ2283" s="330"/>
    </row>
    <row r="2284" spans="94:104" x14ac:dyDescent="0.25">
      <c r="CP2284" s="923">
        <f t="shared" si="1287"/>
        <v>0</v>
      </c>
      <c r="CZ2284" s="330"/>
    </row>
    <row r="2285" spans="94:104" x14ac:dyDescent="0.25">
      <c r="CP2285" s="923">
        <f t="shared" si="1287"/>
        <v>0</v>
      </c>
      <c r="CZ2285" s="330"/>
    </row>
    <row r="2286" spans="94:104" x14ac:dyDescent="0.25">
      <c r="CP2286" s="923">
        <f t="shared" si="1287"/>
        <v>0</v>
      </c>
      <c r="CZ2286" s="330"/>
    </row>
    <row r="2287" spans="94:104" x14ac:dyDescent="0.25">
      <c r="CP2287" s="923">
        <f t="shared" si="1287"/>
        <v>0</v>
      </c>
      <c r="CZ2287" s="330"/>
    </row>
    <row r="2288" spans="94:104" x14ac:dyDescent="0.25">
      <c r="CP2288" s="923">
        <f t="shared" si="1287"/>
        <v>0</v>
      </c>
      <c r="CZ2288" s="330"/>
    </row>
    <row r="2289" spans="94:104" x14ac:dyDescent="0.25">
      <c r="CP2289" s="923">
        <f t="shared" si="1287"/>
        <v>0</v>
      </c>
      <c r="CZ2289" s="330"/>
    </row>
    <row r="2290" spans="94:104" x14ac:dyDescent="0.25">
      <c r="CP2290" s="923">
        <f t="shared" si="1287"/>
        <v>0</v>
      </c>
      <c r="CZ2290" s="330"/>
    </row>
    <row r="2291" spans="94:104" x14ac:dyDescent="0.25">
      <c r="CP2291" s="923">
        <f t="shared" si="1287"/>
        <v>0</v>
      </c>
      <c r="CZ2291" s="330"/>
    </row>
    <row r="2292" spans="94:104" x14ac:dyDescent="0.25">
      <c r="CP2292" s="923">
        <f t="shared" si="1287"/>
        <v>0</v>
      </c>
      <c r="CZ2292" s="330"/>
    </row>
    <row r="2293" spans="94:104" x14ac:dyDescent="0.25">
      <c r="CP2293" s="923">
        <f t="shared" si="1287"/>
        <v>0</v>
      </c>
      <c r="CZ2293" s="330"/>
    </row>
    <row r="2294" spans="94:104" x14ac:dyDescent="0.25">
      <c r="CP2294" s="923">
        <f t="shared" si="1287"/>
        <v>0</v>
      </c>
      <c r="CZ2294" s="330"/>
    </row>
    <row r="2295" spans="94:104" x14ac:dyDescent="0.25">
      <c r="CP2295" s="923">
        <f t="shared" si="1287"/>
        <v>0</v>
      </c>
      <c r="CZ2295" s="330"/>
    </row>
    <row r="2296" spans="94:104" x14ac:dyDescent="0.25">
      <c r="CP2296" s="923">
        <f t="shared" si="1287"/>
        <v>0</v>
      </c>
      <c r="CZ2296" s="330"/>
    </row>
    <row r="2297" spans="94:104" x14ac:dyDescent="0.25">
      <c r="CP2297" s="923">
        <f t="shared" si="1287"/>
        <v>0</v>
      </c>
      <c r="CZ2297" s="330"/>
    </row>
    <row r="2298" spans="94:104" x14ac:dyDescent="0.25">
      <c r="CP2298" s="923">
        <f t="shared" si="1287"/>
        <v>0</v>
      </c>
      <c r="CZ2298" s="330"/>
    </row>
    <row r="2299" spans="94:104" x14ac:dyDescent="0.25">
      <c r="CP2299" s="923">
        <f t="shared" si="1287"/>
        <v>0</v>
      </c>
      <c r="CZ2299" s="330"/>
    </row>
    <row r="2300" spans="94:104" x14ac:dyDescent="0.25">
      <c r="CP2300" s="923">
        <f t="shared" si="1287"/>
        <v>0</v>
      </c>
      <c r="CZ2300" s="330"/>
    </row>
    <row r="2301" spans="94:104" x14ac:dyDescent="0.25">
      <c r="CP2301" s="923">
        <f t="shared" si="1287"/>
        <v>0</v>
      </c>
      <c r="CZ2301" s="330"/>
    </row>
    <row r="2302" spans="94:104" x14ac:dyDescent="0.25">
      <c r="CP2302" s="923">
        <f t="shared" si="1287"/>
        <v>0</v>
      </c>
      <c r="CZ2302" s="330"/>
    </row>
    <row r="2303" spans="94:104" x14ac:dyDescent="0.25">
      <c r="CP2303" s="923">
        <f t="shared" si="1287"/>
        <v>0</v>
      </c>
      <c r="CZ2303" s="330"/>
    </row>
    <row r="2304" spans="94:104" x14ac:dyDescent="0.25">
      <c r="CP2304" s="923">
        <f t="shared" si="1287"/>
        <v>0</v>
      </c>
      <c r="CZ2304" s="330"/>
    </row>
    <row r="2305" spans="94:104" x14ac:dyDescent="0.25">
      <c r="CP2305" s="923">
        <f t="shared" si="1287"/>
        <v>0</v>
      </c>
      <c r="CZ2305" s="330"/>
    </row>
    <row r="2306" spans="94:104" x14ac:dyDescent="0.25">
      <c r="CP2306" s="923">
        <f t="shared" si="1287"/>
        <v>0</v>
      </c>
      <c r="CZ2306" s="330"/>
    </row>
    <row r="2307" spans="94:104" x14ac:dyDescent="0.25">
      <c r="CP2307" s="923">
        <f t="shared" si="1287"/>
        <v>0</v>
      </c>
      <c r="CZ2307" s="330"/>
    </row>
    <row r="2308" spans="94:104" x14ac:dyDescent="0.25">
      <c r="CP2308" s="923">
        <f t="shared" si="1287"/>
        <v>0</v>
      </c>
      <c r="CZ2308" s="330"/>
    </row>
    <row r="2309" spans="94:104" x14ac:dyDescent="0.25">
      <c r="CP2309" s="923">
        <f t="shared" si="1287"/>
        <v>0</v>
      </c>
      <c r="CZ2309" s="330"/>
    </row>
    <row r="2310" spans="94:104" x14ac:dyDescent="0.25">
      <c r="CP2310" s="923">
        <f t="shared" si="1287"/>
        <v>0</v>
      </c>
      <c r="CZ2310" s="330"/>
    </row>
    <row r="2311" spans="94:104" x14ac:dyDescent="0.25">
      <c r="CP2311" s="923">
        <f t="shared" si="1287"/>
        <v>0</v>
      </c>
      <c r="CZ2311" s="330"/>
    </row>
    <row r="2312" spans="94:104" x14ac:dyDescent="0.25">
      <c r="CP2312" s="923">
        <f t="shared" si="1287"/>
        <v>0</v>
      </c>
      <c r="CZ2312" s="330"/>
    </row>
    <row r="2313" spans="94:104" x14ac:dyDescent="0.25">
      <c r="CP2313" s="923">
        <f t="shared" si="1287"/>
        <v>0</v>
      </c>
      <c r="CZ2313" s="330"/>
    </row>
    <row r="2314" spans="94:104" x14ac:dyDescent="0.25">
      <c r="CP2314" s="923">
        <f t="shared" si="1287"/>
        <v>0</v>
      </c>
      <c r="CZ2314" s="330"/>
    </row>
    <row r="2315" spans="94:104" x14ac:dyDescent="0.25">
      <c r="CP2315" s="923">
        <f t="shared" si="1287"/>
        <v>0</v>
      </c>
      <c r="CZ2315" s="330"/>
    </row>
    <row r="2316" spans="94:104" x14ac:dyDescent="0.25">
      <c r="CP2316" s="923">
        <f t="shared" si="1287"/>
        <v>0</v>
      </c>
      <c r="CZ2316" s="330"/>
    </row>
    <row r="2317" spans="94:104" x14ac:dyDescent="0.25">
      <c r="CP2317" s="923">
        <f t="shared" si="1287"/>
        <v>0</v>
      </c>
      <c r="CZ2317" s="330"/>
    </row>
    <row r="2318" spans="94:104" x14ac:dyDescent="0.25">
      <c r="CP2318" s="923">
        <f t="shared" si="1287"/>
        <v>0</v>
      </c>
      <c r="CZ2318" s="330"/>
    </row>
    <row r="2319" spans="94:104" x14ac:dyDescent="0.25">
      <c r="CP2319" s="923">
        <f t="shared" si="1287"/>
        <v>0</v>
      </c>
      <c r="CZ2319" s="330"/>
    </row>
    <row r="2320" spans="94:104" x14ac:dyDescent="0.25">
      <c r="CP2320" s="923">
        <f t="shared" si="1287"/>
        <v>0</v>
      </c>
      <c r="CZ2320" s="330"/>
    </row>
    <row r="2321" spans="94:104" x14ac:dyDescent="0.25">
      <c r="CP2321" s="923">
        <f t="shared" si="1287"/>
        <v>0</v>
      </c>
      <c r="CZ2321" s="330"/>
    </row>
    <row r="2322" spans="94:104" x14ac:dyDescent="0.25">
      <c r="CP2322" s="923">
        <f t="shared" si="1287"/>
        <v>0</v>
      </c>
      <c r="CZ2322" s="330"/>
    </row>
    <row r="2323" spans="94:104" x14ac:dyDescent="0.25">
      <c r="CP2323" s="923">
        <f t="shared" si="1287"/>
        <v>0</v>
      </c>
      <c r="CZ2323" s="330"/>
    </row>
    <row r="2324" spans="94:104" x14ac:dyDescent="0.25">
      <c r="CP2324" s="923">
        <f t="shared" si="1287"/>
        <v>0</v>
      </c>
      <c r="CZ2324" s="330"/>
    </row>
    <row r="2325" spans="94:104" x14ac:dyDescent="0.25">
      <c r="CP2325" s="923">
        <f t="shared" si="1287"/>
        <v>0</v>
      </c>
      <c r="CZ2325" s="330"/>
    </row>
    <row r="2326" spans="94:104" x14ac:dyDescent="0.25">
      <c r="CP2326" s="923">
        <f t="shared" si="1287"/>
        <v>0</v>
      </c>
      <c r="CZ2326" s="330"/>
    </row>
    <row r="2327" spans="94:104" x14ac:dyDescent="0.25">
      <c r="CP2327" s="923">
        <f t="shared" si="1287"/>
        <v>0</v>
      </c>
      <c r="CZ2327" s="330"/>
    </row>
    <row r="2328" spans="94:104" x14ac:dyDescent="0.25">
      <c r="CP2328" s="923">
        <f t="shared" si="1287"/>
        <v>0</v>
      </c>
      <c r="CZ2328" s="330"/>
    </row>
    <row r="2329" spans="94:104" x14ac:dyDescent="0.25">
      <c r="CP2329" s="923">
        <f t="shared" si="1287"/>
        <v>0</v>
      </c>
      <c r="CZ2329" s="330"/>
    </row>
    <row r="2330" spans="94:104" x14ac:dyDescent="0.25">
      <c r="CP2330" s="923">
        <f t="shared" si="1287"/>
        <v>0</v>
      </c>
      <c r="CZ2330" s="330"/>
    </row>
    <row r="2331" spans="94:104" x14ac:dyDescent="0.25">
      <c r="CP2331" s="923">
        <f t="shared" si="1287"/>
        <v>0</v>
      </c>
      <c r="CZ2331" s="330"/>
    </row>
    <row r="2332" spans="94:104" x14ac:dyDescent="0.25">
      <c r="CP2332" s="923">
        <f t="shared" si="1287"/>
        <v>0</v>
      </c>
      <c r="CZ2332" s="330"/>
    </row>
    <row r="2333" spans="94:104" x14ac:dyDescent="0.25">
      <c r="CP2333" s="923">
        <f t="shared" si="1287"/>
        <v>0</v>
      </c>
      <c r="CZ2333" s="330"/>
    </row>
    <row r="2334" spans="94:104" x14ac:dyDescent="0.25">
      <c r="CP2334" s="923">
        <f t="shared" si="1287"/>
        <v>0</v>
      </c>
      <c r="CZ2334" s="330"/>
    </row>
    <row r="2335" spans="94:104" x14ac:dyDescent="0.25">
      <c r="CP2335" s="923">
        <f t="shared" si="1287"/>
        <v>0</v>
      </c>
      <c r="CZ2335" s="330"/>
    </row>
    <row r="2336" spans="94:104" x14ac:dyDescent="0.25">
      <c r="CP2336" s="923">
        <f t="shared" si="1287"/>
        <v>0</v>
      </c>
      <c r="CZ2336" s="330"/>
    </row>
    <row r="2337" spans="94:104" x14ac:dyDescent="0.25">
      <c r="CP2337" s="923">
        <f t="shared" si="1287"/>
        <v>0</v>
      </c>
      <c r="CZ2337" s="330"/>
    </row>
    <row r="2338" spans="94:104" x14ac:dyDescent="0.25">
      <c r="CP2338" s="923">
        <f t="shared" si="1287"/>
        <v>0</v>
      </c>
      <c r="CZ2338" s="330"/>
    </row>
    <row r="2339" spans="94:104" x14ac:dyDescent="0.25">
      <c r="CP2339" s="923">
        <f t="shared" si="1287"/>
        <v>0</v>
      </c>
      <c r="CZ2339" s="330"/>
    </row>
    <row r="2340" spans="94:104" x14ac:dyDescent="0.25">
      <c r="CP2340" s="923">
        <f t="shared" si="1287"/>
        <v>0</v>
      </c>
      <c r="CZ2340" s="330"/>
    </row>
    <row r="2341" spans="94:104" x14ac:dyDescent="0.25">
      <c r="CP2341" s="923">
        <f t="shared" si="1287"/>
        <v>0</v>
      </c>
      <c r="CZ2341" s="330"/>
    </row>
    <row r="2342" spans="94:104" x14ac:dyDescent="0.25">
      <c r="CP2342" s="923">
        <f t="shared" si="1287"/>
        <v>0</v>
      </c>
      <c r="CZ2342" s="330"/>
    </row>
    <row r="2343" spans="94:104" x14ac:dyDescent="0.25">
      <c r="CP2343" s="923">
        <f t="shared" ref="CP2343:CP2404" si="1288">-V2343+BL2343+BM2343+BN2343+CM2343</f>
        <v>0</v>
      </c>
      <c r="CZ2343" s="330"/>
    </row>
    <row r="2344" spans="94:104" x14ac:dyDescent="0.25">
      <c r="CP2344" s="923">
        <f t="shared" si="1288"/>
        <v>0</v>
      </c>
      <c r="CZ2344" s="330"/>
    </row>
    <row r="2345" spans="94:104" x14ac:dyDescent="0.25">
      <c r="CP2345" s="923">
        <f t="shared" si="1288"/>
        <v>0</v>
      </c>
      <c r="CZ2345" s="330"/>
    </row>
    <row r="2346" spans="94:104" x14ac:dyDescent="0.25">
      <c r="CP2346" s="923">
        <f t="shared" si="1288"/>
        <v>0</v>
      </c>
      <c r="CZ2346" s="330"/>
    </row>
    <row r="2347" spans="94:104" x14ac:dyDescent="0.25">
      <c r="CP2347" s="923">
        <f t="shared" si="1288"/>
        <v>0</v>
      </c>
      <c r="CZ2347" s="330"/>
    </row>
    <row r="2348" spans="94:104" x14ac:dyDescent="0.25">
      <c r="CP2348" s="923">
        <f t="shared" si="1288"/>
        <v>0</v>
      </c>
      <c r="CZ2348" s="330"/>
    </row>
    <row r="2349" spans="94:104" x14ac:dyDescent="0.25">
      <c r="CP2349" s="923">
        <f t="shared" si="1288"/>
        <v>0</v>
      </c>
      <c r="CZ2349" s="330"/>
    </row>
    <row r="2350" spans="94:104" x14ac:dyDescent="0.25">
      <c r="CP2350" s="923">
        <f t="shared" si="1288"/>
        <v>0</v>
      </c>
      <c r="CZ2350" s="330"/>
    </row>
    <row r="2351" spans="94:104" x14ac:dyDescent="0.25">
      <c r="CP2351" s="923">
        <f t="shared" si="1288"/>
        <v>0</v>
      </c>
      <c r="CZ2351" s="330"/>
    </row>
    <row r="2352" spans="94:104" x14ac:dyDescent="0.25">
      <c r="CP2352" s="923">
        <f t="shared" si="1288"/>
        <v>0</v>
      </c>
      <c r="CZ2352" s="330"/>
    </row>
    <row r="2353" spans="94:104" x14ac:dyDescent="0.25">
      <c r="CP2353" s="923">
        <f t="shared" si="1288"/>
        <v>0</v>
      </c>
      <c r="CZ2353" s="330"/>
    </row>
    <row r="2354" spans="94:104" x14ac:dyDescent="0.25">
      <c r="CP2354" s="923">
        <f t="shared" si="1288"/>
        <v>0</v>
      </c>
      <c r="CZ2354" s="330"/>
    </row>
    <row r="2355" spans="94:104" x14ac:dyDescent="0.25">
      <c r="CP2355" s="923">
        <f t="shared" si="1288"/>
        <v>0</v>
      </c>
      <c r="CZ2355" s="330"/>
    </row>
    <row r="2356" spans="94:104" x14ac:dyDescent="0.25">
      <c r="CP2356" s="923">
        <f t="shared" si="1288"/>
        <v>0</v>
      </c>
      <c r="CZ2356" s="330"/>
    </row>
    <row r="2357" spans="94:104" x14ac:dyDescent="0.25">
      <c r="CP2357" s="923">
        <f t="shared" si="1288"/>
        <v>0</v>
      </c>
      <c r="CZ2357" s="330"/>
    </row>
    <row r="2358" spans="94:104" x14ac:dyDescent="0.25">
      <c r="CP2358" s="923">
        <f t="shared" si="1288"/>
        <v>0</v>
      </c>
      <c r="CZ2358" s="330"/>
    </row>
    <row r="2359" spans="94:104" x14ac:dyDescent="0.25">
      <c r="CP2359" s="923">
        <f t="shared" si="1288"/>
        <v>0</v>
      </c>
      <c r="CZ2359" s="330"/>
    </row>
    <row r="2360" spans="94:104" x14ac:dyDescent="0.25">
      <c r="CP2360" s="923">
        <f t="shared" si="1288"/>
        <v>0</v>
      </c>
      <c r="CZ2360" s="330"/>
    </row>
    <row r="2361" spans="94:104" x14ac:dyDescent="0.25">
      <c r="CP2361" s="923">
        <f t="shared" si="1288"/>
        <v>0</v>
      </c>
      <c r="CZ2361" s="330"/>
    </row>
    <row r="2362" spans="94:104" x14ac:dyDescent="0.25">
      <c r="CP2362" s="923">
        <f t="shared" si="1288"/>
        <v>0</v>
      </c>
      <c r="CZ2362" s="330"/>
    </row>
    <row r="2363" spans="94:104" x14ac:dyDescent="0.25">
      <c r="CP2363" s="923">
        <f t="shared" si="1288"/>
        <v>0</v>
      </c>
      <c r="CZ2363" s="330"/>
    </row>
    <row r="2364" spans="94:104" x14ac:dyDescent="0.25">
      <c r="CP2364" s="923">
        <f t="shared" si="1288"/>
        <v>0</v>
      </c>
      <c r="CZ2364" s="330"/>
    </row>
    <row r="2365" spans="94:104" x14ac:dyDescent="0.25">
      <c r="CP2365" s="923">
        <f t="shared" si="1288"/>
        <v>0</v>
      </c>
      <c r="CZ2365" s="330"/>
    </row>
    <row r="2366" spans="94:104" x14ac:dyDescent="0.25">
      <c r="CP2366" s="923">
        <f t="shared" si="1288"/>
        <v>0</v>
      </c>
      <c r="CZ2366" s="330"/>
    </row>
    <row r="2367" spans="94:104" x14ac:dyDescent="0.25">
      <c r="CP2367" s="923">
        <f t="shared" si="1288"/>
        <v>0</v>
      </c>
      <c r="CZ2367" s="330"/>
    </row>
    <row r="2368" spans="94:104" x14ac:dyDescent="0.25">
      <c r="CP2368" s="923">
        <f t="shared" si="1288"/>
        <v>0</v>
      </c>
      <c r="CZ2368" s="330"/>
    </row>
    <row r="2369" spans="94:104" x14ac:dyDescent="0.25">
      <c r="CP2369" s="923">
        <f t="shared" si="1288"/>
        <v>0</v>
      </c>
      <c r="CZ2369" s="330"/>
    </row>
    <row r="2370" spans="94:104" x14ac:dyDescent="0.25">
      <c r="CP2370" s="923">
        <f t="shared" si="1288"/>
        <v>0</v>
      </c>
      <c r="CZ2370" s="330"/>
    </row>
    <row r="2371" spans="94:104" x14ac:dyDescent="0.25">
      <c r="CP2371" s="923">
        <f t="shared" si="1288"/>
        <v>0</v>
      </c>
      <c r="CZ2371" s="330"/>
    </row>
    <row r="2372" spans="94:104" x14ac:dyDescent="0.25">
      <c r="CP2372" s="923">
        <f t="shared" si="1288"/>
        <v>0</v>
      </c>
      <c r="CZ2372" s="330"/>
    </row>
    <row r="2373" spans="94:104" x14ac:dyDescent="0.25">
      <c r="CP2373" s="923">
        <f t="shared" si="1288"/>
        <v>0</v>
      </c>
      <c r="CZ2373" s="330"/>
    </row>
    <row r="2374" spans="94:104" x14ac:dyDescent="0.25">
      <c r="CP2374" s="923">
        <f t="shared" si="1288"/>
        <v>0</v>
      </c>
      <c r="CZ2374" s="330"/>
    </row>
    <row r="2375" spans="94:104" x14ac:dyDescent="0.25">
      <c r="CP2375" s="923">
        <f t="shared" si="1288"/>
        <v>0</v>
      </c>
      <c r="CZ2375" s="330"/>
    </row>
    <row r="2376" spans="94:104" x14ac:dyDescent="0.25">
      <c r="CP2376" s="923">
        <f t="shared" si="1288"/>
        <v>0</v>
      </c>
      <c r="CZ2376" s="330"/>
    </row>
    <row r="2377" spans="94:104" x14ac:dyDescent="0.25">
      <c r="CP2377" s="923">
        <f t="shared" si="1288"/>
        <v>0</v>
      </c>
      <c r="CZ2377" s="330"/>
    </row>
    <row r="2378" spans="94:104" x14ac:dyDescent="0.25">
      <c r="CP2378" s="923">
        <f t="shared" si="1288"/>
        <v>0</v>
      </c>
      <c r="CZ2378" s="330"/>
    </row>
    <row r="2379" spans="94:104" x14ac:dyDescent="0.25">
      <c r="CP2379" s="923">
        <f t="shared" si="1288"/>
        <v>0</v>
      </c>
      <c r="CZ2379" s="330"/>
    </row>
    <row r="2380" spans="94:104" x14ac:dyDescent="0.25">
      <c r="CP2380" s="923">
        <f t="shared" si="1288"/>
        <v>0</v>
      </c>
      <c r="CZ2380" s="330"/>
    </row>
    <row r="2381" spans="94:104" x14ac:dyDescent="0.25">
      <c r="CP2381" s="923">
        <f t="shared" si="1288"/>
        <v>0</v>
      </c>
      <c r="CZ2381" s="330"/>
    </row>
    <row r="2382" spans="94:104" x14ac:dyDescent="0.25">
      <c r="CP2382" s="923">
        <f t="shared" si="1288"/>
        <v>0</v>
      </c>
      <c r="CZ2382" s="330"/>
    </row>
    <row r="2383" spans="94:104" x14ac:dyDescent="0.25">
      <c r="CP2383" s="923">
        <f t="shared" si="1288"/>
        <v>0</v>
      </c>
      <c r="CZ2383" s="330"/>
    </row>
    <row r="2384" spans="94:104" x14ac:dyDescent="0.25">
      <c r="CP2384" s="923">
        <f t="shared" si="1288"/>
        <v>0</v>
      </c>
      <c r="CZ2384" s="330"/>
    </row>
    <row r="2385" spans="94:104" x14ac:dyDescent="0.25">
      <c r="CP2385" s="923">
        <f t="shared" si="1288"/>
        <v>0</v>
      </c>
      <c r="CZ2385" s="330"/>
    </row>
    <row r="2386" spans="94:104" x14ac:dyDescent="0.25">
      <c r="CP2386" s="923">
        <f t="shared" si="1288"/>
        <v>0</v>
      </c>
      <c r="CZ2386" s="330"/>
    </row>
    <row r="2387" spans="94:104" x14ac:dyDescent="0.25">
      <c r="CP2387" s="923">
        <f t="shared" si="1288"/>
        <v>0</v>
      </c>
      <c r="CZ2387" s="330"/>
    </row>
    <row r="2388" spans="94:104" x14ac:dyDescent="0.25">
      <c r="CP2388" s="923">
        <f t="shared" si="1288"/>
        <v>0</v>
      </c>
      <c r="CZ2388" s="330"/>
    </row>
    <row r="2389" spans="94:104" x14ac:dyDescent="0.25">
      <c r="CP2389" s="923">
        <f t="shared" si="1288"/>
        <v>0</v>
      </c>
      <c r="CZ2389" s="330"/>
    </row>
    <row r="2390" spans="94:104" x14ac:dyDescent="0.25">
      <c r="CP2390" s="923">
        <f t="shared" si="1288"/>
        <v>0</v>
      </c>
      <c r="CZ2390" s="330"/>
    </row>
    <row r="2391" spans="94:104" x14ac:dyDescent="0.25">
      <c r="CP2391" s="923">
        <f t="shared" si="1288"/>
        <v>0</v>
      </c>
      <c r="CZ2391" s="330"/>
    </row>
    <row r="2392" spans="94:104" x14ac:dyDescent="0.25">
      <c r="CP2392" s="923">
        <f t="shared" si="1288"/>
        <v>0</v>
      </c>
      <c r="CZ2392" s="330"/>
    </row>
    <row r="2393" spans="94:104" x14ac:dyDescent="0.25">
      <c r="CP2393" s="923">
        <f t="shared" si="1288"/>
        <v>0</v>
      </c>
      <c r="CZ2393" s="330"/>
    </row>
    <row r="2394" spans="94:104" x14ac:dyDescent="0.25">
      <c r="CP2394" s="923">
        <f t="shared" si="1288"/>
        <v>0</v>
      </c>
      <c r="CZ2394" s="330"/>
    </row>
    <row r="2395" spans="94:104" x14ac:dyDescent="0.25">
      <c r="CP2395" s="923">
        <f t="shared" si="1288"/>
        <v>0</v>
      </c>
      <c r="CZ2395" s="330"/>
    </row>
    <row r="2396" spans="94:104" x14ac:dyDescent="0.25">
      <c r="CP2396" s="923">
        <f t="shared" si="1288"/>
        <v>0</v>
      </c>
      <c r="CZ2396" s="330"/>
    </row>
    <row r="2397" spans="94:104" x14ac:dyDescent="0.25">
      <c r="CP2397" s="923">
        <f t="shared" si="1288"/>
        <v>0</v>
      </c>
      <c r="CZ2397" s="330"/>
    </row>
    <row r="2398" spans="94:104" x14ac:dyDescent="0.25">
      <c r="CP2398" s="923">
        <f t="shared" si="1288"/>
        <v>0</v>
      </c>
      <c r="CZ2398" s="330"/>
    </row>
    <row r="2399" spans="94:104" x14ac:dyDescent="0.25">
      <c r="CP2399" s="923">
        <f t="shared" si="1288"/>
        <v>0</v>
      </c>
      <c r="CZ2399" s="330"/>
    </row>
    <row r="2400" spans="94:104" x14ac:dyDescent="0.25">
      <c r="CP2400" s="923">
        <f t="shared" si="1288"/>
        <v>0</v>
      </c>
      <c r="CZ2400" s="330"/>
    </row>
    <row r="2401" spans="94:104" x14ac:dyDescent="0.25">
      <c r="CP2401" s="923">
        <f t="shared" si="1288"/>
        <v>0</v>
      </c>
      <c r="CZ2401" s="330"/>
    </row>
    <row r="2402" spans="94:104" x14ac:dyDescent="0.25">
      <c r="CP2402" s="923">
        <f t="shared" si="1288"/>
        <v>0</v>
      </c>
      <c r="CZ2402" s="330"/>
    </row>
    <row r="2403" spans="94:104" x14ac:dyDescent="0.25">
      <c r="CP2403" s="923">
        <f t="shared" si="1288"/>
        <v>0</v>
      </c>
      <c r="CZ2403" s="330"/>
    </row>
    <row r="2404" spans="94:104" x14ac:dyDescent="0.25">
      <c r="CP2404" s="923">
        <f t="shared" si="1288"/>
        <v>0</v>
      </c>
      <c r="CZ2404" s="330"/>
    </row>
    <row r="2405" spans="94:104" x14ac:dyDescent="0.25">
      <c r="CZ2405" s="330"/>
    </row>
    <row r="2406" spans="94:104" x14ac:dyDescent="0.25">
      <c r="CZ2406" s="330"/>
    </row>
    <row r="2407" spans="94:104" x14ac:dyDescent="0.25">
      <c r="CZ2407" s="330"/>
    </row>
    <row r="2408" spans="94:104" x14ac:dyDescent="0.25">
      <c r="CZ2408" s="330"/>
    </row>
    <row r="2409" spans="94:104" x14ac:dyDescent="0.25">
      <c r="CZ2409" s="330"/>
    </row>
    <row r="2410" spans="94:104" x14ac:dyDescent="0.25">
      <c r="CZ2410" s="330"/>
    </row>
    <row r="2411" spans="94:104" x14ac:dyDescent="0.25">
      <c r="CZ2411" s="330"/>
    </row>
    <row r="2412" spans="94:104" x14ac:dyDescent="0.25">
      <c r="CZ2412" s="330"/>
    </row>
    <row r="2413" spans="94:104" x14ac:dyDescent="0.25">
      <c r="CZ2413" s="330"/>
    </row>
    <row r="2414" spans="94:104" x14ac:dyDescent="0.25">
      <c r="CZ2414" s="330"/>
    </row>
    <row r="2415" spans="94:104" x14ac:dyDescent="0.25">
      <c r="CZ2415" s="330"/>
    </row>
    <row r="2416" spans="94:104" x14ac:dyDescent="0.25">
      <c r="CZ2416" s="330"/>
    </row>
    <row r="2417" spans="104:104" x14ac:dyDescent="0.25">
      <c r="CZ2417" s="330"/>
    </row>
    <row r="2418" spans="104:104" x14ac:dyDescent="0.25">
      <c r="CZ2418" s="330"/>
    </row>
    <row r="2419" spans="104:104" x14ac:dyDescent="0.25">
      <c r="CZ2419" s="330"/>
    </row>
    <row r="2420" spans="104:104" x14ac:dyDescent="0.25">
      <c r="CZ2420" s="330"/>
    </row>
    <row r="2421" spans="104:104" x14ac:dyDescent="0.25">
      <c r="CZ2421" s="330"/>
    </row>
    <row r="2422" spans="104:104" x14ac:dyDescent="0.25">
      <c r="CZ2422" s="330"/>
    </row>
    <row r="2423" spans="104:104" x14ac:dyDescent="0.25">
      <c r="CZ2423" s="330"/>
    </row>
    <row r="2424" spans="104:104" x14ac:dyDescent="0.25">
      <c r="CZ2424" s="330"/>
    </row>
    <row r="2425" spans="104:104" x14ac:dyDescent="0.25">
      <c r="CZ2425" s="330"/>
    </row>
    <row r="2426" spans="104:104" x14ac:dyDescent="0.25">
      <c r="CZ2426" s="330"/>
    </row>
    <row r="2427" spans="104:104" x14ac:dyDescent="0.25">
      <c r="CZ2427" s="330"/>
    </row>
    <row r="2428" spans="104:104" x14ac:dyDescent="0.25">
      <c r="CZ2428" s="330"/>
    </row>
    <row r="2429" spans="104:104" x14ac:dyDescent="0.25">
      <c r="CZ2429" s="330"/>
    </row>
    <row r="2430" spans="104:104" x14ac:dyDescent="0.25">
      <c r="CZ2430" s="330"/>
    </row>
    <row r="2431" spans="104:104" x14ac:dyDescent="0.25">
      <c r="CZ2431" s="330"/>
    </row>
    <row r="2432" spans="104:104" x14ac:dyDescent="0.25">
      <c r="CZ2432" s="330"/>
    </row>
    <row r="2433" spans="104:104" x14ac:dyDescent="0.25">
      <c r="CZ2433" s="330"/>
    </row>
    <row r="2434" spans="104:104" x14ac:dyDescent="0.25">
      <c r="CZ2434" s="330"/>
    </row>
    <row r="2435" spans="104:104" x14ac:dyDescent="0.25">
      <c r="CZ2435" s="330"/>
    </row>
    <row r="2436" spans="104:104" x14ac:dyDescent="0.25">
      <c r="CZ2436" s="330"/>
    </row>
    <row r="2437" spans="104:104" x14ac:dyDescent="0.25">
      <c r="CZ2437" s="330"/>
    </row>
    <row r="2438" spans="104:104" x14ac:dyDescent="0.25">
      <c r="CZ2438" s="330"/>
    </row>
    <row r="2439" spans="104:104" x14ac:dyDescent="0.25">
      <c r="CZ2439" s="330"/>
    </row>
    <row r="2440" spans="104:104" x14ac:dyDescent="0.25">
      <c r="CZ2440" s="330"/>
    </row>
    <row r="2441" spans="104:104" x14ac:dyDescent="0.25">
      <c r="CZ2441" s="330"/>
    </row>
    <row r="2442" spans="104:104" x14ac:dyDescent="0.25">
      <c r="CZ2442" s="330"/>
    </row>
    <row r="2443" spans="104:104" x14ac:dyDescent="0.25">
      <c r="CZ2443" s="330"/>
    </row>
    <row r="2444" spans="104:104" x14ac:dyDescent="0.25">
      <c r="CZ2444" s="330"/>
    </row>
    <row r="2445" spans="104:104" x14ac:dyDescent="0.25">
      <c r="CZ2445" s="330"/>
    </row>
    <row r="2446" spans="104:104" x14ac:dyDescent="0.25">
      <c r="CZ2446" s="330"/>
    </row>
    <row r="2447" spans="104:104" x14ac:dyDescent="0.25">
      <c r="CZ2447" s="330"/>
    </row>
    <row r="2448" spans="104:104" x14ac:dyDescent="0.25">
      <c r="CZ2448" s="330"/>
    </row>
    <row r="2449" spans="104:104" x14ac:dyDescent="0.25">
      <c r="CZ2449" s="330"/>
    </row>
    <row r="2450" spans="104:104" x14ac:dyDescent="0.25">
      <c r="CZ2450" s="330"/>
    </row>
    <row r="2451" spans="104:104" x14ac:dyDescent="0.25">
      <c r="CZ2451" s="330"/>
    </row>
    <row r="2452" spans="104:104" x14ac:dyDescent="0.25">
      <c r="CZ2452" s="330"/>
    </row>
    <row r="2453" spans="104:104" x14ac:dyDescent="0.25">
      <c r="CZ2453" s="330"/>
    </row>
    <row r="2454" spans="104:104" x14ac:dyDescent="0.25">
      <c r="CZ2454" s="330"/>
    </row>
    <row r="2455" spans="104:104" x14ac:dyDescent="0.25">
      <c r="CZ2455" s="330"/>
    </row>
    <row r="2456" spans="104:104" x14ac:dyDescent="0.25">
      <c r="CZ2456" s="330"/>
    </row>
    <row r="2457" spans="104:104" x14ac:dyDescent="0.25">
      <c r="CZ2457" s="330"/>
    </row>
    <row r="2458" spans="104:104" x14ac:dyDescent="0.25">
      <c r="CZ2458" s="330"/>
    </row>
    <row r="2459" spans="104:104" x14ac:dyDescent="0.25">
      <c r="CZ2459" s="330"/>
    </row>
    <row r="2460" spans="104:104" x14ac:dyDescent="0.25">
      <c r="CZ2460" s="330"/>
    </row>
    <row r="2461" spans="104:104" x14ac:dyDescent="0.25">
      <c r="CZ2461" s="330"/>
    </row>
    <row r="2462" spans="104:104" x14ac:dyDescent="0.25">
      <c r="CZ2462" s="330"/>
    </row>
    <row r="2463" spans="104:104" x14ac:dyDescent="0.25">
      <c r="CZ2463" s="330"/>
    </row>
    <row r="2464" spans="104:104" x14ac:dyDescent="0.25">
      <c r="CZ2464" s="330"/>
    </row>
    <row r="2465" spans="104:104" x14ac:dyDescent="0.25">
      <c r="CZ2465" s="330"/>
    </row>
    <row r="2466" spans="104:104" x14ac:dyDescent="0.25">
      <c r="CZ2466" s="330"/>
    </row>
    <row r="2467" spans="104:104" x14ac:dyDescent="0.25">
      <c r="CZ2467" s="330"/>
    </row>
    <row r="2468" spans="104:104" x14ac:dyDescent="0.25">
      <c r="CZ2468" s="330"/>
    </row>
    <row r="2469" spans="104:104" x14ac:dyDescent="0.25">
      <c r="CZ2469" s="330"/>
    </row>
    <row r="2470" spans="104:104" x14ac:dyDescent="0.25">
      <c r="CZ2470" s="330"/>
    </row>
    <row r="2471" spans="104:104" x14ac:dyDescent="0.25">
      <c r="CZ2471" s="330"/>
    </row>
    <row r="2472" spans="104:104" x14ac:dyDescent="0.25">
      <c r="CZ2472" s="330"/>
    </row>
    <row r="2473" spans="104:104" x14ac:dyDescent="0.25">
      <c r="CZ2473" s="330"/>
    </row>
    <row r="2474" spans="104:104" x14ac:dyDescent="0.25">
      <c r="CZ2474" s="330"/>
    </row>
    <row r="2475" spans="104:104" x14ac:dyDescent="0.25">
      <c r="CZ2475" s="330"/>
    </row>
    <row r="2476" spans="104:104" x14ac:dyDescent="0.25">
      <c r="CZ2476" s="330"/>
    </row>
    <row r="2477" spans="104:104" x14ac:dyDescent="0.25">
      <c r="CZ2477" s="330"/>
    </row>
    <row r="2478" spans="104:104" x14ac:dyDescent="0.25">
      <c r="CZ2478" s="330"/>
    </row>
    <row r="2479" spans="104:104" x14ac:dyDescent="0.25">
      <c r="CZ2479" s="330"/>
    </row>
    <row r="2480" spans="104:104" x14ac:dyDescent="0.25">
      <c r="CZ2480" s="330"/>
    </row>
    <row r="2481" spans="104:104" x14ac:dyDescent="0.25">
      <c r="CZ2481" s="330"/>
    </row>
    <row r="2482" spans="104:104" x14ac:dyDescent="0.25">
      <c r="CZ2482" s="330"/>
    </row>
    <row r="2483" spans="104:104" x14ac:dyDescent="0.25">
      <c r="CZ2483" s="330"/>
    </row>
    <row r="2484" spans="104:104" x14ac:dyDescent="0.25">
      <c r="CZ2484" s="330"/>
    </row>
    <row r="2485" spans="104:104" x14ac:dyDescent="0.25">
      <c r="CZ2485" s="330"/>
    </row>
    <row r="2486" spans="104:104" x14ac:dyDescent="0.25">
      <c r="CZ2486" s="330"/>
    </row>
    <row r="2487" spans="104:104" x14ac:dyDescent="0.25">
      <c r="CZ2487" s="330"/>
    </row>
    <row r="2488" spans="104:104" x14ac:dyDescent="0.25">
      <c r="CZ2488" s="330"/>
    </row>
    <row r="2489" spans="104:104" x14ac:dyDescent="0.25">
      <c r="CZ2489" s="330"/>
    </row>
    <row r="2490" spans="104:104" x14ac:dyDescent="0.25">
      <c r="CZ2490" s="330"/>
    </row>
    <row r="2491" spans="104:104" x14ac:dyDescent="0.25">
      <c r="CZ2491" s="330"/>
    </row>
    <row r="2492" spans="104:104" x14ac:dyDescent="0.25">
      <c r="CZ2492" s="330"/>
    </row>
    <row r="2493" spans="104:104" x14ac:dyDescent="0.25">
      <c r="CZ2493" s="330"/>
    </row>
    <row r="2494" spans="104:104" x14ac:dyDescent="0.25">
      <c r="CZ2494" s="330"/>
    </row>
    <row r="2495" spans="104:104" x14ac:dyDescent="0.25">
      <c r="CZ2495" s="330"/>
    </row>
    <row r="2496" spans="104:104" x14ac:dyDescent="0.25">
      <c r="CZ2496" s="330"/>
    </row>
    <row r="2497" spans="104:104" x14ac:dyDescent="0.25">
      <c r="CZ2497" s="330"/>
    </row>
    <row r="2498" spans="104:104" x14ac:dyDescent="0.25">
      <c r="CZ2498" s="330"/>
    </row>
    <row r="2499" spans="104:104" x14ac:dyDescent="0.25">
      <c r="CZ2499" s="330"/>
    </row>
    <row r="2500" spans="104:104" x14ac:dyDescent="0.25">
      <c r="CZ2500" s="330"/>
    </row>
    <row r="2501" spans="104:104" x14ac:dyDescent="0.25">
      <c r="CZ2501" s="330"/>
    </row>
    <row r="2502" spans="104:104" x14ac:dyDescent="0.25">
      <c r="CZ2502" s="330"/>
    </row>
    <row r="2503" spans="104:104" x14ac:dyDescent="0.25">
      <c r="CZ2503" s="330"/>
    </row>
    <row r="2504" spans="104:104" x14ac:dyDescent="0.25">
      <c r="CZ2504" s="330"/>
    </row>
    <row r="2505" spans="104:104" x14ac:dyDescent="0.25">
      <c r="CZ2505" s="330"/>
    </row>
    <row r="2506" spans="104:104" x14ac:dyDescent="0.25">
      <c r="CZ2506" s="330"/>
    </row>
    <row r="2507" spans="104:104" x14ac:dyDescent="0.25">
      <c r="CZ2507" s="330"/>
    </row>
    <row r="2508" spans="104:104" x14ac:dyDescent="0.25">
      <c r="CZ2508" s="330"/>
    </row>
    <row r="2509" spans="104:104" x14ac:dyDescent="0.25">
      <c r="CZ2509" s="330"/>
    </row>
    <row r="2510" spans="104:104" x14ac:dyDescent="0.25">
      <c r="CZ2510" s="330"/>
    </row>
    <row r="2511" spans="104:104" x14ac:dyDescent="0.25">
      <c r="CZ2511" s="330"/>
    </row>
    <row r="2512" spans="104:104" x14ac:dyDescent="0.25">
      <c r="CZ2512" s="330"/>
    </row>
    <row r="2513" spans="104:104" x14ac:dyDescent="0.25">
      <c r="CZ2513" s="330"/>
    </row>
    <row r="2514" spans="104:104" x14ac:dyDescent="0.25">
      <c r="CZ2514" s="330"/>
    </row>
    <row r="2515" spans="104:104" x14ac:dyDescent="0.25">
      <c r="CZ2515" s="330"/>
    </row>
    <row r="2516" spans="104:104" x14ac:dyDescent="0.25">
      <c r="CZ2516" s="330"/>
    </row>
    <row r="2517" spans="104:104" x14ac:dyDescent="0.25">
      <c r="CZ2517" s="330"/>
    </row>
    <row r="2518" spans="104:104" x14ac:dyDescent="0.25">
      <c r="CZ2518" s="330"/>
    </row>
    <row r="2519" spans="104:104" x14ac:dyDescent="0.25">
      <c r="CZ2519" s="330"/>
    </row>
    <row r="2520" spans="104:104" x14ac:dyDescent="0.25">
      <c r="CZ2520" s="330"/>
    </row>
    <row r="2521" spans="104:104" x14ac:dyDescent="0.25">
      <c r="CZ2521" s="330"/>
    </row>
    <row r="2522" spans="104:104" x14ac:dyDescent="0.25">
      <c r="CZ2522" s="330"/>
    </row>
    <row r="2523" spans="104:104" x14ac:dyDescent="0.25">
      <c r="CZ2523" s="330"/>
    </row>
    <row r="2524" spans="104:104" x14ac:dyDescent="0.25">
      <c r="CZ2524" s="330"/>
    </row>
    <row r="2525" spans="104:104" x14ac:dyDescent="0.25">
      <c r="CZ2525" s="330"/>
    </row>
    <row r="2526" spans="104:104" x14ac:dyDescent="0.25">
      <c r="CZ2526" s="330"/>
    </row>
    <row r="2527" spans="104:104" x14ac:dyDescent="0.25">
      <c r="CZ2527" s="330"/>
    </row>
    <row r="2528" spans="104:104" x14ac:dyDescent="0.25">
      <c r="CZ2528" s="330"/>
    </row>
    <row r="2529" spans="104:104" x14ac:dyDescent="0.25">
      <c r="CZ2529" s="330"/>
    </row>
    <row r="2530" spans="104:104" x14ac:dyDescent="0.25">
      <c r="CZ2530" s="330"/>
    </row>
    <row r="2531" spans="104:104" x14ac:dyDescent="0.25">
      <c r="CZ2531" s="330"/>
    </row>
    <row r="2532" spans="104:104" x14ac:dyDescent="0.25">
      <c r="CZ2532" s="330"/>
    </row>
    <row r="2533" spans="104:104" x14ac:dyDescent="0.25">
      <c r="CZ2533" s="330"/>
    </row>
    <row r="2534" spans="104:104" x14ac:dyDescent="0.25">
      <c r="CZ2534" s="330"/>
    </row>
    <row r="2535" spans="104:104" x14ac:dyDescent="0.25">
      <c r="CZ2535" s="330"/>
    </row>
    <row r="2536" spans="104:104" x14ac:dyDescent="0.25">
      <c r="CZ2536" s="330"/>
    </row>
    <row r="2537" spans="104:104" x14ac:dyDescent="0.25">
      <c r="CZ2537" s="330"/>
    </row>
    <row r="2538" spans="104:104" x14ac:dyDescent="0.25">
      <c r="CZ2538" s="330"/>
    </row>
    <row r="2539" spans="104:104" x14ac:dyDescent="0.25">
      <c r="CZ2539" s="330"/>
    </row>
    <row r="2540" spans="104:104" x14ac:dyDescent="0.25">
      <c r="CZ2540" s="330"/>
    </row>
    <row r="2541" spans="104:104" x14ac:dyDescent="0.25">
      <c r="CZ2541" s="330"/>
    </row>
    <row r="2542" spans="104:104" x14ac:dyDescent="0.25">
      <c r="CZ2542" s="330"/>
    </row>
    <row r="2543" spans="104:104" x14ac:dyDescent="0.25">
      <c r="CZ2543" s="330"/>
    </row>
    <row r="2544" spans="104:104" x14ac:dyDescent="0.25">
      <c r="CZ2544" s="330"/>
    </row>
    <row r="2545" spans="104:104" x14ac:dyDescent="0.25">
      <c r="CZ2545" s="330"/>
    </row>
    <row r="2546" spans="104:104" x14ac:dyDescent="0.25">
      <c r="CZ2546" s="330"/>
    </row>
    <row r="2547" spans="104:104" x14ac:dyDescent="0.25">
      <c r="CZ2547" s="330"/>
    </row>
    <row r="2548" spans="104:104" x14ac:dyDescent="0.25">
      <c r="CZ2548" s="330"/>
    </row>
    <row r="2549" spans="104:104" x14ac:dyDescent="0.25">
      <c r="CZ2549" s="330"/>
    </row>
    <row r="2550" spans="104:104" x14ac:dyDescent="0.25">
      <c r="CZ2550" s="330"/>
    </row>
    <row r="2551" spans="104:104" x14ac:dyDescent="0.25">
      <c r="CZ2551" s="330"/>
    </row>
    <row r="2552" spans="104:104" x14ac:dyDescent="0.25">
      <c r="CZ2552" s="330"/>
    </row>
    <row r="2553" spans="104:104" x14ac:dyDescent="0.25">
      <c r="CZ2553" s="330"/>
    </row>
    <row r="2554" spans="104:104" x14ac:dyDescent="0.25">
      <c r="CZ2554" s="330"/>
    </row>
    <row r="2555" spans="104:104" x14ac:dyDescent="0.25">
      <c r="CZ2555" s="330"/>
    </row>
    <row r="2556" spans="104:104" x14ac:dyDescent="0.25">
      <c r="CZ2556" s="330"/>
    </row>
    <row r="2557" spans="104:104" x14ac:dyDescent="0.25">
      <c r="CZ2557" s="330"/>
    </row>
    <row r="2558" spans="104:104" x14ac:dyDescent="0.25">
      <c r="CZ2558" s="330"/>
    </row>
    <row r="2559" spans="104:104" x14ac:dyDescent="0.25">
      <c r="CZ2559" s="330"/>
    </row>
    <row r="2560" spans="104:104" x14ac:dyDescent="0.25">
      <c r="CZ2560" s="330"/>
    </row>
    <row r="2561" spans="104:104" x14ac:dyDescent="0.25">
      <c r="CZ2561" s="330"/>
    </row>
    <row r="2562" spans="104:104" x14ac:dyDescent="0.25">
      <c r="CZ2562" s="330"/>
    </row>
    <row r="2563" spans="104:104" x14ac:dyDescent="0.25">
      <c r="CZ2563" s="330"/>
    </row>
    <row r="2564" spans="104:104" x14ac:dyDescent="0.25">
      <c r="CZ2564" s="330"/>
    </row>
    <row r="2565" spans="104:104" x14ac:dyDescent="0.25">
      <c r="CZ2565" s="330"/>
    </row>
    <row r="2566" spans="104:104" x14ac:dyDescent="0.25">
      <c r="CZ2566" s="330"/>
    </row>
    <row r="2567" spans="104:104" x14ac:dyDescent="0.25">
      <c r="CZ2567" s="330"/>
    </row>
    <row r="2568" spans="104:104" x14ac:dyDescent="0.25">
      <c r="CZ2568" s="330"/>
    </row>
    <row r="2569" spans="104:104" x14ac:dyDescent="0.25">
      <c r="CZ2569" s="330"/>
    </row>
    <row r="2570" spans="104:104" x14ac:dyDescent="0.25">
      <c r="CZ2570" s="330"/>
    </row>
    <row r="2571" spans="104:104" x14ac:dyDescent="0.25">
      <c r="CZ2571" s="330"/>
    </row>
    <row r="2572" spans="104:104" x14ac:dyDescent="0.25">
      <c r="CZ2572" s="330"/>
    </row>
    <row r="2573" spans="104:104" x14ac:dyDescent="0.25">
      <c r="CZ2573" s="330"/>
    </row>
    <row r="2574" spans="104:104" x14ac:dyDescent="0.25">
      <c r="CZ2574" s="330"/>
    </row>
    <row r="2575" spans="104:104" x14ac:dyDescent="0.25">
      <c r="CZ2575" s="330"/>
    </row>
    <row r="2576" spans="104:104" x14ac:dyDescent="0.25">
      <c r="CZ2576" s="330"/>
    </row>
    <row r="2577" spans="104:104" x14ac:dyDescent="0.25">
      <c r="CZ2577" s="330"/>
    </row>
    <row r="2578" spans="104:104" x14ac:dyDescent="0.25">
      <c r="CZ2578" s="330"/>
    </row>
    <row r="2579" spans="104:104" x14ac:dyDescent="0.25">
      <c r="CZ2579" s="330"/>
    </row>
    <row r="2580" spans="104:104" x14ac:dyDescent="0.25">
      <c r="CZ2580" s="330"/>
    </row>
    <row r="2581" spans="104:104" x14ac:dyDescent="0.25">
      <c r="CZ2581" s="330"/>
    </row>
    <row r="2582" spans="104:104" x14ac:dyDescent="0.25">
      <c r="CZ2582" s="330"/>
    </row>
    <row r="2583" spans="104:104" x14ac:dyDescent="0.25">
      <c r="CZ2583" s="330"/>
    </row>
    <row r="2584" spans="104:104" x14ac:dyDescent="0.25">
      <c r="CZ2584" s="330"/>
    </row>
    <row r="2585" spans="104:104" x14ac:dyDescent="0.25">
      <c r="CZ2585" s="330"/>
    </row>
    <row r="2586" spans="104:104" x14ac:dyDescent="0.25">
      <c r="CZ2586" s="330"/>
    </row>
    <row r="2587" spans="104:104" x14ac:dyDescent="0.25">
      <c r="CZ2587" s="330"/>
    </row>
    <row r="2588" spans="104:104" x14ac:dyDescent="0.25">
      <c r="CZ2588" s="330"/>
    </row>
    <row r="2589" spans="104:104" x14ac:dyDescent="0.25">
      <c r="CZ2589" s="330"/>
    </row>
    <row r="2590" spans="104:104" x14ac:dyDescent="0.25">
      <c r="CZ2590" s="330"/>
    </row>
    <row r="2591" spans="104:104" x14ac:dyDescent="0.25">
      <c r="CZ2591" s="330"/>
    </row>
    <row r="2592" spans="104:104" x14ac:dyDescent="0.25">
      <c r="CZ2592" s="330"/>
    </row>
    <row r="2593" spans="104:104" x14ac:dyDescent="0.25">
      <c r="CZ2593" s="330"/>
    </row>
    <row r="2594" spans="104:104" x14ac:dyDescent="0.25">
      <c r="CZ2594" s="330"/>
    </row>
    <row r="2595" spans="104:104" x14ac:dyDescent="0.25">
      <c r="CZ2595" s="330"/>
    </row>
    <row r="2596" spans="104:104" x14ac:dyDescent="0.25">
      <c r="CZ2596" s="330"/>
    </row>
    <row r="2597" spans="104:104" x14ac:dyDescent="0.25">
      <c r="CZ2597" s="330"/>
    </row>
    <row r="2598" spans="104:104" x14ac:dyDescent="0.25">
      <c r="CZ2598" s="330"/>
    </row>
    <row r="2599" spans="104:104" x14ac:dyDescent="0.25">
      <c r="CZ2599" s="330"/>
    </row>
    <row r="2600" spans="104:104" x14ac:dyDescent="0.25">
      <c r="CZ2600" s="330"/>
    </row>
    <row r="2601" spans="104:104" x14ac:dyDescent="0.25">
      <c r="CZ2601" s="330"/>
    </row>
    <row r="2602" spans="104:104" x14ac:dyDescent="0.25">
      <c r="CZ2602" s="330"/>
    </row>
    <row r="2603" spans="104:104" x14ac:dyDescent="0.25">
      <c r="CZ2603" s="330"/>
    </row>
    <row r="2604" spans="104:104" x14ac:dyDescent="0.25">
      <c r="CZ2604" s="330"/>
    </row>
    <row r="2605" spans="104:104" x14ac:dyDescent="0.25">
      <c r="CZ2605" s="330"/>
    </row>
    <row r="2606" spans="104:104" x14ac:dyDescent="0.25">
      <c r="CZ2606" s="330"/>
    </row>
    <row r="2607" spans="104:104" x14ac:dyDescent="0.25">
      <c r="CZ2607" s="330"/>
    </row>
    <row r="2608" spans="104:104" x14ac:dyDescent="0.25">
      <c r="CZ2608" s="330"/>
    </row>
    <row r="2609" spans="104:104" x14ac:dyDescent="0.25">
      <c r="CZ2609" s="330"/>
    </row>
    <row r="2610" spans="104:104" x14ac:dyDescent="0.25">
      <c r="CZ2610" s="330"/>
    </row>
    <row r="2611" spans="104:104" x14ac:dyDescent="0.25">
      <c r="CZ2611" s="330"/>
    </row>
    <row r="2612" spans="104:104" x14ac:dyDescent="0.25">
      <c r="CZ2612" s="330"/>
    </row>
    <row r="2613" spans="104:104" x14ac:dyDescent="0.25">
      <c r="CZ2613" s="330"/>
    </row>
    <row r="2614" spans="104:104" x14ac:dyDescent="0.25">
      <c r="CZ2614" s="330"/>
    </row>
    <row r="2615" spans="104:104" x14ac:dyDescent="0.25">
      <c r="CZ2615" s="330"/>
    </row>
    <row r="2616" spans="104:104" x14ac:dyDescent="0.25">
      <c r="CZ2616" s="330"/>
    </row>
    <row r="2617" spans="104:104" x14ac:dyDescent="0.25">
      <c r="CZ2617" s="330"/>
    </row>
    <row r="2618" spans="104:104" x14ac:dyDescent="0.25">
      <c r="CZ2618" s="330"/>
    </row>
    <row r="2619" spans="104:104" x14ac:dyDescent="0.25">
      <c r="CZ2619" s="330"/>
    </row>
    <row r="2620" spans="104:104" x14ac:dyDescent="0.25">
      <c r="CZ2620" s="330"/>
    </row>
    <row r="2621" spans="104:104" x14ac:dyDescent="0.25">
      <c r="CZ2621" s="330"/>
    </row>
    <row r="2622" spans="104:104" x14ac:dyDescent="0.25">
      <c r="CZ2622" s="330"/>
    </row>
    <row r="2623" spans="104:104" x14ac:dyDescent="0.25">
      <c r="CZ2623" s="330"/>
    </row>
    <row r="2624" spans="104:104" x14ac:dyDescent="0.25">
      <c r="CZ2624" s="330"/>
    </row>
    <row r="2625" spans="104:104" x14ac:dyDescent="0.25">
      <c r="CZ2625" s="330"/>
    </row>
    <row r="2626" spans="104:104" x14ac:dyDescent="0.25">
      <c r="CZ2626" s="330"/>
    </row>
    <row r="2627" spans="104:104" x14ac:dyDescent="0.25">
      <c r="CZ2627" s="330"/>
    </row>
    <row r="2628" spans="104:104" x14ac:dyDescent="0.25">
      <c r="CZ2628" s="330"/>
    </row>
    <row r="2629" spans="104:104" x14ac:dyDescent="0.25">
      <c r="CZ2629" s="330"/>
    </row>
    <row r="2630" spans="104:104" x14ac:dyDescent="0.25">
      <c r="CZ2630" s="330"/>
    </row>
    <row r="2631" spans="104:104" x14ac:dyDescent="0.25">
      <c r="CZ2631" s="330"/>
    </row>
    <row r="2632" spans="104:104" x14ac:dyDescent="0.25">
      <c r="CZ2632" s="330"/>
    </row>
    <row r="2633" spans="104:104" x14ac:dyDescent="0.25">
      <c r="CZ2633" s="330"/>
    </row>
    <row r="2634" spans="104:104" x14ac:dyDescent="0.25">
      <c r="CZ2634" s="330"/>
    </row>
    <row r="2635" spans="104:104" x14ac:dyDescent="0.25">
      <c r="CZ2635" s="330"/>
    </row>
    <row r="2636" spans="104:104" x14ac:dyDescent="0.25">
      <c r="CZ2636" s="330"/>
    </row>
    <row r="2637" spans="104:104" x14ac:dyDescent="0.25">
      <c r="CZ2637" s="330"/>
    </row>
    <row r="2638" spans="104:104" x14ac:dyDescent="0.25">
      <c r="CZ2638" s="330"/>
    </row>
    <row r="2639" spans="104:104" x14ac:dyDescent="0.25">
      <c r="CZ2639" s="330"/>
    </row>
    <row r="2640" spans="104:104" x14ac:dyDescent="0.25">
      <c r="CZ2640" s="330"/>
    </row>
    <row r="2641" spans="104:104" x14ac:dyDescent="0.25">
      <c r="CZ2641" s="330"/>
    </row>
    <row r="2642" spans="104:104" x14ac:dyDescent="0.25">
      <c r="CZ2642" s="330"/>
    </row>
    <row r="2643" spans="104:104" x14ac:dyDescent="0.25">
      <c r="CZ2643" s="330"/>
    </row>
    <row r="2644" spans="104:104" x14ac:dyDescent="0.25">
      <c r="CZ2644" s="330"/>
    </row>
    <row r="2645" spans="104:104" x14ac:dyDescent="0.25">
      <c r="CZ2645" s="330"/>
    </row>
    <row r="2646" spans="104:104" x14ac:dyDescent="0.25">
      <c r="CZ2646" s="330"/>
    </row>
    <row r="2647" spans="104:104" x14ac:dyDescent="0.25">
      <c r="CZ2647" s="330"/>
    </row>
    <row r="2648" spans="104:104" x14ac:dyDescent="0.25">
      <c r="CZ2648" s="330"/>
    </row>
    <row r="2649" spans="104:104" x14ac:dyDescent="0.25">
      <c r="CZ2649" s="330"/>
    </row>
    <row r="2650" spans="104:104" x14ac:dyDescent="0.25">
      <c r="CZ2650" s="330"/>
    </row>
    <row r="2651" spans="104:104" x14ac:dyDescent="0.25">
      <c r="CZ2651" s="330"/>
    </row>
    <row r="2652" spans="104:104" x14ac:dyDescent="0.25">
      <c r="CZ2652" s="330"/>
    </row>
    <row r="2653" spans="104:104" x14ac:dyDescent="0.25">
      <c r="CZ2653" s="330"/>
    </row>
    <row r="2654" spans="104:104" x14ac:dyDescent="0.25">
      <c r="CZ2654" s="330"/>
    </row>
    <row r="2655" spans="104:104" x14ac:dyDescent="0.25">
      <c r="CZ2655" s="330"/>
    </row>
    <row r="2656" spans="104:104" x14ac:dyDescent="0.25">
      <c r="CZ2656" s="330"/>
    </row>
    <row r="2657" spans="104:104" x14ac:dyDescent="0.25">
      <c r="CZ2657" s="330"/>
    </row>
    <row r="2658" spans="104:104" x14ac:dyDescent="0.25">
      <c r="CZ2658" s="330"/>
    </row>
    <row r="2659" spans="104:104" x14ac:dyDescent="0.25">
      <c r="CZ2659" s="330"/>
    </row>
    <row r="2660" spans="104:104" x14ac:dyDescent="0.25">
      <c r="CZ2660" s="330"/>
    </row>
    <row r="2661" spans="104:104" x14ac:dyDescent="0.25">
      <c r="CZ2661" s="330"/>
    </row>
    <row r="2662" spans="104:104" x14ac:dyDescent="0.25">
      <c r="CZ2662" s="330"/>
    </row>
    <row r="2663" spans="104:104" x14ac:dyDescent="0.25">
      <c r="CZ2663" s="330"/>
    </row>
    <row r="2664" spans="104:104" x14ac:dyDescent="0.25">
      <c r="CZ2664" s="330"/>
    </row>
    <row r="2665" spans="104:104" x14ac:dyDescent="0.25">
      <c r="CZ2665" s="330"/>
    </row>
    <row r="2666" spans="104:104" x14ac:dyDescent="0.25">
      <c r="CZ2666" s="330"/>
    </row>
    <row r="2667" spans="104:104" x14ac:dyDescent="0.25">
      <c r="CZ2667" s="330"/>
    </row>
    <row r="2668" spans="104:104" x14ac:dyDescent="0.25">
      <c r="CZ2668" s="330"/>
    </row>
    <row r="2669" spans="104:104" x14ac:dyDescent="0.25">
      <c r="CZ2669" s="330"/>
    </row>
    <row r="2670" spans="104:104" x14ac:dyDescent="0.25">
      <c r="CZ2670" s="330"/>
    </row>
    <row r="2671" spans="104:104" x14ac:dyDescent="0.25">
      <c r="CZ2671" s="330"/>
    </row>
    <row r="2672" spans="104:104" x14ac:dyDescent="0.25">
      <c r="CZ2672" s="330"/>
    </row>
    <row r="2673" spans="104:104" x14ac:dyDescent="0.25">
      <c r="CZ2673" s="330"/>
    </row>
    <row r="2674" spans="104:104" x14ac:dyDescent="0.25">
      <c r="CZ2674" s="330"/>
    </row>
    <row r="2675" spans="104:104" x14ac:dyDescent="0.25">
      <c r="CZ2675" s="330"/>
    </row>
    <row r="2676" spans="104:104" x14ac:dyDescent="0.25">
      <c r="CZ2676" s="330"/>
    </row>
    <row r="2677" spans="104:104" x14ac:dyDescent="0.25">
      <c r="CZ2677" s="330"/>
    </row>
    <row r="2678" spans="104:104" x14ac:dyDescent="0.25">
      <c r="CZ2678" s="330"/>
    </row>
    <row r="2679" spans="104:104" x14ac:dyDescent="0.25">
      <c r="CZ2679" s="330"/>
    </row>
    <row r="2680" spans="104:104" x14ac:dyDescent="0.25">
      <c r="CZ2680" s="330"/>
    </row>
    <row r="2681" spans="104:104" x14ac:dyDescent="0.25">
      <c r="CZ2681" s="330"/>
    </row>
    <row r="2682" spans="104:104" x14ac:dyDescent="0.25">
      <c r="CZ2682" s="330"/>
    </row>
    <row r="2683" spans="104:104" x14ac:dyDescent="0.25">
      <c r="CZ2683" s="330"/>
    </row>
    <row r="2684" spans="104:104" x14ac:dyDescent="0.25">
      <c r="CZ2684" s="330"/>
    </row>
    <row r="2685" spans="104:104" x14ac:dyDescent="0.25">
      <c r="CZ2685" s="330"/>
    </row>
    <row r="2686" spans="104:104" x14ac:dyDescent="0.25">
      <c r="CZ2686" s="330"/>
    </row>
    <row r="2687" spans="104:104" x14ac:dyDescent="0.25">
      <c r="CZ2687" s="330"/>
    </row>
    <row r="2688" spans="104:104" x14ac:dyDescent="0.25">
      <c r="CZ2688" s="330"/>
    </row>
    <row r="2689" spans="104:104" x14ac:dyDescent="0.25">
      <c r="CZ2689" s="330"/>
    </row>
    <row r="2690" spans="104:104" x14ac:dyDescent="0.25">
      <c r="CZ2690" s="330"/>
    </row>
    <row r="2691" spans="104:104" x14ac:dyDescent="0.25">
      <c r="CZ2691" s="330"/>
    </row>
    <row r="2692" spans="104:104" x14ac:dyDescent="0.25">
      <c r="CZ2692" s="330"/>
    </row>
    <row r="2693" spans="104:104" x14ac:dyDescent="0.25">
      <c r="CZ2693" s="330"/>
    </row>
    <row r="2694" spans="104:104" x14ac:dyDescent="0.25">
      <c r="CZ2694" s="330"/>
    </row>
    <row r="2695" spans="104:104" x14ac:dyDescent="0.25">
      <c r="CZ2695" s="330"/>
    </row>
    <row r="2696" spans="104:104" x14ac:dyDescent="0.25">
      <c r="CZ2696" s="330"/>
    </row>
    <row r="2697" spans="104:104" x14ac:dyDescent="0.25">
      <c r="CZ2697" s="330"/>
    </row>
    <row r="2698" spans="104:104" x14ac:dyDescent="0.25">
      <c r="CZ2698" s="330"/>
    </row>
    <row r="2699" spans="104:104" x14ac:dyDescent="0.25">
      <c r="CZ2699" s="330"/>
    </row>
    <row r="2700" spans="104:104" x14ac:dyDescent="0.25">
      <c r="CZ2700" s="330"/>
    </row>
    <row r="2701" spans="104:104" x14ac:dyDescent="0.25">
      <c r="CZ2701" s="330"/>
    </row>
    <row r="2702" spans="104:104" x14ac:dyDescent="0.25">
      <c r="CZ2702" s="330"/>
    </row>
    <row r="2703" spans="104:104" x14ac:dyDescent="0.25">
      <c r="CZ2703" s="330"/>
    </row>
    <row r="2704" spans="104:104" x14ac:dyDescent="0.25">
      <c r="CZ2704" s="330"/>
    </row>
    <row r="2705" spans="104:104" x14ac:dyDescent="0.25">
      <c r="CZ2705" s="330"/>
    </row>
    <row r="2706" spans="104:104" x14ac:dyDescent="0.25">
      <c r="CZ2706" s="330"/>
    </row>
    <row r="2707" spans="104:104" x14ac:dyDescent="0.25">
      <c r="CZ2707" s="330"/>
    </row>
    <row r="2708" spans="104:104" x14ac:dyDescent="0.25">
      <c r="CZ2708" s="330"/>
    </row>
    <row r="2709" spans="104:104" x14ac:dyDescent="0.25">
      <c r="CZ2709" s="330"/>
    </row>
    <row r="2710" spans="104:104" x14ac:dyDescent="0.25">
      <c r="CZ2710" s="330"/>
    </row>
    <row r="2711" spans="104:104" x14ac:dyDescent="0.25">
      <c r="CZ2711" s="330"/>
    </row>
    <row r="2712" spans="104:104" x14ac:dyDescent="0.25">
      <c r="CZ2712" s="330"/>
    </row>
    <row r="2713" spans="104:104" x14ac:dyDescent="0.25">
      <c r="CZ2713" s="330"/>
    </row>
    <row r="2714" spans="104:104" x14ac:dyDescent="0.25">
      <c r="CZ2714" s="330"/>
    </row>
    <row r="2715" spans="104:104" x14ac:dyDescent="0.25">
      <c r="CZ2715" s="330"/>
    </row>
    <row r="2716" spans="104:104" x14ac:dyDescent="0.25">
      <c r="CZ2716" s="330"/>
    </row>
    <row r="2717" spans="104:104" x14ac:dyDescent="0.25">
      <c r="CZ2717" s="330"/>
    </row>
    <row r="2718" spans="104:104" x14ac:dyDescent="0.25">
      <c r="CZ2718" s="330"/>
    </row>
    <row r="2719" spans="104:104" x14ac:dyDescent="0.25">
      <c r="CZ2719" s="330"/>
    </row>
    <row r="2720" spans="104:104" x14ac:dyDescent="0.25">
      <c r="CZ2720" s="330"/>
    </row>
    <row r="2721" spans="104:104" x14ac:dyDescent="0.25">
      <c r="CZ2721" s="330"/>
    </row>
    <row r="2722" spans="104:104" x14ac:dyDescent="0.25">
      <c r="CZ2722" s="330"/>
    </row>
    <row r="2723" spans="104:104" x14ac:dyDescent="0.25">
      <c r="CZ2723" s="330"/>
    </row>
    <row r="2724" spans="104:104" x14ac:dyDescent="0.25">
      <c r="CZ2724" s="330"/>
    </row>
    <row r="2725" spans="104:104" x14ac:dyDescent="0.25">
      <c r="CZ2725" s="330"/>
    </row>
    <row r="2726" spans="104:104" x14ac:dyDescent="0.25">
      <c r="CZ2726" s="330"/>
    </row>
    <row r="2727" spans="104:104" x14ac:dyDescent="0.25">
      <c r="CZ2727" s="330"/>
    </row>
    <row r="2728" spans="104:104" x14ac:dyDescent="0.25">
      <c r="CZ2728" s="330"/>
    </row>
    <row r="2729" spans="104:104" x14ac:dyDescent="0.25">
      <c r="CZ2729" s="330"/>
    </row>
    <row r="2730" spans="104:104" x14ac:dyDescent="0.25">
      <c r="CZ2730" s="330"/>
    </row>
    <row r="2731" spans="104:104" x14ac:dyDescent="0.25">
      <c r="CZ2731" s="330"/>
    </row>
    <row r="2732" spans="104:104" x14ac:dyDescent="0.25">
      <c r="CZ2732" s="330"/>
    </row>
    <row r="2733" spans="104:104" x14ac:dyDescent="0.25">
      <c r="CZ2733" s="330"/>
    </row>
    <row r="2734" spans="104:104" x14ac:dyDescent="0.25">
      <c r="CZ2734" s="330"/>
    </row>
    <row r="2735" spans="104:104" x14ac:dyDescent="0.25">
      <c r="CZ2735" s="330"/>
    </row>
    <row r="2736" spans="104:104" x14ac:dyDescent="0.25">
      <c r="CZ2736" s="330"/>
    </row>
    <row r="2737" spans="104:104" x14ac:dyDescent="0.25">
      <c r="CZ2737" s="330"/>
    </row>
    <row r="2738" spans="104:104" x14ac:dyDescent="0.25">
      <c r="CZ2738" s="330"/>
    </row>
    <row r="2739" spans="104:104" x14ac:dyDescent="0.25">
      <c r="CZ2739" s="330"/>
    </row>
    <row r="2740" spans="104:104" x14ac:dyDescent="0.25">
      <c r="CZ2740" s="330"/>
    </row>
    <row r="2741" spans="104:104" x14ac:dyDescent="0.25">
      <c r="CZ2741" s="330"/>
    </row>
    <row r="2742" spans="104:104" x14ac:dyDescent="0.25">
      <c r="CZ2742" s="330"/>
    </row>
    <row r="2743" spans="104:104" x14ac:dyDescent="0.25">
      <c r="CZ2743" s="330"/>
    </row>
    <row r="2744" spans="104:104" x14ac:dyDescent="0.25">
      <c r="CZ2744" s="330"/>
    </row>
    <row r="2745" spans="104:104" x14ac:dyDescent="0.25">
      <c r="CZ2745" s="330"/>
    </row>
    <row r="2746" spans="104:104" x14ac:dyDescent="0.25">
      <c r="CZ2746" s="330"/>
    </row>
    <row r="2747" spans="104:104" x14ac:dyDescent="0.25">
      <c r="CZ2747" s="330"/>
    </row>
    <row r="2748" spans="104:104" x14ac:dyDescent="0.25">
      <c r="CZ2748" s="330"/>
    </row>
    <row r="2749" spans="104:104" x14ac:dyDescent="0.25">
      <c r="CZ2749" s="330"/>
    </row>
    <row r="2750" spans="104:104" x14ac:dyDescent="0.25">
      <c r="CZ2750" s="330"/>
    </row>
    <row r="2751" spans="104:104" x14ac:dyDescent="0.25">
      <c r="CZ2751" s="330"/>
    </row>
    <row r="2752" spans="104:104" x14ac:dyDescent="0.25">
      <c r="CZ2752" s="330"/>
    </row>
    <row r="2753" spans="104:104" x14ac:dyDescent="0.25">
      <c r="CZ2753" s="330"/>
    </row>
    <row r="2754" spans="104:104" x14ac:dyDescent="0.25">
      <c r="CZ2754" s="330"/>
    </row>
    <row r="2755" spans="104:104" x14ac:dyDescent="0.25">
      <c r="CZ2755" s="330"/>
    </row>
    <row r="2756" spans="104:104" x14ac:dyDescent="0.25">
      <c r="CZ2756" s="330"/>
    </row>
    <row r="2757" spans="104:104" x14ac:dyDescent="0.25">
      <c r="CZ2757" s="330"/>
    </row>
    <row r="2758" spans="104:104" x14ac:dyDescent="0.25">
      <c r="CZ2758" s="330"/>
    </row>
    <row r="2759" spans="104:104" x14ac:dyDescent="0.25">
      <c r="CZ2759" s="330"/>
    </row>
    <row r="2760" spans="104:104" x14ac:dyDescent="0.25">
      <c r="CZ2760" s="330"/>
    </row>
    <row r="2761" spans="104:104" x14ac:dyDescent="0.25">
      <c r="CZ2761" s="330"/>
    </row>
    <row r="2762" spans="104:104" x14ac:dyDescent="0.25">
      <c r="CZ2762" s="330"/>
    </row>
    <row r="2763" spans="104:104" x14ac:dyDescent="0.25">
      <c r="CZ2763" s="330"/>
    </row>
    <row r="2764" spans="104:104" x14ac:dyDescent="0.25">
      <c r="CZ2764" s="330"/>
    </row>
    <row r="2765" spans="104:104" x14ac:dyDescent="0.25">
      <c r="CZ2765" s="330"/>
    </row>
    <row r="2766" spans="104:104" x14ac:dyDescent="0.25">
      <c r="CZ2766" s="330"/>
    </row>
    <row r="2767" spans="104:104" x14ac:dyDescent="0.25">
      <c r="CZ2767" s="330"/>
    </row>
    <row r="2768" spans="104:104" x14ac:dyDescent="0.25">
      <c r="CZ2768" s="330"/>
    </row>
    <row r="2769" spans="104:104" x14ac:dyDescent="0.25">
      <c r="CZ2769" s="330"/>
    </row>
    <row r="2770" spans="104:104" x14ac:dyDescent="0.25">
      <c r="CZ2770" s="330"/>
    </row>
    <row r="2771" spans="104:104" x14ac:dyDescent="0.25">
      <c r="CZ2771" s="330"/>
    </row>
    <row r="2772" spans="104:104" x14ac:dyDescent="0.25">
      <c r="CZ2772" s="330"/>
    </row>
    <row r="2773" spans="104:104" x14ac:dyDescent="0.25">
      <c r="CZ2773" s="330"/>
    </row>
    <row r="2774" spans="104:104" x14ac:dyDescent="0.25">
      <c r="CZ2774" s="330"/>
    </row>
    <row r="2775" spans="104:104" x14ac:dyDescent="0.25">
      <c r="CZ2775" s="330"/>
    </row>
    <row r="2776" spans="104:104" x14ac:dyDescent="0.25">
      <c r="CZ2776" s="330"/>
    </row>
    <row r="2777" spans="104:104" x14ac:dyDescent="0.25">
      <c r="CZ2777" s="330"/>
    </row>
    <row r="2778" spans="104:104" x14ac:dyDescent="0.25">
      <c r="CZ2778" s="330"/>
    </row>
    <row r="2779" spans="104:104" x14ac:dyDescent="0.25">
      <c r="CZ2779" s="330"/>
    </row>
    <row r="2780" spans="104:104" x14ac:dyDescent="0.25">
      <c r="CZ2780" s="330"/>
    </row>
    <row r="2781" spans="104:104" x14ac:dyDescent="0.25">
      <c r="CZ2781" s="330"/>
    </row>
    <row r="2782" spans="104:104" x14ac:dyDescent="0.25">
      <c r="CZ2782" s="330"/>
    </row>
    <row r="2783" spans="104:104" x14ac:dyDescent="0.25">
      <c r="CZ2783" s="330"/>
    </row>
    <row r="2784" spans="104:104" x14ac:dyDescent="0.25">
      <c r="CZ2784" s="330"/>
    </row>
    <row r="2785" spans="104:104" x14ac:dyDescent="0.25">
      <c r="CZ2785" s="330"/>
    </row>
    <row r="2786" spans="104:104" x14ac:dyDescent="0.25">
      <c r="CZ2786" s="330"/>
    </row>
    <row r="2787" spans="104:104" x14ac:dyDescent="0.25">
      <c r="CZ2787" s="330"/>
    </row>
    <row r="2788" spans="104:104" x14ac:dyDescent="0.25">
      <c r="CZ2788" s="330"/>
    </row>
    <row r="2789" spans="104:104" x14ac:dyDescent="0.25">
      <c r="CZ2789" s="330"/>
    </row>
    <row r="2790" spans="104:104" x14ac:dyDescent="0.25">
      <c r="CZ2790" s="330"/>
    </row>
    <row r="2791" spans="104:104" x14ac:dyDescent="0.25">
      <c r="CZ2791" s="330"/>
    </row>
    <row r="2792" spans="104:104" x14ac:dyDescent="0.25">
      <c r="CZ2792" s="330"/>
    </row>
    <row r="2793" spans="104:104" x14ac:dyDescent="0.25">
      <c r="CZ2793" s="330"/>
    </row>
    <row r="2794" spans="104:104" x14ac:dyDescent="0.25">
      <c r="CZ2794" s="330"/>
    </row>
    <row r="2795" spans="104:104" x14ac:dyDescent="0.25">
      <c r="CZ2795" s="330"/>
    </row>
    <row r="2796" spans="104:104" x14ac:dyDescent="0.25">
      <c r="CZ2796" s="330"/>
    </row>
    <row r="2797" spans="104:104" x14ac:dyDescent="0.25">
      <c r="CZ2797" s="330"/>
    </row>
    <row r="2798" spans="104:104" x14ac:dyDescent="0.25">
      <c r="CZ2798" s="330"/>
    </row>
    <row r="2799" spans="104:104" x14ac:dyDescent="0.25">
      <c r="CZ2799" s="330"/>
    </row>
    <row r="2800" spans="104:104" x14ac:dyDescent="0.25">
      <c r="CZ2800" s="330"/>
    </row>
    <row r="2801" spans="104:104" x14ac:dyDescent="0.25">
      <c r="CZ2801" s="330"/>
    </row>
    <row r="2802" spans="104:104" x14ac:dyDescent="0.25">
      <c r="CZ2802" s="330"/>
    </row>
    <row r="2803" spans="104:104" x14ac:dyDescent="0.25">
      <c r="CZ2803" s="330"/>
    </row>
    <row r="2804" spans="104:104" x14ac:dyDescent="0.25">
      <c r="CZ2804" s="330"/>
    </row>
    <row r="2805" spans="104:104" x14ac:dyDescent="0.25">
      <c r="CZ2805" s="330"/>
    </row>
    <row r="2806" spans="104:104" x14ac:dyDescent="0.25">
      <c r="CZ2806" s="330"/>
    </row>
    <row r="2807" spans="104:104" x14ac:dyDescent="0.25">
      <c r="CZ2807" s="330"/>
    </row>
    <row r="2808" spans="104:104" x14ac:dyDescent="0.25">
      <c r="CZ2808" s="330"/>
    </row>
    <row r="2809" spans="104:104" x14ac:dyDescent="0.25">
      <c r="CZ2809" s="330"/>
    </row>
    <row r="2810" spans="104:104" x14ac:dyDescent="0.25">
      <c r="CZ2810" s="330"/>
    </row>
    <row r="2811" spans="104:104" x14ac:dyDescent="0.25">
      <c r="CZ2811" s="330"/>
    </row>
    <row r="2812" spans="104:104" x14ac:dyDescent="0.25">
      <c r="CZ2812" s="330"/>
    </row>
    <row r="2813" spans="104:104" x14ac:dyDescent="0.25">
      <c r="CZ2813" s="330"/>
    </row>
    <row r="2814" spans="104:104" x14ac:dyDescent="0.25">
      <c r="CZ2814" s="330"/>
    </row>
    <row r="2815" spans="104:104" x14ac:dyDescent="0.25">
      <c r="CZ2815" s="330"/>
    </row>
    <row r="2816" spans="104:104" x14ac:dyDescent="0.25">
      <c r="CZ2816" s="330"/>
    </row>
    <row r="2817" spans="104:104" x14ac:dyDescent="0.25">
      <c r="CZ2817" s="330"/>
    </row>
    <row r="2818" spans="104:104" x14ac:dyDescent="0.25">
      <c r="CZ2818" s="330"/>
    </row>
    <row r="2819" spans="104:104" x14ac:dyDescent="0.25">
      <c r="CZ2819" s="330"/>
    </row>
    <row r="2820" spans="104:104" x14ac:dyDescent="0.25">
      <c r="CZ2820" s="330"/>
    </row>
    <row r="2821" spans="104:104" x14ac:dyDescent="0.25">
      <c r="CZ2821" s="330"/>
    </row>
    <row r="2822" spans="104:104" x14ac:dyDescent="0.25">
      <c r="CZ2822" s="330"/>
    </row>
    <row r="2823" spans="104:104" x14ac:dyDescent="0.25">
      <c r="CZ2823" s="330"/>
    </row>
    <row r="2824" spans="104:104" x14ac:dyDescent="0.25">
      <c r="CZ2824" s="330"/>
    </row>
    <row r="2825" spans="104:104" x14ac:dyDescent="0.25">
      <c r="CZ2825" s="330"/>
    </row>
    <row r="2826" spans="104:104" x14ac:dyDescent="0.25">
      <c r="CZ2826" s="330"/>
    </row>
    <row r="2827" spans="104:104" x14ac:dyDescent="0.25">
      <c r="CZ2827" s="330"/>
    </row>
    <row r="2828" spans="104:104" x14ac:dyDescent="0.25">
      <c r="CZ2828" s="330"/>
    </row>
    <row r="2829" spans="104:104" x14ac:dyDescent="0.25">
      <c r="CZ2829" s="330"/>
    </row>
    <row r="2830" spans="104:104" x14ac:dyDescent="0.25">
      <c r="CZ2830" s="330"/>
    </row>
    <row r="2831" spans="104:104" x14ac:dyDescent="0.25">
      <c r="CZ2831" s="330"/>
    </row>
    <row r="2832" spans="104:104" x14ac:dyDescent="0.25">
      <c r="CZ2832" s="330"/>
    </row>
    <row r="2833" spans="104:104" x14ac:dyDescent="0.25">
      <c r="CZ2833" s="330"/>
    </row>
    <row r="2834" spans="104:104" x14ac:dyDescent="0.25">
      <c r="CZ2834" s="330"/>
    </row>
    <row r="2835" spans="104:104" x14ac:dyDescent="0.25">
      <c r="CZ2835" s="330"/>
    </row>
    <row r="2836" spans="104:104" x14ac:dyDescent="0.25">
      <c r="CZ2836" s="330"/>
    </row>
    <row r="2837" spans="104:104" x14ac:dyDescent="0.25">
      <c r="CZ2837" s="330"/>
    </row>
    <row r="2838" spans="104:104" x14ac:dyDescent="0.25">
      <c r="CZ2838" s="330"/>
    </row>
    <row r="2839" spans="104:104" x14ac:dyDescent="0.25">
      <c r="CZ2839" s="330"/>
    </row>
    <row r="2840" spans="104:104" x14ac:dyDescent="0.25">
      <c r="CZ2840" s="330"/>
    </row>
    <row r="2841" spans="104:104" x14ac:dyDescent="0.25">
      <c r="CZ2841" s="330"/>
    </row>
    <row r="2842" spans="104:104" x14ac:dyDescent="0.25">
      <c r="CZ2842" s="330"/>
    </row>
    <row r="2843" spans="104:104" x14ac:dyDescent="0.25">
      <c r="CZ2843" s="330"/>
    </row>
    <row r="2844" spans="104:104" x14ac:dyDescent="0.25">
      <c r="CZ2844" s="330"/>
    </row>
    <row r="2845" spans="104:104" x14ac:dyDescent="0.25">
      <c r="CZ2845" s="330"/>
    </row>
    <row r="2846" spans="104:104" x14ac:dyDescent="0.25">
      <c r="CZ2846" s="330"/>
    </row>
    <row r="2847" spans="104:104" x14ac:dyDescent="0.25">
      <c r="CZ2847" s="330"/>
    </row>
    <row r="2848" spans="104:104" x14ac:dyDescent="0.25">
      <c r="CZ2848" s="330"/>
    </row>
    <row r="2849" spans="104:104" x14ac:dyDescent="0.25">
      <c r="CZ2849" s="330"/>
    </row>
    <row r="2850" spans="104:104" x14ac:dyDescent="0.25">
      <c r="CZ2850" s="330"/>
    </row>
  </sheetData>
  <autoFilter ref="A4:CK2128" xr:uid="{00000000-0009-0000-0000-000019000000}"/>
  <conditionalFormatting sqref="E433">
    <cfRule type="expression" dxfId="337" priority="5">
      <formula>CELL("Protect",E433)=0</formula>
    </cfRule>
  </conditionalFormatting>
  <conditionalFormatting sqref="E471:E477">
    <cfRule type="expression" dxfId="336" priority="4">
      <formula>CELL("Protect",E471)=0</formula>
    </cfRule>
  </conditionalFormatting>
  <printOptions horizontalCentered="1"/>
  <pageMargins left="0.51181102362204722" right="0.31496062992125984" top="0.55118110236220474" bottom="0.35433070866141736" header="0.11811023622047245" footer="0.11811023622047245"/>
  <pageSetup paperSize="9" scale="10" fitToHeight="0" orientation="landscape" r:id="rId1"/>
  <headerFooter>
    <oddFooter>&amp;L&amp;D &amp;T&amp;CPage &amp;P of &amp;N&amp;R&amp;F &amp;A</oddFooter>
  </headerFooter>
  <ignoredErrors>
    <ignoredError sqref="N1564:N1566" formulaRange="1"/>
    <ignoredError sqref="K2040 U1293:W1293 K70:L70 K11:L11" formula="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9">
    <tabColor rgb="FFFFFF00"/>
    <pageSetUpPr fitToPage="1"/>
  </sheetPr>
  <dimension ref="A1:H48"/>
  <sheetViews>
    <sheetView tabSelected="1" workbookViewId="0">
      <pane xSplit="1" ySplit="22" topLeftCell="B23" activePane="bottomRight" state="frozen"/>
      <selection activeCell="F19" sqref="F19"/>
      <selection pane="topRight" activeCell="F19" sqref="F19"/>
      <selection pane="bottomLeft" activeCell="F19" sqref="F19"/>
      <selection pane="bottomRight" activeCell="H25" sqref="H25"/>
    </sheetView>
  </sheetViews>
  <sheetFormatPr defaultColWidth="9.140625" defaultRowHeight="12.75" outlineLevelRow="1" x14ac:dyDescent="0.2"/>
  <cols>
    <col min="1" max="1" width="11.42578125" style="369" customWidth="1"/>
    <col min="2" max="2" width="105.140625" style="369" customWidth="1"/>
    <col min="3" max="3" width="15.42578125" style="369" bestFit="1" customWidth="1"/>
    <col min="4" max="7" width="9.140625" style="369"/>
    <col min="8" max="8" width="14.140625" style="369" bestFit="1" customWidth="1"/>
    <col min="9" max="16384" width="9.140625" style="369"/>
  </cols>
  <sheetData>
    <row r="1" spans="1:3" x14ac:dyDescent="0.2">
      <c r="A1" s="388" t="s">
        <v>1102</v>
      </c>
      <c r="B1" s="387" t="str">
        <f ca="1">"ALB Template 2026 "&amp;MID(CELL("filename"),SEARCH("[",CELL("filename"))+1, SEARCH("]",CELL("filename"))-SEARCH("[",CELL("filename"))-1)</f>
        <v>ALB Template 2026 ALB Draft accounts template.xlsx</v>
      </c>
      <c r="C1" s="1065"/>
    </row>
    <row r="3" spans="1:3" ht="18" hidden="1" outlineLevel="1" x14ac:dyDescent="0.25">
      <c r="B3" s="386" t="s">
        <v>1101</v>
      </c>
    </row>
    <row r="4" spans="1:3" hidden="1" outlineLevel="1" x14ac:dyDescent="0.2">
      <c r="A4" s="381">
        <v>1</v>
      </c>
      <c r="B4" s="384" t="s">
        <v>1100</v>
      </c>
    </row>
    <row r="5" spans="1:3" ht="38.25" hidden="1" outlineLevel="1" x14ac:dyDescent="0.2">
      <c r="A5" s="381">
        <f>MAX($A$4:A4)+1</f>
        <v>2</v>
      </c>
      <c r="B5" s="1018" t="s">
        <v>1099</v>
      </c>
    </row>
    <row r="6" spans="1:3" ht="25.5" hidden="1" outlineLevel="1" x14ac:dyDescent="0.2">
      <c r="A6" s="381">
        <f>MAX($A$4:A5)+1</f>
        <v>3</v>
      </c>
      <c r="B6" s="384" t="s">
        <v>1098</v>
      </c>
    </row>
    <row r="7" spans="1:3" hidden="1" outlineLevel="1" x14ac:dyDescent="0.2">
      <c r="A7" s="381">
        <f>MAX($A$4:A6)+1</f>
        <v>4</v>
      </c>
      <c r="B7" s="384" t="s">
        <v>1097</v>
      </c>
    </row>
    <row r="8" spans="1:3" hidden="1" outlineLevel="1" x14ac:dyDescent="0.2">
      <c r="A8" s="381">
        <f>MAX($A$4:A7)+1</f>
        <v>5</v>
      </c>
      <c r="B8" s="384" t="s">
        <v>1802</v>
      </c>
    </row>
    <row r="9" spans="1:3" hidden="1" outlineLevel="1" x14ac:dyDescent="0.2">
      <c r="A9" s="381">
        <f>MAX($A$4:A8)+1</f>
        <v>6</v>
      </c>
      <c r="B9" s="384" t="s">
        <v>1096</v>
      </c>
    </row>
    <row r="10" spans="1:3" hidden="1" outlineLevel="1" x14ac:dyDescent="0.2">
      <c r="A10" s="381">
        <f>MAX($A$4:A9)+1</f>
        <v>7</v>
      </c>
      <c r="B10" s="384" t="s">
        <v>1803</v>
      </c>
    </row>
    <row r="11" spans="1:3" hidden="1" outlineLevel="1" x14ac:dyDescent="0.2">
      <c r="A11" s="381">
        <f>MAX($A$4:A10)+1</f>
        <v>8</v>
      </c>
      <c r="B11" s="1019" t="s">
        <v>1095</v>
      </c>
    </row>
    <row r="12" spans="1:3" hidden="1" outlineLevel="1" x14ac:dyDescent="0.2">
      <c r="A12" s="381"/>
      <c r="B12" s="370"/>
    </row>
    <row r="13" spans="1:3" collapsed="1" x14ac:dyDescent="0.2">
      <c r="A13" s="381"/>
      <c r="B13" s="370"/>
    </row>
    <row r="14" spans="1:3" ht="18" outlineLevel="1" x14ac:dyDescent="0.25">
      <c r="B14" s="385" t="s">
        <v>1094</v>
      </c>
    </row>
    <row r="15" spans="1:3" ht="25.5" outlineLevel="1" x14ac:dyDescent="0.2">
      <c r="A15" s="381">
        <v>1</v>
      </c>
      <c r="B15" s="1020" t="s">
        <v>1804</v>
      </c>
    </row>
    <row r="16" spans="1:3" outlineLevel="1" x14ac:dyDescent="0.2">
      <c r="A16" s="381">
        <f>MAX($A$15:A15)+1</f>
        <v>2</v>
      </c>
      <c r="B16" s="384" t="s">
        <v>1805</v>
      </c>
    </row>
    <row r="17" spans="1:4" ht="25.5" outlineLevel="1" x14ac:dyDescent="0.2">
      <c r="A17" s="381">
        <f>MAX($A$15:A16)+1</f>
        <v>3</v>
      </c>
      <c r="B17" s="384" t="s">
        <v>2532</v>
      </c>
    </row>
    <row r="18" spans="1:4" outlineLevel="1" x14ac:dyDescent="0.2">
      <c r="A18" s="381">
        <f>MAX($A$15:A17)+1</f>
        <v>4</v>
      </c>
      <c r="B18" s="370"/>
    </row>
    <row r="19" spans="1:4" x14ac:dyDescent="0.2">
      <c r="A19" s="381"/>
      <c r="B19" s="370"/>
    </row>
    <row r="20" spans="1:4" x14ac:dyDescent="0.2">
      <c r="A20" s="383" t="s">
        <v>1093</v>
      </c>
      <c r="B20" s="382" t="s">
        <v>1092</v>
      </c>
    </row>
    <row r="21" spans="1:4" x14ac:dyDescent="0.2">
      <c r="A21" s="381"/>
      <c r="B21" s="370"/>
    </row>
    <row r="22" spans="1:4" ht="18" x14ac:dyDescent="0.25">
      <c r="A22" s="380"/>
      <c r="B22" s="379" t="s">
        <v>1091</v>
      </c>
      <c r="C22" s="378"/>
    </row>
    <row r="23" spans="1:4" ht="28.5" x14ac:dyDescent="0.2">
      <c r="A23" s="373">
        <v>1</v>
      </c>
      <c r="B23" s="372" t="s">
        <v>1807</v>
      </c>
      <c r="C23" s="374"/>
    </row>
    <row r="24" spans="1:4" ht="15" x14ac:dyDescent="0.2">
      <c r="A24" s="373">
        <f>MAX($A$23:A23)+1</f>
        <v>2</v>
      </c>
      <c r="B24" s="372" t="s">
        <v>1090</v>
      </c>
      <c r="C24" s="374"/>
      <c r="D24" s="397"/>
    </row>
    <row r="25" spans="1:4" ht="36" customHeight="1" x14ac:dyDescent="0.2">
      <c r="A25" s="373">
        <f>MAX($A$23:A24)+1</f>
        <v>3</v>
      </c>
      <c r="B25" s="372" t="s">
        <v>2854</v>
      </c>
      <c r="C25" s="374"/>
    </row>
    <row r="26" spans="1:4" ht="28.5" x14ac:dyDescent="0.2">
      <c r="A26" s="373">
        <f>MAX($A$23:A25)+1</f>
        <v>4</v>
      </c>
      <c r="B26" s="372" t="s">
        <v>1089</v>
      </c>
      <c r="C26" s="374"/>
    </row>
    <row r="27" spans="1:4" ht="28.5" x14ac:dyDescent="0.2">
      <c r="A27" s="373">
        <f>MAX($A$23:A26)+1</f>
        <v>5</v>
      </c>
      <c r="B27" s="372" t="s">
        <v>1806</v>
      </c>
      <c r="C27" s="374"/>
    </row>
    <row r="28" spans="1:4" ht="15" x14ac:dyDescent="0.2">
      <c r="A28" s="373">
        <f>MAX($A$23:A27)+1</f>
        <v>6</v>
      </c>
      <c r="B28" s="372" t="s">
        <v>1828</v>
      </c>
      <c r="C28" s="374"/>
    </row>
    <row r="29" spans="1:4" ht="71.25" x14ac:dyDescent="0.2">
      <c r="A29" s="373">
        <f>MAX($A$23:A28)+1</f>
        <v>7</v>
      </c>
      <c r="B29" s="372" t="s">
        <v>1826</v>
      </c>
      <c r="C29" s="374"/>
    </row>
    <row r="30" spans="1:4" ht="15" x14ac:dyDescent="0.2">
      <c r="A30" s="373">
        <f>MAX($A$23:A29)+1</f>
        <v>8</v>
      </c>
      <c r="B30" s="372" t="s">
        <v>1822</v>
      </c>
      <c r="C30" s="374"/>
    </row>
    <row r="31" spans="1:4" ht="28.5" x14ac:dyDescent="0.2">
      <c r="A31" s="373">
        <f>MAX($A$23:A30)+1</f>
        <v>9</v>
      </c>
      <c r="B31" s="372" t="s">
        <v>1979</v>
      </c>
      <c r="C31" s="374"/>
    </row>
    <row r="32" spans="1:4" ht="15" x14ac:dyDescent="0.2">
      <c r="A32" s="373">
        <f>MAX($A$23:A31)+1</f>
        <v>10</v>
      </c>
      <c r="B32" s="372" t="s">
        <v>1809</v>
      </c>
      <c r="C32" s="374"/>
    </row>
    <row r="33" spans="1:8" ht="15" x14ac:dyDescent="0.2">
      <c r="A33" s="373">
        <f>MAX($A$23:A32)+1</f>
        <v>11</v>
      </c>
      <c r="B33" s="377" t="s">
        <v>1801</v>
      </c>
      <c r="C33" s="374"/>
    </row>
    <row r="34" spans="1:8" ht="30" x14ac:dyDescent="0.2">
      <c r="A34" s="373">
        <f>MAX($A$23:A33)+1</f>
        <v>12</v>
      </c>
      <c r="B34" s="1841" t="s">
        <v>1808</v>
      </c>
      <c r="C34" s="374"/>
    </row>
    <row r="35" spans="1:8" ht="28.5" x14ac:dyDescent="0.2">
      <c r="A35" s="373">
        <f>MAX($A$23:A34)+1</f>
        <v>13</v>
      </c>
      <c r="B35" s="372" t="s">
        <v>2000</v>
      </c>
      <c r="C35" s="374"/>
      <c r="H35" s="1047"/>
    </row>
    <row r="36" spans="1:8" ht="15" x14ac:dyDescent="0.2">
      <c r="A36" s="373"/>
      <c r="B36" s="372"/>
      <c r="C36" s="374"/>
      <c r="H36" s="1047"/>
    </row>
    <row r="37" spans="1:8" ht="15" x14ac:dyDescent="0.2">
      <c r="A37" s="373"/>
      <c r="B37" s="372"/>
      <c r="C37" s="374"/>
    </row>
    <row r="38" spans="1:8" ht="15" x14ac:dyDescent="0.2">
      <c r="A38" s="373"/>
      <c r="B38" s="376" t="s">
        <v>1825</v>
      </c>
      <c r="C38" s="375"/>
      <c r="H38" s="1047"/>
    </row>
    <row r="39" spans="1:8" ht="42.75" x14ac:dyDescent="0.2">
      <c r="A39" s="373">
        <f>MAX($A$23:A38)+1</f>
        <v>14</v>
      </c>
      <c r="B39" s="372" t="s">
        <v>1841</v>
      </c>
      <c r="C39" s="374"/>
      <c r="H39" s="1048"/>
    </row>
    <row r="40" spans="1:8" ht="28.5" x14ac:dyDescent="0.2">
      <c r="A40" s="373">
        <f>MAX($A$23:A39)+1</f>
        <v>15</v>
      </c>
      <c r="B40" s="372" t="s">
        <v>2005</v>
      </c>
      <c r="C40" s="374"/>
      <c r="H40" s="1048"/>
    </row>
    <row r="41" spans="1:8" ht="28.5" x14ac:dyDescent="0.2">
      <c r="A41" s="373">
        <f>MAX($A$23:A40)+1</f>
        <v>16</v>
      </c>
      <c r="B41" s="372" t="s">
        <v>2006</v>
      </c>
      <c r="C41" s="374"/>
    </row>
    <row r="42" spans="1:8" ht="57" x14ac:dyDescent="0.2">
      <c r="A42" s="373">
        <f>MAX($A$23:A41)+1</f>
        <v>17</v>
      </c>
      <c r="B42" s="372" t="s">
        <v>1823</v>
      </c>
      <c r="C42" s="374"/>
    </row>
    <row r="43" spans="1:8" ht="105.6" customHeight="1" x14ac:dyDescent="0.2">
      <c r="A43" s="373">
        <f>MAX($A$23:A42)+1</f>
        <v>18</v>
      </c>
      <c r="B43" s="372" t="s">
        <v>1824</v>
      </c>
      <c r="C43" s="374"/>
    </row>
    <row r="44" spans="1:8" ht="15" x14ac:dyDescent="0.2">
      <c r="A44" s="373"/>
      <c r="B44" s="372"/>
      <c r="C44" s="788"/>
    </row>
    <row r="45" spans="1:8" ht="15" x14ac:dyDescent="0.2">
      <c r="A45" s="373"/>
      <c r="B45" s="376" t="s">
        <v>181</v>
      </c>
      <c r="C45" s="375"/>
    </row>
    <row r="46" spans="1:8" ht="42.75" x14ac:dyDescent="0.2">
      <c r="A46" s="373">
        <f>MAX($A$23:A45)+1</f>
        <v>19</v>
      </c>
      <c r="B46" s="372" t="s">
        <v>2001</v>
      </c>
      <c r="C46" s="788"/>
    </row>
    <row r="47" spans="1:8" ht="15" x14ac:dyDescent="0.2">
      <c r="A47" s="373">
        <f>MAX($A$23:A46)+1</f>
        <v>20</v>
      </c>
      <c r="B47" s="372" t="s">
        <v>1827</v>
      </c>
      <c r="C47" s="788"/>
    </row>
    <row r="48" spans="1:8" ht="43.5" x14ac:dyDescent="0.2">
      <c r="A48" s="373">
        <f>MAX($A$23:A47)+1</f>
        <v>21</v>
      </c>
      <c r="B48" s="372" t="s">
        <v>1978</v>
      </c>
      <c r="C48" s="788"/>
    </row>
  </sheetData>
  <sheetProtection formatColumns="0" formatRows="0"/>
  <pageMargins left="0.70866141732283472" right="0.70866141732283472" top="0.74803149606299213" bottom="0.74803149606299213" header="0.31496062992125984" footer="0.31496062992125984"/>
  <pageSetup paperSize="9" scale="67"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0">
    <tabColor rgb="FFFFFF00"/>
  </sheetPr>
  <dimension ref="A1:C150"/>
  <sheetViews>
    <sheetView zoomScaleNormal="100" workbookViewId="0">
      <pane xSplit="2" ySplit="6" topLeftCell="C7" activePane="bottomRight" state="frozen"/>
      <selection activeCell="F19" sqref="F19"/>
      <selection pane="topRight" activeCell="F19" sqref="F19"/>
      <selection pane="bottomLeft" activeCell="F19" sqref="F19"/>
      <selection pane="bottomRight" activeCell="F19" sqref="F19"/>
    </sheetView>
  </sheetViews>
  <sheetFormatPr defaultColWidth="9.140625" defaultRowHeight="12.75" x14ac:dyDescent="0.2"/>
  <cols>
    <col min="1" max="1" width="9.140625" style="369"/>
    <col min="2" max="2" width="24.85546875" style="369" customWidth="1"/>
    <col min="3" max="3" width="83.42578125" style="369" customWidth="1"/>
    <col min="4" max="16384" width="9.140625" style="369"/>
  </cols>
  <sheetData>
    <row r="1" spans="1:3" x14ac:dyDescent="0.2">
      <c r="A1" s="396" t="str">
        <f>'alb A - Staff data'!$A$1</f>
        <v>enter HSC Body name here</v>
      </c>
      <c r="B1" s="389"/>
      <c r="C1" s="389"/>
    </row>
    <row r="2" spans="1:3" x14ac:dyDescent="0.2">
      <c r="A2" s="396"/>
      <c r="B2" s="389"/>
      <c r="C2" s="389"/>
    </row>
    <row r="3" spans="1:3" x14ac:dyDescent="0.2">
      <c r="A3" s="396" t="s">
        <v>1106</v>
      </c>
      <c r="B3" s="389"/>
      <c r="C3" s="389"/>
    </row>
    <row r="4" spans="1:3" x14ac:dyDescent="0.2">
      <c r="A4" s="395" t="s">
        <v>1105</v>
      </c>
      <c r="B4" s="389"/>
      <c r="C4" s="389"/>
    </row>
    <row r="5" spans="1:3" x14ac:dyDescent="0.2">
      <c r="B5" s="389"/>
      <c r="C5" s="389"/>
    </row>
    <row r="6" spans="1:3" x14ac:dyDescent="0.2">
      <c r="A6" s="394" t="s">
        <v>0</v>
      </c>
      <c r="B6" s="394" t="s">
        <v>1104</v>
      </c>
      <c r="C6" s="393" t="s">
        <v>1103</v>
      </c>
    </row>
    <row r="7" spans="1:3" s="371" customFormat="1" ht="21.6" customHeight="1" x14ac:dyDescent="0.25">
      <c r="A7" s="391">
        <v>1</v>
      </c>
      <c r="B7" s="392"/>
      <c r="C7" s="392"/>
    </row>
    <row r="8" spans="1:3" s="371" customFormat="1" x14ac:dyDescent="0.25">
      <c r="A8" s="391">
        <v>2</v>
      </c>
      <c r="B8" s="392"/>
      <c r="C8" s="392"/>
    </row>
    <row r="9" spans="1:3" s="371" customFormat="1" x14ac:dyDescent="0.25">
      <c r="A9" s="391">
        <v>3</v>
      </c>
      <c r="B9" s="392"/>
      <c r="C9" s="392"/>
    </row>
    <row r="10" spans="1:3" s="371" customFormat="1" x14ac:dyDescent="0.25">
      <c r="A10" s="391">
        <v>4</v>
      </c>
      <c r="B10" s="392"/>
      <c r="C10" s="392"/>
    </row>
    <row r="11" spans="1:3" s="371" customFormat="1" x14ac:dyDescent="0.25">
      <c r="A11" s="391">
        <v>5</v>
      </c>
      <c r="B11" s="392"/>
      <c r="C11" s="392"/>
    </row>
    <row r="12" spans="1:3" s="371" customFormat="1" x14ac:dyDescent="0.25">
      <c r="A12" s="391">
        <v>6</v>
      </c>
      <c r="B12" s="392"/>
      <c r="C12" s="392"/>
    </row>
    <row r="13" spans="1:3" s="371" customFormat="1" x14ac:dyDescent="0.25">
      <c r="A13" s="391">
        <v>7</v>
      </c>
      <c r="B13" s="392"/>
      <c r="C13" s="392"/>
    </row>
    <row r="14" spans="1:3" s="371" customFormat="1" x14ac:dyDescent="0.25">
      <c r="A14" s="391">
        <v>8</v>
      </c>
      <c r="B14" s="392"/>
      <c r="C14" s="392"/>
    </row>
    <row r="15" spans="1:3" s="371" customFormat="1" x14ac:dyDescent="0.25">
      <c r="A15" s="391">
        <v>9</v>
      </c>
      <c r="B15" s="392"/>
      <c r="C15" s="392"/>
    </row>
    <row r="16" spans="1:3" s="371" customFormat="1" x14ac:dyDescent="0.25">
      <c r="A16" s="391">
        <v>10</v>
      </c>
      <c r="B16" s="392"/>
      <c r="C16" s="392"/>
    </row>
    <row r="17" spans="1:3" s="371" customFormat="1" x14ac:dyDescent="0.25">
      <c r="A17" s="391">
        <v>11</v>
      </c>
      <c r="B17" s="392"/>
      <c r="C17" s="392"/>
    </row>
    <row r="18" spans="1:3" s="371" customFormat="1" x14ac:dyDescent="0.25">
      <c r="A18" s="391">
        <v>12</v>
      </c>
      <c r="B18" s="392"/>
      <c r="C18" s="392"/>
    </row>
    <row r="19" spans="1:3" s="371" customFormat="1" x14ac:dyDescent="0.25">
      <c r="A19" s="391">
        <v>13</v>
      </c>
      <c r="B19" s="390"/>
      <c r="C19" s="390"/>
    </row>
    <row r="20" spans="1:3" s="371" customFormat="1" x14ac:dyDescent="0.25">
      <c r="A20" s="391">
        <v>14</v>
      </c>
      <c r="B20" s="390"/>
      <c r="C20" s="390"/>
    </row>
    <row r="21" spans="1:3" s="371" customFormat="1" x14ac:dyDescent="0.25">
      <c r="A21" s="391">
        <v>15</v>
      </c>
      <c r="B21" s="390"/>
      <c r="C21" s="390"/>
    </row>
    <row r="22" spans="1:3" s="371" customFormat="1" x14ac:dyDescent="0.25">
      <c r="A22" s="391">
        <v>16</v>
      </c>
      <c r="B22" s="390"/>
      <c r="C22" s="390"/>
    </row>
    <row r="23" spans="1:3" s="371" customFormat="1" x14ac:dyDescent="0.25">
      <c r="A23" s="391">
        <v>17</v>
      </c>
      <c r="B23" s="390"/>
      <c r="C23" s="390"/>
    </row>
    <row r="24" spans="1:3" s="371" customFormat="1" x14ac:dyDescent="0.25">
      <c r="A24" s="391">
        <v>18</v>
      </c>
      <c r="B24" s="390"/>
      <c r="C24" s="390"/>
    </row>
    <row r="25" spans="1:3" s="371" customFormat="1" x14ac:dyDescent="0.25">
      <c r="A25" s="391">
        <v>19</v>
      </c>
      <c r="B25" s="390"/>
      <c r="C25" s="390"/>
    </row>
    <row r="26" spans="1:3" s="371" customFormat="1" x14ac:dyDescent="0.25">
      <c r="A26" s="391">
        <v>20</v>
      </c>
      <c r="B26" s="390"/>
      <c r="C26" s="390"/>
    </row>
    <row r="27" spans="1:3" s="371" customFormat="1" x14ac:dyDescent="0.25">
      <c r="A27" s="391">
        <v>21</v>
      </c>
      <c r="B27" s="390"/>
      <c r="C27" s="390"/>
    </row>
    <row r="28" spans="1:3" s="371" customFormat="1" x14ac:dyDescent="0.25">
      <c r="A28" s="391">
        <v>22</v>
      </c>
      <c r="B28" s="390"/>
      <c r="C28" s="390"/>
    </row>
    <row r="29" spans="1:3" s="371" customFormat="1" x14ac:dyDescent="0.25">
      <c r="A29" s="391">
        <v>23</v>
      </c>
      <c r="B29" s="390"/>
      <c r="C29" s="390"/>
    </row>
    <row r="30" spans="1:3" s="371" customFormat="1" x14ac:dyDescent="0.25">
      <c r="A30" s="391">
        <v>24</v>
      </c>
      <c r="B30" s="390"/>
      <c r="C30" s="390"/>
    </row>
    <row r="31" spans="1:3" s="371" customFormat="1" x14ac:dyDescent="0.25">
      <c r="A31" s="391">
        <v>25</v>
      </c>
      <c r="B31" s="390"/>
      <c r="C31" s="390"/>
    </row>
    <row r="32" spans="1:3" s="371" customFormat="1" x14ac:dyDescent="0.25">
      <c r="A32" s="391">
        <v>26</v>
      </c>
      <c r="B32" s="390"/>
      <c r="C32" s="390"/>
    </row>
    <row r="33" spans="1:3" s="371" customFormat="1" x14ac:dyDescent="0.25">
      <c r="A33" s="391">
        <v>27</v>
      </c>
      <c r="B33" s="390"/>
      <c r="C33" s="390"/>
    </row>
    <row r="34" spans="1:3" s="371" customFormat="1" x14ac:dyDescent="0.25">
      <c r="A34" s="391">
        <v>28</v>
      </c>
      <c r="B34" s="390"/>
      <c r="C34" s="390"/>
    </row>
    <row r="35" spans="1:3" s="371" customFormat="1" x14ac:dyDescent="0.25">
      <c r="A35" s="391">
        <v>29</v>
      </c>
      <c r="B35" s="390"/>
      <c r="C35" s="390"/>
    </row>
    <row r="36" spans="1:3" s="371" customFormat="1" x14ac:dyDescent="0.25">
      <c r="A36" s="391">
        <v>30</v>
      </c>
      <c r="B36" s="390"/>
      <c r="C36" s="390"/>
    </row>
    <row r="37" spans="1:3" s="371" customFormat="1" x14ac:dyDescent="0.25">
      <c r="A37" s="391">
        <v>31</v>
      </c>
      <c r="B37" s="390"/>
      <c r="C37" s="390"/>
    </row>
    <row r="38" spans="1:3" s="371" customFormat="1" x14ac:dyDescent="0.25">
      <c r="A38" s="391">
        <v>32</v>
      </c>
      <c r="B38" s="390"/>
      <c r="C38" s="390"/>
    </row>
    <row r="39" spans="1:3" s="371" customFormat="1" x14ac:dyDescent="0.25">
      <c r="A39" s="391">
        <v>33</v>
      </c>
      <c r="B39" s="390"/>
      <c r="C39" s="390"/>
    </row>
    <row r="40" spans="1:3" s="371" customFormat="1" x14ac:dyDescent="0.25">
      <c r="A40" s="391">
        <v>34</v>
      </c>
      <c r="B40" s="390"/>
      <c r="C40" s="390"/>
    </row>
    <row r="41" spans="1:3" s="371" customFormat="1" x14ac:dyDescent="0.25">
      <c r="A41" s="391">
        <v>35</v>
      </c>
      <c r="B41" s="390"/>
      <c r="C41" s="390"/>
    </row>
    <row r="42" spans="1:3" s="371" customFormat="1" x14ac:dyDescent="0.25">
      <c r="A42" s="391">
        <v>36</v>
      </c>
      <c r="B42" s="390"/>
      <c r="C42" s="390"/>
    </row>
    <row r="43" spans="1:3" s="371" customFormat="1" x14ac:dyDescent="0.25">
      <c r="A43" s="391">
        <v>37</v>
      </c>
      <c r="B43" s="390"/>
      <c r="C43" s="390"/>
    </row>
    <row r="44" spans="1:3" s="371" customFormat="1" x14ac:dyDescent="0.25">
      <c r="A44" s="391">
        <v>38</v>
      </c>
      <c r="B44" s="390"/>
      <c r="C44" s="390"/>
    </row>
    <row r="45" spans="1:3" s="371" customFormat="1" x14ac:dyDescent="0.25">
      <c r="A45" s="391">
        <v>39</v>
      </c>
      <c r="B45" s="390"/>
      <c r="C45" s="390"/>
    </row>
    <row r="46" spans="1:3" s="371" customFormat="1" x14ac:dyDescent="0.25">
      <c r="A46" s="391">
        <v>40</v>
      </c>
      <c r="B46" s="390"/>
      <c r="C46" s="390"/>
    </row>
    <row r="47" spans="1:3" s="371" customFormat="1" x14ac:dyDescent="0.25">
      <c r="A47" s="391">
        <v>41</v>
      </c>
      <c r="B47" s="390"/>
      <c r="C47" s="390"/>
    </row>
    <row r="48" spans="1:3" s="371" customFormat="1" x14ac:dyDescent="0.25">
      <c r="A48" s="391">
        <v>42</v>
      </c>
      <c r="B48" s="390"/>
      <c r="C48" s="390"/>
    </row>
    <row r="49" spans="1:3" s="371" customFormat="1" x14ac:dyDescent="0.25">
      <c r="A49" s="391">
        <v>43</v>
      </c>
      <c r="B49" s="390"/>
      <c r="C49" s="390"/>
    </row>
    <row r="50" spans="1:3" s="371" customFormat="1" x14ac:dyDescent="0.25">
      <c r="A50" s="391">
        <v>44</v>
      </c>
      <c r="B50" s="390"/>
      <c r="C50" s="390"/>
    </row>
    <row r="51" spans="1:3" s="371" customFormat="1" x14ac:dyDescent="0.25">
      <c r="A51" s="391">
        <v>45</v>
      </c>
      <c r="B51" s="390"/>
      <c r="C51" s="390"/>
    </row>
    <row r="52" spans="1:3" s="371" customFormat="1" x14ac:dyDescent="0.25">
      <c r="A52" s="391">
        <v>46</v>
      </c>
      <c r="B52" s="390"/>
      <c r="C52" s="390"/>
    </row>
    <row r="53" spans="1:3" s="371" customFormat="1" x14ac:dyDescent="0.25">
      <c r="A53" s="391">
        <v>47</v>
      </c>
      <c r="B53" s="390"/>
      <c r="C53" s="390"/>
    </row>
    <row r="54" spans="1:3" s="371" customFormat="1" x14ac:dyDescent="0.25">
      <c r="A54" s="391">
        <v>48</v>
      </c>
      <c r="B54" s="390"/>
      <c r="C54" s="390"/>
    </row>
    <row r="55" spans="1:3" s="371" customFormat="1" x14ac:dyDescent="0.25">
      <c r="A55" s="391">
        <v>49</v>
      </c>
      <c r="B55" s="390"/>
      <c r="C55" s="390"/>
    </row>
    <row r="56" spans="1:3" s="371" customFormat="1" x14ac:dyDescent="0.25">
      <c r="A56" s="391">
        <v>50</v>
      </c>
      <c r="B56" s="390"/>
      <c r="C56" s="390"/>
    </row>
    <row r="57" spans="1:3" s="371" customFormat="1" x14ac:dyDescent="0.25">
      <c r="A57" s="391">
        <v>51</v>
      </c>
      <c r="B57" s="390"/>
      <c r="C57" s="390"/>
    </row>
    <row r="58" spans="1:3" s="371" customFormat="1" x14ac:dyDescent="0.25">
      <c r="A58" s="391">
        <v>52</v>
      </c>
      <c r="B58" s="390"/>
      <c r="C58" s="390"/>
    </row>
    <row r="59" spans="1:3" s="371" customFormat="1" x14ac:dyDescent="0.25">
      <c r="A59" s="391">
        <v>53</v>
      </c>
      <c r="B59" s="390"/>
      <c r="C59" s="390"/>
    </row>
    <row r="60" spans="1:3" s="371" customFormat="1" x14ac:dyDescent="0.25">
      <c r="A60" s="391">
        <v>54</v>
      </c>
      <c r="B60" s="390"/>
      <c r="C60" s="390"/>
    </row>
    <row r="61" spans="1:3" s="371" customFormat="1" x14ac:dyDescent="0.25">
      <c r="A61" s="391">
        <v>55</v>
      </c>
      <c r="B61" s="390"/>
      <c r="C61" s="390"/>
    </row>
    <row r="62" spans="1:3" s="371" customFormat="1" x14ac:dyDescent="0.25">
      <c r="A62" s="391">
        <v>56</v>
      </c>
      <c r="B62" s="390"/>
      <c r="C62" s="390"/>
    </row>
    <row r="63" spans="1:3" s="371" customFormat="1" x14ac:dyDescent="0.25">
      <c r="A63" s="391">
        <v>57</v>
      </c>
      <c r="B63" s="390"/>
      <c r="C63" s="390"/>
    </row>
    <row r="64" spans="1:3" s="371" customFormat="1" x14ac:dyDescent="0.25">
      <c r="A64" s="391">
        <v>58</v>
      </c>
      <c r="B64" s="390"/>
      <c r="C64" s="390"/>
    </row>
    <row r="65" spans="1:3" s="371" customFormat="1" x14ac:dyDescent="0.25">
      <c r="A65" s="391">
        <v>59</v>
      </c>
      <c r="B65" s="390"/>
      <c r="C65" s="390"/>
    </row>
    <row r="66" spans="1:3" s="371" customFormat="1" x14ac:dyDescent="0.25">
      <c r="A66" s="391">
        <v>60</v>
      </c>
      <c r="B66" s="390"/>
      <c r="C66" s="390"/>
    </row>
    <row r="67" spans="1:3" s="371" customFormat="1" x14ac:dyDescent="0.25">
      <c r="A67" s="391">
        <v>61</v>
      </c>
      <c r="B67" s="390"/>
      <c r="C67" s="390"/>
    </row>
    <row r="68" spans="1:3" s="371" customFormat="1" x14ac:dyDescent="0.25">
      <c r="A68" s="391">
        <v>62</v>
      </c>
      <c r="B68" s="390"/>
      <c r="C68" s="390"/>
    </row>
    <row r="69" spans="1:3" s="371" customFormat="1" x14ac:dyDescent="0.25">
      <c r="A69" s="391">
        <v>63</v>
      </c>
      <c r="B69" s="390"/>
      <c r="C69" s="390"/>
    </row>
    <row r="70" spans="1:3" s="371" customFormat="1" x14ac:dyDescent="0.25">
      <c r="A70" s="391">
        <v>64</v>
      </c>
      <c r="B70" s="390"/>
      <c r="C70" s="390"/>
    </row>
    <row r="71" spans="1:3" s="371" customFormat="1" x14ac:dyDescent="0.25">
      <c r="A71" s="391">
        <v>65</v>
      </c>
      <c r="B71" s="390"/>
      <c r="C71" s="390"/>
    </row>
    <row r="72" spans="1:3" s="371" customFormat="1" x14ac:dyDescent="0.25">
      <c r="A72" s="391">
        <v>66</v>
      </c>
      <c r="B72" s="390"/>
      <c r="C72" s="390"/>
    </row>
    <row r="73" spans="1:3" s="371" customFormat="1" x14ac:dyDescent="0.25">
      <c r="A73" s="391">
        <v>67</v>
      </c>
      <c r="B73" s="390"/>
      <c r="C73" s="390"/>
    </row>
    <row r="74" spans="1:3" s="371" customFormat="1" x14ac:dyDescent="0.25">
      <c r="A74" s="391">
        <v>68</v>
      </c>
      <c r="B74" s="390"/>
      <c r="C74" s="390"/>
    </row>
    <row r="75" spans="1:3" s="371" customFormat="1" x14ac:dyDescent="0.25">
      <c r="A75" s="391">
        <v>69</v>
      </c>
      <c r="B75" s="390"/>
      <c r="C75" s="390"/>
    </row>
    <row r="76" spans="1:3" s="371" customFormat="1" x14ac:dyDescent="0.25">
      <c r="A76" s="391">
        <v>70</v>
      </c>
      <c r="B76" s="390"/>
      <c r="C76" s="390"/>
    </row>
    <row r="77" spans="1:3" s="371" customFormat="1" x14ac:dyDescent="0.25">
      <c r="A77" s="391">
        <v>71</v>
      </c>
      <c r="B77" s="390"/>
      <c r="C77" s="390"/>
    </row>
    <row r="78" spans="1:3" s="371" customFormat="1" x14ac:dyDescent="0.25">
      <c r="A78" s="391">
        <v>72</v>
      </c>
      <c r="B78" s="390"/>
      <c r="C78" s="390"/>
    </row>
    <row r="79" spans="1:3" s="371" customFormat="1" x14ac:dyDescent="0.25">
      <c r="A79" s="391">
        <v>73</v>
      </c>
      <c r="B79" s="390"/>
      <c r="C79" s="390"/>
    </row>
    <row r="80" spans="1:3" s="371" customFormat="1" x14ac:dyDescent="0.25">
      <c r="A80" s="391">
        <v>74</v>
      </c>
      <c r="B80" s="390"/>
      <c r="C80" s="390"/>
    </row>
    <row r="81" spans="1:3" s="371" customFormat="1" x14ac:dyDescent="0.25">
      <c r="A81" s="391">
        <v>75</v>
      </c>
      <c r="B81" s="390"/>
      <c r="C81" s="390"/>
    </row>
    <row r="82" spans="1:3" s="371" customFormat="1" x14ac:dyDescent="0.25">
      <c r="A82" s="391">
        <v>76</v>
      </c>
      <c r="B82" s="390"/>
      <c r="C82" s="390"/>
    </row>
    <row r="83" spans="1:3" s="371" customFormat="1" x14ac:dyDescent="0.25">
      <c r="A83" s="391">
        <v>77</v>
      </c>
      <c r="B83" s="390"/>
      <c r="C83" s="390"/>
    </row>
    <row r="84" spans="1:3" s="371" customFormat="1" x14ac:dyDescent="0.25">
      <c r="A84" s="391">
        <v>78</v>
      </c>
      <c r="B84" s="390"/>
      <c r="C84" s="390"/>
    </row>
    <row r="85" spans="1:3" s="371" customFormat="1" x14ac:dyDescent="0.25">
      <c r="A85" s="391">
        <v>79</v>
      </c>
      <c r="B85" s="390"/>
      <c r="C85" s="390"/>
    </row>
    <row r="86" spans="1:3" s="371" customFormat="1" x14ac:dyDescent="0.25">
      <c r="A86" s="391">
        <v>80</v>
      </c>
      <c r="B86" s="390"/>
      <c r="C86" s="390"/>
    </row>
    <row r="87" spans="1:3" s="371" customFormat="1" x14ac:dyDescent="0.25">
      <c r="A87" s="391">
        <v>81</v>
      </c>
      <c r="B87" s="390"/>
      <c r="C87" s="390"/>
    </row>
    <row r="88" spans="1:3" s="371" customFormat="1" x14ac:dyDescent="0.25">
      <c r="A88" s="391">
        <v>82</v>
      </c>
      <c r="B88" s="390"/>
      <c r="C88" s="390"/>
    </row>
    <row r="89" spans="1:3" s="371" customFormat="1" x14ac:dyDescent="0.25">
      <c r="A89" s="391">
        <v>83</v>
      </c>
      <c r="B89" s="390"/>
      <c r="C89" s="390"/>
    </row>
    <row r="90" spans="1:3" s="371" customFormat="1" x14ac:dyDescent="0.25">
      <c r="A90" s="391">
        <v>84</v>
      </c>
      <c r="B90" s="390"/>
      <c r="C90" s="390"/>
    </row>
    <row r="91" spans="1:3" s="371" customFormat="1" x14ac:dyDescent="0.25">
      <c r="A91" s="391">
        <v>85</v>
      </c>
      <c r="B91" s="390"/>
      <c r="C91" s="390"/>
    </row>
    <row r="92" spans="1:3" s="371" customFormat="1" x14ac:dyDescent="0.25">
      <c r="A92" s="391">
        <v>86</v>
      </c>
      <c r="B92" s="390"/>
      <c r="C92" s="390"/>
    </row>
    <row r="93" spans="1:3" s="371" customFormat="1" x14ac:dyDescent="0.25">
      <c r="A93" s="391">
        <v>87</v>
      </c>
      <c r="B93" s="390"/>
      <c r="C93" s="390"/>
    </row>
    <row r="94" spans="1:3" s="371" customFormat="1" x14ac:dyDescent="0.25">
      <c r="A94" s="391">
        <v>88</v>
      </c>
      <c r="B94" s="390"/>
      <c r="C94" s="390"/>
    </row>
    <row r="95" spans="1:3" s="371" customFormat="1" x14ac:dyDescent="0.25">
      <c r="A95" s="391">
        <v>89</v>
      </c>
      <c r="B95" s="390"/>
      <c r="C95" s="390"/>
    </row>
    <row r="96" spans="1:3" s="371" customFormat="1" x14ac:dyDescent="0.25">
      <c r="A96" s="391">
        <v>90</v>
      </c>
      <c r="B96" s="390"/>
      <c r="C96" s="390"/>
    </row>
    <row r="97" spans="1:3" s="371" customFormat="1" x14ac:dyDescent="0.25">
      <c r="A97" s="391">
        <v>91</v>
      </c>
      <c r="B97" s="390"/>
      <c r="C97" s="390"/>
    </row>
    <row r="98" spans="1:3" s="371" customFormat="1" x14ac:dyDescent="0.25">
      <c r="A98" s="391">
        <v>92</v>
      </c>
      <c r="B98" s="390"/>
      <c r="C98" s="390"/>
    </row>
    <row r="99" spans="1:3" s="371" customFormat="1" x14ac:dyDescent="0.25">
      <c r="A99" s="391">
        <v>93</v>
      </c>
      <c r="B99" s="390"/>
      <c r="C99" s="390"/>
    </row>
    <row r="100" spans="1:3" s="371" customFormat="1" x14ac:dyDescent="0.25">
      <c r="A100" s="391">
        <v>94</v>
      </c>
      <c r="B100" s="390"/>
      <c r="C100" s="390"/>
    </row>
    <row r="101" spans="1:3" s="371" customFormat="1" x14ac:dyDescent="0.25">
      <c r="A101" s="391">
        <v>95</v>
      </c>
      <c r="B101" s="390"/>
      <c r="C101" s="390"/>
    </row>
    <row r="102" spans="1:3" s="371" customFormat="1" x14ac:dyDescent="0.25">
      <c r="A102" s="391">
        <v>96</v>
      </c>
      <c r="B102" s="390"/>
      <c r="C102" s="390"/>
    </row>
    <row r="103" spans="1:3" s="371" customFormat="1" x14ac:dyDescent="0.25">
      <c r="A103" s="391">
        <v>97</v>
      </c>
      <c r="B103" s="390"/>
      <c r="C103" s="390"/>
    </row>
    <row r="104" spans="1:3" s="371" customFormat="1" x14ac:dyDescent="0.25">
      <c r="A104" s="391">
        <v>98</v>
      </c>
      <c r="B104" s="390"/>
      <c r="C104" s="390"/>
    </row>
    <row r="105" spans="1:3" s="371" customFormat="1" x14ac:dyDescent="0.25">
      <c r="A105" s="391">
        <v>99</v>
      </c>
      <c r="B105" s="390"/>
      <c r="C105" s="390"/>
    </row>
    <row r="106" spans="1:3" s="371" customFormat="1" x14ac:dyDescent="0.25">
      <c r="A106" s="391">
        <v>100</v>
      </c>
      <c r="B106" s="390"/>
      <c r="C106" s="390"/>
    </row>
    <row r="107" spans="1:3" s="371" customFormat="1" x14ac:dyDescent="0.25">
      <c r="A107" s="391">
        <v>101</v>
      </c>
      <c r="B107" s="390"/>
      <c r="C107" s="390"/>
    </row>
    <row r="108" spans="1:3" s="371" customFormat="1" x14ac:dyDescent="0.25">
      <c r="A108" s="391">
        <v>102</v>
      </c>
      <c r="B108" s="390"/>
      <c r="C108" s="390"/>
    </row>
    <row r="109" spans="1:3" s="371" customFormat="1" x14ac:dyDescent="0.25">
      <c r="A109" s="391">
        <v>103</v>
      </c>
      <c r="B109" s="390"/>
      <c r="C109" s="390"/>
    </row>
    <row r="110" spans="1:3" x14ac:dyDescent="0.2">
      <c r="A110" s="389"/>
      <c r="B110" s="389"/>
      <c r="C110" s="389"/>
    </row>
    <row r="111" spans="1:3" x14ac:dyDescent="0.2">
      <c r="A111" s="389"/>
      <c r="B111" s="389"/>
      <c r="C111" s="389"/>
    </row>
    <row r="112" spans="1:3" x14ac:dyDescent="0.2">
      <c r="A112" s="389"/>
      <c r="B112" s="389"/>
      <c r="C112" s="389"/>
    </row>
    <row r="113" spans="1:3" x14ac:dyDescent="0.2">
      <c r="A113" s="389"/>
      <c r="B113" s="389"/>
      <c r="C113" s="389"/>
    </row>
    <row r="114" spans="1:3" x14ac:dyDescent="0.2">
      <c r="A114" s="389"/>
      <c r="B114" s="389"/>
      <c r="C114" s="389"/>
    </row>
    <row r="115" spans="1:3" x14ac:dyDescent="0.2">
      <c r="A115" s="389"/>
      <c r="B115" s="389"/>
      <c r="C115" s="389"/>
    </row>
    <row r="116" spans="1:3" x14ac:dyDescent="0.2">
      <c r="A116" s="389"/>
      <c r="B116" s="389"/>
      <c r="C116" s="389"/>
    </row>
    <row r="117" spans="1:3" x14ac:dyDescent="0.2">
      <c r="A117" s="389"/>
      <c r="B117" s="389"/>
      <c r="C117" s="389"/>
    </row>
    <row r="118" spans="1:3" x14ac:dyDescent="0.2">
      <c r="A118" s="389"/>
      <c r="B118" s="389"/>
      <c r="C118" s="389"/>
    </row>
    <row r="119" spans="1:3" x14ac:dyDescent="0.2">
      <c r="A119" s="389"/>
      <c r="B119" s="389"/>
      <c r="C119" s="389"/>
    </row>
    <row r="120" spans="1:3" x14ac:dyDescent="0.2">
      <c r="A120" s="389"/>
      <c r="B120" s="389"/>
      <c r="C120" s="389"/>
    </row>
    <row r="121" spans="1:3" x14ac:dyDescent="0.2">
      <c r="A121" s="389"/>
      <c r="B121" s="389"/>
      <c r="C121" s="389"/>
    </row>
    <row r="122" spans="1:3" x14ac:dyDescent="0.2">
      <c r="A122" s="389"/>
      <c r="B122" s="389"/>
      <c r="C122" s="389"/>
    </row>
    <row r="123" spans="1:3" x14ac:dyDescent="0.2">
      <c r="A123" s="389"/>
      <c r="B123" s="389"/>
      <c r="C123" s="389"/>
    </row>
    <row r="124" spans="1:3" x14ac:dyDescent="0.2">
      <c r="A124" s="389"/>
      <c r="B124" s="389"/>
      <c r="C124" s="389"/>
    </row>
    <row r="125" spans="1:3" x14ac:dyDescent="0.2">
      <c r="A125" s="389"/>
      <c r="B125" s="389"/>
      <c r="C125" s="389"/>
    </row>
    <row r="126" spans="1:3" x14ac:dyDescent="0.2">
      <c r="A126" s="389"/>
      <c r="B126" s="389"/>
      <c r="C126" s="389"/>
    </row>
    <row r="127" spans="1:3" x14ac:dyDescent="0.2">
      <c r="A127" s="389"/>
      <c r="B127" s="389"/>
      <c r="C127" s="389"/>
    </row>
    <row r="128" spans="1:3" x14ac:dyDescent="0.2">
      <c r="A128" s="389"/>
      <c r="B128" s="389"/>
      <c r="C128" s="389"/>
    </row>
    <row r="129" spans="1:3" x14ac:dyDescent="0.2">
      <c r="A129" s="389"/>
      <c r="B129" s="389"/>
      <c r="C129" s="389"/>
    </row>
    <row r="130" spans="1:3" x14ac:dyDescent="0.2">
      <c r="A130" s="389"/>
      <c r="B130" s="389"/>
      <c r="C130" s="389"/>
    </row>
    <row r="131" spans="1:3" x14ac:dyDescent="0.2">
      <c r="A131" s="389"/>
      <c r="B131" s="389"/>
      <c r="C131" s="389"/>
    </row>
    <row r="132" spans="1:3" x14ac:dyDescent="0.2">
      <c r="A132" s="389"/>
      <c r="B132" s="389"/>
      <c r="C132" s="389"/>
    </row>
    <row r="133" spans="1:3" x14ac:dyDescent="0.2">
      <c r="A133" s="389"/>
      <c r="B133" s="389"/>
      <c r="C133" s="389"/>
    </row>
    <row r="134" spans="1:3" x14ac:dyDescent="0.2">
      <c r="A134" s="389"/>
      <c r="B134" s="389"/>
      <c r="C134" s="389"/>
    </row>
    <row r="135" spans="1:3" x14ac:dyDescent="0.2">
      <c r="A135" s="389"/>
      <c r="B135" s="389"/>
      <c r="C135" s="389"/>
    </row>
    <row r="136" spans="1:3" x14ac:dyDescent="0.2">
      <c r="A136" s="389"/>
      <c r="B136" s="389"/>
      <c r="C136" s="389"/>
    </row>
    <row r="137" spans="1:3" x14ac:dyDescent="0.2">
      <c r="A137" s="389"/>
      <c r="B137" s="389"/>
      <c r="C137" s="389"/>
    </row>
    <row r="138" spans="1:3" x14ac:dyDescent="0.2">
      <c r="A138" s="389"/>
      <c r="B138" s="389"/>
      <c r="C138" s="389"/>
    </row>
    <row r="139" spans="1:3" x14ac:dyDescent="0.2">
      <c r="A139" s="389"/>
      <c r="B139" s="389"/>
      <c r="C139" s="389"/>
    </row>
    <row r="140" spans="1:3" x14ac:dyDescent="0.2">
      <c r="A140" s="389"/>
      <c r="B140" s="389"/>
      <c r="C140" s="389"/>
    </row>
    <row r="141" spans="1:3" x14ac:dyDescent="0.2">
      <c r="A141" s="389"/>
      <c r="B141" s="389"/>
      <c r="C141" s="389"/>
    </row>
    <row r="142" spans="1:3" x14ac:dyDescent="0.2">
      <c r="A142" s="389"/>
      <c r="B142" s="389"/>
      <c r="C142" s="389"/>
    </row>
    <row r="143" spans="1:3" x14ac:dyDescent="0.2">
      <c r="A143" s="389"/>
      <c r="B143" s="389"/>
      <c r="C143" s="389"/>
    </row>
    <row r="144" spans="1:3" x14ac:dyDescent="0.2">
      <c r="A144" s="389"/>
      <c r="B144" s="389"/>
      <c r="C144" s="389"/>
    </row>
    <row r="145" spans="1:3" x14ac:dyDescent="0.2">
      <c r="A145" s="389"/>
      <c r="B145" s="389"/>
      <c r="C145" s="389"/>
    </row>
    <row r="146" spans="1:3" x14ac:dyDescent="0.2">
      <c r="A146" s="389"/>
      <c r="B146" s="389"/>
      <c r="C146" s="389"/>
    </row>
    <row r="147" spans="1:3" x14ac:dyDescent="0.2">
      <c r="A147" s="389"/>
      <c r="B147" s="389"/>
      <c r="C147" s="389"/>
    </row>
    <row r="148" spans="1:3" x14ac:dyDescent="0.2">
      <c r="A148" s="389"/>
      <c r="B148" s="389"/>
      <c r="C148" s="389"/>
    </row>
    <row r="149" spans="1:3" x14ac:dyDescent="0.2">
      <c r="A149" s="389"/>
      <c r="B149" s="389"/>
      <c r="C149" s="389"/>
    </row>
    <row r="150" spans="1:3" x14ac:dyDescent="0.2">
      <c r="A150" s="389"/>
      <c r="B150" s="389"/>
      <c r="C150" s="389"/>
    </row>
  </sheetData>
  <sheetProtection sheet="1" objects="1" scenarios="1" formatColumns="0" formatRows="0"/>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4">
    <tabColor rgb="FFFFFF00"/>
  </sheetPr>
  <dimension ref="A1:A16"/>
  <sheetViews>
    <sheetView workbookViewId="0"/>
  </sheetViews>
  <sheetFormatPr defaultRowHeight="15" x14ac:dyDescent="0.25"/>
  <cols>
    <col min="1" max="1" width="165.28515625" customWidth="1"/>
  </cols>
  <sheetData>
    <row r="1" spans="1:1" x14ac:dyDescent="0.25">
      <c r="A1" s="396" t="str">
        <f>'alb A - Staff data'!$A$1</f>
        <v>enter HSC Body name here</v>
      </c>
    </row>
    <row r="3" spans="1:1" x14ac:dyDescent="0.25">
      <c r="A3" s="1306" t="s">
        <v>2087</v>
      </c>
    </row>
    <row r="4" spans="1:1" x14ac:dyDescent="0.25">
      <c r="A4" s="1307" t="s">
        <v>2088</v>
      </c>
    </row>
    <row r="5" spans="1:1" x14ac:dyDescent="0.25">
      <c r="A5" s="1307" t="s">
        <v>2089</v>
      </c>
    </row>
    <row r="6" spans="1:1" x14ac:dyDescent="0.25">
      <c r="A6" s="7" t="s">
        <v>2855</v>
      </c>
    </row>
    <row r="8" spans="1:1" x14ac:dyDescent="0.25">
      <c r="A8" s="1308" t="s">
        <v>2090</v>
      </c>
    </row>
    <row r="9" spans="1:1" x14ac:dyDescent="0.25">
      <c r="A9" s="1309" t="s">
        <v>2856</v>
      </c>
    </row>
    <row r="10" spans="1:1" x14ac:dyDescent="0.25">
      <c r="A10" s="1309" t="s">
        <v>2091</v>
      </c>
    </row>
    <row r="11" spans="1:1" x14ac:dyDescent="0.25">
      <c r="A11" s="1309" t="s">
        <v>2092</v>
      </c>
    </row>
    <row r="12" spans="1:1" x14ac:dyDescent="0.25">
      <c r="A12" s="1310"/>
    </row>
    <row r="13" spans="1:1" x14ac:dyDescent="0.25">
      <c r="A13" s="1307" t="s">
        <v>2093</v>
      </c>
    </row>
    <row r="14" spans="1:1" x14ac:dyDescent="0.25">
      <c r="A14" s="1307" t="s">
        <v>2094</v>
      </c>
    </row>
    <row r="15" spans="1:1" x14ac:dyDescent="0.25">
      <c r="A15" s="1307"/>
    </row>
    <row r="16" spans="1:1" x14ac:dyDescent="0.25">
      <c r="A16" s="1307" t="s">
        <v>2095</v>
      </c>
    </row>
  </sheetData>
  <pageMargins left="0.7" right="0.7" top="0.75" bottom="0.75" header="0.3" footer="0.3"/>
  <pageSetup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1">
    <tabColor rgb="FFFFFF00"/>
    <pageSetUpPr fitToPage="1"/>
  </sheetPr>
  <dimension ref="A1:I119"/>
  <sheetViews>
    <sheetView zoomScaleNormal="100" workbookViewId="0"/>
  </sheetViews>
  <sheetFormatPr defaultColWidth="9.140625" defaultRowHeight="12.75" customHeight="1" outlineLevelRow="1" x14ac:dyDescent="0.2"/>
  <cols>
    <col min="1" max="1" width="5.85546875" style="397" customWidth="1"/>
    <col min="2" max="2" width="15.42578125" style="397" customWidth="1"/>
    <col min="3" max="3" width="55" style="397" customWidth="1"/>
    <col min="4" max="5" width="12.7109375" style="397" customWidth="1"/>
    <col min="6" max="6" width="10.42578125" style="397" bestFit="1" customWidth="1"/>
    <col min="7" max="9" width="12.7109375" style="397" bestFit="1" customWidth="1"/>
    <col min="10" max="16384" width="9.140625" style="397"/>
  </cols>
  <sheetData>
    <row r="1" spans="1:8" ht="14.65" customHeight="1" x14ac:dyDescent="0.2">
      <c r="A1" s="449" t="str">
        <f>'alb Instructions'!$B$20</f>
        <v>enter HSC Body name here</v>
      </c>
      <c r="B1" s="449"/>
      <c r="C1" s="449"/>
      <c r="D1" s="449"/>
      <c r="E1" s="449"/>
      <c r="F1" s="449"/>
    </row>
    <row r="2" spans="1:8" ht="12.75" customHeight="1" x14ac:dyDescent="0.25">
      <c r="A2" s="448"/>
      <c r="B2" s="447"/>
      <c r="C2" s="447"/>
      <c r="D2" s="446"/>
      <c r="E2" s="446"/>
    </row>
    <row r="3" spans="1:8" ht="12.75" customHeight="1" x14ac:dyDescent="0.2">
      <c r="A3" s="445" t="s">
        <v>911</v>
      </c>
      <c r="B3" s="388"/>
      <c r="C3" s="388"/>
    </row>
    <row r="4" spans="1:8" ht="12.75" customHeight="1" x14ac:dyDescent="0.2">
      <c r="A4" s="388"/>
      <c r="B4" s="388"/>
      <c r="C4" s="388"/>
    </row>
    <row r="5" spans="1:8" ht="12.75" customHeight="1" x14ac:dyDescent="0.2">
      <c r="A5" s="388" t="s">
        <v>912</v>
      </c>
      <c r="B5" s="388"/>
      <c r="C5" s="388"/>
    </row>
    <row r="7" spans="1:8" ht="12.75" customHeight="1" x14ac:dyDescent="0.2">
      <c r="B7" s="2128" t="s">
        <v>1727</v>
      </c>
      <c r="C7" s="2129"/>
      <c r="D7" s="1921" t="str">
        <f>Update!$B$13</f>
        <v>2025-26</v>
      </c>
      <c r="E7" s="1922"/>
      <c r="F7" s="945" t="str">
        <f>Update!$B$15</f>
        <v>2024-25</v>
      </c>
    </row>
    <row r="8" spans="1:8" ht="28.5" customHeight="1" x14ac:dyDescent="0.2">
      <c r="B8" s="2130"/>
      <c r="C8" s="2131"/>
      <c r="D8" s="444" t="s">
        <v>913</v>
      </c>
      <c r="E8" s="977" t="s">
        <v>462</v>
      </c>
      <c r="F8" s="977"/>
    </row>
    <row r="9" spans="1:8" ht="12.75" customHeight="1" x14ac:dyDescent="0.2">
      <c r="B9" s="440"/>
      <c r="C9" s="381"/>
      <c r="D9" s="432"/>
      <c r="E9" s="431"/>
      <c r="F9" s="431"/>
    </row>
    <row r="10" spans="1:8" ht="18" customHeight="1" x14ac:dyDescent="0.25">
      <c r="B10" s="1068" t="s">
        <v>1707</v>
      </c>
      <c r="C10" s="443"/>
      <c r="D10" s="682"/>
      <c r="E10" s="978"/>
      <c r="F10" s="682"/>
      <c r="G10" s="1666" t="str">
        <f>IF(ISBLANK(D10),"Input required","Ok")</f>
        <v>Input required</v>
      </c>
      <c r="H10" s="1666" t="str">
        <f>IF(ISBLANK(F10),"Input required","Ok")</f>
        <v>Input required</v>
      </c>
    </row>
    <row r="11" spans="1:8" ht="18" customHeight="1" x14ac:dyDescent="0.25">
      <c r="B11" s="1069" t="s">
        <v>1708</v>
      </c>
      <c r="C11" s="957"/>
      <c r="D11" s="978"/>
      <c r="E11" s="682"/>
      <c r="F11" s="682"/>
      <c r="G11" s="1666" t="str">
        <f>IF(ISBLANK(E11),"Input required","Ok")</f>
        <v>Input required</v>
      </c>
      <c r="H11" s="1666" t="str">
        <f>IF(ISBLANK(F11),"Input required","Ok")</f>
        <v>Input required</v>
      </c>
    </row>
    <row r="13" spans="1:8" ht="16.149999999999999" customHeight="1" thickBot="1" x14ac:dyDescent="0.3">
      <c r="A13" s="388"/>
      <c r="B13" s="1021" t="s">
        <v>2609</v>
      </c>
    </row>
    <row r="14" spans="1:8" ht="27" customHeight="1" x14ac:dyDescent="0.2">
      <c r="B14" s="1054" t="s">
        <v>2610</v>
      </c>
      <c r="C14" s="1055"/>
      <c r="D14" s="444" t="s">
        <v>913</v>
      </c>
      <c r="E14" s="969" t="str">
        <f>+D7</f>
        <v>2025-26</v>
      </c>
      <c r="F14" s="969" t="str">
        <f>+F7</f>
        <v>2024-25</v>
      </c>
    </row>
    <row r="15" spans="1:8" ht="12.75" customHeight="1" x14ac:dyDescent="0.2">
      <c r="B15" s="970"/>
      <c r="C15" s="381"/>
      <c r="D15" s="958"/>
      <c r="E15" s="977" t="s">
        <v>462</v>
      </c>
      <c r="F15" s="977" t="s">
        <v>462</v>
      </c>
    </row>
    <row r="16" spans="1:8" ht="12.75" customHeight="1" x14ac:dyDescent="0.2">
      <c r="B16" s="970"/>
      <c r="C16" s="381"/>
      <c r="D16" s="432"/>
      <c r="E16" s="431"/>
      <c r="F16" s="431"/>
    </row>
    <row r="17" spans="2:9" ht="12.75" customHeight="1" x14ac:dyDescent="0.25">
      <c r="B17" s="970" t="s">
        <v>410</v>
      </c>
      <c r="D17" s="682"/>
      <c r="E17" s="682"/>
      <c r="F17" s="682"/>
      <c r="G17" s="1666" t="str">
        <f>IF(ISBLANK(D17),"Input required","Ok")</f>
        <v>Input required</v>
      </c>
      <c r="H17" s="1666" t="str">
        <f>IF(ISBLANK(E17),"Input required","Ok")</f>
        <v>Input required</v>
      </c>
      <c r="I17" s="1666" t="str">
        <f>IF(ISBLANK(F17),"Input required","Ok")</f>
        <v>Input required</v>
      </c>
    </row>
    <row r="18" spans="2:9" ht="12.75" customHeight="1" x14ac:dyDescent="0.2">
      <c r="B18" s="972"/>
      <c r="D18" s="432"/>
      <c r="E18" s="432"/>
      <c r="F18" s="432"/>
    </row>
    <row r="19" spans="2:9" ht="12.75" customHeight="1" x14ac:dyDescent="0.25">
      <c r="B19" s="972" t="s">
        <v>411</v>
      </c>
      <c r="D19" s="682"/>
      <c r="E19" s="682"/>
      <c r="F19" s="682"/>
      <c r="G19" s="1666" t="str">
        <f>IF(ISBLANK(D19),"Input required","Ok")</f>
        <v>Input required</v>
      </c>
      <c r="H19" s="1666" t="str">
        <f>IF(ISBLANK(E19),"Input required","Ok")</f>
        <v>Input required</v>
      </c>
      <c r="I19" s="1666" t="str">
        <f>IF(ISBLANK(F19),"Input required","Ok")</f>
        <v>Input required</v>
      </c>
    </row>
    <row r="20" spans="2:9" ht="12.75" customHeight="1" x14ac:dyDescent="0.2">
      <c r="B20" s="972"/>
      <c r="D20" s="432"/>
      <c r="E20" s="432"/>
      <c r="F20" s="432"/>
    </row>
    <row r="21" spans="2:9" ht="12.75" customHeight="1" x14ac:dyDescent="0.25">
      <c r="B21" s="972" t="s">
        <v>412</v>
      </c>
      <c r="D21" s="682"/>
      <c r="E21" s="682"/>
      <c r="F21" s="682"/>
      <c r="G21" s="1666" t="str">
        <f>IF(ISBLANK(D21),"Input required","Ok")</f>
        <v>Input required</v>
      </c>
      <c r="H21" s="1666" t="str">
        <f>IF(ISBLANK(E21),"Input required","Ok")</f>
        <v>Input required</v>
      </c>
      <c r="I21" s="1666" t="str">
        <f>IF(ISBLANK(F21),"Input required","Ok")</f>
        <v>Input required</v>
      </c>
    </row>
    <row r="22" spans="2:9" ht="12.75" customHeight="1" x14ac:dyDescent="0.2">
      <c r="B22" s="972"/>
      <c r="D22" s="432"/>
      <c r="E22" s="432"/>
      <c r="F22" s="432"/>
    </row>
    <row r="23" spans="2:9" ht="12.75" customHeight="1" x14ac:dyDescent="0.25">
      <c r="B23" s="972" t="s">
        <v>413</v>
      </c>
      <c r="D23" s="682"/>
      <c r="E23" s="682"/>
      <c r="F23" s="682"/>
      <c r="G23" s="1666" t="str">
        <f>IF(ISBLANK(D23),"Input required","Ok")</f>
        <v>Input required</v>
      </c>
      <c r="H23" s="1666" t="str">
        <f>IF(ISBLANK(E23),"Input required","Ok")</f>
        <v>Input required</v>
      </c>
      <c r="I23" s="1666" t="str">
        <f>IF(ISBLANK(F23),"Input required","Ok")</f>
        <v>Input required</v>
      </c>
    </row>
    <row r="24" spans="2:9" ht="12.75" customHeight="1" x14ac:dyDescent="0.2">
      <c r="B24" s="972"/>
      <c r="D24" s="432"/>
      <c r="E24" s="432"/>
      <c r="F24" s="432"/>
    </row>
    <row r="25" spans="2:9" ht="12.75" customHeight="1" thickBot="1" x14ac:dyDescent="0.3">
      <c r="B25" s="1046" t="s">
        <v>414</v>
      </c>
      <c r="C25" s="973"/>
      <c r="D25" s="682"/>
      <c r="E25" s="682"/>
      <c r="F25" s="682"/>
      <c r="G25" s="1666" t="str">
        <f>IF(ISBLANK(D25),"Input required","Ok")</f>
        <v>Input required</v>
      </c>
      <c r="H25" s="1666" t="str">
        <f>IF(ISBLANK(E25),"Input required","Ok")</f>
        <v>Input required</v>
      </c>
      <c r="I25" s="1666" t="str">
        <f>IF(ISBLANK(F25),"Input required","Ok")</f>
        <v>Input required</v>
      </c>
    </row>
    <row r="26" spans="2:9" ht="12.75" customHeight="1" thickBot="1" x14ac:dyDescent="0.25">
      <c r="B26" s="1032"/>
      <c r="C26" s="1033" t="s">
        <v>1731</v>
      </c>
      <c r="D26" s="1034">
        <f>SUM(D16:D25)</f>
        <v>0</v>
      </c>
      <c r="E26" s="1034">
        <f>SUM(E16:E25)</f>
        <v>0</v>
      </c>
      <c r="F26" s="1034">
        <f>SUM(F16:F25)</f>
        <v>0</v>
      </c>
    </row>
    <row r="27" spans="2:9" ht="12.75" customHeight="1" x14ac:dyDescent="0.2">
      <c r="B27" s="436"/>
      <c r="C27" s="436"/>
      <c r="D27" s="536"/>
      <c r="E27" s="536"/>
      <c r="F27" s="536"/>
    </row>
    <row r="28" spans="2:9" ht="12.75" customHeight="1" x14ac:dyDescent="0.2">
      <c r="B28" s="436"/>
      <c r="C28" s="436"/>
      <c r="D28" s="536"/>
      <c r="E28" s="536"/>
      <c r="F28" s="536"/>
    </row>
    <row r="29" spans="2:9" ht="12.75" customHeight="1" x14ac:dyDescent="0.2">
      <c r="B29" s="436"/>
      <c r="C29" s="436"/>
      <c r="D29" s="536"/>
      <c r="E29" s="536"/>
      <c r="F29" s="536"/>
    </row>
    <row r="30" spans="2:9" ht="12.75" customHeight="1" thickBot="1" x14ac:dyDescent="0.3">
      <c r="B30" s="1021"/>
      <c r="C30" s="436"/>
      <c r="D30" s="536"/>
      <c r="E30" s="536"/>
      <c r="F30" s="536"/>
    </row>
    <row r="31" spans="2:9" ht="25.5" x14ac:dyDescent="0.2">
      <c r="B31" s="1056" t="s">
        <v>415</v>
      </c>
      <c r="C31" s="1057"/>
      <c r="D31" s="976" t="s">
        <v>913</v>
      </c>
      <c r="E31" s="981" t="str">
        <f>$E$14</f>
        <v>2025-26</v>
      </c>
      <c r="F31" s="969" t="str">
        <f>$F$7</f>
        <v>2024-25</v>
      </c>
    </row>
    <row r="32" spans="2:9" ht="12.75" customHeight="1" x14ac:dyDescent="0.2">
      <c r="B32" s="1031"/>
      <c r="C32" s="982"/>
      <c r="D32" s="444"/>
      <c r="E32" s="977" t="s">
        <v>462</v>
      </c>
      <c r="F32" s="977"/>
    </row>
    <row r="33" spans="2:9" ht="12.75" customHeight="1" x14ac:dyDescent="0.25">
      <c r="B33" s="971" t="s">
        <v>1728</v>
      </c>
      <c r="C33" s="443"/>
      <c r="D33" s="682"/>
      <c r="E33" s="978"/>
      <c r="F33" s="682"/>
      <c r="G33" s="1666" t="str">
        <f>IF(ISBLANK(D33),"Input required","Ok")</f>
        <v>Input required</v>
      </c>
      <c r="H33" s="1666" t="str">
        <f>IF(ISBLANK(F33),"Input required","Ok")</f>
        <v>Input required</v>
      </c>
    </row>
    <row r="34" spans="2:9" ht="12.75" customHeight="1" x14ac:dyDescent="0.25">
      <c r="B34" s="975" t="s">
        <v>1729</v>
      </c>
      <c r="C34" s="957"/>
      <c r="D34" s="984"/>
      <c r="E34" s="682"/>
      <c r="F34" s="682"/>
      <c r="G34" s="1666" t="str">
        <f>IF(ISBLANK(E34),"Input required","Ok")</f>
        <v>Input required</v>
      </c>
      <c r="H34" s="1666" t="str">
        <f>IF(ISBLANK(F34),"Input required","Ok")</f>
        <v>Input required</v>
      </c>
    </row>
    <row r="38" spans="2:9" ht="12.75" customHeight="1" thickBot="1" x14ac:dyDescent="0.3">
      <c r="B38" s="1021" t="s">
        <v>2609</v>
      </c>
      <c r="C38" s="436"/>
      <c r="D38" s="979"/>
      <c r="E38" s="980"/>
      <c r="F38" s="980"/>
    </row>
    <row r="39" spans="2:9" ht="35.25" customHeight="1" x14ac:dyDescent="0.2">
      <c r="B39" s="1058" t="s">
        <v>2611</v>
      </c>
      <c r="C39" s="1059"/>
      <c r="D39" s="976" t="s">
        <v>913</v>
      </c>
      <c r="E39" s="981" t="str">
        <f>$E$14</f>
        <v>2025-26</v>
      </c>
      <c r="F39" s="969" t="str">
        <f>$F$7</f>
        <v>2024-25</v>
      </c>
    </row>
    <row r="40" spans="2:9" ht="12.75" customHeight="1" x14ac:dyDescent="0.2">
      <c r="B40" s="437"/>
      <c r="C40" s="436"/>
      <c r="D40" s="444"/>
      <c r="E40" s="977" t="s">
        <v>462</v>
      </c>
      <c r="F40" s="977" t="s">
        <v>462</v>
      </c>
    </row>
    <row r="41" spans="2:9" ht="12.75" customHeight="1" x14ac:dyDescent="0.2">
      <c r="B41" s="437"/>
      <c r="C41" s="436" t="s">
        <v>915</v>
      </c>
      <c r="D41" s="432"/>
      <c r="E41" s="431"/>
      <c r="F41" s="431"/>
    </row>
    <row r="42" spans="2:9" ht="26.25" customHeight="1" x14ac:dyDescent="0.25">
      <c r="B42" s="437"/>
      <c r="C42" s="974" t="s">
        <v>272</v>
      </c>
      <c r="D42" s="682"/>
      <c r="E42" s="682"/>
      <c r="F42" s="682"/>
      <c r="G42" s="1666" t="str">
        <f t="shared" ref="G42:I45" si="0">IF(ISBLANK(D42),"Input required","Ok")</f>
        <v>Input required</v>
      </c>
      <c r="H42" s="1666" t="str">
        <f t="shared" si="0"/>
        <v>Input required</v>
      </c>
      <c r="I42" s="1666" t="str">
        <f t="shared" si="0"/>
        <v>Input required</v>
      </c>
    </row>
    <row r="43" spans="2:9" ht="26.25" customHeight="1" x14ac:dyDescent="0.25">
      <c r="B43" s="437"/>
      <c r="C43" s="974" t="s">
        <v>416</v>
      </c>
      <c r="D43" s="682"/>
      <c r="E43" s="682"/>
      <c r="F43" s="682"/>
      <c r="G43" s="1666" t="str">
        <f t="shared" si="0"/>
        <v>Input required</v>
      </c>
      <c r="H43" s="1666" t="str">
        <f t="shared" si="0"/>
        <v>Input required</v>
      </c>
      <c r="I43" s="1666" t="str">
        <f t="shared" si="0"/>
        <v>Input required</v>
      </c>
    </row>
    <row r="44" spans="2:9" ht="26.25" customHeight="1" x14ac:dyDescent="0.25">
      <c r="B44" s="437"/>
      <c r="C44" s="974" t="s">
        <v>417</v>
      </c>
      <c r="D44" s="682"/>
      <c r="E44" s="682"/>
      <c r="F44" s="682"/>
      <c r="G44" s="1666" t="str">
        <f t="shared" si="0"/>
        <v>Input required</v>
      </c>
      <c r="H44" s="1666" t="str">
        <f t="shared" si="0"/>
        <v>Input required</v>
      </c>
      <c r="I44" s="1666" t="str">
        <f t="shared" si="0"/>
        <v>Input required</v>
      </c>
    </row>
    <row r="45" spans="2:9" ht="26.25" customHeight="1" x14ac:dyDescent="0.25">
      <c r="B45" s="437"/>
      <c r="C45" s="974" t="s">
        <v>910</v>
      </c>
      <c r="D45" s="682"/>
      <c r="E45" s="682"/>
      <c r="F45" s="682"/>
      <c r="G45" s="1666" t="str">
        <f t="shared" si="0"/>
        <v>Input required</v>
      </c>
      <c r="H45" s="1666" t="str">
        <f t="shared" si="0"/>
        <v>Input required</v>
      </c>
      <c r="I45" s="1666" t="str">
        <f t="shared" si="0"/>
        <v>Input required</v>
      </c>
    </row>
    <row r="46" spans="2:9" ht="12.75" customHeight="1" x14ac:dyDescent="0.2">
      <c r="B46" s="437"/>
      <c r="C46" s="436"/>
      <c r="D46" s="438">
        <f>SUM(D42:D45)</f>
        <v>0</v>
      </c>
      <c r="E46" s="438">
        <f>SUM(E42:E45)</f>
        <v>0</v>
      </c>
      <c r="F46" s="438">
        <f>SUM(F42:F45)</f>
        <v>0</v>
      </c>
    </row>
    <row r="47" spans="2:9" ht="12.75" customHeight="1" x14ac:dyDescent="0.2">
      <c r="B47" s="437"/>
      <c r="C47" s="436"/>
      <c r="D47" s="432"/>
      <c r="E47" s="432"/>
      <c r="F47" s="432"/>
    </row>
    <row r="48" spans="2:9" ht="22.5" customHeight="1" x14ac:dyDescent="0.25">
      <c r="B48" s="437"/>
      <c r="C48" s="436" t="s">
        <v>407</v>
      </c>
      <c r="D48" s="682"/>
      <c r="E48" s="682"/>
      <c r="F48" s="682"/>
      <c r="G48" s="1666" t="str">
        <f>IF(ISBLANK(D48),"Input required","Ok")</f>
        <v>Input required</v>
      </c>
      <c r="H48" s="1666" t="str">
        <f>IF(ISBLANK(E48),"Input required","Ok")</f>
        <v>Input required</v>
      </c>
      <c r="I48" s="1666" t="str">
        <f>IF(ISBLANK(F48),"Input required","Ok")</f>
        <v>Input required</v>
      </c>
    </row>
    <row r="49" spans="2:9" ht="12.75" customHeight="1" x14ac:dyDescent="0.2">
      <c r="B49" s="437"/>
      <c r="C49" s="436"/>
      <c r="D49" s="432"/>
      <c r="E49" s="432"/>
      <c r="F49" s="432"/>
    </row>
    <row r="50" spans="2:9" ht="27.75" customHeight="1" x14ac:dyDescent="0.25">
      <c r="B50" s="437"/>
      <c r="C50" s="436" t="s">
        <v>408</v>
      </c>
      <c r="D50" s="682"/>
      <c r="E50" s="682"/>
      <c r="F50" s="682"/>
      <c r="G50" s="1666" t="str">
        <f>IF(ISBLANK(D50),"Input required","Ok")</f>
        <v>Input required</v>
      </c>
      <c r="H50" s="1666" t="str">
        <f>IF(ISBLANK(E50),"Input required","Ok")</f>
        <v>Input required</v>
      </c>
      <c r="I50" s="1666" t="str">
        <f>IF(ISBLANK(F50),"Input required","Ok")</f>
        <v>Input required</v>
      </c>
    </row>
    <row r="51" spans="2:9" ht="12.75" customHeight="1" x14ac:dyDescent="0.2">
      <c r="B51" s="437"/>
      <c r="C51" s="436"/>
      <c r="D51" s="432"/>
      <c r="E51" s="432"/>
      <c r="F51" s="432"/>
    </row>
    <row r="52" spans="2:9" ht="41.25" customHeight="1" x14ac:dyDescent="0.2">
      <c r="B52" s="437"/>
      <c r="C52" s="436"/>
      <c r="D52" s="432"/>
      <c r="E52" s="432"/>
      <c r="F52" s="432"/>
    </row>
    <row r="53" spans="2:9" ht="27" customHeight="1" x14ac:dyDescent="0.25">
      <c r="B53" s="437"/>
      <c r="C53" s="436" t="s">
        <v>409</v>
      </c>
      <c r="D53" s="682"/>
      <c r="E53" s="682"/>
      <c r="F53" s="682"/>
      <c r="G53" s="1666" t="str">
        <f>IF(ISBLANK(D53),"Input required","Ok")</f>
        <v>Input required</v>
      </c>
      <c r="H53" s="1666" t="str">
        <f>IF(ISBLANK(E53),"Input required","Ok")</f>
        <v>Input required</v>
      </c>
      <c r="I53" s="1666" t="str">
        <f>IF(ISBLANK(F53),"Input required","Ok")</f>
        <v>Input required</v>
      </c>
    </row>
    <row r="54" spans="2:9" ht="12.75" customHeight="1" x14ac:dyDescent="0.2">
      <c r="B54" s="437"/>
      <c r="C54" s="436"/>
      <c r="D54" s="432"/>
      <c r="E54" s="431"/>
      <c r="F54" s="431"/>
    </row>
    <row r="55" spans="2:9" ht="12.75" customHeight="1" x14ac:dyDescent="0.2">
      <c r="B55" s="1052"/>
      <c r="C55" s="435"/>
      <c r="D55" s="434"/>
      <c r="E55" s="433"/>
      <c r="F55" s="433"/>
    </row>
    <row r="56" spans="2:9" ht="12.75" customHeight="1" x14ac:dyDescent="0.2">
      <c r="B56" s="1053"/>
      <c r="D56" s="432"/>
      <c r="E56" s="431"/>
      <c r="F56" s="431"/>
    </row>
    <row r="57" spans="2:9" ht="12.75" customHeight="1" x14ac:dyDescent="0.2">
      <c r="B57" s="2132" t="s">
        <v>2069</v>
      </c>
      <c r="C57" s="2133"/>
      <c r="D57" s="430">
        <f>+D46+D48+D50+D53</f>
        <v>0</v>
      </c>
      <c r="E57" s="430">
        <f>+E46+E48+E50+E53</f>
        <v>0</v>
      </c>
      <c r="F57" s="430">
        <f>+F46+F48+F50+F53</f>
        <v>0</v>
      </c>
    </row>
    <row r="59" spans="2:9" ht="27.75" customHeight="1" x14ac:dyDescent="0.2">
      <c r="B59" s="2134" t="s">
        <v>1837</v>
      </c>
      <c r="C59" s="2134"/>
      <c r="D59" s="2134"/>
      <c r="E59" s="2134"/>
      <c r="F59" s="2134"/>
    </row>
    <row r="60" spans="2:9" ht="63" customHeight="1" x14ac:dyDescent="0.2">
      <c r="B60" s="1912"/>
      <c r="C60" s="1913"/>
      <c r="D60" s="1913"/>
      <c r="E60" s="1913"/>
      <c r="F60" s="1914"/>
    </row>
    <row r="61" spans="2:9" ht="12.75" customHeight="1" x14ac:dyDescent="0.2">
      <c r="B61" s="494"/>
      <c r="C61" s="494"/>
    </row>
    <row r="62" spans="2:9" ht="12.75" customHeight="1" x14ac:dyDescent="0.2">
      <c r="B62" s="494"/>
      <c r="C62" s="494"/>
    </row>
    <row r="63" spans="2:9" ht="12.75" customHeight="1" x14ac:dyDescent="0.2">
      <c r="B63" s="494"/>
      <c r="C63" s="494"/>
    </row>
    <row r="64" spans="2:9" ht="12.75" customHeight="1" x14ac:dyDescent="0.2">
      <c r="B64" s="484" t="s">
        <v>1836</v>
      </c>
      <c r="C64" s="494"/>
    </row>
    <row r="65" spans="2:9" ht="63" customHeight="1" x14ac:dyDescent="0.2">
      <c r="B65" s="1912"/>
      <c r="C65" s="1913"/>
      <c r="D65" s="1913"/>
      <c r="E65" s="1913"/>
      <c r="F65" s="1914"/>
    </row>
    <row r="68" spans="2:9" ht="12.75" customHeight="1" outlineLevel="1" x14ac:dyDescent="0.2"/>
    <row r="69" spans="2:9" s="1079" customFormat="1" ht="12.75" customHeight="1" thickBot="1" x14ac:dyDescent="0.25"/>
    <row r="70" spans="2:9" s="1079" customFormat="1" ht="12.75" customHeight="1" x14ac:dyDescent="0.2">
      <c r="B70" s="1216" t="s">
        <v>2062</v>
      </c>
      <c r="C70" s="1217"/>
      <c r="D70" s="1218" t="s">
        <v>913</v>
      </c>
      <c r="E70" s="1219" t="str">
        <f>Update!$B$13</f>
        <v>2025-26</v>
      </c>
      <c r="F70" s="1220" t="str">
        <f>Update!$B$15</f>
        <v>2024-25</v>
      </c>
    </row>
    <row r="71" spans="2:9" s="1079" customFormat="1" ht="12.75" customHeight="1" x14ac:dyDescent="0.2">
      <c r="B71" s="1221"/>
      <c r="C71" s="1222"/>
      <c r="D71" s="1223"/>
      <c r="E71" s="1224" t="s">
        <v>462</v>
      </c>
      <c r="F71" s="1224" t="s">
        <v>462</v>
      </c>
    </row>
    <row r="72" spans="2:9" s="1079" customFormat="1" ht="12.75" customHeight="1" x14ac:dyDescent="0.25">
      <c r="B72" s="1225" t="s">
        <v>2063</v>
      </c>
      <c r="C72" s="1169"/>
      <c r="D72" s="1226"/>
      <c r="E72" s="1227"/>
      <c r="F72" s="1226"/>
      <c r="G72" s="1666" t="str">
        <f>IF(ISBLANK(D72),"Input required","Ok")</f>
        <v>Input required</v>
      </c>
      <c r="H72" s="1666" t="str">
        <f>IF(ISBLANK(F72),"Input required","Ok")</f>
        <v>Input required</v>
      </c>
    </row>
    <row r="73" spans="2:9" s="1079" customFormat="1" ht="12.75" customHeight="1" x14ac:dyDescent="0.25">
      <c r="B73" s="1228" t="s">
        <v>2064</v>
      </c>
      <c r="C73" s="1229"/>
      <c r="D73" s="1230"/>
      <c r="E73" s="1226"/>
      <c r="F73" s="1226"/>
      <c r="G73" s="1666" t="str">
        <f>IF(ISBLANK(E73),"Input required","Ok")</f>
        <v>Input required</v>
      </c>
      <c r="H73" s="1666" t="str">
        <f>IF(ISBLANK(F73),"Input required","Ok")</f>
        <v>Input required</v>
      </c>
    </row>
    <row r="74" spans="2:9" s="1079" customFormat="1" ht="12.75" customHeight="1" x14ac:dyDescent="0.2"/>
    <row r="75" spans="2:9" s="1079" customFormat="1" ht="12.75" customHeight="1" thickBot="1" x14ac:dyDescent="0.25"/>
    <row r="76" spans="2:9" s="1079" customFormat="1" ht="27" customHeight="1" x14ac:dyDescent="0.2">
      <c r="B76" s="1231" t="s">
        <v>2612</v>
      </c>
      <c r="C76" s="1232"/>
      <c r="D76" s="1223" t="s">
        <v>913</v>
      </c>
      <c r="E76" s="1219" t="str">
        <f>$E$14</f>
        <v>2025-26</v>
      </c>
      <c r="F76" s="1220" t="str">
        <f>$F$7</f>
        <v>2024-25</v>
      </c>
    </row>
    <row r="77" spans="2:9" s="1079" customFormat="1" ht="12.75" customHeight="1" x14ac:dyDescent="0.2">
      <c r="B77" s="1233"/>
      <c r="C77" s="1234"/>
      <c r="D77" s="1235"/>
      <c r="E77" s="1224" t="s">
        <v>462</v>
      </c>
      <c r="F77" s="1224" t="s">
        <v>462</v>
      </c>
    </row>
    <row r="78" spans="2:9" s="1079" customFormat="1" ht="12.75" customHeight="1" x14ac:dyDescent="0.2">
      <c r="B78" s="1233"/>
      <c r="C78" s="1234"/>
      <c r="D78" s="1236"/>
      <c r="E78" s="1237"/>
      <c r="F78" s="1237"/>
    </row>
    <row r="79" spans="2:9" s="1079" customFormat="1" ht="12.75" customHeight="1" x14ac:dyDescent="0.25">
      <c r="B79" s="1215" t="s">
        <v>2065</v>
      </c>
      <c r="D79" s="682"/>
      <c r="E79" s="682"/>
      <c r="F79" s="682"/>
      <c r="G79" s="1666" t="str">
        <f>IF(ISBLANK(D79),"Input required","Ok")</f>
        <v>Input required</v>
      </c>
      <c r="H79" s="1666" t="str">
        <f>IF(ISBLANK(E79),"Input required","Ok")</f>
        <v>Input required</v>
      </c>
      <c r="I79" s="1666" t="str">
        <f>IF(ISBLANK(F79),"Input required","Ok")</f>
        <v>Input required</v>
      </c>
    </row>
    <row r="80" spans="2:9" s="1079" customFormat="1" ht="12.75" customHeight="1" thickBot="1" x14ac:dyDescent="0.25">
      <c r="B80" s="1238"/>
      <c r="D80" s="1236"/>
      <c r="E80" s="1236"/>
      <c r="F80" s="1236"/>
    </row>
    <row r="81" spans="1:6" s="1079" customFormat="1" ht="12.75" customHeight="1" thickBot="1" x14ac:dyDescent="0.25">
      <c r="B81" s="1239"/>
      <c r="C81" s="1240" t="s">
        <v>2068</v>
      </c>
      <c r="D81" s="1241">
        <f>SUM(D78:D80)</f>
        <v>0</v>
      </c>
      <c r="E81" s="1241">
        <f>SUM(E78:E80)</f>
        <v>0</v>
      </c>
      <c r="F81" s="1241">
        <f>SUM(F78:F80)</f>
        <v>0</v>
      </c>
    </row>
    <row r="82" spans="1:6" s="1079" customFormat="1" ht="12.75" customHeight="1" x14ac:dyDescent="0.2">
      <c r="B82" s="1167"/>
      <c r="C82" s="1167"/>
      <c r="D82" s="1170"/>
      <c r="E82" s="1170"/>
      <c r="F82" s="1170"/>
    </row>
    <row r="83" spans="1:6" ht="12.75" hidden="1" customHeight="1" outlineLevel="1" x14ac:dyDescent="0.2"/>
    <row r="84" spans="1:6" ht="12.75" hidden="1" customHeight="1" outlineLevel="1" x14ac:dyDescent="0.2">
      <c r="A84" s="388" t="s">
        <v>916</v>
      </c>
    </row>
    <row r="85" spans="1:6" ht="12.75" hidden="1" customHeight="1" outlineLevel="1" x14ac:dyDescent="0.2"/>
    <row r="86" spans="1:6" ht="42" hidden="1" customHeight="1" outlineLevel="1" x14ac:dyDescent="0.2">
      <c r="B86" s="1929" t="s">
        <v>917</v>
      </c>
      <c r="C86" s="1929"/>
      <c r="D86" s="1929"/>
      <c r="E86" s="1929"/>
      <c r="F86" s="1929"/>
    </row>
    <row r="87" spans="1:6" ht="12.75" hidden="1" customHeight="1" outlineLevel="1" x14ac:dyDescent="0.2">
      <c r="B87" s="429" t="s">
        <v>918</v>
      </c>
      <c r="C87" s="428" t="s">
        <v>919</v>
      </c>
      <c r="D87" s="427"/>
      <c r="E87" s="427"/>
      <c r="F87" s="427"/>
    </row>
    <row r="88" spans="1:6" ht="12.75" hidden="1" customHeight="1" outlineLevel="1" x14ac:dyDescent="0.2">
      <c r="B88" s="429" t="s">
        <v>920</v>
      </c>
      <c r="C88" s="428" t="s">
        <v>921</v>
      </c>
      <c r="D88" s="427"/>
      <c r="E88" s="427"/>
      <c r="F88" s="427"/>
    </row>
    <row r="89" spans="1:6" ht="12.75" hidden="1" customHeight="1" outlineLevel="1" x14ac:dyDescent="0.2">
      <c r="B89" s="429" t="s">
        <v>922</v>
      </c>
      <c r="C89" s="428" t="s">
        <v>923</v>
      </c>
      <c r="D89" s="427"/>
      <c r="E89" s="427"/>
      <c r="F89" s="427"/>
    </row>
    <row r="90" spans="1:6" ht="12.75" hidden="1" customHeight="1" outlineLevel="1" x14ac:dyDescent="0.2">
      <c r="B90" s="429" t="s">
        <v>924</v>
      </c>
      <c r="C90" s="428" t="s">
        <v>925</v>
      </c>
      <c r="D90" s="427"/>
      <c r="E90" s="427"/>
      <c r="F90" s="427"/>
    </row>
    <row r="91" spans="1:6" ht="12.75" hidden="1" customHeight="1" outlineLevel="1" x14ac:dyDescent="0.2">
      <c r="B91" s="429"/>
      <c r="C91" s="428"/>
      <c r="D91" s="427"/>
      <c r="E91" s="427"/>
      <c r="F91" s="427"/>
    </row>
    <row r="92" spans="1:6" ht="12.75" customHeight="1" collapsed="1" x14ac:dyDescent="0.2"/>
    <row r="93" spans="1:6" ht="12.75" customHeight="1" x14ac:dyDescent="0.2">
      <c r="A93" s="388" t="s">
        <v>926</v>
      </c>
    </row>
    <row r="95" spans="1:6" ht="12.75" customHeight="1" x14ac:dyDescent="0.2">
      <c r="B95" s="1930" t="s">
        <v>2625</v>
      </c>
      <c r="C95" s="1930"/>
      <c r="D95" s="1930"/>
      <c r="E95" s="1930"/>
      <c r="F95" s="1930"/>
    </row>
    <row r="96" spans="1:6" ht="12.75" customHeight="1" x14ac:dyDescent="0.2">
      <c r="B96" s="1930"/>
      <c r="C96" s="1930"/>
      <c r="D96" s="1930"/>
      <c r="E96" s="1930"/>
      <c r="F96" s="1930"/>
    </row>
    <row r="97" spans="2:6" ht="12.75" hidden="1" customHeight="1" x14ac:dyDescent="0.2">
      <c r="B97" s="2127" t="s">
        <v>2361</v>
      </c>
      <c r="C97" s="2127"/>
      <c r="D97" s="2127"/>
    </row>
    <row r="98" spans="2:6" ht="12.75" hidden="1" customHeight="1" x14ac:dyDescent="0.2"/>
    <row r="99" spans="2:6" ht="12.75" hidden="1" customHeight="1" x14ac:dyDescent="0.2">
      <c r="B99" s="2136" t="s">
        <v>2359</v>
      </c>
      <c r="C99" s="2137"/>
      <c r="D99" s="2137"/>
      <c r="E99" s="2137"/>
      <c r="F99" s="2138"/>
    </row>
    <row r="100" spans="2:6" ht="12.75" hidden="1" customHeight="1" x14ac:dyDescent="0.2">
      <c r="B100" s="1924" t="s">
        <v>2362</v>
      </c>
      <c r="C100" s="1925"/>
      <c r="D100" s="1235" t="s">
        <v>2363</v>
      </c>
      <c r="E100" s="1235" t="s">
        <v>2364</v>
      </c>
      <c r="F100" s="1235" t="s">
        <v>2365</v>
      </c>
    </row>
    <row r="101" spans="2:6" ht="12.75" hidden="1" customHeight="1" x14ac:dyDescent="0.2">
      <c r="B101" s="2135"/>
      <c r="C101" s="2135"/>
      <c r="D101" s="1462"/>
      <c r="E101" s="1462"/>
      <c r="F101" s="1463">
        <f>+D101-E101</f>
        <v>0</v>
      </c>
    </row>
    <row r="102" spans="2:6" ht="12.75" hidden="1" customHeight="1" x14ac:dyDescent="0.2">
      <c r="B102" s="2135"/>
      <c r="C102" s="2135"/>
      <c r="D102" s="1462"/>
      <c r="E102" s="1462"/>
      <c r="F102" s="1463">
        <f t="shared" ref="F102:F108" si="1">+D102-E102</f>
        <v>0</v>
      </c>
    </row>
    <row r="103" spans="2:6" ht="12.75" hidden="1" customHeight="1" x14ac:dyDescent="0.2">
      <c r="B103" s="2135"/>
      <c r="C103" s="2135"/>
      <c r="D103" s="1462"/>
      <c r="E103" s="1462"/>
      <c r="F103" s="1463">
        <f t="shared" si="1"/>
        <v>0</v>
      </c>
    </row>
    <row r="104" spans="2:6" ht="12.75" hidden="1" customHeight="1" x14ac:dyDescent="0.2">
      <c r="B104" s="2135"/>
      <c r="C104" s="2135"/>
      <c r="D104" s="1462"/>
      <c r="E104" s="1462"/>
      <c r="F104" s="1463">
        <f t="shared" si="1"/>
        <v>0</v>
      </c>
    </row>
    <row r="105" spans="2:6" ht="12.75" hidden="1" customHeight="1" x14ac:dyDescent="0.2">
      <c r="B105" s="2135"/>
      <c r="C105" s="2135"/>
      <c r="D105" s="1462"/>
      <c r="E105" s="1462"/>
      <c r="F105" s="1463">
        <f t="shared" si="1"/>
        <v>0</v>
      </c>
    </row>
    <row r="106" spans="2:6" ht="12.75" hidden="1" customHeight="1" x14ac:dyDescent="0.2">
      <c r="B106" s="2135"/>
      <c r="C106" s="2135"/>
      <c r="D106" s="1462"/>
      <c r="E106" s="1462"/>
      <c r="F106" s="1463">
        <f t="shared" si="1"/>
        <v>0</v>
      </c>
    </row>
    <row r="107" spans="2:6" ht="12.75" hidden="1" customHeight="1" x14ac:dyDescent="0.2">
      <c r="B107" s="2135"/>
      <c r="C107" s="2135"/>
      <c r="D107" s="1462"/>
      <c r="E107" s="1462"/>
      <c r="F107" s="1463">
        <f t="shared" si="1"/>
        <v>0</v>
      </c>
    </row>
    <row r="108" spans="2:6" ht="12.75" hidden="1" customHeight="1" x14ac:dyDescent="0.2">
      <c r="B108" s="2135"/>
      <c r="C108" s="2135"/>
      <c r="D108" s="1462"/>
      <c r="E108" s="1462"/>
      <c r="F108" s="1463">
        <f t="shared" si="1"/>
        <v>0</v>
      </c>
    </row>
    <row r="109" spans="2:6" ht="12.75" hidden="1" customHeight="1" x14ac:dyDescent="0.2">
      <c r="B109" s="2136" t="s">
        <v>2360</v>
      </c>
      <c r="C109" s="2137"/>
      <c r="D109" s="2137"/>
      <c r="E109" s="2137"/>
      <c r="F109" s="2138"/>
    </row>
    <row r="110" spans="2:6" ht="12.75" hidden="1" customHeight="1" x14ac:dyDescent="0.2">
      <c r="B110" s="1924" t="s">
        <v>2362</v>
      </c>
      <c r="C110" s="1925"/>
      <c r="D110" s="1223" t="s">
        <v>2363</v>
      </c>
      <c r="E110" s="1223" t="s">
        <v>2364</v>
      </c>
      <c r="F110" s="1223" t="s">
        <v>2365</v>
      </c>
    </row>
    <row r="111" spans="2:6" ht="12.75" hidden="1" customHeight="1" x14ac:dyDescent="0.2">
      <c r="B111" s="2135"/>
      <c r="C111" s="2135"/>
      <c r="D111" s="1462"/>
      <c r="E111" s="1462"/>
      <c r="F111" s="1463">
        <f t="shared" ref="F111:F118" si="2">+D111-E111</f>
        <v>0</v>
      </c>
    </row>
    <row r="112" spans="2:6" ht="12.75" hidden="1" customHeight="1" x14ac:dyDescent="0.2">
      <c r="B112" s="2135"/>
      <c r="C112" s="2135"/>
      <c r="D112" s="1462"/>
      <c r="E112" s="1462"/>
      <c r="F112" s="1463">
        <f t="shared" si="2"/>
        <v>0</v>
      </c>
    </row>
    <row r="113" spans="2:6" ht="12.75" hidden="1" customHeight="1" x14ac:dyDescent="0.2">
      <c r="B113" s="2135"/>
      <c r="C113" s="2135"/>
      <c r="D113" s="1462"/>
      <c r="E113" s="1462"/>
      <c r="F113" s="1463">
        <f t="shared" si="2"/>
        <v>0</v>
      </c>
    </row>
    <row r="114" spans="2:6" ht="12.75" hidden="1" customHeight="1" x14ac:dyDescent="0.2">
      <c r="B114" s="2135"/>
      <c r="C114" s="2135"/>
      <c r="D114" s="1462"/>
      <c r="E114" s="1462"/>
      <c r="F114" s="1463">
        <f t="shared" si="2"/>
        <v>0</v>
      </c>
    </row>
    <row r="115" spans="2:6" ht="12.75" hidden="1" customHeight="1" x14ac:dyDescent="0.2">
      <c r="B115" s="2135"/>
      <c r="C115" s="2135"/>
      <c r="D115" s="1462"/>
      <c r="E115" s="1462"/>
      <c r="F115" s="1463">
        <f t="shared" si="2"/>
        <v>0</v>
      </c>
    </row>
    <row r="116" spans="2:6" ht="12.75" hidden="1" customHeight="1" x14ac:dyDescent="0.2">
      <c r="B116" s="2135"/>
      <c r="C116" s="2135"/>
      <c r="D116" s="1462"/>
      <c r="E116" s="1462"/>
      <c r="F116" s="1463">
        <f t="shared" si="2"/>
        <v>0</v>
      </c>
    </row>
    <row r="117" spans="2:6" ht="12.75" hidden="1" customHeight="1" x14ac:dyDescent="0.2">
      <c r="B117" s="2135"/>
      <c r="C117" s="2135"/>
      <c r="D117" s="1462"/>
      <c r="E117" s="1462"/>
      <c r="F117" s="1463">
        <f t="shared" si="2"/>
        <v>0</v>
      </c>
    </row>
    <row r="118" spans="2:6" ht="12.75" hidden="1" customHeight="1" x14ac:dyDescent="0.2">
      <c r="B118" s="2135"/>
      <c r="C118" s="2135"/>
      <c r="D118" s="1462"/>
      <c r="E118" s="1462"/>
      <c r="F118" s="1463">
        <f t="shared" si="2"/>
        <v>0</v>
      </c>
    </row>
    <row r="119" spans="2:6" ht="12.75" hidden="1" customHeight="1" x14ac:dyDescent="0.2"/>
  </sheetData>
  <sheetProtection algorithmName="SHA-512" hashValue="dlnkILfY0esUtZxGgZR8ITnyz/TyttWk/0JYZMRZdsRpBOtbOO9buV/UEc/+Yx0K58FeqkTQRXwmXJvqmOMOIQ==" saltValue="tPvNlP8VlOHIb68SGlaYLw==" spinCount="100000" sheet="1" formatColumns="0" formatRows="0"/>
  <mergeCells count="29">
    <mergeCell ref="B114:C114"/>
    <mergeCell ref="B115:C115"/>
    <mergeCell ref="B116:C116"/>
    <mergeCell ref="B117:C117"/>
    <mergeCell ref="B118:C118"/>
    <mergeCell ref="B110:C110"/>
    <mergeCell ref="B111:C111"/>
    <mergeCell ref="B112:C112"/>
    <mergeCell ref="B113:C113"/>
    <mergeCell ref="B109:F109"/>
    <mergeCell ref="B104:C104"/>
    <mergeCell ref="B105:C105"/>
    <mergeCell ref="B106:C106"/>
    <mergeCell ref="B107:C107"/>
    <mergeCell ref="B108:C108"/>
    <mergeCell ref="B100:C100"/>
    <mergeCell ref="B101:C101"/>
    <mergeCell ref="B102:C102"/>
    <mergeCell ref="B103:C103"/>
    <mergeCell ref="B99:F99"/>
    <mergeCell ref="B97:D97"/>
    <mergeCell ref="B7:C8"/>
    <mergeCell ref="D7:E7"/>
    <mergeCell ref="B95:F96"/>
    <mergeCell ref="B57:C57"/>
    <mergeCell ref="B86:F86"/>
    <mergeCell ref="B65:F65"/>
    <mergeCell ref="B60:F60"/>
    <mergeCell ref="B59:F59"/>
  </mergeCells>
  <conditionalFormatting sqref="B60">
    <cfRule type="expression" dxfId="335" priority="81">
      <formula>CELL("Protect",B60)=0</formula>
    </cfRule>
  </conditionalFormatting>
  <conditionalFormatting sqref="B65">
    <cfRule type="expression" dxfId="334" priority="141">
      <formula>CELL("Protect",B65)=0</formula>
    </cfRule>
  </conditionalFormatting>
  <conditionalFormatting sqref="D10 F10 E11:F11">
    <cfRule type="expression" dxfId="333" priority="186">
      <formula>CELL("Protect",D10)=0</formula>
    </cfRule>
  </conditionalFormatting>
  <conditionalFormatting sqref="D33">
    <cfRule type="expression" dxfId="332" priority="113">
      <formula>CELL("Protect",D33)=0</formula>
    </cfRule>
  </conditionalFormatting>
  <conditionalFormatting sqref="D72">
    <cfRule type="expression" dxfId="331" priority="67">
      <formula>CELL("Protect",D72)=0</formula>
    </cfRule>
  </conditionalFormatting>
  <conditionalFormatting sqref="D17:F17">
    <cfRule type="expression" dxfId="330" priority="77">
      <formula>CELL("Protect",D17)=0</formula>
    </cfRule>
  </conditionalFormatting>
  <conditionalFormatting sqref="D19:F19">
    <cfRule type="expression" dxfId="329" priority="34">
      <formula>CELL("Protect",D19)=0</formula>
    </cfRule>
  </conditionalFormatting>
  <conditionalFormatting sqref="D21:F21">
    <cfRule type="expression" dxfId="328" priority="31">
      <formula>CELL("Protect",D21)=0</formula>
    </cfRule>
  </conditionalFormatting>
  <conditionalFormatting sqref="D23:F23">
    <cfRule type="expression" dxfId="327" priority="28">
      <formula>CELL("Protect",D23)=0</formula>
    </cfRule>
  </conditionalFormatting>
  <conditionalFormatting sqref="D25:F25">
    <cfRule type="expression" dxfId="326" priority="25">
      <formula>CELL("Protect",D25)=0</formula>
    </cfRule>
  </conditionalFormatting>
  <conditionalFormatting sqref="D42:F45">
    <cfRule type="expression" dxfId="325" priority="13">
      <formula>CELL("Protect",D42)=0</formula>
    </cfRule>
  </conditionalFormatting>
  <conditionalFormatting sqref="D48:F48">
    <cfRule type="expression" dxfId="324" priority="10">
      <formula>CELL("Protect",D48)=0</formula>
    </cfRule>
  </conditionalFormatting>
  <conditionalFormatting sqref="D50:F50">
    <cfRule type="expression" dxfId="323" priority="7">
      <formula>CELL("Protect",D50)=0</formula>
    </cfRule>
  </conditionalFormatting>
  <conditionalFormatting sqref="D53:F53">
    <cfRule type="expression" dxfId="322" priority="4">
      <formula>CELL("Protect",D53)=0</formula>
    </cfRule>
  </conditionalFormatting>
  <conditionalFormatting sqref="D79:F79">
    <cfRule type="expression" dxfId="321" priority="1">
      <formula>CELL("Protect",D79)=0</formula>
    </cfRule>
  </conditionalFormatting>
  <conditionalFormatting sqref="E34">
    <cfRule type="expression" dxfId="320" priority="112">
      <formula>CELL("Protect",E34)=0</formula>
    </cfRule>
  </conditionalFormatting>
  <conditionalFormatting sqref="E73">
    <cfRule type="expression" dxfId="319" priority="66">
      <formula>CELL("Protect",E73)=0</formula>
    </cfRule>
  </conditionalFormatting>
  <conditionalFormatting sqref="F33:F34">
    <cfRule type="expression" dxfId="318" priority="117">
      <formula>CELL("Protect",F33)=0</formula>
    </cfRule>
  </conditionalFormatting>
  <conditionalFormatting sqref="F72:F73">
    <cfRule type="expression" dxfId="317" priority="68">
      <formula>CELL("Protect",F72)=0</formula>
    </cfRule>
  </conditionalFormatting>
  <conditionalFormatting sqref="G10:H11">
    <cfRule type="containsText" dxfId="316" priority="61" operator="containsText" text="Input required">
      <formula>NOT(ISERROR(SEARCH("Input required",G10)))</formula>
    </cfRule>
    <cfRule type="containsText" dxfId="315" priority="62" operator="containsText" text="Ok">
      <formula>NOT(ISERROR(SEARCH("Ok",G10)))</formula>
    </cfRule>
  </conditionalFormatting>
  <conditionalFormatting sqref="G33:H34">
    <cfRule type="containsText" dxfId="314" priority="49" operator="containsText" text="Input required">
      <formula>NOT(ISERROR(SEARCH("Input required",G33)))</formula>
    </cfRule>
    <cfRule type="containsText" dxfId="313" priority="50" operator="containsText" text="Ok">
      <formula>NOT(ISERROR(SEARCH("Ok",G33)))</formula>
    </cfRule>
  </conditionalFormatting>
  <conditionalFormatting sqref="G72:H73">
    <cfRule type="containsText" dxfId="312" priority="37" operator="containsText" text="Input required">
      <formula>NOT(ISERROR(SEARCH("Input required",G72)))</formula>
    </cfRule>
    <cfRule type="containsText" dxfId="311" priority="38" operator="containsText" text="Ok">
      <formula>NOT(ISERROR(SEARCH("Ok",G72)))</formula>
    </cfRule>
  </conditionalFormatting>
  <conditionalFormatting sqref="G17:I17">
    <cfRule type="containsText" dxfId="310" priority="59" operator="containsText" text="Input required">
      <formula>NOT(ISERROR(SEARCH("Input required",G17)))</formula>
    </cfRule>
    <cfRule type="containsText" dxfId="309" priority="60" operator="containsText" text="Ok">
      <formula>NOT(ISERROR(SEARCH("Ok",G17)))</formula>
    </cfRule>
  </conditionalFormatting>
  <conditionalFormatting sqref="G19:I19">
    <cfRule type="containsText" dxfId="308" priority="57" operator="containsText" text="Input required">
      <formula>NOT(ISERROR(SEARCH("Input required",G19)))</formula>
    </cfRule>
    <cfRule type="containsText" dxfId="307" priority="58" operator="containsText" text="Ok">
      <formula>NOT(ISERROR(SEARCH("Ok",G19)))</formula>
    </cfRule>
  </conditionalFormatting>
  <conditionalFormatting sqref="G21:I21">
    <cfRule type="containsText" dxfId="306" priority="56" operator="containsText" text="Ok">
      <formula>NOT(ISERROR(SEARCH("Ok",G21)))</formula>
    </cfRule>
    <cfRule type="containsText" dxfId="305" priority="55" operator="containsText" text="Input required">
      <formula>NOT(ISERROR(SEARCH("Input required",G21)))</formula>
    </cfRule>
  </conditionalFormatting>
  <conditionalFormatting sqref="G23:I23">
    <cfRule type="containsText" dxfId="304" priority="53" operator="containsText" text="Input required">
      <formula>NOT(ISERROR(SEARCH("Input required",G23)))</formula>
    </cfRule>
    <cfRule type="containsText" dxfId="303" priority="54" operator="containsText" text="Ok">
      <formula>NOT(ISERROR(SEARCH("Ok",G23)))</formula>
    </cfRule>
  </conditionalFormatting>
  <conditionalFormatting sqref="G25:I25">
    <cfRule type="containsText" dxfId="302" priority="51" operator="containsText" text="Input required">
      <formula>NOT(ISERROR(SEARCH("Input required",G25)))</formula>
    </cfRule>
    <cfRule type="containsText" dxfId="301" priority="52" operator="containsText" text="Ok">
      <formula>NOT(ISERROR(SEARCH("Ok",G25)))</formula>
    </cfRule>
  </conditionalFormatting>
  <conditionalFormatting sqref="G42:I45">
    <cfRule type="containsText" dxfId="300" priority="48" operator="containsText" text="Ok">
      <formula>NOT(ISERROR(SEARCH("Ok",G42)))</formula>
    </cfRule>
    <cfRule type="containsText" dxfId="299" priority="47" operator="containsText" text="Input required">
      <formula>NOT(ISERROR(SEARCH("Input required",G42)))</formula>
    </cfRule>
  </conditionalFormatting>
  <conditionalFormatting sqref="G48:I48">
    <cfRule type="containsText" dxfId="298" priority="45" operator="containsText" text="Input required">
      <formula>NOT(ISERROR(SEARCH("Input required",G48)))</formula>
    </cfRule>
    <cfRule type="containsText" dxfId="297" priority="46" operator="containsText" text="Ok">
      <formula>NOT(ISERROR(SEARCH("Ok",G48)))</formula>
    </cfRule>
  </conditionalFormatting>
  <conditionalFormatting sqref="G50:I50">
    <cfRule type="containsText" dxfId="296" priority="43" operator="containsText" text="Input required">
      <formula>NOT(ISERROR(SEARCH("Input required",G50)))</formula>
    </cfRule>
    <cfRule type="containsText" dxfId="295" priority="44" operator="containsText" text="Ok">
      <formula>NOT(ISERROR(SEARCH("Ok",G50)))</formula>
    </cfRule>
  </conditionalFormatting>
  <conditionalFormatting sqref="G53:I53">
    <cfRule type="containsText" dxfId="294" priority="41" operator="containsText" text="Input required">
      <formula>NOT(ISERROR(SEARCH("Input required",G53)))</formula>
    </cfRule>
    <cfRule type="containsText" dxfId="293" priority="42" operator="containsText" text="Ok">
      <formula>NOT(ISERROR(SEARCH("Ok",G53)))</formula>
    </cfRule>
  </conditionalFormatting>
  <conditionalFormatting sqref="G79:I79">
    <cfRule type="containsText" dxfId="292" priority="39" operator="containsText" text="Input required">
      <formula>NOT(ISERROR(SEARCH("Input required",G79)))</formula>
    </cfRule>
    <cfRule type="containsText" dxfId="291" priority="40" operator="containsText" text="Ok">
      <formula>NOT(ISERROR(SEARCH("Ok",G79)))</formula>
    </cfRule>
  </conditionalFormatting>
  <pageMargins left="0.74803149606299213" right="0.74803149606299213" top="0.59055118110236227" bottom="0.59055118110236227" header="0.51181102362204722" footer="0.51181102362204722"/>
  <pageSetup paperSize="9" scale="57"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4">
    <tabColor rgb="FFFFFF00"/>
    <pageSetUpPr fitToPage="1"/>
  </sheetPr>
  <dimension ref="A1:Q107"/>
  <sheetViews>
    <sheetView zoomScaleNormal="100" workbookViewId="0"/>
  </sheetViews>
  <sheetFormatPr defaultColWidth="9.140625" defaultRowHeight="12.75" x14ac:dyDescent="0.2"/>
  <cols>
    <col min="1" max="1" width="46.140625" style="397" customWidth="1"/>
    <col min="2" max="2" width="15.140625" style="397" customWidth="1"/>
    <col min="3" max="3" width="16.140625" style="397" customWidth="1"/>
    <col min="4" max="4" width="18.140625" style="450" customWidth="1"/>
    <col min="5" max="5" width="14.7109375" style="450" customWidth="1"/>
    <col min="6" max="6" width="15" style="450" customWidth="1"/>
    <col min="7" max="7" width="12.7109375" style="397" bestFit="1" customWidth="1"/>
    <col min="8" max="8" width="15.5703125" style="397" customWidth="1"/>
    <col min="9" max="9" width="15.7109375" style="397" bestFit="1" customWidth="1"/>
    <col min="10" max="11" width="15.7109375" style="397" customWidth="1"/>
    <col min="12" max="12" width="1.42578125" style="397" customWidth="1"/>
    <col min="13" max="13" width="20.85546875" style="397" customWidth="1"/>
    <col min="14" max="14" width="20" style="397" bestFit="1" customWidth="1"/>
    <col min="15" max="15" width="9.42578125" style="397" customWidth="1"/>
    <col min="16" max="16" width="10.140625" style="397" customWidth="1"/>
    <col min="17" max="17" width="13.28515625" style="397" bestFit="1" customWidth="1"/>
    <col min="18" max="18" width="1.7109375" style="397" customWidth="1"/>
    <col min="19" max="16384" width="9.140625" style="397"/>
  </cols>
  <sheetData>
    <row r="1" spans="1:17" x14ac:dyDescent="0.2">
      <c r="A1" s="416" t="str">
        <f>'alb Instructions'!$B$20</f>
        <v>enter HSC Body name here</v>
      </c>
      <c r="B1" s="416"/>
      <c r="C1" s="416"/>
      <c r="D1" s="416"/>
      <c r="E1" s="416"/>
      <c r="F1" s="416"/>
      <c r="G1" s="416"/>
      <c r="H1" s="416"/>
      <c r="I1" s="416"/>
      <c r="J1" s="416"/>
      <c r="K1" s="416"/>
      <c r="L1" s="416"/>
      <c r="M1" s="416"/>
      <c r="N1" s="416"/>
      <c r="O1" s="416"/>
      <c r="P1" s="416"/>
      <c r="Q1" s="416"/>
    </row>
    <row r="2" spans="1:17" x14ac:dyDescent="0.2">
      <c r="A2" s="388"/>
      <c r="B2" s="388"/>
      <c r="C2" s="388"/>
      <c r="D2" s="465"/>
      <c r="E2" s="465"/>
      <c r="F2" s="465"/>
      <c r="G2" s="388"/>
      <c r="H2" s="388"/>
      <c r="I2" s="388"/>
      <c r="J2" s="388"/>
      <c r="K2" s="388"/>
      <c r="L2" s="388"/>
      <c r="M2" s="388"/>
    </row>
    <row r="3" spans="1:17" x14ac:dyDescent="0.2">
      <c r="A3" s="416" t="str">
        <f>'alb A - Staff data'!A3</f>
        <v>ACCOUNTABILITY REPORT</v>
      </c>
      <c r="B3" s="388"/>
      <c r="C3" s="388"/>
      <c r="D3" s="388"/>
      <c r="E3" s="388"/>
      <c r="F3" s="388"/>
      <c r="G3" s="388"/>
      <c r="H3" s="388"/>
      <c r="I3" s="388"/>
      <c r="J3" s="388"/>
      <c r="K3" s="388"/>
      <c r="L3" s="388"/>
      <c r="M3" s="388"/>
    </row>
    <row r="5" spans="1:17" x14ac:dyDescent="0.2">
      <c r="A5" s="388"/>
    </row>
    <row r="6" spans="1:17" ht="15.75" x14ac:dyDescent="0.25">
      <c r="A6" s="988" t="str">
        <f>"Staff Gender Breakdown "&amp;Update!C38</f>
        <v>Staff Gender Breakdown 2025-26</v>
      </c>
      <c r="B6" s="988" t="s">
        <v>1745</v>
      </c>
      <c r="C6" s="988" t="s">
        <v>1746</v>
      </c>
      <c r="D6" s="988" t="s">
        <v>146</v>
      </c>
      <c r="E6" s="1669" t="s">
        <v>2466</v>
      </c>
    </row>
    <row r="7" spans="1:17" ht="15" x14ac:dyDescent="0.25">
      <c r="A7" s="990" t="s">
        <v>1788</v>
      </c>
      <c r="B7" s="682"/>
      <c r="C7" s="682"/>
      <c r="D7" s="991">
        <f>SUM(B7:C7)</f>
        <v>0</v>
      </c>
      <c r="E7" s="1666" t="str">
        <f t="shared" ref="E7:F9" si="0">IF(ISBLANK(B7),"Input required","Ok")</f>
        <v>Input required</v>
      </c>
      <c r="F7" s="1666" t="str">
        <f t="shared" si="0"/>
        <v>Input required</v>
      </c>
      <c r="G7" s="451"/>
      <c r="H7" s="451"/>
    </row>
    <row r="8" spans="1:17" ht="15" x14ac:dyDescent="0.25">
      <c r="A8" s="990" t="s">
        <v>1787</v>
      </c>
      <c r="B8" s="682"/>
      <c r="C8" s="682"/>
      <c r="D8" s="991">
        <f>SUM(B8:C8)</f>
        <v>0</v>
      </c>
      <c r="E8" s="1666" t="str">
        <f t="shared" si="0"/>
        <v>Input required</v>
      </c>
      <c r="F8" s="1666" t="str">
        <f t="shared" si="0"/>
        <v>Input required</v>
      </c>
      <c r="G8" s="451"/>
      <c r="H8" s="451"/>
    </row>
    <row r="9" spans="1:17" ht="15" x14ac:dyDescent="0.25">
      <c r="A9" s="990" t="s">
        <v>1747</v>
      </c>
      <c r="B9" s="682"/>
      <c r="C9" s="682"/>
      <c r="D9" s="991">
        <f>SUM(B9:C9)</f>
        <v>0</v>
      </c>
      <c r="E9" s="1666" t="str">
        <f t="shared" si="0"/>
        <v>Input required</v>
      </c>
      <c r="F9" s="1666" t="str">
        <f t="shared" si="0"/>
        <v>Input required</v>
      </c>
    </row>
    <row r="10" spans="1:17" ht="15" x14ac:dyDescent="0.25">
      <c r="A10" s="992" t="s">
        <v>146</v>
      </c>
      <c r="B10" s="993">
        <f>SUM(B7:B9)</f>
        <v>0</v>
      </c>
      <c r="C10" s="993">
        <f>SUM(C7:C9)</f>
        <v>0</v>
      </c>
      <c r="D10" s="993">
        <f>SUM(D7:D9)</f>
        <v>0</v>
      </c>
      <c r="E10" s="989"/>
    </row>
    <row r="11" spans="1:17" ht="15" x14ac:dyDescent="0.25">
      <c r="A11" s="989"/>
      <c r="B11" s="989"/>
      <c r="C11" s="989"/>
      <c r="D11" s="989"/>
      <c r="E11" s="989"/>
    </row>
    <row r="12" spans="1:17" ht="15" x14ac:dyDescent="0.25">
      <c r="A12" s="999" t="s">
        <v>2002</v>
      </c>
      <c r="B12" s="989"/>
      <c r="C12" s="989"/>
      <c r="D12" s="989"/>
      <c r="E12" s="989"/>
    </row>
    <row r="13" spans="1:17" ht="42.75" x14ac:dyDescent="0.25">
      <c r="A13" s="994" t="s">
        <v>1748</v>
      </c>
      <c r="B13" s="987" t="s">
        <v>1749</v>
      </c>
      <c r="C13" s="987" t="s">
        <v>1750</v>
      </c>
      <c r="D13" s="987" t="s">
        <v>1751</v>
      </c>
      <c r="E13" s="987" t="s">
        <v>1752</v>
      </c>
      <c r="F13" s="1669" t="s">
        <v>2466</v>
      </c>
    </row>
    <row r="14" spans="1:17" ht="15" x14ac:dyDescent="0.25">
      <c r="A14" s="995" t="str">
        <f>Update!C38</f>
        <v>2025-26</v>
      </c>
      <c r="B14" s="682"/>
      <c r="C14" s="682"/>
      <c r="D14" s="996">
        <f>IF(B14=0,0,C14/B14)</f>
        <v>0</v>
      </c>
      <c r="E14" s="997">
        <f>+D14/219</f>
        <v>0</v>
      </c>
      <c r="F14" s="1666" t="str">
        <f>IF(ISBLANK(B14),"Input required","Ok")</f>
        <v>Input required</v>
      </c>
      <c r="G14" s="1666" t="str">
        <f>IF(ISBLANK(C14),"Input required","Ok")</f>
        <v>Input required</v>
      </c>
    </row>
    <row r="15" spans="1:17" ht="15" x14ac:dyDescent="0.25">
      <c r="A15" s="995" t="str">
        <f>Update!C37</f>
        <v>2024-25</v>
      </c>
      <c r="B15" s="682"/>
      <c r="C15" s="682"/>
      <c r="D15" s="996">
        <f>IF(B15=0,0,C15/B15)</f>
        <v>0</v>
      </c>
      <c r="E15" s="998">
        <f>+D15/219</f>
        <v>0</v>
      </c>
      <c r="F15" s="1666" t="str">
        <f>IF(ISBLANK(B15),"Input required","Ok")</f>
        <v>Input required</v>
      </c>
      <c r="G15" s="1666" t="str">
        <f>IF(ISBLANK(C15),"Input required","Ok")</f>
        <v>Input required</v>
      </c>
    </row>
    <row r="16" spans="1:17" ht="15" x14ac:dyDescent="0.25">
      <c r="A16" s="989"/>
      <c r="B16" s="989"/>
      <c r="C16" s="989"/>
      <c r="D16" s="989"/>
      <c r="E16" s="989"/>
    </row>
    <row r="17" spans="1:7" ht="15" x14ac:dyDescent="0.25">
      <c r="A17" s="999"/>
      <c r="B17" s="989"/>
      <c r="C17" s="989"/>
      <c r="D17" s="989"/>
      <c r="E17" s="989"/>
    </row>
    <row r="18" spans="1:7" ht="15.75" x14ac:dyDescent="0.25">
      <c r="A18" s="1035" t="s">
        <v>2003</v>
      </c>
      <c r="B18" s="1001"/>
      <c r="C18" s="1002"/>
      <c r="D18" s="1003" t="str">
        <f>Update!$C$38</f>
        <v>2025-26</v>
      </c>
      <c r="E18" s="1003" t="str">
        <f>Update!$C$37</f>
        <v>2024-25</v>
      </c>
      <c r="F18" s="1667" t="s">
        <v>2544</v>
      </c>
      <c r="G18" s="1668"/>
    </row>
    <row r="19" spans="1:7" ht="15" x14ac:dyDescent="0.2">
      <c r="A19" s="1035"/>
      <c r="B19" s="1001"/>
      <c r="C19" s="1002"/>
      <c r="D19" s="1003" t="s">
        <v>62</v>
      </c>
      <c r="E19" s="1003" t="s">
        <v>62</v>
      </c>
    </row>
    <row r="20" spans="1:7" ht="15" x14ac:dyDescent="0.25">
      <c r="A20" s="1004" t="s">
        <v>2004</v>
      </c>
      <c r="B20" s="1005"/>
      <c r="C20" s="1006"/>
      <c r="D20" s="682"/>
      <c r="E20" s="682"/>
      <c r="F20" s="1666" t="str">
        <f>IF(ISBLANK(D20),"Input required","Ok")</f>
        <v>Input required</v>
      </c>
      <c r="G20" s="1666" t="str">
        <f>IF(ISBLANK(E20),"Input required","Ok")</f>
        <v>Input required</v>
      </c>
    </row>
    <row r="21" spans="1:7" ht="15" x14ac:dyDescent="0.25">
      <c r="A21" s="989"/>
      <c r="B21" s="989"/>
      <c r="C21" s="989"/>
      <c r="D21" s="989"/>
      <c r="E21" s="989"/>
    </row>
    <row r="22" spans="1:7" ht="15" x14ac:dyDescent="0.25">
      <c r="A22" s="989"/>
      <c r="B22" s="989"/>
      <c r="C22" s="989"/>
      <c r="D22" s="989"/>
      <c r="E22" s="989"/>
    </row>
    <row r="23" spans="1:7" ht="15" x14ac:dyDescent="0.25">
      <c r="A23" s="999" t="s">
        <v>1753</v>
      </c>
      <c r="B23" s="989"/>
      <c r="C23" s="989"/>
      <c r="D23" s="989"/>
      <c r="E23" s="989"/>
    </row>
    <row r="24" spans="1:7" ht="15.75" x14ac:dyDescent="0.25">
      <c r="A24" s="1000"/>
      <c r="B24" s="1001"/>
      <c r="C24" s="1002"/>
      <c r="D24" s="1003" t="str">
        <f>Update!$C$38</f>
        <v>2025-26</v>
      </c>
      <c r="E24" s="1003" t="str">
        <f>Update!$C$37</f>
        <v>2024-25</v>
      </c>
      <c r="F24" s="1667" t="s">
        <v>2544</v>
      </c>
      <c r="G24" s="1668"/>
    </row>
    <row r="25" spans="1:7" ht="15" x14ac:dyDescent="0.25">
      <c r="A25" s="1004" t="s">
        <v>1754</v>
      </c>
      <c r="B25" s="1005"/>
      <c r="C25" s="1006"/>
      <c r="D25" s="682"/>
      <c r="E25" s="682"/>
      <c r="F25" s="1666" t="str">
        <f t="shared" ref="F25:F31" si="1">IF(ISBLANK(D25),"Input required","Ok")</f>
        <v>Input required</v>
      </c>
      <c r="G25" s="1666" t="str">
        <f t="shared" ref="G25:G31" si="2">IF(ISBLANK(E25),"Input required","Ok")</f>
        <v>Input required</v>
      </c>
    </row>
    <row r="26" spans="1:7" ht="15" x14ac:dyDescent="0.25">
      <c r="A26" s="1200" t="s">
        <v>1983</v>
      </c>
      <c r="B26" s="1005"/>
      <c r="C26" s="1006"/>
      <c r="D26" s="682"/>
      <c r="E26" s="682"/>
      <c r="F26" s="1666" t="str">
        <f t="shared" si="1"/>
        <v>Input required</v>
      </c>
      <c r="G26" s="1666" t="str">
        <f t="shared" si="2"/>
        <v>Input required</v>
      </c>
    </row>
    <row r="27" spans="1:7" ht="15" x14ac:dyDescent="0.25">
      <c r="A27" s="1200" t="s">
        <v>1984</v>
      </c>
      <c r="B27" s="1005"/>
      <c r="C27" s="1006"/>
      <c r="D27" s="682"/>
      <c r="E27" s="682"/>
      <c r="F27" s="1666" t="str">
        <f t="shared" si="1"/>
        <v>Input required</v>
      </c>
      <c r="G27" s="1666" t="str">
        <f t="shared" si="2"/>
        <v>Input required</v>
      </c>
    </row>
    <row r="28" spans="1:7" ht="15" x14ac:dyDescent="0.25">
      <c r="A28" s="1200" t="s">
        <v>1985</v>
      </c>
      <c r="B28" s="1005"/>
      <c r="C28" s="1006"/>
      <c r="D28" s="682"/>
      <c r="E28" s="682"/>
      <c r="F28" s="1666" t="str">
        <f t="shared" si="1"/>
        <v>Input required</v>
      </c>
      <c r="G28" s="1666" t="str">
        <f t="shared" si="2"/>
        <v>Input required</v>
      </c>
    </row>
    <row r="29" spans="1:7" ht="15" x14ac:dyDescent="0.25">
      <c r="A29" s="1200" t="s">
        <v>1986</v>
      </c>
      <c r="B29" s="1005"/>
      <c r="C29" s="1006"/>
      <c r="D29" s="682"/>
      <c r="E29" s="682"/>
      <c r="F29" s="1666" t="str">
        <f t="shared" si="1"/>
        <v>Input required</v>
      </c>
      <c r="G29" s="1666" t="str">
        <f t="shared" si="2"/>
        <v>Input required</v>
      </c>
    </row>
    <row r="30" spans="1:7" ht="15" x14ac:dyDescent="0.25">
      <c r="A30" s="1200" t="s">
        <v>1987</v>
      </c>
      <c r="B30" s="1005"/>
      <c r="C30" s="1006"/>
      <c r="D30" s="682"/>
      <c r="E30" s="682"/>
      <c r="F30" s="1666" t="str">
        <f t="shared" si="1"/>
        <v>Input required</v>
      </c>
      <c r="G30" s="1666" t="str">
        <f t="shared" si="2"/>
        <v>Input required</v>
      </c>
    </row>
    <row r="31" spans="1:7" ht="15" x14ac:dyDescent="0.25">
      <c r="A31" s="1200" t="s">
        <v>1988</v>
      </c>
      <c r="B31" s="1005"/>
      <c r="C31" s="1006"/>
      <c r="D31" s="682"/>
      <c r="E31" s="682"/>
      <c r="F31" s="1666" t="str">
        <f t="shared" si="1"/>
        <v>Input required</v>
      </c>
      <c r="G31" s="1666" t="str">
        <f t="shared" si="2"/>
        <v>Input required</v>
      </c>
    </row>
    <row r="32" spans="1:7" ht="15" x14ac:dyDescent="0.25">
      <c r="A32" s="989"/>
      <c r="B32" s="989"/>
      <c r="C32" s="989"/>
      <c r="D32" s="989"/>
      <c r="E32" s="989"/>
    </row>
    <row r="33" spans="1:7" ht="15" x14ac:dyDescent="0.25">
      <c r="A33" s="999" t="s">
        <v>1989</v>
      </c>
      <c r="B33" s="989"/>
      <c r="C33" s="989"/>
      <c r="D33" s="989"/>
      <c r="E33" s="989"/>
    </row>
    <row r="34" spans="1:7" ht="15.75" x14ac:dyDescent="0.25">
      <c r="A34" s="1000"/>
      <c r="B34" s="1001"/>
      <c r="C34" s="1002"/>
      <c r="D34" s="1003" t="str">
        <f>Update!$C$38</f>
        <v>2025-26</v>
      </c>
      <c r="E34" s="1003" t="str">
        <f>Update!$C$37</f>
        <v>2024-25</v>
      </c>
      <c r="F34" s="1667" t="s">
        <v>2544</v>
      </c>
      <c r="G34" s="1668"/>
    </row>
    <row r="35" spans="1:7" ht="15" x14ac:dyDescent="0.25">
      <c r="A35" s="1004" t="s">
        <v>2868</v>
      </c>
      <c r="B35" s="1005"/>
      <c r="C35" s="1006"/>
      <c r="D35" s="682"/>
      <c r="E35" s="682"/>
      <c r="F35" s="1666" t="str">
        <f>IF(ISBLANK(D35),"Input required","Ok")</f>
        <v>Input required</v>
      </c>
      <c r="G35" s="1666" t="str">
        <f>IF(ISBLANK(E35),"Input required","Ok")</f>
        <v>Input required</v>
      </c>
    </row>
    <row r="36" spans="1:7" ht="15" x14ac:dyDescent="0.25">
      <c r="A36" s="1201" t="s">
        <v>1991</v>
      </c>
      <c r="B36" s="1001"/>
      <c r="C36" s="1002"/>
      <c r="D36" s="1003"/>
      <c r="E36" s="1003"/>
    </row>
    <row r="37" spans="1:7" ht="15" x14ac:dyDescent="0.25">
      <c r="A37" s="1202" t="s">
        <v>1992</v>
      </c>
      <c r="B37" s="1005"/>
      <c r="C37" s="1006"/>
      <c r="D37" s="682"/>
      <c r="E37" s="682"/>
      <c r="F37" s="1666" t="str">
        <f t="shared" ref="F37:G39" si="3">IF(ISBLANK(D37),"Input required","Ok")</f>
        <v>Input required</v>
      </c>
      <c r="G37" s="1666" t="str">
        <f t="shared" si="3"/>
        <v>Input required</v>
      </c>
    </row>
    <row r="38" spans="1:7" ht="15" x14ac:dyDescent="0.25">
      <c r="A38" s="1202" t="s">
        <v>1993</v>
      </c>
      <c r="B38" s="1005"/>
      <c r="C38" s="1006"/>
      <c r="D38" s="682"/>
      <c r="E38" s="682"/>
      <c r="F38" s="1666" t="str">
        <f t="shared" si="3"/>
        <v>Input required</v>
      </c>
      <c r="G38" s="1666" t="str">
        <f t="shared" si="3"/>
        <v>Input required</v>
      </c>
    </row>
    <row r="39" spans="1:7" ht="15" x14ac:dyDescent="0.25">
      <c r="A39" s="1202" t="s">
        <v>1994</v>
      </c>
      <c r="B39" s="1005"/>
      <c r="C39" s="1006"/>
      <c r="D39" s="682"/>
      <c r="E39" s="682"/>
      <c r="F39" s="1666" t="str">
        <f t="shared" si="3"/>
        <v>Input required</v>
      </c>
      <c r="G39" s="1666" t="str">
        <f t="shared" si="3"/>
        <v>Input required</v>
      </c>
    </row>
    <row r="40" spans="1:7" ht="15" x14ac:dyDescent="0.25">
      <c r="A40" s="1201" t="s">
        <v>1991</v>
      </c>
      <c r="B40" s="1001"/>
      <c r="C40" s="1002"/>
      <c r="D40" s="1003"/>
      <c r="E40" s="1003"/>
    </row>
    <row r="41" spans="1:7" ht="15" x14ac:dyDescent="0.25">
      <c r="A41" s="1202" t="s">
        <v>1995</v>
      </c>
      <c r="B41" s="1005"/>
      <c r="C41" s="1006"/>
      <c r="D41" s="682"/>
      <c r="E41" s="682"/>
      <c r="F41" s="1666" t="str">
        <f>IF(ISBLANK(D41),"Input required","Ok")</f>
        <v>Input required</v>
      </c>
      <c r="G41" s="1666" t="str">
        <f>IF(ISBLANK(E41),"Input required","Ok")</f>
        <v>Input required</v>
      </c>
    </row>
    <row r="42" spans="1:7" ht="29.25" customHeight="1" x14ac:dyDescent="0.25">
      <c r="A42" s="1934" t="s">
        <v>1996</v>
      </c>
      <c r="B42" s="1935"/>
      <c r="C42" s="1936"/>
      <c r="D42" s="682"/>
      <c r="E42" s="682"/>
      <c r="F42" s="1666" t="str">
        <f>IF(ISBLANK(D42),"Input required","Ok")</f>
        <v>Input required</v>
      </c>
      <c r="G42" s="1666" t="str">
        <f>IF(ISBLANK(E42),"Input required","Ok")</f>
        <v>Input required</v>
      </c>
    </row>
    <row r="43" spans="1:7" ht="15" x14ac:dyDescent="0.25">
      <c r="A43" s="1201" t="s">
        <v>1991</v>
      </c>
      <c r="B43" s="1001"/>
      <c r="C43" s="1002"/>
      <c r="D43" s="1003"/>
      <c r="E43" s="1003"/>
    </row>
    <row r="44" spans="1:7" ht="15" x14ac:dyDescent="0.25">
      <c r="A44" s="1203" t="s">
        <v>1997</v>
      </c>
      <c r="B44" s="1005"/>
      <c r="C44" s="1006"/>
      <c r="D44" s="682"/>
      <c r="E44" s="682"/>
      <c r="F44" s="1666" t="str">
        <f>IF(ISBLANK(D44),"Input required","Ok")</f>
        <v>Input required</v>
      </c>
      <c r="G44" s="1666" t="str">
        <f>IF(ISBLANK(E44),"Input required","Ok")</f>
        <v>Input required</v>
      </c>
    </row>
    <row r="45" spans="1:7" ht="15" x14ac:dyDescent="0.25">
      <c r="A45" s="989"/>
      <c r="B45" s="989"/>
      <c r="C45" s="989"/>
      <c r="D45" s="989"/>
      <c r="E45" s="989"/>
    </row>
    <row r="46" spans="1:7" ht="15" x14ac:dyDescent="0.25">
      <c r="A46" s="989"/>
      <c r="B46" s="989"/>
      <c r="C46" s="989"/>
      <c r="D46" s="989"/>
      <c r="E46" s="989"/>
    </row>
    <row r="47" spans="1:7" ht="15" x14ac:dyDescent="0.25">
      <c r="A47" s="999" t="s">
        <v>1755</v>
      </c>
      <c r="B47" s="989"/>
      <c r="C47" s="989"/>
      <c r="D47" s="989"/>
      <c r="E47" s="989"/>
    </row>
    <row r="48" spans="1:7" ht="42.75" x14ac:dyDescent="0.25">
      <c r="A48" s="1007" t="s">
        <v>1756</v>
      </c>
      <c r="B48" s="986" t="s">
        <v>1757</v>
      </c>
      <c r="C48" s="1669" t="s">
        <v>2466</v>
      </c>
      <c r="D48" s="989"/>
      <c r="E48" s="989"/>
    </row>
    <row r="49" spans="1:5" ht="15" x14ac:dyDescent="0.25">
      <c r="A49" s="1012" t="s">
        <v>1906</v>
      </c>
      <c r="B49" s="682"/>
      <c r="C49" s="1666" t="str">
        <f>IF(ISBLANK(B49),"Input required","Ok")</f>
        <v>Input required</v>
      </c>
      <c r="D49" s="989"/>
      <c r="E49" s="989"/>
    </row>
    <row r="50" spans="1:5" ht="15" x14ac:dyDescent="0.25">
      <c r="A50" s="1012" t="s">
        <v>1907</v>
      </c>
      <c r="B50" s="682"/>
      <c r="C50" s="1666" t="str">
        <f t="shared" ref="C50:C106" si="4">IF(ISBLANK(B50),"Input required","Ok")</f>
        <v>Input required</v>
      </c>
      <c r="D50" s="989"/>
      <c r="E50" s="989"/>
    </row>
    <row r="51" spans="1:5" ht="15" x14ac:dyDescent="0.25">
      <c r="A51" s="1012" t="s">
        <v>1908</v>
      </c>
      <c r="B51" s="682"/>
      <c r="C51" s="1666" t="str">
        <f t="shared" si="4"/>
        <v>Input required</v>
      </c>
      <c r="D51" s="989"/>
      <c r="E51" s="989"/>
    </row>
    <row r="52" spans="1:5" ht="15" x14ac:dyDescent="0.25">
      <c r="A52" s="1012" t="s">
        <v>1909</v>
      </c>
      <c r="B52" s="682"/>
      <c r="C52" s="1666" t="str">
        <f t="shared" si="4"/>
        <v>Input required</v>
      </c>
      <c r="D52" s="989"/>
      <c r="E52" s="989"/>
    </row>
    <row r="53" spans="1:5" ht="15" x14ac:dyDescent="0.25">
      <c r="A53" s="1012" t="s">
        <v>1928</v>
      </c>
      <c r="B53" s="682"/>
      <c r="C53" s="1666" t="str">
        <f t="shared" si="4"/>
        <v>Input required</v>
      </c>
      <c r="D53" s="989"/>
      <c r="E53" s="989"/>
    </row>
    <row r="54" spans="1:5" ht="15" x14ac:dyDescent="0.25">
      <c r="A54" s="1012" t="s">
        <v>1910</v>
      </c>
      <c r="B54" s="682"/>
      <c r="C54" s="1666" t="str">
        <f t="shared" si="4"/>
        <v>Input required</v>
      </c>
      <c r="D54" s="989"/>
      <c r="E54" s="989"/>
    </row>
    <row r="55" spans="1:5" ht="15" x14ac:dyDescent="0.25">
      <c r="A55" s="1012" t="s">
        <v>1929</v>
      </c>
      <c r="B55" s="682"/>
      <c r="C55" s="1666" t="str">
        <f t="shared" si="4"/>
        <v>Input required</v>
      </c>
      <c r="D55" s="989"/>
      <c r="E55" s="989"/>
    </row>
    <row r="56" spans="1:5" ht="15" x14ac:dyDescent="0.25">
      <c r="A56" s="1012" t="s">
        <v>1911</v>
      </c>
      <c r="B56" s="682"/>
      <c r="C56" s="1666" t="str">
        <f t="shared" si="4"/>
        <v>Input required</v>
      </c>
      <c r="D56" s="989"/>
      <c r="E56" s="989"/>
    </row>
    <row r="57" spans="1:5" ht="15" x14ac:dyDescent="0.25">
      <c r="A57" s="1012" t="s">
        <v>1930</v>
      </c>
      <c r="B57" s="682"/>
      <c r="C57" s="1666" t="str">
        <f t="shared" si="4"/>
        <v>Input required</v>
      </c>
      <c r="D57" s="989"/>
      <c r="E57" s="989"/>
    </row>
    <row r="58" spans="1:5" ht="15" x14ac:dyDescent="0.25">
      <c r="A58" s="1012" t="s">
        <v>1912</v>
      </c>
      <c r="B58" s="682"/>
      <c r="C58" s="1666" t="str">
        <f t="shared" si="4"/>
        <v>Input required</v>
      </c>
      <c r="D58" s="989"/>
      <c r="E58" s="989"/>
    </row>
    <row r="59" spans="1:5" ht="15" x14ac:dyDescent="0.25">
      <c r="A59" s="1012" t="s">
        <v>1934</v>
      </c>
      <c r="B59" s="682"/>
      <c r="C59" s="1666" t="str">
        <f t="shared" si="4"/>
        <v>Input required</v>
      </c>
      <c r="D59" s="989"/>
      <c r="E59" s="989"/>
    </row>
    <row r="60" spans="1:5" ht="15" x14ac:dyDescent="0.25">
      <c r="A60" s="1012" t="s">
        <v>1758</v>
      </c>
      <c r="B60" s="682"/>
      <c r="C60" s="1666" t="str">
        <f t="shared" si="4"/>
        <v>Input required</v>
      </c>
      <c r="D60" s="989"/>
      <c r="E60" s="989"/>
    </row>
    <row r="61" spans="1:5" ht="15" x14ac:dyDescent="0.25">
      <c r="A61" s="1008" t="s">
        <v>1759</v>
      </c>
      <c r="B61" s="682"/>
      <c r="C61" s="1666" t="str">
        <f t="shared" si="4"/>
        <v>Input required</v>
      </c>
      <c r="D61" s="989"/>
      <c r="E61" s="989"/>
    </row>
    <row r="62" spans="1:5" ht="15" x14ac:dyDescent="0.25">
      <c r="A62" s="1008" t="s">
        <v>1760</v>
      </c>
      <c r="B62" s="682"/>
      <c r="C62" s="1666" t="str">
        <f t="shared" si="4"/>
        <v>Input required</v>
      </c>
      <c r="D62" s="989"/>
      <c r="E62" s="989"/>
    </row>
    <row r="63" spans="1:5" ht="15" x14ac:dyDescent="0.25">
      <c r="A63" s="1008" t="s">
        <v>1761</v>
      </c>
      <c r="B63" s="682"/>
      <c r="C63" s="1666" t="str">
        <f t="shared" si="4"/>
        <v>Input required</v>
      </c>
      <c r="D63" s="989"/>
      <c r="E63" s="989"/>
    </row>
    <row r="64" spans="1:5" ht="15" x14ac:dyDescent="0.25">
      <c r="A64" s="1008" t="s">
        <v>1762</v>
      </c>
      <c r="B64" s="682"/>
      <c r="C64" s="1666" t="str">
        <f t="shared" si="4"/>
        <v>Input required</v>
      </c>
      <c r="D64" s="989"/>
      <c r="E64" s="989"/>
    </row>
    <row r="65" spans="1:5" ht="15" x14ac:dyDescent="0.25">
      <c r="A65" s="1008" t="s">
        <v>1763</v>
      </c>
      <c r="B65" s="682"/>
      <c r="C65" s="1666" t="str">
        <f t="shared" si="4"/>
        <v>Input required</v>
      </c>
      <c r="D65" s="989"/>
      <c r="E65" s="989"/>
    </row>
    <row r="66" spans="1:5" ht="15" x14ac:dyDescent="0.25">
      <c r="A66" s="1008" t="s">
        <v>1764</v>
      </c>
      <c r="B66" s="682"/>
      <c r="C66" s="1666" t="str">
        <f t="shared" si="4"/>
        <v>Input required</v>
      </c>
      <c r="D66" s="989"/>
      <c r="E66" s="989"/>
    </row>
    <row r="67" spans="1:5" ht="15" x14ac:dyDescent="0.25">
      <c r="A67" s="1008" t="s">
        <v>1765</v>
      </c>
      <c r="B67" s="682"/>
      <c r="C67" s="1666" t="str">
        <f t="shared" si="4"/>
        <v>Input required</v>
      </c>
      <c r="D67" s="989"/>
      <c r="E67" s="989"/>
    </row>
    <row r="68" spans="1:5" ht="15" x14ac:dyDescent="0.25">
      <c r="A68" s="1008" t="s">
        <v>1766</v>
      </c>
      <c r="B68" s="682"/>
      <c r="C68" s="1666" t="str">
        <f t="shared" si="4"/>
        <v>Input required</v>
      </c>
      <c r="D68" s="989"/>
      <c r="E68" s="989"/>
    </row>
    <row r="69" spans="1:5" ht="15" x14ac:dyDescent="0.25">
      <c r="A69" s="1008" t="s">
        <v>1767</v>
      </c>
      <c r="B69" s="682"/>
      <c r="C69" s="1666" t="str">
        <f t="shared" si="4"/>
        <v>Input required</v>
      </c>
      <c r="D69" s="989"/>
      <c r="E69" s="989"/>
    </row>
    <row r="70" spans="1:5" ht="15" x14ac:dyDescent="0.25">
      <c r="A70" s="1008" t="s">
        <v>1768</v>
      </c>
      <c r="B70" s="682"/>
      <c r="C70" s="1666" t="str">
        <f t="shared" si="4"/>
        <v>Input required</v>
      </c>
      <c r="D70" s="989"/>
      <c r="E70" s="989"/>
    </row>
    <row r="71" spans="1:5" ht="15" x14ac:dyDescent="0.25">
      <c r="A71" s="1008" t="s">
        <v>1769</v>
      </c>
      <c r="B71" s="682"/>
      <c r="C71" s="1666" t="str">
        <f t="shared" si="4"/>
        <v>Input required</v>
      </c>
      <c r="D71" s="989"/>
      <c r="E71" s="989"/>
    </row>
    <row r="72" spans="1:5" ht="15" x14ac:dyDescent="0.25">
      <c r="A72" s="1008" t="s">
        <v>1770</v>
      </c>
      <c r="B72" s="682"/>
      <c r="C72" s="1666" t="str">
        <f t="shared" si="4"/>
        <v>Input required</v>
      </c>
      <c r="D72" s="989"/>
      <c r="E72" s="989"/>
    </row>
    <row r="73" spans="1:5" ht="15" x14ac:dyDescent="0.25">
      <c r="A73" s="1008" t="s">
        <v>1771</v>
      </c>
      <c r="B73" s="682"/>
      <c r="C73" s="1666" t="str">
        <f t="shared" si="4"/>
        <v>Input required</v>
      </c>
      <c r="D73" s="989"/>
      <c r="E73" s="989"/>
    </row>
    <row r="74" spans="1:5" ht="15" x14ac:dyDescent="0.25">
      <c r="A74" s="1008" t="s">
        <v>1772</v>
      </c>
      <c r="B74" s="682"/>
      <c r="C74" s="1666" t="str">
        <f t="shared" si="4"/>
        <v>Input required</v>
      </c>
      <c r="D74" s="989"/>
      <c r="E74" s="989"/>
    </row>
    <row r="75" spans="1:5" ht="15" x14ac:dyDescent="0.25">
      <c r="A75" s="1008" t="s">
        <v>1773</v>
      </c>
      <c r="B75" s="682"/>
      <c r="C75" s="1666" t="str">
        <f t="shared" si="4"/>
        <v>Input required</v>
      </c>
      <c r="D75" s="989"/>
      <c r="E75" s="989"/>
    </row>
    <row r="76" spans="1:5" ht="15" x14ac:dyDescent="0.25">
      <c r="A76" s="1008" t="s">
        <v>1774</v>
      </c>
      <c r="B76" s="682"/>
      <c r="C76" s="1666" t="str">
        <f t="shared" si="4"/>
        <v>Input required</v>
      </c>
      <c r="D76" s="989"/>
      <c r="E76" s="989"/>
    </row>
    <row r="77" spans="1:5" ht="15" x14ac:dyDescent="0.25">
      <c r="A77" s="1008" t="s">
        <v>1775</v>
      </c>
      <c r="B77" s="682"/>
      <c r="C77" s="1666" t="str">
        <f t="shared" si="4"/>
        <v>Input required</v>
      </c>
      <c r="D77" s="989"/>
      <c r="E77" s="989"/>
    </row>
    <row r="78" spans="1:5" ht="15" x14ac:dyDescent="0.25">
      <c r="A78" s="1008" t="s">
        <v>1776</v>
      </c>
      <c r="B78" s="682"/>
      <c r="C78" s="1666" t="str">
        <f t="shared" si="4"/>
        <v>Input required</v>
      </c>
      <c r="D78" s="989"/>
      <c r="E78" s="989"/>
    </row>
    <row r="79" spans="1:5" ht="15" x14ac:dyDescent="0.25">
      <c r="A79" s="1008" t="s">
        <v>1777</v>
      </c>
      <c r="B79" s="682"/>
      <c r="C79" s="1666" t="str">
        <f t="shared" si="4"/>
        <v>Input required</v>
      </c>
      <c r="D79" s="989"/>
      <c r="E79" s="989"/>
    </row>
    <row r="80" spans="1:5" ht="15" x14ac:dyDescent="0.25">
      <c r="A80" s="1008" t="s">
        <v>1778</v>
      </c>
      <c r="B80" s="682"/>
      <c r="C80" s="1666" t="str">
        <f t="shared" si="4"/>
        <v>Input required</v>
      </c>
      <c r="D80" s="989"/>
      <c r="E80" s="989"/>
    </row>
    <row r="81" spans="1:5" ht="15" x14ac:dyDescent="0.25">
      <c r="A81" s="1008" t="s">
        <v>1779</v>
      </c>
      <c r="B81" s="682"/>
      <c r="C81" s="1666" t="str">
        <f t="shared" si="4"/>
        <v>Input required</v>
      </c>
      <c r="D81" s="989"/>
      <c r="E81" s="989"/>
    </row>
    <row r="82" spans="1:5" ht="15" x14ac:dyDescent="0.25">
      <c r="A82" s="1008" t="s">
        <v>1780</v>
      </c>
      <c r="B82" s="682"/>
      <c r="C82" s="1666" t="str">
        <f t="shared" si="4"/>
        <v>Input required</v>
      </c>
      <c r="D82" s="989"/>
      <c r="E82" s="989"/>
    </row>
    <row r="83" spans="1:5" ht="15" x14ac:dyDescent="0.25">
      <c r="A83" s="1008" t="s">
        <v>1781</v>
      </c>
      <c r="B83" s="682"/>
      <c r="C83" s="1666" t="str">
        <f t="shared" si="4"/>
        <v>Input required</v>
      </c>
      <c r="D83" s="989"/>
      <c r="E83" s="989"/>
    </row>
    <row r="84" spans="1:5" ht="15" x14ac:dyDescent="0.25">
      <c r="A84" s="1008" t="s">
        <v>1782</v>
      </c>
      <c r="B84" s="682"/>
      <c r="C84" s="1666" t="str">
        <f t="shared" si="4"/>
        <v>Input required</v>
      </c>
      <c r="D84" s="989"/>
      <c r="E84" s="989"/>
    </row>
    <row r="85" spans="1:5" ht="15" x14ac:dyDescent="0.25">
      <c r="A85" s="1008" t="s">
        <v>1783</v>
      </c>
      <c r="B85" s="682"/>
      <c r="C85" s="1666" t="str">
        <f t="shared" si="4"/>
        <v>Input required</v>
      </c>
      <c r="D85" s="989"/>
      <c r="E85" s="989"/>
    </row>
    <row r="86" spans="1:5" ht="15" x14ac:dyDescent="0.25">
      <c r="A86" s="1008" t="s">
        <v>1784</v>
      </c>
      <c r="B86" s="682"/>
      <c r="C86" s="1666" t="str">
        <f t="shared" si="4"/>
        <v>Input required</v>
      </c>
      <c r="D86" s="989"/>
      <c r="E86" s="989"/>
    </row>
    <row r="87" spans="1:5" ht="15" x14ac:dyDescent="0.25">
      <c r="A87" s="1008" t="s">
        <v>1785</v>
      </c>
      <c r="B87" s="682"/>
      <c r="C87" s="1666" t="str">
        <f t="shared" si="4"/>
        <v>Input required</v>
      </c>
      <c r="D87" s="989"/>
      <c r="E87" s="989"/>
    </row>
    <row r="88" spans="1:5" ht="15" x14ac:dyDescent="0.25">
      <c r="A88" s="1008" t="s">
        <v>1786</v>
      </c>
      <c r="B88" s="682"/>
      <c r="C88" s="1666" t="str">
        <f t="shared" si="4"/>
        <v>Input required</v>
      </c>
      <c r="D88" s="989"/>
      <c r="E88" s="989"/>
    </row>
    <row r="89" spans="1:5" ht="15" x14ac:dyDescent="0.25">
      <c r="A89" s="1008" t="s">
        <v>1914</v>
      </c>
      <c r="B89" s="682"/>
      <c r="C89" s="1666" t="str">
        <f t="shared" si="4"/>
        <v>Input required</v>
      </c>
      <c r="D89" s="989"/>
      <c r="E89" s="989"/>
    </row>
    <row r="90" spans="1:5" ht="15" x14ac:dyDescent="0.25">
      <c r="A90" s="1008" t="s">
        <v>1913</v>
      </c>
      <c r="B90" s="682"/>
      <c r="C90" s="1666" t="str">
        <f t="shared" si="4"/>
        <v>Input required</v>
      </c>
      <c r="D90" s="989"/>
      <c r="E90" s="989"/>
    </row>
    <row r="91" spans="1:5" ht="15" x14ac:dyDescent="0.25">
      <c r="A91" s="1008" t="s">
        <v>1915</v>
      </c>
      <c r="B91" s="682"/>
      <c r="C91" s="1666" t="str">
        <f t="shared" si="4"/>
        <v>Input required</v>
      </c>
      <c r="D91" s="989"/>
      <c r="E91" s="989"/>
    </row>
    <row r="92" spans="1:5" ht="15" x14ac:dyDescent="0.25">
      <c r="A92" s="1008" t="s">
        <v>1917</v>
      </c>
      <c r="B92" s="682"/>
      <c r="C92" s="1666" t="str">
        <f t="shared" si="4"/>
        <v>Input required</v>
      </c>
      <c r="D92" s="989"/>
      <c r="E92" s="989"/>
    </row>
    <row r="93" spans="1:5" ht="15" x14ac:dyDescent="0.25">
      <c r="A93" s="1008" t="s">
        <v>1916</v>
      </c>
      <c r="B93" s="682"/>
      <c r="C93" s="1666" t="str">
        <f t="shared" si="4"/>
        <v>Input required</v>
      </c>
      <c r="D93" s="989"/>
      <c r="E93" s="989"/>
    </row>
    <row r="94" spans="1:5" ht="15" x14ac:dyDescent="0.25">
      <c r="A94" s="1008" t="s">
        <v>1918</v>
      </c>
      <c r="B94" s="682"/>
      <c r="C94" s="1666" t="str">
        <f t="shared" si="4"/>
        <v>Input required</v>
      </c>
      <c r="D94" s="989"/>
      <c r="E94" s="989"/>
    </row>
    <row r="95" spans="1:5" ht="15" x14ac:dyDescent="0.25">
      <c r="A95" s="1008" t="s">
        <v>1919</v>
      </c>
      <c r="B95" s="682"/>
      <c r="C95" s="1666" t="str">
        <f t="shared" si="4"/>
        <v>Input required</v>
      </c>
      <c r="D95" s="989"/>
      <c r="E95" s="989"/>
    </row>
    <row r="96" spans="1:5" ht="15" x14ac:dyDescent="0.25">
      <c r="A96" s="1008" t="s">
        <v>1920</v>
      </c>
      <c r="B96" s="682"/>
      <c r="C96" s="1666" t="str">
        <f t="shared" si="4"/>
        <v>Input required</v>
      </c>
      <c r="D96" s="989"/>
      <c r="E96" s="989"/>
    </row>
    <row r="97" spans="1:5" ht="15" x14ac:dyDescent="0.25">
      <c r="A97" s="1008" t="s">
        <v>1921</v>
      </c>
      <c r="B97" s="682"/>
      <c r="C97" s="1666" t="str">
        <f t="shared" si="4"/>
        <v>Input required</v>
      </c>
      <c r="D97" s="989"/>
      <c r="E97" s="989"/>
    </row>
    <row r="98" spans="1:5" ht="15" x14ac:dyDescent="0.25">
      <c r="A98" s="1008" t="s">
        <v>1922</v>
      </c>
      <c r="B98" s="682"/>
      <c r="C98" s="1666" t="str">
        <f>IF(ISBLANK(B98),"Input required","Ok")</f>
        <v>Input required</v>
      </c>
      <c r="D98" s="989"/>
      <c r="E98" s="989"/>
    </row>
    <row r="99" spans="1:5" ht="15" x14ac:dyDescent="0.25">
      <c r="A99" s="1008" t="s">
        <v>1923</v>
      </c>
      <c r="B99" s="682"/>
      <c r="C99" s="1666" t="str">
        <f t="shared" si="4"/>
        <v>Input required</v>
      </c>
      <c r="D99" s="989"/>
      <c r="E99" s="989"/>
    </row>
    <row r="100" spans="1:5" ht="15" x14ac:dyDescent="0.25">
      <c r="A100" s="1008" t="s">
        <v>1924</v>
      </c>
      <c r="B100" s="682"/>
      <c r="C100" s="1666" t="str">
        <f t="shared" si="4"/>
        <v>Input required</v>
      </c>
      <c r="D100" s="989"/>
      <c r="E100" s="989"/>
    </row>
    <row r="101" spans="1:5" ht="15" x14ac:dyDescent="0.25">
      <c r="A101" s="1008" t="s">
        <v>1925</v>
      </c>
      <c r="B101" s="682"/>
      <c r="C101" s="1666" t="str">
        <f t="shared" si="4"/>
        <v>Input required</v>
      </c>
      <c r="D101" s="989"/>
      <c r="E101" s="989"/>
    </row>
    <row r="102" spans="1:5" ht="15" x14ac:dyDescent="0.25">
      <c r="A102" s="1008" t="s">
        <v>1926</v>
      </c>
      <c r="B102" s="682"/>
      <c r="C102" s="1666" t="str">
        <f t="shared" si="4"/>
        <v>Input required</v>
      </c>
      <c r="D102" s="989"/>
      <c r="E102" s="989"/>
    </row>
    <row r="103" spans="1:5" ht="15" x14ac:dyDescent="0.25">
      <c r="A103" s="1008" t="s">
        <v>1931</v>
      </c>
      <c r="B103" s="682"/>
      <c r="C103" s="1666" t="str">
        <f t="shared" si="4"/>
        <v>Input required</v>
      </c>
      <c r="D103" s="989"/>
      <c r="E103" s="989"/>
    </row>
    <row r="104" spans="1:5" ht="15" x14ac:dyDescent="0.25">
      <c r="A104" s="1008" t="s">
        <v>1927</v>
      </c>
      <c r="B104" s="682"/>
      <c r="C104" s="1666" t="str">
        <f t="shared" si="4"/>
        <v>Input required</v>
      </c>
      <c r="D104" s="989"/>
      <c r="E104" s="989"/>
    </row>
    <row r="105" spans="1:5" ht="15" x14ac:dyDescent="0.25">
      <c r="A105" s="1008" t="s">
        <v>1932</v>
      </c>
      <c r="B105" s="682"/>
      <c r="C105" s="1666" t="str">
        <f t="shared" si="4"/>
        <v>Input required</v>
      </c>
      <c r="D105" s="989"/>
      <c r="E105" s="989"/>
    </row>
    <row r="106" spans="1:5" ht="15" x14ac:dyDescent="0.25">
      <c r="A106" s="1008" t="s">
        <v>1933</v>
      </c>
      <c r="B106" s="682"/>
      <c r="C106" s="1666" t="str">
        <f t="shared" si="4"/>
        <v>Input required</v>
      </c>
      <c r="D106" s="989"/>
      <c r="E106" s="989"/>
    </row>
    <row r="107" spans="1:5" ht="15" x14ac:dyDescent="0.25">
      <c r="A107" s="1009" t="s">
        <v>146</v>
      </c>
      <c r="B107" s="1162">
        <f>SUM(B49:B106)</f>
        <v>0</v>
      </c>
      <c r="C107" s="989"/>
      <c r="D107" s="989"/>
      <c r="E107" s="989"/>
    </row>
  </sheetData>
  <sheetProtection algorithmName="SHA-512" hashValue="cu3U5oq3HdV3OrrOVgxs8U8zOE897uFei55g7kwEozYPEQEbhI8BBFIgQjNySAA6xxpDfF0yoNvYd/u9E94XqA==" saltValue="v5dNlQ09AkcbyXvQxKB05w==" spinCount="100000" sheet="1" formatColumns="0" formatRows="0"/>
  <mergeCells count="1">
    <mergeCell ref="A42:C42"/>
  </mergeCells>
  <phoneticPr fontId="83" type="noConversion"/>
  <conditionalFormatting sqref="A1">
    <cfRule type="expression" dxfId="290" priority="27">
      <formula>CELL("Protect",A1)=0</formula>
    </cfRule>
  </conditionalFormatting>
  <conditionalFormatting sqref="B49:B106">
    <cfRule type="expression" dxfId="289" priority="23">
      <formula>CELL("Protect",B49)=0</formula>
    </cfRule>
  </conditionalFormatting>
  <conditionalFormatting sqref="B7:C9">
    <cfRule type="expression" dxfId="288" priority="28">
      <formula>CELL("Protect",B7)=0</formula>
    </cfRule>
  </conditionalFormatting>
  <conditionalFormatting sqref="B14:C15">
    <cfRule type="expression" dxfId="287" priority="35">
      <formula>CELL("Protect",B14)=0</formula>
    </cfRule>
  </conditionalFormatting>
  <conditionalFormatting sqref="C49:C106">
    <cfRule type="containsText" dxfId="286" priority="1" operator="containsText" text="Input required">
      <formula>NOT(ISERROR(SEARCH("Input required",C49)))</formula>
    </cfRule>
    <cfRule type="containsText" dxfId="285" priority="2" operator="containsText" text="Ok">
      <formula>NOT(ISERROR(SEARCH("Ok",C49)))</formula>
    </cfRule>
  </conditionalFormatting>
  <conditionalFormatting sqref="D20:E20">
    <cfRule type="expression" dxfId="284" priority="24">
      <formula>CELL("Protect",D20)=0</formula>
    </cfRule>
  </conditionalFormatting>
  <conditionalFormatting sqref="D25:E31">
    <cfRule type="expression" dxfId="283" priority="37">
      <formula>CELL("Protect",D25)=0</formula>
    </cfRule>
  </conditionalFormatting>
  <conditionalFormatting sqref="D35:E35">
    <cfRule type="expression" dxfId="282" priority="22">
      <formula>CELL("Protect",D35)=0</formula>
    </cfRule>
  </conditionalFormatting>
  <conditionalFormatting sqref="D37:E39">
    <cfRule type="expression" dxfId="281" priority="21">
      <formula>CELL("Protect",D37)=0</formula>
    </cfRule>
  </conditionalFormatting>
  <conditionalFormatting sqref="D41:E42">
    <cfRule type="expression" dxfId="280" priority="20">
      <formula>CELL("Protect",D41)=0</formula>
    </cfRule>
  </conditionalFormatting>
  <conditionalFormatting sqref="D44:E44">
    <cfRule type="expression" dxfId="279" priority="19">
      <formula>CELL("Protect",D44)=0</formula>
    </cfRule>
  </conditionalFormatting>
  <conditionalFormatting sqref="E7:F9">
    <cfRule type="containsText" dxfId="278" priority="17" operator="containsText" text="Input required">
      <formula>NOT(ISERROR(SEARCH("Input required",E7)))</formula>
    </cfRule>
    <cfRule type="containsText" dxfId="277" priority="18" operator="containsText" text="Ok">
      <formula>NOT(ISERROR(SEARCH("Ok",E7)))</formula>
    </cfRule>
  </conditionalFormatting>
  <conditionalFormatting sqref="F14:G15">
    <cfRule type="containsText" dxfId="276" priority="15" operator="containsText" text="Input required">
      <formula>NOT(ISERROR(SEARCH("Input required",F14)))</formula>
    </cfRule>
    <cfRule type="containsText" dxfId="275" priority="16" operator="containsText" text="Ok">
      <formula>NOT(ISERROR(SEARCH("Ok",F14)))</formula>
    </cfRule>
  </conditionalFormatting>
  <conditionalFormatting sqref="F20:G20">
    <cfRule type="containsText" dxfId="274" priority="13" operator="containsText" text="Input required">
      <formula>NOT(ISERROR(SEARCH("Input required",F20)))</formula>
    </cfRule>
    <cfRule type="containsText" dxfId="273" priority="14" operator="containsText" text="Ok">
      <formula>NOT(ISERROR(SEARCH("Ok",F20)))</formula>
    </cfRule>
  </conditionalFormatting>
  <conditionalFormatting sqref="F25:G31">
    <cfRule type="containsText" dxfId="272" priority="11" operator="containsText" text="Input required">
      <formula>NOT(ISERROR(SEARCH("Input required",F25)))</formula>
    </cfRule>
    <cfRule type="containsText" dxfId="271" priority="12" operator="containsText" text="Ok">
      <formula>NOT(ISERROR(SEARCH("Ok",F25)))</formula>
    </cfRule>
  </conditionalFormatting>
  <conditionalFormatting sqref="F35:G35">
    <cfRule type="containsText" dxfId="270" priority="9" operator="containsText" text="Input required">
      <formula>NOT(ISERROR(SEARCH("Input required",F35)))</formula>
    </cfRule>
    <cfRule type="containsText" dxfId="269" priority="10" operator="containsText" text="Ok">
      <formula>NOT(ISERROR(SEARCH("Ok",F35)))</formula>
    </cfRule>
  </conditionalFormatting>
  <conditionalFormatting sqref="F37:G39">
    <cfRule type="containsText" dxfId="268" priority="7" operator="containsText" text="Input required">
      <formula>NOT(ISERROR(SEARCH("Input required",F37)))</formula>
    </cfRule>
    <cfRule type="containsText" dxfId="267" priority="8" operator="containsText" text="Ok">
      <formula>NOT(ISERROR(SEARCH("Ok",F37)))</formula>
    </cfRule>
  </conditionalFormatting>
  <conditionalFormatting sqref="F41:G42">
    <cfRule type="containsText" dxfId="266" priority="5" operator="containsText" text="Input required">
      <formula>NOT(ISERROR(SEARCH("Input required",F41)))</formula>
    </cfRule>
    <cfRule type="containsText" dxfId="265" priority="6" operator="containsText" text="Ok">
      <formula>NOT(ISERROR(SEARCH("Ok",F41)))</formula>
    </cfRule>
  </conditionalFormatting>
  <conditionalFormatting sqref="F44:G44">
    <cfRule type="containsText" dxfId="264" priority="3" operator="containsText" text="Input required">
      <formula>NOT(ISERROR(SEARCH("Input required",F44)))</formula>
    </cfRule>
    <cfRule type="containsText" dxfId="263" priority="4" operator="containsText" text="Ok">
      <formula>NOT(ISERROR(SEARCH("Ok",F44)))</formula>
    </cfRule>
  </conditionalFormatting>
  <pageMargins left="0.74803149606299213" right="0.74803149606299213" top="0.59055118110236227" bottom="0.59055118110236227" header="0.51181102362204722" footer="0.51181102362204722"/>
  <pageSetup paperSize="9" scale="58" orientation="landscape"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5">
    <tabColor rgb="FFFFFF00"/>
    <pageSetUpPr fitToPage="1"/>
  </sheetPr>
  <dimension ref="A1:AF68"/>
  <sheetViews>
    <sheetView zoomScale="90" zoomScaleNormal="90" workbookViewId="0">
      <pane xSplit="4" ySplit="10" topLeftCell="E11" activePane="bottomRight" state="frozen"/>
      <selection activeCell="F10" sqref="F10"/>
      <selection pane="topRight" activeCell="F10" sqref="F10"/>
      <selection pane="bottomLeft" activeCell="F10" sqref="F10"/>
      <selection pane="bottomRight" activeCell="E11" sqref="E11"/>
    </sheetView>
  </sheetViews>
  <sheetFormatPr defaultColWidth="9.140625" defaultRowHeight="12.75" outlineLevelRow="1" outlineLevelCol="1" x14ac:dyDescent="0.2"/>
  <cols>
    <col min="1" max="1" width="83.140625" style="397" customWidth="1"/>
    <col min="2" max="3" width="14.85546875" style="397" customWidth="1"/>
    <col min="4" max="4" width="13.140625" style="397" customWidth="1"/>
    <col min="5" max="5" width="14" style="397" customWidth="1"/>
    <col min="6" max="8" width="9.140625" style="397"/>
    <col min="9" max="29" width="9.140625" style="397" outlineLevel="1"/>
    <col min="30" max="30" width="9.140625" style="397"/>
    <col min="31" max="31" width="16.140625" style="397" customWidth="1"/>
    <col min="32" max="16384" width="9.140625" style="397"/>
  </cols>
  <sheetData>
    <row r="1" spans="1:32" x14ac:dyDescent="0.2">
      <c r="A1" s="416" t="str">
        <f>'alb Instructions'!$B$20</f>
        <v>enter HSC Body name here</v>
      </c>
      <c r="B1" s="416"/>
      <c r="C1" s="416"/>
      <c r="D1" s="416"/>
      <c r="E1" s="416"/>
    </row>
    <row r="3" spans="1:32" x14ac:dyDescent="0.2">
      <c r="A3" s="416" t="s">
        <v>927</v>
      </c>
      <c r="B3" s="436"/>
      <c r="C3" s="436"/>
      <c r="D3" s="436"/>
    </row>
    <row r="4" spans="1:32" x14ac:dyDescent="0.2">
      <c r="E4" s="501"/>
    </row>
    <row r="5" spans="1:32" x14ac:dyDescent="0.2">
      <c r="A5" s="388" t="s">
        <v>928</v>
      </c>
      <c r="E5" s="501"/>
    </row>
    <row r="6" spans="1:32" x14ac:dyDescent="0.2">
      <c r="E6" s="501"/>
    </row>
    <row r="7" spans="1:32" x14ac:dyDescent="0.2">
      <c r="A7" s="388" t="s">
        <v>929</v>
      </c>
      <c r="B7" s="470"/>
    </row>
    <row r="8" spans="1:32" x14ac:dyDescent="0.2">
      <c r="B8" s="462"/>
      <c r="C8" s="462"/>
      <c r="D8" s="461" t="str">
        <f>Update!$C$38</f>
        <v>2025-26</v>
      </c>
      <c r="E8" s="461" t="str">
        <f>Update!$C$37</f>
        <v>2024-25</v>
      </c>
      <c r="I8" s="388" t="s">
        <v>930</v>
      </c>
    </row>
    <row r="9" spans="1:32" ht="67.5" x14ac:dyDescent="0.2">
      <c r="A9" s="388" t="s">
        <v>931</v>
      </c>
      <c r="B9" s="463" t="s">
        <v>390</v>
      </c>
      <c r="C9" s="463" t="s">
        <v>389</v>
      </c>
      <c r="D9" s="463" t="s">
        <v>146</v>
      </c>
      <c r="E9" s="461" t="s">
        <v>146</v>
      </c>
      <c r="H9" s="414" t="s">
        <v>604</v>
      </c>
      <c r="I9" s="413" t="s">
        <v>48</v>
      </c>
      <c r="J9" s="413" t="s">
        <v>2457</v>
      </c>
      <c r="K9" s="413" t="s">
        <v>5</v>
      </c>
      <c r="L9" s="413" t="s">
        <v>11</v>
      </c>
      <c r="M9" s="413" t="s">
        <v>25</v>
      </c>
      <c r="N9" s="413" t="s">
        <v>17</v>
      </c>
      <c r="O9" s="413" t="s">
        <v>19</v>
      </c>
      <c r="P9" s="413" t="s">
        <v>35</v>
      </c>
      <c r="Q9" s="413" t="s">
        <v>900</v>
      </c>
      <c r="R9" s="413" t="s">
        <v>2446</v>
      </c>
      <c r="S9" s="413" t="s">
        <v>23</v>
      </c>
      <c r="T9" s="413" t="s">
        <v>33</v>
      </c>
      <c r="U9" s="413" t="s">
        <v>31</v>
      </c>
      <c r="V9" s="413" t="s">
        <v>7</v>
      </c>
      <c r="W9" s="413" t="s">
        <v>27</v>
      </c>
      <c r="X9" s="413" t="s">
        <v>29</v>
      </c>
      <c r="Y9" s="413" t="s">
        <v>13</v>
      </c>
      <c r="Z9" s="413" t="s">
        <v>9</v>
      </c>
      <c r="AA9" s="413" t="s">
        <v>15</v>
      </c>
      <c r="AB9" s="413" t="s">
        <v>37</v>
      </c>
      <c r="AC9" s="413" t="s">
        <v>39</v>
      </c>
      <c r="AD9" s="412" t="s">
        <v>932</v>
      </c>
      <c r="AE9" s="412" t="s">
        <v>63</v>
      </c>
    </row>
    <row r="10" spans="1:32" ht="15" x14ac:dyDescent="0.2">
      <c r="A10" s="1045" t="s">
        <v>1954</v>
      </c>
      <c r="B10" s="468" t="s">
        <v>493</v>
      </c>
      <c r="C10" s="468" t="s">
        <v>493</v>
      </c>
      <c r="D10" s="468" t="s">
        <v>493</v>
      </c>
      <c r="E10" s="468" t="s">
        <v>493</v>
      </c>
      <c r="H10" s="411" t="s">
        <v>62</v>
      </c>
      <c r="I10" s="411" t="s">
        <v>62</v>
      </c>
      <c r="J10" s="411" t="s">
        <v>62</v>
      </c>
      <c r="K10" s="411" t="s">
        <v>62</v>
      </c>
      <c r="L10" s="411" t="s">
        <v>62</v>
      </c>
      <c r="M10" s="411" t="s">
        <v>62</v>
      </c>
      <c r="N10" s="411" t="s">
        <v>62</v>
      </c>
      <c r="O10" s="411" t="s">
        <v>62</v>
      </c>
      <c r="P10" s="411" t="s">
        <v>62</v>
      </c>
      <c r="Q10" s="411" t="s">
        <v>62</v>
      </c>
      <c r="R10" s="411" t="s">
        <v>62</v>
      </c>
      <c r="S10" s="411" t="s">
        <v>62</v>
      </c>
      <c r="T10" s="411" t="s">
        <v>62</v>
      </c>
      <c r="U10" s="411" t="s">
        <v>62</v>
      </c>
      <c r="V10" s="411" t="s">
        <v>62</v>
      </c>
      <c r="W10" s="411" t="s">
        <v>62</v>
      </c>
      <c r="X10" s="411" t="s">
        <v>62</v>
      </c>
      <c r="Y10" s="411" t="s">
        <v>62</v>
      </c>
      <c r="Z10" s="411" t="s">
        <v>62</v>
      </c>
      <c r="AA10" s="411" t="s">
        <v>62</v>
      </c>
      <c r="AB10" s="411" t="s">
        <v>62</v>
      </c>
      <c r="AC10" s="411" t="s">
        <v>62</v>
      </c>
      <c r="AD10" s="508" t="s">
        <v>62</v>
      </c>
      <c r="AE10" s="508"/>
    </row>
    <row r="11" spans="1:32" x14ac:dyDescent="0.2">
      <c r="A11" s="384" t="s">
        <v>152</v>
      </c>
      <c r="B11" s="455"/>
      <c r="C11" s="455"/>
      <c r="D11" s="459">
        <f>SUM(B11:C11)</f>
        <v>0</v>
      </c>
      <c r="E11" s="460"/>
      <c r="H11" s="506">
        <f>SUM(I11:AC11)</f>
        <v>0</v>
      </c>
      <c r="I11" s="505"/>
      <c r="J11" s="505"/>
      <c r="K11" s="505"/>
      <c r="L11" s="505"/>
      <c r="M11" s="505"/>
      <c r="N11" s="505"/>
      <c r="O11" s="505"/>
      <c r="P11" s="505"/>
      <c r="Q11" s="505"/>
      <c r="R11" s="505"/>
      <c r="S11" s="505"/>
      <c r="T11" s="505"/>
      <c r="U11" s="505"/>
      <c r="V11" s="505"/>
      <c r="W11" s="505"/>
      <c r="X11" s="505"/>
      <c r="Y11" s="505"/>
      <c r="Z11" s="505"/>
      <c r="AA11" s="505"/>
      <c r="AB11" s="505"/>
      <c r="AC11" s="505"/>
      <c r="AD11" s="504">
        <f>D11-H11</f>
        <v>0</v>
      </c>
      <c r="AE11" s="503" t="str">
        <f>IF(D11&gt;=0,IF(H11&gt;=0,IF(D11&gt;=H11,"Ok ","Check size "),"Check sign"),IF(H11&gt;0,"Check sign ",IF(ABS(D11)&gt;=ABS(H11),"Ok ","Check size ")))</f>
        <v xml:space="preserve">Ok </v>
      </c>
      <c r="AF11" s="457"/>
    </row>
    <row r="12" spans="1:32" x14ac:dyDescent="0.2">
      <c r="A12" s="397" t="s">
        <v>153</v>
      </c>
      <c r="B12" s="455"/>
      <c r="C12" s="455"/>
      <c r="D12" s="459">
        <f>SUM(B12:C12)</f>
        <v>0</v>
      </c>
      <c r="E12" s="460"/>
      <c r="H12" s="506">
        <f>SUM(I12:AC12)</f>
        <v>0</v>
      </c>
      <c r="I12" s="505"/>
      <c r="J12" s="505"/>
      <c r="K12" s="505"/>
      <c r="L12" s="505"/>
      <c r="M12" s="505"/>
      <c r="N12" s="505"/>
      <c r="O12" s="505"/>
      <c r="P12" s="505"/>
      <c r="Q12" s="505"/>
      <c r="R12" s="505"/>
      <c r="S12" s="505"/>
      <c r="T12" s="505"/>
      <c r="U12" s="505"/>
      <c r="V12" s="505"/>
      <c r="W12" s="505"/>
      <c r="X12" s="505"/>
      <c r="Y12" s="505"/>
      <c r="Z12" s="505"/>
      <c r="AA12" s="505"/>
      <c r="AB12" s="505"/>
      <c r="AC12" s="505"/>
      <c r="AD12" s="504">
        <f>D12-H12</f>
        <v>0</v>
      </c>
      <c r="AE12" s="503" t="str">
        <f>IF(D12&gt;=0,IF(H12&gt;=0,IF(D12&gt;=H12,"Ok ","Check size "),"Check sign"),IF(H12&gt;0,"Check sign ",IF(ABS(D12)&gt;=ABS(H12),"Ok ","Check size ")))</f>
        <v xml:space="preserve">Ok </v>
      </c>
    </row>
    <row r="13" spans="1:32" x14ac:dyDescent="0.2">
      <c r="A13" s="397" t="s">
        <v>154</v>
      </c>
      <c r="B13" s="455"/>
      <c r="C13" s="460"/>
      <c r="D13" s="459">
        <f>SUM(B13:C13)</f>
        <v>0</v>
      </c>
      <c r="E13" s="460"/>
      <c r="H13" s="506">
        <f>SUM(I13:AC13)</f>
        <v>0</v>
      </c>
      <c r="I13" s="505"/>
      <c r="J13" s="505"/>
      <c r="K13" s="505"/>
      <c r="L13" s="505"/>
      <c r="M13" s="505"/>
      <c r="N13" s="505"/>
      <c r="O13" s="505"/>
      <c r="P13" s="505"/>
      <c r="Q13" s="505"/>
      <c r="R13" s="505"/>
      <c r="S13" s="505"/>
      <c r="T13" s="505"/>
      <c r="U13" s="505"/>
      <c r="V13" s="505"/>
      <c r="W13" s="505"/>
      <c r="X13" s="505"/>
      <c r="Y13" s="505"/>
      <c r="Z13" s="505"/>
      <c r="AA13" s="505"/>
      <c r="AB13" s="505"/>
      <c r="AC13" s="505"/>
      <c r="AD13" s="504">
        <f>D13-H13</f>
        <v>0</v>
      </c>
      <c r="AE13" s="503" t="str">
        <f>IF(D13&gt;=0,IF(H13&gt;=0,IF(D13&gt;=H13,"Ok ","Check size "),"Check sign"),IF(H13&gt;0,"Check sign ",IF(ABS(D13)&gt;=ABS(H13),"Ok ","Check size ")))</f>
        <v xml:space="preserve">Ok </v>
      </c>
    </row>
    <row r="14" spans="1:32" x14ac:dyDescent="0.2">
      <c r="A14" s="388" t="s">
        <v>371</v>
      </c>
      <c r="B14" s="515">
        <f>SUM(B11:B13)</f>
        <v>0</v>
      </c>
      <c r="C14" s="515">
        <f>SUM(C11:C13)</f>
        <v>0</v>
      </c>
      <c r="D14" s="515">
        <f>SUM(D11:D13)</f>
        <v>0</v>
      </c>
      <c r="E14" s="515">
        <f>SUM(E11:E13)</f>
        <v>0</v>
      </c>
      <c r="F14" s="1180" t="str">
        <f>IF(ROUND(D14-D20,0)=-ROUND('alb SoCNE'!C22,0),"Ok","Check")</f>
        <v>Ok</v>
      </c>
      <c r="H14" s="515">
        <f t="shared" ref="H14:AC14" si="0">SUM(H11:H13)</f>
        <v>0</v>
      </c>
      <c r="I14" s="515">
        <f t="shared" si="0"/>
        <v>0</v>
      </c>
      <c r="J14" s="515">
        <f t="shared" si="0"/>
        <v>0</v>
      </c>
      <c r="K14" s="515">
        <f t="shared" si="0"/>
        <v>0</v>
      </c>
      <c r="L14" s="515">
        <f t="shared" si="0"/>
        <v>0</v>
      </c>
      <c r="M14" s="515">
        <f t="shared" si="0"/>
        <v>0</v>
      </c>
      <c r="N14" s="515">
        <f t="shared" si="0"/>
        <v>0</v>
      </c>
      <c r="O14" s="515">
        <f t="shared" si="0"/>
        <v>0</v>
      </c>
      <c r="P14" s="515">
        <f t="shared" si="0"/>
        <v>0</v>
      </c>
      <c r="Q14" s="515">
        <f t="shared" si="0"/>
        <v>0</v>
      </c>
      <c r="R14" s="515">
        <f t="shared" si="0"/>
        <v>0</v>
      </c>
      <c r="S14" s="515">
        <f t="shared" si="0"/>
        <v>0</v>
      </c>
      <c r="T14" s="515">
        <f t="shared" si="0"/>
        <v>0</v>
      </c>
      <c r="U14" s="515">
        <f t="shared" si="0"/>
        <v>0</v>
      </c>
      <c r="V14" s="515">
        <f t="shared" si="0"/>
        <v>0</v>
      </c>
      <c r="W14" s="515">
        <f t="shared" si="0"/>
        <v>0</v>
      </c>
      <c r="X14" s="515">
        <f t="shared" si="0"/>
        <v>0</v>
      </c>
      <c r="Y14" s="515">
        <f t="shared" si="0"/>
        <v>0</v>
      </c>
      <c r="Z14" s="515">
        <f t="shared" si="0"/>
        <v>0</v>
      </c>
      <c r="AA14" s="515">
        <f t="shared" si="0"/>
        <v>0</v>
      </c>
      <c r="AB14" s="515">
        <f t="shared" si="0"/>
        <v>0</v>
      </c>
      <c r="AC14" s="515">
        <f t="shared" si="0"/>
        <v>0</v>
      </c>
    </row>
    <row r="15" spans="1:32" x14ac:dyDescent="0.2">
      <c r="A15" s="384" t="s">
        <v>1711</v>
      </c>
      <c r="B15" s="516"/>
      <c r="C15" s="516"/>
      <c r="D15" s="459">
        <f>SUM(B15:C15)</f>
        <v>0</v>
      </c>
      <c r="E15" s="455"/>
      <c r="H15" s="506">
        <f>SUM(I15:AC15)</f>
        <v>0</v>
      </c>
      <c r="I15" s="505"/>
      <c r="J15" s="505"/>
      <c r="K15" s="505"/>
      <c r="L15" s="505"/>
      <c r="M15" s="505"/>
      <c r="N15" s="505"/>
      <c r="O15" s="505"/>
      <c r="P15" s="505"/>
      <c r="Q15" s="505"/>
      <c r="R15" s="505"/>
      <c r="S15" s="505"/>
      <c r="T15" s="505"/>
      <c r="U15" s="505"/>
      <c r="V15" s="505"/>
      <c r="W15" s="505"/>
      <c r="X15" s="505"/>
      <c r="Y15" s="505"/>
      <c r="Z15" s="505"/>
      <c r="AA15" s="505"/>
      <c r="AB15" s="505"/>
      <c r="AC15" s="505"/>
      <c r="AD15" s="504">
        <f>D15-H15</f>
        <v>0</v>
      </c>
      <c r="AE15" s="503" t="str">
        <f>IF(INT(H15)&gt;INT(D15),"Check ",IF(H15&lt;0,"Check negative","Ok"))</f>
        <v>Ok</v>
      </c>
    </row>
    <row r="16" spans="1:32" x14ac:dyDescent="0.2">
      <c r="A16" s="384"/>
      <c r="C16" s="459"/>
      <c r="D16" s="459"/>
      <c r="E16" s="459"/>
    </row>
    <row r="17" spans="1:31" ht="13.5" thickBot="1" x14ac:dyDescent="0.25">
      <c r="A17" s="388" t="s">
        <v>479</v>
      </c>
      <c r="B17" s="507">
        <f>B14-B15</f>
        <v>0</v>
      </c>
      <c r="C17" s="507">
        <f>C14-C15</f>
        <v>0</v>
      </c>
      <c r="D17" s="507">
        <f>D14-D15</f>
        <v>0</v>
      </c>
      <c r="E17" s="507">
        <f>E14-E15</f>
        <v>0</v>
      </c>
      <c r="H17" s="507">
        <f>H14-H15</f>
        <v>0</v>
      </c>
      <c r="I17" s="507">
        <f>I14-I15</f>
        <v>0</v>
      </c>
      <c r="J17" s="507">
        <f t="shared" ref="J17:AC17" si="1">J14-J15</f>
        <v>0</v>
      </c>
      <c r="K17" s="507">
        <f t="shared" si="1"/>
        <v>0</v>
      </c>
      <c r="L17" s="507">
        <f t="shared" si="1"/>
        <v>0</v>
      </c>
      <c r="M17" s="507">
        <f t="shared" si="1"/>
        <v>0</v>
      </c>
      <c r="N17" s="507">
        <f t="shared" si="1"/>
        <v>0</v>
      </c>
      <c r="O17" s="507">
        <f t="shared" si="1"/>
        <v>0</v>
      </c>
      <c r="P17" s="507">
        <f t="shared" si="1"/>
        <v>0</v>
      </c>
      <c r="Q17" s="507">
        <f t="shared" si="1"/>
        <v>0</v>
      </c>
      <c r="R17" s="507">
        <f t="shared" si="1"/>
        <v>0</v>
      </c>
      <c r="S17" s="507">
        <f t="shared" si="1"/>
        <v>0</v>
      </c>
      <c r="T17" s="507">
        <f t="shared" si="1"/>
        <v>0</v>
      </c>
      <c r="U17" s="507">
        <f t="shared" si="1"/>
        <v>0</v>
      </c>
      <c r="V17" s="507">
        <f t="shared" si="1"/>
        <v>0</v>
      </c>
      <c r="W17" s="507">
        <f t="shared" si="1"/>
        <v>0</v>
      </c>
      <c r="X17" s="507">
        <f t="shared" si="1"/>
        <v>0</v>
      </c>
      <c r="Y17" s="507">
        <f t="shared" si="1"/>
        <v>0</v>
      </c>
      <c r="Z17" s="507">
        <f t="shared" si="1"/>
        <v>0</v>
      </c>
      <c r="AA17" s="507">
        <f t="shared" si="1"/>
        <v>0</v>
      </c>
      <c r="AB17" s="507">
        <f t="shared" si="1"/>
        <v>0</v>
      </c>
      <c r="AC17" s="507">
        <f t="shared" si="1"/>
        <v>0</v>
      </c>
      <c r="AD17" s="507">
        <f>AD14-AD15</f>
        <v>0</v>
      </c>
      <c r="AE17" s="503" t="str">
        <f>IF(D17&gt;=0,IF(H17&gt;=0,IF(D17&gt;=H17,"Ok ","Check size "),"Check sign"),IF(H17&gt;0,"Check sign ",IF(ABS(D17)&gt;=ABS(H17),"Ok ","Check size ")))</f>
        <v xml:space="preserve">Ok </v>
      </c>
    </row>
    <row r="18" spans="1:31" ht="13.5" thickTop="1" x14ac:dyDescent="0.2">
      <c r="A18" s="1045" t="s">
        <v>2471</v>
      </c>
      <c r="C18" s="510"/>
    </row>
    <row r="19" spans="1:31" x14ac:dyDescent="0.2">
      <c r="C19" s="510"/>
      <c r="D19" s="468" t="s">
        <v>493</v>
      </c>
      <c r="E19" s="468" t="s">
        <v>493</v>
      </c>
    </row>
    <row r="20" spans="1:31" x14ac:dyDescent="0.2">
      <c r="A20" s="397" t="s">
        <v>1955</v>
      </c>
      <c r="B20" s="510"/>
      <c r="C20" s="510"/>
      <c r="D20" s="511"/>
      <c r="E20" s="511"/>
    </row>
    <row r="21" spans="1:31" x14ac:dyDescent="0.2">
      <c r="C21" s="510"/>
      <c r="D21" s="1181" t="str">
        <f>IF(D14-D20-SUM('alb Note 3 &amp; 3.1 - Expenditure'!C10:C12)=0,"Ok","Error")</f>
        <v>Ok</v>
      </c>
      <c r="E21" s="1181" t="str">
        <f>IF(E14-E20-SUM('alb Note 3 &amp; 3.1 - Expenditure'!D10:D12)=0,"Ok","Error")</f>
        <v>Ok</v>
      </c>
    </row>
    <row r="24" spans="1:31" x14ac:dyDescent="0.2">
      <c r="A24" s="388" t="s">
        <v>373</v>
      </c>
      <c r="B24" s="388"/>
      <c r="C24" s="2139"/>
      <c r="D24" s="2139"/>
      <c r="E24" s="2139"/>
    </row>
    <row r="25" spans="1:31" x14ac:dyDescent="0.2">
      <c r="A25" s="397" t="s">
        <v>933</v>
      </c>
      <c r="B25" s="388"/>
      <c r="C25" s="509"/>
      <c r="D25" s="509"/>
      <c r="E25" s="509"/>
    </row>
    <row r="26" spans="1:31" x14ac:dyDescent="0.2">
      <c r="B26" s="388"/>
      <c r="C26" s="509"/>
      <c r="D26" s="509"/>
      <c r="E26" s="509"/>
    </row>
    <row r="27" spans="1:31" x14ac:dyDescent="0.2">
      <c r="A27" s="388"/>
      <c r="B27" s="462"/>
      <c r="C27" s="462"/>
      <c r="D27" s="461" t="str">
        <f>Update!$C$38</f>
        <v>2025-26</v>
      </c>
      <c r="E27" s="461" t="str">
        <f>Update!$C$37</f>
        <v>2024-25</v>
      </c>
    </row>
    <row r="28" spans="1:31" ht="25.5" x14ac:dyDescent="0.2">
      <c r="B28" s="463" t="s">
        <v>390</v>
      </c>
      <c r="C28" s="463" t="s">
        <v>389</v>
      </c>
      <c r="D28" s="463" t="s">
        <v>146</v>
      </c>
      <c r="E28" s="461" t="s">
        <v>146</v>
      </c>
      <c r="I28" s="388" t="s">
        <v>930</v>
      </c>
    </row>
    <row r="29" spans="1:31" ht="67.5" x14ac:dyDescent="0.2">
      <c r="B29" s="461" t="s">
        <v>447</v>
      </c>
      <c r="C29" s="461" t="s">
        <v>447</v>
      </c>
      <c r="D29" s="461" t="s">
        <v>447</v>
      </c>
      <c r="E29" s="461" t="s">
        <v>447</v>
      </c>
      <c r="H29" s="414" t="s">
        <v>604</v>
      </c>
      <c r="I29" s="413" t="s">
        <v>48</v>
      </c>
      <c r="J29" s="413" t="s">
        <v>2457</v>
      </c>
      <c r="K29" s="413" t="s">
        <v>5</v>
      </c>
      <c r="L29" s="413" t="s">
        <v>11</v>
      </c>
      <c r="M29" s="413" t="s">
        <v>25</v>
      </c>
      <c r="N29" s="413" t="s">
        <v>17</v>
      </c>
      <c r="O29" s="413" t="s">
        <v>19</v>
      </c>
      <c r="P29" s="413" t="s">
        <v>35</v>
      </c>
      <c r="Q29" s="413" t="s">
        <v>35</v>
      </c>
      <c r="R29" s="413" t="s">
        <v>2446</v>
      </c>
      <c r="S29" s="413" t="s">
        <v>23</v>
      </c>
      <c r="T29" s="413" t="s">
        <v>33</v>
      </c>
      <c r="U29" s="413" t="s">
        <v>31</v>
      </c>
      <c r="V29" s="413" t="s">
        <v>7</v>
      </c>
      <c r="W29" s="413" t="s">
        <v>27</v>
      </c>
      <c r="X29" s="413" t="s">
        <v>29</v>
      </c>
      <c r="Y29" s="413" t="s">
        <v>13</v>
      </c>
      <c r="Z29" s="413" t="s">
        <v>9</v>
      </c>
      <c r="AA29" s="413" t="s">
        <v>15</v>
      </c>
      <c r="AB29" s="413" t="s">
        <v>37</v>
      </c>
      <c r="AC29" s="413" t="s">
        <v>39</v>
      </c>
      <c r="AD29" s="412" t="s">
        <v>932</v>
      </c>
      <c r="AE29" s="412" t="s">
        <v>63</v>
      </c>
    </row>
    <row r="30" spans="1:31" ht="15" x14ac:dyDescent="0.2">
      <c r="H30" s="411" t="s">
        <v>62</v>
      </c>
      <c r="I30" s="411" t="s">
        <v>62</v>
      </c>
      <c r="J30" s="411" t="s">
        <v>62</v>
      </c>
      <c r="K30" s="411" t="s">
        <v>62</v>
      </c>
      <c r="L30" s="411" t="s">
        <v>62</v>
      </c>
      <c r="M30" s="411" t="s">
        <v>62</v>
      </c>
      <c r="N30" s="411" t="s">
        <v>62</v>
      </c>
      <c r="O30" s="411" t="s">
        <v>62</v>
      </c>
      <c r="P30" s="411" t="s">
        <v>62</v>
      </c>
      <c r="Q30" s="411" t="s">
        <v>62</v>
      </c>
      <c r="R30" s="411" t="s">
        <v>62</v>
      </c>
      <c r="S30" s="411" t="s">
        <v>62</v>
      </c>
      <c r="T30" s="411" t="s">
        <v>62</v>
      </c>
      <c r="U30" s="411" t="s">
        <v>62</v>
      </c>
      <c r="V30" s="411" t="s">
        <v>62</v>
      </c>
      <c r="W30" s="411" t="s">
        <v>62</v>
      </c>
      <c r="X30" s="411" t="s">
        <v>62</v>
      </c>
      <c r="Y30" s="411" t="s">
        <v>62</v>
      </c>
      <c r="Z30" s="411" t="s">
        <v>62</v>
      </c>
      <c r="AA30" s="411" t="s">
        <v>62</v>
      </c>
      <c r="AB30" s="411" t="s">
        <v>62</v>
      </c>
      <c r="AC30" s="411" t="s">
        <v>62</v>
      </c>
      <c r="AD30" s="508" t="s">
        <v>62</v>
      </c>
      <c r="AE30" s="508"/>
    </row>
    <row r="31" spans="1:31" x14ac:dyDescent="0.2">
      <c r="A31" s="397" t="s">
        <v>374</v>
      </c>
      <c r="B31" s="460"/>
      <c r="C31" s="460"/>
      <c r="D31" s="457">
        <f t="shared" ref="D31:D44" si="2">SUM(B31:C31)</f>
        <v>0</v>
      </c>
      <c r="E31" s="460"/>
      <c r="H31" s="506">
        <f t="shared" ref="H31:H41" si="3">SUM(I31:AC31)</f>
        <v>0</v>
      </c>
      <c r="I31" s="505"/>
      <c r="J31" s="505"/>
      <c r="K31" s="505"/>
      <c r="L31" s="505"/>
      <c r="M31" s="505"/>
      <c r="N31" s="505"/>
      <c r="O31" s="505"/>
      <c r="P31" s="505"/>
      <c r="Q31" s="505"/>
      <c r="R31" s="505"/>
      <c r="S31" s="505"/>
      <c r="T31" s="505"/>
      <c r="U31" s="505"/>
      <c r="V31" s="505"/>
      <c r="W31" s="505"/>
      <c r="X31" s="505"/>
      <c r="Y31" s="505"/>
      <c r="Z31" s="505"/>
      <c r="AA31" s="505"/>
      <c r="AB31" s="505"/>
      <c r="AC31" s="505"/>
      <c r="AD31" s="504">
        <f t="shared" ref="AD31:AD41" si="4">D31-H31</f>
        <v>0</v>
      </c>
      <c r="AE31" s="503" t="str">
        <f t="shared" ref="AE31:AE41" si="5">IF(INT(H31)&gt;INT(D31),"Check ",IF(H31&lt;0,"Check negative","Ok"))</f>
        <v>Ok</v>
      </c>
    </row>
    <row r="32" spans="1:31" x14ac:dyDescent="0.2">
      <c r="A32" s="397" t="s">
        <v>375</v>
      </c>
      <c r="B32" s="460"/>
      <c r="C32" s="460"/>
      <c r="D32" s="457">
        <f t="shared" si="2"/>
        <v>0</v>
      </c>
      <c r="E32" s="460"/>
      <c r="H32" s="506">
        <f t="shared" si="3"/>
        <v>0</v>
      </c>
      <c r="I32" s="505"/>
      <c r="J32" s="505"/>
      <c r="K32" s="505"/>
      <c r="L32" s="505"/>
      <c r="M32" s="505"/>
      <c r="N32" s="505"/>
      <c r="O32" s="505"/>
      <c r="P32" s="505"/>
      <c r="Q32" s="505"/>
      <c r="R32" s="505"/>
      <c r="S32" s="505"/>
      <c r="T32" s="505"/>
      <c r="U32" s="505"/>
      <c r="V32" s="505"/>
      <c r="W32" s="505"/>
      <c r="X32" s="505"/>
      <c r="Y32" s="505"/>
      <c r="Z32" s="505"/>
      <c r="AA32" s="505"/>
      <c r="AB32" s="505"/>
      <c r="AC32" s="505"/>
      <c r="AD32" s="504">
        <f t="shared" si="4"/>
        <v>0</v>
      </c>
      <c r="AE32" s="503" t="str">
        <f t="shared" si="5"/>
        <v>Ok</v>
      </c>
    </row>
    <row r="33" spans="1:31" x14ac:dyDescent="0.2">
      <c r="A33" s="397" t="s">
        <v>376</v>
      </c>
      <c r="B33" s="460"/>
      <c r="C33" s="460"/>
      <c r="D33" s="457">
        <f t="shared" si="2"/>
        <v>0</v>
      </c>
      <c r="E33" s="460"/>
      <c r="H33" s="506">
        <f t="shared" si="3"/>
        <v>0</v>
      </c>
      <c r="I33" s="505"/>
      <c r="J33" s="505"/>
      <c r="K33" s="505"/>
      <c r="L33" s="505"/>
      <c r="M33" s="505"/>
      <c r="N33" s="505"/>
      <c r="O33" s="505"/>
      <c r="P33" s="505"/>
      <c r="Q33" s="505"/>
      <c r="R33" s="505"/>
      <c r="S33" s="505"/>
      <c r="T33" s="505"/>
      <c r="U33" s="505"/>
      <c r="V33" s="505"/>
      <c r="W33" s="505"/>
      <c r="X33" s="505"/>
      <c r="Y33" s="505"/>
      <c r="Z33" s="505"/>
      <c r="AA33" s="505"/>
      <c r="AB33" s="505"/>
      <c r="AC33" s="505"/>
      <c r="AD33" s="504">
        <f t="shared" si="4"/>
        <v>0</v>
      </c>
      <c r="AE33" s="503" t="str">
        <f t="shared" si="5"/>
        <v>Ok</v>
      </c>
    </row>
    <row r="34" spans="1:31" x14ac:dyDescent="0.2">
      <c r="A34" s="397" t="s">
        <v>377</v>
      </c>
      <c r="B34" s="460"/>
      <c r="C34" s="460"/>
      <c r="D34" s="457">
        <f t="shared" si="2"/>
        <v>0</v>
      </c>
      <c r="E34" s="460"/>
      <c r="H34" s="506">
        <f t="shared" si="3"/>
        <v>0</v>
      </c>
      <c r="I34" s="505"/>
      <c r="J34" s="505"/>
      <c r="K34" s="505"/>
      <c r="L34" s="505"/>
      <c r="M34" s="505"/>
      <c r="N34" s="505"/>
      <c r="O34" s="505"/>
      <c r="P34" s="505"/>
      <c r="Q34" s="505"/>
      <c r="R34" s="505"/>
      <c r="S34" s="505"/>
      <c r="T34" s="505"/>
      <c r="U34" s="505"/>
      <c r="V34" s="505"/>
      <c r="W34" s="505"/>
      <c r="X34" s="505"/>
      <c r="Y34" s="505"/>
      <c r="Z34" s="505"/>
      <c r="AA34" s="505"/>
      <c r="AB34" s="505"/>
      <c r="AC34" s="505"/>
      <c r="AD34" s="504">
        <f t="shared" si="4"/>
        <v>0</v>
      </c>
      <c r="AE34" s="503" t="str">
        <f t="shared" si="5"/>
        <v>Ok</v>
      </c>
    </row>
    <row r="35" spans="1:31" x14ac:dyDescent="0.2">
      <c r="A35" s="397" t="s">
        <v>378</v>
      </c>
      <c r="B35" s="460"/>
      <c r="C35" s="460"/>
      <c r="D35" s="457">
        <f t="shared" si="2"/>
        <v>0</v>
      </c>
      <c r="E35" s="460"/>
      <c r="H35" s="506">
        <f t="shared" si="3"/>
        <v>0</v>
      </c>
      <c r="I35" s="505"/>
      <c r="J35" s="505"/>
      <c r="K35" s="505"/>
      <c r="L35" s="505"/>
      <c r="M35" s="505"/>
      <c r="N35" s="505"/>
      <c r="O35" s="505"/>
      <c r="P35" s="505"/>
      <c r="Q35" s="505"/>
      <c r="R35" s="505"/>
      <c r="S35" s="505"/>
      <c r="T35" s="505"/>
      <c r="U35" s="505"/>
      <c r="V35" s="505"/>
      <c r="W35" s="505"/>
      <c r="X35" s="505"/>
      <c r="Y35" s="505"/>
      <c r="Z35" s="505"/>
      <c r="AA35" s="505"/>
      <c r="AB35" s="505"/>
      <c r="AC35" s="505"/>
      <c r="AD35" s="504">
        <f t="shared" si="4"/>
        <v>0</v>
      </c>
      <c r="AE35" s="503" t="str">
        <f t="shared" si="5"/>
        <v>Ok</v>
      </c>
    </row>
    <row r="36" spans="1:31" x14ac:dyDescent="0.2">
      <c r="A36" s="397" t="s">
        <v>379</v>
      </c>
      <c r="B36" s="460"/>
      <c r="C36" s="460"/>
      <c r="D36" s="457">
        <f t="shared" si="2"/>
        <v>0</v>
      </c>
      <c r="E36" s="460"/>
      <c r="H36" s="506">
        <f t="shared" si="3"/>
        <v>0</v>
      </c>
      <c r="I36" s="505"/>
      <c r="J36" s="505"/>
      <c r="K36" s="505"/>
      <c r="L36" s="505"/>
      <c r="M36" s="505"/>
      <c r="N36" s="505"/>
      <c r="O36" s="505"/>
      <c r="P36" s="505"/>
      <c r="Q36" s="505"/>
      <c r="R36" s="505"/>
      <c r="S36" s="505"/>
      <c r="T36" s="505"/>
      <c r="U36" s="505"/>
      <c r="V36" s="505"/>
      <c r="W36" s="505"/>
      <c r="X36" s="505"/>
      <c r="Y36" s="505"/>
      <c r="Z36" s="505"/>
      <c r="AA36" s="505"/>
      <c r="AB36" s="505"/>
      <c r="AC36" s="505"/>
      <c r="AD36" s="504">
        <f t="shared" si="4"/>
        <v>0</v>
      </c>
      <c r="AE36" s="503" t="str">
        <f t="shared" si="5"/>
        <v>Ok</v>
      </c>
    </row>
    <row r="37" spans="1:31" x14ac:dyDescent="0.2">
      <c r="A37" s="397" t="s">
        <v>2086</v>
      </c>
      <c r="B37" s="460"/>
      <c r="C37" s="460"/>
      <c r="D37" s="457">
        <f>SUM(B37:C37)</f>
        <v>0</v>
      </c>
      <c r="E37" s="460"/>
      <c r="H37" s="1305">
        <f>SUM(I37:AC37)</f>
        <v>0</v>
      </c>
      <c r="I37" s="505"/>
      <c r="J37" s="505"/>
      <c r="K37" s="505"/>
      <c r="L37" s="505"/>
      <c r="M37" s="505"/>
      <c r="N37" s="505"/>
      <c r="O37" s="505"/>
      <c r="P37" s="505"/>
      <c r="Q37" s="505"/>
      <c r="R37" s="505"/>
      <c r="S37" s="505"/>
      <c r="T37" s="505"/>
      <c r="U37" s="505"/>
      <c r="V37" s="505"/>
      <c r="W37" s="505"/>
      <c r="X37" s="505"/>
      <c r="Y37" s="505"/>
      <c r="Z37" s="505"/>
      <c r="AA37" s="505"/>
      <c r="AB37" s="505"/>
      <c r="AC37" s="505"/>
      <c r="AD37" s="504">
        <f>D37-H37</f>
        <v>0</v>
      </c>
      <c r="AE37" s="503" t="str">
        <f>IF(INT(H37)&gt;INT(D37),"Check ",IF(H37&lt;0,"Check negative","Ok"))</f>
        <v>Ok</v>
      </c>
    </row>
    <row r="38" spans="1:31" x14ac:dyDescent="0.2">
      <c r="A38" s="397" t="s">
        <v>380</v>
      </c>
      <c r="B38" s="460"/>
      <c r="C38" s="460"/>
      <c r="D38" s="457">
        <f t="shared" si="2"/>
        <v>0</v>
      </c>
      <c r="E38" s="460"/>
      <c r="H38" s="506">
        <f t="shared" si="3"/>
        <v>0</v>
      </c>
      <c r="I38" s="505"/>
      <c r="J38" s="505"/>
      <c r="K38" s="505"/>
      <c r="L38" s="505"/>
      <c r="M38" s="505"/>
      <c r="N38" s="505"/>
      <c r="O38" s="505"/>
      <c r="P38" s="505"/>
      <c r="Q38" s="505"/>
      <c r="R38" s="505"/>
      <c r="S38" s="505"/>
      <c r="T38" s="505"/>
      <c r="U38" s="505"/>
      <c r="V38" s="505"/>
      <c r="W38" s="505"/>
      <c r="X38" s="505"/>
      <c r="Y38" s="505"/>
      <c r="Z38" s="505"/>
      <c r="AA38" s="505"/>
      <c r="AB38" s="505"/>
      <c r="AC38" s="505"/>
      <c r="AD38" s="504">
        <f t="shared" si="4"/>
        <v>0</v>
      </c>
      <c r="AE38" s="503" t="str">
        <f t="shared" si="5"/>
        <v>Ok</v>
      </c>
    </row>
    <row r="39" spans="1:31" x14ac:dyDescent="0.2">
      <c r="A39" s="397" t="s">
        <v>381</v>
      </c>
      <c r="B39" s="460"/>
      <c r="C39" s="460"/>
      <c r="D39" s="457">
        <f t="shared" si="2"/>
        <v>0</v>
      </c>
      <c r="E39" s="460"/>
      <c r="H39" s="506">
        <f t="shared" si="3"/>
        <v>0</v>
      </c>
      <c r="I39" s="505"/>
      <c r="J39" s="505"/>
      <c r="K39" s="505"/>
      <c r="L39" s="505"/>
      <c r="M39" s="505"/>
      <c r="N39" s="505"/>
      <c r="O39" s="505"/>
      <c r="P39" s="505"/>
      <c r="Q39" s="505"/>
      <c r="R39" s="505"/>
      <c r="S39" s="505"/>
      <c r="T39" s="505"/>
      <c r="U39" s="505"/>
      <c r="V39" s="505"/>
      <c r="W39" s="505"/>
      <c r="X39" s="505"/>
      <c r="Y39" s="505"/>
      <c r="Z39" s="505"/>
      <c r="AA39" s="505"/>
      <c r="AB39" s="505"/>
      <c r="AC39" s="505"/>
      <c r="AD39" s="504">
        <f t="shared" si="4"/>
        <v>0</v>
      </c>
      <c r="AE39" s="503" t="str">
        <f t="shared" si="5"/>
        <v>Ok</v>
      </c>
    </row>
    <row r="40" spans="1:31" x14ac:dyDescent="0.2">
      <c r="A40" s="397" t="s">
        <v>382</v>
      </c>
      <c r="B40" s="460"/>
      <c r="C40" s="460"/>
      <c r="D40" s="457">
        <f t="shared" si="2"/>
        <v>0</v>
      </c>
      <c r="E40" s="460"/>
      <c r="H40" s="506">
        <f t="shared" si="3"/>
        <v>0</v>
      </c>
      <c r="I40" s="505"/>
      <c r="J40" s="505"/>
      <c r="K40" s="505"/>
      <c r="L40" s="505"/>
      <c r="M40" s="505"/>
      <c r="N40" s="505"/>
      <c r="O40" s="505"/>
      <c r="P40" s="505"/>
      <c r="Q40" s="505"/>
      <c r="R40" s="505"/>
      <c r="S40" s="505"/>
      <c r="T40" s="505"/>
      <c r="U40" s="505"/>
      <c r="V40" s="505"/>
      <c r="W40" s="505"/>
      <c r="X40" s="505"/>
      <c r="Y40" s="505"/>
      <c r="Z40" s="505"/>
      <c r="AA40" s="505"/>
      <c r="AB40" s="505"/>
      <c r="AC40" s="505"/>
      <c r="AD40" s="504">
        <f t="shared" si="4"/>
        <v>0</v>
      </c>
      <c r="AE40" s="503" t="str">
        <f t="shared" si="5"/>
        <v>Ok</v>
      </c>
    </row>
    <row r="41" spans="1:31" x14ac:dyDescent="0.2">
      <c r="A41" s="397" t="s">
        <v>383</v>
      </c>
      <c r="B41" s="460"/>
      <c r="C41" s="460"/>
      <c r="D41" s="457">
        <f t="shared" si="2"/>
        <v>0</v>
      </c>
      <c r="E41" s="460"/>
      <c r="H41" s="506">
        <f t="shared" si="3"/>
        <v>0</v>
      </c>
      <c r="I41" s="505"/>
      <c r="J41" s="505"/>
      <c r="K41" s="505"/>
      <c r="L41" s="505"/>
      <c r="M41" s="505"/>
      <c r="N41" s="505"/>
      <c r="O41" s="505"/>
      <c r="P41" s="505"/>
      <c r="Q41" s="505"/>
      <c r="R41" s="505"/>
      <c r="S41" s="505"/>
      <c r="T41" s="505"/>
      <c r="U41" s="505"/>
      <c r="V41" s="505"/>
      <c r="W41" s="505"/>
      <c r="X41" s="505"/>
      <c r="Y41" s="505"/>
      <c r="Z41" s="505"/>
      <c r="AA41" s="505"/>
      <c r="AB41" s="505"/>
      <c r="AC41" s="505"/>
      <c r="AD41" s="504">
        <f t="shared" si="4"/>
        <v>0</v>
      </c>
      <c r="AE41" s="503" t="str">
        <f t="shared" si="5"/>
        <v>Ok</v>
      </c>
    </row>
    <row r="42" spans="1:31" x14ac:dyDescent="0.2">
      <c r="A42" s="388" t="s">
        <v>384</v>
      </c>
      <c r="B42" s="457">
        <f>SUM(B31:B41)</f>
        <v>0</v>
      </c>
      <c r="C42" s="457">
        <f>SUM(C31:C41)</f>
        <v>0</v>
      </c>
      <c r="D42" s="457">
        <f>SUM(D31:D41)</f>
        <v>0</v>
      </c>
      <c r="E42" s="457">
        <f>SUM(E31:E41)</f>
        <v>0</v>
      </c>
      <c r="H42" s="457">
        <f>SUM(H31:H41)</f>
        <v>0</v>
      </c>
      <c r="I42" s="457">
        <f>SUM(I31:I41)</f>
        <v>0</v>
      </c>
      <c r="J42" s="457">
        <f t="shared" ref="J42:AD42" si="6">SUM(J31:J41)</f>
        <v>0</v>
      </c>
      <c r="K42" s="457">
        <f t="shared" si="6"/>
        <v>0</v>
      </c>
      <c r="L42" s="457">
        <f t="shared" si="6"/>
        <v>0</v>
      </c>
      <c r="M42" s="457">
        <f>SUM(M31:M41)</f>
        <v>0</v>
      </c>
      <c r="N42" s="457">
        <f>SUM(N31:N41)</f>
        <v>0</v>
      </c>
      <c r="O42" s="457">
        <f t="shared" si="6"/>
        <v>0</v>
      </c>
      <c r="P42" s="457">
        <f t="shared" si="6"/>
        <v>0</v>
      </c>
      <c r="Q42" s="457">
        <f t="shared" si="6"/>
        <v>0</v>
      </c>
      <c r="R42" s="457">
        <f t="shared" si="6"/>
        <v>0</v>
      </c>
      <c r="S42" s="457">
        <f t="shared" si="6"/>
        <v>0</v>
      </c>
      <c r="T42" s="457">
        <f t="shared" si="6"/>
        <v>0</v>
      </c>
      <c r="U42" s="457">
        <f t="shared" si="6"/>
        <v>0</v>
      </c>
      <c r="V42" s="457">
        <f t="shared" si="6"/>
        <v>0</v>
      </c>
      <c r="W42" s="457">
        <f t="shared" si="6"/>
        <v>0</v>
      </c>
      <c r="X42" s="457">
        <f t="shared" si="6"/>
        <v>0</v>
      </c>
      <c r="Y42" s="457">
        <f t="shared" si="6"/>
        <v>0</v>
      </c>
      <c r="Z42" s="457">
        <f t="shared" si="6"/>
        <v>0</v>
      </c>
      <c r="AA42" s="457">
        <f t="shared" si="6"/>
        <v>0</v>
      </c>
      <c r="AB42" s="457">
        <f t="shared" si="6"/>
        <v>0</v>
      </c>
      <c r="AC42" s="457">
        <f t="shared" si="6"/>
        <v>0</v>
      </c>
      <c r="AD42" s="457">
        <f t="shared" si="6"/>
        <v>0</v>
      </c>
    </row>
    <row r="43" spans="1:31" x14ac:dyDescent="0.2">
      <c r="A43" s="384" t="s">
        <v>385</v>
      </c>
      <c r="B43" s="460"/>
      <c r="C43" s="460"/>
      <c r="D43" s="457">
        <f t="shared" si="2"/>
        <v>0</v>
      </c>
      <c r="E43" s="460"/>
      <c r="H43" s="506">
        <f>SUM(I43:AC43)</f>
        <v>0</v>
      </c>
      <c r="I43" s="505"/>
      <c r="J43" s="505"/>
      <c r="K43" s="505"/>
      <c r="L43" s="505"/>
      <c r="M43" s="505"/>
      <c r="N43" s="505"/>
      <c r="O43" s="505"/>
      <c r="P43" s="505"/>
      <c r="Q43" s="505"/>
      <c r="R43" s="505"/>
      <c r="S43" s="505"/>
      <c r="T43" s="505"/>
      <c r="U43" s="505"/>
      <c r="V43" s="505"/>
      <c r="W43" s="505"/>
      <c r="X43" s="505"/>
      <c r="Y43" s="505"/>
      <c r="Z43" s="505"/>
      <c r="AA43" s="505"/>
      <c r="AB43" s="505"/>
      <c r="AC43" s="505"/>
      <c r="AD43" s="504">
        <f>D43-H43</f>
        <v>0</v>
      </c>
      <c r="AE43" s="503" t="str">
        <f>IF(INT(H43)&gt;INT(D43),"Check ",IF(H43&lt;0,"Check negative","Ok"))</f>
        <v>Ok</v>
      </c>
    </row>
    <row r="44" spans="1:31" x14ac:dyDescent="0.2">
      <c r="A44" s="384" t="s">
        <v>386</v>
      </c>
      <c r="B44" s="460"/>
      <c r="C44" s="460"/>
      <c r="D44" s="457">
        <f t="shared" si="2"/>
        <v>0</v>
      </c>
      <c r="E44" s="460"/>
      <c r="H44" s="506">
        <f>SUM(I44:AC44)</f>
        <v>0</v>
      </c>
      <c r="I44" s="505"/>
      <c r="J44" s="505"/>
      <c r="K44" s="505"/>
      <c r="L44" s="505"/>
      <c r="M44" s="505"/>
      <c r="N44" s="505"/>
      <c r="O44" s="505"/>
      <c r="P44" s="505"/>
      <c r="Q44" s="505"/>
      <c r="R44" s="505"/>
      <c r="S44" s="505"/>
      <c r="T44" s="505"/>
      <c r="U44" s="505"/>
      <c r="V44" s="505"/>
      <c r="W44" s="505"/>
      <c r="X44" s="505"/>
      <c r="Y44" s="505"/>
      <c r="Z44" s="505"/>
      <c r="AA44" s="505"/>
      <c r="AB44" s="505"/>
      <c r="AC44" s="505"/>
      <c r="AD44" s="504">
        <f>D44-H44</f>
        <v>0</v>
      </c>
      <c r="AE44" s="503" t="str">
        <f>IF(INT(H44)&gt;INT(D44),"Check ",IF(H44&lt;0,"Check negative","Ok"))</f>
        <v>Ok</v>
      </c>
    </row>
    <row r="45" spans="1:31" x14ac:dyDescent="0.2">
      <c r="A45" s="415"/>
      <c r="B45" s="457"/>
      <c r="C45" s="457"/>
      <c r="D45" s="457"/>
      <c r="E45" s="457"/>
      <c r="H45" s="506">
        <f>SUM(I45:AC45)</f>
        <v>0</v>
      </c>
      <c r="I45" s="505"/>
      <c r="J45" s="505"/>
      <c r="K45" s="505"/>
      <c r="L45" s="505"/>
      <c r="M45" s="505"/>
      <c r="N45" s="505"/>
      <c r="O45" s="505"/>
      <c r="P45" s="505"/>
      <c r="Q45" s="505"/>
      <c r="R45" s="505"/>
      <c r="S45" s="505"/>
      <c r="T45" s="505"/>
      <c r="U45" s="505"/>
      <c r="V45" s="505"/>
      <c r="W45" s="505"/>
      <c r="X45" s="505"/>
      <c r="Y45" s="505"/>
      <c r="Z45" s="505"/>
      <c r="AA45" s="505"/>
      <c r="AB45" s="505"/>
      <c r="AC45" s="505"/>
      <c r="AD45" s="504">
        <f>D45-H45</f>
        <v>0</v>
      </c>
      <c r="AE45" s="503" t="str">
        <f>IF(INT(H45)&gt;INT(D45),"Check ",IF(H45&lt;0,"Check negative","Ok"))</f>
        <v>Ok</v>
      </c>
    </row>
    <row r="46" spans="1:31" ht="13.5" thickBot="1" x14ac:dyDescent="0.25">
      <c r="A46" s="388" t="s">
        <v>387</v>
      </c>
      <c r="B46" s="507">
        <f>B42-B43-B44</f>
        <v>0</v>
      </c>
      <c r="C46" s="507">
        <f>C42-C43-C44</f>
        <v>0</v>
      </c>
      <c r="D46" s="507">
        <f>D42-D43-D44</f>
        <v>0</v>
      </c>
      <c r="E46" s="507">
        <f>E42-E43-E44</f>
        <v>0</v>
      </c>
      <c r="H46" s="507">
        <f>H42-H43-H44</f>
        <v>0</v>
      </c>
      <c r="I46" s="507">
        <f>I42-I43-I44</f>
        <v>0</v>
      </c>
      <c r="J46" s="507">
        <f t="shared" ref="J46:AC46" si="7">J42-J43-J44</f>
        <v>0</v>
      </c>
      <c r="K46" s="507">
        <f t="shared" si="7"/>
        <v>0</v>
      </c>
      <c r="L46" s="507">
        <f t="shared" si="7"/>
        <v>0</v>
      </c>
      <c r="M46" s="507">
        <f t="shared" si="7"/>
        <v>0</v>
      </c>
      <c r="N46" s="507">
        <f>N42-N43-N44</f>
        <v>0</v>
      </c>
      <c r="O46" s="507">
        <f t="shared" si="7"/>
        <v>0</v>
      </c>
      <c r="P46" s="507">
        <f t="shared" si="7"/>
        <v>0</v>
      </c>
      <c r="Q46" s="507">
        <f t="shared" si="7"/>
        <v>0</v>
      </c>
      <c r="R46" s="507">
        <f t="shared" si="7"/>
        <v>0</v>
      </c>
      <c r="S46" s="507">
        <f t="shared" si="7"/>
        <v>0</v>
      </c>
      <c r="T46" s="507">
        <f t="shared" si="7"/>
        <v>0</v>
      </c>
      <c r="U46" s="507">
        <f t="shared" si="7"/>
        <v>0</v>
      </c>
      <c r="V46" s="507">
        <f t="shared" si="7"/>
        <v>0</v>
      </c>
      <c r="W46" s="507">
        <f t="shared" si="7"/>
        <v>0</v>
      </c>
      <c r="X46" s="507">
        <f t="shared" si="7"/>
        <v>0</v>
      </c>
      <c r="Y46" s="507">
        <f t="shared" si="7"/>
        <v>0</v>
      </c>
      <c r="Z46" s="507">
        <f t="shared" si="7"/>
        <v>0</v>
      </c>
      <c r="AA46" s="507">
        <f t="shared" si="7"/>
        <v>0</v>
      </c>
      <c r="AB46" s="507">
        <f t="shared" si="7"/>
        <v>0</v>
      </c>
      <c r="AC46" s="507">
        <f t="shared" si="7"/>
        <v>0</v>
      </c>
      <c r="AD46" s="507">
        <f>AD42-AD43-AD44</f>
        <v>0</v>
      </c>
    </row>
    <row r="47" spans="1:31" ht="13.5" thickTop="1" x14ac:dyDescent="0.2"/>
    <row r="50" spans="1:31" hidden="1" outlineLevel="1" x14ac:dyDescent="0.2">
      <c r="A50" s="388" t="s">
        <v>475</v>
      </c>
    </row>
    <row r="51" spans="1:31" hidden="1" outlineLevel="1" x14ac:dyDescent="0.2">
      <c r="A51" s="397" t="s">
        <v>1703</v>
      </c>
      <c r="B51" s="457">
        <v>0</v>
      </c>
      <c r="C51" s="457">
        <v>0</v>
      </c>
      <c r="D51" s="457">
        <f>SUM(B51:C51)</f>
        <v>0</v>
      </c>
      <c r="H51" s="506">
        <f>SUM(I51:AC51)</f>
        <v>0</v>
      </c>
      <c r="I51" s="505"/>
      <c r="J51" s="505"/>
      <c r="K51" s="505"/>
      <c r="L51" s="505"/>
      <c r="M51" s="505"/>
      <c r="N51" s="505"/>
      <c r="O51" s="505"/>
      <c r="P51" s="505"/>
      <c r="Q51" s="505"/>
      <c r="R51" s="505"/>
      <c r="S51" s="505"/>
      <c r="T51" s="505"/>
      <c r="U51" s="505"/>
      <c r="V51" s="505"/>
      <c r="W51" s="505"/>
      <c r="X51" s="505"/>
      <c r="Y51" s="505"/>
      <c r="Z51" s="505"/>
      <c r="AA51" s="505"/>
      <c r="AB51" s="505"/>
      <c r="AC51" s="505"/>
      <c r="AD51" s="504">
        <f>D51-H51</f>
        <v>0</v>
      </c>
      <c r="AE51" s="503" t="str">
        <f>IF(INT(H51)&gt;INT(D51),"Check ",IF(H51&lt;0,"Check negative","Ok"))</f>
        <v>Ok</v>
      </c>
    </row>
    <row r="52" spans="1:31" hidden="1" outlineLevel="1" x14ac:dyDescent="0.2">
      <c r="A52" s="397" t="s">
        <v>478</v>
      </c>
      <c r="B52" s="427"/>
      <c r="C52" s="427"/>
      <c r="D52" s="457">
        <f>SUM(B52:C52)</f>
        <v>0</v>
      </c>
      <c r="H52" s="506">
        <f>SUM(I52:AC52)</f>
        <v>0</v>
      </c>
      <c r="I52" s="505"/>
      <c r="J52" s="505"/>
      <c r="K52" s="505"/>
      <c r="L52" s="505"/>
      <c r="M52" s="505"/>
      <c r="N52" s="505"/>
      <c r="O52" s="505"/>
      <c r="P52" s="505"/>
      <c r="Q52" s="505"/>
      <c r="R52" s="505"/>
      <c r="S52" s="505"/>
      <c r="T52" s="505"/>
      <c r="U52" s="505"/>
      <c r="V52" s="505"/>
      <c r="W52" s="505"/>
      <c r="X52" s="505"/>
      <c r="Y52" s="505"/>
      <c r="Z52" s="505"/>
      <c r="AA52" s="505"/>
      <c r="AB52" s="505"/>
      <c r="AC52" s="505"/>
      <c r="AD52" s="504">
        <f>D52-H52</f>
        <v>0</v>
      </c>
      <c r="AE52" s="503" t="str">
        <f>IF(INT(H52)&gt;INT(D52),"Check ",IF(H52&lt;0,"Check negative","Ok"))</f>
        <v>Ok</v>
      </c>
    </row>
    <row r="53" spans="1:31" hidden="1" outlineLevel="1" x14ac:dyDescent="0.2">
      <c r="A53" s="397" t="s">
        <v>1699</v>
      </c>
      <c r="B53" s="457">
        <f>B46</f>
        <v>0</v>
      </c>
      <c r="C53" s="457">
        <f>C46</f>
        <v>0</v>
      </c>
      <c r="D53" s="457">
        <f>SUM(B53:C53)</f>
        <v>0</v>
      </c>
      <c r="H53" s="506">
        <f>SUM(I53:AC53)</f>
        <v>0</v>
      </c>
      <c r="I53" s="505"/>
      <c r="J53" s="505"/>
      <c r="K53" s="505"/>
      <c r="L53" s="505"/>
      <c r="M53" s="505"/>
      <c r="N53" s="505"/>
      <c r="O53" s="505"/>
      <c r="P53" s="505"/>
      <c r="Q53" s="505"/>
      <c r="R53" s="505"/>
      <c r="S53" s="505"/>
      <c r="T53" s="505"/>
      <c r="U53" s="505"/>
      <c r="V53" s="505"/>
      <c r="W53" s="505"/>
      <c r="X53" s="505"/>
      <c r="Y53" s="505"/>
      <c r="Z53" s="505"/>
      <c r="AA53" s="505"/>
      <c r="AB53" s="505"/>
      <c r="AC53" s="505"/>
      <c r="AD53" s="504">
        <f>D53-H53</f>
        <v>0</v>
      </c>
      <c r="AE53" s="503" t="str">
        <f>IF(INT(H53)&gt;INT(D53),"Check ",IF(H53&lt;0,"Check negative","Ok"))</f>
        <v>Ok</v>
      </c>
    </row>
    <row r="54" spans="1:31" ht="13.5" hidden="1" outlineLevel="1" thickBot="1" x14ac:dyDescent="0.25">
      <c r="B54" s="639">
        <f>SUM(B51:B53)</f>
        <v>0</v>
      </c>
      <c r="C54" s="639">
        <f>SUM(C51:C53)</f>
        <v>0</v>
      </c>
      <c r="D54" s="639">
        <f>SUM(B54:C54)</f>
        <v>0</v>
      </c>
      <c r="H54" s="502">
        <f t="shared" ref="H54:AD54" si="8">SUM(H51:H52)</f>
        <v>0</v>
      </c>
      <c r="I54" s="502">
        <f t="shared" si="8"/>
        <v>0</v>
      </c>
      <c r="J54" s="502">
        <f t="shared" si="8"/>
        <v>0</v>
      </c>
      <c r="K54" s="502">
        <f t="shared" si="8"/>
        <v>0</v>
      </c>
      <c r="L54" s="502">
        <f t="shared" si="8"/>
        <v>0</v>
      </c>
      <c r="M54" s="502">
        <f t="shared" si="8"/>
        <v>0</v>
      </c>
      <c r="N54" s="502">
        <f t="shared" si="8"/>
        <v>0</v>
      </c>
      <c r="O54" s="502">
        <f t="shared" si="8"/>
        <v>0</v>
      </c>
      <c r="P54" s="502">
        <f t="shared" si="8"/>
        <v>0</v>
      </c>
      <c r="Q54" s="502">
        <f t="shared" si="8"/>
        <v>0</v>
      </c>
      <c r="R54" s="502">
        <f t="shared" si="8"/>
        <v>0</v>
      </c>
      <c r="S54" s="502">
        <f t="shared" si="8"/>
        <v>0</v>
      </c>
      <c r="T54" s="502">
        <f t="shared" si="8"/>
        <v>0</v>
      </c>
      <c r="U54" s="502">
        <f t="shared" si="8"/>
        <v>0</v>
      </c>
      <c r="V54" s="502">
        <f t="shared" si="8"/>
        <v>0</v>
      </c>
      <c r="W54" s="502">
        <f t="shared" si="8"/>
        <v>0</v>
      </c>
      <c r="X54" s="502">
        <f t="shared" si="8"/>
        <v>0</v>
      </c>
      <c r="Y54" s="502">
        <f t="shared" si="8"/>
        <v>0</v>
      </c>
      <c r="Z54" s="502">
        <f t="shared" si="8"/>
        <v>0</v>
      </c>
      <c r="AA54" s="502">
        <f t="shared" si="8"/>
        <v>0</v>
      </c>
      <c r="AB54" s="502">
        <f t="shared" si="8"/>
        <v>0</v>
      </c>
      <c r="AC54" s="502">
        <f t="shared" si="8"/>
        <v>0</v>
      </c>
      <c r="AD54" s="502">
        <f t="shared" si="8"/>
        <v>0</v>
      </c>
    </row>
    <row r="55" spans="1:31" collapsed="1" x14ac:dyDescent="0.2"/>
    <row r="56" spans="1:31" hidden="1" outlineLevel="1" x14ac:dyDescent="0.2">
      <c r="B56" s="453" t="str">
        <f>IF(B54=B46,"OK","Error")</f>
        <v>OK</v>
      </c>
      <c r="C56" s="453" t="str">
        <f>IF(C54=C46,"OK","Error")</f>
        <v>OK</v>
      </c>
      <c r="D56" s="453" t="str">
        <f>IF(D54=D46,"OK","Error")</f>
        <v>OK</v>
      </c>
    </row>
    <row r="57" spans="1:31" collapsed="1" x14ac:dyDescent="0.2"/>
    <row r="59" spans="1:31" hidden="1" outlineLevel="1" x14ac:dyDescent="0.2">
      <c r="A59" s="388" t="s">
        <v>1429</v>
      </c>
    </row>
    <row r="60" spans="1:31" hidden="1" outlineLevel="1" x14ac:dyDescent="0.2">
      <c r="A60" s="51"/>
      <c r="B60" s="51"/>
      <c r="C60" s="51"/>
      <c r="D60" s="461" t="str">
        <f>Update!$C$38</f>
        <v>2025-26</v>
      </c>
    </row>
    <row r="61" spans="1:31" ht="25.5" hidden="1" outlineLevel="1" x14ac:dyDescent="0.2">
      <c r="A61" s="51" t="s">
        <v>1432</v>
      </c>
      <c r="B61" s="203" t="s">
        <v>1425</v>
      </c>
      <c r="C61" s="203" t="s">
        <v>1426</v>
      </c>
      <c r="D61" s="225" t="s">
        <v>462</v>
      </c>
    </row>
    <row r="62" spans="1:31" hidden="1" outlineLevel="1" x14ac:dyDescent="0.2">
      <c r="A62" s="47" t="s">
        <v>1704</v>
      </c>
      <c r="B62" s="460"/>
      <c r="C62" s="460"/>
      <c r="D62" s="457">
        <f>SUM(B62:C62)</f>
        <v>0</v>
      </c>
    </row>
    <row r="63" spans="1:31" hidden="1" outlineLevel="1" x14ac:dyDescent="0.2">
      <c r="A63" s="47" t="s">
        <v>1705</v>
      </c>
      <c r="B63" s="460"/>
      <c r="C63" s="460"/>
      <c r="D63" s="457">
        <f>SUM(B63:C63)</f>
        <v>0</v>
      </c>
    </row>
    <row r="64" spans="1:31" hidden="1" outlineLevel="1" x14ac:dyDescent="0.2">
      <c r="A64" s="47" t="s">
        <v>820</v>
      </c>
      <c r="B64" s="460"/>
      <c r="C64" s="460"/>
      <c r="D64" s="457">
        <f>SUM(B64:C64)</f>
        <v>0</v>
      </c>
    </row>
    <row r="65" spans="1:5" ht="13.5" hidden="1" outlineLevel="1" thickBot="1" x14ac:dyDescent="0.25">
      <c r="A65" s="47" t="s">
        <v>1706</v>
      </c>
      <c r="B65" s="114">
        <f>SUM(B62:B64)</f>
        <v>0</v>
      </c>
      <c r="C65" s="114">
        <f>SUM(C62:C64)</f>
        <v>0</v>
      </c>
      <c r="D65" s="114">
        <f>SUM(B65:C65)</f>
        <v>0</v>
      </c>
      <c r="E65" s="845" t="str">
        <f>IF(D65=D17,"Ok","Check")</f>
        <v>Ok</v>
      </c>
    </row>
    <row r="66" spans="1:5" hidden="1" outlineLevel="1" x14ac:dyDescent="0.2"/>
    <row r="67" spans="1:5" hidden="1" outlineLevel="1" x14ac:dyDescent="0.2"/>
    <row r="68" spans="1:5" collapsed="1" x14ac:dyDescent="0.2"/>
  </sheetData>
  <sheetProtection algorithmName="SHA-512" hashValue="qR/LxHGQaKMgto0d6AzdOLfY8xUGwJgs22yeagoHZed7aJYvodwuLmtb4qZg+sq7obMeYg8fxoUq2RtnHSlpOg==" saltValue="kQx9FZb251h/FMP1+krNrg==" spinCount="100000" sheet="1" formatColumns="0" formatRows="0"/>
  <mergeCells count="1">
    <mergeCell ref="C24:E24"/>
  </mergeCells>
  <conditionalFormatting sqref="A1:AJ17 A18:C18 F18:AJ18 A19:AJ56">
    <cfRule type="expression" dxfId="262" priority="8">
      <formula>CELL("Protect",A1)=0</formula>
    </cfRule>
  </conditionalFormatting>
  <conditionalFormatting sqref="B62:D64">
    <cfRule type="expression" dxfId="261" priority="2">
      <formula>CELL("Protect",B62)=0</formula>
    </cfRule>
  </conditionalFormatting>
  <conditionalFormatting sqref="D60">
    <cfRule type="expression" dxfId="260" priority="1">
      <formula>CELL("Protect",D60)=0</formula>
    </cfRule>
  </conditionalFormatting>
  <conditionalFormatting sqref="E65">
    <cfRule type="expression" dxfId="259" priority="5">
      <formula>CELL("Protect",E65)=0</formula>
    </cfRule>
  </conditionalFormatting>
  <pageMargins left="0.74803149606299213" right="0.74803149606299213" top="0.59055118110236227" bottom="0.59055118110236227" header="0.51181102362204722" footer="0.51181102362204722"/>
  <pageSetup paperSize="9" scale="59"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6">
    <tabColor rgb="FFFFFF00"/>
    <pageSetUpPr fitToPage="1"/>
  </sheetPr>
  <dimension ref="A1:J40"/>
  <sheetViews>
    <sheetView zoomScaleNormal="100" workbookViewId="0"/>
  </sheetViews>
  <sheetFormatPr defaultColWidth="9" defaultRowHeight="12.75" x14ac:dyDescent="0.2"/>
  <cols>
    <col min="1" max="1" width="9" style="397" customWidth="1"/>
    <col min="2" max="2" width="24.42578125" style="397" customWidth="1"/>
    <col min="3" max="3" width="11.7109375" style="397" customWidth="1"/>
    <col min="4" max="4" width="11.28515625" style="397" customWidth="1"/>
    <col min="5" max="10" width="11" style="397" customWidth="1"/>
    <col min="11" max="16384" width="9" style="397"/>
  </cols>
  <sheetData>
    <row r="1" spans="1:9" ht="14.65" customHeight="1" x14ac:dyDescent="0.2">
      <c r="A1" s="449" t="str">
        <f>'alb Instructions'!$B$20</f>
        <v>enter HSC Body name here</v>
      </c>
      <c r="B1" s="416"/>
      <c r="C1" s="416"/>
      <c r="D1" s="416"/>
      <c r="E1" s="416"/>
      <c r="F1" s="416"/>
      <c r="G1" s="416"/>
      <c r="H1" s="416"/>
      <c r="I1" s="416"/>
    </row>
    <row r="2" spans="1:9" x14ac:dyDescent="0.2">
      <c r="A2" s="388"/>
      <c r="B2" s="465"/>
      <c r="C2" s="388"/>
      <c r="D2" s="388"/>
      <c r="E2" s="388"/>
      <c r="F2" s="388"/>
      <c r="G2" s="388"/>
      <c r="H2" s="388"/>
      <c r="I2" s="388"/>
    </row>
    <row r="3" spans="1:9" x14ac:dyDescent="0.2">
      <c r="A3" s="416" t="str">
        <f>'alb A - Staff data'!$A$3</f>
        <v>ACCOUNTABILITY REPORT</v>
      </c>
      <c r="B3" s="388"/>
      <c r="C3" s="388"/>
      <c r="D3" s="388"/>
      <c r="E3" s="388"/>
      <c r="F3" s="388"/>
      <c r="G3" s="388"/>
      <c r="H3" s="388"/>
      <c r="I3" s="388"/>
    </row>
    <row r="4" spans="1:9" x14ac:dyDescent="0.2">
      <c r="A4" s="388"/>
      <c r="B4" s="465"/>
      <c r="C4" s="388"/>
      <c r="D4" s="388"/>
      <c r="E4" s="388"/>
      <c r="F4" s="388"/>
      <c r="G4" s="388"/>
      <c r="H4" s="388"/>
      <c r="I4" s="388"/>
    </row>
    <row r="5" spans="1:9" x14ac:dyDescent="0.2">
      <c r="A5" s="388" t="str">
        <f>'alb A - Staff data'!A5</f>
        <v>Staff Report</v>
      </c>
      <c r="B5" s="465"/>
      <c r="C5" s="388"/>
      <c r="D5" s="388"/>
      <c r="E5" s="388"/>
      <c r="F5" s="388"/>
      <c r="G5" s="388"/>
      <c r="H5" s="388"/>
      <c r="I5" s="388"/>
    </row>
    <row r="6" spans="1:9" x14ac:dyDescent="0.2">
      <c r="B6" s="450"/>
    </row>
    <row r="7" spans="1:9" x14ac:dyDescent="0.2">
      <c r="A7" s="388" t="s">
        <v>934</v>
      </c>
      <c r="B7" s="450"/>
    </row>
    <row r="9" spans="1:9" hidden="1" x14ac:dyDescent="0.2">
      <c r="A9" s="397" t="s">
        <v>482</v>
      </c>
    </row>
    <row r="11" spans="1:9" ht="30" customHeight="1" x14ac:dyDescent="0.2">
      <c r="B11" s="469" t="s">
        <v>935</v>
      </c>
      <c r="C11" s="2140" t="s">
        <v>403</v>
      </c>
      <c r="D11" s="2140"/>
      <c r="E11" s="2140" t="s">
        <v>404</v>
      </c>
      <c r="F11" s="2140"/>
      <c r="G11" s="2140" t="s">
        <v>405</v>
      </c>
      <c r="H11" s="2140"/>
      <c r="I11" s="1311" t="s">
        <v>2466</v>
      </c>
    </row>
    <row r="12" spans="1:9" x14ac:dyDescent="0.2">
      <c r="B12" s="469"/>
      <c r="C12" s="463">
        <f>Update!$B$38</f>
        <v>2026</v>
      </c>
      <c r="D12" s="463">
        <f>Update!$B$37</f>
        <v>2025</v>
      </c>
      <c r="E12" s="463">
        <f>C12</f>
        <v>2026</v>
      </c>
      <c r="F12" s="463">
        <f>D12</f>
        <v>2025</v>
      </c>
      <c r="G12" s="463">
        <f>E12</f>
        <v>2026</v>
      </c>
      <c r="H12" s="463">
        <f>F12</f>
        <v>2025</v>
      </c>
    </row>
    <row r="14" spans="1:9" x14ac:dyDescent="0.2">
      <c r="B14" s="470" t="s">
        <v>892</v>
      </c>
      <c r="C14" s="460"/>
      <c r="D14" s="460"/>
      <c r="E14" s="460"/>
      <c r="F14" s="460"/>
      <c r="G14" s="457">
        <f>+C14+E14</f>
        <v>0</v>
      </c>
      <c r="H14" s="457">
        <f>+D14+F14</f>
        <v>0</v>
      </c>
    </row>
    <row r="15" spans="1:9" x14ac:dyDescent="0.2">
      <c r="B15" s="388"/>
      <c r="C15" s="457"/>
      <c r="D15" s="457"/>
      <c r="E15" s="457"/>
      <c r="F15" s="457"/>
      <c r="G15" s="457"/>
      <c r="H15" s="457"/>
    </row>
    <row r="16" spans="1:9" x14ac:dyDescent="0.2">
      <c r="B16" s="388" t="s">
        <v>396</v>
      </c>
      <c r="C16" s="460"/>
      <c r="D16" s="460"/>
      <c r="E16" s="460"/>
      <c r="F16" s="460"/>
      <c r="G16" s="457">
        <f>+C16+E16</f>
        <v>0</v>
      </c>
      <c r="H16" s="457">
        <f>+D16+F16</f>
        <v>0</v>
      </c>
    </row>
    <row r="17" spans="2:8" x14ac:dyDescent="0.2">
      <c r="B17" s="388"/>
      <c r="C17" s="457"/>
      <c r="D17" s="457"/>
      <c r="E17" s="457"/>
      <c r="F17" s="457"/>
      <c r="G17" s="457"/>
      <c r="H17" s="457"/>
    </row>
    <row r="18" spans="2:8" x14ac:dyDescent="0.2">
      <c r="B18" s="388" t="s">
        <v>397</v>
      </c>
      <c r="C18" s="460"/>
      <c r="D18" s="460"/>
      <c r="E18" s="460"/>
      <c r="F18" s="460"/>
      <c r="G18" s="457">
        <f>+C18+E18</f>
        <v>0</v>
      </c>
      <c r="H18" s="457">
        <f>+D18+F18</f>
        <v>0</v>
      </c>
    </row>
    <row r="19" spans="2:8" x14ac:dyDescent="0.2">
      <c r="B19" s="388"/>
      <c r="C19" s="457"/>
      <c r="D19" s="457"/>
      <c r="E19" s="457"/>
      <c r="F19" s="457"/>
      <c r="G19" s="457"/>
      <c r="H19" s="457"/>
    </row>
    <row r="20" spans="2:8" x14ac:dyDescent="0.2">
      <c r="B20" s="388" t="s">
        <v>398</v>
      </c>
      <c r="C20" s="460"/>
      <c r="D20" s="460"/>
      <c r="E20" s="460"/>
      <c r="F20" s="460"/>
      <c r="G20" s="457">
        <f>+C20+E20</f>
        <v>0</v>
      </c>
      <c r="H20" s="457">
        <f>+D20+F20</f>
        <v>0</v>
      </c>
    </row>
    <row r="21" spans="2:8" x14ac:dyDescent="0.2">
      <c r="B21" s="388"/>
      <c r="C21" s="457"/>
      <c r="D21" s="457"/>
      <c r="E21" s="457"/>
      <c r="F21" s="457"/>
      <c r="G21" s="457"/>
      <c r="H21" s="457"/>
    </row>
    <row r="22" spans="2:8" x14ac:dyDescent="0.2">
      <c r="B22" s="388" t="s">
        <v>399</v>
      </c>
      <c r="C22" s="460"/>
      <c r="D22" s="460"/>
      <c r="E22" s="460"/>
      <c r="F22" s="460"/>
      <c r="G22" s="457">
        <f>+C22+E22</f>
        <v>0</v>
      </c>
      <c r="H22" s="457">
        <f>+D22+F22</f>
        <v>0</v>
      </c>
    </row>
    <row r="23" spans="2:8" x14ac:dyDescent="0.2">
      <c r="B23" s="388"/>
      <c r="C23" s="457"/>
      <c r="D23" s="457"/>
      <c r="E23" s="457"/>
      <c r="F23" s="457"/>
      <c r="G23" s="457"/>
      <c r="H23" s="457"/>
    </row>
    <row r="24" spans="2:8" x14ac:dyDescent="0.2">
      <c r="B24" s="388" t="s">
        <v>400</v>
      </c>
      <c r="C24" s="460"/>
      <c r="D24" s="460"/>
      <c r="E24" s="460"/>
      <c r="F24" s="460"/>
      <c r="G24" s="457">
        <f>+C24+E24</f>
        <v>0</v>
      </c>
      <c r="H24" s="457">
        <f>+D24+F24</f>
        <v>0</v>
      </c>
    </row>
    <row r="25" spans="2:8" x14ac:dyDescent="0.2">
      <c r="B25" s="388"/>
      <c r="C25" s="457"/>
      <c r="D25" s="457"/>
      <c r="E25" s="457"/>
      <c r="F25" s="457"/>
      <c r="G25" s="457"/>
      <c r="H25" s="457"/>
    </row>
    <row r="26" spans="2:8" x14ac:dyDescent="0.2">
      <c r="B26" s="388" t="s">
        <v>888</v>
      </c>
      <c r="C26" s="460"/>
      <c r="D26" s="460"/>
      <c r="E26" s="460"/>
      <c r="F26" s="460"/>
      <c r="G26" s="457">
        <f>+C26+E26</f>
        <v>0</v>
      </c>
      <c r="H26" s="457">
        <f>+D26+F26</f>
        <v>0</v>
      </c>
    </row>
    <row r="27" spans="2:8" x14ac:dyDescent="0.2">
      <c r="B27" s="388"/>
      <c r="C27" s="457"/>
      <c r="D27" s="457"/>
      <c r="E27" s="457"/>
      <c r="F27" s="457"/>
      <c r="G27" s="457"/>
      <c r="H27" s="457"/>
    </row>
    <row r="28" spans="2:8" x14ac:dyDescent="0.2">
      <c r="B28" s="388" t="s">
        <v>889</v>
      </c>
      <c r="C28" s="460"/>
      <c r="D28" s="460"/>
      <c r="E28" s="460"/>
      <c r="F28" s="460"/>
      <c r="G28" s="457">
        <f>+C28+E28</f>
        <v>0</v>
      </c>
      <c r="H28" s="457">
        <f>+D28+F28</f>
        <v>0</v>
      </c>
    </row>
    <row r="29" spans="2:8" x14ac:dyDescent="0.2">
      <c r="B29" s="388"/>
      <c r="C29" s="457"/>
      <c r="D29" s="457"/>
      <c r="E29" s="457"/>
      <c r="F29" s="457"/>
      <c r="G29" s="457"/>
      <c r="H29" s="457"/>
    </row>
    <row r="30" spans="2:8" x14ac:dyDescent="0.2">
      <c r="B30" s="388" t="s">
        <v>890</v>
      </c>
      <c r="C30" s="460"/>
      <c r="D30" s="460"/>
      <c r="E30" s="460"/>
      <c r="F30" s="460"/>
      <c r="G30" s="457">
        <f>+C30+E30</f>
        <v>0</v>
      </c>
      <c r="H30" s="457">
        <f>+D30+F30</f>
        <v>0</v>
      </c>
    </row>
    <row r="31" spans="2:8" x14ac:dyDescent="0.2">
      <c r="B31" s="388"/>
      <c r="C31" s="457"/>
      <c r="D31" s="457"/>
      <c r="E31" s="457"/>
      <c r="F31" s="457"/>
      <c r="G31" s="457"/>
      <c r="H31" s="457"/>
    </row>
    <row r="32" spans="2:8" x14ac:dyDescent="0.2">
      <c r="B32" s="388" t="s">
        <v>891</v>
      </c>
      <c r="C32" s="460"/>
      <c r="D32" s="460"/>
      <c r="E32" s="460"/>
      <c r="F32" s="460"/>
      <c r="G32" s="457">
        <f>+C32+E32</f>
        <v>0</v>
      </c>
      <c r="H32" s="457">
        <f>+D32+F32</f>
        <v>0</v>
      </c>
    </row>
    <row r="33" spans="1:10" x14ac:dyDescent="0.2">
      <c r="B33" s="388"/>
      <c r="C33" s="457"/>
      <c r="D33" s="457"/>
      <c r="E33" s="457"/>
      <c r="F33" s="457"/>
      <c r="G33" s="457"/>
      <c r="H33" s="457"/>
    </row>
    <row r="34" spans="1:10" ht="25.5" x14ac:dyDescent="0.2">
      <c r="B34" s="469" t="s">
        <v>401</v>
      </c>
      <c r="C34" s="457">
        <f t="shared" ref="C34:H34" si="0">C14+C16+C18+C20+C22+C24+C26+C28+C30+C32</f>
        <v>0</v>
      </c>
      <c r="D34" s="457">
        <f t="shared" si="0"/>
        <v>0</v>
      </c>
      <c r="E34" s="457">
        <f t="shared" si="0"/>
        <v>0</v>
      </c>
      <c r="F34" s="457">
        <f t="shared" si="0"/>
        <v>0</v>
      </c>
      <c r="G34" s="457">
        <f t="shared" si="0"/>
        <v>0</v>
      </c>
      <c r="H34" s="457">
        <f t="shared" si="0"/>
        <v>0</v>
      </c>
    </row>
    <row r="35" spans="1:10" x14ac:dyDescent="0.2">
      <c r="B35" s="388"/>
      <c r="C35" s="468" t="s">
        <v>493</v>
      </c>
      <c r="D35" s="468" t="s">
        <v>493</v>
      </c>
      <c r="E35" s="468" t="s">
        <v>493</v>
      </c>
      <c r="F35" s="468" t="s">
        <v>493</v>
      </c>
      <c r="G35" s="468" t="s">
        <v>493</v>
      </c>
      <c r="H35" s="468" t="s">
        <v>493</v>
      </c>
    </row>
    <row r="36" spans="1:10" x14ac:dyDescent="0.2">
      <c r="B36" s="388" t="s">
        <v>402</v>
      </c>
      <c r="C36" s="460"/>
      <c r="D36" s="460"/>
      <c r="E36" s="460"/>
      <c r="F36" s="460"/>
      <c r="G36" s="457">
        <f>+C36+E36</f>
        <v>0</v>
      </c>
      <c r="H36" s="457">
        <f>+D36+F36</f>
        <v>0</v>
      </c>
    </row>
    <row r="39" spans="1:10" x14ac:dyDescent="0.2">
      <c r="A39" s="466"/>
      <c r="B39" s="466"/>
      <c r="C39" s="466"/>
      <c r="D39" s="466"/>
      <c r="E39" s="466"/>
      <c r="F39" s="466"/>
      <c r="G39" s="466"/>
      <c r="H39" s="466"/>
      <c r="I39" s="466"/>
      <c r="J39" s="466"/>
    </row>
    <row r="40" spans="1:10" x14ac:dyDescent="0.2">
      <c r="A40" s="466"/>
      <c r="B40" s="466"/>
      <c r="C40" s="466"/>
      <c r="D40" s="466"/>
      <c r="E40" s="466"/>
      <c r="F40" s="466"/>
      <c r="G40" s="466"/>
      <c r="H40" s="466"/>
      <c r="I40" s="466"/>
      <c r="J40" s="466"/>
    </row>
  </sheetData>
  <sheetProtection algorithmName="SHA-512" hashValue="lqI5mJ9UB+/FCCImjLMa3i6MUplkYnY25b5CrBoP1YoQKtaLuNoFc7Fa8/w1DbYuKZ+Opt42uhYwlTNsPIwxcg==" saltValue="wPIoAQolEoFLBe3/ktVnoQ==" spinCount="100000" sheet="1" formatColumns="0" formatRows="0"/>
  <mergeCells count="3">
    <mergeCell ref="C11:D11"/>
    <mergeCell ref="E11:F11"/>
    <mergeCell ref="G11:H11"/>
  </mergeCells>
  <conditionalFormatting sqref="C14:F14 C16:F16 C18:F18 C20:F20 C22:F22 C24:F24 C26:F26 C28:F28 C30:F30 C32:F32">
    <cfRule type="expression" dxfId="258" priority="1">
      <formula>CELL("Protect",C14)=0</formula>
    </cfRule>
  </conditionalFormatting>
  <conditionalFormatting sqref="C36:F36">
    <cfRule type="expression" dxfId="257" priority="35">
      <formula>CELL("Protect",C36)=0</formula>
    </cfRule>
  </conditionalFormatting>
  <pageMargins left="0.74803149606299213" right="0.74803149606299213" top="0.59055118110236227" bottom="0.59055118110236227" header="0.51181102362204722" footer="0.51181102362204722"/>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8">
    <tabColor rgb="FF00B0F0"/>
    <pageSetUpPr fitToPage="1"/>
  </sheetPr>
  <dimension ref="A1:Q52"/>
  <sheetViews>
    <sheetView zoomScale="90" zoomScaleNormal="90" workbookViewId="0">
      <selection activeCell="G5" sqref="G4:G5"/>
    </sheetView>
  </sheetViews>
  <sheetFormatPr defaultColWidth="9.140625" defaultRowHeight="12.75" x14ac:dyDescent="0.25"/>
  <cols>
    <col min="1" max="1" width="5.140625" style="35" customWidth="1"/>
    <col min="2" max="2" width="65" style="103" customWidth="1"/>
    <col min="3" max="3" width="13" style="102" customWidth="1"/>
    <col min="4" max="4" width="14.42578125" style="103" bestFit="1" customWidth="1"/>
    <col min="5" max="5" width="14.85546875" style="103" bestFit="1" customWidth="1"/>
    <col min="6" max="6" width="16.42578125" style="103" customWidth="1"/>
    <col min="7" max="7" width="5.7109375" style="103" customWidth="1"/>
    <col min="8" max="8" width="10.5703125" style="103" bestFit="1" customWidth="1"/>
    <col min="9" max="9" width="12" style="103" bestFit="1" customWidth="1"/>
    <col min="10" max="10" width="14.5703125" style="103" customWidth="1"/>
    <col min="11" max="11" width="15.5703125" style="103" bestFit="1" customWidth="1"/>
    <col min="12" max="12" width="10.140625" style="103" bestFit="1" customWidth="1"/>
    <col min="13" max="14" width="9.140625" style="103"/>
    <col min="15" max="16" width="10.42578125" style="103" bestFit="1" customWidth="1"/>
    <col min="17" max="17" width="11.7109375" style="103" bestFit="1" customWidth="1"/>
    <col min="18" max="18" width="10.42578125" style="103" bestFit="1" customWidth="1"/>
    <col min="19" max="20" width="9.140625" style="103"/>
    <col min="21" max="21" width="10.42578125" style="103" bestFit="1" customWidth="1"/>
    <col min="22" max="16384" width="9.140625" style="103"/>
  </cols>
  <sheetData>
    <row r="1" spans="1:16" x14ac:dyDescent="0.25">
      <c r="B1" s="35" t="str">
        <f>+SOAS!B2</f>
        <v>2025-26</v>
      </c>
    </row>
    <row r="2" spans="1:16" x14ac:dyDescent="0.25">
      <c r="B2" s="35" t="s">
        <v>476</v>
      </c>
    </row>
    <row r="3" spans="1:16" x14ac:dyDescent="0.25">
      <c r="B3" s="35" t="s">
        <v>840</v>
      </c>
    </row>
    <row r="4" spans="1:16" x14ac:dyDescent="0.25">
      <c r="B4" s="35"/>
    </row>
    <row r="5" spans="1:16" x14ac:dyDescent="0.25">
      <c r="A5" s="60"/>
      <c r="B5" s="35" t="s">
        <v>1966</v>
      </c>
      <c r="C5" s="104"/>
      <c r="E5" s="35"/>
    </row>
    <row r="6" spans="1:16" x14ac:dyDescent="0.25">
      <c r="A6" s="60"/>
      <c r="B6" s="103" t="s">
        <v>1967</v>
      </c>
      <c r="C6" s="104"/>
      <c r="E6" s="35"/>
    </row>
    <row r="7" spans="1:16" x14ac:dyDescent="0.25">
      <c r="A7" s="60"/>
      <c r="B7" s="35"/>
      <c r="C7" s="104"/>
      <c r="D7" s="1362"/>
      <c r="E7" s="1362"/>
      <c r="F7" s="1362"/>
    </row>
    <row r="8" spans="1:16" s="56" customFormat="1" ht="72" customHeight="1" x14ac:dyDescent="0.2">
      <c r="A8" s="55"/>
      <c r="B8" s="1363" t="s">
        <v>2112</v>
      </c>
      <c r="C8" s="1614" t="s">
        <v>461</v>
      </c>
      <c r="D8" s="1363" t="s">
        <v>2158</v>
      </c>
      <c r="E8" s="1363" t="s">
        <v>2159</v>
      </c>
      <c r="F8" s="1363" t="s">
        <v>2160</v>
      </c>
      <c r="G8" s="42"/>
      <c r="H8" s="42"/>
      <c r="I8" s="42"/>
    </row>
    <row r="9" spans="1:16" x14ac:dyDescent="0.2">
      <c r="B9" s="76"/>
      <c r="C9" s="74"/>
      <c r="D9" s="65"/>
      <c r="E9" s="65"/>
      <c r="F9" s="65"/>
    </row>
    <row r="10" spans="1:16" x14ac:dyDescent="0.2">
      <c r="B10" s="85" t="s">
        <v>2161</v>
      </c>
      <c r="C10" s="1634" t="s">
        <v>2115</v>
      </c>
      <c r="D10" s="1635">
        <f>+'SOAS 1.1'!I77</f>
        <v>0</v>
      </c>
      <c r="E10" s="1635">
        <v>9856302</v>
      </c>
      <c r="F10" s="1635">
        <f>E10-D10</f>
        <v>9856302</v>
      </c>
      <c r="H10" s="47"/>
    </row>
    <row r="11" spans="1:16" x14ac:dyDescent="0.2">
      <c r="B11" s="85" t="s">
        <v>2162</v>
      </c>
      <c r="C11" s="1634" t="s">
        <v>2163</v>
      </c>
      <c r="D11" s="1635">
        <f>+'SOAS 1.2'!E72</f>
        <v>0</v>
      </c>
      <c r="E11" s="1635">
        <v>394821</v>
      </c>
      <c r="F11" s="1635">
        <f>E11-D11</f>
        <v>394821</v>
      </c>
      <c r="H11" s="47"/>
    </row>
    <row r="12" spans="1:16" ht="21.75" customHeight="1" x14ac:dyDescent="0.2">
      <c r="B12" s="99"/>
      <c r="C12" s="74"/>
      <c r="D12" s="65"/>
      <c r="E12" s="65"/>
      <c r="F12" s="65">
        <f>ROUND(SUMIF(MAP!$E$389:$E$406,$B12,MAP!$N$389:$N$406),0)</f>
        <v>0</v>
      </c>
      <c r="H12" s="47"/>
    </row>
    <row r="13" spans="1:16" ht="19.5" customHeight="1" x14ac:dyDescent="0.2">
      <c r="B13" s="99" t="s">
        <v>2164</v>
      </c>
      <c r="C13" s="74"/>
      <c r="D13" s="65"/>
      <c r="E13" s="65"/>
      <c r="F13" s="65"/>
      <c r="H13" s="47"/>
    </row>
    <row r="14" spans="1:16" ht="23.25" customHeight="1" x14ac:dyDescent="0.2">
      <c r="B14" s="1636" t="s">
        <v>2165</v>
      </c>
      <c r="C14" s="74"/>
      <c r="D14" s="65"/>
      <c r="E14" s="65">
        <f>-7626150-370234</f>
        <v>-7996384</v>
      </c>
      <c r="F14" s="65">
        <f t="shared" ref="F14:F19" si="0">E14-D14</f>
        <v>-7996384</v>
      </c>
      <c r="H14" s="47"/>
      <c r="I14" s="34"/>
      <c r="J14" s="34"/>
      <c r="K14" s="34"/>
    </row>
    <row r="15" spans="1:16" ht="23.25" customHeight="1" x14ac:dyDescent="0.2">
      <c r="B15" s="1636" t="s">
        <v>2166</v>
      </c>
      <c r="C15" s="74"/>
      <c r="D15" s="1715">
        <f>-MAP!S179-'SOAS 1.1'!I30</f>
        <v>0</v>
      </c>
      <c r="E15" s="65">
        <v>7650018</v>
      </c>
      <c r="F15" s="65">
        <f t="shared" si="0"/>
        <v>7650018</v>
      </c>
      <c r="H15" s="47"/>
    </row>
    <row r="16" spans="1:16" ht="23.25" customHeight="1" x14ac:dyDescent="0.2">
      <c r="B16" s="76"/>
      <c r="C16" s="88"/>
      <c r="D16" s="65"/>
      <c r="E16" s="65"/>
      <c r="F16" s="65">
        <f t="shared" si="0"/>
        <v>0</v>
      </c>
      <c r="H16" s="47"/>
      <c r="P16" s="110"/>
    </row>
    <row r="17" spans="2:17" ht="23.25" customHeight="1" x14ac:dyDescent="0.2">
      <c r="B17" s="99" t="s">
        <v>2167</v>
      </c>
      <c r="C17" s="88"/>
      <c r="D17" s="65"/>
      <c r="E17" s="65"/>
      <c r="F17" s="65">
        <f t="shared" si="0"/>
        <v>0</v>
      </c>
      <c r="H17" s="47"/>
    </row>
    <row r="18" spans="2:17" ht="23.25" customHeight="1" x14ac:dyDescent="0.2">
      <c r="B18" s="76" t="s">
        <v>2168</v>
      </c>
      <c r="C18" s="88"/>
      <c r="D18" s="1715">
        <f>+'SoAS 3-Core and agencies only'!D26</f>
        <v>0</v>
      </c>
      <c r="E18" s="65">
        <v>-22636</v>
      </c>
      <c r="F18" s="65">
        <f t="shared" si="0"/>
        <v>-22636</v>
      </c>
      <c r="H18" s="47"/>
    </row>
    <row r="19" spans="2:17" ht="23.25" customHeight="1" x14ac:dyDescent="0.2">
      <c r="B19" s="1636" t="s">
        <v>2169</v>
      </c>
      <c r="C19" s="88"/>
      <c r="D19" s="1715">
        <f>+'SoAS 3-Core and agencies only'!D28</f>
        <v>0</v>
      </c>
      <c r="E19" s="65">
        <v>-18524</v>
      </c>
      <c r="F19" s="65">
        <f t="shared" si="0"/>
        <v>-18524</v>
      </c>
      <c r="H19" s="47"/>
    </row>
    <row r="20" spans="2:17" ht="23.25" customHeight="1" x14ac:dyDescent="0.2">
      <c r="B20" s="1636" t="s">
        <v>2170</v>
      </c>
      <c r="C20" s="74"/>
      <c r="D20" s="65"/>
      <c r="E20" s="65"/>
      <c r="F20" s="65"/>
      <c r="H20" s="47"/>
    </row>
    <row r="21" spans="2:17" ht="23.25" customHeight="1" x14ac:dyDescent="0.2">
      <c r="B21" s="1636" t="s">
        <v>2171</v>
      </c>
      <c r="C21" s="74"/>
      <c r="D21" s="65"/>
      <c r="E21" s="65">
        <v>0</v>
      </c>
      <c r="F21" s="65">
        <f>E21-D21</f>
        <v>0</v>
      </c>
      <c r="H21" s="47"/>
    </row>
    <row r="22" spans="2:17" ht="23.25" customHeight="1" x14ac:dyDescent="0.2">
      <c r="B22" s="1636" t="s">
        <v>2172</v>
      </c>
      <c r="C22" s="74"/>
      <c r="D22" s="65"/>
      <c r="E22" s="65">
        <v>140000</v>
      </c>
      <c r="F22" s="65">
        <f>E22-D22</f>
        <v>140000</v>
      </c>
      <c r="H22" s="47"/>
    </row>
    <row r="23" spans="2:17" ht="23.25" customHeight="1" x14ac:dyDescent="0.2">
      <c r="B23" s="76"/>
      <c r="C23" s="88"/>
      <c r="D23" s="65"/>
      <c r="E23" s="65"/>
      <c r="F23" s="65"/>
      <c r="H23" s="47"/>
      <c r="P23" s="110"/>
      <c r="Q23" s="110"/>
    </row>
    <row r="24" spans="2:17" ht="23.25" customHeight="1" x14ac:dyDescent="0.2">
      <c r="B24" s="99" t="s">
        <v>2173</v>
      </c>
      <c r="C24" s="88"/>
      <c r="D24" s="65"/>
      <c r="E24" s="65"/>
      <c r="F24" s="65">
        <f>E24-D24</f>
        <v>0</v>
      </c>
      <c r="H24" s="47"/>
      <c r="P24" s="110"/>
      <c r="Q24" s="110"/>
    </row>
    <row r="25" spans="2:17" ht="23.25" customHeight="1" x14ac:dyDescent="0.2">
      <c r="B25" s="1637" t="s">
        <v>2526</v>
      </c>
      <c r="C25" s="74"/>
      <c r="D25" s="65"/>
      <c r="E25" s="65">
        <f>200000+85000</f>
        <v>285000</v>
      </c>
      <c r="F25" s="65">
        <f>E25-D25</f>
        <v>285000</v>
      </c>
      <c r="H25" s="47"/>
      <c r="P25" s="110"/>
      <c r="Q25" s="110"/>
    </row>
    <row r="26" spans="2:17" ht="21" customHeight="1" x14ac:dyDescent="0.2">
      <c r="B26" s="1636" t="s">
        <v>91</v>
      </c>
      <c r="C26" s="88"/>
      <c r="D26" s="1715">
        <f>+'SoAS 3-Core and agencies only'!D41</f>
        <v>0</v>
      </c>
      <c r="E26" s="65">
        <v>1695</v>
      </c>
      <c r="F26" s="65">
        <f>E26-D26</f>
        <v>1695</v>
      </c>
      <c r="G26" s="103" t="s">
        <v>281</v>
      </c>
      <c r="H26" s="47"/>
      <c r="Q26" s="110"/>
    </row>
    <row r="27" spans="2:17" x14ac:dyDescent="0.2">
      <c r="B27" s="76"/>
      <c r="C27" s="88"/>
      <c r="D27" s="65"/>
      <c r="E27" s="65"/>
      <c r="F27" s="65"/>
      <c r="H27" s="47"/>
    </row>
    <row r="28" spans="2:17" s="35" customFormat="1" x14ac:dyDescent="0.2">
      <c r="B28" s="85" t="s">
        <v>146</v>
      </c>
      <c r="C28" s="1638"/>
      <c r="D28" s="361">
        <f>SUM(D14:D26)</f>
        <v>0</v>
      </c>
      <c r="E28" s="361">
        <f>SUM(E14:E26)</f>
        <v>39169</v>
      </c>
      <c r="F28" s="361">
        <f>SUM(F14:F26)</f>
        <v>39169</v>
      </c>
      <c r="H28" s="47"/>
      <c r="I28" s="103"/>
    </row>
    <row r="29" spans="2:17" x14ac:dyDescent="0.2">
      <c r="B29" s="76"/>
      <c r="C29" s="88"/>
      <c r="D29" s="65"/>
      <c r="E29" s="65"/>
      <c r="F29" s="65"/>
      <c r="H29" s="47"/>
    </row>
    <row r="30" spans="2:17" ht="18.75" customHeight="1" x14ac:dyDescent="0.2">
      <c r="B30" s="99" t="s">
        <v>2174</v>
      </c>
      <c r="C30" s="88"/>
      <c r="D30" s="65"/>
      <c r="E30" s="65"/>
      <c r="F30" s="65"/>
      <c r="H30" s="47"/>
    </row>
    <row r="31" spans="2:17" ht="18.75" customHeight="1" x14ac:dyDescent="0.2">
      <c r="B31" s="1637" t="s">
        <v>2511</v>
      </c>
      <c r="C31" s="1639"/>
      <c r="D31" s="1633">
        <v>0</v>
      </c>
      <c r="E31" s="1633">
        <v>0</v>
      </c>
      <c r="F31" s="65">
        <f>E31-D31</f>
        <v>0</v>
      </c>
      <c r="H31" s="47"/>
    </row>
    <row r="32" spans="2:17" ht="18.75" customHeight="1" x14ac:dyDescent="0.2">
      <c r="B32" s="1637" t="s">
        <v>112</v>
      </c>
      <c r="C32" s="1639"/>
      <c r="D32" s="65">
        <f>-MAP!N186</f>
        <v>0</v>
      </c>
      <c r="E32" s="65">
        <v>-823951</v>
      </c>
      <c r="F32" s="65">
        <f>E32-D32</f>
        <v>-823951</v>
      </c>
      <c r="H32" s="47"/>
    </row>
    <row r="33" spans="2:9" x14ac:dyDescent="0.2">
      <c r="B33" s="76"/>
      <c r="C33" s="88"/>
      <c r="D33" s="65"/>
      <c r="E33" s="65"/>
      <c r="F33" s="65"/>
      <c r="H33" s="47"/>
    </row>
    <row r="34" spans="2:9" s="35" customFormat="1" x14ac:dyDescent="0.2">
      <c r="B34" s="85" t="s">
        <v>146</v>
      </c>
      <c r="C34" s="1638"/>
      <c r="D34" s="361">
        <f>SUM(D31:D32)</f>
        <v>0</v>
      </c>
      <c r="E34" s="361">
        <f>SUM(E31:E32)</f>
        <v>-823951</v>
      </c>
      <c r="F34" s="361">
        <f>SUM(F31:F32)</f>
        <v>-823951</v>
      </c>
      <c r="H34" s="47"/>
      <c r="I34" s="103"/>
    </row>
    <row r="35" spans="2:9" x14ac:dyDescent="0.2">
      <c r="B35" s="76"/>
      <c r="C35" s="88"/>
      <c r="D35" s="65"/>
      <c r="E35" s="65"/>
      <c r="F35" s="65"/>
      <c r="H35" s="47"/>
    </row>
    <row r="36" spans="2:9" s="47" customFormat="1" ht="23.25" customHeight="1" x14ac:dyDescent="0.2">
      <c r="B36" s="85" t="s">
        <v>533</v>
      </c>
      <c r="C36" s="1613"/>
      <c r="D36" s="361">
        <f>+D10+D11+D28+D34</f>
        <v>0</v>
      </c>
      <c r="E36" s="361">
        <f>+E10+E11+E28+E34</f>
        <v>9466341</v>
      </c>
      <c r="F36" s="361">
        <f>+F10+F11+F28+F34</f>
        <v>9466341</v>
      </c>
      <c r="I36" s="103"/>
    </row>
    <row r="37" spans="2:9" x14ac:dyDescent="0.25">
      <c r="D37" s="110"/>
    </row>
    <row r="38" spans="2:9" x14ac:dyDescent="0.25">
      <c r="D38" s="110" t="e">
        <f>IF(ROUND(D36,0)=ROUND('SoAS 3-Core and agencies only'!D66,0),"OK","ERROR")</f>
        <v>#VALUE!</v>
      </c>
      <c r="E38" s="110" t="str">
        <f>IF(E36='SoAS 3-Core and agencies only'!E66,"OK","ERROR")</f>
        <v>OK</v>
      </c>
      <c r="F38" s="110" t="e">
        <f>IF(ROUND(F36,0)=ROUND(SOAS!F49,0),"OK","ERROR")</f>
        <v>#VALUE!</v>
      </c>
      <c r="G38" s="110"/>
      <c r="H38" s="110" t="e">
        <f>ROUND('SoAS 3-Core and agencies only'!D66,0)</f>
        <v>#VALUE!</v>
      </c>
      <c r="I38" s="110" t="e">
        <f>+D36-H38</f>
        <v>#VALUE!</v>
      </c>
    </row>
    <row r="39" spans="2:9" ht="28.5" customHeight="1" x14ac:dyDescent="0.25">
      <c r="B39" s="1904" t="s">
        <v>2175</v>
      </c>
      <c r="C39" s="1904"/>
      <c r="D39" s="1904"/>
      <c r="E39" s="1904"/>
      <c r="F39" s="1904"/>
    </row>
    <row r="42" spans="2:9" x14ac:dyDescent="0.25">
      <c r="B42" s="1187"/>
      <c r="C42" s="1188"/>
      <c r="D42" s="1189"/>
      <c r="E42" s="1189"/>
    </row>
    <row r="43" spans="2:9" x14ac:dyDescent="0.25">
      <c r="B43" s="1189"/>
      <c r="C43" s="1188"/>
      <c r="D43" s="1189"/>
      <c r="E43" s="1189"/>
    </row>
    <row r="44" spans="2:9" x14ac:dyDescent="0.25">
      <c r="B44" s="1189"/>
      <c r="C44" s="1188"/>
      <c r="D44" s="1189"/>
      <c r="E44" s="1189"/>
    </row>
    <row r="45" spans="2:9" x14ac:dyDescent="0.25">
      <c r="B45" s="1189"/>
      <c r="C45" s="1188"/>
      <c r="D45" s="1189"/>
      <c r="E45" s="1189"/>
    </row>
    <row r="46" spans="2:9" x14ac:dyDescent="0.25">
      <c r="B46" s="1189"/>
      <c r="C46" s="1188"/>
      <c r="D46" s="1189"/>
      <c r="E46" s="1189"/>
    </row>
    <row r="47" spans="2:9" x14ac:dyDescent="0.25">
      <c r="B47" s="1189"/>
      <c r="C47" s="1188"/>
      <c r="D47" s="1189"/>
      <c r="E47" s="1189"/>
    </row>
    <row r="48" spans="2:9" x14ac:dyDescent="0.25">
      <c r="B48" s="1189"/>
      <c r="C48" s="1188"/>
      <c r="D48" s="1189"/>
      <c r="E48" s="1189"/>
    </row>
    <row r="49" spans="2:5" x14ac:dyDescent="0.25">
      <c r="B49" s="1189"/>
      <c r="C49" s="1188"/>
      <c r="D49" s="1189"/>
      <c r="E49" s="1189"/>
    </row>
    <row r="50" spans="2:5" x14ac:dyDescent="0.25">
      <c r="B50" s="1189"/>
      <c r="C50" s="1188"/>
      <c r="D50" s="1189"/>
      <c r="E50" s="1189"/>
    </row>
    <row r="51" spans="2:5" x14ac:dyDescent="0.25">
      <c r="B51" s="1189"/>
      <c r="C51" s="1188"/>
      <c r="D51" s="1189"/>
      <c r="E51" s="1189"/>
    </row>
    <row r="52" spans="2:5" x14ac:dyDescent="0.25">
      <c r="B52" s="1189"/>
      <c r="C52" s="1188"/>
      <c r="D52" s="1189"/>
      <c r="E52" s="1189"/>
    </row>
  </sheetData>
  <mergeCells count="1">
    <mergeCell ref="B39:F39"/>
  </mergeCells>
  <pageMargins left="0.35433070866141736" right="0.47244094488188981" top="0.19685039370078741" bottom="0.19685039370078741" header="0.31496062992125984" footer="0.31496062992125984"/>
  <pageSetup paperSize="9" scale="7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7">
    <tabColor rgb="FFFFFF00"/>
    <pageSetUpPr fitToPage="1"/>
  </sheetPr>
  <dimension ref="A1:F74"/>
  <sheetViews>
    <sheetView zoomScale="93" zoomScaleNormal="93" workbookViewId="0">
      <pane xSplit="3" ySplit="12" topLeftCell="D13" activePane="bottomRight" state="frozen"/>
      <selection activeCell="F19" sqref="F19"/>
      <selection pane="topRight" activeCell="F19" sqref="F19"/>
      <selection pane="bottomLeft" activeCell="F19" sqref="F19"/>
      <selection pane="bottomRight" activeCell="D13" sqref="D13"/>
    </sheetView>
  </sheetViews>
  <sheetFormatPr defaultColWidth="9.140625" defaultRowHeight="12.75" outlineLevelCol="1" x14ac:dyDescent="0.2"/>
  <cols>
    <col min="1" max="1" width="68.140625" style="466" customWidth="1"/>
    <col min="2" max="2" width="11.140625" style="519" bestFit="1" customWidth="1"/>
    <col min="3" max="3" width="16.42578125" style="466" customWidth="1"/>
    <col min="4" max="4" width="12.85546875" style="466" bestFit="1" customWidth="1"/>
    <col min="5" max="5" width="12.7109375" style="466" customWidth="1"/>
    <col min="6" max="6" width="9.140625" style="466" customWidth="1" outlineLevel="1"/>
    <col min="7" max="16384" width="9.140625" style="466"/>
  </cols>
  <sheetData>
    <row r="1" spans="1:6" ht="14.65" customHeight="1" x14ac:dyDescent="0.2">
      <c r="A1" s="397" t="str">
        <f>'alb Instructions'!$B$20</f>
        <v>enter HSC Body name here</v>
      </c>
      <c r="B1" s="397"/>
      <c r="C1" s="397"/>
      <c r="D1" s="397"/>
      <c r="E1" s="397"/>
    </row>
    <row r="2" spans="1:6" x14ac:dyDescent="0.2">
      <c r="A2" s="397"/>
      <c r="B2" s="453"/>
      <c r="C2" s="397"/>
      <c r="D2" s="397"/>
      <c r="E2" s="397"/>
    </row>
    <row r="3" spans="1:6" x14ac:dyDescent="0.2">
      <c r="A3" s="416" t="s">
        <v>1214</v>
      </c>
      <c r="B3" s="436"/>
      <c r="C3" s="397"/>
      <c r="D3" s="397"/>
      <c r="E3" s="397"/>
    </row>
    <row r="4" spans="1:6" x14ac:dyDescent="0.2">
      <c r="A4" s="397"/>
      <c r="B4" s="453"/>
      <c r="C4" s="397"/>
      <c r="D4" s="397"/>
      <c r="E4" s="397"/>
    </row>
    <row r="5" spans="1:6" x14ac:dyDescent="0.2">
      <c r="A5" s="2141" t="str">
        <f>"Consolidated Statement of Comprehensive Net Expenditure for the year ended"&amp;Update!B22</f>
        <v>Consolidated Statement of Comprehensive Net Expenditure for the year ended 31 March 2026</v>
      </c>
      <c r="B5" s="2142"/>
      <c r="C5" s="2142"/>
      <c r="D5" s="436"/>
      <c r="E5" s="397"/>
    </row>
    <row r="6" spans="1:6" x14ac:dyDescent="0.2">
      <c r="A6" s="384"/>
      <c r="B6" s="384"/>
      <c r="C6" s="384"/>
      <c r="D6" s="384"/>
      <c r="E6" s="397"/>
    </row>
    <row r="7" spans="1:6" x14ac:dyDescent="0.2">
      <c r="A7" s="1930" t="s">
        <v>1213</v>
      </c>
      <c r="B7" s="1930"/>
      <c r="C7" s="1930"/>
      <c r="D7" s="1930"/>
      <c r="E7" s="397"/>
    </row>
    <row r="8" spans="1:6" x14ac:dyDescent="0.2">
      <c r="A8" s="1930"/>
      <c r="B8" s="1930"/>
      <c r="C8" s="1930"/>
      <c r="D8" s="1930"/>
      <c r="E8" s="397"/>
    </row>
    <row r="9" spans="1:6" x14ac:dyDescent="0.2">
      <c r="A9" s="384"/>
      <c r="B9" s="384"/>
      <c r="C9" s="384"/>
      <c r="D9" s="384"/>
      <c r="E9" s="397"/>
      <c r="F9" s="949" t="s">
        <v>1336</v>
      </c>
    </row>
    <row r="10" spans="1:6" x14ac:dyDescent="0.2">
      <c r="A10" s="388"/>
      <c r="B10" s="461"/>
      <c r="C10" s="461" t="str">
        <f>Update!$C$38</f>
        <v>2025-26</v>
      </c>
      <c r="D10" s="461" t="str">
        <f>Update!$C$37</f>
        <v>2024-25</v>
      </c>
      <c r="E10" s="397"/>
      <c r="F10" s="948"/>
    </row>
    <row r="11" spans="1:6" x14ac:dyDescent="0.2">
      <c r="A11" s="388"/>
      <c r="B11" s="461" t="s">
        <v>1211</v>
      </c>
      <c r="C11" s="948" t="s">
        <v>493</v>
      </c>
      <c r="D11" s="948" t="s">
        <v>493</v>
      </c>
      <c r="E11" s="397"/>
      <c r="F11" s="948" t="s">
        <v>493</v>
      </c>
    </row>
    <row r="12" spans="1:6" x14ac:dyDescent="0.2">
      <c r="A12" s="397"/>
      <c r="B12" s="461"/>
      <c r="C12" s="468" t="s">
        <v>347</v>
      </c>
      <c r="D12" s="468" t="s">
        <v>347</v>
      </c>
      <c r="E12" s="397"/>
      <c r="F12" s="948" t="s">
        <v>1710</v>
      </c>
    </row>
    <row r="13" spans="1:6" x14ac:dyDescent="0.2">
      <c r="A13" s="388" t="s">
        <v>148</v>
      </c>
      <c r="B13" s="526"/>
      <c r="C13" s="459"/>
      <c r="D13" s="459"/>
      <c r="E13" s="397"/>
      <c r="F13" s="948"/>
    </row>
    <row r="14" spans="1:6" x14ac:dyDescent="0.2">
      <c r="A14" s="397"/>
      <c r="B14" s="526"/>
      <c r="C14" s="459"/>
      <c r="D14" s="459"/>
      <c r="E14" s="397"/>
    </row>
    <row r="15" spans="1:6" x14ac:dyDescent="0.2">
      <c r="A15" s="397" t="s">
        <v>1072</v>
      </c>
      <c r="B15" s="453">
        <v>5.0999999999999996</v>
      </c>
      <c r="C15" s="457">
        <f>'alb Note 4 - Income'!B18-'alb Note 4 - Income'!B17</f>
        <v>0</v>
      </c>
      <c r="D15" s="457">
        <f>'alb Note 4 - Income'!C18-'alb Note 4 - Income'!C17</f>
        <v>0</v>
      </c>
      <c r="E15" s="397"/>
      <c r="F15" s="457">
        <f>'alb Note 4 - Income'!E18</f>
        <v>0</v>
      </c>
    </row>
    <row r="16" spans="1:6" x14ac:dyDescent="0.2">
      <c r="A16" s="397" t="s">
        <v>823</v>
      </c>
      <c r="B16" s="453">
        <v>5.2</v>
      </c>
      <c r="C16" s="459">
        <f>'alb Note 4 - Income'!B31-'alb Note 4 - Income'!B29</f>
        <v>0</v>
      </c>
      <c r="D16" s="459">
        <f>'alb Note 4 - Income'!C31-'alb Note 4 - Income'!C29</f>
        <v>0</v>
      </c>
      <c r="E16" s="397"/>
      <c r="F16" s="459">
        <f>'alb Note 4 - Income'!E31</f>
        <v>0</v>
      </c>
    </row>
    <row r="17" spans="1:6" x14ac:dyDescent="0.2">
      <c r="A17" s="397"/>
      <c r="B17" s="453"/>
      <c r="C17" s="459"/>
      <c r="D17" s="459"/>
      <c r="E17" s="397"/>
      <c r="F17" s="459"/>
    </row>
    <row r="18" spans="1:6" x14ac:dyDescent="0.2">
      <c r="A18" s="388" t="s">
        <v>1212</v>
      </c>
      <c r="B18" s="527"/>
      <c r="C18" s="515">
        <f>SUM(C15:C16)</f>
        <v>0</v>
      </c>
      <c r="D18" s="515">
        <f>SUM(D15:D16)</f>
        <v>0</v>
      </c>
      <c r="E18" s="397"/>
      <c r="F18" s="515">
        <f>SUM(F15:F16)</f>
        <v>0</v>
      </c>
    </row>
    <row r="19" spans="1:6" x14ac:dyDescent="0.2">
      <c r="A19" s="397"/>
      <c r="B19" s="527"/>
      <c r="C19" s="459"/>
      <c r="D19" s="459"/>
      <c r="E19" s="397"/>
      <c r="F19" s="459"/>
    </row>
    <row r="20" spans="1:6" x14ac:dyDescent="0.2">
      <c r="A20" s="388" t="s">
        <v>730</v>
      </c>
      <c r="B20" s="527"/>
      <c r="C20" s="459"/>
      <c r="D20" s="459"/>
      <c r="E20" s="397"/>
      <c r="F20" s="459"/>
    </row>
    <row r="21" spans="1:6" x14ac:dyDescent="0.2">
      <c r="A21" s="397"/>
      <c r="B21" s="456"/>
      <c r="C21" s="459"/>
      <c r="D21" s="459"/>
      <c r="E21" s="397"/>
      <c r="F21" s="459"/>
    </row>
    <row r="22" spans="1:6" ht="15" customHeight="1" x14ac:dyDescent="0.2">
      <c r="A22" s="397" t="s">
        <v>282</v>
      </c>
      <c r="B22" s="453">
        <v>4</v>
      </c>
      <c r="C22" s="459">
        <f>-SUM('alb Note 3 &amp; 3.1 - Expenditure'!C10:C12)</f>
        <v>0</v>
      </c>
      <c r="D22" s="459">
        <f>-SUM('alb Note 3 &amp; 3.1 - Expenditure'!D10:D12)</f>
        <v>0</v>
      </c>
      <c r="E22" s="397"/>
      <c r="F22" s="459">
        <f>-SUM('alb Note 3 &amp; 3.1 - Expenditure'!G10:G12)</f>
        <v>0</v>
      </c>
    </row>
    <row r="23" spans="1:6" ht="15" customHeight="1" x14ac:dyDescent="0.2">
      <c r="A23" s="397" t="s">
        <v>158</v>
      </c>
      <c r="B23" s="453">
        <v>4</v>
      </c>
      <c r="C23" s="459">
        <f>-('alb Note 3 &amp; 3.1 - Expenditure'!C13)</f>
        <v>0</v>
      </c>
      <c r="D23" s="459">
        <f>-('alb Note 3 &amp; 3.1 - Expenditure'!D13)</f>
        <v>0</v>
      </c>
      <c r="E23" s="397"/>
      <c r="F23" s="459">
        <f>-('alb Note 3 &amp; 3.1 - Expenditure'!G13)</f>
        <v>0</v>
      </c>
    </row>
    <row r="24" spans="1:6" ht="15" customHeight="1" x14ac:dyDescent="0.2">
      <c r="A24" s="397" t="s">
        <v>283</v>
      </c>
      <c r="B24" s="453">
        <v>4</v>
      </c>
      <c r="C24" s="459">
        <f>-'alb Note 3 &amp; 3.1 - Expenditure'!C23-'alb Note 3 &amp; 3.1 - Expenditure'!C24-'alb Note 3 &amp; 3.1 - Expenditure'!C25-'alb Note 3 &amp; 3.1 - Expenditure'!C28</f>
        <v>0</v>
      </c>
      <c r="D24" s="459">
        <f>-'alb Note 3 &amp; 3.1 - Expenditure'!D23-'alb Note 3 &amp; 3.1 - Expenditure'!D24-'alb Note 3 &amp; 3.1 - Expenditure'!D25</f>
        <v>0</v>
      </c>
      <c r="E24" s="397"/>
      <c r="F24" s="459">
        <f>-'alb Note 3 &amp; 3.1 - Expenditure'!G23-'alb Note 3 &amp; 3.1 - Expenditure'!G24-'alb Note 3 &amp; 3.1 - Expenditure'!G25</f>
        <v>0</v>
      </c>
    </row>
    <row r="25" spans="1:6" ht="15" customHeight="1" x14ac:dyDescent="0.2">
      <c r="A25" s="397" t="s">
        <v>284</v>
      </c>
      <c r="B25" s="453">
        <v>4</v>
      </c>
      <c r="C25" s="459">
        <f>-('alb Note 3 &amp; 3.1 - Expenditure'!C29+'alb Note 3 &amp; 3.1 - Expenditure'!C31)</f>
        <v>0</v>
      </c>
      <c r="D25" s="459">
        <f>-('alb Note 3 &amp; 3.1 - Expenditure'!D29+'alb Note 3 &amp; 3.1 - Expenditure'!D31)</f>
        <v>0</v>
      </c>
      <c r="E25" s="397"/>
      <c r="F25" s="459">
        <f>-('alb Note 3 &amp; 3.1 - Expenditure'!G29+'alb Note 3 &amp; 3.1 - Expenditure'!G31)</f>
        <v>0</v>
      </c>
    </row>
    <row r="26" spans="1:6" ht="15" customHeight="1" x14ac:dyDescent="0.2">
      <c r="A26" s="522" t="s">
        <v>1005</v>
      </c>
      <c r="B26" s="453">
        <v>4</v>
      </c>
      <c r="C26" s="459">
        <f>-SUM('alb Note 3 &amp; 3.1 - Expenditure'!C34:C39)</f>
        <v>0</v>
      </c>
      <c r="D26" s="459">
        <f>-SUM('alb Note 3 &amp; 3.1 - Expenditure'!D34:D36)</f>
        <v>0</v>
      </c>
      <c r="E26" s="397"/>
      <c r="F26" s="459">
        <f>-SUM('alb Note 3 &amp; 3.1 - Expenditure'!G34:G36)</f>
        <v>0</v>
      </c>
    </row>
    <row r="27" spans="1:6" ht="15" customHeight="1" x14ac:dyDescent="0.2">
      <c r="A27" s="397" t="s">
        <v>285</v>
      </c>
      <c r="B27" s="453">
        <v>4</v>
      </c>
      <c r="C27" s="457">
        <f>-'alb Note 3 &amp; 3.1 - Expenditure'!C41-C22-C23-C24-C25-C26-C37-C45</f>
        <v>0</v>
      </c>
      <c r="D27" s="457">
        <f>-'alb Note 3 &amp; 3.1 - Expenditure'!D41-D22-D23-D24-D25-D26-D37-D45</f>
        <v>0</v>
      </c>
      <c r="E27" s="397"/>
      <c r="F27" s="457">
        <f>-'alb Note 3 &amp; 3.1 - Expenditure'!G41-F22-F23-F24-F25-F26-F37</f>
        <v>0</v>
      </c>
    </row>
    <row r="28" spans="1:6" ht="15" customHeight="1" x14ac:dyDescent="0.2">
      <c r="A28" s="397"/>
      <c r="B28" s="526"/>
      <c r="C28" s="459"/>
      <c r="D28" s="459"/>
      <c r="E28" s="397"/>
      <c r="F28" s="457"/>
    </row>
    <row r="29" spans="1:6" x14ac:dyDescent="0.2">
      <c r="A29" s="388" t="s">
        <v>465</v>
      </c>
      <c r="B29" s="526"/>
      <c r="C29" s="515">
        <f>SUM(C21:C27)</f>
        <v>0</v>
      </c>
      <c r="D29" s="515">
        <f>SUM(D22:D27)</f>
        <v>0</v>
      </c>
      <c r="E29" s="397"/>
      <c r="F29" s="515">
        <f>SUM(F22:F27)</f>
        <v>0</v>
      </c>
    </row>
    <row r="30" spans="1:6" x14ac:dyDescent="0.2">
      <c r="A30" s="415"/>
      <c r="B30" s="526"/>
      <c r="C30" s="459"/>
      <c r="D30" s="459"/>
      <c r="E30" s="397"/>
      <c r="F30" s="459"/>
    </row>
    <row r="31" spans="1:6" x14ac:dyDescent="0.2">
      <c r="A31" s="397"/>
      <c r="B31" s="456"/>
      <c r="C31" s="459"/>
      <c r="D31" s="459"/>
      <c r="E31" s="397"/>
      <c r="F31" s="459"/>
    </row>
    <row r="32" spans="1:6" x14ac:dyDescent="0.2">
      <c r="A32" s="388" t="s">
        <v>317</v>
      </c>
      <c r="B32" s="456"/>
      <c r="C32" s="525">
        <f>+C29+C18</f>
        <v>0</v>
      </c>
      <c r="D32" s="525">
        <f>+D29+D18</f>
        <v>0</v>
      </c>
      <c r="E32" s="397"/>
      <c r="F32" s="525">
        <f>+F29+F18</f>
        <v>0</v>
      </c>
    </row>
    <row r="33" spans="1:6" x14ac:dyDescent="0.2">
      <c r="A33" s="388"/>
      <c r="B33" s="456"/>
      <c r="C33" s="459"/>
      <c r="D33" s="459"/>
      <c r="E33" s="397"/>
      <c r="F33" s="459"/>
    </row>
    <row r="34" spans="1:6" x14ac:dyDescent="0.2">
      <c r="A34" s="388"/>
      <c r="B34" s="453"/>
      <c r="C34" s="457"/>
      <c r="D34" s="457"/>
      <c r="E34" s="397"/>
      <c r="F34" s="457"/>
    </row>
    <row r="35" spans="1:6" x14ac:dyDescent="0.2">
      <c r="A35" s="397" t="s">
        <v>310</v>
      </c>
      <c r="B35" s="453">
        <v>5.2</v>
      </c>
      <c r="C35" s="457">
        <f>'alb Note 4 - Income'!B17+'alb Note 4 - Income'!B29</f>
        <v>0</v>
      </c>
      <c r="D35" s="457">
        <f>'alb Note 4 - Income'!C17+'alb Note 4 - Income'!C29</f>
        <v>0</v>
      </c>
      <c r="E35" s="397"/>
      <c r="F35" s="457">
        <f>'alb Note 4 - Income'!E17+'alb Note 4 - Income'!E29</f>
        <v>0</v>
      </c>
    </row>
    <row r="36" spans="1:6" x14ac:dyDescent="0.2">
      <c r="A36" s="388"/>
      <c r="B36" s="453"/>
      <c r="C36" s="457"/>
      <c r="D36" s="457"/>
      <c r="E36" s="397"/>
      <c r="F36" s="457"/>
    </row>
    <row r="37" spans="1:6" x14ac:dyDescent="0.2">
      <c r="A37" s="397" t="s">
        <v>309</v>
      </c>
      <c r="B37" s="453">
        <v>4</v>
      </c>
      <c r="C37" s="457">
        <f>-'alb Note 3 &amp; 3.1 - Expenditure'!C17-'alb Note 3 &amp; 3.1 - Expenditure'!C18</f>
        <v>0</v>
      </c>
      <c r="D37" s="457">
        <f>-'alb Note 3 &amp; 3.1 - Expenditure'!D17-'alb Note 3 &amp; 3.1 - Expenditure'!D18</f>
        <v>0</v>
      </c>
      <c r="E37" s="397"/>
      <c r="F37" s="457">
        <f>-'alb Note 3 &amp; 3.1 - Expenditure'!G17-'alb Note 3 &amp; 3.1 - Expenditure'!G19*0</f>
        <v>0</v>
      </c>
    </row>
    <row r="38" spans="1:6" x14ac:dyDescent="0.2">
      <c r="A38" s="388"/>
      <c r="B38" s="453"/>
      <c r="C38" s="457"/>
      <c r="D38" s="457"/>
      <c r="E38" s="397"/>
      <c r="F38" s="457"/>
    </row>
    <row r="39" spans="1:6" ht="13.5" thickBot="1" x14ac:dyDescent="0.25">
      <c r="A39" s="388" t="s">
        <v>466</v>
      </c>
      <c r="B39" s="453"/>
      <c r="C39" s="524">
        <f>SUM(C32:C37)</f>
        <v>0</v>
      </c>
      <c r="D39" s="524">
        <f>SUM(D32:D37)</f>
        <v>0</v>
      </c>
      <c r="E39" s="397"/>
      <c r="F39" s="524">
        <f>SUM(F32:F37)</f>
        <v>0</v>
      </c>
    </row>
    <row r="40" spans="1:6" ht="13.5" thickTop="1" x14ac:dyDescent="0.2">
      <c r="A40" s="397"/>
      <c r="B40" s="453"/>
      <c r="C40" s="457"/>
      <c r="D40" s="457"/>
      <c r="E40" s="397"/>
      <c r="F40" s="457"/>
    </row>
    <row r="41" spans="1:6" x14ac:dyDescent="0.2">
      <c r="A41" s="397" t="s">
        <v>2328</v>
      </c>
      <c r="B41" s="453"/>
      <c r="C41" s="457">
        <f>-'alb Note 3 &amp; 3.1 - Expenditure'!C88</f>
        <v>0</v>
      </c>
      <c r="D41" s="457">
        <f>-'alb Note 3 &amp; 3.1 - Expenditure'!D88</f>
        <v>0</v>
      </c>
      <c r="E41" s="397"/>
      <c r="F41" s="457"/>
    </row>
    <row r="42" spans="1:6" x14ac:dyDescent="0.2">
      <c r="A42" s="397"/>
      <c r="B42" s="453"/>
      <c r="C42" s="457"/>
      <c r="D42" s="457"/>
      <c r="E42" s="397"/>
      <c r="F42" s="457"/>
    </row>
    <row r="43" spans="1:6" x14ac:dyDescent="0.2">
      <c r="A43" s="397" t="s">
        <v>2329</v>
      </c>
      <c r="B43" s="453"/>
      <c r="C43" s="529">
        <f>-'alb Note 3 &amp; 3.1 - Expenditure'!C91</f>
        <v>0</v>
      </c>
      <c r="D43" s="529">
        <f>-'alb Note 3 &amp; 3.1 - Expenditure'!D91</f>
        <v>0</v>
      </c>
      <c r="E43" s="397"/>
      <c r="F43" s="457"/>
    </row>
    <row r="44" spans="1:6" x14ac:dyDescent="0.2">
      <c r="A44" s="397"/>
      <c r="B44" s="453"/>
      <c r="C44" s="457"/>
      <c r="D44" s="457"/>
      <c r="E44" s="397"/>
      <c r="F44" s="457"/>
    </row>
    <row r="45" spans="1:6" x14ac:dyDescent="0.2">
      <c r="A45" s="388" t="s">
        <v>2330</v>
      </c>
      <c r="B45" s="453"/>
      <c r="C45" s="457">
        <f>+C43+C41</f>
        <v>0</v>
      </c>
      <c r="D45" s="457">
        <f>+D43+D41</f>
        <v>0</v>
      </c>
      <c r="E45" s="397"/>
      <c r="F45" s="457"/>
    </row>
    <row r="46" spans="1:6" x14ac:dyDescent="0.2">
      <c r="A46" s="397"/>
      <c r="B46" s="453"/>
      <c r="C46" s="457"/>
      <c r="D46" s="457"/>
      <c r="E46" s="397"/>
    </row>
    <row r="47" spans="1:6" ht="13.5" thickBot="1" x14ac:dyDescent="0.25">
      <c r="A47" s="388" t="s">
        <v>2331</v>
      </c>
      <c r="B47" s="453"/>
      <c r="C47" s="524">
        <f>+C45+C39</f>
        <v>0</v>
      </c>
      <c r="D47" s="524">
        <f>+D45+D39</f>
        <v>0</v>
      </c>
      <c r="E47" s="397"/>
    </row>
    <row r="48" spans="1:6" ht="13.5" thickTop="1" x14ac:dyDescent="0.2">
      <c r="A48" s="397"/>
      <c r="B48" s="453"/>
      <c r="C48" s="457"/>
      <c r="D48" s="457"/>
      <c r="E48" s="397"/>
    </row>
    <row r="49" spans="1:6" x14ac:dyDescent="0.2">
      <c r="A49" s="388" t="s">
        <v>1661</v>
      </c>
      <c r="B49" s="453"/>
      <c r="C49" s="397"/>
      <c r="D49" s="461"/>
      <c r="E49" s="397"/>
    </row>
    <row r="50" spans="1:6" x14ac:dyDescent="0.2">
      <c r="A50" s="397"/>
      <c r="B50" s="461"/>
      <c r="C50" s="461"/>
      <c r="D50" s="461"/>
      <c r="E50" s="397"/>
    </row>
    <row r="51" spans="1:6" x14ac:dyDescent="0.2">
      <c r="A51" s="397"/>
      <c r="B51" s="461" t="s">
        <v>1211</v>
      </c>
      <c r="C51" s="468"/>
      <c r="D51" s="468"/>
      <c r="E51" s="397"/>
    </row>
    <row r="52" spans="1:6" x14ac:dyDescent="0.2">
      <c r="A52" s="388" t="s">
        <v>1662</v>
      </c>
      <c r="B52" s="453"/>
      <c r="C52" s="468" t="s">
        <v>347</v>
      </c>
      <c r="D52" s="468" t="s">
        <v>347</v>
      </c>
      <c r="E52" s="397"/>
    </row>
    <row r="53" spans="1:6" x14ac:dyDescent="0.2">
      <c r="A53" s="397"/>
      <c r="B53" s="453"/>
      <c r="C53" s="457"/>
      <c r="D53" s="457"/>
      <c r="E53" s="397"/>
    </row>
    <row r="54" spans="1:6" x14ac:dyDescent="0.2">
      <c r="A54" s="397" t="s">
        <v>749</v>
      </c>
      <c r="B54" s="453" t="s">
        <v>1209</v>
      </c>
      <c r="C54" s="457">
        <f>'alb Note 5.1 -PP&amp;E - CY'!J13+'alb Note 5.1 -PP&amp;E - CY'!J18-'alb Note 5.1 -PP&amp;E - CY'!J31-'alb Note 5.1 -PP&amp;E - CY'!J34-'alb Note 7 - Impairments'!B11</f>
        <v>0</v>
      </c>
      <c r="D54" s="457">
        <f>'alb Note 5.2 -  PP&amp;E - PY'!J11+'alb Note 5.2 -  PP&amp;E - PY'!J16-'alb Note 5.2 -  PP&amp;E - PY'!J27-'alb Note 5.2 -  PP&amp;E - PY'!J30-'alb Note 7 - Impairments'!B20</f>
        <v>0</v>
      </c>
      <c r="E54" s="397"/>
      <c r="F54" s="457">
        <f>'alb Note 5.1 -PP&amp;E - CY'!L13+'alb Note 5.1 -PP&amp;E - CY'!L18-'alb Note 5.1 -PP&amp;E - CY'!L31-'alb Note 5.1 -PP&amp;E - CY'!L34-'alb Note 7 - Impairments'!K11</f>
        <v>0</v>
      </c>
    </row>
    <row r="55" spans="1:6" x14ac:dyDescent="0.2">
      <c r="A55" s="397"/>
      <c r="B55" s="453"/>
      <c r="C55" s="397"/>
      <c r="D55" s="397"/>
      <c r="E55" s="397"/>
    </row>
    <row r="56" spans="1:6" x14ac:dyDescent="0.2">
      <c r="A56" s="397" t="s">
        <v>750</v>
      </c>
      <c r="B56" s="453" t="s">
        <v>1208</v>
      </c>
      <c r="C56" s="457">
        <f>'alb Note 6.1 -  Intangibles CY'!J13+'alb Note 6.1 -  Intangibles CY'!J18-'alb Note 6.1 -  Intangibles CY'!J29-'alb Note 6.1 -  Intangibles CY'!J32-'alb Note 7 - Impairments'!D11</f>
        <v>0</v>
      </c>
      <c r="D56" s="457">
        <f>'alb Note 6.2 -  Intangibles PY'!J11+'alb Note 6.2 -  Intangibles PY'!J16-'alb Note 6.2 -  Intangibles PY'!J25-'alb Note 6.2 -  Intangibles PY'!J28-'alb Note 7 - Impairments'!D20</f>
        <v>0</v>
      </c>
      <c r="E56" s="397"/>
      <c r="F56" s="457">
        <f>('alb Note 6.1 -  Intangibles CY'!L13+'alb Note 6.1 -  Intangibles CY'!L18)-('alb Note 6.1 -  Intangibles CY'!L29)-('alb Note 6.1 -  Intangibles CY'!L32)-('alb Note 7 - Impairments'!L11)</f>
        <v>0</v>
      </c>
    </row>
    <row r="57" spans="1:6" x14ac:dyDescent="0.2">
      <c r="A57" s="397"/>
      <c r="B57" s="453"/>
      <c r="C57" s="457"/>
      <c r="D57" s="457"/>
      <c r="E57" s="397"/>
    </row>
    <row r="58" spans="1:6" x14ac:dyDescent="0.2">
      <c r="A58" s="397" t="s">
        <v>808</v>
      </c>
      <c r="B58" s="453"/>
      <c r="C58" s="460"/>
      <c r="D58" s="460"/>
      <c r="E58" s="397"/>
      <c r="F58" s="460"/>
    </row>
    <row r="59" spans="1:6" x14ac:dyDescent="0.2">
      <c r="A59" s="397"/>
      <c r="B59" s="453"/>
      <c r="C59" s="457"/>
      <c r="D59" s="457"/>
      <c r="E59" s="397"/>
    </row>
    <row r="60" spans="1:6" x14ac:dyDescent="0.2">
      <c r="A60" s="388" t="s">
        <v>1663</v>
      </c>
      <c r="B60" s="453"/>
      <c r="C60" s="457"/>
      <c r="D60" s="457"/>
      <c r="E60" s="397"/>
    </row>
    <row r="61" spans="1:6" x14ac:dyDescent="0.2">
      <c r="A61" s="388"/>
      <c r="B61" s="453"/>
      <c r="C61" s="457"/>
      <c r="D61" s="457"/>
      <c r="E61" s="397"/>
    </row>
    <row r="62" spans="1:6" x14ac:dyDescent="0.2">
      <c r="A62" s="397" t="s">
        <v>852</v>
      </c>
      <c r="B62" s="453"/>
      <c r="C62" s="460">
        <f>-'alb Note 7 - Impairments'!F11</f>
        <v>0</v>
      </c>
      <c r="D62" s="460">
        <f>-'alb Note 7 - Impairments'!F20</f>
        <v>0</v>
      </c>
      <c r="E62" s="397"/>
      <c r="F62" s="460"/>
    </row>
    <row r="63" spans="1:6" x14ac:dyDescent="0.2">
      <c r="A63" s="397"/>
      <c r="B63" s="453"/>
      <c r="C63" s="453"/>
      <c r="D63" s="453"/>
      <c r="E63" s="453"/>
    </row>
    <row r="64" spans="1:6" x14ac:dyDescent="0.2">
      <c r="A64" s="522" t="s">
        <v>937</v>
      </c>
      <c r="B64" s="453"/>
      <c r="C64" s="460">
        <v>0</v>
      </c>
      <c r="D64" s="457">
        <v>0</v>
      </c>
      <c r="E64" s="397"/>
      <c r="F64" s="950">
        <v>0</v>
      </c>
    </row>
    <row r="65" spans="1:6" x14ac:dyDescent="0.2">
      <c r="A65" s="397"/>
      <c r="B65" s="453"/>
      <c r="C65" s="457"/>
      <c r="D65" s="457"/>
      <c r="E65" s="397"/>
    </row>
    <row r="66" spans="1:6" ht="13.5" thickBot="1" x14ac:dyDescent="0.25">
      <c r="A66" s="388" t="s">
        <v>1664</v>
      </c>
      <c r="B66" s="453"/>
      <c r="C66" s="507">
        <f>SUM(C54:C64)+C47</f>
        <v>0</v>
      </c>
      <c r="D66" s="507">
        <f>SUM(D54:D64)+D47</f>
        <v>0</v>
      </c>
      <c r="E66" s="397"/>
      <c r="F66" s="653">
        <f>SUM(F54:F64)+F39</f>
        <v>0</v>
      </c>
    </row>
    <row r="67" spans="1:6" ht="13.5" thickTop="1" x14ac:dyDescent="0.2">
      <c r="A67" s="397"/>
      <c r="B67" s="453"/>
      <c r="C67" s="457"/>
      <c r="D67" s="457"/>
      <c r="E67" s="397"/>
    </row>
    <row r="68" spans="1:6" x14ac:dyDescent="0.2">
      <c r="A68" s="415" t="s">
        <v>1815</v>
      </c>
      <c r="B68" s="453"/>
      <c r="C68" s="460"/>
      <c r="D68" s="460"/>
      <c r="E68" s="397"/>
    </row>
    <row r="69" spans="1:6" x14ac:dyDescent="0.2">
      <c r="A69" s="789" t="s">
        <v>1371</v>
      </c>
      <c r="B69" s="453"/>
      <c r="C69" s="457"/>
      <c r="D69" s="457"/>
      <c r="E69" s="397"/>
    </row>
    <row r="70" spans="1:6" x14ac:dyDescent="0.2">
      <c r="A70" s="397"/>
      <c r="B70" s="453"/>
      <c r="C70" s="457"/>
      <c r="D70" s="457"/>
      <c r="E70" s="397"/>
    </row>
    <row r="71" spans="1:6" x14ac:dyDescent="0.2">
      <c r="A71" s="384"/>
      <c r="B71" s="520"/>
      <c r="C71" s="384"/>
      <c r="D71" s="384"/>
      <c r="E71" s="397"/>
    </row>
    <row r="72" spans="1:6" x14ac:dyDescent="0.2">
      <c r="A72" s="384"/>
      <c r="B72" s="520"/>
      <c r="C72" s="384"/>
      <c r="D72" s="384"/>
      <c r="E72" s="397"/>
    </row>
    <row r="73" spans="1:6" x14ac:dyDescent="0.2">
      <c r="A73" s="397"/>
      <c r="B73" s="453"/>
      <c r="C73" s="397"/>
      <c r="D73" s="397"/>
      <c r="E73" s="397"/>
    </row>
    <row r="74" spans="1:6" x14ac:dyDescent="0.2">
      <c r="A74" s="397"/>
      <c r="B74" s="397"/>
      <c r="C74" s="397"/>
      <c r="D74" s="397"/>
      <c r="E74" s="397"/>
    </row>
  </sheetData>
  <sheetProtection algorithmName="SHA-512" hashValue="CtsxhnpsifH1LK2vEe618kc/86w58nr+d5ccfTajntOnnMfGIRe5mVHT2oENZNoe3GDUN33+7vWUK/3yjn2O/Q==" saltValue="rRwt0qHqbTbGUdGmB935lg==" spinCount="100000" sheet="1" formatColumns="0" formatRows="0"/>
  <mergeCells count="2">
    <mergeCell ref="A5:C5"/>
    <mergeCell ref="A7:D8"/>
  </mergeCells>
  <conditionalFormatting sqref="C64">
    <cfRule type="expression" dxfId="256" priority="1">
      <formula>CELL("Protect",C64)=0</formula>
    </cfRule>
  </conditionalFormatting>
  <conditionalFormatting sqref="C58:D58">
    <cfRule type="expression" dxfId="255" priority="5">
      <formula>CELL("Protect",C58)=0</formula>
    </cfRule>
  </conditionalFormatting>
  <conditionalFormatting sqref="C62:D62">
    <cfRule type="expression" dxfId="254" priority="3">
      <formula>CELL("Protect",C62)=0</formula>
    </cfRule>
  </conditionalFormatting>
  <conditionalFormatting sqref="C68:D68">
    <cfRule type="expression" dxfId="253" priority="2">
      <formula>CELL("Protect",C68)=0</formula>
    </cfRule>
  </conditionalFormatting>
  <conditionalFormatting sqref="F58">
    <cfRule type="expression" dxfId="252" priority="7">
      <formula>CELL("Protect",F58)=0</formula>
    </cfRule>
  </conditionalFormatting>
  <conditionalFormatting sqref="F62">
    <cfRule type="expression" dxfId="251" priority="8">
      <formula>CELL("Protect",F62)=0</formula>
    </cfRule>
  </conditionalFormatting>
  <pageMargins left="0.74803149606299213" right="0.74803149606299213" top="0.59055118110236227" bottom="0.59055118110236227" header="0.51181102362204722" footer="0.51181102362204722"/>
  <pageSetup paperSize="9" scale="42" orientation="portrait" r:id="rId1"/>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8">
    <tabColor rgb="FFFFFF00"/>
    <pageSetUpPr fitToPage="1"/>
  </sheetPr>
  <dimension ref="A1:G76"/>
  <sheetViews>
    <sheetView zoomScaleNormal="100" workbookViewId="0">
      <pane xSplit="3" ySplit="10" topLeftCell="D11" activePane="bottomRight" state="frozen"/>
      <selection activeCell="F19" sqref="F19"/>
      <selection pane="topRight" activeCell="F19" sqref="F19"/>
      <selection pane="bottomLeft" activeCell="F19" sqref="F19"/>
      <selection pane="bottomRight" activeCell="D11" sqref="D11"/>
    </sheetView>
  </sheetViews>
  <sheetFormatPr defaultColWidth="9.140625" defaultRowHeight="12.75" outlineLevelRow="1" outlineLevelCol="1" x14ac:dyDescent="0.2"/>
  <cols>
    <col min="1" max="1" width="50" style="466" customWidth="1"/>
    <col min="2" max="2" width="10.42578125" style="519" bestFit="1" customWidth="1"/>
    <col min="3" max="4" width="15.140625" style="466" customWidth="1"/>
    <col min="5" max="5" width="10.42578125" style="466" bestFit="1" customWidth="1"/>
    <col min="6" max="6" width="14.85546875" style="466" customWidth="1" outlineLevel="1"/>
    <col min="7" max="16384" width="9.140625" style="466"/>
  </cols>
  <sheetData>
    <row r="1" spans="1:7" ht="14.65" customHeight="1" x14ac:dyDescent="0.2">
      <c r="A1" s="416" t="str">
        <f>'alb Instructions'!$B$20</f>
        <v>enter HSC Body name here</v>
      </c>
      <c r="B1" s="416"/>
      <c r="C1" s="416"/>
      <c r="D1" s="416"/>
      <c r="E1" s="397"/>
    </row>
    <row r="2" spans="1:7" x14ac:dyDescent="0.2">
      <c r="A2" s="397"/>
      <c r="B2" s="453"/>
      <c r="C2" s="397"/>
      <c r="D2" s="397"/>
      <c r="E2" s="397"/>
    </row>
    <row r="3" spans="1:7" x14ac:dyDescent="0.2">
      <c r="A3" s="416" t="str">
        <f>"Consolidated Statement of Financial Position as at"&amp;Update!B22</f>
        <v>Consolidated Statement of Financial Position as at 31 March 2026</v>
      </c>
      <c r="B3" s="539"/>
      <c r="C3" s="537"/>
      <c r="D3" s="461"/>
      <c r="E3" s="397"/>
    </row>
    <row r="4" spans="1:7" x14ac:dyDescent="0.2">
      <c r="A4" s="416"/>
      <c r="B4" s="539"/>
      <c r="C4" s="537"/>
      <c r="D4" s="461"/>
      <c r="E4" s="397"/>
    </row>
    <row r="5" spans="1:7" hidden="1" x14ac:dyDescent="0.2">
      <c r="A5" s="2143" t="s">
        <v>1223</v>
      </c>
      <c r="B5" s="2143"/>
      <c r="C5" s="2143"/>
      <c r="D5" s="2143"/>
      <c r="E5" s="397"/>
    </row>
    <row r="6" spans="1:7" hidden="1" x14ac:dyDescent="0.2">
      <c r="A6" s="2143"/>
      <c r="B6" s="2143"/>
      <c r="C6" s="2143"/>
      <c r="D6" s="2143"/>
      <c r="E6" s="397"/>
    </row>
    <row r="7" spans="1:7" x14ac:dyDescent="0.2">
      <c r="A7" s="416"/>
      <c r="B7" s="539"/>
      <c r="C7" s="537"/>
      <c r="D7" s="461"/>
      <c r="E7" s="397"/>
    </row>
    <row r="8" spans="1:7" x14ac:dyDescent="0.2">
      <c r="A8" s="388" t="s">
        <v>281</v>
      </c>
      <c r="B8" s="461"/>
      <c r="C8" s="461" t="str">
        <f>Update!$C$38</f>
        <v>2025-26</v>
      </c>
      <c r="D8" s="461" t="str">
        <f>Update!$C$37</f>
        <v>2024-25</v>
      </c>
      <c r="E8" s="397"/>
      <c r="F8" s="949" t="s">
        <v>1336</v>
      </c>
      <c r="G8" s="949" t="s">
        <v>1336</v>
      </c>
    </row>
    <row r="9" spans="1:7" x14ac:dyDescent="0.2">
      <c r="A9" s="388"/>
      <c r="B9" s="461" t="s">
        <v>1211</v>
      </c>
      <c r="C9" s="468" t="s">
        <v>347</v>
      </c>
      <c r="D9" s="468" t="s">
        <v>347</v>
      </c>
      <c r="E9" s="468"/>
      <c r="F9" s="948">
        <f>Update!$B$38</f>
        <v>2026</v>
      </c>
      <c r="G9" s="948">
        <f>Update!$B$37</f>
        <v>2025</v>
      </c>
    </row>
    <row r="10" spans="1:7" x14ac:dyDescent="0.2">
      <c r="A10" s="388" t="s">
        <v>1222</v>
      </c>
      <c r="B10" s="461"/>
      <c r="C10" s="468" t="s">
        <v>493</v>
      </c>
      <c r="D10" s="468" t="s">
        <v>493</v>
      </c>
      <c r="E10" s="468"/>
      <c r="F10" s="948" t="s">
        <v>493</v>
      </c>
      <c r="G10" s="948" t="s">
        <v>493</v>
      </c>
    </row>
    <row r="11" spans="1:7" x14ac:dyDescent="0.2">
      <c r="A11" s="397" t="s">
        <v>288</v>
      </c>
      <c r="B11" s="528" t="str">
        <f>Update!$A$52&amp;" / "&amp;Update!$A$53</f>
        <v>5.1 / 5.2</v>
      </c>
      <c r="C11" s="457">
        <f>'alb Note 5.1 -PP&amp;E - CY'!J44-C12</f>
        <v>0</v>
      </c>
      <c r="D11" s="457">
        <f>'alb Note 5.1 -PP&amp;E - CY'!J46-D12</f>
        <v>0</v>
      </c>
      <c r="E11" s="457"/>
      <c r="F11" s="457">
        <f>'alb Note 5.1 -PP&amp;E - CY'!L44</f>
        <v>0</v>
      </c>
      <c r="G11" s="427"/>
    </row>
    <row r="12" spans="1:7" x14ac:dyDescent="0.2">
      <c r="A12" s="397" t="s">
        <v>2831</v>
      </c>
      <c r="B12" s="528">
        <v>16.100000000000001</v>
      </c>
      <c r="C12" s="457">
        <f>+'alb Note 16  Leases'!J31</f>
        <v>0</v>
      </c>
      <c r="D12" s="457">
        <f>+'alb Note 16  Leases'!J12-'alb Note 16  Leases'!J23</f>
        <v>0</v>
      </c>
      <c r="E12" s="457"/>
      <c r="F12" s="457"/>
      <c r="G12" s="427"/>
    </row>
    <row r="13" spans="1:7" x14ac:dyDescent="0.2">
      <c r="A13" s="397" t="s">
        <v>289</v>
      </c>
      <c r="B13" s="528" t="str">
        <f>Update!$A$57&amp;" / "&amp;Update!$A$58</f>
        <v>6.1 / 6.2</v>
      </c>
      <c r="C13" s="457">
        <f>'alb Note 6.1 -  Intangibles CY'!J41</f>
        <v>0</v>
      </c>
      <c r="D13" s="457">
        <f>'alb Note 6.1 -  Intangibles CY'!J43</f>
        <v>0</v>
      </c>
      <c r="E13" s="457"/>
      <c r="F13" s="457">
        <f>'alb Note 6.1 -  Intangibles CY'!L41</f>
        <v>0</v>
      </c>
      <c r="G13" s="427"/>
    </row>
    <row r="14" spans="1:7" x14ac:dyDescent="0.2">
      <c r="A14" s="397" t="s">
        <v>826</v>
      </c>
      <c r="B14" s="527">
        <v>9</v>
      </c>
      <c r="C14" s="457">
        <f>'alb Note 9 - Investments'!E28</f>
        <v>0</v>
      </c>
      <c r="D14" s="457">
        <f>'alb Note 9 - Investments'!J28</f>
        <v>0</v>
      </c>
      <c r="E14" s="457"/>
      <c r="F14" s="951"/>
      <c r="G14" s="951"/>
    </row>
    <row r="15" spans="1:7" x14ac:dyDescent="0.2">
      <c r="A15" s="397" t="s">
        <v>1079</v>
      </c>
      <c r="B15" s="527">
        <f>Update!$A$66</f>
        <v>12</v>
      </c>
      <c r="C15" s="457">
        <f>+'alb Note 12 Trade Receivables'!B31</f>
        <v>0</v>
      </c>
      <c r="D15" s="457">
        <f>+'alb Note 12 Trade Receivables'!C31</f>
        <v>0</v>
      </c>
      <c r="E15" s="397"/>
      <c r="F15" s="457">
        <f>+'alb Note 12 Trade Receivables'!E31</f>
        <v>0</v>
      </c>
      <c r="G15" s="427"/>
    </row>
    <row r="16" spans="1:7" x14ac:dyDescent="0.2">
      <c r="A16" s="397" t="s">
        <v>344</v>
      </c>
      <c r="B16" s="527">
        <v>12</v>
      </c>
      <c r="C16" s="535">
        <f>+'alb Note 12 Trade Receivables'!B35</f>
        <v>0</v>
      </c>
      <c r="D16" s="535">
        <f>+'alb Note 12 Trade Receivables'!C35</f>
        <v>0</v>
      </c>
      <c r="E16" s="397"/>
      <c r="F16" s="535">
        <f>+'alb Note 12 Trade Receivables'!D35</f>
        <v>0</v>
      </c>
      <c r="G16" s="1489"/>
    </row>
    <row r="17" spans="1:7" x14ac:dyDescent="0.2">
      <c r="A17" s="397"/>
      <c r="B17" s="453"/>
      <c r="C17" s="457"/>
      <c r="D17" s="457"/>
      <c r="E17" s="457"/>
      <c r="F17" s="457"/>
    </row>
    <row r="18" spans="1:7" x14ac:dyDescent="0.2">
      <c r="A18" s="388" t="s">
        <v>1221</v>
      </c>
      <c r="B18" s="453"/>
      <c r="C18" s="536">
        <f>SUM(C11:C16)</f>
        <v>0</v>
      </c>
      <c r="D18" s="457">
        <f>SUM(D11:D16)</f>
        <v>0</v>
      </c>
      <c r="E18" s="457"/>
      <c r="F18" s="536">
        <f>SUM(F11:F16)</f>
        <v>0</v>
      </c>
      <c r="G18" s="466">
        <f>SUM(G11:G16)</f>
        <v>0</v>
      </c>
    </row>
    <row r="19" spans="1:7" x14ac:dyDescent="0.2">
      <c r="A19" s="397"/>
      <c r="B19" s="456"/>
      <c r="C19" s="459"/>
      <c r="D19" s="459"/>
      <c r="E19" s="459"/>
      <c r="F19" s="459"/>
    </row>
    <row r="20" spans="1:7" x14ac:dyDescent="0.2">
      <c r="A20" s="388" t="s">
        <v>541</v>
      </c>
      <c r="B20" s="456"/>
      <c r="C20" s="459"/>
      <c r="D20" s="459"/>
      <c r="E20" s="459"/>
      <c r="F20" s="459"/>
    </row>
    <row r="21" spans="1:7" x14ac:dyDescent="0.2">
      <c r="A21" s="397" t="s">
        <v>292</v>
      </c>
      <c r="B21" s="456">
        <f>Update!$A$55</f>
        <v>5.3999999999999986</v>
      </c>
      <c r="C21" s="457">
        <f>'alb Note 5.3 -Asset held resale'!K27</f>
        <v>0</v>
      </c>
      <c r="D21" s="457">
        <f>'alb Note 5.3 -Asset held resale'!L27</f>
        <v>0</v>
      </c>
      <c r="E21" s="397"/>
      <c r="F21" s="951"/>
      <c r="G21" s="951"/>
    </row>
    <row r="22" spans="1:7" x14ac:dyDescent="0.2">
      <c r="A22" s="397" t="s">
        <v>293</v>
      </c>
      <c r="B22" s="456">
        <f>Update!$A$63</f>
        <v>10</v>
      </c>
      <c r="C22" s="457">
        <f>'alb Note 10 - Inventories'!B15</f>
        <v>0</v>
      </c>
      <c r="D22" s="459">
        <f>'alb Note 10 - Inventories'!C15</f>
        <v>0</v>
      </c>
      <c r="E22" s="397"/>
      <c r="F22" s="951"/>
      <c r="G22" s="951"/>
    </row>
    <row r="23" spans="1:7" x14ac:dyDescent="0.2">
      <c r="A23" s="397" t="s">
        <v>895</v>
      </c>
      <c r="B23" s="456">
        <f>Update!$A$66</f>
        <v>12</v>
      </c>
      <c r="C23" s="457">
        <f>'alb Note 12 Trade Receivables'!B37-C15</f>
        <v>0</v>
      </c>
      <c r="D23" s="457">
        <f>'alb Note 12 Trade Receivables'!C37-D15</f>
        <v>0</v>
      </c>
      <c r="E23" s="397"/>
      <c r="F23" s="457">
        <f>'alb Note 12 Trade Receivables'!E37-F15</f>
        <v>0</v>
      </c>
      <c r="G23" s="427"/>
    </row>
    <row r="24" spans="1:7" x14ac:dyDescent="0.2">
      <c r="A24" s="397" t="s">
        <v>1073</v>
      </c>
      <c r="B24" s="456">
        <f>Update!$A$66</f>
        <v>12</v>
      </c>
      <c r="C24" s="457">
        <f>'alb Note 12 Trade Receivables'!B20</f>
        <v>0</v>
      </c>
      <c r="D24" s="457">
        <f>'alb Note 12 Trade Receivables'!C20</f>
        <v>0</v>
      </c>
      <c r="E24" s="397"/>
      <c r="F24" s="457">
        <f>'alb Note 12 Trade Receivables'!E20</f>
        <v>0</v>
      </c>
      <c r="G24" s="427"/>
    </row>
    <row r="25" spans="1:7" x14ac:dyDescent="0.2">
      <c r="A25" s="397" t="s">
        <v>896</v>
      </c>
      <c r="B25" s="456">
        <f>Update!$A$66</f>
        <v>12</v>
      </c>
      <c r="C25" s="457">
        <f>'alb Note 12 Trade Receivables'!B39-C16-C24</f>
        <v>0</v>
      </c>
      <c r="D25" s="457">
        <f>'alb Note 12 Trade Receivables'!C39-D16-D24</f>
        <v>0</v>
      </c>
      <c r="E25" s="397"/>
      <c r="F25" s="457">
        <f>'alb Note 12 Trade Receivables'!E39-F16-F24</f>
        <v>0</v>
      </c>
      <c r="G25" s="427"/>
    </row>
    <row r="26" spans="1:7" x14ac:dyDescent="0.2">
      <c r="A26" s="397" t="s">
        <v>861</v>
      </c>
      <c r="B26" s="456">
        <f>Update!$A$66</f>
        <v>12</v>
      </c>
      <c r="C26" s="457">
        <f>+'alb Note 12 Trade Receivables'!B41</f>
        <v>0</v>
      </c>
      <c r="D26" s="457">
        <f>+'alb Note 12 Trade Receivables'!C41</f>
        <v>0</v>
      </c>
      <c r="E26" s="397"/>
      <c r="F26" s="457">
        <f>+'alb Note 12 Trade Receivables'!E41</f>
        <v>0</v>
      </c>
      <c r="G26" s="427"/>
    </row>
    <row r="27" spans="1:7" x14ac:dyDescent="0.2">
      <c r="A27" s="397" t="s">
        <v>853</v>
      </c>
      <c r="B27" s="456">
        <v>9</v>
      </c>
      <c r="C27" s="457">
        <f>'alb Note 9 - Investments'!E27</f>
        <v>0</v>
      </c>
      <c r="D27" s="457">
        <f>'alb Note 9 - Investments'!J27</f>
        <v>0</v>
      </c>
      <c r="E27" s="397"/>
      <c r="F27" s="951"/>
      <c r="G27" s="951"/>
    </row>
    <row r="28" spans="1:7" x14ac:dyDescent="0.2">
      <c r="A28" s="397" t="s">
        <v>295</v>
      </c>
      <c r="B28" s="456">
        <f>Update!A64</f>
        <v>11</v>
      </c>
      <c r="C28" s="535">
        <f>IF(+'alb Note 11 - Cash'!B13&lt;0,0,+'alb Note 11 - Cash'!B13)</f>
        <v>0</v>
      </c>
      <c r="D28" s="535">
        <f>IF(+'alb Note 11 - Cash'!C13&lt;0,0,+'alb Note 11 - Cash'!C13)</f>
        <v>0</v>
      </c>
      <c r="E28" s="397"/>
      <c r="F28" s="952"/>
      <c r="G28" s="952"/>
    </row>
    <row r="29" spans="1:7" x14ac:dyDescent="0.2">
      <c r="A29" s="397"/>
      <c r="B29" s="453"/>
      <c r="C29" s="457"/>
      <c r="D29" s="457"/>
      <c r="E29" s="457"/>
      <c r="F29" s="457"/>
    </row>
    <row r="30" spans="1:7" x14ac:dyDescent="0.2">
      <c r="A30" s="388" t="s">
        <v>1220</v>
      </c>
      <c r="B30" s="528"/>
      <c r="C30" s="459">
        <f>SUM(C21:C28)</f>
        <v>0</v>
      </c>
      <c r="D30" s="459">
        <f>SUM(D21:D28)</f>
        <v>0</v>
      </c>
      <c r="E30" s="459"/>
      <c r="F30" s="459">
        <f>SUM(F21:F28)</f>
        <v>0</v>
      </c>
      <c r="G30" s="459">
        <f>SUM(G21:G28)</f>
        <v>0</v>
      </c>
    </row>
    <row r="31" spans="1:7" x14ac:dyDescent="0.2">
      <c r="A31" s="388"/>
      <c r="B31" s="528"/>
      <c r="C31" s="517"/>
      <c r="D31" s="517"/>
      <c r="E31" s="459"/>
      <c r="F31" s="517"/>
    </row>
    <row r="32" spans="1:7" x14ac:dyDescent="0.2">
      <c r="A32" s="388" t="s">
        <v>149</v>
      </c>
      <c r="B32" s="528"/>
      <c r="C32" s="525">
        <f>C30+C18</f>
        <v>0</v>
      </c>
      <c r="D32" s="525">
        <f>D30+D18</f>
        <v>0</v>
      </c>
      <c r="E32" s="510"/>
      <c r="F32" s="525">
        <f>F30+F18</f>
        <v>0</v>
      </c>
      <c r="G32" s="525">
        <f>G30+G18</f>
        <v>0</v>
      </c>
    </row>
    <row r="33" spans="1:7" x14ac:dyDescent="0.2">
      <c r="A33" s="388"/>
      <c r="B33" s="528"/>
      <c r="C33" s="459" t="s">
        <v>281</v>
      </c>
      <c r="D33" s="459"/>
      <c r="E33" s="459"/>
      <c r="F33" s="459" t="s">
        <v>281</v>
      </c>
    </row>
    <row r="34" spans="1:7" x14ac:dyDescent="0.2">
      <c r="A34" s="388" t="s">
        <v>766</v>
      </c>
      <c r="B34" s="528"/>
      <c r="C34" s="459"/>
      <c r="D34" s="459"/>
      <c r="E34" s="459"/>
      <c r="F34" s="459"/>
    </row>
    <row r="35" spans="1:7" x14ac:dyDescent="0.2">
      <c r="A35" s="397" t="s">
        <v>747</v>
      </c>
      <c r="B35" s="527">
        <f>Update!$A$67</f>
        <v>13</v>
      </c>
      <c r="C35" s="458">
        <f>-'alb Note 13.1 Trade payables'!B28-C36</f>
        <v>0</v>
      </c>
      <c r="D35" s="458">
        <f>-'alb Note 13.1 Trade payables'!C28-D36</f>
        <v>0</v>
      </c>
      <c r="E35" s="397"/>
      <c r="F35" s="458">
        <f>-'alb Note 13.1 Trade payables'!E28-F36</f>
        <v>0</v>
      </c>
      <c r="G35" s="427"/>
    </row>
    <row r="36" spans="1:7" x14ac:dyDescent="0.2">
      <c r="A36" s="397" t="s">
        <v>1075</v>
      </c>
      <c r="B36" s="527">
        <f>Update!$A$67</f>
        <v>13</v>
      </c>
      <c r="C36" s="458">
        <f>-'alb Note 13.1 Trade payables'!B27</f>
        <v>0</v>
      </c>
      <c r="D36" s="458">
        <f>-'alb Note 13.1 Trade payables'!C27</f>
        <v>0</v>
      </c>
      <c r="E36" s="397"/>
      <c r="F36" s="458">
        <f>-'alb Note 13.1 Trade payables'!E27</f>
        <v>0</v>
      </c>
      <c r="G36" s="427"/>
    </row>
    <row r="37" spans="1:7" x14ac:dyDescent="0.2">
      <c r="A37" s="397" t="s">
        <v>748</v>
      </c>
      <c r="B37" s="527">
        <f>Update!$A$67</f>
        <v>13</v>
      </c>
      <c r="C37" s="458">
        <f>-'alb Note 13.1 Trade payables'!B33</f>
        <v>0</v>
      </c>
      <c r="D37" s="458">
        <f>-'alb Note 13.1 Trade payables'!C33</f>
        <v>0</v>
      </c>
      <c r="E37" s="397"/>
      <c r="F37" s="458">
        <f>-'alb Note 13.1 Trade payables'!E33</f>
        <v>0</v>
      </c>
      <c r="G37" s="427"/>
    </row>
    <row r="38" spans="1:7" x14ac:dyDescent="0.2">
      <c r="A38" s="397" t="s">
        <v>862</v>
      </c>
      <c r="B38" s="527">
        <f>Update!$A$67</f>
        <v>13</v>
      </c>
      <c r="C38" s="458">
        <f>-'alb Note 13.1 Trade payables'!B36</f>
        <v>0</v>
      </c>
      <c r="D38" s="458">
        <f>-'alb Note 13.1 Trade payables'!C36</f>
        <v>0</v>
      </c>
      <c r="E38" s="397"/>
      <c r="F38" s="458">
        <f>-'alb Note 13.1 Trade payables'!E36</f>
        <v>0</v>
      </c>
      <c r="G38" s="427"/>
    </row>
    <row r="39" spans="1:7" s="397" customFormat="1" x14ac:dyDescent="0.2">
      <c r="A39" s="397" t="s">
        <v>297</v>
      </c>
      <c r="B39" s="527">
        <f>Update!$A$68</f>
        <v>14</v>
      </c>
      <c r="C39" s="458">
        <f>-'alb Note 14 - Provisions CY'!H48</f>
        <v>0</v>
      </c>
      <c r="D39" s="458">
        <f>-'alb Note 14 - Provisions PY'!H31</f>
        <v>0</v>
      </c>
      <c r="F39" s="458">
        <f>-'alb Note 14 - Provisions CY'!L48</f>
        <v>0</v>
      </c>
      <c r="G39" s="1490"/>
    </row>
    <row r="40" spans="1:7" s="397" customFormat="1" x14ac:dyDescent="0.2">
      <c r="A40" s="522" t="s">
        <v>1004</v>
      </c>
      <c r="B40" s="527">
        <f>Update!$A$68</f>
        <v>14</v>
      </c>
      <c r="C40" s="534">
        <f>-'alb Note 14 - Provisions CY'!$I$48</f>
        <v>0</v>
      </c>
      <c r="D40" s="533">
        <f>-'alb Note 14 - Provisions PY'!$I$31</f>
        <v>0</v>
      </c>
      <c r="E40" s="531" t="s">
        <v>1218</v>
      </c>
      <c r="F40" s="534">
        <f>-'alb Note 14 - Provisions CY'!$L$48</f>
        <v>0</v>
      </c>
      <c r="G40" s="1491"/>
    </row>
    <row r="41" spans="1:7" s="397" customFormat="1" x14ac:dyDescent="0.2">
      <c r="B41" s="530"/>
      <c r="C41" s="459"/>
      <c r="D41" s="459"/>
      <c r="F41" s="459"/>
    </row>
    <row r="42" spans="1:7" x14ac:dyDescent="0.2">
      <c r="A42" s="388" t="s">
        <v>1219</v>
      </c>
      <c r="B42" s="530"/>
      <c r="C42" s="459">
        <f>SUM(C35:C40)</f>
        <v>0</v>
      </c>
      <c r="D42" s="459">
        <f>SUM(D35:D40)</f>
        <v>0</v>
      </c>
      <c r="E42" s="397"/>
      <c r="F42" s="459">
        <f>SUM(F35:F40)</f>
        <v>0</v>
      </c>
      <c r="G42" s="459">
        <f>SUM(G35:G40)</f>
        <v>0</v>
      </c>
    </row>
    <row r="43" spans="1:7" x14ac:dyDescent="0.2">
      <c r="A43" s="397"/>
      <c r="B43" s="530"/>
      <c r="C43" s="517"/>
      <c r="D43" s="517"/>
      <c r="E43" s="397"/>
      <c r="F43" s="517"/>
      <c r="G43" s="517"/>
    </row>
    <row r="44" spans="1:7" x14ac:dyDescent="0.2">
      <c r="A44" s="388" t="s">
        <v>367</v>
      </c>
      <c r="B44" s="528"/>
      <c r="C44" s="525">
        <f>+C32+C42</f>
        <v>0</v>
      </c>
      <c r="D44" s="525">
        <f>+D32+D42</f>
        <v>0</v>
      </c>
      <c r="E44" s="397"/>
      <c r="F44" s="525">
        <f>+F32+F42</f>
        <v>0</v>
      </c>
      <c r="G44" s="525">
        <f>+G32+G42</f>
        <v>0</v>
      </c>
    </row>
    <row r="45" spans="1:7" ht="12.75" customHeight="1" x14ac:dyDescent="0.2">
      <c r="A45" s="397"/>
      <c r="B45" s="528"/>
      <c r="C45" s="459"/>
      <c r="D45" s="459"/>
      <c r="E45" s="397"/>
      <c r="F45" s="459"/>
    </row>
    <row r="46" spans="1:7" x14ac:dyDescent="0.2">
      <c r="A46" s="388" t="s">
        <v>546</v>
      </c>
      <c r="B46" s="528"/>
      <c r="C46" s="459"/>
      <c r="D46" s="459"/>
      <c r="E46" s="459"/>
      <c r="F46" s="459"/>
    </row>
    <row r="47" spans="1:7" ht="13.5" customHeight="1" x14ac:dyDescent="0.2">
      <c r="A47" s="397" t="s">
        <v>741</v>
      </c>
      <c r="B47" s="527">
        <f>Update!$A$68</f>
        <v>14</v>
      </c>
      <c r="C47" s="459">
        <f>-'alb Note 14 - Provisions CY'!H24-C39</f>
        <v>0</v>
      </c>
      <c r="D47" s="459">
        <f>-'alb Note 14 - Provisions PY'!H22-D39</f>
        <v>0</v>
      </c>
      <c r="E47" s="397"/>
      <c r="F47" s="457">
        <f>-'alb Note 14 - Provisions CY'!L24-F39</f>
        <v>0</v>
      </c>
      <c r="G47" s="427"/>
    </row>
    <row r="48" spans="1:7" ht="13.5" customHeight="1" x14ac:dyDescent="0.2">
      <c r="A48" s="397" t="s">
        <v>1003</v>
      </c>
      <c r="B48" s="527">
        <f>Update!$A$68</f>
        <v>14</v>
      </c>
      <c r="C48" s="457">
        <f>-'alb Note 14 - Provisions CY'!$I$24-C40</f>
        <v>0</v>
      </c>
      <c r="D48" s="457">
        <f>-'alb Note 14 - Provisions PY'!$I$22-D40</f>
        <v>0</v>
      </c>
      <c r="E48" s="531" t="s">
        <v>1218</v>
      </c>
      <c r="F48" s="457">
        <f>-'alb Note 14 - Provisions CY'!$L$24-F40</f>
        <v>0</v>
      </c>
      <c r="G48" s="427"/>
    </row>
    <row r="49" spans="1:7" x14ac:dyDescent="0.2">
      <c r="A49" s="397" t="s">
        <v>2032</v>
      </c>
      <c r="B49" s="527"/>
      <c r="C49" s="498">
        <v>0</v>
      </c>
      <c r="D49" s="498">
        <v>0</v>
      </c>
      <c r="E49" s="531" t="s">
        <v>1218</v>
      </c>
      <c r="F49" s="457"/>
      <c r="G49" s="427"/>
    </row>
    <row r="50" spans="1:7" ht="13.5" customHeight="1" outlineLevel="1" x14ac:dyDescent="0.2">
      <c r="A50" s="397" t="s">
        <v>2035</v>
      </c>
      <c r="B50" s="456"/>
      <c r="C50" s="457">
        <v>0</v>
      </c>
      <c r="D50" s="457">
        <v>0</v>
      </c>
      <c r="E50" s="531" t="s">
        <v>1218</v>
      </c>
      <c r="F50" s="457"/>
      <c r="G50" s="427"/>
    </row>
    <row r="51" spans="1:7" ht="13.5" customHeight="1" outlineLevel="1" x14ac:dyDescent="0.2">
      <c r="A51" s="397" t="s">
        <v>2033</v>
      </c>
      <c r="B51" s="456"/>
      <c r="C51" s="457">
        <v>0</v>
      </c>
      <c r="D51" s="457">
        <v>0</v>
      </c>
      <c r="E51" s="531" t="s">
        <v>1218</v>
      </c>
      <c r="F51" s="457"/>
      <c r="G51" s="427"/>
    </row>
    <row r="52" spans="1:7" ht="13.5" customHeight="1" outlineLevel="1" x14ac:dyDescent="0.2">
      <c r="A52" s="397" t="s">
        <v>2036</v>
      </c>
      <c r="B52" s="456"/>
      <c r="C52" s="457">
        <v>0</v>
      </c>
      <c r="D52" s="457">
        <v>0</v>
      </c>
      <c r="E52" s="531" t="s">
        <v>1218</v>
      </c>
      <c r="F52" s="457"/>
      <c r="G52" s="427"/>
    </row>
    <row r="53" spans="1:7" x14ac:dyDescent="0.2">
      <c r="A53" s="397" t="s">
        <v>1057</v>
      </c>
      <c r="B53" s="527">
        <f>Update!$A$67</f>
        <v>13</v>
      </c>
      <c r="C53" s="458">
        <f>-'alb Note 13.1 Trade payables'!B47</f>
        <v>0</v>
      </c>
      <c r="D53" s="458">
        <f>-'alb Note 13.1 Trade payables'!C47</f>
        <v>0</v>
      </c>
      <c r="E53" s="397"/>
      <c r="F53" s="458">
        <f>-'alb Note 13.1 Trade payables'!E47</f>
        <v>0</v>
      </c>
      <c r="G53" s="427"/>
    </row>
    <row r="54" spans="1:7" x14ac:dyDescent="0.2">
      <c r="A54" s="397" t="s">
        <v>746</v>
      </c>
      <c r="B54" s="527">
        <v>9</v>
      </c>
      <c r="C54" s="1205">
        <v>0</v>
      </c>
      <c r="D54" s="1205">
        <v>0</v>
      </c>
      <c r="E54" s="397"/>
      <c r="F54" s="535"/>
      <c r="G54" s="1492"/>
    </row>
    <row r="55" spans="1:7" x14ac:dyDescent="0.2">
      <c r="A55" s="397"/>
      <c r="B55" s="530"/>
      <c r="C55" s="459"/>
      <c r="D55" s="459"/>
      <c r="E55" s="459"/>
      <c r="F55" s="459"/>
    </row>
    <row r="56" spans="1:7" x14ac:dyDescent="0.2">
      <c r="A56" s="388" t="s">
        <v>547</v>
      </c>
      <c r="B56" s="530"/>
      <c r="C56" s="529">
        <f>SUM(C47:C54)</f>
        <v>0</v>
      </c>
      <c r="D56" s="529">
        <f>SUM(D47:D54)</f>
        <v>0</v>
      </c>
      <c r="E56" s="397"/>
      <c r="F56" s="529">
        <f>SUM(F47:F54)</f>
        <v>0</v>
      </c>
      <c r="G56" s="529">
        <f>SUM(G47:G54)</f>
        <v>0</v>
      </c>
    </row>
    <row r="57" spans="1:7" x14ac:dyDescent="0.2">
      <c r="A57" s="388"/>
      <c r="B57" s="528"/>
      <c r="C57" s="459"/>
      <c r="D57" s="459"/>
      <c r="E57" s="397"/>
      <c r="F57" s="459"/>
      <c r="G57" s="459"/>
    </row>
    <row r="58" spans="1:7" ht="13.5" thickBot="1" x14ac:dyDescent="0.25">
      <c r="A58" s="388" t="s">
        <v>1217</v>
      </c>
      <c r="B58" s="528"/>
      <c r="C58" s="524">
        <f>C44+C56</f>
        <v>0</v>
      </c>
      <c r="D58" s="524">
        <f>D44+D56</f>
        <v>0</v>
      </c>
      <c r="E58" s="397"/>
      <c r="F58" s="524">
        <f>F44+F56</f>
        <v>0</v>
      </c>
      <c r="G58" s="524">
        <f>G44+G56</f>
        <v>0</v>
      </c>
    </row>
    <row r="59" spans="1:7" ht="13.5" thickTop="1" x14ac:dyDescent="0.2">
      <c r="A59" s="397"/>
      <c r="B59" s="528"/>
      <c r="C59" s="457"/>
      <c r="D59" s="459"/>
      <c r="E59" s="459"/>
      <c r="F59" s="457"/>
    </row>
    <row r="60" spans="1:7" x14ac:dyDescent="0.2">
      <c r="A60" s="388" t="s">
        <v>281</v>
      </c>
      <c r="B60" s="528"/>
      <c r="C60" s="459"/>
      <c r="D60" s="459"/>
      <c r="E60" s="459"/>
      <c r="F60" s="459"/>
    </row>
    <row r="61" spans="1:7" x14ac:dyDescent="0.2">
      <c r="A61" s="388" t="s">
        <v>1216</v>
      </c>
      <c r="B61" s="528"/>
      <c r="C61" s="459"/>
      <c r="D61" s="459"/>
      <c r="E61" s="459"/>
      <c r="F61" s="459"/>
    </row>
    <row r="62" spans="1:7" x14ac:dyDescent="0.2">
      <c r="A62" s="397" t="s">
        <v>745</v>
      </c>
      <c r="B62" s="528"/>
      <c r="C62" s="458">
        <f>'alb SoCITE'!D36</f>
        <v>0</v>
      </c>
      <c r="D62" s="458">
        <f>'alb SoCITE'!D26</f>
        <v>0</v>
      </c>
      <c r="E62" s="397"/>
      <c r="F62" s="458">
        <f>'alb SoCITE'!J36</f>
        <v>0</v>
      </c>
      <c r="G62" s="427"/>
    </row>
    <row r="63" spans="1:7" x14ac:dyDescent="0.2">
      <c r="A63" s="397" t="s">
        <v>1665</v>
      </c>
      <c r="B63" s="528"/>
      <c r="C63" s="458">
        <f>'alb SoCITE'!C36</f>
        <v>0</v>
      </c>
      <c r="D63" s="458">
        <f>'alb SoCITE'!C26</f>
        <v>0</v>
      </c>
      <c r="E63" s="397"/>
      <c r="F63" s="458">
        <f>'alb SoCITE'!I36</f>
        <v>0</v>
      </c>
      <c r="G63" s="427"/>
    </row>
    <row r="64" spans="1:7" x14ac:dyDescent="0.2">
      <c r="A64" s="397" t="s">
        <v>299</v>
      </c>
      <c r="B64" s="528"/>
      <c r="C64" s="458">
        <f>'alb SoCITE'!E36</f>
        <v>0</v>
      </c>
      <c r="D64" s="458">
        <f>'alb SoCITE'!E26</f>
        <v>0</v>
      </c>
      <c r="E64" s="397"/>
      <c r="F64" s="458">
        <f>'alb SoCITE'!K36</f>
        <v>0</v>
      </c>
      <c r="G64" s="1492"/>
    </row>
    <row r="65" spans="1:7" x14ac:dyDescent="0.2">
      <c r="A65" s="397"/>
      <c r="B65" s="528"/>
      <c r="C65" s="517"/>
      <c r="D65" s="517"/>
      <c r="E65" s="397"/>
      <c r="F65" s="517"/>
    </row>
    <row r="66" spans="1:7" ht="13.5" thickBot="1" x14ac:dyDescent="0.25">
      <c r="A66" s="388" t="s">
        <v>1215</v>
      </c>
      <c r="B66" s="528"/>
      <c r="C66" s="524">
        <f>SUM(C62:C64)</f>
        <v>0</v>
      </c>
      <c r="D66" s="524">
        <f>SUM(D62:D64)</f>
        <v>0</v>
      </c>
      <c r="E66" s="397"/>
      <c r="F66" s="524">
        <f>SUM(F62:F64)</f>
        <v>0</v>
      </c>
      <c r="G66" s="524">
        <f>SUM(G62:G64)</f>
        <v>0</v>
      </c>
    </row>
    <row r="67" spans="1:7" ht="13.5" thickTop="1" x14ac:dyDescent="0.2">
      <c r="A67" s="397"/>
      <c r="B67" s="528"/>
      <c r="C67" s="459"/>
      <c r="D67" s="459"/>
      <c r="E67" s="397"/>
      <c r="F67" s="459"/>
    </row>
    <row r="68" spans="1:7" ht="10.9" customHeight="1" x14ac:dyDescent="0.2">
      <c r="A68" s="397"/>
      <c r="B68" s="968" t="s">
        <v>1726</v>
      </c>
      <c r="C68" s="967">
        <f>+C58-C66</f>
        <v>0</v>
      </c>
      <c r="D68" s="967">
        <f>+D58-D66</f>
        <v>0</v>
      </c>
      <c r="E68" s="397"/>
      <c r="F68" s="500"/>
    </row>
    <row r="69" spans="1:7" ht="9.75" customHeight="1" x14ac:dyDescent="0.2">
      <c r="A69" s="397"/>
      <c r="B69" s="528"/>
      <c r="C69" s="500"/>
      <c r="D69" s="500"/>
      <c r="E69" s="397"/>
      <c r="F69" s="500"/>
    </row>
    <row r="70" spans="1:7" x14ac:dyDescent="0.2">
      <c r="A70" s="397"/>
      <c r="B70" s="528"/>
      <c r="C70" s="459"/>
      <c r="D70" s="459"/>
      <c r="E70" s="397"/>
    </row>
    <row r="71" spans="1:7" x14ac:dyDescent="0.2">
      <c r="A71" s="397" t="s">
        <v>281</v>
      </c>
      <c r="B71" s="528"/>
      <c r="C71" s="397"/>
      <c r="D71" s="397"/>
      <c r="E71" s="397"/>
    </row>
    <row r="72" spans="1:7" x14ac:dyDescent="0.2">
      <c r="A72" s="397" t="s">
        <v>281</v>
      </c>
      <c r="B72" s="528"/>
      <c r="C72" s="397"/>
      <c r="D72" s="397"/>
      <c r="E72" s="397"/>
    </row>
    <row r="73" spans="1:7" x14ac:dyDescent="0.2">
      <c r="A73" s="397"/>
      <c r="B73" s="528"/>
      <c r="C73" s="397"/>
      <c r="D73" s="397"/>
      <c r="E73" s="397"/>
    </row>
    <row r="74" spans="1:7" x14ac:dyDescent="0.2">
      <c r="A74" s="397"/>
      <c r="B74" s="528"/>
      <c r="C74" s="397"/>
      <c r="D74" s="397"/>
      <c r="E74" s="397"/>
    </row>
    <row r="75" spans="1:7" x14ac:dyDescent="0.2">
      <c r="A75" s="397"/>
      <c r="B75" s="528"/>
      <c r="C75" s="397"/>
      <c r="D75" s="397"/>
      <c r="E75" s="397"/>
    </row>
    <row r="76" spans="1:7" x14ac:dyDescent="0.2">
      <c r="A76" s="397"/>
      <c r="B76" s="528"/>
      <c r="C76" s="397"/>
      <c r="D76" s="397"/>
      <c r="E76" s="397"/>
    </row>
  </sheetData>
  <sheetProtection algorithmName="SHA-512" hashValue="hDXyoRTrT6nwsZhfFsROAp7cdciS3zgEekInmFxzP9Uw9HORa/UwMcm1E96u2PjoeVGGFcOyC9TvDt3obZ1kgw==" saltValue="wIuXC5McTocFJNOgNQ2upA==" spinCount="100000" sheet="1" formatColumns="0" formatRows="0"/>
  <mergeCells count="1">
    <mergeCell ref="A5:D6"/>
  </mergeCells>
  <pageMargins left="0.74803149606299213" right="0.74803149606299213" top="0.59055118110236227" bottom="0.59055118110236227" header="0.51181102362204722" footer="0.51181102362204722"/>
  <pageSetup paperSize="9" scale="61" orientation="portrait"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9">
    <tabColor rgb="FFFFFF00"/>
    <pageSetUpPr fitToPage="1"/>
  </sheetPr>
  <dimension ref="A1:I70"/>
  <sheetViews>
    <sheetView zoomScaleNormal="100" workbookViewId="0">
      <pane xSplit="3" ySplit="14" topLeftCell="D15" activePane="bottomRight" state="frozen"/>
      <selection activeCell="F19" sqref="F19"/>
      <selection pane="topRight" activeCell="F19" sqref="F19"/>
      <selection pane="bottomLeft" activeCell="F19" sqref="F19"/>
      <selection pane="bottomRight" activeCell="D15" sqref="D15"/>
    </sheetView>
  </sheetViews>
  <sheetFormatPr defaultColWidth="9.140625" defaultRowHeight="12.75" customHeight="1" outlineLevelRow="1" outlineLevelCol="1" x14ac:dyDescent="0.2"/>
  <cols>
    <col min="1" max="1" width="71.28515625" style="466" customWidth="1"/>
    <col min="2" max="2" width="8" style="562" bestFit="1" customWidth="1"/>
    <col min="3" max="4" width="12" style="466" bestFit="1" customWidth="1"/>
    <col min="5" max="5" width="11.85546875" style="466" customWidth="1"/>
    <col min="6" max="6" width="9.140625" style="466"/>
    <col min="7" max="7" width="9.140625" style="466" customWidth="1" outlineLevel="1"/>
    <col min="8" max="16384" width="9.140625" style="466"/>
  </cols>
  <sheetData>
    <row r="1" spans="1:9" ht="14.65" customHeight="1" x14ac:dyDescent="0.2">
      <c r="A1" s="416" t="str">
        <f>'alb Instructions'!$B$20</f>
        <v>enter HSC Body name here</v>
      </c>
      <c r="B1" s="416"/>
      <c r="C1" s="416"/>
      <c r="D1" s="416"/>
      <c r="E1" s="501"/>
      <c r="F1" s="397"/>
      <c r="G1" s="397"/>
      <c r="H1" s="397"/>
      <c r="I1" s="397"/>
    </row>
    <row r="2" spans="1:9" ht="12.75" customHeight="1" x14ac:dyDescent="0.2">
      <c r="A2" s="397"/>
      <c r="B2" s="537"/>
      <c r="C2" s="397"/>
      <c r="D2" s="397"/>
      <c r="E2" s="501"/>
      <c r="F2" s="397"/>
      <c r="G2" s="397"/>
      <c r="H2" s="397"/>
      <c r="I2" s="397"/>
    </row>
    <row r="3" spans="1:9" ht="12.75" customHeight="1" x14ac:dyDescent="0.2">
      <c r="A3" s="2141" t="str">
        <f>"Consolidated Statement of Cash Flows for the year ended"&amp;Update!B22</f>
        <v>Consolidated Statement of Cash Flows for the year ended 31 March 2026</v>
      </c>
      <c r="B3" s="2141"/>
      <c r="C3" s="2142"/>
      <c r="D3" s="537"/>
      <c r="E3" s="568"/>
      <c r="F3" s="397"/>
      <c r="G3" s="397"/>
      <c r="H3" s="397"/>
      <c r="I3" s="397"/>
    </row>
    <row r="4" spans="1:9" ht="12.75" customHeight="1" x14ac:dyDescent="0.2">
      <c r="A4" s="416"/>
      <c r="B4" s="416"/>
      <c r="C4" s="436"/>
      <c r="D4" s="537"/>
      <c r="E4" s="568"/>
      <c r="F4" s="397"/>
      <c r="G4" s="397"/>
      <c r="H4" s="397"/>
      <c r="I4" s="397"/>
    </row>
    <row r="5" spans="1:9" ht="12.75" hidden="1" customHeight="1" outlineLevel="1" x14ac:dyDescent="0.2">
      <c r="A5" s="2144" t="s">
        <v>1246</v>
      </c>
      <c r="B5" s="2144"/>
      <c r="C5" s="2144"/>
      <c r="D5" s="2144"/>
      <c r="E5" s="568"/>
      <c r="F5" s="397"/>
      <c r="G5" s="397"/>
      <c r="H5" s="397"/>
      <c r="I5" s="397"/>
    </row>
    <row r="6" spans="1:9" ht="12.75" hidden="1" customHeight="1" outlineLevel="1" x14ac:dyDescent="0.2">
      <c r="A6" s="2144"/>
      <c r="B6" s="2144"/>
      <c r="C6" s="2144"/>
      <c r="D6" s="2144"/>
      <c r="E6" s="568"/>
      <c r="F6" s="397"/>
      <c r="G6" s="397"/>
      <c r="H6" s="397"/>
      <c r="I6" s="397"/>
    </row>
    <row r="7" spans="1:9" ht="12.75" hidden="1" customHeight="1" outlineLevel="1" x14ac:dyDescent="0.2">
      <c r="A7" s="2144"/>
      <c r="B7" s="2144"/>
      <c r="C7" s="2144"/>
      <c r="D7" s="2144"/>
      <c r="E7" s="568"/>
      <c r="F7" s="397"/>
      <c r="G7" s="397"/>
      <c r="H7" s="397"/>
      <c r="I7" s="397"/>
    </row>
    <row r="8" spans="1:9" ht="12.75" hidden="1" customHeight="1" outlineLevel="1" x14ac:dyDescent="0.2">
      <c r="A8" s="2144"/>
      <c r="B8" s="2144"/>
      <c r="C8" s="2144"/>
      <c r="D8" s="2144"/>
      <c r="E8" s="568"/>
      <c r="F8" s="397"/>
      <c r="G8" s="397"/>
      <c r="H8" s="397"/>
      <c r="I8" s="397"/>
    </row>
    <row r="9" spans="1:9" ht="12.75" hidden="1" customHeight="1" outlineLevel="1" x14ac:dyDescent="0.2">
      <c r="A9" s="2144"/>
      <c r="B9" s="2144"/>
      <c r="C9" s="2144"/>
      <c r="D9" s="2144"/>
      <c r="E9" s="568"/>
      <c r="F9" s="397"/>
      <c r="G9" s="397"/>
      <c r="H9" s="397"/>
      <c r="I9" s="397"/>
    </row>
    <row r="10" spans="1:9" ht="12.75" hidden="1" customHeight="1" outlineLevel="1" x14ac:dyDescent="0.2">
      <c r="A10" s="2144"/>
      <c r="B10" s="2144"/>
      <c r="C10" s="2144"/>
      <c r="D10" s="2144"/>
      <c r="E10" s="568"/>
      <c r="F10" s="397"/>
      <c r="G10" s="397"/>
      <c r="H10" s="397"/>
      <c r="I10" s="397"/>
    </row>
    <row r="11" spans="1:9" ht="12.75" customHeight="1" collapsed="1" x14ac:dyDescent="0.2">
      <c r="A11" s="569"/>
      <c r="B11" s="569"/>
      <c r="C11" s="569"/>
      <c r="D11" s="569"/>
      <c r="E11" s="568"/>
      <c r="F11" s="397"/>
      <c r="G11" s="955" t="s">
        <v>64</v>
      </c>
      <c r="H11" s="397"/>
      <c r="I11" s="397"/>
    </row>
    <row r="12" spans="1:9" ht="12.75" customHeight="1" x14ac:dyDescent="0.2">
      <c r="A12" s="397"/>
      <c r="B12" s="537"/>
      <c r="C12" s="461" t="str">
        <f>Update!$C$38</f>
        <v>2025-26</v>
      </c>
      <c r="D12" s="461" t="str">
        <f>Update!$C$37</f>
        <v>2024-25</v>
      </c>
      <c r="E12" s="461"/>
      <c r="F12" s="397"/>
      <c r="G12" s="461" t="str">
        <f>C12</f>
        <v>2025-26</v>
      </c>
      <c r="H12" s="397"/>
      <c r="I12" s="397"/>
    </row>
    <row r="13" spans="1:9" ht="12.75" customHeight="1" x14ac:dyDescent="0.2">
      <c r="A13" s="397"/>
      <c r="B13" s="538" t="s">
        <v>1211</v>
      </c>
      <c r="C13" s="468" t="s">
        <v>493</v>
      </c>
      <c r="D13" s="468" t="s">
        <v>493</v>
      </c>
      <c r="E13" s="461"/>
      <c r="F13" s="397"/>
      <c r="G13" s="468" t="s">
        <v>493</v>
      </c>
      <c r="H13" s="397"/>
      <c r="I13" s="397"/>
    </row>
    <row r="14" spans="1:9" ht="12.75" customHeight="1" x14ac:dyDescent="0.2">
      <c r="A14" s="388" t="s">
        <v>82</v>
      </c>
      <c r="B14" s="537"/>
      <c r="C14" s="468"/>
      <c r="D14" s="468"/>
      <c r="E14" s="461"/>
      <c r="F14" s="397"/>
      <c r="G14" s="468"/>
      <c r="H14" s="397"/>
      <c r="I14" s="397"/>
    </row>
    <row r="15" spans="1:9" ht="12.75" customHeight="1" x14ac:dyDescent="0.2">
      <c r="A15" s="388"/>
      <c r="B15" s="537"/>
      <c r="C15" s="468"/>
      <c r="D15" s="468"/>
      <c r="E15" s="461"/>
      <c r="F15" s="397"/>
      <c r="G15" s="468"/>
      <c r="H15" s="397"/>
      <c r="I15" s="397"/>
    </row>
    <row r="16" spans="1:9" ht="12.75" customHeight="1" x14ac:dyDescent="0.2">
      <c r="A16" s="397" t="s">
        <v>2331</v>
      </c>
      <c r="B16" s="537"/>
      <c r="C16" s="457">
        <f>+'alb SoCNE'!C47</f>
        <v>0</v>
      </c>
      <c r="D16" s="457">
        <f>'alb SoCNE'!D47</f>
        <v>0</v>
      </c>
      <c r="E16" s="461" t="s">
        <v>281</v>
      </c>
      <c r="F16" s="397"/>
      <c r="G16" s="457">
        <f>+'alb SoCNE'!F39</f>
        <v>0</v>
      </c>
      <c r="H16" s="397"/>
      <c r="I16" s="397"/>
    </row>
    <row r="17" spans="1:9" ht="12.75" customHeight="1" x14ac:dyDescent="0.2">
      <c r="A17" s="397" t="s">
        <v>1666</v>
      </c>
      <c r="B17" s="537"/>
      <c r="C17" s="1160">
        <f>SUM('alb Note 3 &amp; 3.1 - Expenditure'!$C$23:$C$33)-('alb Note 4 - Income'!B30)</f>
        <v>0</v>
      </c>
      <c r="D17" s="498">
        <f>SUM('alb Note 3 &amp; 3.1 - Expenditure'!$D$23:$D$40)</f>
        <v>0</v>
      </c>
      <c r="E17" s="956" t="s">
        <v>1904</v>
      </c>
      <c r="F17" s="397"/>
      <c r="G17" s="532">
        <f>SUM('alb Note 3 &amp; 3.1 - Expenditure'!$G$23:$G$40)</f>
        <v>0</v>
      </c>
      <c r="H17" s="397"/>
      <c r="I17" s="397"/>
    </row>
    <row r="18" spans="1:9" ht="12.75" customHeight="1" x14ac:dyDescent="0.2">
      <c r="A18" s="397" t="s">
        <v>2627</v>
      </c>
      <c r="B18" s="537"/>
      <c r="C18" s="460"/>
      <c r="D18" s="460"/>
      <c r="E18" s="956"/>
      <c r="F18" s="397"/>
      <c r="G18" s="532"/>
      <c r="H18" s="397"/>
      <c r="I18" s="397"/>
    </row>
    <row r="19" spans="1:9" ht="12.75" customHeight="1" x14ac:dyDescent="0.2">
      <c r="A19" s="397" t="s">
        <v>752</v>
      </c>
      <c r="B19" s="564"/>
      <c r="C19" s="457">
        <f>'alb Note 12 Trade Receivables'!C43-'alb Note 12 Trade Receivables'!B43</f>
        <v>0</v>
      </c>
      <c r="D19" s="460"/>
      <c r="E19" s="436"/>
      <c r="F19" s="397"/>
      <c r="G19" s="457">
        <f>-'alb SFP'!F23-'alb SFP'!F24-'alb SFP'!F25-'alb SFP'!F26+'alb SFP'!G23+'alb SFP'!G24+'alb SFP'!G25+'alb SFP'!G26</f>
        <v>0</v>
      </c>
      <c r="H19" s="397"/>
      <c r="I19" s="397"/>
    </row>
    <row r="20" spans="1:9" ht="12.75" customHeight="1" x14ac:dyDescent="0.2">
      <c r="A20" s="397"/>
      <c r="B20" s="564"/>
      <c r="C20" s="457"/>
      <c r="D20" s="457"/>
      <c r="E20" s="461"/>
      <c r="F20" s="397"/>
      <c r="G20" s="457"/>
      <c r="H20" s="397"/>
      <c r="I20" s="397"/>
    </row>
    <row r="21" spans="1:9" ht="12.75" customHeight="1" x14ac:dyDescent="0.2">
      <c r="A21" s="415" t="s">
        <v>1667</v>
      </c>
      <c r="B21" s="564"/>
      <c r="C21" s="457"/>
      <c r="D21" s="457"/>
      <c r="E21" s="567"/>
      <c r="F21" s="397"/>
      <c r="G21" s="457"/>
      <c r="H21" s="397"/>
      <c r="I21" s="397"/>
    </row>
    <row r="22" spans="1:9" ht="12.75" customHeight="1" x14ac:dyDescent="0.2">
      <c r="A22" s="397" t="s">
        <v>300</v>
      </c>
      <c r="B22" s="564"/>
      <c r="C22" s="460"/>
      <c r="D22" s="460"/>
      <c r="E22" s="567"/>
      <c r="F22" s="397"/>
      <c r="G22" s="457">
        <f>'alb Note 12 Trade Receivables'!E14</f>
        <v>0</v>
      </c>
      <c r="H22" s="397"/>
      <c r="I22" s="397"/>
    </row>
    <row r="23" spans="1:9" ht="12.75" customHeight="1" x14ac:dyDescent="0.2">
      <c r="A23" s="397" t="s">
        <v>301</v>
      </c>
      <c r="B23" s="564"/>
      <c r="C23" s="460"/>
      <c r="D23" s="460"/>
      <c r="E23" s="567"/>
      <c r="F23" s="397"/>
      <c r="G23" s="457">
        <f>'alb Note 12 Trade Receivables'!E15</f>
        <v>0</v>
      </c>
      <c r="H23" s="397"/>
      <c r="I23" s="397"/>
    </row>
    <row r="24" spans="1:9" ht="12.75" customHeight="1" x14ac:dyDescent="0.2">
      <c r="A24" s="397" t="s">
        <v>302</v>
      </c>
      <c r="B24" s="564"/>
      <c r="C24" s="460"/>
      <c r="D24" s="460"/>
      <c r="E24" s="567"/>
      <c r="F24" s="397"/>
      <c r="G24" s="460"/>
      <c r="H24" s="397"/>
      <c r="I24" s="397"/>
    </row>
    <row r="25" spans="1:9" ht="12.6" customHeight="1" x14ac:dyDescent="0.2">
      <c r="A25" s="384" t="s">
        <v>753</v>
      </c>
      <c r="B25" s="564"/>
      <c r="C25" s="457">
        <f>'alb Note 12 Trade Receivables'!B21-'alb Note 12 Trade Receivables'!C21</f>
        <v>0</v>
      </c>
      <c r="D25" s="460"/>
      <c r="E25" s="567"/>
      <c r="F25" s="397"/>
      <c r="G25" s="457">
        <f>'alb Note 12 Trade Receivables'!E21</f>
        <v>0</v>
      </c>
      <c r="H25" s="397"/>
      <c r="I25" s="397"/>
    </row>
    <row r="26" spans="1:9" ht="12.75" customHeight="1" x14ac:dyDescent="0.2">
      <c r="A26" s="388"/>
      <c r="B26" s="564"/>
      <c r="C26" s="457"/>
      <c r="D26" s="457"/>
      <c r="E26" s="461"/>
      <c r="F26" s="397"/>
      <c r="G26" s="457"/>
      <c r="H26" s="397"/>
      <c r="I26" s="397"/>
    </row>
    <row r="27" spans="1:9" ht="12.75" customHeight="1" x14ac:dyDescent="0.2">
      <c r="A27" s="397" t="s">
        <v>303</v>
      </c>
      <c r="B27" s="564"/>
      <c r="C27" s="457">
        <f>-'alb SFP'!C22+'alb SFP'!D22</f>
        <v>0</v>
      </c>
      <c r="D27" s="460"/>
      <c r="E27" s="461"/>
      <c r="F27" s="397"/>
      <c r="G27" s="951"/>
      <c r="H27" s="397"/>
      <c r="I27" s="397"/>
    </row>
    <row r="28" spans="1:9" ht="12.75" customHeight="1" x14ac:dyDescent="0.2">
      <c r="A28" s="397" t="s">
        <v>754</v>
      </c>
      <c r="B28" s="564"/>
      <c r="C28" s="457">
        <f>-'alb SFP'!C35-'alb SFP'!C37-'alb SFP'!C38-'alb SFP'!C53+'alb SFP'!D35+'alb SFP'!D37+'alb SFP'!D38+'alb SFP'!D53-'alb Note 13.1 Trade payables'!B14+'alb Note 13.1 Trade payables'!C14</f>
        <v>0</v>
      </c>
      <c r="D28" s="460"/>
      <c r="E28" s="461"/>
      <c r="F28" s="397"/>
      <c r="G28" s="457">
        <f>-'alb SFP'!F35-'alb SFP'!F37-'alb SFP'!F38-'alb SFP'!F53</f>
        <v>0</v>
      </c>
      <c r="H28" s="397"/>
      <c r="I28" s="397"/>
    </row>
    <row r="29" spans="1:9" ht="12.75" customHeight="1" x14ac:dyDescent="0.2">
      <c r="A29" s="397"/>
      <c r="B29" s="564"/>
      <c r="C29" s="457"/>
      <c r="D29" s="457"/>
      <c r="E29" s="461"/>
      <c r="F29" s="397"/>
      <c r="G29" s="457"/>
      <c r="H29" s="397"/>
      <c r="I29" s="397"/>
    </row>
    <row r="30" spans="1:9" ht="12.75" customHeight="1" x14ac:dyDescent="0.2">
      <c r="A30" s="415" t="s">
        <v>1668</v>
      </c>
      <c r="B30" s="564"/>
      <c r="C30" s="457"/>
      <c r="D30" s="457"/>
      <c r="E30" s="567"/>
      <c r="F30" s="397"/>
      <c r="G30" s="457"/>
      <c r="H30" s="397"/>
      <c r="I30" s="397"/>
    </row>
    <row r="31" spans="1:9" ht="12.75" customHeight="1" x14ac:dyDescent="0.2">
      <c r="A31" s="397" t="s">
        <v>755</v>
      </c>
      <c r="B31" s="564"/>
      <c r="C31" s="457">
        <f>+'alb Note 13.1 Trade payables'!C15-'alb Note 13.1 Trade payables'!B15+'alb Note 13.1 Trade payables'!C24-'alb Note 13.1 Trade payables'!B24</f>
        <v>0</v>
      </c>
      <c r="D31" s="460"/>
      <c r="E31" s="567"/>
      <c r="F31" s="397"/>
      <c r="G31" s="457">
        <f>-'alb Note 13.1 Trade payables'!E15-'alb Note 13.1 Trade payables'!E24</f>
        <v>0</v>
      </c>
      <c r="H31" s="397"/>
      <c r="I31" s="397"/>
    </row>
    <row r="32" spans="1:9" ht="12.75" customHeight="1" x14ac:dyDescent="0.2">
      <c r="A32" s="397" t="s">
        <v>756</v>
      </c>
      <c r="B32" s="564"/>
      <c r="C32" s="457">
        <f>+'alb Note 13.1 Trade payables'!C16-'alb Note 13.1 Trade payables'!B16+'alb Note 13.1 Trade payables'!C25-'alb Note 13.1 Trade payables'!B25</f>
        <v>0</v>
      </c>
      <c r="D32" s="460"/>
      <c r="E32" s="567"/>
      <c r="F32" s="397"/>
      <c r="G32" s="457">
        <f>-'alb Note 13.1 Trade payables'!E16-'alb Note 13.1 Trade payables'!E25</f>
        <v>0</v>
      </c>
      <c r="H32" s="397"/>
      <c r="I32" s="397"/>
    </row>
    <row r="33" spans="1:9" ht="12.75" customHeight="1" x14ac:dyDescent="0.2">
      <c r="A33" s="397" t="s">
        <v>324</v>
      </c>
      <c r="B33" s="564"/>
      <c r="C33" s="457">
        <f>+'alb Note 13.1 Trade payables'!C30+'alb Note 13.1 Trade payables'!C44-'alb Note 13.1 Trade payables'!B30-'alb Note 13.1 Trade payables'!B44</f>
        <v>0</v>
      </c>
      <c r="D33" s="460"/>
      <c r="E33" s="567"/>
      <c r="F33" s="397"/>
      <c r="G33" s="457">
        <f>-'alb Note 13.1 Trade payables'!E30-'alb Note 13.1 Trade payables'!E44</f>
        <v>0</v>
      </c>
      <c r="H33" s="397"/>
      <c r="I33" s="397"/>
    </row>
    <row r="34" spans="1:9" ht="25.5" x14ac:dyDescent="0.2">
      <c r="A34" s="384" t="s">
        <v>304</v>
      </c>
      <c r="B34" s="564"/>
      <c r="C34" s="457">
        <f>+'alb Note 13.1 Trade payables'!C32+'alb Note 13.1 Trade payables'!C45-'alb Note 13.1 Trade payables'!B32-'alb Note 13.1 Trade payables'!B45</f>
        <v>0</v>
      </c>
      <c r="D34" s="460"/>
      <c r="E34" s="567"/>
      <c r="F34" s="397"/>
      <c r="G34" s="457">
        <f>-(-'alb Note 13.1 Trade payables'!E32-'alb Note 13.1 Trade payables'!E45)</f>
        <v>0</v>
      </c>
      <c r="H34" s="397"/>
      <c r="I34" s="397"/>
    </row>
    <row r="35" spans="1:9" x14ac:dyDescent="0.2">
      <c r="A35" s="384" t="s">
        <v>2044</v>
      </c>
      <c r="B35" s="564"/>
      <c r="C35" s="460"/>
      <c r="D35" s="460"/>
      <c r="E35" s="567"/>
      <c r="F35" s="397"/>
      <c r="G35" s="457"/>
      <c r="H35" s="397"/>
      <c r="I35" s="397"/>
    </row>
    <row r="36" spans="1:9" x14ac:dyDescent="0.2">
      <c r="A36" s="384"/>
      <c r="B36" s="564"/>
      <c r="C36" s="457"/>
      <c r="D36" s="457"/>
      <c r="E36" s="567"/>
      <c r="F36" s="397"/>
      <c r="G36" s="457"/>
      <c r="H36" s="397"/>
      <c r="I36" s="397"/>
    </row>
    <row r="37" spans="1:9" ht="12.75" customHeight="1" x14ac:dyDescent="0.2">
      <c r="A37" s="388"/>
      <c r="B37" s="564"/>
      <c r="C37" s="457"/>
      <c r="D37" s="457"/>
      <c r="E37" s="461"/>
      <c r="F37" s="457"/>
      <c r="G37" s="457"/>
      <c r="H37" s="397"/>
      <c r="I37" s="397"/>
    </row>
    <row r="38" spans="1:9" ht="12.75" customHeight="1" x14ac:dyDescent="0.2">
      <c r="A38" s="397" t="s">
        <v>91</v>
      </c>
      <c r="B38" s="566">
        <v>15</v>
      </c>
      <c r="C38" s="565">
        <f>'alb Note 14 - Provisions CY'!J20</f>
        <v>0</v>
      </c>
      <c r="D38" s="535">
        <f>'alb Note 14 - Provisions PY'!J18</f>
        <v>0</v>
      </c>
      <c r="E38" s="461"/>
      <c r="F38" s="397"/>
      <c r="G38" s="565">
        <f>'alb Note 14 - Provisions CY'!L20</f>
        <v>0</v>
      </c>
      <c r="H38" s="397"/>
      <c r="I38" s="397"/>
    </row>
    <row r="39" spans="1:9" ht="12.75" customHeight="1" x14ac:dyDescent="0.2">
      <c r="A39" s="397"/>
      <c r="B39" s="564"/>
      <c r="C39" s="457"/>
      <c r="D39" s="457"/>
      <c r="E39" s="461"/>
      <c r="F39" s="397"/>
      <c r="G39" s="457"/>
      <c r="H39" s="397"/>
      <c r="I39" s="397"/>
    </row>
    <row r="40" spans="1:9" ht="12.75" customHeight="1" x14ac:dyDescent="0.2">
      <c r="A40" s="388" t="s">
        <v>549</v>
      </c>
      <c r="B40" s="537"/>
      <c r="C40" s="457">
        <f>SUM(C16:C38)</f>
        <v>0</v>
      </c>
      <c r="D40" s="457">
        <f>SUM(D16:D38)</f>
        <v>0</v>
      </c>
      <c r="E40" s="461" t="s">
        <v>281</v>
      </c>
      <c r="F40" s="457" t="s">
        <v>281</v>
      </c>
      <c r="G40" s="457">
        <f>SUM(G16:G38)</f>
        <v>0</v>
      </c>
      <c r="H40" s="397"/>
      <c r="I40" s="397"/>
    </row>
    <row r="41" spans="1:9" ht="12.75" customHeight="1" x14ac:dyDescent="0.2">
      <c r="A41" s="397"/>
      <c r="B41" s="537"/>
      <c r="C41" s="556"/>
      <c r="D41" s="556"/>
      <c r="E41" s="461"/>
      <c r="F41" s="397"/>
      <c r="G41" s="556"/>
      <c r="H41" s="397"/>
      <c r="I41" s="397"/>
    </row>
    <row r="42" spans="1:9" ht="12.75" customHeight="1" x14ac:dyDescent="0.2">
      <c r="A42" s="397"/>
      <c r="B42" s="537"/>
      <c r="C42" s="457"/>
      <c r="D42" s="457"/>
      <c r="E42" s="397"/>
      <c r="F42" s="397"/>
      <c r="G42" s="457"/>
      <c r="H42" s="397"/>
      <c r="I42" s="397"/>
    </row>
    <row r="43" spans="1:9" ht="12.75" customHeight="1" x14ac:dyDescent="0.2">
      <c r="A43" s="388" t="s">
        <v>94</v>
      </c>
      <c r="B43" s="537"/>
      <c r="C43" s="457"/>
      <c r="D43" s="457"/>
      <c r="E43" s="397"/>
      <c r="F43" s="397"/>
      <c r="G43" s="457"/>
      <c r="H43" s="397"/>
      <c r="I43" s="397"/>
    </row>
    <row r="44" spans="1:9" ht="12.75" customHeight="1" x14ac:dyDescent="0.2">
      <c r="A44" s="388"/>
      <c r="B44" s="537"/>
      <c r="C44" s="457"/>
      <c r="D44" s="457"/>
      <c r="E44" s="397"/>
      <c r="F44" s="397"/>
      <c r="G44" s="457"/>
      <c r="H44" s="397"/>
      <c r="I44" s="397"/>
    </row>
    <row r="45" spans="1:9" ht="12.75" customHeight="1" x14ac:dyDescent="0.2">
      <c r="A45" s="397" t="s">
        <v>95</v>
      </c>
      <c r="B45" s="537">
        <v>5</v>
      </c>
      <c r="C45" s="460"/>
      <c r="D45" s="460"/>
      <c r="E45" s="956" t="s">
        <v>1245</v>
      </c>
      <c r="F45" s="397"/>
      <c r="G45" s="460"/>
      <c r="H45" s="397"/>
      <c r="I45" s="397"/>
    </row>
    <row r="46" spans="1:9" ht="12.75" customHeight="1" x14ac:dyDescent="0.2">
      <c r="A46" s="397" t="s">
        <v>96</v>
      </c>
      <c r="B46" s="537">
        <v>6</v>
      </c>
      <c r="C46" s="460"/>
      <c r="D46" s="460"/>
      <c r="E46" s="956" t="s">
        <v>1244</v>
      </c>
      <c r="F46" s="397"/>
      <c r="G46" s="460"/>
      <c r="H46" s="397"/>
      <c r="I46" s="397"/>
    </row>
    <row r="47" spans="1:9" ht="12.75" customHeight="1" x14ac:dyDescent="0.2">
      <c r="A47" s="397" t="s">
        <v>757</v>
      </c>
      <c r="B47" s="538"/>
      <c r="C47" s="460"/>
      <c r="D47" s="460"/>
      <c r="E47" s="956" t="s">
        <v>1243</v>
      </c>
      <c r="F47" s="397"/>
      <c r="G47" s="460"/>
      <c r="H47" s="397"/>
      <c r="I47" s="397"/>
    </row>
    <row r="48" spans="1:9" ht="12.75" customHeight="1" x14ac:dyDescent="0.2">
      <c r="A48" s="397" t="s">
        <v>535</v>
      </c>
      <c r="B48" s="538"/>
      <c r="C48" s="460"/>
      <c r="D48" s="460"/>
      <c r="E48" s="956" t="s">
        <v>1243</v>
      </c>
      <c r="F48" s="397"/>
      <c r="G48" s="460"/>
      <c r="H48" s="397"/>
      <c r="I48" s="397"/>
    </row>
    <row r="49" spans="1:9" ht="12.75" customHeight="1" x14ac:dyDescent="0.2">
      <c r="A49" s="397" t="s">
        <v>758</v>
      </c>
      <c r="B49" s="538"/>
      <c r="C49" s="460"/>
      <c r="D49" s="460"/>
      <c r="E49" s="956" t="s">
        <v>1243</v>
      </c>
      <c r="F49" s="397"/>
      <c r="G49" s="460"/>
      <c r="H49" s="397"/>
      <c r="I49" s="397"/>
    </row>
    <row r="50" spans="1:9" ht="12.75" customHeight="1" x14ac:dyDescent="0.2">
      <c r="A50" s="397" t="s">
        <v>360</v>
      </c>
      <c r="B50" s="538"/>
      <c r="C50" s="460"/>
      <c r="D50" s="460"/>
      <c r="E50" s="415"/>
      <c r="F50" s="397"/>
      <c r="G50" s="460"/>
      <c r="H50" s="397"/>
      <c r="I50" s="397"/>
    </row>
    <row r="51" spans="1:9" ht="12.75" customHeight="1" x14ac:dyDescent="0.2">
      <c r="A51" s="397" t="s">
        <v>361</v>
      </c>
      <c r="B51" s="538"/>
      <c r="C51" s="460"/>
      <c r="D51" s="460"/>
      <c r="E51" s="415"/>
      <c r="F51" s="397"/>
      <c r="G51" s="460"/>
      <c r="H51" s="397"/>
      <c r="I51" s="397"/>
    </row>
    <row r="52" spans="1:9" ht="12.75" customHeight="1" x14ac:dyDescent="0.2">
      <c r="A52" s="397" t="s">
        <v>1070</v>
      </c>
      <c r="B52" s="538"/>
      <c r="C52" s="563"/>
      <c r="D52" s="563"/>
      <c r="E52" s="397"/>
      <c r="F52" s="397"/>
      <c r="G52" s="563"/>
      <c r="H52" s="397"/>
      <c r="I52" s="397"/>
    </row>
    <row r="53" spans="1:9" ht="12.75" customHeight="1" x14ac:dyDescent="0.2">
      <c r="A53" s="397"/>
      <c r="B53" s="537"/>
      <c r="C53" s="457"/>
      <c r="D53" s="457"/>
      <c r="E53" s="397"/>
      <c r="F53" s="397"/>
      <c r="G53" s="457"/>
      <c r="H53" s="397"/>
      <c r="I53" s="397"/>
    </row>
    <row r="54" spans="1:9" ht="12.75" customHeight="1" x14ac:dyDescent="0.2">
      <c r="A54" s="388" t="s">
        <v>102</v>
      </c>
      <c r="B54" s="538"/>
      <c r="C54" s="457">
        <f>SUM(C45:C52)</f>
        <v>0</v>
      </c>
      <c r="D54" s="457">
        <f>SUM(D45:D52)</f>
        <v>0</v>
      </c>
      <c r="E54" s="397"/>
      <c r="F54" s="397"/>
      <c r="G54" s="457">
        <f>SUM(G45:G52)</f>
        <v>0</v>
      </c>
      <c r="H54" s="397"/>
      <c r="I54" s="397"/>
    </row>
    <row r="55" spans="1:9" ht="12.75" customHeight="1" x14ac:dyDescent="0.2">
      <c r="A55" s="388"/>
      <c r="B55" s="538"/>
      <c r="C55" s="457"/>
      <c r="D55" s="457"/>
      <c r="E55" s="397"/>
      <c r="F55" s="457"/>
      <c r="G55" s="457"/>
      <c r="H55" s="397"/>
      <c r="I55" s="397"/>
    </row>
    <row r="56" spans="1:9" ht="12.75" customHeight="1" x14ac:dyDescent="0.2">
      <c r="A56" s="388" t="s">
        <v>103</v>
      </c>
      <c r="B56" s="538"/>
      <c r="C56" s="457"/>
      <c r="D56" s="457"/>
      <c r="E56" s="397"/>
      <c r="F56" s="397"/>
      <c r="G56" s="457"/>
      <c r="H56" s="397"/>
      <c r="I56" s="397"/>
    </row>
    <row r="57" spans="1:9" ht="12.75" customHeight="1" x14ac:dyDescent="0.2">
      <c r="A57" s="388"/>
      <c r="B57" s="538"/>
      <c r="C57" s="457"/>
      <c r="D57" s="457"/>
      <c r="E57" s="397"/>
      <c r="F57" s="397"/>
      <c r="G57" s="457"/>
      <c r="H57" s="397"/>
      <c r="I57" s="397"/>
    </row>
    <row r="58" spans="1:9" ht="12.75" customHeight="1" x14ac:dyDescent="0.2">
      <c r="A58" s="397" t="s">
        <v>759</v>
      </c>
      <c r="B58" s="538"/>
      <c r="C58" s="457">
        <f>+'alb SoCITE'!C29</f>
        <v>0</v>
      </c>
      <c r="D58" s="457">
        <f>+'alb SoCITE'!C18</f>
        <v>0</v>
      </c>
      <c r="E58" s="397"/>
      <c r="F58" s="397"/>
      <c r="G58" s="457">
        <f>+'alb SoCITE'!G29</f>
        <v>0</v>
      </c>
      <c r="H58" s="397"/>
      <c r="I58" s="397"/>
    </row>
    <row r="59" spans="1:9" x14ac:dyDescent="0.2">
      <c r="A59" s="384" t="s">
        <v>2366</v>
      </c>
      <c r="B59" s="538"/>
      <c r="C59" s="563"/>
      <c r="D59" s="563"/>
      <c r="E59" s="397"/>
      <c r="F59" s="397"/>
      <c r="G59" s="563"/>
      <c r="H59" s="397"/>
      <c r="I59" s="397"/>
    </row>
    <row r="60" spans="1:9" ht="12.75" customHeight="1" x14ac:dyDescent="0.2">
      <c r="A60" s="397" t="s">
        <v>281</v>
      </c>
      <c r="B60" s="538"/>
      <c r="C60" s="457" t="s">
        <v>281</v>
      </c>
      <c r="D60" s="457" t="s">
        <v>281</v>
      </c>
      <c r="E60" s="397"/>
      <c r="F60" s="500"/>
      <c r="G60" s="457" t="s">
        <v>281</v>
      </c>
      <c r="H60" s="397"/>
      <c r="I60" s="397"/>
    </row>
    <row r="61" spans="1:9" ht="12.75" customHeight="1" x14ac:dyDescent="0.2">
      <c r="A61" s="388" t="s">
        <v>107</v>
      </c>
      <c r="B61" s="538"/>
      <c r="C61" s="457">
        <f>SUM(C58:C59)</f>
        <v>0</v>
      </c>
      <c r="D61" s="457">
        <f>SUM(D58:D59)</f>
        <v>0</v>
      </c>
      <c r="E61" s="397"/>
      <c r="F61" s="397"/>
      <c r="G61" s="457">
        <f>SUM(G58:G59)</f>
        <v>0</v>
      </c>
      <c r="H61" s="397"/>
      <c r="I61" s="397"/>
    </row>
    <row r="62" spans="1:9" ht="12.75" customHeight="1" x14ac:dyDescent="0.2">
      <c r="A62" s="388"/>
      <c r="B62" s="538"/>
      <c r="C62" s="457" t="s">
        <v>281</v>
      </c>
      <c r="D62" s="457"/>
      <c r="E62" s="397"/>
      <c r="F62" s="397"/>
      <c r="G62" s="457" t="s">
        <v>281</v>
      </c>
      <c r="H62" s="397"/>
      <c r="I62" s="397"/>
    </row>
    <row r="63" spans="1:9" ht="30" customHeight="1" x14ac:dyDescent="0.2">
      <c r="A63" s="388" t="s">
        <v>1242</v>
      </c>
      <c r="B63" s="538"/>
      <c r="C63" s="457">
        <f>+C40+C54+C61</f>
        <v>0</v>
      </c>
      <c r="D63" s="457">
        <f>+D40+D54+D61</f>
        <v>0</v>
      </c>
      <c r="E63" s="500"/>
      <c r="F63" s="397"/>
      <c r="G63" s="457">
        <f>+G40+G54+G61</f>
        <v>0</v>
      </c>
      <c r="H63" s="397"/>
      <c r="I63" s="397"/>
    </row>
    <row r="64" spans="1:9" ht="12.75" customHeight="1" x14ac:dyDescent="0.2">
      <c r="A64" s="388" t="s">
        <v>760</v>
      </c>
      <c r="B64" s="537">
        <v>11</v>
      </c>
      <c r="C64" s="457">
        <f>D65</f>
        <v>0</v>
      </c>
      <c r="D64" s="457">
        <f>+'alb Note 11 - Cash'!C10</f>
        <v>0</v>
      </c>
      <c r="E64" s="397"/>
      <c r="F64" s="397"/>
      <c r="G64" s="457">
        <f>H65</f>
        <v>0</v>
      </c>
      <c r="H64" s="397"/>
      <c r="I64" s="397"/>
    </row>
    <row r="65" spans="1:9" ht="12.75" customHeight="1" x14ac:dyDescent="0.2">
      <c r="A65" s="388" t="s">
        <v>1241</v>
      </c>
      <c r="B65" s="537">
        <v>11</v>
      </c>
      <c r="C65" s="457">
        <f>C64+C63</f>
        <v>0</v>
      </c>
      <c r="D65" s="457">
        <f>D64+D63</f>
        <v>0</v>
      </c>
      <c r="E65" s="500" t="s">
        <v>281</v>
      </c>
      <c r="F65" s="500" t="s">
        <v>281</v>
      </c>
      <c r="G65" s="457">
        <f>G64+G63</f>
        <v>0</v>
      </c>
      <c r="H65" s="397"/>
      <c r="I65" s="397"/>
    </row>
    <row r="66" spans="1:9" ht="12.75" customHeight="1" x14ac:dyDescent="0.2">
      <c r="A66" s="388"/>
      <c r="B66" s="538"/>
      <c r="C66" s="500"/>
      <c r="D66" s="500"/>
      <c r="E66" s="500" t="s">
        <v>281</v>
      </c>
      <c r="F66" s="397"/>
      <c r="G66" s="500"/>
      <c r="H66" s="397"/>
      <c r="I66" s="397"/>
    </row>
    <row r="67" spans="1:9" ht="12.75" customHeight="1" x14ac:dyDescent="0.2">
      <c r="A67" s="397"/>
      <c r="B67" s="537"/>
      <c r="C67" s="500">
        <f>'alb Note 11 - Cash'!B22</f>
        <v>0</v>
      </c>
      <c r="D67" s="500">
        <f>'alb Note 11 - Cash'!C22</f>
        <v>0</v>
      </c>
      <c r="E67" s="397"/>
      <c r="F67" s="397"/>
      <c r="G67" s="500">
        <f>'alb Note 11 - Cash'!D22</f>
        <v>0</v>
      </c>
      <c r="H67" s="397"/>
      <c r="I67" s="397"/>
    </row>
    <row r="68" spans="1:9" ht="12.75" customHeight="1" x14ac:dyDescent="0.2">
      <c r="A68" s="397"/>
      <c r="B68" s="537"/>
      <c r="C68" s="547">
        <f>+C65-C67</f>
        <v>0</v>
      </c>
      <c r="D68" s="547">
        <f>+D65-D67</f>
        <v>0</v>
      </c>
      <c r="E68" s="397"/>
      <c r="F68" s="397"/>
      <c r="G68" s="547">
        <f>+G65-G67</f>
        <v>0</v>
      </c>
      <c r="H68" s="397"/>
      <c r="I68" s="397"/>
    </row>
    <row r="69" spans="1:9" ht="12.75" customHeight="1" x14ac:dyDescent="0.2">
      <c r="A69" s="397"/>
      <c r="B69" s="537"/>
      <c r="C69" s="500"/>
      <c r="D69" s="500"/>
      <c r="E69" s="397"/>
      <c r="F69" s="397"/>
      <c r="G69" s="500"/>
      <c r="H69" s="397"/>
      <c r="I69" s="397"/>
    </row>
    <row r="70" spans="1:9" ht="12.75" customHeight="1" x14ac:dyDescent="0.2">
      <c r="A70" s="397"/>
      <c r="B70" s="537"/>
      <c r="C70" s="483" t="str">
        <f>IF(ROUNDUP(C65,0)=ROUND('alb Note 11 - Cash'!B13,0),"OK","ERROR")</f>
        <v>OK</v>
      </c>
      <c r="D70" s="483" t="str">
        <f>IF(ROUND(D65,0)=ROUND('alb Note 11 - Cash'!C13,0),"OK","ERROR")</f>
        <v>OK</v>
      </c>
      <c r="E70" s="397"/>
      <c r="F70" s="397"/>
      <c r="H70" s="397"/>
      <c r="I70" s="397"/>
    </row>
  </sheetData>
  <sheetProtection algorithmName="SHA-512" hashValue="Sqkl3iiHRY7FnPXnMDldZ1j7JCWb0MA9j5WcwvUz1h+lRHETqcOu4LCO1QlFOoVDJGsdyD1LbMHyTC9nViwwag==" saltValue="3f177nSo3GBJCjzDtQR37A==" spinCount="100000" sheet="1" formatColumns="0" formatRows="0"/>
  <mergeCells count="2">
    <mergeCell ref="A3:C3"/>
    <mergeCell ref="A5:D10"/>
  </mergeCells>
  <conditionalFormatting sqref="C18">
    <cfRule type="expression" dxfId="250" priority="3">
      <formula>CELL("Protect",C18)=0</formula>
    </cfRule>
  </conditionalFormatting>
  <conditionalFormatting sqref="C35">
    <cfRule type="expression" dxfId="249" priority="1">
      <formula>CELL("Protect",C35)=0</formula>
    </cfRule>
  </conditionalFormatting>
  <conditionalFormatting sqref="C22:D24">
    <cfRule type="expression" dxfId="248" priority="5">
      <formula>CELL("Protect",C22)=0</formula>
    </cfRule>
  </conditionalFormatting>
  <conditionalFormatting sqref="C45:D52">
    <cfRule type="expression" dxfId="247" priority="13">
      <formula>CELL("Protect",C45)=0</formula>
    </cfRule>
  </conditionalFormatting>
  <conditionalFormatting sqref="C59:D59">
    <cfRule type="expression" dxfId="246" priority="12">
      <formula>CELL("Protect",C59)=0</formula>
    </cfRule>
  </conditionalFormatting>
  <conditionalFormatting sqref="C70:D70">
    <cfRule type="cellIs" dxfId="245" priority="20" stopIfTrue="1" operator="equal">
      <formula>"No"</formula>
    </cfRule>
  </conditionalFormatting>
  <conditionalFormatting sqref="D18:D19">
    <cfRule type="expression" dxfId="244" priority="2">
      <formula>CELL("Protect",D18)=0</formula>
    </cfRule>
  </conditionalFormatting>
  <conditionalFormatting sqref="D25">
    <cfRule type="expression" dxfId="243" priority="16">
      <formula>CELL("Protect",D25)=0</formula>
    </cfRule>
  </conditionalFormatting>
  <conditionalFormatting sqref="D27:D28">
    <cfRule type="expression" dxfId="242" priority="15">
      <formula>CELL("Protect",D27)=0</formula>
    </cfRule>
  </conditionalFormatting>
  <conditionalFormatting sqref="D31:D35">
    <cfRule type="expression" dxfId="241" priority="14">
      <formula>CELL("Protect",D31)=0</formula>
    </cfRule>
  </conditionalFormatting>
  <conditionalFormatting sqref="G24">
    <cfRule type="expression" dxfId="240" priority="10">
      <formula>CELL("Protect",G24)=0</formula>
    </cfRule>
  </conditionalFormatting>
  <conditionalFormatting sqref="G45:G52">
    <cfRule type="expression" dxfId="239" priority="9">
      <formula>CELL("Protect",G45)=0</formula>
    </cfRule>
  </conditionalFormatting>
  <conditionalFormatting sqref="G59">
    <cfRule type="expression" dxfId="238" priority="8">
      <formula>CELL("Protect",G59)=0</formula>
    </cfRule>
  </conditionalFormatting>
  <pageMargins left="0.74803149606299213" right="0.74803149606299213" top="0.59055118110236227" bottom="0.59055118110236227" header="0.51181102362204722" footer="0.51181102362204722"/>
  <pageSetup paperSize="9" scale="85" orientation="portrait"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0">
    <tabColor rgb="FFFFFF00"/>
    <pageSetUpPr fitToPage="1"/>
  </sheetPr>
  <dimension ref="A1:M67"/>
  <sheetViews>
    <sheetView zoomScaleNormal="100" workbookViewId="0">
      <pane xSplit="2" ySplit="11" topLeftCell="C12" activePane="bottomRight" state="frozen"/>
      <selection activeCell="F19" sqref="F19"/>
      <selection pane="topRight" activeCell="F19" sqref="F19"/>
      <selection pane="bottomLeft" activeCell="F19" sqref="F19"/>
      <selection pane="bottomRight" activeCell="C12" sqref="C12"/>
    </sheetView>
  </sheetViews>
  <sheetFormatPr defaultColWidth="9.140625" defaultRowHeight="12.75" customHeight="1" outlineLevelRow="1" outlineLevelCol="1" x14ac:dyDescent="0.2"/>
  <cols>
    <col min="1" max="1" width="55.5703125" style="540" customWidth="1"/>
    <col min="2" max="2" width="6.85546875" style="499" customWidth="1"/>
    <col min="3" max="3" width="11.85546875" style="499" customWidth="1"/>
    <col min="4" max="5" width="15" style="499" customWidth="1"/>
    <col min="6" max="6" width="13" style="499" customWidth="1"/>
    <col min="7" max="7" width="4.85546875" style="499" bestFit="1" customWidth="1"/>
    <col min="8" max="8" width="9.140625" style="499"/>
    <col min="9" max="9" width="9.140625" style="499" hidden="1" customWidth="1" outlineLevel="1"/>
    <col min="10" max="10" width="11.7109375" style="499" hidden="1" customWidth="1" outlineLevel="1"/>
    <col min="11" max="11" width="10.85546875" style="499" hidden="1" customWidth="1" outlineLevel="1"/>
    <col min="12" max="12" width="11.5703125" style="499" hidden="1" customWidth="1" outlineLevel="1"/>
    <col min="13" max="13" width="9.140625" style="499" collapsed="1"/>
    <col min="14" max="16384" width="9.140625" style="499"/>
  </cols>
  <sheetData>
    <row r="1" spans="1:12" ht="14.65" customHeight="1" x14ac:dyDescent="0.2">
      <c r="A1" s="416" t="str">
        <f>'alb Instructions'!$B$20</f>
        <v>enter HSC Body name here</v>
      </c>
      <c r="B1" s="544"/>
      <c r="C1" s="544"/>
      <c r="D1" s="544"/>
      <c r="E1" s="544"/>
      <c r="F1" s="544"/>
      <c r="G1" s="459"/>
    </row>
    <row r="2" spans="1:12" ht="12.75" customHeight="1" x14ac:dyDescent="0.2">
      <c r="A2" s="544"/>
      <c r="B2" s="459"/>
      <c r="C2" s="459"/>
      <c r="D2" s="459"/>
      <c r="E2" s="459"/>
      <c r="F2" s="459"/>
      <c r="G2" s="459"/>
    </row>
    <row r="3" spans="1:12" ht="15.75" x14ac:dyDescent="0.25">
      <c r="A3" s="610" t="str">
        <f>"Consolidated Statement of Changes in Taxpayers' Equity for the year ended"&amp;Update!B22</f>
        <v>Consolidated Statement of Changes in Taxpayers' Equity for the year ended 31 March 2026</v>
      </c>
      <c r="B3" s="459"/>
      <c r="C3" s="459"/>
      <c r="D3" s="459"/>
      <c r="E3" s="459"/>
      <c r="F3" s="559"/>
      <c r="G3" s="459"/>
    </row>
    <row r="4" spans="1:12" ht="12.75" customHeight="1" x14ac:dyDescent="0.2">
      <c r="A4" s="549"/>
      <c r="B4" s="459"/>
      <c r="C4" s="459"/>
      <c r="D4" s="459"/>
      <c r="E4" s="459"/>
      <c r="F4" s="459"/>
      <c r="G4" s="459"/>
    </row>
    <row r="5" spans="1:12" ht="12.75" hidden="1" customHeight="1" x14ac:dyDescent="0.2">
      <c r="A5" s="2116" t="s">
        <v>1240</v>
      </c>
      <c r="B5" s="2116"/>
      <c r="C5" s="2116"/>
      <c r="D5" s="2116"/>
      <c r="E5" s="2116"/>
      <c r="F5" s="2116"/>
      <c r="G5" s="459"/>
    </row>
    <row r="6" spans="1:12" ht="12.75" hidden="1" customHeight="1" x14ac:dyDescent="0.2">
      <c r="A6" s="2116"/>
      <c r="B6" s="2116"/>
      <c r="C6" s="2116"/>
      <c r="D6" s="2116"/>
      <c r="E6" s="2116"/>
      <c r="F6" s="2116"/>
      <c r="G6" s="459"/>
    </row>
    <row r="7" spans="1:12" ht="12.75" hidden="1" customHeight="1" x14ac:dyDescent="0.2">
      <c r="A7" s="2116"/>
      <c r="B7" s="2116"/>
      <c r="C7" s="2116"/>
      <c r="D7" s="2116"/>
      <c r="E7" s="2116"/>
      <c r="F7" s="2116"/>
      <c r="G7" s="459"/>
    </row>
    <row r="8" spans="1:12" ht="12.75" hidden="1" customHeight="1" x14ac:dyDescent="0.2">
      <c r="A8" s="2116"/>
      <c r="B8" s="2116"/>
      <c r="C8" s="2116"/>
      <c r="D8" s="2116"/>
      <c r="E8" s="2116"/>
      <c r="F8" s="2116"/>
      <c r="G8" s="459"/>
    </row>
    <row r="9" spans="1:12" ht="12.75" hidden="1" customHeight="1" x14ac:dyDescent="0.2">
      <c r="A9" s="549"/>
      <c r="B9" s="459"/>
      <c r="C9" s="459"/>
      <c r="D9" s="459"/>
      <c r="E9" s="459"/>
      <c r="F9" s="459"/>
      <c r="G9" s="459"/>
    </row>
    <row r="10" spans="1:12" ht="12" customHeight="1" x14ac:dyDescent="0.2">
      <c r="A10" s="550"/>
      <c r="B10" s="554"/>
      <c r="C10" s="554"/>
      <c r="D10" s="554"/>
      <c r="E10" s="554"/>
      <c r="F10" s="459"/>
      <c r="G10" s="459"/>
      <c r="I10" s="953" t="s">
        <v>64</v>
      </c>
      <c r="J10" s="953" t="s">
        <v>64</v>
      </c>
      <c r="K10" s="953" t="s">
        <v>64</v>
      </c>
      <c r="L10" s="953" t="s">
        <v>64</v>
      </c>
    </row>
    <row r="11" spans="1:12" ht="25.5" x14ac:dyDescent="0.2">
      <c r="A11" s="549"/>
      <c r="B11" s="461" t="s">
        <v>1211</v>
      </c>
      <c r="C11" s="558" t="s">
        <v>126</v>
      </c>
      <c r="D11" s="558" t="s">
        <v>127</v>
      </c>
      <c r="E11" s="558" t="s">
        <v>1050</v>
      </c>
      <c r="F11" s="558" t="s">
        <v>1078</v>
      </c>
      <c r="G11" s="459"/>
      <c r="I11" s="558" t="s">
        <v>126</v>
      </c>
      <c r="J11" s="558" t="s">
        <v>127</v>
      </c>
      <c r="K11" s="558" t="s">
        <v>1050</v>
      </c>
      <c r="L11" s="558" t="s">
        <v>1078</v>
      </c>
    </row>
    <row r="12" spans="1:12" s="560" customFormat="1" ht="12.75" customHeight="1" x14ac:dyDescent="0.2">
      <c r="A12" s="550"/>
      <c r="B12" s="557"/>
      <c r="C12" s="556" t="s">
        <v>493</v>
      </c>
      <c r="D12" s="556" t="s">
        <v>493</v>
      </c>
      <c r="E12" s="556" t="s">
        <v>493</v>
      </c>
      <c r="F12" s="556" t="s">
        <v>493</v>
      </c>
      <c r="G12" s="510"/>
      <c r="I12" s="556" t="s">
        <v>493</v>
      </c>
      <c r="J12" s="556" t="s">
        <v>493</v>
      </c>
      <c r="K12" s="556" t="s">
        <v>493</v>
      </c>
      <c r="L12" s="556" t="s">
        <v>493</v>
      </c>
    </row>
    <row r="13" spans="1:12" x14ac:dyDescent="0.2">
      <c r="A13" s="550" t="str">
        <f>"Balance at"&amp;Update!$B$17</f>
        <v>Balance at 31 March 2024</v>
      </c>
      <c r="B13" s="541"/>
      <c r="C13" s="460"/>
      <c r="D13" s="460"/>
      <c r="E13" s="460"/>
      <c r="F13" s="459">
        <f>SUM(C13:E13)</f>
        <v>0</v>
      </c>
      <c r="G13" s="459"/>
      <c r="I13" s="460"/>
      <c r="J13" s="460"/>
      <c r="K13" s="460"/>
      <c r="L13" s="459">
        <f>SUM(I13:K13)</f>
        <v>0</v>
      </c>
    </row>
    <row r="14" spans="1:12" x14ac:dyDescent="0.2">
      <c r="A14" s="542" t="s">
        <v>111</v>
      </c>
      <c r="B14" s="541"/>
      <c r="C14" s="460"/>
      <c r="D14" s="460"/>
      <c r="E14" s="460"/>
      <c r="F14" s="459">
        <f>SUM(C14:E14)</f>
        <v>0</v>
      </c>
      <c r="G14" s="547"/>
      <c r="I14" s="460"/>
      <c r="J14" s="460"/>
      <c r="K14" s="460"/>
      <c r="L14" s="459">
        <f>SUM(I14:K14)</f>
        <v>0</v>
      </c>
    </row>
    <row r="15" spans="1:12" s="560" customFormat="1" x14ac:dyDescent="0.2">
      <c r="A15" s="550" t="str">
        <f>"Restated Balances as at"&amp;Update!$B$18</f>
        <v>Restated Balances as at 1 April 2024</v>
      </c>
      <c r="B15" s="554"/>
      <c r="C15" s="553">
        <f>SUM(C13:C14)</f>
        <v>0</v>
      </c>
      <c r="D15" s="553">
        <f>SUM(D13:D14)</f>
        <v>0</v>
      </c>
      <c r="E15" s="553">
        <f>SUM(E13:E14)</f>
        <v>0</v>
      </c>
      <c r="F15" s="553">
        <f>SUM(F13:F14)</f>
        <v>0</v>
      </c>
      <c r="G15" s="510"/>
      <c r="I15" s="553">
        <f>SUM(I13:I14)</f>
        <v>0</v>
      </c>
      <c r="J15" s="553">
        <f>SUM(J13:J14)</f>
        <v>0</v>
      </c>
      <c r="K15" s="553">
        <f>SUM(K13:K14)</f>
        <v>0</v>
      </c>
      <c r="L15" s="553">
        <f>SUM(L13:L14)</f>
        <v>0</v>
      </c>
    </row>
    <row r="16" spans="1:12" x14ac:dyDescent="0.2">
      <c r="A16" s="542"/>
      <c r="B16" s="541"/>
      <c r="C16" s="541"/>
      <c r="D16" s="541"/>
      <c r="E16" s="541"/>
      <c r="F16" s="459"/>
      <c r="G16" s="459"/>
      <c r="I16" s="541"/>
      <c r="J16" s="541"/>
      <c r="K16" s="541"/>
      <c r="L16" s="459"/>
    </row>
    <row r="17" spans="1:12" ht="12.75" customHeight="1" x14ac:dyDescent="0.2">
      <c r="A17" s="550" t="str">
        <f>"Changes in taxpayers’ equity for "&amp;Update!$B$15</f>
        <v>Changes in taxpayers’ equity for 2024-25</v>
      </c>
      <c r="B17" s="541"/>
      <c r="C17" s="541"/>
      <c r="D17" s="541"/>
      <c r="E17" s="541"/>
      <c r="F17" s="459"/>
      <c r="G17" s="459"/>
      <c r="I17" s="541"/>
      <c r="J17" s="541"/>
      <c r="K17" s="541"/>
      <c r="L17" s="459"/>
    </row>
    <row r="18" spans="1:12" ht="12.75" customHeight="1" x14ac:dyDescent="0.2">
      <c r="A18" s="549" t="s">
        <v>761</v>
      </c>
      <c r="B18" s="459"/>
      <c r="C18" s="460"/>
      <c r="D18" s="548"/>
      <c r="E18" s="548"/>
      <c r="F18" s="459">
        <f t="shared" ref="F18:F25" si="0">SUM(C18:E18)</f>
        <v>0</v>
      </c>
      <c r="G18" s="459"/>
      <c r="I18" s="460"/>
      <c r="J18" s="548"/>
      <c r="K18" s="548"/>
      <c r="L18" s="459">
        <f t="shared" ref="L18:L25" si="1">SUM(I18:K18)</f>
        <v>0</v>
      </c>
    </row>
    <row r="19" spans="1:12" x14ac:dyDescent="0.2">
      <c r="A19" s="542" t="s">
        <v>339</v>
      </c>
      <c r="B19" s="459"/>
      <c r="C19" s="460"/>
      <c r="D19" s="460"/>
      <c r="E19" s="460"/>
      <c r="F19" s="459">
        <f t="shared" si="0"/>
        <v>0</v>
      </c>
      <c r="G19" s="547" t="str">
        <f>IF(C19=-D19,"OK","ERROR")</f>
        <v>OK</v>
      </c>
      <c r="I19" s="460"/>
      <c r="J19" s="460"/>
      <c r="K19" s="460"/>
      <c r="L19" s="459">
        <f t="shared" si="1"/>
        <v>0</v>
      </c>
    </row>
    <row r="20" spans="1:12" x14ac:dyDescent="0.2">
      <c r="A20" s="561" t="s">
        <v>903</v>
      </c>
      <c r="B20" s="459"/>
      <c r="C20" s="460"/>
      <c r="D20" s="548"/>
      <c r="E20" s="548"/>
      <c r="F20" s="459">
        <f t="shared" si="0"/>
        <v>0</v>
      </c>
      <c r="G20" s="547"/>
      <c r="I20" s="460"/>
      <c r="J20" s="548"/>
      <c r="K20" s="548"/>
      <c r="L20" s="459">
        <f t="shared" si="1"/>
        <v>0</v>
      </c>
    </row>
    <row r="21" spans="1:12" ht="12.75" customHeight="1" x14ac:dyDescent="0.2">
      <c r="A21" s="542" t="s">
        <v>762</v>
      </c>
      <c r="B21" s="541"/>
      <c r="C21" s="541">
        <f>'alb SoCNE'!D66-SUM(D21:E21)</f>
        <v>0</v>
      </c>
      <c r="D21" s="541">
        <f>'alb SoCNE'!D54+'alb SoCNE'!D56+'alb SoCNE'!D62</f>
        <v>0</v>
      </c>
      <c r="E21" s="541">
        <f>ROUND(-'alb SoCNE'!D68+'alb SoCNE'!D58,0)</f>
        <v>0</v>
      </c>
      <c r="F21" s="459">
        <f t="shared" si="0"/>
        <v>0</v>
      </c>
      <c r="G21" s="459"/>
      <c r="I21" s="460"/>
      <c r="J21" s="460"/>
      <c r="K21" s="548"/>
      <c r="L21" s="459">
        <f t="shared" si="1"/>
        <v>0</v>
      </c>
    </row>
    <row r="22" spans="1:12" ht="12.75" customHeight="1" x14ac:dyDescent="0.2">
      <c r="A22" s="542" t="s">
        <v>124</v>
      </c>
      <c r="B22" s="541"/>
      <c r="C22" s="460"/>
      <c r="D22" s="460"/>
      <c r="E22" s="460"/>
      <c r="F22" s="459">
        <f t="shared" si="0"/>
        <v>0</v>
      </c>
      <c r="G22" s="459"/>
      <c r="I22" s="460"/>
      <c r="J22" s="460"/>
      <c r="K22" s="460"/>
      <c r="L22" s="459">
        <f t="shared" si="1"/>
        <v>0</v>
      </c>
    </row>
    <row r="23" spans="1:12" x14ac:dyDescent="0.2">
      <c r="A23" s="542" t="s">
        <v>2076</v>
      </c>
      <c r="B23" s="541"/>
      <c r="C23" s="541">
        <f>'alb Note 3 &amp; 3.1 - Expenditure'!D33</f>
        <v>0</v>
      </c>
      <c r="D23" s="548"/>
      <c r="E23" s="548"/>
      <c r="F23" s="459">
        <f t="shared" si="0"/>
        <v>0</v>
      </c>
      <c r="G23" s="459"/>
      <c r="I23" s="460"/>
      <c r="J23" s="548"/>
      <c r="K23" s="548"/>
      <c r="L23" s="459"/>
    </row>
    <row r="24" spans="1:12" x14ac:dyDescent="0.2">
      <c r="A24" s="542" t="s">
        <v>763</v>
      </c>
      <c r="B24" s="541">
        <v>3</v>
      </c>
      <c r="C24" s="541">
        <f>'alb Note 3 &amp; 3.1 - Expenditure'!D30</f>
        <v>0</v>
      </c>
      <c r="D24" s="548"/>
      <c r="E24" s="548"/>
      <c r="F24" s="459">
        <f t="shared" si="0"/>
        <v>0</v>
      </c>
      <c r="G24" s="459"/>
      <c r="I24" s="460"/>
      <c r="J24" s="548"/>
      <c r="K24" s="548"/>
      <c r="L24" s="459">
        <f t="shared" si="1"/>
        <v>0</v>
      </c>
    </row>
    <row r="25" spans="1:12" x14ac:dyDescent="0.2">
      <c r="A25" s="542"/>
      <c r="B25" s="541"/>
      <c r="C25" s="541"/>
      <c r="D25" s="541"/>
      <c r="E25" s="541"/>
      <c r="F25" s="459">
        <f t="shared" si="0"/>
        <v>0</v>
      </c>
      <c r="G25" s="459"/>
      <c r="I25" s="541"/>
      <c r="J25" s="541"/>
      <c r="K25" s="541"/>
      <c r="L25" s="459">
        <f t="shared" si="1"/>
        <v>0</v>
      </c>
    </row>
    <row r="26" spans="1:12" s="560" customFormat="1" x14ac:dyDescent="0.2">
      <c r="A26" s="544" t="str">
        <f>"Balances at "&amp;Update!$B$24</f>
        <v>Balances at  31 March 2025</v>
      </c>
      <c r="B26" s="510"/>
      <c r="C26" s="551">
        <f>SUM(C18:C25)+C15</f>
        <v>0</v>
      </c>
      <c r="D26" s="551">
        <f>SUM(D18:D25)+D15</f>
        <v>0</v>
      </c>
      <c r="E26" s="551">
        <f>SUM(E18:E25)+E15</f>
        <v>0</v>
      </c>
      <c r="F26" s="551">
        <f>SUM(F18:F25)+F13</f>
        <v>0</v>
      </c>
      <c r="G26" s="510"/>
      <c r="I26" s="551">
        <f>SUM(I18:I25)+I15</f>
        <v>0</v>
      </c>
      <c r="J26" s="551">
        <f>SUM(J18:J25)+J15</f>
        <v>0</v>
      </c>
      <c r="K26" s="551">
        <f>SUM(K18:K25)+K15</f>
        <v>0</v>
      </c>
      <c r="L26" s="551">
        <f>SUM(L18:L25)+L13</f>
        <v>0</v>
      </c>
    </row>
    <row r="27" spans="1:12" x14ac:dyDescent="0.2">
      <c r="A27" s="542"/>
      <c r="B27" s="459"/>
      <c r="C27" s="459"/>
      <c r="D27" s="459" t="s">
        <v>281</v>
      </c>
      <c r="E27" s="459"/>
      <c r="F27" s="541"/>
      <c r="G27" s="459"/>
      <c r="I27" s="459"/>
      <c r="J27" s="459" t="s">
        <v>281</v>
      </c>
      <c r="K27" s="459"/>
      <c r="L27" s="541"/>
    </row>
    <row r="28" spans="1:12" ht="12.75" customHeight="1" x14ac:dyDescent="0.2">
      <c r="A28" s="550" t="str">
        <f>"Changes in taxpayers’ equity for "&amp;Update!$B$13</f>
        <v>Changes in taxpayers’ equity for 2025-26</v>
      </c>
      <c r="B28" s="541"/>
      <c r="C28" s="541"/>
      <c r="D28" s="541"/>
      <c r="E28" s="541"/>
      <c r="F28" s="459"/>
      <c r="G28" s="459"/>
      <c r="I28" s="541"/>
      <c r="J28" s="541"/>
      <c r="K28" s="541"/>
      <c r="L28" s="459"/>
    </row>
    <row r="29" spans="1:12" ht="12.75" customHeight="1" x14ac:dyDescent="0.2">
      <c r="A29" s="549" t="s">
        <v>854</v>
      </c>
      <c r="B29" s="459"/>
      <c r="C29" s="460"/>
      <c r="D29" s="548"/>
      <c r="E29" s="548"/>
      <c r="F29" s="459">
        <f t="shared" ref="F29:F35" si="2">SUM(C29:E29)</f>
        <v>0</v>
      </c>
      <c r="G29" s="459"/>
      <c r="I29" s="460"/>
      <c r="J29" s="548"/>
      <c r="K29" s="548"/>
      <c r="L29" s="459">
        <f t="shared" ref="L29:L35" si="3">SUM(I29:K29)</f>
        <v>0</v>
      </c>
    </row>
    <row r="30" spans="1:12" ht="12.75" customHeight="1" x14ac:dyDescent="0.2">
      <c r="A30" s="542" t="s">
        <v>858</v>
      </c>
      <c r="B30" s="541"/>
      <c r="C30" s="460"/>
      <c r="D30" s="460"/>
      <c r="E30" s="460"/>
      <c r="F30" s="459">
        <f t="shared" si="2"/>
        <v>0</v>
      </c>
      <c r="G30" s="547" t="str">
        <f>IF(C30=-D30,"OK","ERROR")</f>
        <v>OK</v>
      </c>
      <c r="I30" s="460"/>
      <c r="J30" s="460"/>
      <c r="K30" s="460"/>
      <c r="L30" s="459">
        <f t="shared" si="3"/>
        <v>0</v>
      </c>
    </row>
    <row r="31" spans="1:12" ht="12.75" customHeight="1" x14ac:dyDescent="0.2">
      <c r="A31" s="561" t="s">
        <v>904</v>
      </c>
      <c r="B31" s="541"/>
      <c r="C31" s="460"/>
      <c r="D31" s="548"/>
      <c r="E31" s="548"/>
      <c r="F31" s="459">
        <f t="shared" si="2"/>
        <v>0</v>
      </c>
      <c r="G31" s="547"/>
      <c r="I31" s="460"/>
      <c r="J31" s="548"/>
      <c r="K31" s="548"/>
      <c r="L31" s="459">
        <f t="shared" si="3"/>
        <v>0</v>
      </c>
    </row>
    <row r="32" spans="1:12" ht="12.75" customHeight="1" x14ac:dyDescent="0.2">
      <c r="A32" s="542" t="s">
        <v>855</v>
      </c>
      <c r="B32" s="541"/>
      <c r="C32" s="541">
        <f>+'alb SoCNE'!C66-D32-E32</f>
        <v>0</v>
      </c>
      <c r="D32" s="541">
        <f>'alb SoCNE'!C54+'alb SoCNE'!C56+'alb SoCNE'!C62</f>
        <v>0</v>
      </c>
      <c r="E32" s="541">
        <f>ROUND(-'alb SoCNE'!C68+'alb SoCNE'!C58,0)</f>
        <v>0</v>
      </c>
      <c r="F32" s="459">
        <f t="shared" si="2"/>
        <v>0</v>
      </c>
      <c r="G32" s="459"/>
      <c r="I32" s="541">
        <f>+'alb SoCNE'!F66-J32-K32</f>
        <v>0</v>
      </c>
      <c r="J32" s="541">
        <f>'alb SoCNE'!F54+'alb SoCNE'!F56</f>
        <v>0</v>
      </c>
      <c r="K32" s="548"/>
      <c r="L32" s="459">
        <f t="shared" si="3"/>
        <v>0</v>
      </c>
    </row>
    <row r="33" spans="1:12" ht="12.75" customHeight="1" x14ac:dyDescent="0.2">
      <c r="A33" s="542" t="s">
        <v>857</v>
      </c>
      <c r="B33" s="541"/>
      <c r="C33" s="460"/>
      <c r="D33" s="460"/>
      <c r="E33" s="460"/>
      <c r="F33" s="459">
        <f t="shared" si="2"/>
        <v>0</v>
      </c>
      <c r="G33" s="459"/>
      <c r="I33" s="460"/>
      <c r="J33" s="460"/>
      <c r="K33" s="460"/>
      <c r="L33" s="459">
        <f t="shared" si="3"/>
        <v>0</v>
      </c>
    </row>
    <row r="34" spans="1:12" x14ac:dyDescent="0.2">
      <c r="A34" s="542" t="s">
        <v>2075</v>
      </c>
      <c r="B34" s="541"/>
      <c r="C34" s="541">
        <f>'alb Note 3 &amp; 3.1 - Expenditure'!C33</f>
        <v>0</v>
      </c>
      <c r="D34" s="548"/>
      <c r="E34" s="548"/>
      <c r="F34" s="459">
        <f t="shared" si="2"/>
        <v>0</v>
      </c>
      <c r="G34" s="459"/>
      <c r="I34" s="460"/>
      <c r="J34" s="548"/>
      <c r="K34" s="548"/>
      <c r="L34" s="459"/>
    </row>
    <row r="35" spans="1:12" ht="12.75" customHeight="1" x14ac:dyDescent="0.2">
      <c r="A35" s="542" t="s">
        <v>856</v>
      </c>
      <c r="B35" s="541">
        <v>3</v>
      </c>
      <c r="C35" s="541">
        <f>'alb Note 3 &amp; 3.1 - Expenditure'!C30</f>
        <v>0</v>
      </c>
      <c r="D35" s="548"/>
      <c r="E35" s="548"/>
      <c r="F35" s="459">
        <f t="shared" si="2"/>
        <v>0</v>
      </c>
      <c r="G35" s="459"/>
      <c r="I35" s="954"/>
      <c r="J35" s="548"/>
      <c r="K35" s="548"/>
      <c r="L35" s="459">
        <f t="shared" si="3"/>
        <v>0</v>
      </c>
    </row>
    <row r="36" spans="1:12" s="560" customFormat="1" ht="12.75" customHeight="1" x14ac:dyDescent="0.2">
      <c r="A36" s="544" t="str">
        <f>"Balances at "&amp;Update!$B$22</f>
        <v>Balances at  31 March 2026</v>
      </c>
      <c r="B36" s="510"/>
      <c r="C36" s="543">
        <f>SUM(C26:C35)</f>
        <v>0</v>
      </c>
      <c r="D36" s="543">
        <f>SUM(D26:D35)</f>
        <v>0</v>
      </c>
      <c r="E36" s="543">
        <f>SUM(E26:E35)</f>
        <v>0</v>
      </c>
      <c r="F36" s="543">
        <f>SUM(F26:F35)</f>
        <v>0</v>
      </c>
      <c r="G36" s="510"/>
      <c r="I36" s="543">
        <f>SUM(I26:I35)</f>
        <v>0</v>
      </c>
      <c r="J36" s="543">
        <f>SUM(J26:J35)</f>
        <v>0</v>
      </c>
      <c r="K36" s="543">
        <f>SUM(K26:K35)</f>
        <v>0</v>
      </c>
      <c r="L36" s="543">
        <f>SUM(L26:L35)</f>
        <v>0</v>
      </c>
    </row>
    <row r="37" spans="1:12" ht="12.75" customHeight="1" x14ac:dyDescent="0.2">
      <c r="A37" s="542"/>
      <c r="B37" s="541"/>
      <c r="C37" s="541"/>
      <c r="D37" s="541"/>
      <c r="E37" s="541"/>
      <c r="F37" s="459"/>
      <c r="G37" s="459"/>
    </row>
    <row r="38" spans="1:12" ht="12.75" customHeight="1" x14ac:dyDescent="0.2">
      <c r="A38" s="542"/>
      <c r="B38" s="541"/>
      <c r="C38" s="541"/>
      <c r="D38" s="541"/>
      <c r="E38" s="541"/>
      <c r="F38" s="459"/>
      <c r="G38" s="459"/>
    </row>
    <row r="39" spans="1:12" ht="12.75" customHeight="1" x14ac:dyDescent="0.2">
      <c r="A39" s="460" t="s">
        <v>1239</v>
      </c>
      <c r="B39" s="541"/>
      <c r="C39" s="541"/>
      <c r="D39" s="541"/>
      <c r="E39" s="541"/>
      <c r="F39" s="459"/>
      <c r="G39" s="459"/>
    </row>
    <row r="40" spans="1:12" x14ac:dyDescent="0.2">
      <c r="A40" s="542"/>
      <c r="B40" s="541"/>
      <c r="C40" s="541" t="s">
        <v>281</v>
      </c>
      <c r="D40" s="541"/>
      <c r="E40" s="541"/>
      <c r="F40" s="459"/>
      <c r="G40" s="459"/>
    </row>
    <row r="41" spans="1:12" hidden="1" outlineLevel="1" x14ac:dyDescent="0.2">
      <c r="A41" s="544" t="s">
        <v>1238</v>
      </c>
      <c r="B41" s="459"/>
      <c r="C41" s="459"/>
      <c r="D41" s="459"/>
      <c r="E41" s="459"/>
      <c r="F41" s="559"/>
      <c r="G41" s="459"/>
    </row>
    <row r="42" spans="1:12" hidden="1" outlineLevel="1" x14ac:dyDescent="0.2">
      <c r="A42" s="549"/>
      <c r="B42" s="459"/>
      <c r="C42" s="459"/>
      <c r="D42" s="459"/>
      <c r="E42" s="459"/>
      <c r="F42" s="459"/>
      <c r="G42" s="459"/>
    </row>
    <row r="43" spans="1:12" hidden="1" outlineLevel="1" x14ac:dyDescent="0.2">
      <c r="A43" s="544" t="s">
        <v>1237</v>
      </c>
      <c r="B43" s="459"/>
      <c r="C43" s="459"/>
      <c r="D43" s="459"/>
      <c r="E43" s="459"/>
      <c r="F43" s="459"/>
      <c r="G43" s="459"/>
    </row>
    <row r="44" spans="1:12" hidden="1" outlineLevel="1" x14ac:dyDescent="0.2">
      <c r="A44" s="550"/>
      <c r="B44" s="554"/>
      <c r="C44" s="554"/>
      <c r="D44" s="554"/>
      <c r="E44" s="554"/>
      <c r="F44" s="459"/>
      <c r="G44" s="459"/>
    </row>
    <row r="45" spans="1:12" ht="25.5" hidden="1" outlineLevel="1" x14ac:dyDescent="0.2">
      <c r="A45" s="549"/>
      <c r="B45" s="461" t="s">
        <v>1211</v>
      </c>
      <c r="C45" s="558" t="s">
        <v>1236</v>
      </c>
      <c r="D45" s="558" t="s">
        <v>127</v>
      </c>
      <c r="E45" s="558" t="s">
        <v>1050</v>
      </c>
      <c r="F45" s="558" t="s">
        <v>146</v>
      </c>
      <c r="G45" s="459"/>
    </row>
    <row r="46" spans="1:12" hidden="1" outlineLevel="1" x14ac:dyDescent="0.2">
      <c r="A46" s="550"/>
      <c r="B46" s="557"/>
      <c r="C46" s="556" t="s">
        <v>493</v>
      </c>
      <c r="D46" s="556" t="s">
        <v>493</v>
      </c>
      <c r="E46" s="556" t="s">
        <v>493</v>
      </c>
      <c r="F46" s="556" t="s">
        <v>493</v>
      </c>
      <c r="G46" s="510"/>
    </row>
    <row r="47" spans="1:12" hidden="1" outlineLevel="1" x14ac:dyDescent="0.2">
      <c r="A47" s="550" t="str">
        <f>"z"&amp;A13</f>
        <v>zBalance at 31 March 2024</v>
      </c>
      <c r="B47" s="541"/>
      <c r="C47" s="555"/>
      <c r="D47" s="555"/>
      <c r="E47" s="555"/>
      <c r="F47" s="459">
        <f>SUM(C47:E47)</f>
        <v>0</v>
      </c>
      <c r="G47" s="459"/>
    </row>
    <row r="48" spans="1:12" hidden="1" outlineLevel="1" x14ac:dyDescent="0.2">
      <c r="A48" s="542" t="s">
        <v>1235</v>
      </c>
      <c r="B48" s="541"/>
      <c r="C48" s="555"/>
      <c r="D48" s="555"/>
      <c r="E48" s="555"/>
      <c r="F48" s="459">
        <f>SUM(C48:E48)</f>
        <v>0</v>
      </c>
      <c r="G48" s="547"/>
    </row>
    <row r="49" spans="1:7" hidden="1" outlineLevel="1" x14ac:dyDescent="0.2">
      <c r="A49" s="550" t="str">
        <f>+A15</f>
        <v>Restated Balances as at 1 April 2024</v>
      </c>
      <c r="B49" s="554"/>
      <c r="C49" s="553">
        <f>SUM(C47:C48)</f>
        <v>0</v>
      </c>
      <c r="D49" s="553">
        <f>SUM(D47:D48)</f>
        <v>0</v>
      </c>
      <c r="E49" s="553">
        <f>SUM(E47:E48)</f>
        <v>0</v>
      </c>
      <c r="F49" s="553">
        <f>SUM(F47:F48)</f>
        <v>0</v>
      </c>
      <c r="G49" s="510"/>
    </row>
    <row r="50" spans="1:7" hidden="1" outlineLevel="1" x14ac:dyDescent="0.2">
      <c r="A50" s="542"/>
      <c r="B50" s="541"/>
      <c r="C50" s="541"/>
      <c r="D50" s="541"/>
      <c r="E50" s="541"/>
      <c r="F50" s="459"/>
      <c r="G50" s="459"/>
    </row>
    <row r="51" spans="1:7" hidden="1" outlineLevel="1" x14ac:dyDescent="0.2">
      <c r="A51" s="550" t="str">
        <f>+A17</f>
        <v>Changes in taxpayers’ equity for 2024-25</v>
      </c>
      <c r="B51" s="541"/>
      <c r="C51" s="541"/>
      <c r="D51" s="541"/>
      <c r="E51" s="541"/>
      <c r="F51" s="459"/>
      <c r="G51" s="459"/>
    </row>
    <row r="52" spans="1:7" hidden="1" outlineLevel="1" x14ac:dyDescent="0.2">
      <c r="A52" s="549" t="s">
        <v>1234</v>
      </c>
      <c r="B52" s="459"/>
      <c r="C52" s="514"/>
      <c r="D52" s="548"/>
      <c r="E52" s="548"/>
      <c r="F52" s="459">
        <f t="shared" ref="F52:F57" si="4">SUM(C52:E52)</f>
        <v>0</v>
      </c>
      <c r="G52" s="459"/>
    </row>
    <row r="53" spans="1:7" hidden="1" outlineLevel="1" x14ac:dyDescent="0.2">
      <c r="A53" s="542" t="s">
        <v>1233</v>
      </c>
      <c r="B53" s="459"/>
      <c r="C53" s="514"/>
      <c r="D53" s="514"/>
      <c r="E53" s="514"/>
      <c r="F53" s="459">
        <f t="shared" si="4"/>
        <v>0</v>
      </c>
      <c r="G53" s="547" t="str">
        <f>IF(C53=-D53,"OK","ERROR")</f>
        <v>OK</v>
      </c>
    </row>
    <row r="54" spans="1:7" hidden="1" outlineLevel="1" x14ac:dyDescent="0.2">
      <c r="A54" s="542" t="s">
        <v>1232</v>
      </c>
      <c r="B54" s="541"/>
      <c r="C54" s="541"/>
      <c r="D54" s="541"/>
      <c r="E54" s="548"/>
      <c r="F54" s="459">
        <f t="shared" si="4"/>
        <v>0</v>
      </c>
      <c r="G54" s="459"/>
    </row>
    <row r="55" spans="1:7" hidden="1" outlineLevel="1" x14ac:dyDescent="0.2">
      <c r="A55" s="542" t="s">
        <v>1231</v>
      </c>
      <c r="B55" s="541"/>
      <c r="C55" s="514"/>
      <c r="D55" s="514"/>
      <c r="E55" s="514"/>
      <c r="F55" s="459">
        <f t="shared" si="4"/>
        <v>0</v>
      </c>
      <c r="G55" s="459"/>
    </row>
    <row r="56" spans="1:7" hidden="1" outlineLevel="1" x14ac:dyDescent="0.2">
      <c r="A56" s="542" t="s">
        <v>1230</v>
      </c>
      <c r="B56" s="541">
        <v>4</v>
      </c>
      <c r="C56" s="541"/>
      <c r="D56" s="545">
        <v>0</v>
      </c>
      <c r="E56" s="545"/>
      <c r="F56" s="459">
        <f t="shared" si="4"/>
        <v>0</v>
      </c>
      <c r="G56" s="459"/>
    </row>
    <row r="57" spans="1:7" hidden="1" outlineLevel="1" x14ac:dyDescent="0.2">
      <c r="A57" s="542" t="s">
        <v>1229</v>
      </c>
      <c r="B57" s="541"/>
      <c r="C57" s="552"/>
      <c r="D57" s="545"/>
      <c r="E57" s="545"/>
      <c r="F57" s="459">
        <f t="shared" si="4"/>
        <v>0</v>
      </c>
      <c r="G57" s="459"/>
    </row>
    <row r="58" spans="1:7" hidden="1" outlineLevel="1" x14ac:dyDescent="0.2">
      <c r="A58" s="544" t="str">
        <f>A26</f>
        <v>Balances at  31 March 2025</v>
      </c>
      <c r="B58" s="510"/>
      <c r="C58" s="551">
        <f>SUM(C52:C57)+C47</f>
        <v>0</v>
      </c>
      <c r="D58" s="551">
        <f>SUM(D52:D57)+D47</f>
        <v>0</v>
      </c>
      <c r="E58" s="551">
        <f>SUM(E52:E57)+E47</f>
        <v>0</v>
      </c>
      <c r="F58" s="551">
        <f>SUM(F52:F57)+F47</f>
        <v>0</v>
      </c>
      <c r="G58" s="510"/>
    </row>
    <row r="59" spans="1:7" hidden="1" outlineLevel="1" x14ac:dyDescent="0.2">
      <c r="A59" s="542"/>
      <c r="B59" s="459"/>
      <c r="C59" s="459"/>
      <c r="D59" s="459" t="s">
        <v>281</v>
      </c>
      <c r="E59" s="459"/>
      <c r="F59" s="541"/>
      <c r="G59" s="459"/>
    </row>
    <row r="60" spans="1:7" hidden="1" outlineLevel="1" x14ac:dyDescent="0.2">
      <c r="A60" s="550" t="str">
        <f>+A28</f>
        <v>Changes in taxpayers’ equity for 2025-26</v>
      </c>
      <c r="B60" s="541"/>
      <c r="C60" s="541"/>
      <c r="D60" s="541"/>
      <c r="E60" s="541"/>
      <c r="F60" s="459"/>
      <c r="G60" s="459"/>
    </row>
    <row r="61" spans="1:7" hidden="1" outlineLevel="1" x14ac:dyDescent="0.2">
      <c r="A61" s="549" t="s">
        <v>1228</v>
      </c>
      <c r="B61" s="459"/>
      <c r="C61" s="514"/>
      <c r="D61" s="548"/>
      <c r="E61" s="548"/>
      <c r="F61" s="459">
        <f>SUM(C61:E61)</f>
        <v>0</v>
      </c>
      <c r="G61" s="459"/>
    </row>
    <row r="62" spans="1:7" hidden="1" outlineLevel="1" x14ac:dyDescent="0.2">
      <c r="A62" s="542" t="s">
        <v>1227</v>
      </c>
      <c r="B62" s="541"/>
      <c r="C62" s="514"/>
      <c r="D62" s="514"/>
      <c r="E62" s="514"/>
      <c r="F62" s="459">
        <f>SUM(C62:E62)</f>
        <v>0</v>
      </c>
      <c r="G62" s="547" t="str">
        <f>IF(C62=-D62,"OK","ERROR")</f>
        <v>OK</v>
      </c>
    </row>
    <row r="63" spans="1:7" hidden="1" outlineLevel="1" x14ac:dyDescent="0.2">
      <c r="A63" s="542" t="s">
        <v>1226</v>
      </c>
      <c r="B63" s="541"/>
      <c r="C63" s="541"/>
      <c r="D63" s="541"/>
      <c r="E63" s="546"/>
      <c r="F63" s="459">
        <f>SUM(C63:E63)</f>
        <v>0</v>
      </c>
      <c r="G63" s="459"/>
    </row>
    <row r="64" spans="1:7" hidden="1" outlineLevel="1" x14ac:dyDescent="0.2">
      <c r="A64" s="542" t="s">
        <v>1225</v>
      </c>
      <c r="B64" s="541"/>
      <c r="C64" s="514"/>
      <c r="D64" s="514"/>
      <c r="E64" s="514"/>
      <c r="F64" s="459">
        <f>SUM(C64:E64)</f>
        <v>0</v>
      </c>
      <c r="G64" s="459"/>
    </row>
    <row r="65" spans="1:7" hidden="1" outlineLevel="1" x14ac:dyDescent="0.2">
      <c r="A65" s="542" t="s">
        <v>1224</v>
      </c>
      <c r="B65" s="541">
        <v>4</v>
      </c>
      <c r="C65" s="541"/>
      <c r="D65" s="545">
        <v>0</v>
      </c>
      <c r="E65" s="545"/>
      <c r="F65" s="459">
        <f>SUM(C65:E65)</f>
        <v>0</v>
      </c>
      <c r="G65" s="459"/>
    </row>
    <row r="66" spans="1:7" hidden="1" outlineLevel="1" x14ac:dyDescent="0.2">
      <c r="A66" s="544" t="str">
        <f>+A36</f>
        <v>Balances at  31 March 2026</v>
      </c>
      <c r="B66" s="510"/>
      <c r="C66" s="543">
        <f>SUM(C58:C65)</f>
        <v>0</v>
      </c>
      <c r="D66" s="543">
        <f>SUM(D58:D65)</f>
        <v>0</v>
      </c>
      <c r="E66" s="543">
        <f>SUM(E58:E65)</f>
        <v>0</v>
      </c>
      <c r="F66" s="543">
        <f>SUM(F58:F65)</f>
        <v>0</v>
      </c>
      <c r="G66" s="510"/>
    </row>
    <row r="67" spans="1:7" collapsed="1" x14ac:dyDescent="0.2">
      <c r="A67" s="542"/>
      <c r="B67" s="541"/>
      <c r="C67" s="541"/>
      <c r="D67" s="541"/>
      <c r="E67" s="541"/>
      <c r="F67" s="459"/>
      <c r="G67" s="459"/>
    </row>
  </sheetData>
  <sheetProtection algorithmName="SHA-512" hashValue="pJzzkSbX1/7TEYxpWPt2WZP/cRJjOZvoKaRj2/Igm0/3Iv36kn4QxO9vn9IyCzs8FjwxOjmmYZpYyumQom1uVA==" saltValue="Ywgn3RKpltNgrBFsInBPuA==" spinCount="100000" sheet="1" formatColumns="0" formatRows="0"/>
  <mergeCells count="1">
    <mergeCell ref="A5:F8"/>
  </mergeCells>
  <conditionalFormatting sqref="A39">
    <cfRule type="expression" dxfId="237" priority="12">
      <formula>CELL("Protect",A39)=0</formula>
    </cfRule>
  </conditionalFormatting>
  <conditionalFormatting sqref="C18:C20">
    <cfRule type="expression" dxfId="236" priority="18">
      <formula>CELL("Protect",C18)=0</formula>
    </cfRule>
  </conditionalFormatting>
  <conditionalFormatting sqref="C29:C31">
    <cfRule type="expression" dxfId="235" priority="15">
      <formula>CELL("Protect",C29)=0</formula>
    </cfRule>
  </conditionalFormatting>
  <conditionalFormatting sqref="C13:E14">
    <cfRule type="expression" dxfId="234" priority="19">
      <formula>CELL("Protect",C13)=0</formula>
    </cfRule>
  </conditionalFormatting>
  <conditionalFormatting sqref="C22:E22">
    <cfRule type="expression" dxfId="233" priority="16">
      <formula>CELL("Protect",C22)=0</formula>
    </cfRule>
  </conditionalFormatting>
  <conditionalFormatting sqref="C33:E33">
    <cfRule type="expression" dxfId="232" priority="13">
      <formula>CELL("Protect",C33)=0</formula>
    </cfRule>
  </conditionalFormatting>
  <conditionalFormatting sqref="D19:E19">
    <cfRule type="expression" dxfId="231" priority="17">
      <formula>CELL("Protect",D19)=0</formula>
    </cfRule>
  </conditionalFormatting>
  <conditionalFormatting sqref="D30:E30">
    <cfRule type="expression" dxfId="230" priority="14">
      <formula>CELL("Protect",D30)=0</formula>
    </cfRule>
  </conditionalFormatting>
  <conditionalFormatting sqref="I18:I20">
    <cfRule type="expression" dxfId="229" priority="10">
      <formula>CELL("Protect",I18)=0</formula>
    </cfRule>
  </conditionalFormatting>
  <conditionalFormatting sqref="I23:I24">
    <cfRule type="expression" dxfId="228" priority="2">
      <formula>CELL("Protect",I23)=0</formula>
    </cfRule>
  </conditionalFormatting>
  <conditionalFormatting sqref="I29:I31">
    <cfRule type="expression" dxfId="227" priority="7">
      <formula>CELL("Protect",I29)=0</formula>
    </cfRule>
  </conditionalFormatting>
  <conditionalFormatting sqref="I34">
    <cfRule type="expression" dxfId="226" priority="1">
      <formula>CELL("Protect",I34)=0</formula>
    </cfRule>
  </conditionalFormatting>
  <conditionalFormatting sqref="I21:J21">
    <cfRule type="expression" dxfId="225" priority="4">
      <formula>CELL("Protect",I21)=0</formula>
    </cfRule>
  </conditionalFormatting>
  <conditionalFormatting sqref="I13:K14">
    <cfRule type="expression" dxfId="224" priority="11">
      <formula>CELL("Protect",I13)=0</formula>
    </cfRule>
  </conditionalFormatting>
  <conditionalFormatting sqref="I22:K22">
    <cfRule type="expression" dxfId="223" priority="8">
      <formula>CELL("Protect",I22)=0</formula>
    </cfRule>
  </conditionalFormatting>
  <conditionalFormatting sqref="I33:K33">
    <cfRule type="expression" dxfId="222" priority="5">
      <formula>CELL("Protect",I33)=0</formula>
    </cfRule>
  </conditionalFormatting>
  <conditionalFormatting sqref="J19:K19">
    <cfRule type="expression" dxfId="221" priority="9">
      <formula>CELL("Protect",J19)=0</formula>
    </cfRule>
  </conditionalFormatting>
  <conditionalFormatting sqref="J30:K30">
    <cfRule type="expression" dxfId="220" priority="6">
      <formula>CELL("Protect",J30)=0</formula>
    </cfRule>
  </conditionalFormatting>
  <pageMargins left="0.74803149606299213" right="0.74803149606299213" top="0.59055118110236227" bottom="0.59055118110236227" header="0.51181102362204722" footer="0.51181102362204722"/>
  <pageSetup paperSize="9" scale="7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2">
    <tabColor rgb="FFFFFF00"/>
    <pageSetUpPr fitToPage="1"/>
  </sheetPr>
  <dimension ref="A1:AF93"/>
  <sheetViews>
    <sheetView zoomScale="90" zoomScaleNormal="90" workbookViewId="0">
      <pane xSplit="3" ySplit="8" topLeftCell="D9" activePane="bottomRight" state="frozen"/>
      <selection activeCell="F19" sqref="F19"/>
      <selection pane="topRight" activeCell="F19" sqref="F19"/>
      <selection pane="bottomLeft" activeCell="F19" sqref="F19"/>
      <selection pane="bottomRight" activeCell="D9" sqref="D9"/>
    </sheetView>
  </sheetViews>
  <sheetFormatPr defaultColWidth="9.140625" defaultRowHeight="12.75" customHeight="1" outlineLevelCol="1" x14ac:dyDescent="0.2"/>
  <cols>
    <col min="1" max="1" width="61.42578125" style="397" customWidth="1"/>
    <col min="2" max="2" width="11" style="397" customWidth="1"/>
    <col min="3" max="3" width="14.5703125" style="397" customWidth="1"/>
    <col min="4" max="4" width="12.85546875" style="397" bestFit="1" customWidth="1"/>
    <col min="5" max="5" width="1.5703125" style="397" bestFit="1" customWidth="1"/>
    <col min="6" max="6" width="3.7109375" style="397" customWidth="1"/>
    <col min="7" max="7" width="9.140625" style="397"/>
    <col min="8" max="8" width="12.7109375" style="397" customWidth="1"/>
    <col min="9" max="9" width="10.85546875" style="397" customWidth="1" outlineLevel="1"/>
    <col min="10" max="28" width="9.140625" style="397" outlineLevel="1"/>
    <col min="29" max="29" width="9.140625" style="397"/>
    <col min="30" max="30" width="12.7109375" style="397" customWidth="1"/>
    <col min="31" max="16384" width="9.140625" style="397"/>
  </cols>
  <sheetData>
    <row r="1" spans="1:30" ht="14.65" customHeight="1" x14ac:dyDescent="0.2">
      <c r="A1" s="416" t="str">
        <f>'alb Instructions'!$B$20</f>
        <v>enter HSC Body name here</v>
      </c>
      <c r="B1" s="416"/>
      <c r="C1" s="416"/>
      <c r="D1" s="416"/>
    </row>
    <row r="3" spans="1:30" ht="12.75" customHeight="1" x14ac:dyDescent="0.2">
      <c r="A3" s="416" t="str">
        <f>"NOTES TO THE ACCOUNTS FOR THE YEAR ENDED"&amp;Update!$B$22</f>
        <v>NOTES TO THE ACCOUNTS FOR THE YEAR ENDED 31 March 2026</v>
      </c>
      <c r="B3" s="416"/>
      <c r="C3" s="388"/>
    </row>
    <row r="4" spans="1:30" ht="12.75" customHeight="1" x14ac:dyDescent="0.2">
      <c r="A4" s="388"/>
      <c r="B4" s="388"/>
      <c r="C4" s="388"/>
      <c r="H4" s="388" t="s">
        <v>930</v>
      </c>
    </row>
    <row r="5" spans="1:30" ht="67.5" x14ac:dyDescent="0.2">
      <c r="A5" s="484" t="s">
        <v>2335</v>
      </c>
      <c r="B5" s="388"/>
      <c r="C5" s="388"/>
      <c r="G5" s="414" t="s">
        <v>604</v>
      </c>
      <c r="H5" s="413" t="s">
        <v>48</v>
      </c>
      <c r="I5" s="413" t="s">
        <v>2457</v>
      </c>
      <c r="J5" s="413" t="s">
        <v>5</v>
      </c>
      <c r="K5" s="413" t="s">
        <v>11</v>
      </c>
      <c r="L5" s="413" t="s">
        <v>25</v>
      </c>
      <c r="M5" s="413" t="s">
        <v>17</v>
      </c>
      <c r="N5" s="413" t="s">
        <v>19</v>
      </c>
      <c r="O5" s="413" t="s">
        <v>35</v>
      </c>
      <c r="P5" s="413" t="s">
        <v>900</v>
      </c>
      <c r="Q5" s="413" t="s">
        <v>2446</v>
      </c>
      <c r="R5" s="413" t="s">
        <v>23</v>
      </c>
      <c r="S5" s="413" t="s">
        <v>33</v>
      </c>
      <c r="T5" s="413" t="s">
        <v>31</v>
      </c>
      <c r="U5" s="413" t="s">
        <v>7</v>
      </c>
      <c r="V5" s="413" t="s">
        <v>27</v>
      </c>
      <c r="W5" s="413" t="s">
        <v>29</v>
      </c>
      <c r="X5" s="413" t="s">
        <v>13</v>
      </c>
      <c r="Y5" s="413" t="s">
        <v>9</v>
      </c>
      <c r="Z5" s="413" t="s">
        <v>15</v>
      </c>
      <c r="AA5" s="413" t="s">
        <v>37</v>
      </c>
      <c r="AB5" s="413" t="s">
        <v>39</v>
      </c>
      <c r="AC5" s="412" t="s">
        <v>932</v>
      </c>
      <c r="AD5" s="412" t="s">
        <v>63</v>
      </c>
    </row>
    <row r="6" spans="1:30" ht="12.75" customHeight="1" x14ac:dyDescent="0.2">
      <c r="C6" s="461" t="str">
        <f>Update!$C$38</f>
        <v>2025-26</v>
      </c>
      <c r="D6" s="461" t="str">
        <f>Update!$C$37</f>
        <v>2024-25</v>
      </c>
      <c r="G6" s="411" t="s">
        <v>62</v>
      </c>
      <c r="H6" s="411" t="s">
        <v>62</v>
      </c>
      <c r="I6" s="411" t="s">
        <v>62</v>
      </c>
      <c r="J6" s="411" t="s">
        <v>62</v>
      </c>
      <c r="K6" s="411" t="s">
        <v>62</v>
      </c>
      <c r="L6" s="411" t="s">
        <v>62</v>
      </c>
      <c r="M6" s="411" t="s">
        <v>62</v>
      </c>
      <c r="N6" s="411" t="s">
        <v>62</v>
      </c>
      <c r="O6" s="411" t="s">
        <v>62</v>
      </c>
      <c r="P6" s="411" t="s">
        <v>62</v>
      </c>
      <c r="Q6" s="411" t="s">
        <v>62</v>
      </c>
      <c r="R6" s="411" t="s">
        <v>62</v>
      </c>
      <c r="S6" s="411" t="s">
        <v>62</v>
      </c>
      <c r="T6" s="411" t="s">
        <v>62</v>
      </c>
      <c r="U6" s="411" t="s">
        <v>62</v>
      </c>
      <c r="V6" s="411" t="s">
        <v>62</v>
      </c>
      <c r="W6" s="411" t="s">
        <v>62</v>
      </c>
      <c r="X6" s="411" t="s">
        <v>62</v>
      </c>
      <c r="Y6" s="411" t="s">
        <v>62</v>
      </c>
      <c r="Z6" s="411" t="s">
        <v>62</v>
      </c>
      <c r="AA6" s="411" t="s">
        <v>62</v>
      </c>
      <c r="AB6" s="411" t="s">
        <v>62</v>
      </c>
      <c r="AC6" s="508" t="s">
        <v>62</v>
      </c>
      <c r="AD6" s="508"/>
    </row>
    <row r="7" spans="1:30" ht="12.75" customHeight="1" x14ac:dyDescent="0.2">
      <c r="B7" s="451"/>
      <c r="C7" s="556" t="s">
        <v>493</v>
      </c>
      <c r="D7" s="556" t="s">
        <v>493</v>
      </c>
      <c r="E7" s="468" t="s">
        <v>281</v>
      </c>
    </row>
    <row r="8" spans="1:30" x14ac:dyDescent="0.2">
      <c r="A8" s="388" t="s">
        <v>1250</v>
      </c>
      <c r="B8" s="451"/>
      <c r="C8" s="468" t="s">
        <v>146</v>
      </c>
      <c r="D8" s="468" t="s">
        <v>146</v>
      </c>
      <c r="E8" s="468"/>
    </row>
    <row r="9" spans="1:30" ht="14.25" x14ac:dyDescent="0.2">
      <c r="A9" s="397" t="s">
        <v>592</v>
      </c>
      <c r="B9" s="451"/>
      <c r="C9" s="468"/>
      <c r="D9" s="468"/>
      <c r="E9" s="468"/>
    </row>
    <row r="10" spans="1:30" ht="15" customHeight="1" x14ac:dyDescent="0.2">
      <c r="A10" s="577" t="s">
        <v>152</v>
      </c>
      <c r="C10" s="513"/>
      <c r="D10" s="513"/>
      <c r="G10" s="506">
        <f t="shared" ref="G10:G36" si="0">SUM(H10:AB10)</f>
        <v>0</v>
      </c>
      <c r="H10" s="575">
        <f>'alb A - Staff data'!I11</f>
        <v>0</v>
      </c>
      <c r="I10" s="575">
        <f>'alb A - Staff data'!J11</f>
        <v>0</v>
      </c>
      <c r="J10" s="575">
        <f>'alb A - Staff data'!K11</f>
        <v>0</v>
      </c>
      <c r="K10" s="575">
        <f>'alb A - Staff data'!L11</f>
        <v>0</v>
      </c>
      <c r="L10" s="575">
        <f>'alb A - Staff data'!M11</f>
        <v>0</v>
      </c>
      <c r="M10" s="575">
        <f>'alb A - Staff data'!N11</f>
        <v>0</v>
      </c>
      <c r="N10" s="575">
        <f>'alb A - Staff data'!O11</f>
        <v>0</v>
      </c>
      <c r="O10" s="575">
        <f>'alb A - Staff data'!P11</f>
        <v>0</v>
      </c>
      <c r="P10" s="575">
        <f>'alb A - Staff data'!Q11</f>
        <v>0</v>
      </c>
      <c r="Q10" s="575">
        <f>'alb A - Staff data'!R11</f>
        <v>0</v>
      </c>
      <c r="R10" s="575">
        <f>'alb A - Staff data'!S11</f>
        <v>0</v>
      </c>
      <c r="S10" s="575">
        <f>'alb A - Staff data'!T11</f>
        <v>0</v>
      </c>
      <c r="T10" s="575">
        <f>'alb A - Staff data'!U11</f>
        <v>0</v>
      </c>
      <c r="U10" s="575">
        <f>'alb A - Staff data'!V11</f>
        <v>0</v>
      </c>
      <c r="V10" s="575">
        <f>'alb A - Staff data'!W11</f>
        <v>0</v>
      </c>
      <c r="W10" s="575">
        <f>'alb A - Staff data'!X11</f>
        <v>0</v>
      </c>
      <c r="X10" s="575">
        <f>'alb A - Staff data'!Y11</f>
        <v>0</v>
      </c>
      <c r="Y10" s="575">
        <f>'alb A - Staff data'!Z11</f>
        <v>0</v>
      </c>
      <c r="Z10" s="575">
        <f>'alb A - Staff data'!AA11</f>
        <v>0</v>
      </c>
      <c r="AA10" s="575">
        <f>'alb A - Staff data'!AB11</f>
        <v>0</v>
      </c>
      <c r="AB10" s="575">
        <f>'alb A - Staff data'!AC11</f>
        <v>0</v>
      </c>
      <c r="AC10" s="504">
        <f t="shared" ref="AC10:AC20" si="1">C10-G10</f>
        <v>0</v>
      </c>
      <c r="AD10" s="503" t="str">
        <f t="shared" ref="AD10:AD20" si="2">IF(C10&gt;=0,IF(G10&gt;=0,IF(C10&gt;=G10,"Ok ","Check size "),"Check sign"),IF(G10&gt;0,"Check sign ",IF(ABS(C10)&gt;=ABS(G10),"Ok ","Check size ")))</f>
        <v xml:space="preserve">Ok </v>
      </c>
    </row>
    <row r="11" spans="1:30" ht="12.75" customHeight="1" x14ac:dyDescent="0.2">
      <c r="A11" s="576" t="s">
        <v>153</v>
      </c>
      <c r="C11" s="513"/>
      <c r="D11" s="513"/>
      <c r="G11" s="506">
        <f t="shared" si="0"/>
        <v>0</v>
      </c>
      <c r="H11" s="575">
        <f>'alb A - Staff data'!I12</f>
        <v>0</v>
      </c>
      <c r="I11" s="575">
        <f>'alb A - Staff data'!J12</f>
        <v>0</v>
      </c>
      <c r="J11" s="575">
        <f>'alb A - Staff data'!K12</f>
        <v>0</v>
      </c>
      <c r="K11" s="575">
        <f>'alb A - Staff data'!L12</f>
        <v>0</v>
      </c>
      <c r="L11" s="575">
        <f>'alb A - Staff data'!M12</f>
        <v>0</v>
      </c>
      <c r="M11" s="575">
        <f>'alb A - Staff data'!N12</f>
        <v>0</v>
      </c>
      <c r="N11" s="575">
        <f>'alb A - Staff data'!O12</f>
        <v>0</v>
      </c>
      <c r="O11" s="575">
        <f>'alb A - Staff data'!P12</f>
        <v>0</v>
      </c>
      <c r="P11" s="575">
        <f>'alb A - Staff data'!Q12</f>
        <v>0</v>
      </c>
      <c r="Q11" s="575">
        <f>'alb A - Staff data'!R12</f>
        <v>0</v>
      </c>
      <c r="R11" s="575">
        <f>'alb A - Staff data'!S12</f>
        <v>0</v>
      </c>
      <c r="S11" s="575">
        <f>'alb A - Staff data'!T12</f>
        <v>0</v>
      </c>
      <c r="T11" s="575">
        <f>'alb A - Staff data'!U12</f>
        <v>0</v>
      </c>
      <c r="U11" s="575">
        <f>'alb A - Staff data'!V12</f>
        <v>0</v>
      </c>
      <c r="V11" s="575">
        <f>'alb A - Staff data'!W12</f>
        <v>0</v>
      </c>
      <c r="W11" s="575">
        <f>'alb A - Staff data'!X12</f>
        <v>0</v>
      </c>
      <c r="X11" s="575">
        <f>'alb A - Staff data'!Y12</f>
        <v>0</v>
      </c>
      <c r="Y11" s="575">
        <f>'alb A - Staff data'!Z12</f>
        <v>0</v>
      </c>
      <c r="Z11" s="575">
        <f>'alb A - Staff data'!AA12</f>
        <v>0</v>
      </c>
      <c r="AA11" s="575">
        <f>'alb A - Staff data'!AB12</f>
        <v>0</v>
      </c>
      <c r="AB11" s="575">
        <f>'alb A - Staff data'!AC12</f>
        <v>0</v>
      </c>
      <c r="AC11" s="504">
        <f t="shared" si="1"/>
        <v>0</v>
      </c>
      <c r="AD11" s="503" t="str">
        <f t="shared" si="2"/>
        <v xml:space="preserve">Ok </v>
      </c>
    </row>
    <row r="12" spans="1:30" ht="12.75" customHeight="1" x14ac:dyDescent="0.2">
      <c r="A12" s="576" t="s">
        <v>154</v>
      </c>
      <c r="C12" s="513"/>
      <c r="D12" s="513"/>
      <c r="G12" s="506">
        <f t="shared" si="0"/>
        <v>0</v>
      </c>
      <c r="H12" s="575">
        <f>'alb A - Staff data'!I13</f>
        <v>0</v>
      </c>
      <c r="I12" s="575">
        <f>'alb A - Staff data'!J13</f>
        <v>0</v>
      </c>
      <c r="J12" s="575">
        <f>'alb A - Staff data'!K13</f>
        <v>0</v>
      </c>
      <c r="K12" s="575">
        <f>'alb A - Staff data'!L13</f>
        <v>0</v>
      </c>
      <c r="L12" s="575">
        <f>'alb A - Staff data'!M13</f>
        <v>0</v>
      </c>
      <c r="M12" s="575">
        <f>'alb A - Staff data'!N13</f>
        <v>0</v>
      </c>
      <c r="N12" s="575">
        <f>'alb A - Staff data'!O13</f>
        <v>0</v>
      </c>
      <c r="O12" s="575">
        <f>'alb A - Staff data'!P13</f>
        <v>0</v>
      </c>
      <c r="P12" s="575">
        <f>'alb A - Staff data'!Q13</f>
        <v>0</v>
      </c>
      <c r="Q12" s="575">
        <f>'alb A - Staff data'!R13</f>
        <v>0</v>
      </c>
      <c r="R12" s="575">
        <f>'alb A - Staff data'!S13</f>
        <v>0</v>
      </c>
      <c r="S12" s="575">
        <f>'alb A - Staff data'!T13</f>
        <v>0</v>
      </c>
      <c r="T12" s="575">
        <f>'alb A - Staff data'!U13</f>
        <v>0</v>
      </c>
      <c r="U12" s="575">
        <f>'alb A - Staff data'!V13</f>
        <v>0</v>
      </c>
      <c r="V12" s="575">
        <f>'alb A - Staff data'!W13</f>
        <v>0</v>
      </c>
      <c r="W12" s="575">
        <f>'alb A - Staff data'!X13</f>
        <v>0</v>
      </c>
      <c r="X12" s="575">
        <f>'alb A - Staff data'!Y13</f>
        <v>0</v>
      </c>
      <c r="Y12" s="575">
        <f>'alb A - Staff data'!Z13</f>
        <v>0</v>
      </c>
      <c r="Z12" s="575">
        <f>'alb A - Staff data'!AA13</f>
        <v>0</v>
      </c>
      <c r="AA12" s="575">
        <f>'alb A - Staff data'!AB13</f>
        <v>0</v>
      </c>
      <c r="AB12" s="575">
        <f>'alb A - Staff data'!AC13</f>
        <v>0</v>
      </c>
      <c r="AC12" s="504">
        <f t="shared" si="1"/>
        <v>0</v>
      </c>
      <c r="AD12" s="503" t="str">
        <f t="shared" si="2"/>
        <v xml:space="preserve">Ok </v>
      </c>
    </row>
    <row r="13" spans="1:30" ht="12.75" customHeight="1" x14ac:dyDescent="0.2">
      <c r="A13" s="397" t="s">
        <v>1735</v>
      </c>
      <c r="C13" s="513"/>
      <c r="D13" s="513"/>
      <c r="G13" s="506">
        <f t="shared" si="0"/>
        <v>0</v>
      </c>
      <c r="H13" s="505"/>
      <c r="I13" s="505"/>
      <c r="J13" s="505"/>
      <c r="K13" s="505"/>
      <c r="L13" s="505"/>
      <c r="M13" s="505"/>
      <c r="N13" s="505"/>
      <c r="O13" s="505"/>
      <c r="P13" s="505"/>
      <c r="Q13" s="505"/>
      <c r="R13" s="505"/>
      <c r="S13" s="505"/>
      <c r="T13" s="505"/>
      <c r="U13" s="505"/>
      <c r="V13" s="505"/>
      <c r="W13" s="505"/>
      <c r="X13" s="505"/>
      <c r="Y13" s="505"/>
      <c r="Z13" s="505"/>
      <c r="AA13" s="505"/>
      <c r="AB13" s="505"/>
      <c r="AC13" s="504">
        <f t="shared" si="1"/>
        <v>0</v>
      </c>
      <c r="AD13" s="503" t="str">
        <f t="shared" si="2"/>
        <v xml:space="preserve">Ok </v>
      </c>
    </row>
    <row r="14" spans="1:30" ht="12.75" customHeight="1" x14ac:dyDescent="0.2">
      <c r="A14" s="397" t="s">
        <v>169</v>
      </c>
      <c r="B14" s="531" t="s">
        <v>1218</v>
      </c>
      <c r="C14" s="513"/>
      <c r="D14" s="513"/>
      <c r="G14" s="506">
        <f t="shared" si="0"/>
        <v>0</v>
      </c>
      <c r="H14" s="505"/>
      <c r="I14" s="505"/>
      <c r="J14" s="505"/>
      <c r="K14" s="505"/>
      <c r="L14" s="505"/>
      <c r="M14" s="505"/>
      <c r="N14" s="505"/>
      <c r="O14" s="505"/>
      <c r="P14" s="505"/>
      <c r="Q14" s="505"/>
      <c r="R14" s="505"/>
      <c r="S14" s="505"/>
      <c r="T14" s="505"/>
      <c r="U14" s="505"/>
      <c r="V14" s="505"/>
      <c r="W14" s="505"/>
      <c r="X14" s="505"/>
      <c r="Y14" s="505"/>
      <c r="Z14" s="505"/>
      <c r="AA14" s="505"/>
      <c r="AB14" s="505"/>
      <c r="AC14" s="504">
        <f>C14-G14</f>
        <v>0</v>
      </c>
      <c r="AD14" s="503" t="str">
        <f>IF(C14&gt;=0,IF(G14&gt;=0,IF(C14&gt;=G14,"Ok ","Check size "),"Check sign"),IF(G14&gt;0,"Check sign ",IF(ABS(C14)&gt;=ABS(G14),"Ok ","Check size ")))</f>
        <v xml:space="preserve">Ok </v>
      </c>
    </row>
    <row r="15" spans="1:30" ht="12.75" customHeight="1" x14ac:dyDescent="0.2">
      <c r="A15" s="397" t="s">
        <v>504</v>
      </c>
      <c r="B15" s="451"/>
      <c r="C15" s="513"/>
      <c r="D15" s="513"/>
      <c r="G15" s="506">
        <f t="shared" si="0"/>
        <v>0</v>
      </c>
      <c r="H15" s="505"/>
      <c r="I15" s="505"/>
      <c r="J15" s="505"/>
      <c r="K15" s="505"/>
      <c r="L15" s="505"/>
      <c r="M15" s="505"/>
      <c r="N15" s="505"/>
      <c r="O15" s="505"/>
      <c r="P15" s="505"/>
      <c r="Q15" s="505"/>
      <c r="R15" s="505"/>
      <c r="S15" s="505"/>
      <c r="T15" s="505"/>
      <c r="U15" s="505"/>
      <c r="V15" s="505"/>
      <c r="W15" s="505"/>
      <c r="X15" s="505"/>
      <c r="Y15" s="505"/>
      <c r="Z15" s="505"/>
      <c r="AA15" s="505"/>
      <c r="AB15" s="505"/>
      <c r="AC15" s="504">
        <f t="shared" si="1"/>
        <v>0</v>
      </c>
      <c r="AD15" s="503" t="str">
        <f t="shared" si="2"/>
        <v xml:space="preserve">Ok </v>
      </c>
    </row>
    <row r="16" spans="1:30" ht="12.75" customHeight="1" x14ac:dyDescent="0.2">
      <c r="A16" s="397" t="s">
        <v>155</v>
      </c>
      <c r="C16" s="513"/>
      <c r="D16" s="513"/>
      <c r="G16" s="506">
        <f t="shared" si="0"/>
        <v>0</v>
      </c>
      <c r="H16" s="422"/>
      <c r="I16" s="422"/>
      <c r="J16" s="422"/>
      <c r="K16" s="422"/>
      <c r="L16" s="422"/>
      <c r="M16" s="422"/>
      <c r="N16" s="422"/>
      <c r="O16" s="422"/>
      <c r="P16" s="422"/>
      <c r="Q16" s="422"/>
      <c r="R16" s="422"/>
      <c r="S16" s="422"/>
      <c r="T16" s="422"/>
      <c r="U16" s="422"/>
      <c r="V16" s="422"/>
      <c r="W16" s="422"/>
      <c r="X16" s="422"/>
      <c r="Y16" s="422"/>
      <c r="Z16" s="422"/>
      <c r="AA16" s="422"/>
      <c r="AB16" s="422"/>
      <c r="AC16" s="504">
        <f t="shared" si="1"/>
        <v>0</v>
      </c>
      <c r="AD16" s="503" t="str">
        <f t="shared" si="2"/>
        <v xml:space="preserve">Ok </v>
      </c>
    </row>
    <row r="17" spans="1:32" ht="12.75" customHeight="1" x14ac:dyDescent="0.2">
      <c r="A17" s="397" t="s">
        <v>156</v>
      </c>
      <c r="C17" s="513"/>
      <c r="D17" s="513"/>
      <c r="G17" s="506">
        <f t="shared" si="0"/>
        <v>0</v>
      </c>
      <c r="H17" s="422"/>
      <c r="I17" s="422"/>
      <c r="J17" s="422"/>
      <c r="K17" s="422"/>
      <c r="L17" s="422"/>
      <c r="M17" s="422"/>
      <c r="N17" s="422"/>
      <c r="O17" s="422"/>
      <c r="P17" s="422"/>
      <c r="Q17" s="422"/>
      <c r="R17" s="422"/>
      <c r="S17" s="422"/>
      <c r="T17" s="422"/>
      <c r="U17" s="422"/>
      <c r="V17" s="422"/>
      <c r="W17" s="422"/>
      <c r="X17" s="422"/>
      <c r="Y17" s="422"/>
      <c r="Z17" s="422"/>
      <c r="AA17" s="422"/>
      <c r="AB17" s="422"/>
      <c r="AC17" s="504">
        <f t="shared" si="1"/>
        <v>0</v>
      </c>
      <c r="AD17" s="503" t="str">
        <f t="shared" si="2"/>
        <v xml:space="preserve">Ok </v>
      </c>
    </row>
    <row r="18" spans="1:32" ht="12.75" customHeight="1" x14ac:dyDescent="0.2">
      <c r="A18" s="397" t="s">
        <v>2470</v>
      </c>
      <c r="C18" s="513"/>
      <c r="D18" s="513"/>
      <c r="G18" s="506">
        <f>SUM(H18:AB18)</f>
        <v>0</v>
      </c>
      <c r="H18" s="422"/>
      <c r="I18" s="422"/>
      <c r="J18" s="422"/>
      <c r="K18" s="422"/>
      <c r="L18" s="422"/>
      <c r="M18" s="422"/>
      <c r="N18" s="422"/>
      <c r="O18" s="422"/>
      <c r="P18" s="422"/>
      <c r="Q18" s="422"/>
      <c r="R18" s="422"/>
      <c r="S18" s="422"/>
      <c r="T18" s="422"/>
      <c r="U18" s="422"/>
      <c r="V18" s="422"/>
      <c r="W18" s="422"/>
      <c r="X18" s="422"/>
      <c r="Y18" s="422"/>
      <c r="Z18" s="422"/>
      <c r="AA18" s="422"/>
      <c r="AB18" s="422"/>
      <c r="AC18" s="504">
        <f>C18-G18</f>
        <v>0</v>
      </c>
      <c r="AD18" s="503" t="str">
        <f>IF(C18&gt;=0,IF(G18&gt;=0,IF(C18&gt;=G18,"Ok ","Check size "),"Check sign"),IF(G18&gt;0,"Check sign ",IF(ABS(C18)&gt;=ABS(G18),"Ok ","Check size ")))</f>
        <v xml:space="preserve">Ok </v>
      </c>
    </row>
    <row r="19" spans="1:32" ht="12.75" customHeight="1" x14ac:dyDescent="0.2">
      <c r="A19" s="397" t="s">
        <v>353</v>
      </c>
      <c r="C19" s="459">
        <f>+'alb Note 17 - Commitments PFI'!B23+'alb Note 17 - Commitments PFI'!B42</f>
        <v>0</v>
      </c>
      <c r="D19" s="513"/>
      <c r="G19" s="506">
        <f t="shared" si="0"/>
        <v>0</v>
      </c>
      <c r="H19" s="422"/>
      <c r="I19" s="422"/>
      <c r="J19" s="422"/>
      <c r="K19" s="422"/>
      <c r="L19" s="422"/>
      <c r="M19" s="422"/>
      <c r="N19" s="422"/>
      <c r="O19" s="422"/>
      <c r="P19" s="422"/>
      <c r="Q19" s="422"/>
      <c r="R19" s="422"/>
      <c r="S19" s="422"/>
      <c r="T19" s="422"/>
      <c r="U19" s="422"/>
      <c r="V19" s="422"/>
      <c r="W19" s="422"/>
      <c r="X19" s="422"/>
      <c r="Y19" s="422"/>
      <c r="Z19" s="422"/>
      <c r="AA19" s="422"/>
      <c r="AB19" s="422"/>
      <c r="AC19" s="504">
        <f t="shared" si="1"/>
        <v>0</v>
      </c>
      <c r="AD19" s="503" t="str">
        <f t="shared" si="2"/>
        <v xml:space="preserve">Ok </v>
      </c>
    </row>
    <row r="20" spans="1:32" ht="12.75" customHeight="1" x14ac:dyDescent="0.2">
      <c r="A20" s="397" t="s">
        <v>824</v>
      </c>
      <c r="C20" s="513"/>
      <c r="D20" s="513"/>
      <c r="G20" s="506">
        <f t="shared" si="0"/>
        <v>0</v>
      </c>
      <c r="H20" s="422"/>
      <c r="I20" s="422"/>
      <c r="J20" s="422"/>
      <c r="K20" s="422"/>
      <c r="L20" s="422"/>
      <c r="M20" s="422"/>
      <c r="N20" s="422"/>
      <c r="O20" s="422"/>
      <c r="P20" s="422"/>
      <c r="Q20" s="422"/>
      <c r="R20" s="422"/>
      <c r="S20" s="422"/>
      <c r="T20" s="422"/>
      <c r="U20" s="422"/>
      <c r="V20" s="422"/>
      <c r="W20" s="422"/>
      <c r="X20" s="422"/>
      <c r="Y20" s="422"/>
      <c r="Z20" s="422"/>
      <c r="AA20" s="422"/>
      <c r="AB20" s="422"/>
      <c r="AC20" s="504">
        <f t="shared" si="1"/>
        <v>0</v>
      </c>
      <c r="AD20" s="503" t="str">
        <f t="shared" si="2"/>
        <v xml:space="preserve">Ok </v>
      </c>
    </row>
    <row r="21" spans="1:32" ht="12.75" customHeight="1" x14ac:dyDescent="0.2">
      <c r="C21" s="459"/>
      <c r="D21" s="459"/>
      <c r="G21" s="506">
        <f t="shared" si="0"/>
        <v>0</v>
      </c>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row>
    <row r="22" spans="1:32" ht="12.75" customHeight="1" x14ac:dyDescent="0.2">
      <c r="A22" s="388" t="s">
        <v>1249</v>
      </c>
      <c r="C22" s="459"/>
      <c r="D22" s="459"/>
      <c r="G22" s="506">
        <f t="shared" si="0"/>
        <v>0</v>
      </c>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row>
    <row r="23" spans="1:32" ht="12.75" customHeight="1" x14ac:dyDescent="0.2">
      <c r="A23" s="397" t="s">
        <v>160</v>
      </c>
      <c r="C23" s="459">
        <f>+'alb Note 5.1 -PP&amp;E - CY'!J39</f>
        <v>0</v>
      </c>
      <c r="D23" s="1038">
        <f>+'alb Note 5.2 -  PP&amp;E - PY'!J35</f>
        <v>0</v>
      </c>
      <c r="G23" s="506">
        <f t="shared" si="0"/>
        <v>0</v>
      </c>
      <c r="H23" s="422"/>
      <c r="I23" s="422"/>
      <c r="J23" s="422"/>
      <c r="K23" s="422"/>
      <c r="L23" s="422"/>
      <c r="M23" s="422"/>
      <c r="N23" s="422"/>
      <c r="O23" s="422"/>
      <c r="P23" s="422"/>
      <c r="Q23" s="422"/>
      <c r="R23" s="422"/>
      <c r="S23" s="422"/>
      <c r="T23" s="422"/>
      <c r="U23" s="422"/>
      <c r="V23" s="422"/>
      <c r="W23" s="422"/>
      <c r="X23" s="422"/>
      <c r="Y23" s="422"/>
      <c r="Z23" s="422"/>
      <c r="AA23" s="422"/>
      <c r="AB23" s="422"/>
      <c r="AC23" s="504">
        <f t="shared" ref="AC23:AC36" si="3">C23-G23</f>
        <v>0</v>
      </c>
      <c r="AD23" s="503" t="str">
        <f t="shared" ref="AD23:AD36" si="4">IF(C23&gt;=0,IF(G23&gt;=0,IF(C23&gt;=G23,"Ok ","Check size "),"Check sign"),IF(G23&gt;0,"Check sign ",IF(ABS(C23)&gt;=ABS(G23),"Ok ","Check size ")))</f>
        <v xml:space="preserve">Ok </v>
      </c>
    </row>
    <row r="24" spans="1:32" ht="12.75" customHeight="1" x14ac:dyDescent="0.2">
      <c r="A24" s="397" t="s">
        <v>161</v>
      </c>
      <c r="C24" s="459">
        <f>+'alb Note 6.1 -  Intangibles CY'!J36</f>
        <v>0</v>
      </c>
      <c r="D24" s="1038">
        <f>'alb Note 6.2 -  Intangibles PY'!J32</f>
        <v>0</v>
      </c>
      <c r="G24" s="506">
        <f t="shared" si="0"/>
        <v>0</v>
      </c>
      <c r="H24" s="422"/>
      <c r="I24" s="422"/>
      <c r="J24" s="422"/>
      <c r="K24" s="422"/>
      <c r="L24" s="422"/>
      <c r="M24" s="422"/>
      <c r="N24" s="422"/>
      <c r="O24" s="422"/>
      <c r="P24" s="422"/>
      <c r="Q24" s="422"/>
      <c r="R24" s="422"/>
      <c r="S24" s="422"/>
      <c r="T24" s="422"/>
      <c r="U24" s="422"/>
      <c r="V24" s="422"/>
      <c r="W24" s="422"/>
      <c r="X24" s="422"/>
      <c r="Y24" s="422"/>
      <c r="Z24" s="422"/>
      <c r="AA24" s="422"/>
      <c r="AB24" s="422"/>
      <c r="AC24" s="504">
        <f t="shared" si="3"/>
        <v>0</v>
      </c>
      <c r="AD24" s="503" t="str">
        <f t="shared" si="4"/>
        <v xml:space="preserve">Ok </v>
      </c>
    </row>
    <row r="25" spans="1:32" ht="12.75" customHeight="1" x14ac:dyDescent="0.2">
      <c r="A25" s="397" t="s">
        <v>1673</v>
      </c>
      <c r="C25" s="459">
        <f>+'alb Note 7 - Impairments'!B10+'alb Note 7 - Impairments'!D10</f>
        <v>0</v>
      </c>
      <c r="D25" s="1038">
        <f>'alb Note 7 - Impairments'!B19+'alb Note 7 - Impairments'!D19</f>
        <v>0</v>
      </c>
      <c r="G25" s="506">
        <f t="shared" si="0"/>
        <v>0</v>
      </c>
      <c r="H25" s="422"/>
      <c r="I25" s="422"/>
      <c r="J25" s="422"/>
      <c r="K25" s="422"/>
      <c r="L25" s="422"/>
      <c r="M25" s="422"/>
      <c r="N25" s="422"/>
      <c r="O25" s="422"/>
      <c r="P25" s="422"/>
      <c r="Q25" s="422"/>
      <c r="R25" s="422"/>
      <c r="S25" s="422"/>
      <c r="T25" s="422"/>
      <c r="U25" s="422"/>
      <c r="V25" s="422"/>
      <c r="W25" s="422"/>
      <c r="X25" s="422"/>
      <c r="Y25" s="422"/>
      <c r="Z25" s="422"/>
      <c r="AA25" s="422"/>
      <c r="AB25" s="422"/>
      <c r="AC25" s="504">
        <f t="shared" si="3"/>
        <v>0</v>
      </c>
      <c r="AD25" s="503" t="str">
        <f t="shared" si="4"/>
        <v xml:space="preserve">Ok </v>
      </c>
    </row>
    <row r="26" spans="1:32" ht="12.75" customHeight="1" x14ac:dyDescent="0.2">
      <c r="A26" s="384" t="s">
        <v>1736</v>
      </c>
      <c r="C26" s="513"/>
      <c r="D26" s="455"/>
      <c r="G26" s="506">
        <f t="shared" si="0"/>
        <v>0</v>
      </c>
      <c r="H26" s="422"/>
      <c r="I26" s="422"/>
      <c r="J26" s="422"/>
      <c r="K26" s="422"/>
      <c r="L26" s="422"/>
      <c r="M26" s="422"/>
      <c r="N26" s="422"/>
      <c r="O26" s="422"/>
      <c r="P26" s="422"/>
      <c r="Q26" s="422"/>
      <c r="R26" s="422"/>
      <c r="S26" s="422"/>
      <c r="T26" s="422"/>
      <c r="U26" s="422"/>
      <c r="V26" s="422"/>
      <c r="W26" s="422"/>
      <c r="X26" s="422"/>
      <c r="Y26" s="422"/>
      <c r="Z26" s="422"/>
      <c r="AA26" s="422"/>
      <c r="AB26" s="422"/>
      <c r="AC26" s="504">
        <f t="shared" si="3"/>
        <v>0</v>
      </c>
      <c r="AD26" s="503" t="str">
        <f t="shared" si="4"/>
        <v xml:space="preserve">Ok </v>
      </c>
      <c r="AE26" s="454" t="s">
        <v>363</v>
      </c>
    </row>
    <row r="27" spans="1:32" ht="12.75" customHeight="1" x14ac:dyDescent="0.2">
      <c r="A27" s="384" t="s">
        <v>1737</v>
      </c>
      <c r="C27" s="513"/>
      <c r="D27" s="455"/>
      <c r="G27" s="506">
        <f t="shared" si="0"/>
        <v>0</v>
      </c>
      <c r="H27" s="422"/>
      <c r="I27" s="422"/>
      <c r="J27" s="422"/>
      <c r="K27" s="422"/>
      <c r="L27" s="422"/>
      <c r="M27" s="422"/>
      <c r="N27" s="422"/>
      <c r="O27" s="422"/>
      <c r="P27" s="422"/>
      <c r="Q27" s="422"/>
      <c r="R27" s="422"/>
      <c r="S27" s="422"/>
      <c r="T27" s="422"/>
      <c r="U27" s="422"/>
      <c r="V27" s="422"/>
      <c r="W27" s="422"/>
      <c r="X27" s="422"/>
      <c r="Y27" s="422"/>
      <c r="Z27" s="422"/>
      <c r="AA27" s="422"/>
      <c r="AB27" s="422"/>
      <c r="AC27" s="504">
        <f t="shared" si="3"/>
        <v>0</v>
      </c>
      <c r="AD27" s="503" t="str">
        <f t="shared" si="4"/>
        <v xml:space="preserve">Ok </v>
      </c>
      <c r="AE27" s="454" t="s">
        <v>363</v>
      </c>
    </row>
    <row r="28" spans="1:32" ht="12.75" customHeight="1" x14ac:dyDescent="0.2">
      <c r="A28" s="384" t="s">
        <v>1905</v>
      </c>
      <c r="C28" s="459">
        <f>'alb Note 7 - Impairments'!F10</f>
        <v>0</v>
      </c>
      <c r="D28" s="1038">
        <f>'alb Note 7 - Impairments'!F19</f>
        <v>0</v>
      </c>
      <c r="G28" s="506">
        <f t="shared" si="0"/>
        <v>0</v>
      </c>
      <c r="H28" s="422"/>
      <c r="I28" s="422"/>
      <c r="J28" s="422"/>
      <c r="K28" s="422"/>
      <c r="L28" s="422"/>
      <c r="M28" s="422"/>
      <c r="N28" s="422"/>
      <c r="O28" s="422"/>
      <c r="P28" s="422"/>
      <c r="Q28" s="422"/>
      <c r="R28" s="422"/>
      <c r="S28" s="422"/>
      <c r="T28" s="422"/>
      <c r="U28" s="422"/>
      <c r="V28" s="422"/>
      <c r="W28" s="422"/>
      <c r="X28" s="422"/>
      <c r="Y28" s="422"/>
      <c r="Z28" s="422"/>
      <c r="AA28" s="422"/>
      <c r="AB28" s="422"/>
      <c r="AC28" s="504">
        <f t="shared" si="3"/>
        <v>0</v>
      </c>
      <c r="AD28" s="503" t="str">
        <f t="shared" si="4"/>
        <v xml:space="preserve">Ok </v>
      </c>
      <c r="AE28" s="454"/>
    </row>
    <row r="29" spans="1:32" ht="26.25" customHeight="1" x14ac:dyDescent="0.2">
      <c r="A29" s="384" t="s">
        <v>764</v>
      </c>
      <c r="C29" s="1038">
        <f>+'alb Note 14 - Provisions CY'!J16+'alb Note 14 - Provisions CY'!J18</f>
        <v>0</v>
      </c>
      <c r="D29" s="1038">
        <f>'alb Note 14 - Provisions PY'!J14+'alb Note 14 - Provisions PY'!J16</f>
        <v>0</v>
      </c>
      <c r="E29" s="494"/>
      <c r="F29" s="494"/>
      <c r="G29" s="926">
        <f t="shared" si="0"/>
        <v>0</v>
      </c>
      <c r="H29" s="927"/>
      <c r="I29" s="927"/>
      <c r="J29" s="927"/>
      <c r="K29" s="927"/>
      <c r="L29" s="927"/>
      <c r="M29" s="927"/>
      <c r="N29" s="927"/>
      <c r="O29" s="927"/>
      <c r="P29" s="927"/>
      <c r="Q29" s="927"/>
      <c r="R29" s="927"/>
      <c r="S29" s="927"/>
      <c r="T29" s="927"/>
      <c r="U29" s="927"/>
      <c r="V29" s="927"/>
      <c r="W29" s="927"/>
      <c r="X29" s="927"/>
      <c r="Y29" s="927"/>
      <c r="Z29" s="927"/>
      <c r="AA29" s="927"/>
      <c r="AB29" s="927"/>
      <c r="AC29" s="663">
        <f t="shared" si="3"/>
        <v>0</v>
      </c>
      <c r="AD29" s="503" t="str">
        <f t="shared" si="4"/>
        <v xml:space="preserve">Ok </v>
      </c>
      <c r="AE29" s="494"/>
      <c r="AF29" s="494"/>
    </row>
    <row r="30" spans="1:32" x14ac:dyDescent="0.2">
      <c r="A30" s="397" t="s">
        <v>356</v>
      </c>
      <c r="C30" s="1038">
        <f>+C88</f>
        <v>0</v>
      </c>
      <c r="D30" s="1038">
        <f>+D88</f>
        <v>0</v>
      </c>
      <c r="E30" s="500"/>
      <c r="G30" s="506">
        <f>SUM(H30:AB30)</f>
        <v>0</v>
      </c>
      <c r="H30" s="422"/>
      <c r="I30" s="422"/>
      <c r="J30" s="422"/>
      <c r="K30" s="422"/>
      <c r="L30" s="422"/>
      <c r="M30" s="422"/>
      <c r="N30" s="422"/>
      <c r="O30" s="422"/>
      <c r="P30" s="422"/>
      <c r="Q30" s="422"/>
      <c r="R30" s="422"/>
      <c r="S30" s="422"/>
      <c r="T30" s="422"/>
      <c r="U30" s="422"/>
      <c r="V30" s="422"/>
      <c r="W30" s="422"/>
      <c r="X30" s="422"/>
      <c r="Y30" s="422"/>
      <c r="Z30" s="422"/>
      <c r="AA30" s="422"/>
      <c r="AB30" s="422"/>
      <c r="AC30" s="504">
        <f t="shared" si="3"/>
        <v>0</v>
      </c>
      <c r="AD30" s="503" t="str">
        <f t="shared" si="4"/>
        <v xml:space="preserve">Ok </v>
      </c>
    </row>
    <row r="31" spans="1:32" ht="12.75" customHeight="1" x14ac:dyDescent="0.2">
      <c r="A31" s="397" t="s">
        <v>170</v>
      </c>
      <c r="C31" s="459">
        <f>+'alb Note 14 - Provisions CY'!J22</f>
        <v>0</v>
      </c>
      <c r="D31" s="1038">
        <f>'alb Note 14 - Provisions PY'!J20</f>
        <v>0</v>
      </c>
      <c r="E31" s="500" t="s">
        <v>281</v>
      </c>
      <c r="G31" s="506">
        <f t="shared" si="0"/>
        <v>0</v>
      </c>
      <c r="H31" s="422"/>
      <c r="I31" s="422"/>
      <c r="J31" s="422"/>
      <c r="K31" s="422"/>
      <c r="L31" s="422"/>
      <c r="M31" s="422"/>
      <c r="N31" s="422"/>
      <c r="O31" s="422"/>
      <c r="P31" s="422"/>
      <c r="Q31" s="422"/>
      <c r="R31" s="422"/>
      <c r="S31" s="422"/>
      <c r="T31" s="422"/>
      <c r="U31" s="422"/>
      <c r="V31" s="422"/>
      <c r="W31" s="422"/>
      <c r="X31" s="422"/>
      <c r="Y31" s="422"/>
      <c r="Z31" s="422"/>
      <c r="AA31" s="422"/>
      <c r="AB31" s="422"/>
      <c r="AC31" s="504">
        <f t="shared" si="3"/>
        <v>0</v>
      </c>
      <c r="AD31" s="503" t="str">
        <f t="shared" si="4"/>
        <v xml:space="preserve">Ok </v>
      </c>
    </row>
    <row r="32" spans="1:32" s="1079" customFormat="1" ht="12.75" customHeight="1" x14ac:dyDescent="0.2">
      <c r="A32" s="1079" t="s">
        <v>2500</v>
      </c>
      <c r="C32" s="1037"/>
      <c r="D32" s="1037"/>
      <c r="E32" s="1097" t="s">
        <v>281</v>
      </c>
      <c r="G32" s="1606">
        <f t="shared" si="0"/>
        <v>0</v>
      </c>
      <c r="H32" s="1607"/>
      <c r="I32" s="1607"/>
      <c r="J32" s="1607"/>
      <c r="K32" s="1607"/>
      <c r="L32" s="1607"/>
      <c r="M32" s="1607"/>
      <c r="N32" s="1607"/>
      <c r="O32" s="1607"/>
      <c r="P32" s="1607"/>
      <c r="Q32" s="1607"/>
      <c r="R32" s="1607"/>
      <c r="S32" s="1607"/>
      <c r="T32" s="1607"/>
      <c r="U32" s="1607"/>
      <c r="V32" s="1607"/>
      <c r="W32" s="1607"/>
      <c r="X32" s="1607"/>
      <c r="Y32" s="1607"/>
      <c r="Z32" s="1607"/>
      <c r="AA32" s="1607"/>
      <c r="AB32" s="1607"/>
      <c r="AC32" s="1600">
        <f t="shared" si="3"/>
        <v>0</v>
      </c>
      <c r="AD32" s="1608" t="str">
        <f t="shared" si="4"/>
        <v xml:space="preserve">Ok </v>
      </c>
    </row>
    <row r="33" spans="1:30" ht="12.75" customHeight="1" x14ac:dyDescent="0.2">
      <c r="A33" s="930" t="s">
        <v>2073</v>
      </c>
      <c r="B33" s="531" t="s">
        <v>2084</v>
      </c>
      <c r="C33" s="513"/>
      <c r="D33" s="455"/>
      <c r="E33" s="500"/>
      <c r="G33" s="506">
        <f t="shared" si="0"/>
        <v>0</v>
      </c>
      <c r="H33" s="422"/>
      <c r="I33" s="422"/>
      <c r="J33" s="422"/>
      <c r="K33" s="422"/>
      <c r="L33" s="422"/>
      <c r="M33" s="422"/>
      <c r="N33" s="422"/>
      <c r="O33" s="422"/>
      <c r="P33" s="422"/>
      <c r="Q33" s="422"/>
      <c r="R33" s="422"/>
      <c r="S33" s="422"/>
      <c r="T33" s="422"/>
      <c r="U33" s="422"/>
      <c r="V33" s="422"/>
      <c r="W33" s="422"/>
      <c r="X33" s="422"/>
      <c r="Y33" s="422"/>
      <c r="Z33" s="422"/>
      <c r="AA33" s="422"/>
      <c r="AB33" s="422"/>
      <c r="AC33" s="504">
        <f t="shared" si="3"/>
        <v>0</v>
      </c>
      <c r="AD33" s="503" t="str">
        <f t="shared" si="4"/>
        <v xml:space="preserve">Ok </v>
      </c>
    </row>
    <row r="34" spans="1:30" ht="12.75" customHeight="1" x14ac:dyDescent="0.2">
      <c r="A34" s="930" t="s">
        <v>2399</v>
      </c>
      <c r="B34" s="531" t="s">
        <v>1218</v>
      </c>
      <c r="C34" s="513"/>
      <c r="D34" s="455"/>
      <c r="E34" s="500"/>
      <c r="G34" s="506">
        <f t="shared" si="0"/>
        <v>0</v>
      </c>
      <c r="H34" s="422"/>
      <c r="I34" s="422"/>
      <c r="J34" s="422"/>
      <c r="K34" s="422"/>
      <c r="L34" s="422"/>
      <c r="M34" s="422"/>
      <c r="N34" s="422"/>
      <c r="O34" s="422"/>
      <c r="P34" s="422"/>
      <c r="Q34" s="422"/>
      <c r="R34" s="422"/>
      <c r="S34" s="422"/>
      <c r="T34" s="422"/>
      <c r="U34" s="422"/>
      <c r="V34" s="422"/>
      <c r="W34" s="422"/>
      <c r="X34" s="422"/>
      <c r="Y34" s="422"/>
      <c r="Z34" s="422"/>
      <c r="AA34" s="422"/>
      <c r="AB34" s="422"/>
      <c r="AC34" s="504">
        <f t="shared" si="3"/>
        <v>0</v>
      </c>
      <c r="AD34" s="503" t="str">
        <f t="shared" si="4"/>
        <v xml:space="preserve">Ok </v>
      </c>
    </row>
    <row r="35" spans="1:30" ht="12.75" customHeight="1" x14ac:dyDescent="0.2">
      <c r="A35" s="930" t="s">
        <v>2400</v>
      </c>
      <c r="B35" s="531" t="s">
        <v>1218</v>
      </c>
      <c r="C35" s="513"/>
      <c r="D35" s="455"/>
      <c r="E35" s="500"/>
      <c r="G35" s="506">
        <f t="shared" si="0"/>
        <v>0</v>
      </c>
      <c r="H35" s="422"/>
      <c r="I35" s="422"/>
      <c r="J35" s="422"/>
      <c r="K35" s="422"/>
      <c r="L35" s="422"/>
      <c r="M35" s="422"/>
      <c r="N35" s="422"/>
      <c r="O35" s="422"/>
      <c r="P35" s="422"/>
      <c r="Q35" s="422"/>
      <c r="R35" s="422"/>
      <c r="S35" s="422"/>
      <c r="T35" s="422"/>
      <c r="U35" s="422"/>
      <c r="V35" s="422"/>
      <c r="W35" s="422"/>
      <c r="X35" s="422"/>
      <c r="Y35" s="422"/>
      <c r="Z35" s="422"/>
      <c r="AA35" s="422"/>
      <c r="AB35" s="422"/>
      <c r="AC35" s="504">
        <f t="shared" si="3"/>
        <v>0</v>
      </c>
      <c r="AD35" s="503" t="str">
        <f t="shared" si="4"/>
        <v xml:space="preserve">Ok </v>
      </c>
    </row>
    <row r="36" spans="1:30" ht="12.75" customHeight="1" x14ac:dyDescent="0.2">
      <c r="A36" s="930" t="s">
        <v>2401</v>
      </c>
      <c r="B36" s="531" t="s">
        <v>1218</v>
      </c>
      <c r="C36" s="513"/>
      <c r="D36" s="455"/>
      <c r="E36" s="500"/>
      <c r="G36" s="506">
        <f t="shared" si="0"/>
        <v>0</v>
      </c>
      <c r="H36" s="422"/>
      <c r="I36" s="422"/>
      <c r="J36" s="422"/>
      <c r="K36" s="422"/>
      <c r="L36" s="422"/>
      <c r="M36" s="422"/>
      <c r="N36" s="422"/>
      <c r="O36" s="422"/>
      <c r="P36" s="422"/>
      <c r="Q36" s="422"/>
      <c r="R36" s="422"/>
      <c r="S36" s="422"/>
      <c r="T36" s="422"/>
      <c r="U36" s="422"/>
      <c r="V36" s="422"/>
      <c r="W36" s="422"/>
      <c r="X36" s="422"/>
      <c r="Y36" s="422"/>
      <c r="Z36" s="422"/>
      <c r="AA36" s="422"/>
      <c r="AB36" s="422"/>
      <c r="AC36" s="504">
        <f t="shared" si="3"/>
        <v>0</v>
      </c>
      <c r="AD36" s="503" t="str">
        <f t="shared" si="4"/>
        <v xml:space="preserve">Ok </v>
      </c>
    </row>
    <row r="37" spans="1:30" ht="12.75" customHeight="1" x14ac:dyDescent="0.2">
      <c r="A37" s="930" t="s">
        <v>2402</v>
      </c>
      <c r="B37" s="531" t="s">
        <v>1218</v>
      </c>
      <c r="C37" s="513"/>
      <c r="D37" s="455"/>
      <c r="E37" s="500"/>
      <c r="G37" s="506">
        <f>SUM(H37:AB37)</f>
        <v>0</v>
      </c>
      <c r="H37" s="422"/>
      <c r="I37" s="422"/>
      <c r="J37" s="422"/>
      <c r="K37" s="422"/>
      <c r="L37" s="422"/>
      <c r="M37" s="422"/>
      <c r="N37" s="422"/>
      <c r="O37" s="422"/>
      <c r="P37" s="422"/>
      <c r="Q37" s="422"/>
      <c r="R37" s="422"/>
      <c r="S37" s="422"/>
      <c r="T37" s="422"/>
      <c r="U37" s="422"/>
      <c r="V37" s="422"/>
      <c r="W37" s="422"/>
      <c r="X37" s="422"/>
      <c r="Y37" s="422"/>
      <c r="Z37" s="422"/>
      <c r="AA37" s="422"/>
      <c r="AB37" s="422"/>
      <c r="AC37" s="504">
        <f>C37-G37</f>
        <v>0</v>
      </c>
      <c r="AD37" s="503" t="str">
        <f>IF(C37&gt;=0,IF(G37&gt;=0,IF(C37&gt;=G37,"Ok ","Check size "),"Check sign"),IF(G37&gt;0,"Check sign ",IF(ABS(C37)&gt;=ABS(G37),"Ok ","Check size ")))</f>
        <v xml:space="preserve">Ok </v>
      </c>
    </row>
    <row r="38" spans="1:30" ht="12.75" customHeight="1" x14ac:dyDescent="0.2">
      <c r="A38" s="930" t="s">
        <v>2403</v>
      </c>
      <c r="B38" s="531" t="s">
        <v>1218</v>
      </c>
      <c r="C38" s="513"/>
      <c r="D38" s="455"/>
      <c r="E38" s="500"/>
      <c r="G38" s="506">
        <f>SUM(H38:AB38)</f>
        <v>0</v>
      </c>
      <c r="H38" s="422"/>
      <c r="I38" s="422"/>
      <c r="J38" s="422"/>
      <c r="K38" s="422"/>
      <c r="L38" s="422"/>
      <c r="M38" s="422"/>
      <c r="N38" s="422"/>
      <c r="O38" s="422"/>
      <c r="P38" s="422"/>
      <c r="Q38" s="422"/>
      <c r="R38" s="422"/>
      <c r="S38" s="422"/>
      <c r="T38" s="422"/>
      <c r="U38" s="422"/>
      <c r="V38" s="422"/>
      <c r="W38" s="422"/>
      <c r="X38" s="422"/>
      <c r="Y38" s="422"/>
      <c r="Z38" s="422"/>
      <c r="AA38" s="422"/>
      <c r="AB38" s="422"/>
      <c r="AC38" s="504">
        <f>C38-G38</f>
        <v>0</v>
      </c>
      <c r="AD38" s="503" t="str">
        <f>IF(C38&gt;=0,IF(G38&gt;=0,IF(C38&gt;=G38,"Ok ","Check size "),"Check sign"),IF(G38&gt;0,"Check sign ",IF(ABS(C38)&gt;=ABS(G38),"Ok ","Check size ")))</f>
        <v xml:space="preserve">Ok </v>
      </c>
    </row>
    <row r="39" spans="1:30" ht="12.75" customHeight="1" x14ac:dyDescent="0.2">
      <c r="A39" s="930" t="s">
        <v>2404</v>
      </c>
      <c r="B39" s="531" t="s">
        <v>1218</v>
      </c>
      <c r="C39" s="513"/>
      <c r="D39" s="455"/>
      <c r="E39" s="500"/>
      <c r="G39" s="506">
        <f>SUM(H39:AB39)</f>
        <v>0</v>
      </c>
      <c r="H39" s="422"/>
      <c r="I39" s="422"/>
      <c r="J39" s="422"/>
      <c r="K39" s="422"/>
      <c r="L39" s="422"/>
      <c r="M39" s="422"/>
      <c r="N39" s="422"/>
      <c r="O39" s="422"/>
      <c r="P39" s="422"/>
      <c r="Q39" s="422"/>
      <c r="R39" s="422"/>
      <c r="S39" s="422"/>
      <c r="T39" s="422"/>
      <c r="U39" s="422"/>
      <c r="V39" s="422"/>
      <c r="W39" s="422"/>
      <c r="X39" s="422"/>
      <c r="Y39" s="422"/>
      <c r="Z39" s="422"/>
      <c r="AA39" s="422"/>
      <c r="AB39" s="422"/>
      <c r="AC39" s="504">
        <f>C39-G39</f>
        <v>0</v>
      </c>
      <c r="AD39" s="503" t="str">
        <f>IF(C39&gt;=0,IF(G39&gt;=0,IF(C39&gt;=G39,"Ok ","Check size "),"Check sign"),IF(G39&gt;0,"Check sign ",IF(ABS(C39)&gt;=ABS(G39),"Ok ","Check size ")))</f>
        <v xml:space="preserve">Ok </v>
      </c>
    </row>
    <row r="40" spans="1:30" ht="12.75" customHeight="1" x14ac:dyDescent="0.2">
      <c r="C40" s="457"/>
      <c r="D40" s="457"/>
      <c r="E40" s="500" t="s">
        <v>281</v>
      </c>
      <c r="G40" s="506">
        <f>SUM(H40:AB40)</f>
        <v>0</v>
      </c>
      <c r="H40" s="457"/>
      <c r="I40" s="457"/>
      <c r="J40" s="457"/>
      <c r="K40" s="457"/>
      <c r="L40" s="457"/>
      <c r="M40" s="457"/>
      <c r="N40" s="457"/>
      <c r="O40" s="457"/>
      <c r="P40" s="457"/>
      <c r="Q40" s="457"/>
      <c r="R40" s="457"/>
      <c r="S40" s="457"/>
      <c r="T40" s="457"/>
      <c r="U40" s="457"/>
      <c r="V40" s="457"/>
      <c r="W40" s="457"/>
      <c r="X40" s="457"/>
      <c r="Y40" s="457"/>
      <c r="Z40" s="457"/>
      <c r="AA40" s="457"/>
      <c r="AB40" s="457"/>
    </row>
    <row r="41" spans="1:30" ht="12.75" customHeight="1" thickBot="1" x14ac:dyDescent="0.25">
      <c r="A41" s="388" t="s">
        <v>146</v>
      </c>
      <c r="C41" s="507">
        <f>SUM(C10:C39)</f>
        <v>0</v>
      </c>
      <c r="D41" s="507">
        <f>SUM(D10:D39)</f>
        <v>0</v>
      </c>
      <c r="G41" s="507">
        <f>SUM(G10:G39)</f>
        <v>0</v>
      </c>
      <c r="H41" s="507">
        <f>SUM(H10:H39)</f>
        <v>0</v>
      </c>
      <c r="I41" s="507">
        <f t="shared" ref="I41:AC41" si="5">SUM(I10:I39)</f>
        <v>0</v>
      </c>
      <c r="J41" s="507">
        <f t="shared" si="5"/>
        <v>0</v>
      </c>
      <c r="K41" s="507">
        <f t="shared" si="5"/>
        <v>0</v>
      </c>
      <c r="L41" s="507">
        <f t="shared" si="5"/>
        <v>0</v>
      </c>
      <c r="M41" s="507">
        <f t="shared" si="5"/>
        <v>0</v>
      </c>
      <c r="N41" s="507">
        <f t="shared" si="5"/>
        <v>0</v>
      </c>
      <c r="O41" s="507">
        <f t="shared" si="5"/>
        <v>0</v>
      </c>
      <c r="P41" s="507">
        <f t="shared" si="5"/>
        <v>0</v>
      </c>
      <c r="Q41" s="507">
        <f t="shared" si="5"/>
        <v>0</v>
      </c>
      <c r="R41" s="507">
        <f t="shared" si="5"/>
        <v>0</v>
      </c>
      <c r="S41" s="507">
        <f t="shared" si="5"/>
        <v>0</v>
      </c>
      <c r="T41" s="507">
        <f t="shared" si="5"/>
        <v>0</v>
      </c>
      <c r="U41" s="507">
        <f t="shared" si="5"/>
        <v>0</v>
      </c>
      <c r="V41" s="507">
        <f t="shared" si="5"/>
        <v>0</v>
      </c>
      <c r="W41" s="507">
        <f t="shared" si="5"/>
        <v>0</v>
      </c>
      <c r="X41" s="507">
        <f t="shared" si="5"/>
        <v>0</v>
      </c>
      <c r="Y41" s="507">
        <f t="shared" si="5"/>
        <v>0</v>
      </c>
      <c r="Z41" s="507">
        <f t="shared" si="5"/>
        <v>0</v>
      </c>
      <c r="AA41" s="507">
        <f t="shared" si="5"/>
        <v>0</v>
      </c>
      <c r="AB41" s="507">
        <f t="shared" si="5"/>
        <v>0</v>
      </c>
      <c r="AC41" s="507">
        <f t="shared" si="5"/>
        <v>0</v>
      </c>
      <c r="AD41" s="503" t="str">
        <f>IF(C41&gt;=0,IF(G41&gt;=0,IF(C41&gt;=G41,"Ok ","Check size "),"Check sign"),IF(G41&gt;0,"Check sign ",IF(ABS(C41)&gt;=ABS(G41),"Ok ","Check size ")))</f>
        <v xml:space="preserve">Ok </v>
      </c>
    </row>
    <row r="42" spans="1:30" ht="12.75" customHeight="1" thickTop="1" x14ac:dyDescent="0.2"/>
    <row r="43" spans="1:30" ht="12.75" customHeight="1" x14ac:dyDescent="0.2">
      <c r="A43" s="397" t="s">
        <v>1248</v>
      </c>
      <c r="C43" s="572"/>
      <c r="D43" s="573"/>
    </row>
    <row r="44" spans="1:30" ht="12.75" customHeight="1" x14ac:dyDescent="0.2">
      <c r="C44" s="572"/>
      <c r="D44" s="500"/>
    </row>
    <row r="45" spans="1:30" ht="12.75" customHeight="1" x14ac:dyDescent="0.2">
      <c r="A45" s="397" t="s">
        <v>1744</v>
      </c>
      <c r="C45" s="572" t="s">
        <v>62</v>
      </c>
      <c r="D45" s="500"/>
    </row>
    <row r="46" spans="1:30" ht="12.75" customHeight="1" x14ac:dyDescent="0.2">
      <c r="A46" s="397" t="s">
        <v>1739</v>
      </c>
      <c r="C46" s="513"/>
      <c r="D46" s="500"/>
    </row>
    <row r="47" spans="1:30" ht="12.75" customHeight="1" x14ac:dyDescent="0.2">
      <c r="A47" s="397" t="s">
        <v>1740</v>
      </c>
      <c r="C47" s="513"/>
      <c r="D47" s="500"/>
    </row>
    <row r="48" spans="1:30" ht="12.75" customHeight="1" x14ac:dyDescent="0.2">
      <c r="A48" s="789" t="s">
        <v>1741</v>
      </c>
      <c r="C48" s="500"/>
      <c r="D48" s="500"/>
    </row>
    <row r="49" spans="1:5" ht="12.75" customHeight="1" x14ac:dyDescent="0.2">
      <c r="A49" s="513"/>
      <c r="C49" s="513"/>
      <c r="D49" s="500"/>
    </row>
    <row r="50" spans="1:5" ht="12.75" customHeight="1" x14ac:dyDescent="0.2">
      <c r="A50" s="513"/>
      <c r="C50" s="513"/>
      <c r="D50" s="500"/>
    </row>
    <row r="51" spans="1:5" ht="12.75" customHeight="1" x14ac:dyDescent="0.2">
      <c r="A51" s="513"/>
      <c r="C51" s="513"/>
      <c r="D51" s="500"/>
    </row>
    <row r="52" spans="1:5" ht="12.75" customHeight="1" x14ac:dyDescent="0.2">
      <c r="C52" s="500"/>
      <c r="D52" s="500"/>
    </row>
    <row r="53" spans="1:5" x14ac:dyDescent="0.2">
      <c r="A53" s="454" t="s">
        <v>2336</v>
      </c>
      <c r="C53" s="500"/>
      <c r="D53" s="500"/>
    </row>
    <row r="54" spans="1:5" ht="12.75" customHeight="1" x14ac:dyDescent="0.2">
      <c r="C54" s="500"/>
      <c r="D54" s="500"/>
    </row>
    <row r="55" spans="1:5" ht="12.75" customHeight="1" x14ac:dyDescent="0.2">
      <c r="C55" s="500"/>
      <c r="D55" s="500"/>
    </row>
    <row r="56" spans="1:5" ht="12.75" customHeight="1" x14ac:dyDescent="0.2">
      <c r="A56" s="937" t="s">
        <v>2388</v>
      </c>
      <c r="B56" s="1186"/>
      <c r="C56" s="931"/>
      <c r="D56" s="931"/>
      <c r="E56" s="931"/>
    </row>
    <row r="57" spans="1:5" ht="12.75" customHeight="1" x14ac:dyDescent="0.2">
      <c r="A57" s="931"/>
      <c r="B57" s="1186"/>
      <c r="C57" s="931"/>
      <c r="D57" s="931"/>
      <c r="E57" s="931"/>
    </row>
    <row r="58" spans="1:5" ht="12.75" customHeight="1" x14ac:dyDescent="0.2">
      <c r="A58" s="2108" t="s">
        <v>2375</v>
      </c>
      <c r="B58" s="2108"/>
      <c r="C58" s="2108"/>
      <c r="D58" s="2108"/>
      <c r="E58" s="2108"/>
    </row>
    <row r="59" spans="1:5" ht="12.75" customHeight="1" x14ac:dyDescent="0.2">
      <c r="A59" s="2108"/>
      <c r="B59" s="2108"/>
      <c r="C59" s="2108"/>
      <c r="D59" s="2108"/>
      <c r="E59" s="2108"/>
    </row>
    <row r="60" spans="1:5" ht="12.75" customHeight="1" x14ac:dyDescent="0.2">
      <c r="A60" s="2108"/>
      <c r="B60" s="2108"/>
      <c r="C60" s="2108"/>
      <c r="D60" s="2108"/>
      <c r="E60" s="2108"/>
    </row>
    <row r="61" spans="1:5" ht="12.75" customHeight="1" x14ac:dyDescent="0.2">
      <c r="A61" s="931"/>
      <c r="B61" s="1186"/>
      <c r="C61" s="931"/>
      <c r="D61" s="931"/>
    </row>
    <row r="62" spans="1:5" ht="12.75" customHeight="1" x14ac:dyDescent="0.2">
      <c r="A62" s="931"/>
      <c r="B62" s="1186"/>
      <c r="C62" s="461" t="str">
        <f>Update!$C$38</f>
        <v>2025-26</v>
      </c>
      <c r="D62" s="461" t="str">
        <f>Update!$C$37</f>
        <v>2024-25</v>
      </c>
    </row>
    <row r="63" spans="1:5" ht="12.75" customHeight="1" x14ac:dyDescent="0.2">
      <c r="A63" s="931"/>
      <c r="B63" s="1186"/>
      <c r="C63" s="556" t="s">
        <v>493</v>
      </c>
      <c r="D63" s="556" t="s">
        <v>493</v>
      </c>
    </row>
    <row r="64" spans="1:5" ht="12.75" customHeight="1" x14ac:dyDescent="0.2">
      <c r="A64" s="931" t="s">
        <v>476</v>
      </c>
      <c r="B64" s="1186"/>
      <c r="C64" s="1473"/>
      <c r="D64" s="1473"/>
    </row>
    <row r="65" spans="1:4" ht="12.75" customHeight="1" x14ac:dyDescent="0.2">
      <c r="A65" s="931" t="s">
        <v>2457</v>
      </c>
      <c r="B65" s="1186"/>
      <c r="C65" s="513"/>
      <c r="D65" s="513"/>
    </row>
    <row r="66" spans="1:4" ht="12.75" customHeight="1" x14ac:dyDescent="0.2">
      <c r="A66" s="931" t="s">
        <v>5</v>
      </c>
      <c r="B66" s="1186"/>
      <c r="C66" s="513"/>
      <c r="D66" s="513"/>
    </row>
    <row r="67" spans="1:4" ht="12.75" customHeight="1" x14ac:dyDescent="0.2">
      <c r="A67" s="931"/>
      <c r="B67" s="1186"/>
      <c r="C67" s="931"/>
      <c r="D67" s="931"/>
    </row>
    <row r="68" spans="1:4" ht="12.75" customHeight="1" x14ac:dyDescent="0.2">
      <c r="A68" s="937" t="s">
        <v>2376</v>
      </c>
      <c r="B68" s="1186"/>
      <c r="C68" s="1470">
        <f>SUM(C64:C66)</f>
        <v>0</v>
      </c>
      <c r="D68" s="938">
        <f>SUM(D64:D66)</f>
        <v>0</v>
      </c>
    </row>
    <row r="69" spans="1:4" ht="12.75" customHeight="1" x14ac:dyDescent="0.2">
      <c r="A69" s="931"/>
      <c r="B69" s="1186"/>
      <c r="C69" s="931"/>
      <c r="D69" s="931"/>
    </row>
    <row r="70" spans="1:4" ht="12.75" customHeight="1" x14ac:dyDescent="0.2">
      <c r="A70" s="931" t="s">
        <v>2377</v>
      </c>
      <c r="B70" s="1186"/>
      <c r="C70" s="513"/>
      <c r="D70" s="513"/>
    </row>
    <row r="71" spans="1:4" ht="12.75" customHeight="1" x14ac:dyDescent="0.2">
      <c r="A71" s="931" t="s">
        <v>25</v>
      </c>
      <c r="B71" s="1186"/>
      <c r="C71" s="513"/>
      <c r="D71" s="513"/>
    </row>
    <row r="72" spans="1:4" ht="12.75" customHeight="1" x14ac:dyDescent="0.2">
      <c r="A72" s="931" t="s">
        <v>2501</v>
      </c>
      <c r="B72" s="1186"/>
      <c r="C72" s="513"/>
      <c r="D72" s="513"/>
    </row>
    <row r="73" spans="1:4" ht="12.75" customHeight="1" x14ac:dyDescent="0.2">
      <c r="A73" s="931" t="s">
        <v>2378</v>
      </c>
      <c r="B73" s="1186"/>
      <c r="C73" s="513"/>
      <c r="D73" s="513"/>
    </row>
    <row r="74" spans="1:4" ht="12.75" customHeight="1" x14ac:dyDescent="0.2">
      <c r="A74" s="931" t="s">
        <v>2379</v>
      </c>
      <c r="B74" s="1186"/>
      <c r="C74" s="513"/>
      <c r="D74" s="513"/>
    </row>
    <row r="75" spans="1:4" ht="12.75" customHeight="1" x14ac:dyDescent="0.2">
      <c r="A75" s="931" t="s">
        <v>2380</v>
      </c>
      <c r="B75" s="1186"/>
      <c r="C75" s="513"/>
      <c r="D75" s="513"/>
    </row>
    <row r="76" spans="1:4" ht="12.75" customHeight="1" x14ac:dyDescent="0.2">
      <c r="A76" s="931" t="s">
        <v>2446</v>
      </c>
      <c r="B76" s="1186"/>
      <c r="C76" s="513"/>
      <c r="D76" s="513"/>
    </row>
    <row r="77" spans="1:4" ht="12.75" customHeight="1" x14ac:dyDescent="0.2">
      <c r="A77" s="931" t="s">
        <v>2381</v>
      </c>
      <c r="B77" s="1186"/>
      <c r="C77" s="513"/>
      <c r="D77" s="513"/>
    </row>
    <row r="78" spans="1:4" ht="12.75" customHeight="1" x14ac:dyDescent="0.2">
      <c r="A78" s="931" t="s">
        <v>2382</v>
      </c>
      <c r="B78" s="1186"/>
      <c r="C78" s="513"/>
      <c r="D78" s="513"/>
    </row>
    <row r="79" spans="1:4" ht="12.75" customHeight="1" x14ac:dyDescent="0.2">
      <c r="A79" s="931" t="s">
        <v>2383</v>
      </c>
      <c r="B79" s="1186"/>
      <c r="C79" s="513"/>
      <c r="D79" s="513"/>
    </row>
    <row r="80" spans="1:4" ht="12.75" customHeight="1" x14ac:dyDescent="0.2">
      <c r="A80" s="931" t="s">
        <v>27</v>
      </c>
      <c r="B80" s="1186"/>
      <c r="C80" s="513"/>
      <c r="D80" s="513"/>
    </row>
    <row r="81" spans="1:4" ht="12.75" customHeight="1" x14ac:dyDescent="0.2">
      <c r="A81" s="931" t="s">
        <v>29</v>
      </c>
      <c r="B81" s="1186"/>
      <c r="C81" s="513"/>
      <c r="D81" s="513"/>
    </row>
    <row r="82" spans="1:4" ht="12.75" customHeight="1" x14ac:dyDescent="0.2">
      <c r="A82" s="931" t="s">
        <v>2384</v>
      </c>
      <c r="B82" s="1186"/>
      <c r="C82" s="513"/>
      <c r="D82" s="513"/>
    </row>
    <row r="83" spans="1:4" ht="12.75" customHeight="1" x14ac:dyDescent="0.2">
      <c r="A83" s="931" t="s">
        <v>2385</v>
      </c>
      <c r="B83" s="1186"/>
      <c r="C83" s="513"/>
      <c r="D83" s="513"/>
    </row>
    <row r="84" spans="1:4" ht="12.75" customHeight="1" x14ac:dyDescent="0.2">
      <c r="A84" s="931" t="s">
        <v>2386</v>
      </c>
      <c r="B84" s="1186"/>
      <c r="C84" s="513"/>
      <c r="D84" s="513"/>
    </row>
    <row r="85" spans="1:4" ht="12.75" customHeight="1" x14ac:dyDescent="0.2">
      <c r="A85" s="931" t="s">
        <v>37</v>
      </c>
      <c r="B85" s="1186"/>
      <c r="C85" s="513"/>
      <c r="D85" s="513"/>
    </row>
    <row r="86" spans="1:4" ht="12.75" customHeight="1" x14ac:dyDescent="0.2">
      <c r="A86" s="931" t="s">
        <v>39</v>
      </c>
      <c r="B86" s="1186"/>
      <c r="C86" s="513"/>
      <c r="D86" s="513"/>
    </row>
    <row r="87" spans="1:4" ht="12.75" customHeight="1" x14ac:dyDescent="0.2">
      <c r="A87" s="931"/>
      <c r="B87" s="1186"/>
      <c r="C87" s="931"/>
      <c r="D87" s="931"/>
    </row>
    <row r="88" spans="1:4" ht="12.75" customHeight="1" thickBot="1" x14ac:dyDescent="0.25">
      <c r="A88" s="937" t="s">
        <v>2387</v>
      </c>
      <c r="B88" s="1186"/>
      <c r="C88" s="1448">
        <f>SUM(C68:C86)</f>
        <v>0</v>
      </c>
      <c r="D88" s="1448">
        <f>SUM(D68:D86)</f>
        <v>0</v>
      </c>
    </row>
    <row r="89" spans="1:4" ht="12.75" customHeight="1" x14ac:dyDescent="0.2">
      <c r="A89" s="931"/>
      <c r="B89" s="1186"/>
      <c r="C89" s="931"/>
      <c r="D89" s="931"/>
    </row>
    <row r="90" spans="1:4" ht="12.75" customHeight="1" x14ac:dyDescent="0.2">
      <c r="A90" s="388" t="s">
        <v>2332</v>
      </c>
      <c r="C90" s="573"/>
      <c r="D90" s="573"/>
    </row>
    <row r="91" spans="1:4" ht="12.75" customHeight="1" x14ac:dyDescent="0.2">
      <c r="A91" s="397" t="s">
        <v>2329</v>
      </c>
      <c r="C91" s="513"/>
      <c r="D91" s="455"/>
    </row>
    <row r="92" spans="1:4" ht="12.75" customHeight="1" x14ac:dyDescent="0.2">
      <c r="C92" s="573"/>
      <c r="D92" s="573"/>
    </row>
    <row r="93" spans="1:4" ht="12.75" customHeight="1" x14ac:dyDescent="0.2">
      <c r="C93" s="573"/>
      <c r="D93" s="573"/>
    </row>
  </sheetData>
  <sheetProtection algorithmName="SHA-512" hashValue="ipVn5717XTOBaLp9LXuvHS7SFGIrL8vLGqxVPNu/f6D7bwqOPq4g0xgFmfTArTJyhsk0DhxoKiaJcPpoB/8WGQ==" saltValue="rHJ1BMVKqjTiu6lBS5fujg==" spinCount="100000" sheet="1" formatColumns="0" formatRows="0"/>
  <mergeCells count="1">
    <mergeCell ref="A58:E60"/>
  </mergeCells>
  <conditionalFormatting sqref="A1:AD6 A7:B7 E7:AD7 A43:AD55 F56:AC60 E61:AB76 A90:AD93">
    <cfRule type="expression" dxfId="219" priority="11">
      <formula>CELL("Protect",A1)=0</formula>
    </cfRule>
  </conditionalFormatting>
  <conditionalFormatting sqref="A8:AD41">
    <cfRule type="expression" dxfId="218" priority="1">
      <formula>CELL("Protect",A8)=0</formula>
    </cfRule>
  </conditionalFormatting>
  <conditionalFormatting sqref="C62:D62">
    <cfRule type="expression" dxfId="217" priority="10">
      <formula>CELL("Protect",C62)=0</formula>
    </cfRule>
  </conditionalFormatting>
  <conditionalFormatting sqref="C64:D66">
    <cfRule type="expression" dxfId="216" priority="2">
      <formula>CELL("Protect",C64)=0</formula>
    </cfRule>
  </conditionalFormatting>
  <conditionalFormatting sqref="C70:D86">
    <cfRule type="expression" dxfId="215" priority="6">
      <formula>CELL("Protect",C70)=0</formula>
    </cfRule>
  </conditionalFormatting>
  <pageMargins left="0.74803149606299213" right="0.74803149606299213" top="0.59055118110236227" bottom="0.59055118110236227" header="0.51181102362204722" footer="0.51181102362204722"/>
  <pageSetup paperSize="9" scale="4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3">
    <tabColor rgb="FFFFFF00"/>
    <pageSetUpPr fitToPage="1"/>
  </sheetPr>
  <dimension ref="A1:AA38"/>
  <sheetViews>
    <sheetView zoomScaleNormal="100" workbookViewId="0">
      <pane xSplit="3" ySplit="11" topLeftCell="D12" activePane="bottomRight" state="frozen"/>
      <selection activeCell="F19" sqref="F19"/>
      <selection pane="topRight" activeCell="F19" sqref="F19"/>
      <selection pane="bottomLeft" activeCell="F19" sqref="F19"/>
      <selection pane="bottomRight" activeCell="D12" sqref="D12"/>
    </sheetView>
  </sheetViews>
  <sheetFormatPr defaultColWidth="9.140625" defaultRowHeight="12.75" customHeight="1" outlineLevelCol="1" x14ac:dyDescent="0.2"/>
  <cols>
    <col min="1" max="1" width="43.7109375" style="397" customWidth="1"/>
    <col min="2" max="2" width="14.7109375" style="480" customWidth="1"/>
    <col min="3" max="3" width="11.28515625" style="480" customWidth="1"/>
    <col min="4" max="4" width="7.7109375" style="397" customWidth="1"/>
    <col min="5" max="6" width="9.140625" style="397"/>
    <col min="7" max="16" width="9.140625" style="397" outlineLevel="1"/>
    <col min="17" max="17" width="15.140625" style="397" customWidth="1" outlineLevel="1"/>
    <col min="18" max="20" width="9.140625" style="397" outlineLevel="1"/>
    <col min="21" max="21" width="12.140625" style="397" customWidth="1" outlineLevel="1"/>
    <col min="22" max="26" width="9.140625" style="397" outlineLevel="1"/>
    <col min="27" max="27" width="10.7109375" style="397" bestFit="1" customWidth="1"/>
    <col min="28" max="16384" width="9.140625" style="397"/>
  </cols>
  <sheetData>
    <row r="1" spans="1:27" ht="14.65" customHeight="1" x14ac:dyDescent="0.2">
      <c r="A1" s="416" t="str">
        <f>'alb Instructions'!$B$20</f>
        <v>enter HSC Body name here</v>
      </c>
      <c r="B1" s="449"/>
      <c r="C1" s="449"/>
    </row>
    <row r="2" spans="1:27" ht="12.75" customHeight="1" x14ac:dyDescent="0.2">
      <c r="A2" s="388"/>
      <c r="B2" s="445"/>
      <c r="C2" s="445"/>
    </row>
    <row r="3" spans="1:27" ht="12.75" customHeight="1" x14ac:dyDescent="0.2">
      <c r="A3" s="416" t="str">
        <f>"NOTES TO THE ACCOUNTS FOR THE YEAR ENDED"&amp;Update!$B$22</f>
        <v>NOTES TO THE ACCOUNTS FOR THE YEAR ENDED 31 March 2026</v>
      </c>
      <c r="B3" s="416"/>
      <c r="C3" s="388"/>
    </row>
    <row r="4" spans="1:27" ht="12.75" customHeight="1" x14ac:dyDescent="0.2">
      <c r="A4" s="388"/>
      <c r="B4" s="445"/>
      <c r="C4" s="501"/>
    </row>
    <row r="5" spans="1:27" ht="12.75" customHeight="1" x14ac:dyDescent="0.2">
      <c r="A5" s="388" t="s">
        <v>2337</v>
      </c>
      <c r="B5" s="445"/>
      <c r="C5" s="501"/>
      <c r="F5" s="388" t="s">
        <v>930</v>
      </c>
    </row>
    <row r="6" spans="1:27" ht="12.75" customHeight="1" x14ac:dyDescent="0.2">
      <c r="B6" s="450"/>
      <c r="C6" s="501"/>
      <c r="E6" s="579"/>
      <c r="F6" s="579" t="s">
        <v>345</v>
      </c>
      <c r="G6" s="579" t="s">
        <v>2459</v>
      </c>
      <c r="H6" s="579" t="s">
        <v>4</v>
      </c>
      <c r="I6" s="579" t="s">
        <v>10</v>
      </c>
      <c r="J6" s="579" t="s">
        <v>24</v>
      </c>
      <c r="K6" s="579" t="s">
        <v>16</v>
      </c>
      <c r="L6" s="579" t="s">
        <v>18</v>
      </c>
      <c r="M6" s="579" t="s">
        <v>34</v>
      </c>
      <c r="N6" s="580" t="s">
        <v>1252</v>
      </c>
      <c r="O6" s="579" t="s">
        <v>2448</v>
      </c>
      <c r="P6" s="579" t="s">
        <v>22</v>
      </c>
      <c r="Q6" s="579" t="s">
        <v>32</v>
      </c>
      <c r="R6" s="579" t="s">
        <v>30</v>
      </c>
      <c r="S6" s="579" t="s">
        <v>6</v>
      </c>
      <c r="T6" s="579" t="s">
        <v>26</v>
      </c>
      <c r="U6" s="579" t="s">
        <v>28</v>
      </c>
      <c r="V6" s="579" t="s">
        <v>12</v>
      </c>
      <c r="W6" s="579" t="s">
        <v>8</v>
      </c>
      <c r="X6" s="579" t="s">
        <v>14</v>
      </c>
      <c r="Y6" s="579" t="s">
        <v>36</v>
      </c>
      <c r="Z6" s="579" t="s">
        <v>38</v>
      </c>
    </row>
    <row r="7" spans="1:27" ht="56.25" x14ac:dyDescent="0.2">
      <c r="A7" s="484" t="s">
        <v>2338</v>
      </c>
      <c r="B7" s="462"/>
      <c r="C7" s="462"/>
      <c r="D7" s="412" t="s">
        <v>63</v>
      </c>
      <c r="E7" s="414" t="s">
        <v>604</v>
      </c>
      <c r="F7" s="413" t="s">
        <v>48</v>
      </c>
      <c r="G7" s="413" t="s">
        <v>2457</v>
      </c>
      <c r="H7" s="413" t="s">
        <v>5</v>
      </c>
      <c r="I7" s="413" t="s">
        <v>11</v>
      </c>
      <c r="J7" s="413" t="s">
        <v>25</v>
      </c>
      <c r="K7" s="413" t="s">
        <v>17</v>
      </c>
      <c r="L7" s="413" t="s">
        <v>19</v>
      </c>
      <c r="M7" s="413" t="s">
        <v>35</v>
      </c>
      <c r="N7" s="413" t="s">
        <v>900</v>
      </c>
      <c r="O7" s="413" t="s">
        <v>2446</v>
      </c>
      <c r="P7" s="413" t="s">
        <v>23</v>
      </c>
      <c r="Q7" s="413" t="s">
        <v>33</v>
      </c>
      <c r="R7" s="413" t="s">
        <v>31</v>
      </c>
      <c r="S7" s="413" t="s">
        <v>7</v>
      </c>
      <c r="T7" s="413" t="s">
        <v>27</v>
      </c>
      <c r="U7" s="413" t="s">
        <v>29</v>
      </c>
      <c r="V7" s="413" t="s">
        <v>13</v>
      </c>
      <c r="W7" s="413" t="s">
        <v>9</v>
      </c>
      <c r="X7" s="413" t="s">
        <v>15</v>
      </c>
      <c r="Y7" s="413" t="s">
        <v>37</v>
      </c>
      <c r="Z7" s="413" t="s">
        <v>39</v>
      </c>
      <c r="AA7" s="412" t="s">
        <v>932</v>
      </c>
    </row>
    <row r="8" spans="1:27" ht="12.75" customHeight="1" x14ac:dyDescent="0.2">
      <c r="B8" s="468"/>
      <c r="C8" s="468"/>
      <c r="D8" s="508"/>
      <c r="E8" s="411" t="s">
        <v>62</v>
      </c>
      <c r="F8" s="411" t="s">
        <v>62</v>
      </c>
      <c r="G8" s="411" t="s">
        <v>62</v>
      </c>
      <c r="H8" s="411" t="s">
        <v>62</v>
      </c>
      <c r="I8" s="411" t="s">
        <v>62</v>
      </c>
      <c r="J8" s="411" t="s">
        <v>62</v>
      </c>
      <c r="K8" s="411" t="s">
        <v>62</v>
      </c>
      <c r="L8" s="411" t="s">
        <v>62</v>
      </c>
      <c r="M8" s="411" t="s">
        <v>62</v>
      </c>
      <c r="N8" s="411" t="s">
        <v>62</v>
      </c>
      <c r="O8" s="411" t="s">
        <v>62</v>
      </c>
      <c r="P8" s="411" t="s">
        <v>62</v>
      </c>
      <c r="Q8" s="411" t="s">
        <v>62</v>
      </c>
      <c r="R8" s="411" t="s">
        <v>62</v>
      </c>
      <c r="S8" s="411" t="s">
        <v>62</v>
      </c>
      <c r="T8" s="411" t="s">
        <v>62</v>
      </c>
      <c r="U8" s="411" t="s">
        <v>62</v>
      </c>
      <c r="V8" s="411" t="s">
        <v>62</v>
      </c>
      <c r="W8" s="411" t="s">
        <v>62</v>
      </c>
      <c r="X8" s="411" t="s">
        <v>62</v>
      </c>
      <c r="Y8" s="411" t="s">
        <v>62</v>
      </c>
      <c r="Z8" s="411" t="s">
        <v>62</v>
      </c>
      <c r="AA8" s="508" t="s">
        <v>62</v>
      </c>
    </row>
    <row r="9" spans="1:27" ht="12.75" customHeight="1" x14ac:dyDescent="0.2">
      <c r="B9" s="462">
        <f>Update!$B$38</f>
        <v>2026</v>
      </c>
      <c r="C9" s="462">
        <f>Update!$B$37</f>
        <v>2025</v>
      </c>
    </row>
    <row r="10" spans="1:27" x14ac:dyDescent="0.2">
      <c r="B10" s="468" t="s">
        <v>146</v>
      </c>
      <c r="C10" s="468" t="s">
        <v>146</v>
      </c>
    </row>
    <row r="11" spans="1:27" x14ac:dyDescent="0.2">
      <c r="B11" s="468" t="s">
        <v>493</v>
      </c>
      <c r="C11" s="468" t="s">
        <v>493</v>
      </c>
    </row>
    <row r="12" spans="1:27" x14ac:dyDescent="0.2">
      <c r="A12" s="931" t="s">
        <v>2077</v>
      </c>
      <c r="B12" s="460"/>
      <c r="C12" s="460"/>
      <c r="D12" s="503" t="str">
        <f t="shared" ref="D12:D18" si="0">IF(B12&gt;=0,IF(E12&gt;=0,IF(B12&gt;=E12,"Ok ","Check size "),"Check sign"),IF(E12&gt;0,"Check sign ",IF(ABS(B12)&gt;=ABS(E12),"Ok ","Check size ")))</f>
        <v xml:space="preserve">Ok </v>
      </c>
      <c r="E12" s="506">
        <f t="shared" ref="E12:E17" si="1">SUM(F12:Z12)</f>
        <v>0</v>
      </c>
      <c r="F12" s="578"/>
      <c r="G12" s="578"/>
      <c r="H12" s="578"/>
      <c r="I12" s="578"/>
      <c r="J12" s="578"/>
      <c r="K12" s="578"/>
      <c r="L12" s="578"/>
      <c r="M12" s="578"/>
      <c r="N12" s="578"/>
      <c r="O12" s="578"/>
      <c r="P12" s="578"/>
      <c r="Q12" s="578"/>
      <c r="R12" s="578"/>
      <c r="S12" s="578"/>
      <c r="T12" s="578"/>
      <c r="U12" s="578"/>
      <c r="V12" s="578"/>
      <c r="W12" s="578"/>
      <c r="X12" s="578"/>
      <c r="Y12" s="578"/>
      <c r="Z12" s="578"/>
      <c r="AA12" s="504">
        <f t="shared" ref="AA12:AA17" si="2">B12-E12</f>
        <v>0</v>
      </c>
    </row>
    <row r="13" spans="1:27" ht="12.75" customHeight="1" x14ac:dyDescent="0.2">
      <c r="A13" s="931" t="s">
        <v>2078</v>
      </c>
      <c r="B13" s="460"/>
      <c r="C13" s="460"/>
      <c r="D13" s="503" t="str">
        <f t="shared" si="0"/>
        <v xml:space="preserve">Ok </v>
      </c>
      <c r="E13" s="506">
        <f t="shared" si="1"/>
        <v>0</v>
      </c>
      <c r="F13" s="578"/>
      <c r="G13" s="578"/>
      <c r="H13" s="578"/>
      <c r="I13" s="578"/>
      <c r="J13" s="578"/>
      <c r="K13" s="578"/>
      <c r="L13" s="578"/>
      <c r="M13" s="578"/>
      <c r="N13" s="578"/>
      <c r="O13" s="578"/>
      <c r="P13" s="578"/>
      <c r="Q13" s="578"/>
      <c r="R13" s="578"/>
      <c r="S13" s="578"/>
      <c r="T13" s="578"/>
      <c r="U13" s="578"/>
      <c r="V13" s="578"/>
      <c r="W13" s="578"/>
      <c r="X13" s="578"/>
      <c r="Y13" s="578"/>
      <c r="Z13" s="578"/>
      <c r="AA13" s="504">
        <f t="shared" si="2"/>
        <v>0</v>
      </c>
    </row>
    <row r="14" spans="1:27" ht="12.75" customHeight="1" x14ac:dyDescent="0.2">
      <c r="A14" s="397" t="s">
        <v>2053</v>
      </c>
      <c r="B14" s="460"/>
      <c r="C14" s="460"/>
      <c r="D14" s="503" t="str">
        <f t="shared" si="0"/>
        <v xml:space="preserve">Ok </v>
      </c>
      <c r="E14" s="506">
        <f t="shared" si="1"/>
        <v>0</v>
      </c>
      <c r="F14" s="578"/>
      <c r="G14" s="578"/>
      <c r="H14" s="578"/>
      <c r="I14" s="578"/>
      <c r="J14" s="578"/>
      <c r="K14" s="578"/>
      <c r="L14" s="578"/>
      <c r="M14" s="578"/>
      <c r="N14" s="578"/>
      <c r="O14" s="578"/>
      <c r="P14" s="578"/>
      <c r="Q14" s="578"/>
      <c r="R14" s="578"/>
      <c r="S14" s="578"/>
      <c r="T14" s="578"/>
      <c r="U14" s="578"/>
      <c r="V14" s="578"/>
      <c r="W14" s="578"/>
      <c r="X14" s="578"/>
      <c r="Y14" s="578"/>
      <c r="Z14" s="578"/>
      <c r="AA14" s="504">
        <f t="shared" si="2"/>
        <v>0</v>
      </c>
    </row>
    <row r="15" spans="1:27" ht="12.75" customHeight="1" x14ac:dyDescent="0.2">
      <c r="A15" s="397" t="s">
        <v>2054</v>
      </c>
      <c r="B15" s="460"/>
      <c r="C15" s="460"/>
      <c r="D15" s="503" t="str">
        <f t="shared" si="0"/>
        <v xml:space="preserve">Ok </v>
      </c>
      <c r="E15" s="506">
        <f t="shared" si="1"/>
        <v>0</v>
      </c>
      <c r="F15" s="578"/>
      <c r="G15" s="578"/>
      <c r="H15" s="578"/>
      <c r="I15" s="578"/>
      <c r="J15" s="578"/>
      <c r="K15" s="578"/>
      <c r="L15" s="578"/>
      <c r="M15" s="578"/>
      <c r="N15" s="578"/>
      <c r="O15" s="578"/>
      <c r="P15" s="578"/>
      <c r="Q15" s="578"/>
      <c r="R15" s="578"/>
      <c r="S15" s="578"/>
      <c r="T15" s="578"/>
      <c r="U15" s="578"/>
      <c r="V15" s="578"/>
      <c r="W15" s="578"/>
      <c r="X15" s="578"/>
      <c r="Y15" s="578"/>
      <c r="Z15" s="578"/>
      <c r="AA15" s="504">
        <f t="shared" si="2"/>
        <v>0</v>
      </c>
    </row>
    <row r="16" spans="1:27" ht="12.75" customHeight="1" x14ac:dyDescent="0.2">
      <c r="A16" s="397" t="s">
        <v>1676</v>
      </c>
      <c r="B16" s="460"/>
      <c r="C16" s="460"/>
      <c r="D16" s="503" t="str">
        <f t="shared" si="0"/>
        <v xml:space="preserve">Ok </v>
      </c>
      <c r="E16" s="506">
        <f t="shared" si="1"/>
        <v>0</v>
      </c>
      <c r="F16" s="578"/>
      <c r="G16" s="578"/>
      <c r="H16" s="578"/>
      <c r="I16" s="578"/>
      <c r="J16" s="578"/>
      <c r="K16" s="578"/>
      <c r="L16" s="578"/>
      <c r="M16" s="578"/>
      <c r="N16" s="578"/>
      <c r="O16" s="578"/>
      <c r="P16" s="578"/>
      <c r="Q16" s="578"/>
      <c r="R16" s="578"/>
      <c r="S16" s="578"/>
      <c r="T16" s="578"/>
      <c r="U16" s="578"/>
      <c r="V16" s="578"/>
      <c r="W16" s="578"/>
      <c r="X16" s="578"/>
      <c r="Y16" s="578"/>
      <c r="Z16" s="578"/>
      <c r="AA16" s="504">
        <f t="shared" si="2"/>
        <v>0</v>
      </c>
    </row>
    <row r="17" spans="1:27" ht="12.75" customHeight="1" x14ac:dyDescent="0.2">
      <c r="A17" s="397" t="s">
        <v>174</v>
      </c>
      <c r="B17" s="460"/>
      <c r="C17" s="460"/>
      <c r="D17" s="503" t="str">
        <f t="shared" si="0"/>
        <v xml:space="preserve">Ok </v>
      </c>
      <c r="E17" s="506">
        <f t="shared" si="1"/>
        <v>0</v>
      </c>
      <c r="F17" s="578"/>
      <c r="G17" s="578"/>
      <c r="H17" s="578"/>
      <c r="I17" s="578"/>
      <c r="J17" s="578"/>
      <c r="K17" s="578"/>
      <c r="L17" s="578"/>
      <c r="M17" s="578"/>
      <c r="N17" s="578"/>
      <c r="O17" s="578"/>
      <c r="P17" s="578"/>
      <c r="Q17" s="578"/>
      <c r="R17" s="578"/>
      <c r="S17" s="578"/>
      <c r="T17" s="578"/>
      <c r="U17" s="578"/>
      <c r="V17" s="578"/>
      <c r="W17" s="578"/>
      <c r="X17" s="578"/>
      <c r="Y17" s="578"/>
      <c r="Z17" s="578"/>
      <c r="AA17" s="504">
        <f t="shared" si="2"/>
        <v>0</v>
      </c>
    </row>
    <row r="18" spans="1:27" ht="12.75" customHeight="1" x14ac:dyDescent="0.2">
      <c r="A18" s="388" t="s">
        <v>1674</v>
      </c>
      <c r="B18" s="543">
        <f>SUM(B12:B17)</f>
        <v>0</v>
      </c>
      <c r="C18" s="543">
        <f>SUM(C12:C17)</f>
        <v>0</v>
      </c>
      <c r="D18" s="503" t="str">
        <f t="shared" si="0"/>
        <v xml:space="preserve">Ok </v>
      </c>
      <c r="E18" s="543">
        <f>SUM(E12:E17)</f>
        <v>0</v>
      </c>
      <c r="F18" s="543">
        <f>SUM(F12:F17)</f>
        <v>0</v>
      </c>
      <c r="G18" s="543">
        <f t="shared" ref="G18:Y18" si="3">SUM(G12:G17)</f>
        <v>0</v>
      </c>
      <c r="H18" s="543">
        <f t="shared" si="3"/>
        <v>0</v>
      </c>
      <c r="I18" s="543">
        <f t="shared" si="3"/>
        <v>0</v>
      </c>
      <c r="J18" s="543">
        <f t="shared" si="3"/>
        <v>0</v>
      </c>
      <c r="K18" s="543">
        <f t="shared" si="3"/>
        <v>0</v>
      </c>
      <c r="L18" s="543">
        <f t="shared" si="3"/>
        <v>0</v>
      </c>
      <c r="M18" s="543">
        <f t="shared" si="3"/>
        <v>0</v>
      </c>
      <c r="N18" s="543">
        <f t="shared" si="3"/>
        <v>0</v>
      </c>
      <c r="O18" s="543">
        <f t="shared" si="3"/>
        <v>0</v>
      </c>
      <c r="P18" s="543">
        <f t="shared" si="3"/>
        <v>0</v>
      </c>
      <c r="Q18" s="543">
        <f t="shared" si="3"/>
        <v>0</v>
      </c>
      <c r="R18" s="543">
        <f t="shared" si="3"/>
        <v>0</v>
      </c>
      <c r="S18" s="543">
        <f t="shared" si="3"/>
        <v>0</v>
      </c>
      <c r="T18" s="543">
        <f t="shared" si="3"/>
        <v>0</v>
      </c>
      <c r="U18" s="543">
        <f t="shared" si="3"/>
        <v>0</v>
      </c>
      <c r="V18" s="543">
        <f t="shared" si="3"/>
        <v>0</v>
      </c>
      <c r="W18" s="543">
        <f t="shared" si="3"/>
        <v>0</v>
      </c>
      <c r="X18" s="543">
        <f t="shared" si="3"/>
        <v>0</v>
      </c>
      <c r="Y18" s="543">
        <f t="shared" si="3"/>
        <v>0</v>
      </c>
      <c r="Z18" s="543">
        <f>SUM(Z12:Z17)</f>
        <v>0</v>
      </c>
      <c r="AA18" s="543">
        <f>SUM(AA12:AA17)</f>
        <v>0</v>
      </c>
    </row>
    <row r="19" spans="1:27" ht="12.75" customHeight="1" x14ac:dyDescent="0.2">
      <c r="B19" s="457"/>
      <c r="C19" s="457"/>
    </row>
    <row r="20" spans="1:27" ht="12.75" customHeight="1" x14ac:dyDescent="0.2">
      <c r="B20" s="457"/>
      <c r="C20" s="457"/>
    </row>
    <row r="21" spans="1:27" ht="12.75" customHeight="1" x14ac:dyDescent="0.2">
      <c r="A21" s="388" t="s">
        <v>2339</v>
      </c>
      <c r="B21" s="462"/>
      <c r="C21" s="462"/>
    </row>
    <row r="22" spans="1:27" ht="12.75" customHeight="1" x14ac:dyDescent="0.2">
      <c r="B22" s="462">
        <f>Update!$B$38</f>
        <v>2026</v>
      </c>
      <c r="C22" s="462">
        <f>Update!$B$37</f>
        <v>2025</v>
      </c>
    </row>
    <row r="23" spans="1:27" x14ac:dyDescent="0.2">
      <c r="B23" s="468" t="s">
        <v>146</v>
      </c>
      <c r="C23" s="468" t="s">
        <v>146</v>
      </c>
    </row>
    <row r="24" spans="1:27" x14ac:dyDescent="0.2">
      <c r="B24" s="468" t="s">
        <v>493</v>
      </c>
      <c r="C24" s="468" t="s">
        <v>493</v>
      </c>
    </row>
    <row r="25" spans="1:27" ht="12.75" customHeight="1" x14ac:dyDescent="0.2">
      <c r="A25" s="675" t="s">
        <v>2055</v>
      </c>
      <c r="B25" s="460"/>
      <c r="C25" s="460"/>
      <c r="D25" s="503" t="str">
        <f>IF(B25&gt;=0,IF(E25&gt;=0,IF(B25&gt;=E25,"Ok ","Check size "),"Check sign"),IF(E25&gt;0,"Check sign ",IF(ABS(B25)&gt;=ABS(E25),"Ok ","Check size ")))</f>
        <v xml:space="preserve">Ok </v>
      </c>
      <c r="E25" s="506">
        <f t="shared" ref="E25:E30" si="4">SUM(F25:Z25)</f>
        <v>0</v>
      </c>
      <c r="F25" s="578"/>
      <c r="G25" s="578"/>
      <c r="H25" s="578"/>
      <c r="I25" s="578"/>
      <c r="J25" s="578"/>
      <c r="K25" s="578"/>
      <c r="L25" s="578"/>
      <c r="M25" s="578"/>
      <c r="N25" s="578"/>
      <c r="O25" s="578"/>
      <c r="P25" s="578"/>
      <c r="Q25" s="578"/>
      <c r="R25" s="578"/>
      <c r="S25" s="578"/>
      <c r="T25" s="578"/>
      <c r="U25" s="578"/>
      <c r="V25" s="578"/>
      <c r="W25" s="578"/>
      <c r="X25" s="578"/>
      <c r="Y25" s="578"/>
      <c r="Z25" s="578"/>
      <c r="AA25" s="504">
        <f t="shared" ref="AA25:AA30" si="5">B25-E25</f>
        <v>0</v>
      </c>
    </row>
    <row r="26" spans="1:27" ht="12.75" customHeight="1" x14ac:dyDescent="0.2">
      <c r="A26" s="675" t="s">
        <v>1936</v>
      </c>
      <c r="B26" s="460"/>
      <c r="C26" s="460"/>
      <c r="D26" s="503" t="str">
        <f t="shared" ref="D26:D31" si="6">IF(B26&gt;=0,IF(E26&gt;=0,IF(B26&gt;=E26,"Ok ","Check size "),"Check sign"),IF(E26&gt;0,"Check sign ",IF(ABS(B26)&gt;=ABS(E26),"Ok ","Check size ")))</f>
        <v xml:space="preserve">Ok </v>
      </c>
      <c r="E26" s="506">
        <f t="shared" si="4"/>
        <v>0</v>
      </c>
      <c r="F26" s="578"/>
      <c r="G26" s="578"/>
      <c r="H26" s="578"/>
      <c r="I26" s="578"/>
      <c r="J26" s="578"/>
      <c r="K26" s="578"/>
      <c r="L26" s="578"/>
      <c r="M26" s="578"/>
      <c r="N26" s="578"/>
      <c r="O26" s="578"/>
      <c r="P26" s="578"/>
      <c r="Q26" s="578"/>
      <c r="R26" s="578"/>
      <c r="S26" s="578"/>
      <c r="T26" s="578"/>
      <c r="U26" s="578"/>
      <c r="V26" s="578"/>
      <c r="W26" s="578"/>
      <c r="X26" s="578"/>
      <c r="Y26" s="578"/>
      <c r="Z26" s="578"/>
      <c r="AA26" s="504">
        <f t="shared" si="5"/>
        <v>0</v>
      </c>
    </row>
    <row r="27" spans="1:27" ht="12.75" customHeight="1" x14ac:dyDescent="0.2">
      <c r="A27" s="675" t="s">
        <v>1682</v>
      </c>
      <c r="B27" s="460"/>
      <c r="C27" s="460"/>
      <c r="D27" s="503" t="str">
        <f t="shared" si="6"/>
        <v xml:space="preserve">Ok </v>
      </c>
      <c r="E27" s="506">
        <f t="shared" si="4"/>
        <v>0</v>
      </c>
      <c r="F27" s="578"/>
      <c r="G27" s="578"/>
      <c r="H27" s="578"/>
      <c r="I27" s="578"/>
      <c r="J27" s="578"/>
      <c r="K27" s="578"/>
      <c r="L27" s="578"/>
      <c r="M27" s="578"/>
      <c r="N27" s="578"/>
      <c r="O27" s="578"/>
      <c r="P27" s="578"/>
      <c r="Q27" s="578"/>
      <c r="R27" s="578"/>
      <c r="S27" s="578"/>
      <c r="T27" s="578"/>
      <c r="U27" s="578"/>
      <c r="V27" s="578"/>
      <c r="W27" s="578"/>
      <c r="X27" s="578"/>
      <c r="Y27" s="578"/>
      <c r="Z27" s="578"/>
      <c r="AA27" s="504">
        <f t="shared" si="5"/>
        <v>0</v>
      </c>
    </row>
    <row r="28" spans="1:27" ht="12.75" customHeight="1" x14ac:dyDescent="0.2">
      <c r="A28" s="675" t="s">
        <v>1681</v>
      </c>
      <c r="B28" s="521"/>
      <c r="C28" s="521"/>
      <c r="D28" s="503" t="str">
        <f t="shared" si="6"/>
        <v xml:space="preserve">Ok </v>
      </c>
      <c r="E28" s="506">
        <f t="shared" si="4"/>
        <v>0</v>
      </c>
      <c r="F28" s="578"/>
      <c r="G28" s="578"/>
      <c r="H28" s="578"/>
      <c r="I28" s="578"/>
      <c r="J28" s="578"/>
      <c r="K28" s="578"/>
      <c r="L28" s="578"/>
      <c r="M28" s="578"/>
      <c r="N28" s="578"/>
      <c r="O28" s="578"/>
      <c r="P28" s="578"/>
      <c r="Q28" s="578"/>
      <c r="R28" s="578"/>
      <c r="S28" s="578"/>
      <c r="T28" s="578"/>
      <c r="U28" s="578"/>
      <c r="V28" s="578"/>
      <c r="W28" s="578"/>
      <c r="X28" s="578"/>
      <c r="Y28" s="578"/>
      <c r="Z28" s="578"/>
      <c r="AA28" s="504">
        <f t="shared" si="5"/>
        <v>0</v>
      </c>
    </row>
    <row r="29" spans="1:27" ht="12.75" customHeight="1" x14ac:dyDescent="0.2">
      <c r="A29" s="675" t="s">
        <v>1680</v>
      </c>
      <c r="B29" s="521"/>
      <c r="C29" s="521"/>
      <c r="D29" s="503" t="str">
        <f t="shared" si="6"/>
        <v xml:space="preserve">Ok </v>
      </c>
      <c r="E29" s="506">
        <f t="shared" si="4"/>
        <v>0</v>
      </c>
      <c r="F29" s="578"/>
      <c r="G29" s="578"/>
      <c r="H29" s="578"/>
      <c r="I29" s="578"/>
      <c r="J29" s="578"/>
      <c r="K29" s="578"/>
      <c r="L29" s="578"/>
      <c r="M29" s="578"/>
      <c r="N29" s="578"/>
      <c r="O29" s="578"/>
      <c r="P29" s="578"/>
      <c r="Q29" s="578"/>
      <c r="R29" s="578"/>
      <c r="S29" s="578"/>
      <c r="T29" s="578"/>
      <c r="U29" s="578"/>
      <c r="V29" s="578"/>
      <c r="W29" s="578"/>
      <c r="X29" s="578"/>
      <c r="Y29" s="578"/>
      <c r="Z29" s="578"/>
      <c r="AA29" s="504">
        <f t="shared" si="5"/>
        <v>0</v>
      </c>
    </row>
    <row r="30" spans="1:27" ht="12.75" customHeight="1" x14ac:dyDescent="0.2">
      <c r="A30" s="397" t="s">
        <v>2052</v>
      </c>
      <c r="B30" s="460"/>
      <c r="C30" s="460"/>
      <c r="D30" s="503" t="str">
        <f>IF(B30&gt;=0,IF(E30&gt;=0,IF(B30&gt;=E30,"Ok ","Check size "),"Check sign"),IF(E30&gt;0,"Check sign ",IF(ABS(B30)&gt;=ABS(E30),"Ok ","Check size ")))</f>
        <v xml:space="preserve">Ok </v>
      </c>
      <c r="E30" s="506">
        <f t="shared" si="4"/>
        <v>0</v>
      </c>
      <c r="F30" s="578"/>
      <c r="G30" s="578"/>
      <c r="H30" s="578"/>
      <c r="I30" s="578"/>
      <c r="J30" s="578"/>
      <c r="K30" s="578"/>
      <c r="L30" s="578"/>
      <c r="M30" s="578"/>
      <c r="N30" s="578"/>
      <c r="O30" s="578"/>
      <c r="P30" s="578"/>
      <c r="Q30" s="578"/>
      <c r="R30" s="578"/>
      <c r="S30" s="578"/>
      <c r="T30" s="578"/>
      <c r="U30" s="578"/>
      <c r="V30" s="578"/>
      <c r="W30" s="578"/>
      <c r="X30" s="578"/>
      <c r="Y30" s="578"/>
      <c r="Z30" s="578"/>
      <c r="AA30" s="504">
        <f t="shared" si="5"/>
        <v>0</v>
      </c>
    </row>
    <row r="31" spans="1:27" ht="12.75" customHeight="1" x14ac:dyDescent="0.2">
      <c r="A31" s="388" t="s">
        <v>1679</v>
      </c>
      <c r="B31" s="543">
        <f>SUM(B25:B30)</f>
        <v>0</v>
      </c>
      <c r="C31" s="543">
        <f>SUM(C25:C30)</f>
        <v>0</v>
      </c>
      <c r="D31" s="503" t="str">
        <f t="shared" si="6"/>
        <v xml:space="preserve">Ok </v>
      </c>
      <c r="E31" s="543">
        <f t="shared" ref="E31:Z31" si="7">SUM(E25:E30)</f>
        <v>0</v>
      </c>
      <c r="F31" s="543">
        <f t="shared" si="7"/>
        <v>0</v>
      </c>
      <c r="G31" s="543">
        <f t="shared" si="7"/>
        <v>0</v>
      </c>
      <c r="H31" s="543">
        <f t="shared" si="7"/>
        <v>0</v>
      </c>
      <c r="I31" s="543">
        <f t="shared" si="7"/>
        <v>0</v>
      </c>
      <c r="J31" s="543">
        <f t="shared" si="7"/>
        <v>0</v>
      </c>
      <c r="K31" s="543">
        <f t="shared" si="7"/>
        <v>0</v>
      </c>
      <c r="L31" s="543">
        <f t="shared" si="7"/>
        <v>0</v>
      </c>
      <c r="M31" s="543">
        <f t="shared" si="7"/>
        <v>0</v>
      </c>
      <c r="N31" s="543">
        <f t="shared" si="7"/>
        <v>0</v>
      </c>
      <c r="O31" s="543">
        <f t="shared" si="7"/>
        <v>0</v>
      </c>
      <c r="P31" s="543">
        <f t="shared" si="7"/>
        <v>0</v>
      </c>
      <c r="Q31" s="543">
        <f t="shared" si="7"/>
        <v>0</v>
      </c>
      <c r="R31" s="543">
        <f t="shared" si="7"/>
        <v>0</v>
      </c>
      <c r="S31" s="543">
        <f t="shared" si="7"/>
        <v>0</v>
      </c>
      <c r="T31" s="543">
        <f t="shared" si="7"/>
        <v>0</v>
      </c>
      <c r="U31" s="543">
        <f t="shared" si="7"/>
        <v>0</v>
      </c>
      <c r="V31" s="543">
        <f t="shared" si="7"/>
        <v>0</v>
      </c>
      <c r="W31" s="543">
        <f t="shared" si="7"/>
        <v>0</v>
      </c>
      <c r="X31" s="543">
        <f t="shared" si="7"/>
        <v>0</v>
      </c>
      <c r="Y31" s="543">
        <f t="shared" si="7"/>
        <v>0</v>
      </c>
      <c r="Z31" s="543">
        <f t="shared" si="7"/>
        <v>0</v>
      </c>
      <c r="AA31" s="543">
        <f>SUM(AA25:AA30)</f>
        <v>0</v>
      </c>
    </row>
    <row r="32" spans="1:27" ht="12.75" customHeight="1" x14ac:dyDescent="0.2">
      <c r="A32" s="388"/>
      <c r="B32" s="510"/>
      <c r="C32" s="510"/>
    </row>
    <row r="33" spans="1:27" ht="12.75" customHeight="1" x14ac:dyDescent="0.2">
      <c r="A33" s="388"/>
      <c r="B33" s="510"/>
      <c r="C33" s="510"/>
    </row>
    <row r="34" spans="1:27" ht="12.75" customHeight="1" x14ac:dyDescent="0.2">
      <c r="A34" s="388"/>
      <c r="B34" s="510"/>
      <c r="C34" s="510"/>
    </row>
    <row r="35" spans="1:27" ht="12.75" customHeight="1" x14ac:dyDescent="0.2">
      <c r="A35" s="388"/>
      <c r="B35" s="510"/>
      <c r="C35" s="510"/>
    </row>
    <row r="36" spans="1:27" ht="12.75" customHeight="1" x14ac:dyDescent="0.2">
      <c r="B36" s="457"/>
      <c r="C36" s="457"/>
    </row>
    <row r="37" spans="1:27" ht="12.75" customHeight="1" thickBot="1" x14ac:dyDescent="0.25">
      <c r="A37" s="388" t="s">
        <v>1251</v>
      </c>
      <c r="B37" s="523">
        <f>+B18+B31</f>
        <v>0</v>
      </c>
      <c r="C37" s="523">
        <f>+C18+C31</f>
        <v>0</v>
      </c>
      <c r="D37" s="503" t="str">
        <f>IF(B37&gt;=0,IF(E37&gt;=0,IF(B37&gt;=E37,"Ok ","Check size "),"Check sign"),IF(E37&gt;0,"Check sign ",IF(ABS(B37)&gt;=ABS(E37),"Ok ","Check size ")))</f>
        <v xml:space="preserve">Ok </v>
      </c>
      <c r="E37" s="523">
        <f t="shared" ref="E37:AA37" si="8">+E18+E31</f>
        <v>0</v>
      </c>
      <c r="F37" s="523">
        <f t="shared" si="8"/>
        <v>0</v>
      </c>
      <c r="G37" s="523">
        <f t="shared" si="8"/>
        <v>0</v>
      </c>
      <c r="H37" s="523">
        <f t="shared" si="8"/>
        <v>0</v>
      </c>
      <c r="I37" s="523">
        <f t="shared" si="8"/>
        <v>0</v>
      </c>
      <c r="J37" s="523">
        <f t="shared" si="8"/>
        <v>0</v>
      </c>
      <c r="K37" s="523">
        <f t="shared" si="8"/>
        <v>0</v>
      </c>
      <c r="L37" s="523">
        <f t="shared" si="8"/>
        <v>0</v>
      </c>
      <c r="M37" s="523">
        <f t="shared" si="8"/>
        <v>0</v>
      </c>
      <c r="N37" s="523">
        <f t="shared" si="8"/>
        <v>0</v>
      </c>
      <c r="O37" s="523">
        <f t="shared" si="8"/>
        <v>0</v>
      </c>
      <c r="P37" s="523">
        <f t="shared" si="8"/>
        <v>0</v>
      </c>
      <c r="Q37" s="523">
        <f t="shared" si="8"/>
        <v>0</v>
      </c>
      <c r="R37" s="523">
        <f t="shared" si="8"/>
        <v>0</v>
      </c>
      <c r="S37" s="523">
        <f t="shared" si="8"/>
        <v>0</v>
      </c>
      <c r="T37" s="523">
        <f t="shared" si="8"/>
        <v>0</v>
      </c>
      <c r="U37" s="523">
        <f t="shared" si="8"/>
        <v>0</v>
      </c>
      <c r="V37" s="523">
        <f t="shared" si="8"/>
        <v>0</v>
      </c>
      <c r="W37" s="523">
        <f t="shared" si="8"/>
        <v>0</v>
      </c>
      <c r="X37" s="523">
        <f t="shared" si="8"/>
        <v>0</v>
      </c>
      <c r="Y37" s="523">
        <f t="shared" si="8"/>
        <v>0</v>
      </c>
      <c r="Z37" s="523">
        <f t="shared" si="8"/>
        <v>0</v>
      </c>
      <c r="AA37" s="523">
        <f t="shared" si="8"/>
        <v>0</v>
      </c>
    </row>
    <row r="38" spans="1:27" ht="12.75" customHeight="1" thickTop="1" x14ac:dyDescent="0.2">
      <c r="B38" s="500"/>
      <c r="C38" s="500"/>
    </row>
  </sheetData>
  <sheetProtection algorithmName="SHA-512" hashValue="BhHGMoK9HYQ4uY4f+/JedBRdNCCWtKDCEwDhHwCrFLDQU3gIwZzI8pksiUaDEnAb8myhqqcui9Pqa6D5r2J0bw==" saltValue="7ngOMrAPn/5DMHvJ0xVDDQ==" spinCount="100000" sheet="1" formatColumns="0" formatRows="0"/>
  <conditionalFormatting sqref="A3">
    <cfRule type="expression" dxfId="214" priority="14">
      <formula>CELL("Protect",A3)=0</formula>
    </cfRule>
  </conditionalFormatting>
  <conditionalFormatting sqref="A31:C42">
    <cfRule type="expression" dxfId="213" priority="3">
      <formula>CELL("Protect",A31)=0</formula>
    </cfRule>
  </conditionalFormatting>
  <conditionalFormatting sqref="A1:AB2 B3:AB3 A4:AB6 A7:AA8 AC9:AF10 A9:C11 D9:AA17 A14:A29 A30:AA30 D31:AA37 D38:AB42">
    <cfRule type="expression" dxfId="212" priority="42">
      <formula>CELL("Protect",A1)=0</formula>
    </cfRule>
  </conditionalFormatting>
  <conditionalFormatting sqref="B12:C17">
    <cfRule type="expression" dxfId="211" priority="1">
      <formula>CELL("Protect",B12)=0</formula>
    </cfRule>
  </conditionalFormatting>
  <conditionalFormatting sqref="B18:AA29">
    <cfRule type="expression" dxfId="210" priority="4">
      <formula>CELL("Protect",B18)=0</formula>
    </cfRule>
  </conditionalFormatting>
  <pageMargins left="0.74803149606299213" right="0.74803149606299213" top="0.59055118110236227" bottom="0.59055118110236227" header="0.51181102362204722" footer="0.51181102362204722"/>
  <pageSetup paperSize="9" scale="4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4">
    <tabColor rgb="FFFFFF00"/>
    <pageSetUpPr fitToPage="1"/>
  </sheetPr>
  <dimension ref="A1:AG73"/>
  <sheetViews>
    <sheetView zoomScale="90" zoomScaleNormal="90" workbookViewId="0">
      <pane xSplit="10" ySplit="9" topLeftCell="K10" activePane="bottomRight" state="frozen"/>
      <selection activeCell="F19" sqref="F19"/>
      <selection pane="topRight" activeCell="F19" sqref="F19"/>
      <selection pane="bottomLeft" activeCell="F19" sqref="F19"/>
      <selection pane="bottomRight" activeCell="K10" sqref="K10"/>
    </sheetView>
  </sheetViews>
  <sheetFormatPr defaultColWidth="9.140625" defaultRowHeight="12.75" outlineLevelCol="1" x14ac:dyDescent="0.2"/>
  <cols>
    <col min="1" max="1" width="46.140625" style="457" customWidth="1"/>
    <col min="2" max="2" width="11.85546875" style="457" customWidth="1"/>
    <col min="3" max="3" width="13.85546875" style="457" customWidth="1"/>
    <col min="4" max="4" width="11.85546875" style="457" customWidth="1"/>
    <col min="5" max="5" width="15.7109375" style="457" customWidth="1"/>
    <col min="6" max="6" width="14.42578125" style="457" customWidth="1"/>
    <col min="7" max="7" width="12.5703125" style="457" customWidth="1"/>
    <col min="8" max="8" width="13.42578125" style="457" customWidth="1"/>
    <col min="9" max="9" width="12.42578125" style="457" customWidth="1"/>
    <col min="10" max="10" width="13.28515625" style="457" bestFit="1" customWidth="1"/>
    <col min="11" max="11" width="8.42578125" style="457" customWidth="1"/>
    <col min="12" max="20" width="18.28515625" style="457" customWidth="1"/>
    <col min="21" max="21" width="58" style="457" customWidth="1"/>
    <col min="22" max="31" width="9.140625" style="457" customWidth="1" outlineLevel="1"/>
    <col min="32" max="32" width="9.140625" style="457" customWidth="1"/>
    <col min="33" max="16384" width="9.140625" style="457"/>
  </cols>
  <sheetData>
    <row r="1" spans="1:33" ht="14.65" customHeight="1" x14ac:dyDescent="0.2">
      <c r="A1" s="416" t="str">
        <f>'alb Instructions'!$B$20</f>
        <v>enter HSC Body name here</v>
      </c>
      <c r="B1" s="536"/>
      <c r="C1" s="536"/>
      <c r="D1" s="536"/>
      <c r="E1" s="536"/>
      <c r="F1" s="536"/>
      <c r="G1" s="536"/>
      <c r="H1" s="536"/>
      <c r="I1" s="536"/>
      <c r="J1" s="536"/>
    </row>
    <row r="2" spans="1:33" ht="12.75" customHeight="1" x14ac:dyDescent="0.25">
      <c r="A2" s="610"/>
      <c r="B2" s="610"/>
      <c r="C2" s="536"/>
      <c r="D2" s="536"/>
      <c r="E2" s="536"/>
      <c r="J2" s="608"/>
    </row>
    <row r="3" spans="1:33" ht="12.75" customHeight="1" x14ac:dyDescent="0.2">
      <c r="A3" s="416" t="str">
        <f>"NOTES TO THE ACCOUNTS FOR THE YEAR ENDED"&amp;Update!$B$22</f>
        <v>NOTES TO THE ACCOUNTS FOR THE YEAR ENDED 31 March 2026</v>
      </c>
      <c r="B3" s="536"/>
      <c r="C3" s="536"/>
      <c r="D3" s="536"/>
      <c r="E3" s="609"/>
      <c r="J3" s="608"/>
    </row>
    <row r="4" spans="1:33" ht="12.75" customHeight="1" x14ac:dyDescent="0.2"/>
    <row r="5" spans="1:33" ht="12.75" customHeight="1" x14ac:dyDescent="0.2">
      <c r="A5" s="536" t="str">
        <f>"NOTE 5.1 Consolidated Property, plant &amp; equipment - year ended"&amp;Update!$B$22</f>
        <v>NOTE 5.1 Consolidated Property, plant &amp; equipment - year ended 31 March 2026</v>
      </c>
      <c r="L5" s="388"/>
      <c r="M5" s="388"/>
      <c r="N5" s="388"/>
      <c r="O5" s="388"/>
      <c r="P5" s="388"/>
      <c r="Q5" s="388"/>
      <c r="R5" s="388"/>
      <c r="S5" s="388"/>
      <c r="T5" s="388"/>
      <c r="U5" s="388"/>
    </row>
    <row r="6" spans="1:33" ht="12.75" customHeight="1" x14ac:dyDescent="0.2">
      <c r="A6" s="536"/>
      <c r="L6" s="388" t="s">
        <v>930</v>
      </c>
      <c r="M6" s="388"/>
      <c r="N6" s="388"/>
      <c r="O6" s="388"/>
      <c r="P6" s="388"/>
      <c r="Q6" s="388"/>
      <c r="R6" s="388"/>
      <c r="S6" s="388"/>
      <c r="T6" s="388"/>
      <c r="U6" s="388"/>
      <c r="V6" s="457" t="s">
        <v>604</v>
      </c>
      <c r="W6" s="457" t="s">
        <v>195</v>
      </c>
      <c r="X6" s="457" t="s">
        <v>1262</v>
      </c>
      <c r="Y6" s="457" t="s">
        <v>200</v>
      </c>
      <c r="Z6" s="457" t="s">
        <v>1261</v>
      </c>
      <c r="AA6" s="457" t="s">
        <v>1260</v>
      </c>
      <c r="AB6" s="457" t="s">
        <v>203</v>
      </c>
      <c r="AC6" s="457" t="s">
        <v>1259</v>
      </c>
      <c r="AD6" s="457" t="s">
        <v>1258</v>
      </c>
    </row>
    <row r="7" spans="1:33" ht="37.5" customHeight="1" x14ac:dyDescent="0.2">
      <c r="A7" s="536"/>
      <c r="B7" s="607" t="s">
        <v>195</v>
      </c>
      <c r="C7" s="605" t="s">
        <v>1262</v>
      </c>
      <c r="D7" s="605" t="s">
        <v>200</v>
      </c>
      <c r="E7" s="606" t="s">
        <v>1260</v>
      </c>
      <c r="F7" s="605" t="s">
        <v>203</v>
      </c>
      <c r="G7" s="606" t="s">
        <v>1259</v>
      </c>
      <c r="H7" s="605" t="s">
        <v>1258</v>
      </c>
      <c r="I7" s="605" t="s">
        <v>1261</v>
      </c>
      <c r="J7" s="604" t="s">
        <v>146</v>
      </c>
      <c r="L7" s="603" t="s">
        <v>146</v>
      </c>
      <c r="M7" s="603" t="s">
        <v>195</v>
      </c>
      <c r="N7" s="603" t="s">
        <v>1262</v>
      </c>
      <c r="O7" s="603" t="s">
        <v>200</v>
      </c>
      <c r="P7" s="603" t="s">
        <v>1260</v>
      </c>
      <c r="Q7" s="603" t="s">
        <v>203</v>
      </c>
      <c r="R7" s="603" t="s">
        <v>1259</v>
      </c>
      <c r="S7" s="603" t="s">
        <v>1258</v>
      </c>
      <c r="T7" s="603" t="s">
        <v>1261</v>
      </c>
      <c r="U7" s="603" t="s">
        <v>1257</v>
      </c>
      <c r="V7" s="412" t="s">
        <v>1256</v>
      </c>
      <c r="W7" s="412" t="s">
        <v>1256</v>
      </c>
      <c r="X7" s="412" t="s">
        <v>1256</v>
      </c>
      <c r="Y7" s="412" t="s">
        <v>1256</v>
      </c>
      <c r="Z7" s="412" t="s">
        <v>1256</v>
      </c>
      <c r="AA7" s="412" t="s">
        <v>1256</v>
      </c>
      <c r="AB7" s="412" t="s">
        <v>1256</v>
      </c>
      <c r="AC7" s="412" t="s">
        <v>1256</v>
      </c>
      <c r="AD7" s="412" t="s">
        <v>1256</v>
      </c>
      <c r="AE7" s="412" t="s">
        <v>1256</v>
      </c>
      <c r="AF7" s="412" t="s">
        <v>932</v>
      </c>
      <c r="AG7" s="412" t="s">
        <v>63</v>
      </c>
    </row>
    <row r="8" spans="1:33" ht="12.75" customHeight="1" x14ac:dyDescent="0.2">
      <c r="B8" s="602" t="s">
        <v>493</v>
      </c>
      <c r="C8" s="602" t="s">
        <v>493</v>
      </c>
      <c r="D8" s="602" t="s">
        <v>493</v>
      </c>
      <c r="E8" s="602" t="s">
        <v>493</v>
      </c>
      <c r="F8" s="602" t="s">
        <v>493</v>
      </c>
      <c r="G8" s="602" t="s">
        <v>493</v>
      </c>
      <c r="H8" s="602" t="s">
        <v>493</v>
      </c>
      <c r="I8" s="602" t="s">
        <v>493</v>
      </c>
      <c r="J8" s="601" t="s">
        <v>493</v>
      </c>
      <c r="L8" s="413" t="s">
        <v>493</v>
      </c>
      <c r="M8" s="413" t="s">
        <v>493</v>
      </c>
      <c r="N8" s="413" t="s">
        <v>493</v>
      </c>
      <c r="O8" s="413" t="s">
        <v>493</v>
      </c>
      <c r="P8" s="413" t="s">
        <v>493</v>
      </c>
      <c r="Q8" s="413" t="s">
        <v>493</v>
      </c>
      <c r="R8" s="413" t="s">
        <v>493</v>
      </c>
      <c r="S8" s="413" t="s">
        <v>493</v>
      </c>
      <c r="T8" s="413" t="s">
        <v>493</v>
      </c>
      <c r="U8" s="413"/>
      <c r="V8" s="508" t="s">
        <v>62</v>
      </c>
      <c r="W8" s="508" t="s">
        <v>62</v>
      </c>
      <c r="X8" s="508" t="s">
        <v>62</v>
      </c>
      <c r="Y8" s="508" t="s">
        <v>62</v>
      </c>
      <c r="Z8" s="508" t="s">
        <v>62</v>
      </c>
      <c r="AA8" s="508" t="s">
        <v>62</v>
      </c>
      <c r="AB8" s="508" t="s">
        <v>62</v>
      </c>
      <c r="AC8" s="508" t="s">
        <v>62</v>
      </c>
      <c r="AD8" s="508" t="s">
        <v>62</v>
      </c>
      <c r="AE8" s="508" t="s">
        <v>62</v>
      </c>
      <c r="AF8" s="508" t="s">
        <v>62</v>
      </c>
      <c r="AG8" s="508"/>
    </row>
    <row r="9" spans="1:33" ht="12.75" customHeight="1" x14ac:dyDescent="0.2">
      <c r="A9" s="536" t="s">
        <v>183</v>
      </c>
      <c r="B9" s="590"/>
      <c r="C9" s="432"/>
      <c r="D9" s="432"/>
      <c r="F9" s="432"/>
      <c r="H9" s="432"/>
      <c r="I9" s="432"/>
      <c r="J9" s="431"/>
      <c r="L9" s="411"/>
      <c r="M9" s="411"/>
      <c r="N9" s="411"/>
      <c r="O9" s="411"/>
      <c r="P9" s="411"/>
      <c r="Q9" s="411"/>
      <c r="R9" s="411"/>
      <c r="S9" s="411"/>
      <c r="T9" s="411"/>
      <c r="U9" s="411"/>
      <c r="V9" s="397"/>
      <c r="W9" s="397"/>
      <c r="X9" s="397"/>
      <c r="Y9" s="397"/>
      <c r="Z9" s="397"/>
      <c r="AA9" s="397"/>
      <c r="AB9" s="397"/>
      <c r="AC9" s="397"/>
      <c r="AD9" s="397"/>
      <c r="AE9" s="397"/>
      <c r="AF9" s="397"/>
      <c r="AG9" s="397"/>
    </row>
    <row r="10" spans="1:33" ht="12.75" customHeight="1" x14ac:dyDescent="0.2">
      <c r="A10" s="549" t="str">
        <f>"At"&amp;Update!$B$20</f>
        <v>At 1 April 2025</v>
      </c>
      <c r="B10" s="600">
        <f>'alb Note 5.2 -  PP&amp;E - PY'!B23</f>
        <v>0</v>
      </c>
      <c r="C10" s="600">
        <f>'alb Note 5.2 -  PP&amp;E - PY'!C23</f>
        <v>0</v>
      </c>
      <c r="D10" s="600">
        <f>'alb Note 5.2 -  PP&amp;E - PY'!D23</f>
        <v>0</v>
      </c>
      <c r="E10" s="600">
        <f>'alb Note 5.2 -  PP&amp;E - PY'!E23</f>
        <v>0</v>
      </c>
      <c r="F10" s="600">
        <f>'alb Note 5.2 -  PP&amp;E - PY'!F23</f>
        <v>0</v>
      </c>
      <c r="G10" s="600">
        <f>'alb Note 5.2 -  PP&amp;E - PY'!G23</f>
        <v>0</v>
      </c>
      <c r="H10" s="600">
        <f>'alb Note 5.2 -  PP&amp;E - PY'!H23</f>
        <v>0</v>
      </c>
      <c r="I10" s="600">
        <f>'alb Note 5.2 -  PP&amp;E - PY'!I23</f>
        <v>0</v>
      </c>
      <c r="J10" s="431">
        <f>SUM(B10:I10)</f>
        <v>0</v>
      </c>
      <c r="L10" s="432"/>
      <c r="M10" s="432"/>
      <c r="N10" s="432"/>
      <c r="O10" s="432"/>
      <c r="P10" s="432"/>
      <c r="Q10" s="432"/>
      <c r="R10" s="432"/>
      <c r="S10" s="432"/>
      <c r="T10" s="432"/>
      <c r="U10" s="432"/>
      <c r="V10" s="504"/>
      <c r="W10" s="504"/>
      <c r="X10" s="504"/>
      <c r="Y10" s="504"/>
      <c r="Z10" s="504"/>
      <c r="AA10" s="504"/>
      <c r="AB10" s="504"/>
      <c r="AC10" s="504"/>
      <c r="AD10" s="504"/>
      <c r="AE10" s="504"/>
      <c r="AF10" s="504">
        <f>J10-L10</f>
        <v>0</v>
      </c>
      <c r="AG10" s="409"/>
    </row>
    <row r="11" spans="1:33" s="1080" customFormat="1" ht="12.75" customHeight="1" x14ac:dyDescent="0.2">
      <c r="A11" s="1598" t="s">
        <v>184</v>
      </c>
      <c r="B11" s="1599"/>
      <c r="C11" s="1599"/>
      <c r="D11" s="1599"/>
      <c r="E11" s="1599"/>
      <c r="F11" s="1599"/>
      <c r="G11" s="1599"/>
      <c r="H11" s="1599"/>
      <c r="I11" s="1599"/>
      <c r="J11" s="1237">
        <f>SUM(B11:I11)</f>
        <v>0</v>
      </c>
      <c r="L11" s="1558">
        <f>SUM(M11:T11)</f>
        <v>0</v>
      </c>
      <c r="M11" s="1036"/>
      <c r="N11" s="1036"/>
      <c r="O11" s="1036"/>
      <c r="P11" s="1036"/>
      <c r="Q11" s="1036"/>
      <c r="R11" s="1036"/>
      <c r="S11" s="1036"/>
      <c r="T11" s="1036"/>
      <c r="U11" s="1036"/>
      <c r="V11" s="1559" t="str">
        <f>IF(J11&gt;=0,IF(L11&gt;=0,IF(J11&gt;=L11,"Ok ","Check size "),"Check sign"),IF(L11&gt;0,"Check sign ",IF(ABS(J11)&gt;=ABS(L11),"Ok ","Check size ")))</f>
        <v xml:space="preserve">Ok </v>
      </c>
      <c r="W11" s="1559" t="str">
        <f>IF(B11&gt;=0,IF(M11&gt;=0,IF(B11&gt;=M11,"Ok ","Check size "),"Check sign"),IF(M11&gt;0,"Check sign ",IF(ABS(B11)&gt;=ABS(M11),"Ok ","Check size ")))</f>
        <v xml:space="preserve">Ok </v>
      </c>
      <c r="X11" s="1559" t="str">
        <f>IF(C11&gt;=0,IF(N11&gt;=0,IF(C11&gt;=N11,"Ok ","Check size "),"Check sign"),IF(N11&gt;0,"Check sign ",IF(ABS(C11)&gt;=ABS(N11),"Ok ","Check size ")))</f>
        <v xml:space="preserve">Ok </v>
      </c>
      <c r="Y11" s="1559" t="str">
        <f>IF(D11&gt;=0,IF(O11&gt;=0,IF(D11&gt;=O11,"Ok ","Check size "),"Check sign"),IF(O11&gt;0,"Check sign ",IF(ABS(D11)&gt;=ABS(O11),"Ok ","Check size ")))</f>
        <v xml:space="preserve">Ok </v>
      </c>
      <c r="Z11" s="1559" t="str">
        <f>IF(I11&gt;=0,IF(T11&gt;=0,IF(I11&gt;=T11,"Ok ","Check size "),"Check sign"),IF(T11&gt;0,"Check sign ",IF(ABS(I11)&gt;=ABS(T11),"Ok ","Check size ")))</f>
        <v xml:space="preserve">Ok </v>
      </c>
      <c r="AA11" s="1559" t="str">
        <f>IF(E11&gt;=0,IF(P11&gt;=0,IF(E11&gt;=P11,"Ok ","Check size "),"Check sign"),IF(P11&gt;0,"Check sign ",IF(ABS(E11)&gt;=ABS(P11),"Ok ","Check size ")))</f>
        <v xml:space="preserve">Ok </v>
      </c>
      <c r="AB11" s="1559" t="str">
        <f>IF(F11&gt;=0,IF(Q11&gt;=0,IF(F11&gt;=Q11,"Ok ","Check size "),"Check sign"),IF(Q11&gt;0,"Check sign ",IF(ABS(F11)&gt;=ABS(Q11),"Ok ","Check size ")))</f>
        <v xml:space="preserve">Ok </v>
      </c>
      <c r="AC11" s="1559" t="str">
        <f>IF(G11&gt;=0,IF(R11&gt;=0,IF(G11&gt;=R11,"Ok ","Check size "),"Check sign"),IF(R11&gt;0,"Check sign ",IF(ABS(G11)&gt;=ABS(R11),"Ok ","Check size ")))</f>
        <v xml:space="preserve">Ok </v>
      </c>
      <c r="AD11" s="1559" t="str">
        <f>IF(H11&gt;=0,IF(S11&gt;=0,IF(H11&gt;=S11,"Ok ","Check size "),"Check sign"),IF(S11&gt;0,"Check sign ",IF(ABS(H11)&gt;=ABS(S11),"Ok ","Check size ")))</f>
        <v xml:space="preserve">Ok </v>
      </c>
      <c r="AE11" s="1559" t="str">
        <f>IF(J11&gt;=0,IF(U11&gt;=0,IF(J11&gt;=U11,"Ok ","Check size "),"Check sign"),IF(U11&gt;0,"Check sign ",IF(ABS(J11)&gt;=ABS(U11),"Ok ","Check size ")))</f>
        <v xml:space="preserve">Ok </v>
      </c>
      <c r="AF11" s="1600">
        <f>J11-L11</f>
        <v>0</v>
      </c>
      <c r="AG11" s="1559" t="str">
        <f>IF(J11&gt;=0,IF(L11&gt;=0,IF(J11&gt;=L11,"Ok ","Check size "),"Check sign"),IF(L11&gt;0,"Check sign ",IF(ABS(J11)&gt;=ABS(L11),"Ok ","Check size ")))</f>
        <v xml:space="preserve">Ok </v>
      </c>
    </row>
    <row r="12" spans="1:33" s="1080" customFormat="1" ht="12.75" customHeight="1" x14ac:dyDescent="0.2">
      <c r="A12" s="1598" t="s">
        <v>869</v>
      </c>
      <c r="B12" s="1601">
        <f t="shared" ref="B12:I12" si="0">SUM(B10:B11)</f>
        <v>0</v>
      </c>
      <c r="C12" s="1601">
        <f t="shared" si="0"/>
        <v>0</v>
      </c>
      <c r="D12" s="1601">
        <f t="shared" si="0"/>
        <v>0</v>
      </c>
      <c r="E12" s="1601">
        <f t="shared" si="0"/>
        <v>0</v>
      </c>
      <c r="F12" s="1601">
        <f t="shared" si="0"/>
        <v>0</v>
      </c>
      <c r="G12" s="1601">
        <f t="shared" si="0"/>
        <v>0</v>
      </c>
      <c r="H12" s="1601">
        <f t="shared" si="0"/>
        <v>0</v>
      </c>
      <c r="I12" s="1601">
        <f t="shared" si="0"/>
        <v>0</v>
      </c>
      <c r="J12" s="1602">
        <f>SUM(B12:I12)</f>
        <v>0</v>
      </c>
      <c r="L12" s="1558">
        <f>SUM(M12:T12)</f>
        <v>0</v>
      </c>
      <c r="M12" s="1036"/>
      <c r="N12" s="1036"/>
      <c r="O12" s="1036"/>
      <c r="P12" s="1036"/>
      <c r="Q12" s="1036"/>
      <c r="R12" s="1036"/>
      <c r="S12" s="1036"/>
      <c r="T12" s="1036"/>
      <c r="U12" s="1036"/>
      <c r="V12" s="1559"/>
      <c r="W12" s="1559"/>
      <c r="X12" s="1559"/>
      <c r="Y12" s="1559"/>
      <c r="Z12" s="1559"/>
      <c r="AA12" s="1559"/>
      <c r="AB12" s="1559"/>
      <c r="AC12" s="1559"/>
      <c r="AD12" s="1559"/>
      <c r="AE12" s="1559"/>
      <c r="AF12" s="1600"/>
      <c r="AG12" s="1559"/>
    </row>
    <row r="13" spans="1:33" ht="12.75" customHeight="1" x14ac:dyDescent="0.2">
      <c r="A13" s="542" t="s">
        <v>188</v>
      </c>
      <c r="B13" s="1039"/>
      <c r="C13" s="1039"/>
      <c r="D13" s="1039"/>
      <c r="E13" s="1039"/>
      <c r="F13" s="1039"/>
      <c r="G13" s="1039"/>
      <c r="H13" s="1039"/>
      <c r="I13" s="1039"/>
      <c r="J13" s="431">
        <f t="shared" ref="J13:J21" si="1">SUM(B13:I13)</f>
        <v>0</v>
      </c>
      <c r="L13" s="586">
        <f>SUM(M13:T13)</f>
        <v>0</v>
      </c>
      <c r="M13" s="439"/>
      <c r="N13" s="439"/>
      <c r="O13" s="439"/>
      <c r="P13" s="439"/>
      <c r="Q13" s="439"/>
      <c r="R13" s="439"/>
      <c r="S13" s="439"/>
      <c r="T13" s="439"/>
      <c r="U13" s="439"/>
      <c r="V13" s="409" t="str">
        <f>IF(J13&gt;=0,IF(L13&gt;=0,IF(J13&gt;=L13,"Ok ","Check size "),"Check sign"),IF(L13&gt;0,"Check sign ",IF(ABS(J13)&gt;=ABS(L13),"Ok ","Check size ")))</f>
        <v xml:space="preserve">Ok </v>
      </c>
      <c r="W13" s="409" t="str">
        <f t="shared" ref="W13:W22" si="2">IF(B13&gt;=0,IF(M13&gt;=0,IF(B13&gt;=M13,"Ok ","Check size "),"Check sign"),IF(M13&gt;0,"Check sign ",IF(ABS(B13)&gt;=ABS(M13),"Ok ","Check size ")))</f>
        <v xml:space="preserve">Ok </v>
      </c>
      <c r="X13" s="409" t="str">
        <f t="shared" ref="X13:X22" si="3">IF(C13&gt;=0,IF(N13&gt;=0,IF(C13&gt;=N13,"Ok ","Check size "),"Check sign"),IF(N13&gt;0,"Check sign ",IF(ABS(C13)&gt;=ABS(N13),"Ok ","Check size ")))</f>
        <v xml:space="preserve">Ok </v>
      </c>
      <c r="Y13" s="409" t="str">
        <f t="shared" ref="Y13:Y22" si="4">IF(D13&gt;=0,IF(O13&gt;=0,IF(D13&gt;=O13,"Ok ","Check size "),"Check sign"),IF(O13&gt;0,"Check sign ",IF(ABS(D13)&gt;=ABS(O13),"Ok ","Check size ")))</f>
        <v xml:space="preserve">Ok </v>
      </c>
      <c r="Z13" s="409" t="str">
        <f t="shared" ref="Z13:Z22" si="5">IF(I13&gt;=0,IF(T13&gt;=0,IF(I13&gt;=T13,"Ok ","Check size "),"Check sign"),IF(T13&gt;0,"Check sign ",IF(ABS(I13)&gt;=ABS(T13),"Ok ","Check size ")))</f>
        <v xml:space="preserve">Ok </v>
      </c>
      <c r="AA13" s="409" t="str">
        <f t="shared" ref="AA13:AA22" si="6">IF(E13&gt;=0,IF(P13&gt;=0,IF(E13&gt;=P13,"Ok ","Check size "),"Check sign"),IF(P13&gt;0,"Check sign ",IF(ABS(E13)&gt;=ABS(P13),"Ok ","Check size ")))</f>
        <v xml:space="preserve">Ok </v>
      </c>
      <c r="AB13" s="409" t="str">
        <f t="shared" ref="AB13:AB22" si="7">IF(F13&gt;=0,IF(Q13&gt;=0,IF(F13&gt;=Q13,"Ok ","Check size "),"Check sign"),IF(Q13&gt;0,"Check sign ",IF(ABS(F13)&gt;=ABS(Q13),"Ok ","Check size ")))</f>
        <v xml:space="preserve">Ok </v>
      </c>
      <c r="AC13" s="409" t="str">
        <f t="shared" ref="AC13:AC22" si="8">IF(G13&gt;=0,IF(R13&gt;=0,IF(G13&gt;=R13,"Ok ","Check size "),"Check sign"),IF(R13&gt;0,"Check sign ",IF(ABS(G13)&gt;=ABS(R13),"Ok ","Check size ")))</f>
        <v xml:space="preserve">Ok </v>
      </c>
      <c r="AD13" s="409" t="str">
        <f t="shared" ref="AD13:AD22" si="9">IF(H13&gt;=0,IF(S13&gt;=0,IF(H13&gt;=S13,"Ok ","Check size "),"Check sign"),IF(S13&gt;0,"Check sign ",IF(ABS(H13)&gt;=ABS(S13),"Ok ","Check size ")))</f>
        <v xml:space="preserve">Ok </v>
      </c>
      <c r="AE13" s="409" t="str">
        <f t="shared" ref="AE13:AE22" si="10">IF(J13&gt;=0,IF(U13&gt;=0,IF(J13&gt;=U13,"Ok ","Check size "),"Check sign"),IF(U13&gt;0,"Check sign ",IF(ABS(J13)&gt;=ABS(U13),"Ok ","Check size ")))</f>
        <v xml:space="preserve">Ok </v>
      </c>
      <c r="AF13" s="504">
        <f>J13-L13</f>
        <v>0</v>
      </c>
      <c r="AG13" s="409" t="str">
        <f>IF(J13&gt;=0,IF(L13&gt;=0,IF(J13&gt;=L13,"Ok ","Check size "),"Check sign"),IF(L13&gt;0,"Check sign ",IF(ABS(J13)&gt;=ABS(L13),"Ok ","Check size ")))</f>
        <v xml:space="preserve">Ok </v>
      </c>
    </row>
    <row r="14" spans="1:33" ht="12.75" customHeight="1" x14ac:dyDescent="0.2">
      <c r="A14" s="542" t="s">
        <v>185</v>
      </c>
      <c r="B14" s="1039"/>
      <c r="C14" s="1039"/>
      <c r="D14" s="1039"/>
      <c r="E14" s="1039"/>
      <c r="F14" s="1039"/>
      <c r="G14" s="1039"/>
      <c r="H14" s="1039"/>
      <c r="I14" s="1039"/>
      <c r="J14" s="431">
        <f t="shared" si="1"/>
        <v>0</v>
      </c>
      <c r="L14" s="586">
        <f t="shared" ref="L14:L22" si="11">SUM(M14:T14)</f>
        <v>0</v>
      </c>
      <c r="M14" s="439"/>
      <c r="N14" s="439"/>
      <c r="O14" s="439"/>
      <c r="P14" s="439"/>
      <c r="Q14" s="439"/>
      <c r="R14" s="439"/>
      <c r="S14" s="439"/>
      <c r="T14" s="439"/>
      <c r="U14" s="439"/>
      <c r="V14" s="409" t="str">
        <f t="shared" ref="V14:V22" si="12">IF(J14&gt;=0,IF(L14&gt;=0,IF(J14&gt;=L14,"Ok ","Check size "),"Check sign"),IF(L14&gt;0,"Check sign ",IF(ABS(J14)&gt;=ABS(L14),"Ok ","Check size ")))</f>
        <v xml:space="preserve">Ok </v>
      </c>
      <c r="W14" s="409" t="str">
        <f t="shared" si="2"/>
        <v xml:space="preserve">Ok </v>
      </c>
      <c r="X14" s="409" t="str">
        <f t="shared" si="3"/>
        <v xml:space="preserve">Ok </v>
      </c>
      <c r="Y14" s="409" t="str">
        <f t="shared" si="4"/>
        <v xml:space="preserve">Ok </v>
      </c>
      <c r="Z14" s="409" t="str">
        <f t="shared" si="5"/>
        <v xml:space="preserve">Ok </v>
      </c>
      <c r="AA14" s="409" t="str">
        <f t="shared" si="6"/>
        <v xml:space="preserve">Ok </v>
      </c>
      <c r="AB14" s="409" t="str">
        <f t="shared" si="7"/>
        <v xml:space="preserve">Ok </v>
      </c>
      <c r="AC14" s="409" t="str">
        <f t="shared" si="8"/>
        <v xml:space="preserve">Ok </v>
      </c>
      <c r="AD14" s="409" t="str">
        <f t="shared" si="9"/>
        <v xml:space="preserve">Ok </v>
      </c>
      <c r="AE14" s="409" t="str">
        <f t="shared" si="10"/>
        <v xml:space="preserve">Ok </v>
      </c>
      <c r="AF14" s="504">
        <f t="shared" ref="AF14:AF22" si="13">J14-L14</f>
        <v>0</v>
      </c>
      <c r="AG14" s="409" t="str">
        <f t="shared" ref="AG14:AG22" si="14">IF(J14&gt;=0,IF(L14&gt;=0,IF(J14&gt;=L14,"Ok ","Check size "),"Check sign"),IF(L14&gt;0,"Check sign ",IF(ABS(J14)&gt;=ABS(L14),"Ok ","Check size ")))</f>
        <v xml:space="preserve">Ok </v>
      </c>
    </row>
    <row r="15" spans="1:33" ht="12.75" customHeight="1" x14ac:dyDescent="0.2">
      <c r="A15" s="542" t="s">
        <v>437</v>
      </c>
      <c r="B15" s="1039"/>
      <c r="C15" s="1039"/>
      <c r="D15" s="1039"/>
      <c r="E15" s="1039"/>
      <c r="F15" s="1039"/>
      <c r="G15" s="1039"/>
      <c r="H15" s="1039"/>
      <c r="I15" s="1039"/>
      <c r="J15" s="431">
        <f t="shared" si="1"/>
        <v>0</v>
      </c>
      <c r="L15" s="586">
        <f t="shared" si="11"/>
        <v>0</v>
      </c>
      <c r="M15" s="439"/>
      <c r="N15" s="439"/>
      <c r="O15" s="439"/>
      <c r="P15" s="439"/>
      <c r="Q15" s="439"/>
      <c r="R15" s="439"/>
      <c r="S15" s="439"/>
      <c r="T15" s="439"/>
      <c r="U15" s="439"/>
      <c r="V15" s="409" t="str">
        <f t="shared" si="12"/>
        <v xml:space="preserve">Ok </v>
      </c>
      <c r="W15" s="409" t="str">
        <f t="shared" si="2"/>
        <v xml:space="preserve">Ok </v>
      </c>
      <c r="X15" s="409" t="str">
        <f t="shared" si="3"/>
        <v xml:space="preserve">Ok </v>
      </c>
      <c r="Y15" s="409" t="str">
        <f t="shared" si="4"/>
        <v xml:space="preserve">Ok </v>
      </c>
      <c r="Z15" s="409" t="str">
        <f t="shared" si="5"/>
        <v xml:space="preserve">Ok </v>
      </c>
      <c r="AA15" s="409" t="str">
        <f t="shared" si="6"/>
        <v xml:space="preserve">Ok </v>
      </c>
      <c r="AB15" s="409" t="str">
        <f t="shared" si="7"/>
        <v xml:space="preserve">Ok </v>
      </c>
      <c r="AC15" s="409" t="str">
        <f t="shared" si="8"/>
        <v xml:space="preserve">Ok </v>
      </c>
      <c r="AD15" s="409" t="str">
        <f t="shared" si="9"/>
        <v xml:space="preserve">Ok </v>
      </c>
      <c r="AE15" s="409" t="str">
        <f t="shared" si="10"/>
        <v xml:space="preserve">Ok </v>
      </c>
      <c r="AF15" s="504">
        <f t="shared" si="13"/>
        <v>0</v>
      </c>
      <c r="AG15" s="409" t="str">
        <f t="shared" si="14"/>
        <v xml:space="preserve">Ok </v>
      </c>
    </row>
    <row r="16" spans="1:33" ht="12.75" customHeight="1" x14ac:dyDescent="0.2">
      <c r="A16" s="542" t="s">
        <v>187</v>
      </c>
      <c r="B16" s="1039"/>
      <c r="C16" s="1039"/>
      <c r="D16" s="1039"/>
      <c r="E16" s="1039"/>
      <c r="F16" s="1039"/>
      <c r="G16" s="1039"/>
      <c r="H16" s="1039"/>
      <c r="I16" s="1039"/>
      <c r="J16" s="431">
        <f t="shared" si="1"/>
        <v>0</v>
      </c>
      <c r="L16" s="586">
        <f t="shared" si="11"/>
        <v>0</v>
      </c>
      <c r="M16" s="439"/>
      <c r="N16" s="439"/>
      <c r="O16" s="439"/>
      <c r="P16" s="439"/>
      <c r="Q16" s="439"/>
      <c r="R16" s="439"/>
      <c r="S16" s="439"/>
      <c r="T16" s="439"/>
      <c r="U16" s="439"/>
      <c r="V16" s="409" t="str">
        <f t="shared" si="12"/>
        <v xml:space="preserve">Ok </v>
      </c>
      <c r="W16" s="409" t="str">
        <f t="shared" si="2"/>
        <v xml:space="preserve">Ok </v>
      </c>
      <c r="X16" s="409" t="str">
        <f t="shared" si="3"/>
        <v xml:space="preserve">Ok </v>
      </c>
      <c r="Y16" s="409" t="str">
        <f t="shared" si="4"/>
        <v xml:space="preserve">Ok </v>
      </c>
      <c r="Z16" s="409" t="str">
        <f t="shared" si="5"/>
        <v xml:space="preserve">Ok </v>
      </c>
      <c r="AA16" s="409" t="str">
        <f t="shared" si="6"/>
        <v xml:space="preserve">Ok </v>
      </c>
      <c r="AB16" s="409" t="str">
        <f t="shared" si="7"/>
        <v xml:space="preserve">Ok </v>
      </c>
      <c r="AC16" s="409" t="str">
        <f t="shared" si="8"/>
        <v xml:space="preserve">Ok </v>
      </c>
      <c r="AD16" s="409" t="str">
        <f t="shared" si="9"/>
        <v xml:space="preserve">Ok </v>
      </c>
      <c r="AE16" s="409" t="str">
        <f t="shared" si="10"/>
        <v xml:space="preserve">Ok </v>
      </c>
      <c r="AF16" s="504">
        <f t="shared" si="13"/>
        <v>0</v>
      </c>
      <c r="AG16" s="409" t="str">
        <f t="shared" si="14"/>
        <v xml:space="preserve">Ok </v>
      </c>
    </row>
    <row r="17" spans="1:33" ht="12.75" customHeight="1" x14ac:dyDescent="0.2">
      <c r="A17" s="549" t="s">
        <v>186</v>
      </c>
      <c r="B17" s="1039"/>
      <c r="C17" s="1039"/>
      <c r="D17" s="1039"/>
      <c r="E17" s="1039"/>
      <c r="F17" s="1039"/>
      <c r="G17" s="1039"/>
      <c r="H17" s="1039"/>
      <c r="I17" s="1039"/>
      <c r="J17" s="431">
        <f t="shared" si="1"/>
        <v>0</v>
      </c>
      <c r="L17" s="586">
        <f t="shared" si="11"/>
        <v>0</v>
      </c>
      <c r="M17" s="439"/>
      <c r="N17" s="439"/>
      <c r="O17" s="439"/>
      <c r="P17" s="439"/>
      <c r="Q17" s="439"/>
      <c r="R17" s="439"/>
      <c r="S17" s="439"/>
      <c r="T17" s="439"/>
      <c r="U17" s="439"/>
      <c r="V17" s="409" t="str">
        <f t="shared" si="12"/>
        <v xml:space="preserve">Ok </v>
      </c>
      <c r="W17" s="409" t="str">
        <f t="shared" si="2"/>
        <v xml:space="preserve">Ok </v>
      </c>
      <c r="X17" s="409" t="str">
        <f t="shared" si="3"/>
        <v xml:space="preserve">Ok </v>
      </c>
      <c r="Y17" s="409" t="str">
        <f t="shared" si="4"/>
        <v xml:space="preserve">Ok </v>
      </c>
      <c r="Z17" s="409" t="str">
        <f t="shared" si="5"/>
        <v xml:space="preserve">Ok </v>
      </c>
      <c r="AA17" s="409" t="str">
        <f t="shared" si="6"/>
        <v xml:space="preserve">Ok </v>
      </c>
      <c r="AB17" s="409" t="str">
        <f t="shared" si="7"/>
        <v xml:space="preserve">Ok </v>
      </c>
      <c r="AC17" s="409" t="str">
        <f t="shared" si="8"/>
        <v xml:space="preserve">Ok </v>
      </c>
      <c r="AD17" s="409" t="str">
        <f t="shared" si="9"/>
        <v xml:space="preserve">Ok </v>
      </c>
      <c r="AE17" s="409" t="str">
        <f t="shared" si="10"/>
        <v xml:space="preserve">Ok </v>
      </c>
      <c r="AF17" s="504">
        <f t="shared" si="13"/>
        <v>0</v>
      </c>
      <c r="AG17" s="409" t="str">
        <f t="shared" si="14"/>
        <v xml:space="preserve">Ok </v>
      </c>
    </row>
    <row r="18" spans="1:33" ht="12.75" customHeight="1" x14ac:dyDescent="0.2">
      <c r="A18" s="549" t="s">
        <v>557</v>
      </c>
      <c r="B18" s="1039"/>
      <c r="C18" s="1039"/>
      <c r="D18" s="1039"/>
      <c r="E18" s="1039"/>
      <c r="F18" s="1039"/>
      <c r="G18" s="1039"/>
      <c r="H18" s="1039"/>
      <c r="I18" s="1039"/>
      <c r="J18" s="431">
        <f t="shared" si="1"/>
        <v>0</v>
      </c>
      <c r="L18" s="586">
        <f t="shared" si="11"/>
        <v>0</v>
      </c>
      <c r="M18" s="439"/>
      <c r="N18" s="439"/>
      <c r="O18" s="439"/>
      <c r="P18" s="439"/>
      <c r="Q18" s="439"/>
      <c r="R18" s="439"/>
      <c r="S18" s="439"/>
      <c r="T18" s="439"/>
      <c r="U18" s="439"/>
      <c r="V18" s="409" t="str">
        <f t="shared" si="12"/>
        <v xml:space="preserve">Ok </v>
      </c>
      <c r="W18" s="409" t="str">
        <f t="shared" si="2"/>
        <v xml:space="preserve">Ok </v>
      </c>
      <c r="X18" s="409" t="str">
        <f t="shared" si="3"/>
        <v xml:space="preserve">Ok </v>
      </c>
      <c r="Y18" s="409" t="str">
        <f t="shared" si="4"/>
        <v xml:space="preserve">Ok </v>
      </c>
      <c r="Z18" s="409" t="str">
        <f t="shared" si="5"/>
        <v xml:space="preserve">Ok </v>
      </c>
      <c r="AA18" s="409" t="str">
        <f t="shared" si="6"/>
        <v xml:space="preserve">Ok </v>
      </c>
      <c r="AB18" s="409" t="str">
        <f t="shared" si="7"/>
        <v xml:space="preserve">Ok </v>
      </c>
      <c r="AC18" s="409" t="str">
        <f t="shared" si="8"/>
        <v xml:space="preserve">Ok </v>
      </c>
      <c r="AD18" s="409" t="str">
        <f t="shared" si="9"/>
        <v xml:space="preserve">Ok </v>
      </c>
      <c r="AE18" s="409" t="str">
        <f t="shared" si="10"/>
        <v xml:space="preserve">Ok </v>
      </c>
      <c r="AF18" s="504">
        <f t="shared" si="13"/>
        <v>0</v>
      </c>
      <c r="AG18" s="409" t="str">
        <f t="shared" si="14"/>
        <v xml:space="preserve">Ok </v>
      </c>
    </row>
    <row r="19" spans="1:33" ht="12.75" customHeight="1" x14ac:dyDescent="0.2">
      <c r="A19" s="549" t="s">
        <v>767</v>
      </c>
      <c r="B19" s="1039"/>
      <c r="C19" s="1039"/>
      <c r="D19" s="1039"/>
      <c r="E19" s="1039"/>
      <c r="F19" s="1039"/>
      <c r="G19" s="1039"/>
      <c r="H19" s="1039"/>
      <c r="I19" s="1039"/>
      <c r="J19" s="431">
        <f t="shared" si="1"/>
        <v>0</v>
      </c>
      <c r="L19" s="586">
        <f t="shared" si="11"/>
        <v>0</v>
      </c>
      <c r="M19" s="439"/>
      <c r="N19" s="439"/>
      <c r="O19" s="439"/>
      <c r="P19" s="439"/>
      <c r="Q19" s="439"/>
      <c r="R19" s="439"/>
      <c r="S19" s="439"/>
      <c r="T19" s="439"/>
      <c r="U19" s="439"/>
      <c r="V19" s="409" t="str">
        <f t="shared" si="12"/>
        <v xml:space="preserve">Ok </v>
      </c>
      <c r="W19" s="409" t="str">
        <f t="shared" si="2"/>
        <v xml:space="preserve">Ok </v>
      </c>
      <c r="X19" s="409" t="str">
        <f t="shared" si="3"/>
        <v xml:space="preserve">Ok </v>
      </c>
      <c r="Y19" s="409" t="str">
        <f t="shared" si="4"/>
        <v xml:space="preserve">Ok </v>
      </c>
      <c r="Z19" s="409" t="str">
        <f t="shared" si="5"/>
        <v xml:space="preserve">Ok </v>
      </c>
      <c r="AA19" s="409" t="str">
        <f t="shared" si="6"/>
        <v xml:space="preserve">Ok </v>
      </c>
      <c r="AB19" s="409" t="str">
        <f t="shared" si="7"/>
        <v xml:space="preserve">Ok </v>
      </c>
      <c r="AC19" s="409" t="str">
        <f t="shared" si="8"/>
        <v xml:space="preserve">Ok </v>
      </c>
      <c r="AD19" s="409" t="str">
        <f t="shared" si="9"/>
        <v xml:space="preserve">Ok </v>
      </c>
      <c r="AE19" s="409" t="str">
        <f t="shared" si="10"/>
        <v xml:space="preserve">Ok </v>
      </c>
      <c r="AF19" s="504">
        <f t="shared" si="13"/>
        <v>0</v>
      </c>
      <c r="AG19" s="409" t="str">
        <f t="shared" si="14"/>
        <v xml:space="preserve">Ok </v>
      </c>
    </row>
    <row r="20" spans="1:33" ht="12.75" customHeight="1" x14ac:dyDescent="0.2">
      <c r="A20" s="549" t="s">
        <v>768</v>
      </c>
      <c r="B20" s="1039"/>
      <c r="C20" s="1039"/>
      <c r="D20" s="1039"/>
      <c r="E20" s="1039"/>
      <c r="F20" s="1039"/>
      <c r="G20" s="1039"/>
      <c r="H20" s="1039"/>
      <c r="I20" s="1039"/>
      <c r="J20" s="431">
        <f t="shared" si="1"/>
        <v>0</v>
      </c>
      <c r="L20" s="586">
        <f t="shared" si="11"/>
        <v>0</v>
      </c>
      <c r="M20" s="439"/>
      <c r="N20" s="439"/>
      <c r="O20" s="439"/>
      <c r="P20" s="439"/>
      <c r="Q20" s="439"/>
      <c r="R20" s="439"/>
      <c r="S20" s="439"/>
      <c r="T20" s="439"/>
      <c r="U20" s="439"/>
      <c r="V20" s="409" t="str">
        <f t="shared" si="12"/>
        <v xml:space="preserve">Ok </v>
      </c>
      <c r="W20" s="409" t="str">
        <f t="shared" si="2"/>
        <v xml:space="preserve">Ok </v>
      </c>
      <c r="X20" s="409" t="str">
        <f t="shared" si="3"/>
        <v xml:space="preserve">Ok </v>
      </c>
      <c r="Y20" s="409" t="str">
        <f t="shared" si="4"/>
        <v xml:space="preserve">Ok </v>
      </c>
      <c r="Z20" s="409" t="str">
        <f t="shared" si="5"/>
        <v xml:space="preserve">Ok </v>
      </c>
      <c r="AA20" s="409" t="str">
        <f t="shared" si="6"/>
        <v xml:space="preserve">Ok </v>
      </c>
      <c r="AB20" s="409" t="str">
        <f t="shared" si="7"/>
        <v xml:space="preserve">Ok </v>
      </c>
      <c r="AC20" s="409" t="str">
        <f t="shared" si="8"/>
        <v xml:space="preserve">Ok </v>
      </c>
      <c r="AD20" s="409" t="str">
        <f t="shared" si="9"/>
        <v xml:space="preserve">Ok </v>
      </c>
      <c r="AE20" s="409" t="str">
        <f t="shared" si="10"/>
        <v xml:space="preserve">Ok </v>
      </c>
      <c r="AF20" s="504">
        <f t="shared" si="13"/>
        <v>0</v>
      </c>
      <c r="AG20" s="409" t="str">
        <f t="shared" si="14"/>
        <v xml:space="preserve">Ok </v>
      </c>
    </row>
    <row r="21" spans="1:33" ht="12.75" customHeight="1" x14ac:dyDescent="0.2">
      <c r="A21" s="596" t="s">
        <v>810</v>
      </c>
      <c r="B21" s="1039"/>
      <c r="C21" s="1039"/>
      <c r="D21" s="1039"/>
      <c r="E21" s="1039"/>
      <c r="F21" s="1039"/>
      <c r="G21" s="1039"/>
      <c r="H21" s="1039"/>
      <c r="I21" s="1039"/>
      <c r="J21" s="431">
        <f t="shared" si="1"/>
        <v>0</v>
      </c>
      <c r="L21" s="586">
        <f t="shared" si="11"/>
        <v>0</v>
      </c>
      <c r="M21" s="439"/>
      <c r="N21" s="439"/>
      <c r="O21" s="439"/>
      <c r="P21" s="439"/>
      <c r="Q21" s="439"/>
      <c r="R21" s="439"/>
      <c r="S21" s="439"/>
      <c r="T21" s="439"/>
      <c r="U21" s="439"/>
      <c r="V21" s="409" t="str">
        <f t="shared" si="12"/>
        <v xml:space="preserve">Ok </v>
      </c>
      <c r="W21" s="409" t="str">
        <f t="shared" si="2"/>
        <v xml:space="preserve">Ok </v>
      </c>
      <c r="X21" s="409" t="str">
        <f t="shared" si="3"/>
        <v xml:space="preserve">Ok </v>
      </c>
      <c r="Y21" s="409" t="str">
        <f t="shared" si="4"/>
        <v xml:space="preserve">Ok </v>
      </c>
      <c r="Z21" s="409" t="str">
        <f t="shared" si="5"/>
        <v xml:space="preserve">Ok </v>
      </c>
      <c r="AA21" s="409" t="str">
        <f t="shared" si="6"/>
        <v xml:space="preserve">Ok </v>
      </c>
      <c r="AB21" s="409" t="str">
        <f t="shared" si="7"/>
        <v xml:space="preserve">Ok </v>
      </c>
      <c r="AC21" s="409" t="str">
        <f t="shared" si="8"/>
        <v xml:space="preserve">Ok </v>
      </c>
      <c r="AD21" s="409" t="str">
        <f t="shared" si="9"/>
        <v xml:space="preserve">Ok </v>
      </c>
      <c r="AE21" s="409" t="str">
        <f t="shared" si="10"/>
        <v xml:space="preserve">Ok </v>
      </c>
      <c r="AF21" s="504">
        <f t="shared" si="13"/>
        <v>0</v>
      </c>
      <c r="AG21" s="409" t="str">
        <f t="shared" si="14"/>
        <v xml:space="preserve">Ok </v>
      </c>
    </row>
    <row r="22" spans="1:33" ht="12.75" customHeight="1" x14ac:dyDescent="0.2">
      <c r="A22" s="549" t="s">
        <v>191</v>
      </c>
      <c r="B22" s="1039"/>
      <c r="C22" s="1039"/>
      <c r="D22" s="1039"/>
      <c r="E22" s="1039"/>
      <c r="F22" s="1039"/>
      <c r="G22" s="1039"/>
      <c r="H22" s="1039"/>
      <c r="I22" s="1039"/>
      <c r="J22" s="431">
        <f>SUM(B22:I22)</f>
        <v>0</v>
      </c>
      <c r="L22" s="586">
        <f t="shared" si="11"/>
        <v>0</v>
      </c>
      <c r="M22" s="439"/>
      <c r="N22" s="439"/>
      <c r="O22" s="439"/>
      <c r="P22" s="439"/>
      <c r="Q22" s="439"/>
      <c r="R22" s="439"/>
      <c r="S22" s="439"/>
      <c r="T22" s="439"/>
      <c r="U22" s="439"/>
      <c r="V22" s="409" t="str">
        <f t="shared" si="12"/>
        <v xml:space="preserve">Ok </v>
      </c>
      <c r="W22" s="409" t="str">
        <f t="shared" si="2"/>
        <v xml:space="preserve">Ok </v>
      </c>
      <c r="X22" s="409" t="str">
        <f t="shared" si="3"/>
        <v xml:space="preserve">Ok </v>
      </c>
      <c r="Y22" s="409" t="str">
        <f t="shared" si="4"/>
        <v xml:space="preserve">Ok </v>
      </c>
      <c r="Z22" s="409" t="str">
        <f t="shared" si="5"/>
        <v xml:space="preserve">Ok </v>
      </c>
      <c r="AA22" s="409" t="str">
        <f t="shared" si="6"/>
        <v xml:space="preserve">Ok </v>
      </c>
      <c r="AB22" s="409" t="str">
        <f t="shared" si="7"/>
        <v xml:space="preserve">Ok </v>
      </c>
      <c r="AC22" s="409" t="str">
        <f t="shared" si="8"/>
        <v xml:space="preserve">Ok </v>
      </c>
      <c r="AD22" s="409" t="str">
        <f t="shared" si="9"/>
        <v xml:space="preserve">Ok </v>
      </c>
      <c r="AE22" s="409" t="str">
        <f t="shared" si="10"/>
        <v xml:space="preserve">Ok </v>
      </c>
      <c r="AF22" s="504">
        <f t="shared" si="13"/>
        <v>0</v>
      </c>
      <c r="AG22" s="409" t="str">
        <f t="shared" si="14"/>
        <v xml:space="preserve">Ok </v>
      </c>
    </row>
    <row r="23" spans="1:33" ht="12.75" customHeight="1" x14ac:dyDescent="0.2">
      <c r="A23" s="549"/>
      <c r="B23" s="599"/>
      <c r="C23" s="599"/>
      <c r="D23" s="599"/>
      <c r="E23" s="599"/>
      <c r="F23" s="599"/>
      <c r="G23" s="599"/>
      <c r="H23" s="599"/>
      <c r="I23" s="599"/>
      <c r="J23" s="433"/>
      <c r="L23" s="599"/>
      <c r="M23" s="599"/>
      <c r="N23" s="599"/>
      <c r="O23" s="599"/>
      <c r="P23" s="599"/>
      <c r="Q23" s="599"/>
      <c r="R23" s="599"/>
      <c r="S23" s="599"/>
      <c r="T23" s="599"/>
      <c r="U23" s="599"/>
    </row>
    <row r="24" spans="1:33" ht="12.75" customHeight="1" x14ac:dyDescent="0.2">
      <c r="A24" s="549"/>
      <c r="B24" s="584"/>
      <c r="C24" s="584"/>
      <c r="D24" s="584"/>
      <c r="E24" s="584"/>
      <c r="F24" s="584"/>
      <c r="G24" s="584"/>
      <c r="H24" s="584"/>
      <c r="I24" s="584"/>
      <c r="J24" s="598"/>
      <c r="L24" s="584"/>
      <c r="M24" s="584"/>
      <c r="N24" s="584"/>
      <c r="O24" s="584"/>
      <c r="P24" s="584"/>
      <c r="Q24" s="584"/>
      <c r="R24" s="584"/>
      <c r="S24" s="584"/>
      <c r="T24" s="584"/>
      <c r="U24" s="584"/>
    </row>
    <row r="25" spans="1:33" ht="12.75" customHeight="1" thickBot="1" x14ac:dyDescent="0.25">
      <c r="A25" s="549" t="str">
        <f>"At"&amp;Update!$B$22</f>
        <v>At 31 March 2026</v>
      </c>
      <c r="B25" s="592">
        <f t="shared" ref="B25:J25" si="15">SUM(B12:B23)</f>
        <v>0</v>
      </c>
      <c r="C25" s="592">
        <f t="shared" si="15"/>
        <v>0</v>
      </c>
      <c r="D25" s="592">
        <f t="shared" si="15"/>
        <v>0</v>
      </c>
      <c r="E25" s="592">
        <f t="shared" si="15"/>
        <v>0</v>
      </c>
      <c r="F25" s="592">
        <f t="shared" si="15"/>
        <v>0</v>
      </c>
      <c r="G25" s="592">
        <f t="shared" si="15"/>
        <v>0</v>
      </c>
      <c r="H25" s="592">
        <f t="shared" si="15"/>
        <v>0</v>
      </c>
      <c r="I25" s="592">
        <f t="shared" si="15"/>
        <v>0</v>
      </c>
      <c r="J25" s="591">
        <f t="shared" si="15"/>
        <v>0</v>
      </c>
      <c r="L25" s="592">
        <f t="shared" ref="L25:T25" si="16">SUM(L12:L23)</f>
        <v>0</v>
      </c>
      <c r="M25" s="592">
        <f t="shared" si="16"/>
        <v>0</v>
      </c>
      <c r="N25" s="592">
        <f t="shared" si="16"/>
        <v>0</v>
      </c>
      <c r="O25" s="592">
        <f t="shared" si="16"/>
        <v>0</v>
      </c>
      <c r="P25" s="592">
        <f t="shared" si="16"/>
        <v>0</v>
      </c>
      <c r="Q25" s="592">
        <f t="shared" si="16"/>
        <v>0</v>
      </c>
      <c r="R25" s="592">
        <f t="shared" si="16"/>
        <v>0</v>
      </c>
      <c r="S25" s="592">
        <f t="shared" si="16"/>
        <v>0</v>
      </c>
      <c r="T25" s="592">
        <f t="shared" si="16"/>
        <v>0</v>
      </c>
      <c r="U25" s="592"/>
      <c r="AF25" s="592">
        <f>SUM(AF10:AF23)</f>
        <v>0</v>
      </c>
    </row>
    <row r="26" spans="1:33" ht="12.75" customHeight="1" thickTop="1" x14ac:dyDescent="0.2">
      <c r="A26" s="536"/>
      <c r="B26" s="536"/>
      <c r="C26" s="536"/>
      <c r="D26" s="536"/>
      <c r="E26" s="536"/>
      <c r="F26" s="536"/>
      <c r="G26" s="536"/>
      <c r="H26" s="536"/>
      <c r="I26" s="536"/>
      <c r="J26" s="536"/>
      <c r="L26" s="586"/>
      <c r="M26" s="586"/>
      <c r="N26" s="586"/>
      <c r="O26" s="586"/>
      <c r="P26" s="586"/>
      <c r="Q26" s="586"/>
      <c r="R26" s="586"/>
      <c r="S26" s="586"/>
      <c r="T26" s="586"/>
      <c r="U26" s="586"/>
    </row>
    <row r="27" spans="1:33" ht="12.75" customHeight="1" x14ac:dyDescent="0.2">
      <c r="A27" s="536" t="s">
        <v>160</v>
      </c>
      <c r="L27" s="432"/>
      <c r="M27" s="432"/>
      <c r="N27" s="432"/>
      <c r="O27" s="432"/>
      <c r="P27" s="432"/>
      <c r="Q27" s="432"/>
      <c r="R27" s="432"/>
      <c r="S27" s="432"/>
      <c r="T27" s="432"/>
      <c r="U27" s="432"/>
    </row>
    <row r="28" spans="1:33" ht="12.75" customHeight="1" x14ac:dyDescent="0.2">
      <c r="A28" s="457" t="str">
        <f>+A10&amp;" "</f>
        <v xml:space="preserve">At 1 April 2025 </v>
      </c>
      <c r="B28" s="597">
        <f>'alb Note 5.2 -  PP&amp;E - PY'!B37</f>
        <v>0</v>
      </c>
      <c r="C28" s="597">
        <f>'alb Note 5.2 -  PP&amp;E - PY'!C37</f>
        <v>0</v>
      </c>
      <c r="D28" s="597">
        <f>'alb Note 5.2 -  PP&amp;E - PY'!D37</f>
        <v>0</v>
      </c>
      <c r="E28" s="597">
        <f>'alb Note 5.2 -  PP&amp;E - PY'!E37</f>
        <v>0</v>
      </c>
      <c r="F28" s="597">
        <f>'alb Note 5.2 -  PP&amp;E - PY'!F37</f>
        <v>0</v>
      </c>
      <c r="G28" s="597">
        <f>'alb Note 5.2 -  PP&amp;E - PY'!G37</f>
        <v>0</v>
      </c>
      <c r="H28" s="597">
        <f>'alb Note 5.2 -  PP&amp;E - PY'!H37</f>
        <v>0</v>
      </c>
      <c r="I28" s="597">
        <f>'alb Note 5.2 -  PP&amp;E - PY'!I37</f>
        <v>0</v>
      </c>
      <c r="J28" s="598">
        <f>SUM(B28:I28)</f>
        <v>0</v>
      </c>
      <c r="L28" s="597">
        <f t="shared" ref="L28:L39" si="17">SUM(M28:T28)</f>
        <v>0</v>
      </c>
      <c r="M28" s="597">
        <f>'alb Note 5.2 -  PP&amp;E - PY'!M37</f>
        <v>0</v>
      </c>
      <c r="N28" s="597">
        <f>'alb Note 5.2 -  PP&amp;E - PY'!N37</f>
        <v>0</v>
      </c>
      <c r="O28" s="597">
        <f>'alb Note 5.2 -  PP&amp;E - PY'!O37</f>
        <v>0</v>
      </c>
      <c r="P28" s="597">
        <f>'alb Note 5.2 -  PP&amp;E - PY'!Q37</f>
        <v>0</v>
      </c>
      <c r="Q28" s="597">
        <f>'alb Note 5.2 -  PP&amp;E - PY'!R37</f>
        <v>0</v>
      </c>
      <c r="R28" s="597">
        <f>'alb Note 5.2 -  PP&amp;E - PY'!S37</f>
        <v>0</v>
      </c>
      <c r="S28" s="597">
        <f>'alb Note 5.2 -  PP&amp;E - PY'!T37</f>
        <v>0</v>
      </c>
      <c r="T28" s="597">
        <f>'alb Note 5.2 -  PP&amp;E - PY'!P37</f>
        <v>0</v>
      </c>
      <c r="U28" s="597"/>
    </row>
    <row r="29" spans="1:33" ht="12.75" customHeight="1" x14ac:dyDescent="0.2">
      <c r="A29" s="542" t="s">
        <v>435</v>
      </c>
      <c r="B29" s="1039"/>
      <c r="C29" s="1039"/>
      <c r="D29" s="1039"/>
      <c r="E29" s="1039"/>
      <c r="F29" s="1039"/>
      <c r="G29" s="1039"/>
      <c r="H29" s="1039"/>
      <c r="I29" s="1039"/>
      <c r="J29" s="431">
        <f>SUM(B29:I29)</f>
        <v>0</v>
      </c>
      <c r="L29" s="586">
        <f>SUM(M29:T29)</f>
        <v>0</v>
      </c>
      <c r="M29" s="439"/>
      <c r="N29" s="439"/>
      <c r="O29" s="439"/>
      <c r="P29" s="439"/>
      <c r="Q29" s="439"/>
      <c r="R29" s="439"/>
      <c r="S29" s="439"/>
      <c r="T29" s="439"/>
      <c r="U29" s="439"/>
      <c r="V29" s="409" t="str">
        <f>IF(J29&gt;=0,IF(L29&gt;=0,IF(J29&gt;=L29,"Ok ","Check size "),"Check sign"),IF(L29&gt;0,"Check sign ",IF(ABS(J29)&gt;=ABS(L29),"Ok ","Check size ")))</f>
        <v xml:space="preserve">Ok </v>
      </c>
      <c r="W29" s="409" t="str">
        <f>IF(B29&gt;=0,IF(M29&gt;=0,IF(B29&gt;=M29,"Ok ","Check size "),"Check sign"),IF(M29&gt;0,"Check sign ",IF(ABS(B29)&gt;=ABS(M29),"Ok ","Check size ")))</f>
        <v xml:space="preserve">Ok </v>
      </c>
      <c r="X29" s="409" t="str">
        <f>IF(C29&gt;=0,IF(N29&gt;=0,IF(C29&gt;=N29,"Ok ","Check size "),"Check sign"),IF(N29&gt;0,"Check sign ",IF(ABS(C29)&gt;=ABS(N29),"Ok ","Check size ")))</f>
        <v xml:space="preserve">Ok </v>
      </c>
      <c r="Y29" s="409" t="str">
        <f>IF(D29&gt;=0,IF(O29&gt;=0,IF(D29&gt;=O29,"Ok ","Check size "),"Check sign"),IF(O29&gt;0,"Check sign ",IF(ABS(D29)&gt;=ABS(O29),"Ok ","Check size ")))</f>
        <v xml:space="preserve">Ok </v>
      </c>
      <c r="Z29" s="409" t="str">
        <f>IF(I29&gt;=0,IF(T29&gt;=0,IF(I29&gt;=T29,"Ok ","Check size "),"Check sign"),IF(T29&gt;0,"Check sign ",IF(ABS(I29)&gt;=ABS(T29),"Ok ","Check size ")))</f>
        <v xml:space="preserve">Ok </v>
      </c>
      <c r="AA29" s="409" t="str">
        <f>IF(E29&gt;=0,IF(P29&gt;=0,IF(E29&gt;=P29,"Ok ","Check size "),"Check sign"),IF(P29&gt;0,"Check sign ",IF(ABS(E29)&gt;=ABS(P29),"Ok ","Check size ")))</f>
        <v xml:space="preserve">Ok </v>
      </c>
      <c r="AB29" s="409" t="str">
        <f>IF(F29&gt;=0,IF(Q29&gt;=0,IF(F29&gt;=Q29,"Ok ","Check size "),"Check sign"),IF(Q29&gt;0,"Check sign ",IF(ABS(F29)&gt;=ABS(Q29),"Ok ","Check size ")))</f>
        <v xml:space="preserve">Ok </v>
      </c>
      <c r="AC29" s="409" t="str">
        <f>IF(G29&gt;=0,IF(R29&gt;=0,IF(G29&gt;=R29,"Ok ","Check size "),"Check sign"),IF(R29&gt;0,"Check sign ",IF(ABS(G29)&gt;=ABS(R29),"Ok ","Check size ")))</f>
        <v xml:space="preserve">Ok </v>
      </c>
      <c r="AD29" s="409" t="str">
        <f>IF(H29&gt;=0,IF(S29&gt;=0,IF(H29&gt;=S29,"Ok ","Check size "),"Check sign"),IF(S29&gt;0,"Check sign ",IF(ABS(H29)&gt;=ABS(S29),"Ok ","Check size ")))</f>
        <v xml:space="preserve">Ok </v>
      </c>
      <c r="AE29" s="409" t="str">
        <f>IF(J29&gt;=0,IF(U29&gt;=0,IF(J29&gt;=U29,"Ok ","Check size "),"Check sign"),IF(U29&gt;0,"Check sign ",IF(ABS(J29)&gt;=ABS(U29),"Ok ","Check size ")))</f>
        <v xml:space="preserve">Ok </v>
      </c>
      <c r="AF29" s="504">
        <f>J29-L29</f>
        <v>0</v>
      </c>
      <c r="AG29" s="409" t="str">
        <f>IF(J29&gt;=0,IF(L29&gt;=0,IF(J29&gt;=L29,"Ok ","Check size "),"Check sign"),IF(L29&gt;0,"Check sign ",IF(ABS(J29)&gt;=ABS(L29),"Ok ","Check size ")))</f>
        <v xml:space="preserve">Ok </v>
      </c>
    </row>
    <row r="30" spans="1:33" ht="12.75" customHeight="1" x14ac:dyDescent="0.2">
      <c r="A30" s="457" t="s">
        <v>442</v>
      </c>
      <c r="B30" s="1596">
        <f t="shared" ref="B30:I30" si="18">SUM(B28:B29)</f>
        <v>0</v>
      </c>
      <c r="C30" s="1596">
        <f t="shared" si="18"/>
        <v>0</v>
      </c>
      <c r="D30" s="1596">
        <f t="shared" si="18"/>
        <v>0</v>
      </c>
      <c r="E30" s="1596">
        <f t="shared" si="18"/>
        <v>0</v>
      </c>
      <c r="F30" s="1596">
        <f t="shared" si="18"/>
        <v>0</v>
      </c>
      <c r="G30" s="1596">
        <f t="shared" si="18"/>
        <v>0</v>
      </c>
      <c r="H30" s="1596">
        <f t="shared" si="18"/>
        <v>0</v>
      </c>
      <c r="I30" s="1596">
        <f t="shared" si="18"/>
        <v>0</v>
      </c>
      <c r="J30" s="1597">
        <f>SUM(B30:I30)</f>
        <v>0</v>
      </c>
      <c r="L30" s="600"/>
      <c r="M30" s="600"/>
      <c r="N30" s="600"/>
      <c r="O30" s="600"/>
      <c r="P30" s="600"/>
      <c r="Q30" s="600"/>
      <c r="R30" s="600"/>
      <c r="S30" s="600"/>
      <c r="T30" s="600"/>
      <c r="U30" s="600"/>
    </row>
    <row r="31" spans="1:33" ht="12.75" customHeight="1" x14ac:dyDescent="0.2">
      <c r="A31" s="542" t="s">
        <v>868</v>
      </c>
      <c r="B31" s="1039"/>
      <c r="C31" s="1039"/>
      <c r="D31" s="1039"/>
      <c r="E31" s="1039"/>
      <c r="F31" s="1039"/>
      <c r="G31" s="1039"/>
      <c r="H31" s="1039"/>
      <c r="I31" s="1039"/>
      <c r="J31" s="431">
        <f>SUM(B31:I31)</f>
        <v>0</v>
      </c>
      <c r="L31" s="586">
        <f t="shared" si="17"/>
        <v>0</v>
      </c>
      <c r="M31" s="439"/>
      <c r="N31" s="439"/>
      <c r="O31" s="439"/>
      <c r="P31" s="439"/>
      <c r="Q31" s="439"/>
      <c r="R31" s="439"/>
      <c r="S31" s="439"/>
      <c r="T31" s="439"/>
      <c r="U31" s="439"/>
      <c r="V31" s="409" t="str">
        <f t="shared" ref="V31:V40" si="19">IF(J31&gt;=0,IF(L31&gt;=0,IF(J31&gt;=L31,"Ok ","Check size "),"Check sign"),IF(L31&gt;0,"Check sign ",IF(ABS(J31)&gt;=ABS(L31),"Ok ","Check size ")))</f>
        <v xml:space="preserve">Ok </v>
      </c>
      <c r="W31" s="409" t="str">
        <f t="shared" ref="W31:W40" si="20">IF(B31&gt;=0,IF(M31&gt;=0,IF(B31&gt;=M31,"Ok ","Check size "),"Check sign"),IF(M31&gt;0,"Check sign ",IF(ABS(B31)&gt;=ABS(M31),"Ok ","Check size ")))</f>
        <v xml:space="preserve">Ok </v>
      </c>
      <c r="X31" s="409" t="str">
        <f t="shared" ref="X31:X40" si="21">IF(C31&gt;=0,IF(N31&gt;=0,IF(C31&gt;=N31,"Ok ","Check size "),"Check sign"),IF(N31&gt;0,"Check sign ",IF(ABS(C31)&gt;=ABS(N31),"Ok ","Check size ")))</f>
        <v xml:space="preserve">Ok </v>
      </c>
      <c r="Y31" s="409" t="str">
        <f t="shared" ref="Y31:Y40" si="22">IF(D31&gt;=0,IF(O31&gt;=0,IF(D31&gt;=O31,"Ok ","Check size "),"Check sign"),IF(O31&gt;0,"Check sign ",IF(ABS(D31)&gt;=ABS(O31),"Ok ","Check size ")))</f>
        <v xml:space="preserve">Ok </v>
      </c>
      <c r="Z31" s="409" t="str">
        <f t="shared" ref="Z31:Z40" si="23">IF(I31&gt;=0,IF(T31&gt;=0,IF(I31&gt;=T31,"Ok ","Check size "),"Check sign"),IF(T31&gt;0,"Check sign ",IF(ABS(I31)&gt;=ABS(T31),"Ok ","Check size ")))</f>
        <v xml:space="preserve">Ok </v>
      </c>
      <c r="AA31" s="409" t="str">
        <f t="shared" ref="AA31:AA40" si="24">IF(E31&gt;=0,IF(P31&gt;=0,IF(E31&gt;=P31,"Ok ","Check size "),"Check sign"),IF(P31&gt;0,"Check sign ",IF(ABS(E31)&gt;=ABS(P31),"Ok ","Check size ")))</f>
        <v xml:space="preserve">Ok </v>
      </c>
      <c r="AB31" s="409" t="str">
        <f t="shared" ref="AB31:AB40" si="25">IF(F31&gt;=0,IF(Q31&gt;=0,IF(F31&gt;=Q31,"Ok ","Check size "),"Check sign"),IF(Q31&gt;0,"Check sign ",IF(ABS(F31)&gt;=ABS(Q31),"Ok ","Check size ")))</f>
        <v xml:space="preserve">Ok </v>
      </c>
      <c r="AC31" s="409" t="str">
        <f t="shared" ref="AC31:AC40" si="26">IF(G31&gt;=0,IF(R31&gt;=0,IF(G31&gt;=R31,"Ok ","Check size "),"Check sign"),IF(R31&gt;0,"Check sign ",IF(ABS(G31)&gt;=ABS(R31),"Ok ","Check size ")))</f>
        <v xml:space="preserve">Ok </v>
      </c>
      <c r="AD31" s="409" t="str">
        <f t="shared" ref="AD31:AD40" si="27">IF(H31&gt;=0,IF(S31&gt;=0,IF(H31&gt;=S31,"Ok ","Check size "),"Check sign"),IF(S31&gt;0,"Check sign ",IF(ABS(H31)&gt;=ABS(S31),"Ok ","Check size ")))</f>
        <v xml:space="preserve">Ok </v>
      </c>
      <c r="AE31" s="409" t="str">
        <f t="shared" ref="AE31:AE40" si="28">IF(J31&gt;=0,IF(U31&gt;=0,IF(J31&gt;=U31,"Ok ","Check size "),"Check sign"),IF(U31&gt;0,"Check sign ",IF(ABS(J31)&gt;=ABS(U31),"Ok ","Check size ")))</f>
        <v xml:space="preserve">Ok </v>
      </c>
      <c r="AF31" s="504">
        <f t="shared" ref="AF31:AF40" si="29">J31-L31</f>
        <v>0</v>
      </c>
      <c r="AG31" s="409" t="str">
        <f t="shared" ref="AG31:AG40" si="30">IF(J31&gt;=0,IF(L31&gt;=0,IF(J31&gt;=L31,"Ok ","Check size "),"Check sign"),IF(L31&gt;0,"Check sign ",IF(ABS(J31)&gt;=ABS(L31),"Ok ","Check size ")))</f>
        <v xml:space="preserve">Ok </v>
      </c>
    </row>
    <row r="32" spans="1:33" ht="12.75" customHeight="1" x14ac:dyDescent="0.2">
      <c r="A32" s="542" t="s">
        <v>867</v>
      </c>
      <c r="B32" s="1039"/>
      <c r="C32" s="1039"/>
      <c r="D32" s="1039"/>
      <c r="E32" s="1039"/>
      <c r="F32" s="1039"/>
      <c r="G32" s="1039"/>
      <c r="H32" s="1039"/>
      <c r="I32" s="1039"/>
      <c r="J32" s="431">
        <f t="shared" ref="J32:J39" si="31">SUM(B32:I32)</f>
        <v>0</v>
      </c>
      <c r="L32" s="586">
        <f t="shared" si="17"/>
        <v>0</v>
      </c>
      <c r="M32" s="439"/>
      <c r="N32" s="439"/>
      <c r="O32" s="439"/>
      <c r="P32" s="439"/>
      <c r="Q32" s="439"/>
      <c r="R32" s="439"/>
      <c r="S32" s="439"/>
      <c r="T32" s="439"/>
      <c r="U32" s="439"/>
      <c r="V32" s="409" t="str">
        <f t="shared" si="19"/>
        <v xml:space="preserve">Ok </v>
      </c>
      <c r="W32" s="409" t="str">
        <f t="shared" si="20"/>
        <v xml:space="preserve">Ok </v>
      </c>
      <c r="X32" s="409" t="str">
        <f t="shared" si="21"/>
        <v xml:space="preserve">Ok </v>
      </c>
      <c r="Y32" s="409" t="str">
        <f t="shared" si="22"/>
        <v xml:space="preserve">Ok </v>
      </c>
      <c r="Z32" s="409" t="str">
        <f t="shared" si="23"/>
        <v xml:space="preserve">Ok </v>
      </c>
      <c r="AA32" s="409" t="str">
        <f t="shared" si="24"/>
        <v xml:space="preserve">Ok </v>
      </c>
      <c r="AB32" s="409" t="str">
        <f t="shared" si="25"/>
        <v xml:space="preserve">Ok </v>
      </c>
      <c r="AC32" s="409" t="str">
        <f t="shared" si="26"/>
        <v xml:space="preserve">Ok </v>
      </c>
      <c r="AD32" s="409" t="str">
        <f t="shared" si="27"/>
        <v xml:space="preserve">Ok </v>
      </c>
      <c r="AE32" s="409" t="str">
        <f t="shared" si="28"/>
        <v xml:space="preserve">Ok </v>
      </c>
      <c r="AF32" s="504">
        <f t="shared" si="29"/>
        <v>0</v>
      </c>
      <c r="AG32" s="409" t="str">
        <f t="shared" si="30"/>
        <v xml:space="preserve">Ok </v>
      </c>
    </row>
    <row r="33" spans="1:33" ht="12.75" customHeight="1" x14ac:dyDescent="0.2">
      <c r="A33" s="542" t="s">
        <v>863</v>
      </c>
      <c r="B33" s="1039"/>
      <c r="C33" s="1039"/>
      <c r="D33" s="1039"/>
      <c r="E33" s="1039"/>
      <c r="F33" s="1039"/>
      <c r="G33" s="1039"/>
      <c r="H33" s="1039"/>
      <c r="I33" s="1039"/>
      <c r="J33" s="431">
        <f t="shared" si="31"/>
        <v>0</v>
      </c>
      <c r="L33" s="586">
        <f t="shared" si="17"/>
        <v>0</v>
      </c>
      <c r="M33" s="439"/>
      <c r="N33" s="439"/>
      <c r="O33" s="439"/>
      <c r="P33" s="439"/>
      <c r="Q33" s="439"/>
      <c r="R33" s="439"/>
      <c r="S33" s="439"/>
      <c r="T33" s="439"/>
      <c r="U33" s="439"/>
      <c r="V33" s="409" t="str">
        <f t="shared" si="19"/>
        <v xml:space="preserve">Ok </v>
      </c>
      <c r="W33" s="409" t="str">
        <f t="shared" si="20"/>
        <v xml:space="preserve">Ok </v>
      </c>
      <c r="X33" s="409" t="str">
        <f t="shared" si="21"/>
        <v xml:space="preserve">Ok </v>
      </c>
      <c r="Y33" s="409" t="str">
        <f t="shared" si="22"/>
        <v xml:space="preserve">Ok </v>
      </c>
      <c r="Z33" s="409" t="str">
        <f t="shared" si="23"/>
        <v xml:space="preserve">Ok </v>
      </c>
      <c r="AA33" s="409" t="str">
        <f t="shared" si="24"/>
        <v xml:space="preserve">Ok </v>
      </c>
      <c r="AB33" s="409" t="str">
        <f t="shared" si="25"/>
        <v xml:space="preserve">Ok </v>
      </c>
      <c r="AC33" s="409" t="str">
        <f t="shared" si="26"/>
        <v xml:space="preserve">Ok </v>
      </c>
      <c r="AD33" s="409" t="str">
        <f t="shared" si="27"/>
        <v xml:space="preserve">Ok </v>
      </c>
      <c r="AE33" s="409" t="str">
        <f t="shared" si="28"/>
        <v xml:space="preserve">Ok </v>
      </c>
      <c r="AF33" s="504">
        <f t="shared" si="29"/>
        <v>0</v>
      </c>
      <c r="AG33" s="409" t="str">
        <f t="shared" si="30"/>
        <v xml:space="preserve">Ok </v>
      </c>
    </row>
    <row r="34" spans="1:33" ht="12.75" customHeight="1" x14ac:dyDescent="0.2">
      <c r="A34" s="549" t="s">
        <v>870</v>
      </c>
      <c r="B34" s="1039"/>
      <c r="C34" s="1039"/>
      <c r="D34" s="1039"/>
      <c r="E34" s="1039"/>
      <c r="F34" s="1039"/>
      <c r="G34" s="1039"/>
      <c r="H34" s="1039"/>
      <c r="I34" s="1039"/>
      <c r="J34" s="431">
        <f t="shared" si="31"/>
        <v>0</v>
      </c>
      <c r="L34" s="586">
        <f t="shared" si="17"/>
        <v>0</v>
      </c>
      <c r="M34" s="439"/>
      <c r="N34" s="439"/>
      <c r="O34" s="439"/>
      <c r="P34" s="439"/>
      <c r="Q34" s="439"/>
      <c r="R34" s="439"/>
      <c r="S34" s="439"/>
      <c r="T34" s="439"/>
      <c r="U34" s="439"/>
      <c r="V34" s="409" t="str">
        <f t="shared" si="19"/>
        <v xml:space="preserve">Ok </v>
      </c>
      <c r="W34" s="409" t="str">
        <f t="shared" si="20"/>
        <v xml:space="preserve">Ok </v>
      </c>
      <c r="X34" s="409" t="str">
        <f t="shared" si="21"/>
        <v xml:space="preserve">Ok </v>
      </c>
      <c r="Y34" s="409" t="str">
        <f t="shared" si="22"/>
        <v xml:space="preserve">Ok </v>
      </c>
      <c r="Z34" s="409" t="str">
        <f t="shared" si="23"/>
        <v xml:space="preserve">Ok </v>
      </c>
      <c r="AA34" s="409" t="str">
        <f t="shared" si="24"/>
        <v xml:space="preserve">Ok </v>
      </c>
      <c r="AB34" s="409" t="str">
        <f t="shared" si="25"/>
        <v xml:space="preserve">Ok </v>
      </c>
      <c r="AC34" s="409" t="str">
        <f t="shared" si="26"/>
        <v xml:space="preserve">Ok </v>
      </c>
      <c r="AD34" s="409" t="str">
        <f t="shared" si="27"/>
        <v xml:space="preserve">Ok </v>
      </c>
      <c r="AE34" s="409" t="str">
        <f t="shared" si="28"/>
        <v xml:space="preserve">Ok </v>
      </c>
      <c r="AF34" s="504">
        <f t="shared" si="29"/>
        <v>0</v>
      </c>
      <c r="AG34" s="409" t="str">
        <f t="shared" si="30"/>
        <v xml:space="preserve">Ok </v>
      </c>
    </row>
    <row r="35" spans="1:33" ht="12.75" customHeight="1" x14ac:dyDescent="0.2">
      <c r="A35" s="549" t="s">
        <v>865</v>
      </c>
      <c r="B35" s="1039"/>
      <c r="C35" s="1039"/>
      <c r="D35" s="1039"/>
      <c r="E35" s="1039"/>
      <c r="F35" s="1039"/>
      <c r="G35" s="1039"/>
      <c r="H35" s="1039"/>
      <c r="I35" s="1039"/>
      <c r="J35" s="431">
        <f t="shared" si="31"/>
        <v>0</v>
      </c>
      <c r="L35" s="586">
        <f t="shared" si="17"/>
        <v>0</v>
      </c>
      <c r="M35" s="439"/>
      <c r="N35" s="439"/>
      <c r="O35" s="439"/>
      <c r="P35" s="439"/>
      <c r="Q35" s="439"/>
      <c r="R35" s="439"/>
      <c r="S35" s="439"/>
      <c r="T35" s="439"/>
      <c r="U35" s="439"/>
      <c r="V35" s="409" t="str">
        <f t="shared" si="19"/>
        <v xml:space="preserve">Ok </v>
      </c>
      <c r="W35" s="409" t="str">
        <f t="shared" si="20"/>
        <v xml:space="preserve">Ok </v>
      </c>
      <c r="X35" s="409" t="str">
        <f t="shared" si="21"/>
        <v xml:space="preserve">Ok </v>
      </c>
      <c r="Y35" s="409" t="str">
        <f t="shared" si="22"/>
        <v xml:space="preserve">Ok </v>
      </c>
      <c r="Z35" s="409" t="str">
        <f t="shared" si="23"/>
        <v xml:space="preserve">Ok </v>
      </c>
      <c r="AA35" s="409" t="str">
        <f t="shared" si="24"/>
        <v xml:space="preserve">Ok </v>
      </c>
      <c r="AB35" s="409" t="str">
        <f t="shared" si="25"/>
        <v xml:space="preserve">Ok </v>
      </c>
      <c r="AC35" s="409" t="str">
        <f t="shared" si="26"/>
        <v xml:space="preserve">Ok </v>
      </c>
      <c r="AD35" s="409" t="str">
        <f t="shared" si="27"/>
        <v xml:space="preserve">Ok </v>
      </c>
      <c r="AE35" s="409" t="str">
        <f t="shared" si="28"/>
        <v xml:space="preserve">Ok </v>
      </c>
      <c r="AF35" s="504">
        <f t="shared" si="29"/>
        <v>0</v>
      </c>
      <c r="AG35" s="409" t="str">
        <f t="shared" si="30"/>
        <v xml:space="preserve">Ok </v>
      </c>
    </row>
    <row r="36" spans="1:33" ht="12.75" customHeight="1" x14ac:dyDescent="0.2">
      <c r="A36" s="549" t="s">
        <v>864</v>
      </c>
      <c r="B36" s="1039"/>
      <c r="C36" s="1039"/>
      <c r="D36" s="1039"/>
      <c r="E36" s="1039"/>
      <c r="F36" s="1039"/>
      <c r="G36" s="1039"/>
      <c r="H36" s="1039"/>
      <c r="I36" s="1039"/>
      <c r="J36" s="431">
        <f t="shared" si="31"/>
        <v>0</v>
      </c>
      <c r="L36" s="586">
        <f>SUM(M36:T36)</f>
        <v>0</v>
      </c>
      <c r="M36" s="439"/>
      <c r="N36" s="439"/>
      <c r="O36" s="439"/>
      <c r="P36" s="439"/>
      <c r="Q36" s="439"/>
      <c r="R36" s="439"/>
      <c r="S36" s="439"/>
      <c r="T36" s="439"/>
      <c r="U36" s="439"/>
      <c r="V36" s="409" t="str">
        <f t="shared" si="19"/>
        <v xml:space="preserve">Ok </v>
      </c>
      <c r="W36" s="409" t="str">
        <f t="shared" si="20"/>
        <v xml:space="preserve">Ok </v>
      </c>
      <c r="X36" s="409" t="str">
        <f t="shared" si="21"/>
        <v xml:space="preserve">Ok </v>
      </c>
      <c r="Y36" s="409" t="str">
        <f t="shared" si="22"/>
        <v xml:space="preserve">Ok </v>
      </c>
      <c r="Z36" s="409" t="str">
        <f t="shared" si="23"/>
        <v xml:space="preserve">Ok </v>
      </c>
      <c r="AA36" s="409" t="str">
        <f t="shared" si="24"/>
        <v xml:space="preserve">Ok </v>
      </c>
      <c r="AB36" s="409" t="str">
        <f t="shared" si="25"/>
        <v xml:space="preserve">Ok </v>
      </c>
      <c r="AC36" s="409" t="str">
        <f t="shared" si="26"/>
        <v xml:space="preserve">Ok </v>
      </c>
      <c r="AD36" s="409" t="str">
        <f t="shared" si="27"/>
        <v xml:space="preserve">Ok </v>
      </c>
      <c r="AE36" s="409" t="str">
        <f t="shared" si="28"/>
        <v xml:space="preserve">Ok </v>
      </c>
      <c r="AF36" s="504">
        <f t="shared" si="29"/>
        <v>0</v>
      </c>
      <c r="AG36" s="409" t="str">
        <f t="shared" si="30"/>
        <v xml:space="preserve">Ok </v>
      </c>
    </row>
    <row r="37" spans="1:33" ht="12.75" customHeight="1" x14ac:dyDescent="0.2">
      <c r="A37" s="596" t="s">
        <v>866</v>
      </c>
      <c r="B37" s="1039"/>
      <c r="C37" s="1039"/>
      <c r="D37" s="1039"/>
      <c r="E37" s="1039"/>
      <c r="F37" s="1039"/>
      <c r="G37" s="1039"/>
      <c r="H37" s="1039"/>
      <c r="I37" s="1039"/>
      <c r="J37" s="431">
        <f t="shared" si="31"/>
        <v>0</v>
      </c>
      <c r="L37" s="586">
        <f t="shared" si="17"/>
        <v>0</v>
      </c>
      <c r="M37" s="439"/>
      <c r="N37" s="439"/>
      <c r="O37" s="439"/>
      <c r="P37" s="439"/>
      <c r="Q37" s="439"/>
      <c r="R37" s="439"/>
      <c r="S37" s="439"/>
      <c r="T37" s="439"/>
      <c r="U37" s="439"/>
      <c r="V37" s="409" t="str">
        <f t="shared" si="19"/>
        <v xml:space="preserve">Ok </v>
      </c>
      <c r="W37" s="409" t="str">
        <f t="shared" si="20"/>
        <v xml:space="preserve">Ok </v>
      </c>
      <c r="X37" s="409" t="str">
        <f t="shared" si="21"/>
        <v xml:space="preserve">Ok </v>
      </c>
      <c r="Y37" s="409" t="str">
        <f t="shared" si="22"/>
        <v xml:space="preserve">Ok </v>
      </c>
      <c r="Z37" s="409" t="str">
        <f t="shared" si="23"/>
        <v xml:space="preserve">Ok </v>
      </c>
      <c r="AA37" s="409" t="str">
        <f t="shared" si="24"/>
        <v xml:space="preserve">Ok </v>
      </c>
      <c r="AB37" s="409" t="str">
        <f t="shared" si="25"/>
        <v xml:space="preserve">Ok </v>
      </c>
      <c r="AC37" s="409" t="str">
        <f t="shared" si="26"/>
        <v xml:space="preserve">Ok </v>
      </c>
      <c r="AD37" s="409" t="str">
        <f t="shared" si="27"/>
        <v xml:space="preserve">Ok </v>
      </c>
      <c r="AE37" s="409" t="str">
        <f t="shared" si="28"/>
        <v xml:space="preserve">Ok </v>
      </c>
      <c r="AF37" s="504">
        <f t="shared" si="29"/>
        <v>0</v>
      </c>
      <c r="AG37" s="409" t="str">
        <f t="shared" si="30"/>
        <v xml:space="preserve">Ok </v>
      </c>
    </row>
    <row r="38" spans="1:33" ht="12.75" customHeight="1" x14ac:dyDescent="0.2">
      <c r="A38" s="549" t="s">
        <v>457</v>
      </c>
      <c r="B38" s="1039"/>
      <c r="C38" s="1039"/>
      <c r="D38" s="1039"/>
      <c r="E38" s="1039"/>
      <c r="F38" s="1039"/>
      <c r="G38" s="1039"/>
      <c r="H38" s="1039"/>
      <c r="I38" s="1039"/>
      <c r="J38" s="431">
        <f t="shared" si="31"/>
        <v>0</v>
      </c>
      <c r="L38" s="586">
        <f t="shared" si="17"/>
        <v>0</v>
      </c>
      <c r="M38" s="439"/>
      <c r="N38" s="439"/>
      <c r="O38" s="439"/>
      <c r="P38" s="439"/>
      <c r="Q38" s="439"/>
      <c r="R38" s="439"/>
      <c r="S38" s="439"/>
      <c r="T38" s="439"/>
      <c r="U38" s="439"/>
      <c r="V38" s="409" t="str">
        <f t="shared" si="19"/>
        <v xml:space="preserve">Ok </v>
      </c>
      <c r="W38" s="409" t="str">
        <f t="shared" si="20"/>
        <v xml:space="preserve">Ok </v>
      </c>
      <c r="X38" s="409" t="str">
        <f t="shared" si="21"/>
        <v xml:space="preserve">Ok </v>
      </c>
      <c r="Y38" s="409" t="str">
        <f t="shared" si="22"/>
        <v xml:space="preserve">Ok </v>
      </c>
      <c r="Z38" s="409" t="str">
        <f t="shared" si="23"/>
        <v xml:space="preserve">Ok </v>
      </c>
      <c r="AA38" s="409" t="str">
        <f t="shared" si="24"/>
        <v xml:space="preserve">Ok </v>
      </c>
      <c r="AB38" s="409" t="str">
        <f t="shared" si="25"/>
        <v xml:space="preserve">Ok </v>
      </c>
      <c r="AC38" s="409" t="str">
        <f t="shared" si="26"/>
        <v xml:space="preserve">Ok </v>
      </c>
      <c r="AD38" s="409" t="str">
        <f t="shared" si="27"/>
        <v xml:space="preserve">Ok </v>
      </c>
      <c r="AE38" s="409" t="str">
        <f t="shared" si="28"/>
        <v xml:space="preserve">Ok </v>
      </c>
      <c r="AF38" s="504">
        <f t="shared" si="29"/>
        <v>0</v>
      </c>
      <c r="AG38" s="409" t="str">
        <f t="shared" si="30"/>
        <v xml:space="preserve">Ok </v>
      </c>
    </row>
    <row r="39" spans="1:33" x14ac:dyDescent="0.2">
      <c r="A39" s="549" t="s">
        <v>190</v>
      </c>
      <c r="B39" s="1039"/>
      <c r="C39" s="1039"/>
      <c r="D39" s="1039"/>
      <c r="E39" s="1039"/>
      <c r="F39" s="1039"/>
      <c r="G39" s="1039"/>
      <c r="H39" s="1039"/>
      <c r="I39" s="1039"/>
      <c r="J39" s="431">
        <f t="shared" si="31"/>
        <v>0</v>
      </c>
      <c r="L39" s="586">
        <f t="shared" si="17"/>
        <v>0</v>
      </c>
      <c r="M39" s="439"/>
      <c r="N39" s="439"/>
      <c r="O39" s="439"/>
      <c r="P39" s="439"/>
      <c r="Q39" s="439"/>
      <c r="R39" s="439"/>
      <c r="S39" s="439"/>
      <c r="T39" s="439"/>
      <c r="U39" s="439"/>
      <c r="V39" s="409" t="str">
        <f t="shared" si="19"/>
        <v xml:space="preserve">Ok </v>
      </c>
      <c r="W39" s="409" t="str">
        <f t="shared" si="20"/>
        <v xml:space="preserve">Ok </v>
      </c>
      <c r="X39" s="409" t="str">
        <f t="shared" si="21"/>
        <v xml:space="preserve">Ok </v>
      </c>
      <c r="Y39" s="409" t="str">
        <f t="shared" si="22"/>
        <v xml:space="preserve">Ok </v>
      </c>
      <c r="Z39" s="409" t="str">
        <f t="shared" si="23"/>
        <v xml:space="preserve">Ok </v>
      </c>
      <c r="AA39" s="409" t="str">
        <f t="shared" si="24"/>
        <v xml:space="preserve">Ok </v>
      </c>
      <c r="AB39" s="409" t="str">
        <f t="shared" si="25"/>
        <v xml:space="preserve">Ok </v>
      </c>
      <c r="AC39" s="409" t="str">
        <f t="shared" si="26"/>
        <v xml:space="preserve">Ok </v>
      </c>
      <c r="AD39" s="409" t="str">
        <f t="shared" si="27"/>
        <v xml:space="preserve">Ok </v>
      </c>
      <c r="AE39" s="409" t="str">
        <f t="shared" si="28"/>
        <v xml:space="preserve">Ok </v>
      </c>
      <c r="AF39" s="504">
        <f t="shared" si="29"/>
        <v>0</v>
      </c>
      <c r="AG39" s="409" t="str">
        <f t="shared" si="30"/>
        <v xml:space="preserve">Ok </v>
      </c>
    </row>
    <row r="40" spans="1:33" ht="12.75" customHeight="1" x14ac:dyDescent="0.2">
      <c r="A40" s="549"/>
      <c r="B40" s="434"/>
      <c r="C40" s="434"/>
      <c r="D40" s="434"/>
      <c r="E40" s="434"/>
      <c r="F40" s="434"/>
      <c r="G40" s="434"/>
      <c r="H40" s="434"/>
      <c r="I40" s="434"/>
      <c r="J40" s="433"/>
      <c r="L40" s="434"/>
      <c r="M40" s="434"/>
      <c r="N40" s="434"/>
      <c r="O40" s="434"/>
      <c r="P40" s="434"/>
      <c r="Q40" s="434"/>
      <c r="R40" s="434"/>
      <c r="S40" s="434"/>
      <c r="T40" s="434"/>
      <c r="U40" s="434"/>
      <c r="V40" s="409" t="str">
        <f t="shared" si="19"/>
        <v xml:space="preserve">Ok </v>
      </c>
      <c r="W40" s="409" t="str">
        <f t="shared" si="20"/>
        <v xml:space="preserve">Ok </v>
      </c>
      <c r="X40" s="409" t="str">
        <f t="shared" si="21"/>
        <v xml:space="preserve">Ok </v>
      </c>
      <c r="Y40" s="409" t="str">
        <f t="shared" si="22"/>
        <v xml:space="preserve">Ok </v>
      </c>
      <c r="Z40" s="409" t="str">
        <f t="shared" si="23"/>
        <v xml:space="preserve">Ok </v>
      </c>
      <c r="AA40" s="409" t="str">
        <f t="shared" si="24"/>
        <v xml:space="preserve">Ok </v>
      </c>
      <c r="AB40" s="409" t="str">
        <f t="shared" si="25"/>
        <v xml:space="preserve">Ok </v>
      </c>
      <c r="AC40" s="409" t="str">
        <f t="shared" si="26"/>
        <v xml:space="preserve">Ok </v>
      </c>
      <c r="AD40" s="409" t="str">
        <f t="shared" si="27"/>
        <v xml:space="preserve">Ok </v>
      </c>
      <c r="AE40" s="409" t="str">
        <f t="shared" si="28"/>
        <v xml:space="preserve">Ok </v>
      </c>
      <c r="AF40" s="504">
        <f t="shared" si="29"/>
        <v>0</v>
      </c>
      <c r="AG40" s="409" t="str">
        <f t="shared" si="30"/>
        <v xml:space="preserve">Ok </v>
      </c>
    </row>
    <row r="41" spans="1:33" ht="12.75" customHeight="1" thickBot="1" x14ac:dyDescent="0.25">
      <c r="A41" s="549" t="str">
        <f>+A25</f>
        <v>At 31 March 2026</v>
      </c>
      <c r="B41" s="592">
        <f>SUM(B30:B39)</f>
        <v>0</v>
      </c>
      <c r="C41" s="592">
        <f t="shared" ref="C41:J41" si="32">SUM(C30:C39)</f>
        <v>0</v>
      </c>
      <c r="D41" s="592">
        <f t="shared" si="32"/>
        <v>0</v>
      </c>
      <c r="E41" s="592">
        <f t="shared" si="32"/>
        <v>0</v>
      </c>
      <c r="F41" s="592">
        <f t="shared" si="32"/>
        <v>0</v>
      </c>
      <c r="G41" s="592">
        <f t="shared" si="32"/>
        <v>0</v>
      </c>
      <c r="H41" s="592">
        <f t="shared" si="32"/>
        <v>0</v>
      </c>
      <c r="I41" s="592">
        <f t="shared" si="32"/>
        <v>0</v>
      </c>
      <c r="J41" s="592">
        <f t="shared" si="32"/>
        <v>0</v>
      </c>
      <c r="L41" s="592">
        <f>SUM(L29:L39)</f>
        <v>0</v>
      </c>
      <c r="M41" s="592">
        <f t="shared" ref="M41:T41" si="33">SUM(M29:M39)</f>
        <v>0</v>
      </c>
      <c r="N41" s="592">
        <f t="shared" si="33"/>
        <v>0</v>
      </c>
      <c r="O41" s="592">
        <f t="shared" si="33"/>
        <v>0</v>
      </c>
      <c r="P41" s="592">
        <f t="shared" si="33"/>
        <v>0</v>
      </c>
      <c r="Q41" s="592">
        <f t="shared" si="33"/>
        <v>0</v>
      </c>
      <c r="R41" s="592">
        <f t="shared" si="33"/>
        <v>0</v>
      </c>
      <c r="S41" s="592">
        <f t="shared" si="33"/>
        <v>0</v>
      </c>
      <c r="T41" s="592">
        <f t="shared" si="33"/>
        <v>0</v>
      </c>
      <c r="U41" s="592"/>
      <c r="AF41" s="592">
        <f>SUM(AF28:AF39)</f>
        <v>0</v>
      </c>
    </row>
    <row r="42" spans="1:33" ht="12.75" customHeight="1" thickTop="1" x14ac:dyDescent="0.2">
      <c r="B42" s="595"/>
      <c r="C42" s="586"/>
      <c r="D42" s="536"/>
      <c r="E42" s="536"/>
      <c r="F42" s="586"/>
      <c r="G42" s="536"/>
      <c r="H42" s="586"/>
      <c r="I42" s="586"/>
      <c r="J42" s="594"/>
      <c r="L42" s="586"/>
      <c r="M42" s="586"/>
      <c r="N42" s="586"/>
      <c r="O42" s="586"/>
      <c r="P42" s="586"/>
      <c r="Q42" s="586"/>
      <c r="R42" s="586"/>
      <c r="S42" s="586"/>
      <c r="T42" s="586"/>
      <c r="U42" s="586"/>
    </row>
    <row r="43" spans="1:33" ht="12.75" customHeight="1" x14ac:dyDescent="0.2">
      <c r="A43" s="536" t="s">
        <v>1254</v>
      </c>
      <c r="B43" s="590"/>
      <c r="C43" s="432"/>
      <c r="F43" s="432"/>
      <c r="H43" s="432"/>
      <c r="I43" s="432"/>
      <c r="J43" s="431"/>
      <c r="L43" s="432"/>
      <c r="M43" s="432"/>
      <c r="N43" s="432"/>
      <c r="O43" s="432"/>
      <c r="P43" s="432"/>
      <c r="Q43" s="432"/>
      <c r="R43" s="432"/>
      <c r="S43" s="432"/>
      <c r="T43" s="432"/>
      <c r="U43" s="432"/>
    </row>
    <row r="44" spans="1:33" ht="12.75" customHeight="1" thickBot="1" x14ac:dyDescent="0.25">
      <c r="A44" s="457" t="str">
        <f>+A41</f>
        <v>At 31 March 2026</v>
      </c>
      <c r="B44" s="593">
        <f t="shared" ref="B44:J44" si="34">B25-B41</f>
        <v>0</v>
      </c>
      <c r="C44" s="592">
        <f t="shared" si="34"/>
        <v>0</v>
      </c>
      <c r="D44" s="524">
        <f t="shared" si="34"/>
        <v>0</v>
      </c>
      <c r="E44" s="524">
        <f t="shared" si="34"/>
        <v>0</v>
      </c>
      <c r="F44" s="592">
        <f t="shared" si="34"/>
        <v>0</v>
      </c>
      <c r="G44" s="524">
        <f t="shared" si="34"/>
        <v>0</v>
      </c>
      <c r="H44" s="592">
        <f t="shared" si="34"/>
        <v>0</v>
      </c>
      <c r="I44" s="592">
        <f t="shared" si="34"/>
        <v>0</v>
      </c>
      <c r="J44" s="591">
        <f t="shared" si="34"/>
        <v>0</v>
      </c>
      <c r="L44" s="592">
        <f t="shared" ref="L44:S44" si="35">L25-L41</f>
        <v>0</v>
      </c>
      <c r="M44" s="592">
        <f t="shared" si="35"/>
        <v>0</v>
      </c>
      <c r="N44" s="592">
        <f t="shared" si="35"/>
        <v>0</v>
      </c>
      <c r="O44" s="592">
        <f t="shared" si="35"/>
        <v>0</v>
      </c>
      <c r="P44" s="592">
        <f t="shared" si="35"/>
        <v>0</v>
      </c>
      <c r="Q44" s="592">
        <f t="shared" si="35"/>
        <v>0</v>
      </c>
      <c r="R44" s="592">
        <f t="shared" si="35"/>
        <v>0</v>
      </c>
      <c r="S44" s="592">
        <f t="shared" si="35"/>
        <v>0</v>
      </c>
      <c r="T44" s="592">
        <f>T25-T41</f>
        <v>0</v>
      </c>
      <c r="U44" s="592"/>
      <c r="AF44" s="591">
        <f>AF25-AF41</f>
        <v>0</v>
      </c>
    </row>
    <row r="45" spans="1:33" ht="12.75" customHeight="1" thickTop="1" x14ac:dyDescent="0.2">
      <c r="B45" s="590"/>
      <c r="C45" s="432"/>
      <c r="F45" s="432"/>
      <c r="H45" s="432"/>
      <c r="I45" s="432"/>
      <c r="J45" s="431"/>
      <c r="L45" s="432"/>
      <c r="M45" s="432"/>
      <c r="N45" s="432"/>
      <c r="O45" s="432"/>
      <c r="P45" s="432"/>
      <c r="Q45" s="432"/>
      <c r="R45" s="432"/>
      <c r="S45" s="432"/>
      <c r="T45" s="432"/>
      <c r="U45" s="432"/>
      <c r="AF45" s="431"/>
    </row>
    <row r="46" spans="1:33" ht="12.75" customHeight="1" x14ac:dyDescent="0.2">
      <c r="A46" s="549" t="str">
        <f>"At"&amp;Update!$B$24</f>
        <v>At 31 March 2025</v>
      </c>
      <c r="B46" s="589">
        <f>B12-B28</f>
        <v>0</v>
      </c>
      <c r="C46" s="589">
        <f t="shared" ref="C46:J46" si="36">C12-C28</f>
        <v>0</v>
      </c>
      <c r="D46" s="589">
        <f t="shared" si="36"/>
        <v>0</v>
      </c>
      <c r="E46" s="589">
        <f t="shared" si="36"/>
        <v>0</v>
      </c>
      <c r="F46" s="589">
        <f t="shared" si="36"/>
        <v>0</v>
      </c>
      <c r="G46" s="589">
        <f t="shared" si="36"/>
        <v>0</v>
      </c>
      <c r="H46" s="589">
        <f t="shared" si="36"/>
        <v>0</v>
      </c>
      <c r="I46" s="589">
        <f t="shared" si="36"/>
        <v>0</v>
      </c>
      <c r="J46" s="589">
        <f t="shared" si="36"/>
        <v>0</v>
      </c>
      <c r="L46" s="430">
        <f>L12-L30</f>
        <v>0</v>
      </c>
      <c r="M46" s="430">
        <f>M12-M30</f>
        <v>0</v>
      </c>
      <c r="N46" s="430">
        <f t="shared" ref="N46:T46" si="37">N12-N30</f>
        <v>0</v>
      </c>
      <c r="O46" s="430">
        <f t="shared" si="37"/>
        <v>0</v>
      </c>
      <c r="P46" s="430">
        <f t="shared" si="37"/>
        <v>0</v>
      </c>
      <c r="Q46" s="430">
        <f t="shared" si="37"/>
        <v>0</v>
      </c>
      <c r="R46" s="430">
        <f t="shared" si="37"/>
        <v>0</v>
      </c>
      <c r="S46" s="430">
        <f t="shared" si="37"/>
        <v>0</v>
      </c>
      <c r="T46" s="430">
        <f t="shared" si="37"/>
        <v>0</v>
      </c>
      <c r="U46" s="430"/>
      <c r="AF46" s="588">
        <f>AF10-AF28</f>
        <v>0</v>
      </c>
    </row>
    <row r="47" spans="1:33" ht="12.75" customHeight="1" x14ac:dyDescent="0.2">
      <c r="B47" s="536"/>
      <c r="C47" s="536"/>
      <c r="E47" s="536"/>
      <c r="F47" s="536"/>
      <c r="G47" s="536"/>
      <c r="H47" s="536"/>
      <c r="I47" s="536"/>
      <c r="J47" s="536"/>
      <c r="L47" s="586"/>
      <c r="M47" s="586"/>
      <c r="N47" s="586"/>
      <c r="O47" s="586"/>
      <c r="P47" s="586"/>
      <c r="Q47" s="586"/>
      <c r="R47" s="586"/>
      <c r="S47" s="586"/>
      <c r="T47" s="586"/>
      <c r="U47" s="586"/>
      <c r="AF47" s="536"/>
    </row>
    <row r="48" spans="1:33" ht="12.75" customHeight="1" x14ac:dyDescent="0.2">
      <c r="A48" s="536" t="s">
        <v>1255</v>
      </c>
      <c r="B48" s="535"/>
      <c r="C48" s="535"/>
      <c r="D48" s="535"/>
      <c r="E48" s="535"/>
      <c r="F48" s="535"/>
      <c r="G48" s="535"/>
      <c r="H48" s="535"/>
      <c r="I48" s="535"/>
      <c r="J48" s="535"/>
      <c r="L48" s="434"/>
      <c r="M48" s="434"/>
      <c r="N48" s="434"/>
      <c r="O48" s="434"/>
      <c r="P48" s="434"/>
      <c r="Q48" s="434"/>
      <c r="R48" s="434"/>
      <c r="S48" s="434"/>
      <c r="T48" s="434"/>
      <c r="U48" s="434"/>
    </row>
    <row r="49" spans="1:33" ht="12.75" customHeight="1" x14ac:dyDescent="0.2">
      <c r="A49" s="457" t="s">
        <v>197</v>
      </c>
      <c r="B49" s="432">
        <f>B44-B50-B51-B52</f>
        <v>0</v>
      </c>
      <c r="C49" s="432">
        <f t="shared" ref="C49:H49" si="38">C44-C50-C51-C52</f>
        <v>0</v>
      </c>
      <c r="D49" s="432">
        <f t="shared" si="38"/>
        <v>0</v>
      </c>
      <c r="E49" s="432">
        <f t="shared" si="38"/>
        <v>0</v>
      </c>
      <c r="F49" s="457">
        <f t="shared" si="38"/>
        <v>0</v>
      </c>
      <c r="G49" s="432">
        <f t="shared" si="38"/>
        <v>0</v>
      </c>
      <c r="H49" s="457">
        <f t="shared" si="38"/>
        <v>0</v>
      </c>
      <c r="I49" s="432">
        <f>I44-I50-I51-I52</f>
        <v>0</v>
      </c>
      <c r="J49" s="432">
        <f>SUM(B49:I49)</f>
        <v>0</v>
      </c>
      <c r="L49" s="432">
        <f>SUM(M49:T49)</f>
        <v>0</v>
      </c>
      <c r="M49" s="432">
        <f>M44-M50-M51-M52</f>
        <v>0</v>
      </c>
      <c r="N49" s="432">
        <f t="shared" ref="N49:S49" si="39">N44-N50-N51-N52</f>
        <v>0</v>
      </c>
      <c r="O49" s="432">
        <f t="shared" si="39"/>
        <v>0</v>
      </c>
      <c r="P49" s="432">
        <f t="shared" si="39"/>
        <v>0</v>
      </c>
      <c r="Q49" s="432">
        <f t="shared" si="39"/>
        <v>0</v>
      </c>
      <c r="R49" s="432">
        <f t="shared" si="39"/>
        <v>0</v>
      </c>
      <c r="S49" s="432">
        <f t="shared" si="39"/>
        <v>0</v>
      </c>
      <c r="T49" s="432">
        <f>T44-T50-T51-T52</f>
        <v>0</v>
      </c>
      <c r="U49" s="432"/>
    </row>
    <row r="50" spans="1:33" ht="12.75" customHeight="1" x14ac:dyDescent="0.2">
      <c r="A50" s="457" t="s">
        <v>198</v>
      </c>
      <c r="B50" s="439"/>
      <c r="C50" s="439"/>
      <c r="D50" s="439"/>
      <c r="E50" s="439"/>
      <c r="F50" s="439"/>
      <c r="G50" s="439"/>
      <c r="H50" s="439"/>
      <c r="I50" s="439"/>
      <c r="J50" s="432">
        <f>SUM(B50:I50)</f>
        <v>0</v>
      </c>
      <c r="L50" s="586">
        <f>SUM(M50:T50)</f>
        <v>0</v>
      </c>
      <c r="M50" s="439"/>
      <c r="N50" s="439"/>
      <c r="O50" s="439"/>
      <c r="P50" s="439"/>
      <c r="Q50" s="439"/>
      <c r="R50" s="439"/>
      <c r="S50" s="439"/>
      <c r="T50" s="439"/>
      <c r="U50" s="439"/>
      <c r="V50" s="409" t="str">
        <f>IF(J50&gt;=0,IF(L50&gt;=0,IF(J50&gt;=L50,"Ok ","Check size "),"Check sign"),IF(L50&gt;0,"Check sign ",IF(ABS(J50)&gt;=ABS(L50),"Ok ","Check size ")))</f>
        <v xml:space="preserve">Ok </v>
      </c>
      <c r="W50" s="409" t="str">
        <f t="shared" ref="W50:Y52" si="40">IF(B50&gt;=0,IF(M50&gt;=0,IF(B50&gt;=M50,"Ok ","Check size "),"Check sign"),IF(M50&gt;0,"Check sign ",IF(ABS(B50)&gt;=ABS(M50),"Ok ","Check size ")))</f>
        <v xml:space="preserve">Ok </v>
      </c>
      <c r="X50" s="409" t="str">
        <f t="shared" si="40"/>
        <v xml:space="preserve">Ok </v>
      </c>
      <c r="Y50" s="409" t="str">
        <f t="shared" si="40"/>
        <v xml:space="preserve">Ok </v>
      </c>
      <c r="Z50" s="409" t="str">
        <f>IF(I50&gt;=0,IF(T50&gt;=0,IF(I50&gt;=T50,"Ok ","Check size "),"Check sign"),IF(T50&gt;0,"Check sign ",IF(ABS(I50)&gt;=ABS(T50),"Ok ","Check size ")))</f>
        <v xml:space="preserve">Ok </v>
      </c>
      <c r="AA50" s="409" t="str">
        <f t="shared" ref="AA50:AD52" si="41">IF(E50&gt;=0,IF(P50&gt;=0,IF(E50&gt;=P50,"Ok ","Check size "),"Check sign"),IF(P50&gt;0,"Check sign ",IF(ABS(E50)&gt;=ABS(P50),"Ok ","Check size ")))</f>
        <v xml:space="preserve">Ok </v>
      </c>
      <c r="AB50" s="409" t="str">
        <f t="shared" si="41"/>
        <v xml:space="preserve">Ok </v>
      </c>
      <c r="AC50" s="409" t="str">
        <f t="shared" si="41"/>
        <v xml:space="preserve">Ok </v>
      </c>
      <c r="AD50" s="409" t="str">
        <f t="shared" si="41"/>
        <v xml:space="preserve">Ok </v>
      </c>
      <c r="AE50" s="409" t="str">
        <f>IF(J50&gt;=0,IF(U50&gt;=0,IF(J50&gt;=U50,"Ok ","Check size "),"Check sign"),IF(U50&gt;0,"Check sign ",IF(ABS(J50)&gt;=ABS(U50),"Ok ","Check size ")))</f>
        <v xml:space="preserve">Ok </v>
      </c>
      <c r="AF50" s="504">
        <f>J50-L50</f>
        <v>0</v>
      </c>
      <c r="AG50" s="409" t="str">
        <f>IF(J50&gt;=0,IF(L50&gt;=0,IF(J50&gt;=L50,"Ok ","Check size "),"Check sign"),IF(L50&gt;0,"Check sign ",IF(ABS(J50)&gt;=ABS(L50),"Ok ","Check size ")))</f>
        <v xml:space="preserve">Ok </v>
      </c>
    </row>
    <row r="51" spans="1:33" ht="25.5" x14ac:dyDescent="0.2">
      <c r="A51" s="587" t="s">
        <v>769</v>
      </c>
      <c r="B51" s="439"/>
      <c r="C51" s="439"/>
      <c r="D51" s="439"/>
      <c r="E51" s="439"/>
      <c r="F51" s="439"/>
      <c r="G51" s="439"/>
      <c r="H51" s="439"/>
      <c r="I51" s="439"/>
      <c r="J51" s="432">
        <f>SUM(B51:I51)</f>
        <v>0</v>
      </c>
      <c r="L51" s="586">
        <f>SUM(M51:T51)</f>
        <v>0</v>
      </c>
      <c r="M51" s="439"/>
      <c r="N51" s="439"/>
      <c r="O51" s="439"/>
      <c r="P51" s="439"/>
      <c r="Q51" s="439"/>
      <c r="R51" s="439"/>
      <c r="S51" s="439"/>
      <c r="T51" s="439"/>
      <c r="U51" s="439"/>
      <c r="V51" s="409" t="str">
        <f>IF(J51&gt;=0,IF(L51&gt;=0,IF(J51&gt;=L51,"Ok ","Check size "),"Check sign"),IF(L51&gt;0,"Check sign ",IF(ABS(J51)&gt;=ABS(L51),"Ok ","Check size ")))</f>
        <v xml:space="preserve">Ok </v>
      </c>
      <c r="W51" s="409" t="str">
        <f t="shared" si="40"/>
        <v xml:space="preserve">Ok </v>
      </c>
      <c r="X51" s="409" t="str">
        <f t="shared" si="40"/>
        <v xml:space="preserve">Ok </v>
      </c>
      <c r="Y51" s="409" t="str">
        <f t="shared" si="40"/>
        <v xml:space="preserve">Ok </v>
      </c>
      <c r="Z51" s="409" t="str">
        <f>IF(I51&gt;=0,IF(T51&gt;=0,IF(I51&gt;=T51,"Ok ","Check size "),"Check sign"),IF(T51&gt;0,"Check sign ",IF(ABS(I51)&gt;=ABS(T51),"Ok ","Check size ")))</f>
        <v xml:space="preserve">Ok </v>
      </c>
      <c r="AA51" s="409" t="str">
        <f t="shared" si="41"/>
        <v xml:space="preserve">Ok </v>
      </c>
      <c r="AB51" s="409" t="str">
        <f t="shared" si="41"/>
        <v xml:space="preserve">Ok </v>
      </c>
      <c r="AC51" s="409" t="str">
        <f t="shared" si="41"/>
        <v xml:space="preserve">Ok </v>
      </c>
      <c r="AD51" s="409" t="str">
        <f t="shared" si="41"/>
        <v xml:space="preserve">Ok </v>
      </c>
      <c r="AE51" s="409" t="str">
        <f>IF(J51&gt;=0,IF(U51&gt;=0,IF(J51&gt;=U51,"Ok ","Check size "),"Check sign"),IF(U51&gt;0,"Check sign ",IF(ABS(J51)&gt;=ABS(U51),"Ok ","Check size ")))</f>
        <v xml:space="preserve">Ok </v>
      </c>
      <c r="AF51" s="504">
        <f>J51-L51</f>
        <v>0</v>
      </c>
      <c r="AG51" s="409" t="str">
        <f>IF(J51&gt;=0,IF(L51&gt;=0,IF(J51&gt;=L51,"Ok ","Check size "),"Check sign"),IF(L51&gt;0,"Check sign ",IF(ABS(J51)&gt;=ABS(L51),"Ok ","Check size ")))</f>
        <v xml:space="preserve">Ok </v>
      </c>
    </row>
    <row r="52" spans="1:33" ht="12.75" customHeight="1" x14ac:dyDescent="0.2">
      <c r="A52" s="457" t="s">
        <v>1695</v>
      </c>
      <c r="B52" s="439"/>
      <c r="C52" s="439"/>
      <c r="D52" s="439"/>
      <c r="E52" s="439"/>
      <c r="F52" s="439"/>
      <c r="G52" s="439"/>
      <c r="H52" s="439"/>
      <c r="I52" s="439"/>
      <c r="J52" s="432">
        <f>SUM(B52:I52)</f>
        <v>0</v>
      </c>
      <c r="L52" s="586">
        <f>SUM(M52:T52)</f>
        <v>0</v>
      </c>
      <c r="M52" s="439"/>
      <c r="N52" s="439"/>
      <c r="O52" s="439"/>
      <c r="P52" s="439"/>
      <c r="Q52" s="439"/>
      <c r="R52" s="439"/>
      <c r="S52" s="439"/>
      <c r="T52" s="439"/>
      <c r="U52" s="439"/>
      <c r="V52" s="409" t="str">
        <f>IF(J52&gt;=0,IF(L52&gt;=0,IF(J52&gt;=L52,"Ok ","Check size "),"Check sign"),IF(L52&gt;0,"Check sign ",IF(ABS(J52)&gt;=ABS(L52),"Ok ","Check size ")))</f>
        <v xml:space="preserve">Ok </v>
      </c>
      <c r="W52" s="409" t="str">
        <f t="shared" si="40"/>
        <v xml:space="preserve">Ok </v>
      </c>
      <c r="X52" s="409" t="str">
        <f t="shared" si="40"/>
        <v xml:space="preserve">Ok </v>
      </c>
      <c r="Y52" s="409" t="str">
        <f t="shared" si="40"/>
        <v xml:space="preserve">Ok </v>
      </c>
      <c r="Z52" s="409" t="str">
        <f>IF(I52&gt;=0,IF(T52&gt;=0,IF(I52&gt;=T52,"Ok ","Check size "),"Check sign"),IF(T52&gt;0,"Check sign ",IF(ABS(I52)&gt;=ABS(T52),"Ok ","Check size ")))</f>
        <v xml:space="preserve">Ok </v>
      </c>
      <c r="AA52" s="409" t="str">
        <f t="shared" si="41"/>
        <v xml:space="preserve">Ok </v>
      </c>
      <c r="AB52" s="409" t="str">
        <f t="shared" si="41"/>
        <v xml:space="preserve">Ok </v>
      </c>
      <c r="AC52" s="409" t="str">
        <f t="shared" si="41"/>
        <v xml:space="preserve">Ok </v>
      </c>
      <c r="AD52" s="409" t="str">
        <f t="shared" si="41"/>
        <v xml:space="preserve">Ok </v>
      </c>
      <c r="AE52" s="409" t="str">
        <f>IF(J52&gt;=0,IF(U52&gt;=0,IF(J52&gt;=U52,"Ok ","Check size "),"Check sign"),IF(U52&gt;0,"Check sign ",IF(ABS(J52)&gt;=ABS(U52),"Ok ","Check size ")))</f>
        <v xml:space="preserve">Ok </v>
      </c>
      <c r="AF52" s="504">
        <f>J52-L52</f>
        <v>0</v>
      </c>
      <c r="AG52" s="409" t="str">
        <f>IF(J52&gt;=0,IF(L52&gt;=0,IF(J52&gt;=L52,"Ok ","Check size "),"Check sign"),IF(L52&gt;0,"Check sign ",IF(ABS(J52)&gt;=ABS(L52),"Ok ","Check size ")))</f>
        <v xml:space="preserve">Ok </v>
      </c>
    </row>
    <row r="53" spans="1:33" ht="12.75" customHeight="1" x14ac:dyDescent="0.2">
      <c r="A53" s="536" t="s">
        <v>1254</v>
      </c>
      <c r="B53" s="584"/>
      <c r="C53" s="585"/>
      <c r="D53" s="584"/>
      <c r="E53" s="584"/>
      <c r="F53" s="585"/>
      <c r="G53" s="584"/>
      <c r="H53" s="585"/>
      <c r="I53" s="585"/>
      <c r="J53" s="584"/>
      <c r="L53" s="584"/>
      <c r="M53" s="584"/>
      <c r="N53" s="584"/>
      <c r="O53" s="584"/>
      <c r="P53" s="584"/>
      <c r="Q53" s="584"/>
      <c r="R53" s="584"/>
      <c r="S53" s="584"/>
      <c r="T53" s="584"/>
      <c r="U53" s="584"/>
    </row>
    <row r="54" spans="1:33" ht="12.75" customHeight="1" thickBot="1" x14ac:dyDescent="0.25">
      <c r="A54" s="457" t="str">
        <f>+A44</f>
        <v>At 31 March 2026</v>
      </c>
      <c r="B54" s="583">
        <f>SUM(B49:B52)</f>
        <v>0</v>
      </c>
      <c r="C54" s="583">
        <f t="shared" ref="C54:H54" si="42">SUM(C49:C52)</f>
        <v>0</v>
      </c>
      <c r="D54" s="583">
        <f t="shared" si="42"/>
        <v>0</v>
      </c>
      <c r="E54" s="583">
        <f t="shared" si="42"/>
        <v>0</v>
      </c>
      <c r="F54" s="583">
        <f t="shared" si="42"/>
        <v>0</v>
      </c>
      <c r="G54" s="583">
        <f t="shared" si="42"/>
        <v>0</v>
      </c>
      <c r="H54" s="583">
        <f t="shared" si="42"/>
        <v>0</v>
      </c>
      <c r="I54" s="583">
        <f>SUM(I49:I52)</f>
        <v>0</v>
      </c>
      <c r="J54" s="583">
        <f>SUM(B54:I54)</f>
        <v>0</v>
      </c>
      <c r="L54" s="582">
        <f t="shared" ref="L54:S54" si="43">SUM(L49:L52)</f>
        <v>0</v>
      </c>
      <c r="M54" s="582">
        <f t="shared" si="43"/>
        <v>0</v>
      </c>
      <c r="N54" s="582">
        <f t="shared" si="43"/>
        <v>0</v>
      </c>
      <c r="O54" s="582">
        <f t="shared" si="43"/>
        <v>0</v>
      </c>
      <c r="P54" s="582">
        <f t="shared" si="43"/>
        <v>0</v>
      </c>
      <c r="Q54" s="582">
        <f t="shared" si="43"/>
        <v>0</v>
      </c>
      <c r="R54" s="582">
        <f t="shared" si="43"/>
        <v>0</v>
      </c>
      <c r="S54" s="582">
        <f t="shared" si="43"/>
        <v>0</v>
      </c>
      <c r="T54" s="582">
        <f>SUM(T49:T52)</f>
        <v>0</v>
      </c>
      <c r="U54" s="582"/>
      <c r="V54" s="409" t="str">
        <f>IF(J54&gt;=0,IF(L54&gt;=0,IF(J54&gt;=L54,"Ok ","Check size "),"Check sign"),IF(L54&gt;0,"Check sign ",IF(ABS(J54)&gt;=ABS(L54),"Ok ","Check size ")))</f>
        <v xml:space="preserve">Ok </v>
      </c>
      <c r="W54" s="409" t="str">
        <f>IF(B54&gt;=0,IF(M54&gt;=0,IF(B54&gt;=M54,"Ok ","Check size "),"Check sign"),IF(M54&gt;0,"Check sign ",IF(ABS(B54)&gt;=ABS(M54),"Ok ","Check size ")))</f>
        <v xml:space="preserve">Ok </v>
      </c>
      <c r="X54" s="409" t="str">
        <f>IF(C54&gt;=0,IF(N54&gt;=0,IF(C54&gt;=N54,"Ok ","Check size "),"Check sign"),IF(N54&gt;0,"Check sign ",IF(ABS(C54)&gt;=ABS(N54),"Ok ","Check size ")))</f>
        <v xml:space="preserve">Ok </v>
      </c>
      <c r="Y54" s="409" t="str">
        <f>IF(D54&gt;=0,IF(O54&gt;=0,IF(D54&gt;=O54,"Ok ","Check size "),"Check sign"),IF(O54&gt;0,"Check sign ",IF(ABS(D54)&gt;=ABS(O54),"Ok ","Check size ")))</f>
        <v xml:space="preserve">Ok </v>
      </c>
      <c r="Z54" s="409" t="str">
        <f>IF(I54&gt;=0,IF(T54&gt;=0,IF(I54&gt;=T54,"Ok ","Check size "),"Check sign"),IF(T54&gt;0,"Check sign ",IF(ABS(I54)&gt;=ABS(T54),"Ok ","Check size ")))</f>
        <v xml:space="preserve">Ok </v>
      </c>
      <c r="AA54" s="409" t="str">
        <f>IF(E54&gt;=0,IF(P54&gt;=0,IF(E54&gt;=P54,"Ok ","Check size "),"Check sign"),IF(P54&gt;0,"Check sign ",IF(ABS(E54)&gt;=ABS(P54),"Ok ","Check size ")))</f>
        <v xml:space="preserve">Ok </v>
      </c>
      <c r="AB54" s="409" t="str">
        <f>IF(F54&gt;=0,IF(Q54&gt;=0,IF(F54&gt;=Q54,"Ok ","Check size "),"Check sign"),IF(Q54&gt;0,"Check sign ",IF(ABS(F54)&gt;=ABS(Q54),"Ok ","Check size ")))</f>
        <v xml:space="preserve">Ok </v>
      </c>
      <c r="AC54" s="409" t="str">
        <f>IF(G54&gt;=0,IF(R54&gt;=0,IF(G54&gt;=R54,"Ok ","Check size "),"Check sign"),IF(R54&gt;0,"Check sign ",IF(ABS(G54)&gt;=ABS(R54),"Ok ","Check size ")))</f>
        <v xml:space="preserve">Ok </v>
      </c>
      <c r="AD54" s="409" t="str">
        <f>IF(H54&gt;=0,IF(S54&gt;=0,IF(H54&gt;=S54,"Ok ","Check size "),"Check sign"),IF(S54&gt;0,"Check sign ",IF(ABS(H54)&gt;=ABS(S54),"Ok ","Check size ")))</f>
        <v xml:space="preserve">Ok </v>
      </c>
      <c r="AE54" s="409" t="str">
        <f>IF(J54&gt;=0,IF(U54&gt;=0,IF(J54&gt;=U54,"Ok ","Check size "),"Check sign"),IF(U54&gt;0,"Check sign ",IF(ABS(J54)&gt;=ABS(U54),"Ok ","Check size ")))</f>
        <v xml:space="preserve">Ok </v>
      </c>
      <c r="AF54" s="582">
        <f>SUM(AF49:AF51)</f>
        <v>0</v>
      </c>
      <c r="AG54" s="409" t="str">
        <f>IF(J54&gt;=0,IF(L54&gt;=0,IF(J54&gt;=L54,"Ok ","Check size "),"Check sign"),IF(L54&gt;0,"Check sign ",IF(ABS(J54)&gt;=ABS(L54),"Ok ","Check size ")))</f>
        <v xml:space="preserve">Ok </v>
      </c>
    </row>
    <row r="55" spans="1:33" ht="12.75" customHeight="1" thickTop="1" x14ac:dyDescent="0.2"/>
    <row r="58" spans="1:33" x14ac:dyDescent="0.2">
      <c r="A58" s="959" t="s">
        <v>1716</v>
      </c>
      <c r="B58" s="498"/>
    </row>
    <row r="59" spans="1:33" ht="25.5" x14ac:dyDescent="0.2">
      <c r="A59" s="960" t="s">
        <v>1720</v>
      </c>
      <c r="B59" s="659"/>
      <c r="C59" s="659"/>
      <c r="D59" s="659"/>
      <c r="E59" s="962" t="s">
        <v>1715</v>
      </c>
    </row>
    <row r="60" spans="1:33" ht="17.25" customHeight="1" x14ac:dyDescent="0.2">
      <c r="A60" s="961"/>
      <c r="E60" s="963"/>
    </row>
    <row r="61" spans="1:33" ht="17.25" customHeight="1" x14ac:dyDescent="0.2">
      <c r="A61" s="682"/>
      <c r="E61" s="964"/>
    </row>
    <row r="62" spans="1:33" ht="17.25" customHeight="1" x14ac:dyDescent="0.2">
      <c r="A62" s="682"/>
      <c r="E62" s="964"/>
    </row>
    <row r="63" spans="1:33" ht="17.25" customHeight="1" x14ac:dyDescent="0.2">
      <c r="A63" s="682"/>
      <c r="E63" s="964"/>
    </row>
    <row r="64" spans="1:33" ht="17.25" customHeight="1" x14ac:dyDescent="0.2">
      <c r="A64" s="682"/>
      <c r="E64" s="964"/>
    </row>
    <row r="65" spans="1:10" ht="17.25" customHeight="1" x14ac:dyDescent="0.2">
      <c r="A65" s="682"/>
      <c r="E65" s="964"/>
    </row>
    <row r="68" spans="1:10" ht="27" customHeight="1" x14ac:dyDescent="0.2">
      <c r="A68" s="504" t="s">
        <v>1712</v>
      </c>
      <c r="B68" s="1912"/>
      <c r="C68" s="1913"/>
      <c r="D68" s="1913"/>
      <c r="E68" s="1913"/>
      <c r="F68" s="1913"/>
      <c r="G68" s="1913"/>
      <c r="H68" s="1913"/>
      <c r="I68" s="1914"/>
    </row>
    <row r="69" spans="1:10" ht="37.5" customHeight="1" x14ac:dyDescent="0.2">
      <c r="A69" s="504" t="s">
        <v>1713</v>
      </c>
      <c r="B69" s="1912"/>
      <c r="C69" s="1913"/>
      <c r="D69" s="1913"/>
      <c r="E69" s="1913"/>
      <c r="F69" s="1913"/>
      <c r="G69" s="1913"/>
      <c r="H69" s="1913"/>
      <c r="I69" s="1914"/>
    </row>
    <row r="70" spans="1:10" ht="37.5" customHeight="1" x14ac:dyDescent="0.2">
      <c r="A70" s="504" t="s">
        <v>1714</v>
      </c>
      <c r="B70" s="1912"/>
      <c r="C70" s="1913"/>
      <c r="D70" s="1913"/>
      <c r="E70" s="1913"/>
      <c r="F70" s="1913"/>
      <c r="G70" s="1913"/>
      <c r="H70" s="1913"/>
      <c r="I70" s="1914"/>
    </row>
    <row r="72" spans="1:10" x14ac:dyDescent="0.2">
      <c r="J72" s="966" t="s">
        <v>493</v>
      </c>
    </row>
    <row r="73" spans="1:10" x14ac:dyDescent="0.2">
      <c r="A73" s="581" t="s">
        <v>1253</v>
      </c>
      <c r="J73" s="682"/>
    </row>
  </sheetData>
  <sheetProtection algorithmName="SHA-512" hashValue="lZeiyFNf+DuMpuGXGV4fwx2WsmpTnQF3E0yT3XfvnxxIP1jupYyGxPwpJFEPL595Srzwmy2OKJldIl1ia0vfSA==" saltValue="7BLTShYYgypXfMKQwnB1wA==" spinCount="100000" sheet="1" formatColumns="0" formatRows="0"/>
  <mergeCells count="3">
    <mergeCell ref="B68:I68"/>
    <mergeCell ref="B69:I69"/>
    <mergeCell ref="B70:I70"/>
  </mergeCells>
  <conditionalFormatting sqref="A3">
    <cfRule type="expression" dxfId="209" priority="32">
      <formula>CELL("Protect",A3)=0</formula>
    </cfRule>
  </conditionalFormatting>
  <conditionalFormatting sqref="A60:A65">
    <cfRule type="expression" dxfId="208" priority="12">
      <formula>CELL("Protect",A60)=0</formula>
    </cfRule>
  </conditionalFormatting>
  <conditionalFormatting sqref="B68:B70">
    <cfRule type="expression" dxfId="207" priority="9">
      <formula>CELL("Protect",B68)=0</formula>
    </cfRule>
  </conditionalFormatting>
  <conditionalFormatting sqref="B11:I11 B13:I22">
    <cfRule type="expression" dxfId="206" priority="3">
      <formula>CELL("Protect",B11)=0</formula>
    </cfRule>
  </conditionalFormatting>
  <conditionalFormatting sqref="B29:I29">
    <cfRule type="expression" dxfId="205" priority="2">
      <formula>CELL("Protect",B29)=0</formula>
    </cfRule>
  </conditionalFormatting>
  <conditionalFormatting sqref="B31:I39 B50:I52">
    <cfRule type="expression" dxfId="204" priority="47">
      <formula>CELL("Protect",B31)=0</formula>
    </cfRule>
  </conditionalFormatting>
  <conditionalFormatting sqref="E60:E65">
    <cfRule type="expression" dxfId="203" priority="6">
      <formula>CELL("Protect",E60)=0</formula>
    </cfRule>
  </conditionalFormatting>
  <conditionalFormatting sqref="J73">
    <cfRule type="expression" dxfId="202" priority="4">
      <formula>CELL("Protect",J73)=0</formula>
    </cfRule>
  </conditionalFormatting>
  <conditionalFormatting sqref="M11:U22">
    <cfRule type="expression" dxfId="201" priority="37">
      <formula>CELL("Protect",M11)=0</formula>
    </cfRule>
  </conditionalFormatting>
  <conditionalFormatting sqref="M29:U29">
    <cfRule type="expression" dxfId="200" priority="1">
      <formula>CELL("Protect",M29)=0</formula>
    </cfRule>
  </conditionalFormatting>
  <conditionalFormatting sqref="M31:U39">
    <cfRule type="expression" dxfId="199" priority="39">
      <formula>CELL("Protect",M31)=0</formula>
    </cfRule>
  </conditionalFormatting>
  <conditionalFormatting sqref="M50:U52">
    <cfRule type="expression" dxfId="198" priority="34">
      <formula>CELL("Protect",M50)=0</formula>
    </cfRule>
  </conditionalFormatting>
  <pageMargins left="0.74803149606299213" right="0.74803149606299213" top="0.59055118110236227" bottom="0.59055118110236227" header="0.51181102362204722" footer="0.51181102362204722"/>
  <pageSetup paperSize="9" scale="52"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6">
    <tabColor rgb="FFFFFF00"/>
    <pageSetUpPr fitToPage="1"/>
  </sheetPr>
  <dimension ref="A1:J69"/>
  <sheetViews>
    <sheetView zoomScaleNormal="100" workbookViewId="0"/>
  </sheetViews>
  <sheetFormatPr defaultColWidth="9.140625" defaultRowHeight="12.75" x14ac:dyDescent="0.2"/>
  <cols>
    <col min="1" max="1" width="46" style="457" customWidth="1"/>
    <col min="2" max="2" width="11.85546875" style="457" customWidth="1"/>
    <col min="3" max="3" width="13.85546875" style="457" customWidth="1"/>
    <col min="4" max="4" width="11.85546875" style="457" customWidth="1"/>
    <col min="5" max="5" width="16" style="457" bestFit="1" customWidth="1"/>
    <col min="6" max="6" width="18.140625" style="457" bestFit="1" customWidth="1"/>
    <col min="7" max="7" width="12.5703125" style="457" customWidth="1"/>
    <col min="8" max="8" width="18.85546875" style="457" bestFit="1" customWidth="1"/>
    <col min="9" max="9" width="12.42578125" style="457" customWidth="1"/>
    <col min="10" max="10" width="13.28515625" style="457" bestFit="1" customWidth="1"/>
    <col min="11" max="11" width="17.28515625" style="457" customWidth="1"/>
    <col min="12" max="12" width="10.5703125" style="457" bestFit="1" customWidth="1"/>
    <col min="13" max="16384" width="9.140625" style="457"/>
  </cols>
  <sheetData>
    <row r="1" spans="1:10" ht="14.65" customHeight="1" x14ac:dyDescent="0.2">
      <c r="A1" s="416" t="str">
        <f>'alb Instructions'!$B$20</f>
        <v>enter HSC Body name here</v>
      </c>
      <c r="B1" s="536"/>
      <c r="C1" s="536"/>
      <c r="D1" s="536"/>
      <c r="E1" s="536"/>
      <c r="F1" s="536"/>
      <c r="G1" s="536"/>
      <c r="H1" s="536"/>
      <c r="I1" s="536"/>
      <c r="J1" s="536"/>
    </row>
    <row r="2" spans="1:10" ht="12.75" customHeight="1" x14ac:dyDescent="0.25">
      <c r="A2" s="610"/>
      <c r="B2" s="610"/>
      <c r="C2" s="536"/>
      <c r="D2" s="536"/>
      <c r="E2" s="536"/>
      <c r="J2" s="608"/>
    </row>
    <row r="3" spans="1:10" ht="12.75" customHeight="1" x14ac:dyDescent="0.2">
      <c r="A3" s="416" t="str">
        <f>"NOTES TO THE ACCOUNTS FOR THE YEAR ENDED"&amp;Update!$B$22</f>
        <v>NOTES TO THE ACCOUNTS FOR THE YEAR ENDED 31 March 2026</v>
      </c>
      <c r="B3" s="536"/>
      <c r="C3" s="536"/>
      <c r="D3" s="536"/>
      <c r="E3" s="536"/>
      <c r="J3" s="608"/>
    </row>
    <row r="4" spans="1:10" ht="12.75" customHeight="1" x14ac:dyDescent="0.2"/>
    <row r="5" spans="1:10" ht="12.75" customHeight="1" x14ac:dyDescent="0.2">
      <c r="A5" s="536" t="str">
        <f>"NOTE 5.2 Consolidated Property, plant &amp; equipment - year ended"&amp;Update!B24</f>
        <v>NOTE 5.2 Consolidated Property, plant &amp; equipment - year ended 31 March 2025</v>
      </c>
    </row>
    <row r="6" spans="1:10" ht="12.75" customHeight="1" x14ac:dyDescent="0.2">
      <c r="A6" s="536"/>
    </row>
    <row r="7" spans="1:10" ht="37.5" customHeight="1" x14ac:dyDescent="0.2">
      <c r="A7" s="536"/>
      <c r="B7" s="607" t="s">
        <v>195</v>
      </c>
      <c r="C7" s="605" t="s">
        <v>1262</v>
      </c>
      <c r="D7" s="605" t="s">
        <v>200</v>
      </c>
      <c r="E7" s="606" t="s">
        <v>1260</v>
      </c>
      <c r="F7" s="605" t="s">
        <v>203</v>
      </c>
      <c r="G7" s="606" t="s">
        <v>1259</v>
      </c>
      <c r="H7" s="605" t="s">
        <v>1258</v>
      </c>
      <c r="I7" s="605" t="s">
        <v>1261</v>
      </c>
      <c r="J7" s="623" t="s">
        <v>146</v>
      </c>
    </row>
    <row r="8" spans="1:10" ht="12.75" customHeight="1" x14ac:dyDescent="0.2">
      <c r="B8" s="622" t="s">
        <v>493</v>
      </c>
      <c r="C8" s="622" t="s">
        <v>493</v>
      </c>
      <c r="D8" s="622" t="s">
        <v>493</v>
      </c>
      <c r="E8" s="622" t="s">
        <v>493</v>
      </c>
      <c r="F8" s="622" t="s">
        <v>493</v>
      </c>
      <c r="G8" s="622" t="s">
        <v>493</v>
      </c>
      <c r="H8" s="622" t="s">
        <v>493</v>
      </c>
      <c r="I8" s="622" t="s">
        <v>493</v>
      </c>
      <c r="J8" s="621" t="s">
        <v>493</v>
      </c>
    </row>
    <row r="9" spans="1:10" ht="12.75" customHeight="1" x14ac:dyDescent="0.2">
      <c r="A9" s="536" t="s">
        <v>183</v>
      </c>
      <c r="B9" s="590"/>
      <c r="C9" s="432"/>
      <c r="D9" s="432"/>
      <c r="F9" s="432"/>
      <c r="H9" s="432"/>
      <c r="I9" s="432"/>
      <c r="J9" s="431"/>
    </row>
    <row r="10" spans="1:10" ht="12.75" customHeight="1" x14ac:dyDescent="0.2">
      <c r="A10" s="549" t="str">
        <f>"At"&amp;Update!$B$18</f>
        <v>At 1 April 2024</v>
      </c>
      <c r="B10" s="1039"/>
      <c r="C10" s="1039"/>
      <c r="D10" s="1039"/>
      <c r="E10" s="1039"/>
      <c r="F10" s="1039"/>
      <c r="G10" s="1039"/>
      <c r="H10" s="1039"/>
      <c r="I10" s="1039"/>
      <c r="J10" s="431">
        <f>SUM(B10:I10)</f>
        <v>0</v>
      </c>
    </row>
    <row r="11" spans="1:10" ht="12.75" customHeight="1" x14ac:dyDescent="0.2">
      <c r="A11" s="542" t="s">
        <v>188</v>
      </c>
      <c r="B11" s="439"/>
      <c r="C11" s="439"/>
      <c r="D11" s="439"/>
      <c r="E11" s="439"/>
      <c r="F11" s="439"/>
      <c r="G11" s="439"/>
      <c r="H11" s="439"/>
      <c r="I11" s="439"/>
      <c r="J11" s="431">
        <f t="shared" ref="J11:J20" si="0">SUM(B11:I11)</f>
        <v>0</v>
      </c>
    </row>
    <row r="12" spans="1:10" ht="12.75" customHeight="1" x14ac:dyDescent="0.2">
      <c r="A12" s="542" t="s">
        <v>185</v>
      </c>
      <c r="B12" s="439"/>
      <c r="C12" s="439"/>
      <c r="D12" s="439"/>
      <c r="E12" s="439"/>
      <c r="F12" s="439"/>
      <c r="G12" s="439"/>
      <c r="H12" s="439"/>
      <c r="I12" s="439"/>
      <c r="J12" s="431">
        <f t="shared" si="0"/>
        <v>0</v>
      </c>
    </row>
    <row r="13" spans="1:10" ht="12.75" customHeight="1" x14ac:dyDescent="0.2">
      <c r="A13" s="542" t="s">
        <v>437</v>
      </c>
      <c r="B13" s="439"/>
      <c r="C13" s="439"/>
      <c r="D13" s="439"/>
      <c r="E13" s="439"/>
      <c r="F13" s="439"/>
      <c r="G13" s="439"/>
      <c r="H13" s="439"/>
      <c r="I13" s="439"/>
      <c r="J13" s="431">
        <f t="shared" si="0"/>
        <v>0</v>
      </c>
    </row>
    <row r="14" spans="1:10" ht="12.75" customHeight="1" x14ac:dyDescent="0.2">
      <c r="A14" s="542" t="s">
        <v>187</v>
      </c>
      <c r="B14" s="439"/>
      <c r="C14" s="439"/>
      <c r="D14" s="439"/>
      <c r="E14" s="439"/>
      <c r="F14" s="439"/>
      <c r="G14" s="439"/>
      <c r="H14" s="439"/>
      <c r="I14" s="439"/>
      <c r="J14" s="431">
        <f t="shared" si="0"/>
        <v>0</v>
      </c>
    </row>
    <row r="15" spans="1:10" ht="12.75" customHeight="1" x14ac:dyDescent="0.2">
      <c r="A15" s="549" t="s">
        <v>186</v>
      </c>
      <c r="B15" s="439"/>
      <c r="C15" s="439"/>
      <c r="D15" s="439"/>
      <c r="E15" s="439"/>
      <c r="F15" s="439"/>
      <c r="G15" s="439"/>
      <c r="H15" s="439"/>
      <c r="I15" s="439"/>
      <c r="J15" s="431">
        <f t="shared" si="0"/>
        <v>0</v>
      </c>
    </row>
    <row r="16" spans="1:10" ht="12.75" customHeight="1" x14ac:dyDescent="0.2">
      <c r="A16" s="549" t="s">
        <v>557</v>
      </c>
      <c r="B16" s="439"/>
      <c r="C16" s="439"/>
      <c r="D16" s="439"/>
      <c r="E16" s="439"/>
      <c r="F16" s="439"/>
      <c r="G16" s="439"/>
      <c r="H16" s="439"/>
      <c r="I16" s="439"/>
      <c r="J16" s="431">
        <f t="shared" si="0"/>
        <v>0</v>
      </c>
    </row>
    <row r="17" spans="1:10" ht="12.75" customHeight="1" x14ac:dyDescent="0.2">
      <c r="A17" s="549" t="s">
        <v>767</v>
      </c>
      <c r="B17" s="439"/>
      <c r="C17" s="439"/>
      <c r="D17" s="439"/>
      <c r="E17" s="439"/>
      <c r="F17" s="439"/>
      <c r="G17" s="439"/>
      <c r="H17" s="439"/>
      <c r="I17" s="439"/>
      <c r="J17" s="431">
        <f t="shared" si="0"/>
        <v>0</v>
      </c>
    </row>
    <row r="18" spans="1:10" ht="12.75" customHeight="1" x14ac:dyDescent="0.2">
      <c r="A18" s="549" t="s">
        <v>768</v>
      </c>
      <c r="B18" s="439"/>
      <c r="C18" s="439"/>
      <c r="D18" s="439"/>
      <c r="E18" s="439"/>
      <c r="F18" s="439"/>
      <c r="G18" s="439"/>
      <c r="H18" s="439"/>
      <c r="I18" s="439"/>
      <c r="J18" s="431">
        <f t="shared" si="0"/>
        <v>0</v>
      </c>
    </row>
    <row r="19" spans="1:10" ht="12.75" customHeight="1" x14ac:dyDescent="0.2">
      <c r="A19" s="549" t="s">
        <v>810</v>
      </c>
      <c r="B19" s="439"/>
      <c r="C19" s="439"/>
      <c r="D19" s="439"/>
      <c r="E19" s="439"/>
      <c r="F19" s="439"/>
      <c r="G19" s="439"/>
      <c r="H19" s="439"/>
      <c r="I19" s="439"/>
      <c r="J19" s="431">
        <f t="shared" si="0"/>
        <v>0</v>
      </c>
    </row>
    <row r="20" spans="1:10" ht="12.75" customHeight="1" x14ac:dyDescent="0.2">
      <c r="A20" s="549" t="s">
        <v>191</v>
      </c>
      <c r="B20" s="439"/>
      <c r="C20" s="439"/>
      <c r="D20" s="439"/>
      <c r="E20" s="439"/>
      <c r="F20" s="439"/>
      <c r="G20" s="439"/>
      <c r="H20" s="439"/>
      <c r="I20" s="439"/>
      <c r="J20" s="431">
        <f t="shared" si="0"/>
        <v>0</v>
      </c>
    </row>
    <row r="21" spans="1:10" ht="12.75" customHeight="1" x14ac:dyDescent="0.2">
      <c r="A21" s="549"/>
      <c r="B21" s="620"/>
      <c r="C21" s="599"/>
      <c r="D21" s="599"/>
      <c r="E21" s="619"/>
      <c r="F21" s="599"/>
      <c r="G21" s="619"/>
      <c r="H21" s="599"/>
      <c r="I21" s="434"/>
      <c r="J21" s="433"/>
    </row>
    <row r="22" spans="1:10" ht="12.75" customHeight="1" x14ac:dyDescent="0.2">
      <c r="A22" s="549"/>
      <c r="B22" s="618"/>
      <c r="C22" s="584"/>
      <c r="D22" s="584"/>
      <c r="E22" s="585"/>
      <c r="F22" s="584"/>
      <c r="G22" s="585"/>
      <c r="H22" s="584"/>
      <c r="I22" s="584"/>
      <c r="J22" s="598"/>
    </row>
    <row r="23" spans="1:10" ht="12.75" customHeight="1" thickBot="1" x14ac:dyDescent="0.25">
      <c r="A23" s="549" t="str">
        <f>"At"&amp;Update!$B$24</f>
        <v>At 31 March 2025</v>
      </c>
      <c r="B23" s="593">
        <f t="shared" ref="B23:H23" si="1">SUM(B10:B21)</f>
        <v>0</v>
      </c>
      <c r="C23" s="592">
        <f t="shared" si="1"/>
        <v>0</v>
      </c>
      <c r="D23" s="592">
        <f t="shared" si="1"/>
        <v>0</v>
      </c>
      <c r="E23" s="524">
        <f t="shared" si="1"/>
        <v>0</v>
      </c>
      <c r="F23" s="592">
        <f t="shared" si="1"/>
        <v>0</v>
      </c>
      <c r="G23" s="524">
        <f t="shared" si="1"/>
        <v>0</v>
      </c>
      <c r="H23" s="592">
        <f t="shared" si="1"/>
        <v>0</v>
      </c>
      <c r="I23" s="592">
        <f>SUM(I10:I21)</f>
        <v>0</v>
      </c>
      <c r="J23" s="591">
        <f>SUM(J10:J21)</f>
        <v>0</v>
      </c>
    </row>
    <row r="24" spans="1:10" ht="12.75" customHeight="1" thickTop="1" x14ac:dyDescent="0.2">
      <c r="A24" s="536"/>
      <c r="B24" s="536"/>
      <c r="C24" s="536"/>
      <c r="E24" s="536"/>
      <c r="F24" s="536"/>
      <c r="G24" s="536"/>
      <c r="H24" s="536"/>
      <c r="I24" s="536"/>
      <c r="J24" s="536"/>
    </row>
    <row r="25" spans="1:10" ht="12.75" customHeight="1" x14ac:dyDescent="0.2">
      <c r="A25" s="536" t="s">
        <v>160</v>
      </c>
    </row>
    <row r="26" spans="1:10" ht="12.75" customHeight="1" x14ac:dyDescent="0.2">
      <c r="A26" s="457" t="str">
        <f>+A10</f>
        <v>At 1 April 2024</v>
      </c>
      <c r="B26" s="1040"/>
      <c r="C26" s="1040"/>
      <c r="D26" s="1040"/>
      <c r="E26" s="1040"/>
      <c r="F26" s="1040"/>
      <c r="G26" s="1040"/>
      <c r="H26" s="1040"/>
      <c r="I26" s="1040"/>
      <c r="J26" s="584">
        <f>SUM(B26:I26)</f>
        <v>0</v>
      </c>
    </row>
    <row r="27" spans="1:10" ht="12.75" customHeight="1" x14ac:dyDescent="0.2">
      <c r="A27" s="542" t="s">
        <v>188</v>
      </c>
      <c r="B27" s="439"/>
      <c r="C27" s="439"/>
      <c r="D27" s="439"/>
      <c r="E27" s="439"/>
      <c r="F27" s="439"/>
      <c r="G27" s="439"/>
      <c r="H27" s="439"/>
      <c r="I27" s="439"/>
      <c r="J27" s="432">
        <f t="shared" ref="J27:J35" si="2">SUM(B27:I27)</f>
        <v>0</v>
      </c>
    </row>
    <row r="28" spans="1:10" ht="12.75" customHeight="1" x14ac:dyDescent="0.2">
      <c r="A28" s="542" t="s">
        <v>187</v>
      </c>
      <c r="B28" s="439"/>
      <c r="C28" s="439"/>
      <c r="D28" s="439"/>
      <c r="E28" s="439"/>
      <c r="F28" s="439"/>
      <c r="G28" s="439"/>
      <c r="H28" s="439"/>
      <c r="I28" s="439"/>
      <c r="J28" s="432">
        <f t="shared" si="2"/>
        <v>0</v>
      </c>
    </row>
    <row r="29" spans="1:10" ht="12.75" customHeight="1" x14ac:dyDescent="0.2">
      <c r="A29" s="542" t="s">
        <v>186</v>
      </c>
      <c r="B29" s="439"/>
      <c r="C29" s="439"/>
      <c r="D29" s="439"/>
      <c r="E29" s="439"/>
      <c r="F29" s="439"/>
      <c r="G29" s="439"/>
      <c r="H29" s="439"/>
      <c r="I29" s="439"/>
      <c r="J29" s="432">
        <f t="shared" si="2"/>
        <v>0</v>
      </c>
    </row>
    <row r="30" spans="1:10" ht="12.75" customHeight="1" x14ac:dyDescent="0.2">
      <c r="A30" s="549" t="s">
        <v>557</v>
      </c>
      <c r="B30" s="439"/>
      <c r="C30" s="439"/>
      <c r="D30" s="439"/>
      <c r="E30" s="439"/>
      <c r="F30" s="439"/>
      <c r="G30" s="439"/>
      <c r="H30" s="439"/>
      <c r="I30" s="439"/>
      <c r="J30" s="432">
        <f t="shared" si="2"/>
        <v>0</v>
      </c>
    </row>
    <row r="31" spans="1:10" ht="12.75" customHeight="1" x14ac:dyDescent="0.2">
      <c r="A31" s="549" t="s">
        <v>767</v>
      </c>
      <c r="B31" s="439"/>
      <c r="C31" s="439"/>
      <c r="D31" s="439"/>
      <c r="E31" s="439"/>
      <c r="F31" s="439"/>
      <c r="G31" s="439"/>
      <c r="H31" s="439"/>
      <c r="I31" s="439"/>
      <c r="J31" s="432">
        <f t="shared" si="2"/>
        <v>0</v>
      </c>
    </row>
    <row r="32" spans="1:10" ht="12.75" customHeight="1" x14ac:dyDescent="0.2">
      <c r="A32" s="549" t="s">
        <v>768</v>
      </c>
      <c r="B32" s="439"/>
      <c r="C32" s="439"/>
      <c r="D32" s="439"/>
      <c r="E32" s="439"/>
      <c r="F32" s="439"/>
      <c r="G32" s="439"/>
      <c r="H32" s="439"/>
      <c r="I32" s="439"/>
      <c r="J32" s="432">
        <f t="shared" si="2"/>
        <v>0</v>
      </c>
    </row>
    <row r="33" spans="1:10" ht="12.75" customHeight="1" x14ac:dyDescent="0.2">
      <c r="A33" s="549" t="s">
        <v>810</v>
      </c>
      <c r="B33" s="439"/>
      <c r="C33" s="439"/>
      <c r="D33" s="439"/>
      <c r="E33" s="439"/>
      <c r="F33" s="439"/>
      <c r="G33" s="439"/>
      <c r="H33" s="439"/>
      <c r="I33" s="439"/>
      <c r="J33" s="432">
        <f t="shared" si="2"/>
        <v>0</v>
      </c>
    </row>
    <row r="34" spans="1:10" ht="12.75" customHeight="1" x14ac:dyDescent="0.2">
      <c r="A34" s="549" t="s">
        <v>191</v>
      </c>
      <c r="B34" s="439"/>
      <c r="C34" s="439"/>
      <c r="D34" s="439"/>
      <c r="E34" s="439"/>
      <c r="F34" s="439"/>
      <c r="G34" s="439"/>
      <c r="H34" s="439"/>
      <c r="I34" s="439"/>
      <c r="J34" s="432">
        <f t="shared" si="2"/>
        <v>0</v>
      </c>
    </row>
    <row r="35" spans="1:10" x14ac:dyDescent="0.2">
      <c r="A35" s="542" t="s">
        <v>1263</v>
      </c>
      <c r="B35" s="439"/>
      <c r="C35" s="439"/>
      <c r="D35" s="439"/>
      <c r="E35" s="439"/>
      <c r="F35" s="439"/>
      <c r="G35" s="439"/>
      <c r="H35" s="439"/>
      <c r="I35" s="439"/>
      <c r="J35" s="432">
        <f t="shared" si="2"/>
        <v>0</v>
      </c>
    </row>
    <row r="36" spans="1:10" ht="12.75" customHeight="1" x14ac:dyDescent="0.2">
      <c r="A36" s="549"/>
      <c r="B36" s="616"/>
      <c r="C36" s="434"/>
      <c r="D36" s="535"/>
      <c r="E36" s="535"/>
      <c r="F36" s="434"/>
      <c r="G36" s="535"/>
      <c r="H36" s="434"/>
      <c r="I36" s="434"/>
      <c r="J36" s="433"/>
    </row>
    <row r="37" spans="1:10" ht="12.75" customHeight="1" thickBot="1" x14ac:dyDescent="0.25">
      <c r="A37" s="549" t="str">
        <f>+A23</f>
        <v>At 31 March 2025</v>
      </c>
      <c r="B37" s="593">
        <f t="shared" ref="B37:H37" si="3">SUM(B26:B35)</f>
        <v>0</v>
      </c>
      <c r="C37" s="592">
        <f t="shared" si="3"/>
        <v>0</v>
      </c>
      <c r="D37" s="524">
        <f t="shared" si="3"/>
        <v>0</v>
      </c>
      <c r="E37" s="524">
        <f t="shared" si="3"/>
        <v>0</v>
      </c>
      <c r="F37" s="592">
        <f t="shared" si="3"/>
        <v>0</v>
      </c>
      <c r="G37" s="524">
        <f t="shared" si="3"/>
        <v>0</v>
      </c>
      <c r="H37" s="592">
        <f t="shared" si="3"/>
        <v>0</v>
      </c>
      <c r="I37" s="592">
        <f>SUM(I26:I35)</f>
        <v>0</v>
      </c>
      <c r="J37" s="591">
        <f>SUM(J26:J35)</f>
        <v>0</v>
      </c>
    </row>
    <row r="38" spans="1:10" ht="12.75" customHeight="1" thickTop="1" x14ac:dyDescent="0.2">
      <c r="B38" s="595"/>
      <c r="C38" s="586"/>
      <c r="D38" s="536"/>
      <c r="E38" s="536"/>
      <c r="F38" s="586"/>
      <c r="G38" s="536"/>
      <c r="H38" s="586"/>
      <c r="I38" s="586"/>
      <c r="J38" s="594"/>
    </row>
    <row r="39" spans="1:10" ht="12.75" customHeight="1" x14ac:dyDescent="0.2">
      <c r="A39" s="536" t="s">
        <v>1254</v>
      </c>
      <c r="B39" s="590"/>
      <c r="C39" s="432"/>
      <c r="F39" s="432"/>
      <c r="H39" s="432"/>
      <c r="I39" s="432"/>
      <c r="J39" s="431"/>
    </row>
    <row r="40" spans="1:10" ht="12.75" customHeight="1" thickBot="1" x14ac:dyDescent="0.25">
      <c r="A40" s="457" t="str">
        <f>+A37</f>
        <v>At 31 March 2025</v>
      </c>
      <c r="B40" s="615">
        <f t="shared" ref="B40:H40" si="4">B23-B37</f>
        <v>0</v>
      </c>
      <c r="C40" s="615">
        <f t="shared" si="4"/>
        <v>0</v>
      </c>
      <c r="D40" s="615">
        <f t="shared" si="4"/>
        <v>0</v>
      </c>
      <c r="E40" s="615">
        <f t="shared" si="4"/>
        <v>0</v>
      </c>
      <c r="F40" s="615">
        <f t="shared" si="4"/>
        <v>0</v>
      </c>
      <c r="G40" s="615">
        <f t="shared" si="4"/>
        <v>0</v>
      </c>
      <c r="H40" s="615">
        <f t="shared" si="4"/>
        <v>0</v>
      </c>
      <c r="I40" s="615">
        <f>I23-I37</f>
        <v>0</v>
      </c>
      <c r="J40" s="614">
        <f>J23-J37</f>
        <v>0</v>
      </c>
    </row>
    <row r="41" spans="1:10" ht="12.75" customHeight="1" thickTop="1" x14ac:dyDescent="0.2">
      <c r="B41" s="613"/>
      <c r="C41" s="611"/>
      <c r="D41" s="612"/>
      <c r="E41" s="612"/>
      <c r="F41" s="611"/>
      <c r="G41" s="612"/>
      <c r="H41" s="611"/>
      <c r="I41" s="611"/>
      <c r="J41" s="611"/>
    </row>
    <row r="42" spans="1:10" ht="12.75" customHeight="1" x14ac:dyDescent="0.2">
      <c r="A42" s="457" t="str">
        <f>+A26</f>
        <v>At 1 April 2024</v>
      </c>
      <c r="B42" s="589">
        <f t="shared" ref="B42:J42" si="5">B10-B26</f>
        <v>0</v>
      </c>
      <c r="C42" s="589">
        <f t="shared" si="5"/>
        <v>0</v>
      </c>
      <c r="D42" s="589">
        <f t="shared" si="5"/>
        <v>0</v>
      </c>
      <c r="E42" s="589">
        <f t="shared" si="5"/>
        <v>0</v>
      </c>
      <c r="F42" s="589">
        <f t="shared" si="5"/>
        <v>0</v>
      </c>
      <c r="G42" s="589">
        <f t="shared" si="5"/>
        <v>0</v>
      </c>
      <c r="H42" s="589">
        <f t="shared" si="5"/>
        <v>0</v>
      </c>
      <c r="I42" s="589">
        <f>I10-I26</f>
        <v>0</v>
      </c>
      <c r="J42" s="430">
        <f t="shared" si="5"/>
        <v>0</v>
      </c>
    </row>
    <row r="43" spans="1:10" ht="12.75" customHeight="1" x14ac:dyDescent="0.2">
      <c r="B43" s="536"/>
      <c r="C43" s="536"/>
      <c r="E43" s="536"/>
      <c r="F43" s="536"/>
      <c r="G43" s="536"/>
      <c r="H43" s="536"/>
      <c r="I43" s="536"/>
      <c r="J43" s="536"/>
    </row>
    <row r="44" spans="1:10" ht="12.75" customHeight="1" x14ac:dyDescent="0.2">
      <c r="A44" s="536" t="s">
        <v>1255</v>
      </c>
      <c r="B44" s="535"/>
      <c r="C44" s="535"/>
      <c r="D44" s="535"/>
      <c r="E44" s="535"/>
      <c r="F44" s="535"/>
      <c r="G44" s="535"/>
      <c r="H44" s="535"/>
      <c r="I44" s="535"/>
      <c r="J44" s="535"/>
    </row>
    <row r="45" spans="1:10" ht="12.75" customHeight="1" x14ac:dyDescent="0.2">
      <c r="A45" s="457" t="s">
        <v>197</v>
      </c>
      <c r="B45" s="432">
        <f>B40-B46-B47-B48</f>
        <v>0</v>
      </c>
      <c r="C45" s="432">
        <f t="shared" ref="C45:H45" si="6">C40-C46-C47-C48</f>
        <v>0</v>
      </c>
      <c r="D45" s="432">
        <f t="shared" si="6"/>
        <v>0</v>
      </c>
      <c r="E45" s="432">
        <f t="shared" si="6"/>
        <v>0</v>
      </c>
      <c r="F45" s="457">
        <f t="shared" si="6"/>
        <v>0</v>
      </c>
      <c r="G45" s="432">
        <f t="shared" si="6"/>
        <v>0</v>
      </c>
      <c r="H45" s="457">
        <f t="shared" si="6"/>
        <v>0</v>
      </c>
      <c r="I45" s="432">
        <f>I40-I46-I47-I48</f>
        <v>0</v>
      </c>
      <c r="J45" s="432">
        <f>SUM(B45:I45)</f>
        <v>0</v>
      </c>
    </row>
    <row r="46" spans="1:10" ht="12.75" customHeight="1" x14ac:dyDescent="0.2">
      <c r="A46" s="457" t="s">
        <v>198</v>
      </c>
      <c r="B46" s="439"/>
      <c r="C46" s="439"/>
      <c r="D46" s="439"/>
      <c r="E46" s="439"/>
      <c r="F46" s="439"/>
      <c r="G46" s="439"/>
      <c r="H46" s="439"/>
      <c r="I46" s="439"/>
      <c r="J46" s="432">
        <f>SUM(B46:I46)</f>
        <v>0</v>
      </c>
    </row>
    <row r="47" spans="1:10" ht="25.5" x14ac:dyDescent="0.2">
      <c r="A47" s="587" t="s">
        <v>769</v>
      </c>
      <c r="B47" s="439"/>
      <c r="C47" s="439"/>
      <c r="D47" s="439"/>
      <c r="E47" s="439"/>
      <c r="F47" s="439"/>
      <c r="G47" s="439"/>
      <c r="H47" s="439"/>
      <c r="I47" s="439"/>
      <c r="J47" s="432">
        <f>SUM(B47:I47)</f>
        <v>0</v>
      </c>
    </row>
    <row r="48" spans="1:10" ht="12.75" customHeight="1" x14ac:dyDescent="0.2">
      <c r="A48" s="457" t="s">
        <v>1695</v>
      </c>
      <c r="B48" s="439"/>
      <c r="C48" s="439"/>
      <c r="D48" s="439"/>
      <c r="E48" s="439"/>
      <c r="F48" s="439"/>
      <c r="G48" s="439"/>
      <c r="H48" s="439"/>
      <c r="I48" s="439"/>
      <c r="J48" s="432">
        <f>SUM(B48:I48)</f>
        <v>0</v>
      </c>
    </row>
    <row r="49" spans="1:10" ht="12.75" customHeight="1" x14ac:dyDescent="0.2">
      <c r="A49" s="536" t="s">
        <v>1254</v>
      </c>
      <c r="B49" s="584"/>
      <c r="C49" s="585"/>
      <c r="D49" s="584"/>
      <c r="E49" s="584"/>
      <c r="F49" s="585"/>
      <c r="G49" s="584"/>
      <c r="H49" s="584"/>
      <c r="I49" s="585"/>
      <c r="J49" s="584"/>
    </row>
    <row r="50" spans="1:10" ht="12.75" customHeight="1" thickBot="1" x14ac:dyDescent="0.25">
      <c r="A50" s="457" t="str">
        <f>A40</f>
        <v>At 31 March 2025</v>
      </c>
      <c r="B50" s="583">
        <f>SUM(B45:B48)</f>
        <v>0</v>
      </c>
      <c r="C50" s="583">
        <f t="shared" ref="C50:J50" si="7">SUM(C45:C48)</f>
        <v>0</v>
      </c>
      <c r="D50" s="583">
        <f t="shared" si="7"/>
        <v>0</v>
      </c>
      <c r="E50" s="583">
        <f t="shared" si="7"/>
        <v>0</v>
      </c>
      <c r="F50" s="583">
        <f t="shared" si="7"/>
        <v>0</v>
      </c>
      <c r="G50" s="583">
        <f t="shared" si="7"/>
        <v>0</v>
      </c>
      <c r="H50" s="583">
        <f t="shared" si="7"/>
        <v>0</v>
      </c>
      <c r="I50" s="583">
        <f>SUM(I45:I48)</f>
        <v>0</v>
      </c>
      <c r="J50" s="583">
        <f t="shared" si="7"/>
        <v>0</v>
      </c>
    </row>
    <row r="51" spans="1:10" ht="12.75" customHeight="1" thickTop="1" x14ac:dyDescent="0.2"/>
    <row r="54" spans="1:10" x14ac:dyDescent="0.2">
      <c r="A54" s="959" t="s">
        <v>1716</v>
      </c>
      <c r="B54" s="498"/>
    </row>
    <row r="55" spans="1:10" ht="25.5" x14ac:dyDescent="0.2">
      <c r="A55" s="960" t="s">
        <v>1720</v>
      </c>
      <c r="B55" s="659"/>
      <c r="C55" s="659"/>
      <c r="D55" s="659"/>
      <c r="E55" s="962" t="s">
        <v>1715</v>
      </c>
    </row>
    <row r="56" spans="1:10" x14ac:dyDescent="0.2">
      <c r="A56" s="961"/>
      <c r="E56" s="963"/>
    </row>
    <row r="57" spans="1:10" x14ac:dyDescent="0.2">
      <c r="A57" s="682"/>
      <c r="E57" s="964"/>
    </row>
    <row r="58" spans="1:10" x14ac:dyDescent="0.2">
      <c r="A58" s="682"/>
      <c r="E58" s="964"/>
    </row>
    <row r="59" spans="1:10" x14ac:dyDescent="0.2">
      <c r="A59" s="682"/>
      <c r="E59" s="964"/>
    </row>
    <row r="60" spans="1:10" x14ac:dyDescent="0.2">
      <c r="A60" s="682"/>
      <c r="E60" s="964"/>
    </row>
    <row r="61" spans="1:10" x14ac:dyDescent="0.2">
      <c r="A61" s="682"/>
      <c r="E61" s="964"/>
    </row>
    <row r="64" spans="1:10" x14ac:dyDescent="0.2">
      <c r="A64" s="504" t="s">
        <v>1712</v>
      </c>
      <c r="B64" s="1912"/>
      <c r="C64" s="1913"/>
      <c r="D64" s="1913"/>
      <c r="E64" s="1913"/>
      <c r="F64" s="1913"/>
      <c r="G64" s="1913"/>
      <c r="H64" s="1913"/>
      <c r="I64" s="1914"/>
    </row>
    <row r="65" spans="1:10" x14ac:dyDescent="0.2">
      <c r="A65" s="504" t="s">
        <v>1713</v>
      </c>
      <c r="B65" s="1912"/>
      <c r="C65" s="1913"/>
      <c r="D65" s="1913"/>
      <c r="E65" s="1913"/>
      <c r="F65" s="1913"/>
      <c r="G65" s="1913"/>
      <c r="H65" s="1913"/>
      <c r="I65" s="1914"/>
    </row>
    <row r="66" spans="1:10" x14ac:dyDescent="0.2">
      <c r="A66" s="504" t="s">
        <v>1714</v>
      </c>
      <c r="B66" s="1912"/>
      <c r="C66" s="1913"/>
      <c r="D66" s="1913"/>
      <c r="E66" s="1913"/>
      <c r="F66" s="1913"/>
      <c r="G66" s="1913"/>
      <c r="H66" s="1913"/>
      <c r="I66" s="1914"/>
    </row>
    <row r="68" spans="1:10" x14ac:dyDescent="0.2">
      <c r="J68" s="966" t="s">
        <v>493</v>
      </c>
    </row>
    <row r="69" spans="1:10" x14ac:dyDescent="0.2">
      <c r="A69" s="581" t="s">
        <v>1253</v>
      </c>
      <c r="J69" s="682"/>
    </row>
  </sheetData>
  <sheetProtection algorithmName="SHA-512" hashValue="cDViQC3i1N/mmZhabmUjPKEeNRQySTXG8ea0u2Lx+Iob0POSso3KlIrVGtgpUwnE2IM+SLhi4yNO8vVn3RfFgg==" saltValue="GKEXKeNLXyg9KBskL9Il2Q==" spinCount="100000" sheet="1" formatColumns="0" formatRows="0"/>
  <mergeCells count="3">
    <mergeCell ref="B64:I64"/>
    <mergeCell ref="B65:I65"/>
    <mergeCell ref="B66:I66"/>
  </mergeCells>
  <conditionalFormatting sqref="A3">
    <cfRule type="expression" dxfId="197" priority="11">
      <formula>CELL("Protect",A3)=0</formula>
    </cfRule>
  </conditionalFormatting>
  <conditionalFormatting sqref="A56:A61">
    <cfRule type="expression" dxfId="196" priority="8">
      <formula>CELL("Protect",A56)=0</formula>
    </cfRule>
  </conditionalFormatting>
  <conditionalFormatting sqref="B64:B66">
    <cfRule type="expression" dxfId="195" priority="5">
      <formula>CELL("Protect",B64)=0</formula>
    </cfRule>
  </conditionalFormatting>
  <conditionalFormatting sqref="B10:I20">
    <cfRule type="expression" dxfId="194" priority="1">
      <formula>CELL("Protect",B10)=0</formula>
    </cfRule>
  </conditionalFormatting>
  <conditionalFormatting sqref="B26:I35 B46:I48">
    <cfRule type="expression" dxfId="193" priority="34">
      <formula>CELL("Protect",B26)=0</formula>
    </cfRule>
  </conditionalFormatting>
  <conditionalFormatting sqref="E56:E61">
    <cfRule type="expression" dxfId="192" priority="4">
      <formula>CELL("Protect",E56)=0</formula>
    </cfRule>
  </conditionalFormatting>
  <conditionalFormatting sqref="I69:J69">
    <cfRule type="expression" dxfId="191" priority="2">
      <formula>CELL("Protect",I69)=0</formula>
    </cfRule>
  </conditionalFormatting>
  <pageMargins left="0.74803149606299213" right="0.74803149606299213" top="0.59055118110236227" bottom="0.59055118110236227" header="0.51181102362204722" footer="0.51181102362204722"/>
  <pageSetup paperSize="9" scale="5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75">
    <tabColor rgb="FFFFFF00"/>
    <pageSetUpPr fitToPage="1"/>
  </sheetPr>
  <dimension ref="A1:L40"/>
  <sheetViews>
    <sheetView zoomScaleNormal="100" workbookViewId="0">
      <pane xSplit="12" ySplit="9" topLeftCell="M10" activePane="bottomRight" state="frozen"/>
      <selection activeCell="F19" sqref="F19"/>
      <selection pane="topRight" activeCell="F19" sqref="F19"/>
      <selection pane="bottomLeft" activeCell="F19" sqref="F19"/>
      <selection pane="bottomRight" activeCell="M10" sqref="M10"/>
    </sheetView>
  </sheetViews>
  <sheetFormatPr defaultColWidth="9.140625" defaultRowHeight="12.75" outlineLevelRow="1" x14ac:dyDescent="0.2"/>
  <cols>
    <col min="1" max="1" width="38.28515625" style="397" customWidth="1"/>
    <col min="2" max="3" width="10.42578125" style="397" customWidth="1"/>
    <col min="4" max="4" width="2.7109375" style="397" customWidth="1"/>
    <col min="5" max="6" width="10.42578125" style="397" customWidth="1"/>
    <col min="7" max="7" width="2.7109375" style="397" customWidth="1"/>
    <col min="8" max="9" width="10.42578125" style="397" customWidth="1"/>
    <col min="10" max="10" width="2.7109375" style="397" customWidth="1"/>
    <col min="11" max="12" width="10.42578125" style="397" customWidth="1"/>
    <col min="13" max="16384" width="9.140625" style="397"/>
  </cols>
  <sheetData>
    <row r="1" spans="1:12" ht="14.65" customHeight="1" x14ac:dyDescent="0.2">
      <c r="A1" s="416" t="str">
        <f>'alb Instructions'!$B$20</f>
        <v>enter HSC Body name here</v>
      </c>
      <c r="B1" s="416"/>
      <c r="C1" s="416"/>
      <c r="D1" s="416"/>
      <c r="E1" s="416"/>
      <c r="F1" s="416"/>
      <c r="G1" s="416"/>
      <c r="H1" s="416"/>
      <c r="I1" s="416"/>
      <c r="J1" s="416"/>
      <c r="K1" s="416"/>
      <c r="L1" s="416"/>
    </row>
    <row r="2" spans="1:12" x14ac:dyDescent="0.2">
      <c r="A2" s="388"/>
      <c r="B2" s="388"/>
      <c r="C2" s="388"/>
      <c r="D2" s="388"/>
      <c r="E2" s="388"/>
      <c r="F2" s="388"/>
      <c r="G2" s="388"/>
      <c r="H2" s="388"/>
      <c r="I2" s="388"/>
      <c r="J2" s="388"/>
    </row>
    <row r="3" spans="1:12" x14ac:dyDescent="0.2">
      <c r="A3" s="416" t="str">
        <f>"NOTES TO THE ACCOUNTS FOR THE YEAR ENDED"&amp;Update!$B$22</f>
        <v>NOTES TO THE ACCOUNTS FOR THE YEAR ENDED 31 March 2026</v>
      </c>
      <c r="B3" s="644"/>
      <c r="C3" s="644"/>
      <c r="D3" s="644"/>
      <c r="E3" s="644"/>
      <c r="F3" s="642"/>
      <c r="G3" s="642"/>
      <c r="H3" s="642"/>
      <c r="I3" s="642"/>
      <c r="J3" s="642"/>
    </row>
    <row r="4" spans="1:12" x14ac:dyDescent="0.2">
      <c r="A4" s="388"/>
      <c r="B4" s="388"/>
      <c r="C4" s="388"/>
      <c r="D4" s="388"/>
      <c r="E4" s="388"/>
      <c r="F4" s="388"/>
      <c r="G4" s="388"/>
      <c r="H4" s="388"/>
      <c r="I4" s="388"/>
      <c r="J4" s="388"/>
    </row>
    <row r="5" spans="1:12" x14ac:dyDescent="0.2">
      <c r="A5" s="388" t="s">
        <v>2340</v>
      </c>
      <c r="B5" s="388"/>
      <c r="C5" s="388"/>
      <c r="D5" s="388"/>
      <c r="E5" s="388"/>
      <c r="F5" s="388"/>
      <c r="G5" s="388"/>
      <c r="H5" s="388"/>
      <c r="I5" s="388"/>
      <c r="J5" s="388"/>
    </row>
    <row r="6" spans="1:12" x14ac:dyDescent="0.2">
      <c r="A6" s="388"/>
      <c r="B6" s="388"/>
      <c r="C6" s="388"/>
      <c r="D6" s="388"/>
      <c r="E6" s="388"/>
      <c r="F6" s="388"/>
      <c r="G6" s="388"/>
      <c r="H6" s="388"/>
      <c r="I6" s="388"/>
      <c r="J6" s="388"/>
    </row>
    <row r="7" spans="1:12" x14ac:dyDescent="0.2">
      <c r="A7" s="388"/>
      <c r="B7" s="2145" t="s">
        <v>195</v>
      </c>
      <c r="C7" s="2146"/>
      <c r="D7" s="388"/>
      <c r="E7" s="2145" t="s">
        <v>196</v>
      </c>
      <c r="F7" s="2146"/>
      <c r="G7" s="388"/>
      <c r="H7" s="2145" t="s">
        <v>181</v>
      </c>
      <c r="I7" s="2146"/>
      <c r="J7" s="388"/>
      <c r="K7" s="2145" t="s">
        <v>146</v>
      </c>
      <c r="L7" s="2146"/>
    </row>
    <row r="8" spans="1:12" x14ac:dyDescent="0.2">
      <c r="B8" s="464">
        <f>Update!$B$38</f>
        <v>2026</v>
      </c>
      <c r="C8" s="462">
        <f>Update!$B$37</f>
        <v>2025</v>
      </c>
      <c r="E8" s="464">
        <f>B8</f>
        <v>2026</v>
      </c>
      <c r="F8" s="462">
        <f>C8</f>
        <v>2025</v>
      </c>
      <c r="H8" s="464">
        <f>E8</f>
        <v>2026</v>
      </c>
      <c r="I8" s="462">
        <f>F8</f>
        <v>2025</v>
      </c>
      <c r="K8" s="464">
        <f>B8</f>
        <v>2026</v>
      </c>
      <c r="L8" s="462">
        <f>C8</f>
        <v>2025</v>
      </c>
    </row>
    <row r="9" spans="1:12" x14ac:dyDescent="0.2">
      <c r="A9" s="384"/>
      <c r="B9" s="468" t="s">
        <v>493</v>
      </c>
      <c r="C9" s="468" t="s">
        <v>493</v>
      </c>
      <c r="D9" s="388"/>
      <c r="E9" s="468" t="s">
        <v>493</v>
      </c>
      <c r="F9" s="468" t="s">
        <v>493</v>
      </c>
      <c r="G9" s="388"/>
      <c r="H9" s="468" t="s">
        <v>493</v>
      </c>
      <c r="I9" s="468" t="s">
        <v>493</v>
      </c>
      <c r="J9" s="388"/>
      <c r="K9" s="468" t="s">
        <v>493</v>
      </c>
      <c r="L9" s="468" t="s">
        <v>493</v>
      </c>
    </row>
    <row r="10" spans="1:12" x14ac:dyDescent="0.2">
      <c r="A10" s="388"/>
      <c r="B10" s="500"/>
      <c r="C10" s="500"/>
      <c r="D10" s="388"/>
      <c r="E10" s="500"/>
      <c r="F10" s="500"/>
      <c r="G10" s="388"/>
      <c r="H10" s="500"/>
      <c r="I10" s="500"/>
      <c r="J10" s="388"/>
      <c r="K10" s="500"/>
      <c r="L10" s="500"/>
    </row>
    <row r="11" spans="1:12" x14ac:dyDescent="0.2">
      <c r="A11" s="436" t="s">
        <v>450</v>
      </c>
      <c r="B11" s="457">
        <f>C16</f>
        <v>0</v>
      </c>
      <c r="C11" s="521"/>
      <c r="D11" s="556"/>
      <c r="E11" s="457">
        <f>F16</f>
        <v>0</v>
      </c>
      <c r="F11" s="521"/>
      <c r="G11" s="556"/>
      <c r="H11" s="457">
        <f>I16</f>
        <v>0</v>
      </c>
      <c r="I11" s="521"/>
      <c r="J11" s="556"/>
      <c r="K11" s="457">
        <f t="shared" ref="K11:L15" si="0">B11+E11+H11</f>
        <v>0</v>
      </c>
      <c r="L11" s="457">
        <f t="shared" si="0"/>
        <v>0</v>
      </c>
    </row>
    <row r="12" spans="1:12" x14ac:dyDescent="0.2">
      <c r="A12" s="436" t="s">
        <v>771</v>
      </c>
      <c r="B12" s="460"/>
      <c r="C12" s="460"/>
      <c r="D12" s="457"/>
      <c r="E12" s="460"/>
      <c r="F12" s="460"/>
      <c r="G12" s="457"/>
      <c r="H12" s="460"/>
      <c r="I12" s="460"/>
      <c r="J12" s="457"/>
      <c r="K12" s="457">
        <f t="shared" si="0"/>
        <v>0</v>
      </c>
      <c r="L12" s="457">
        <f t="shared" si="0"/>
        <v>0</v>
      </c>
    </row>
    <row r="13" spans="1:12" x14ac:dyDescent="0.2">
      <c r="A13" s="436" t="s">
        <v>772</v>
      </c>
      <c r="B13" s="460"/>
      <c r="C13" s="460"/>
      <c r="D13" s="457"/>
      <c r="E13" s="460"/>
      <c r="F13" s="460"/>
      <c r="G13" s="457"/>
      <c r="H13" s="460"/>
      <c r="I13" s="460"/>
      <c r="J13" s="457"/>
      <c r="K13" s="457">
        <f t="shared" si="0"/>
        <v>0</v>
      </c>
      <c r="L13" s="457">
        <f t="shared" si="0"/>
        <v>0</v>
      </c>
    </row>
    <row r="14" spans="1:12" x14ac:dyDescent="0.2">
      <c r="A14" s="436" t="s">
        <v>773</v>
      </c>
      <c r="B14" s="460"/>
      <c r="C14" s="460"/>
      <c r="D14" s="457"/>
      <c r="E14" s="460"/>
      <c r="F14" s="460"/>
      <c r="G14" s="457"/>
      <c r="H14" s="460"/>
      <c r="I14" s="460"/>
      <c r="J14" s="457"/>
      <c r="K14" s="457">
        <f t="shared" si="0"/>
        <v>0</v>
      </c>
      <c r="L14" s="457">
        <f t="shared" si="0"/>
        <v>0</v>
      </c>
    </row>
    <row r="15" spans="1:12" x14ac:dyDescent="0.2">
      <c r="A15" s="436" t="s">
        <v>725</v>
      </c>
      <c r="B15" s="457">
        <f>+B40</f>
        <v>0</v>
      </c>
      <c r="C15" s="457">
        <f>+C40</f>
        <v>0</v>
      </c>
      <c r="D15" s="1304"/>
      <c r="E15" s="457">
        <f>+E40</f>
        <v>0</v>
      </c>
      <c r="F15" s="457">
        <f>+F40</f>
        <v>0</v>
      </c>
      <c r="G15" s="1304"/>
      <c r="H15" s="457">
        <f>+H40</f>
        <v>0</v>
      </c>
      <c r="I15" s="457">
        <f>+I40</f>
        <v>0</v>
      </c>
      <c r="J15" s="457"/>
      <c r="K15" s="457">
        <f>B15+E15+H15</f>
        <v>0</v>
      </c>
      <c r="L15" s="457">
        <f t="shared" si="0"/>
        <v>0</v>
      </c>
    </row>
    <row r="16" spans="1:12" x14ac:dyDescent="0.2">
      <c r="A16" s="436" t="s">
        <v>209</v>
      </c>
      <c r="B16" s="543">
        <f>SUM(B11:B15)</f>
        <v>0</v>
      </c>
      <c r="C16" s="543">
        <f>SUM(C11:C15)</f>
        <v>0</v>
      </c>
      <c r="D16" s="457"/>
      <c r="E16" s="543">
        <f>SUM(E11:E15)</f>
        <v>0</v>
      </c>
      <c r="F16" s="543">
        <f>SUM(F11:F15)</f>
        <v>0</v>
      </c>
      <c r="G16" s="457"/>
      <c r="H16" s="543">
        <f>SUM(H11:H15)</f>
        <v>0</v>
      </c>
      <c r="I16" s="543">
        <f>SUM(I11:I15)</f>
        <v>0</v>
      </c>
      <c r="J16" s="457"/>
      <c r="K16" s="543">
        <f>SUM(K11:K15)</f>
        <v>0</v>
      </c>
      <c r="L16" s="543">
        <f>SUM(L11:L15)</f>
        <v>0</v>
      </c>
    </row>
    <row r="17" spans="1:12" x14ac:dyDescent="0.2">
      <c r="A17" s="388"/>
      <c r="B17" s="536"/>
      <c r="C17" s="536"/>
      <c r="D17" s="457"/>
      <c r="E17" s="536"/>
      <c r="F17" s="536"/>
      <c r="G17" s="457"/>
      <c r="H17" s="536"/>
      <c r="I17" s="536"/>
      <c r="J17" s="457"/>
      <c r="K17" s="536"/>
      <c r="L17" s="536"/>
    </row>
    <row r="18" spans="1:12" hidden="1" outlineLevel="1" x14ac:dyDescent="0.2">
      <c r="A18" s="388" t="s">
        <v>160</v>
      </c>
      <c r="B18" s="457"/>
      <c r="C18" s="457"/>
      <c r="D18" s="457"/>
      <c r="E18" s="457"/>
      <c r="F18" s="457"/>
      <c r="G18" s="457"/>
      <c r="H18" s="457"/>
      <c r="I18" s="457"/>
      <c r="J18" s="457"/>
      <c r="K18" s="457"/>
      <c r="L18" s="457"/>
    </row>
    <row r="19" spans="1:12" hidden="1" outlineLevel="1" x14ac:dyDescent="0.2">
      <c r="A19" s="436" t="s">
        <v>450</v>
      </c>
      <c r="B19" s="457">
        <f>+C24</f>
        <v>0</v>
      </c>
      <c r="C19" s="521"/>
      <c r="D19" s="457"/>
      <c r="E19" s="457">
        <f>F24</f>
        <v>0</v>
      </c>
      <c r="F19" s="521"/>
      <c r="G19" s="457"/>
      <c r="H19" s="457">
        <f>I24</f>
        <v>0</v>
      </c>
      <c r="I19" s="521"/>
      <c r="J19" s="457"/>
      <c r="K19" s="457">
        <f>B19+E19</f>
        <v>0</v>
      </c>
      <c r="L19" s="457">
        <f>C19+F19</f>
        <v>0</v>
      </c>
    </row>
    <row r="20" spans="1:12" hidden="1" outlineLevel="1" x14ac:dyDescent="0.2">
      <c r="A20" s="436" t="s">
        <v>871</v>
      </c>
      <c r="B20" s="460"/>
      <c r="C20" s="460"/>
      <c r="D20" s="457"/>
      <c r="E20" s="460"/>
      <c r="F20" s="460"/>
      <c r="G20" s="457"/>
      <c r="H20" s="460"/>
      <c r="I20" s="460"/>
      <c r="J20" s="457"/>
      <c r="K20" s="457">
        <f>B20+E20</f>
        <v>0</v>
      </c>
      <c r="L20" s="457">
        <f>C20+F20</f>
        <v>0</v>
      </c>
    </row>
    <row r="21" spans="1:12" hidden="1" outlineLevel="1" x14ac:dyDescent="0.2">
      <c r="A21" s="436" t="s">
        <v>872</v>
      </c>
      <c r="B21" s="460"/>
      <c r="C21" s="460"/>
      <c r="D21" s="457"/>
      <c r="E21" s="460"/>
      <c r="F21" s="460"/>
      <c r="G21" s="457"/>
      <c r="H21" s="460"/>
      <c r="I21" s="460"/>
      <c r="J21" s="457"/>
      <c r="K21" s="457"/>
      <c r="L21" s="457"/>
    </row>
    <row r="22" spans="1:12" hidden="1" outlineLevel="1" x14ac:dyDescent="0.2">
      <c r="A22" s="436" t="s">
        <v>873</v>
      </c>
      <c r="B22" s="460"/>
      <c r="C22" s="460"/>
      <c r="D22" s="457"/>
      <c r="E22" s="460"/>
      <c r="F22" s="460"/>
      <c r="G22" s="457"/>
      <c r="H22" s="460"/>
      <c r="I22" s="460"/>
      <c r="J22" s="457"/>
      <c r="K22" s="457">
        <f>B22+E22</f>
        <v>0</v>
      </c>
      <c r="L22" s="457">
        <f>C22+F22</f>
        <v>0</v>
      </c>
    </row>
    <row r="23" spans="1:12" hidden="1" outlineLevel="1" x14ac:dyDescent="0.2">
      <c r="A23" s="436" t="s">
        <v>874</v>
      </c>
      <c r="B23" s="460"/>
      <c r="C23" s="460"/>
      <c r="D23" s="457"/>
      <c r="E23" s="460"/>
      <c r="F23" s="460"/>
      <c r="G23" s="457"/>
      <c r="H23" s="460"/>
      <c r="I23" s="460"/>
      <c r="J23" s="457"/>
      <c r="K23" s="457">
        <f>B23+E23</f>
        <v>0</v>
      </c>
      <c r="L23" s="457">
        <f>C23+F23</f>
        <v>0</v>
      </c>
    </row>
    <row r="24" spans="1:12" hidden="1" outlineLevel="1" x14ac:dyDescent="0.2">
      <c r="A24" s="436" t="s">
        <v>209</v>
      </c>
      <c r="B24" s="543">
        <f>SUM(B19:B23)</f>
        <v>0</v>
      </c>
      <c r="C24" s="543">
        <f>SUM(C19:C23)</f>
        <v>0</v>
      </c>
      <c r="D24" s="457"/>
      <c r="E24" s="543">
        <f>SUM(E19:E23)</f>
        <v>0</v>
      </c>
      <c r="F24" s="543">
        <f>SUM(F19:F23)</f>
        <v>0</v>
      </c>
      <c r="G24" s="457"/>
      <c r="H24" s="543">
        <f>SUM(H19:H23)</f>
        <v>0</v>
      </c>
      <c r="I24" s="543">
        <f>SUM(I19:I23)</f>
        <v>0</v>
      </c>
      <c r="J24" s="457"/>
      <c r="K24" s="543">
        <f>SUM(K19:K23)</f>
        <v>0</v>
      </c>
      <c r="L24" s="543">
        <f>SUM(L19:L23)</f>
        <v>0</v>
      </c>
    </row>
    <row r="25" spans="1:12" hidden="1" outlineLevel="1" x14ac:dyDescent="0.2">
      <c r="B25" s="457"/>
      <c r="C25" s="457"/>
      <c r="D25" s="457"/>
      <c r="E25" s="457"/>
      <c r="F25" s="457"/>
      <c r="G25" s="457"/>
      <c r="H25" s="457"/>
      <c r="I25" s="457"/>
      <c r="J25" s="457"/>
      <c r="K25" s="457"/>
      <c r="L25" s="457"/>
    </row>
    <row r="26" spans="1:12" hidden="1" outlineLevel="1" x14ac:dyDescent="0.2">
      <c r="B26" s="457"/>
      <c r="C26" s="457"/>
      <c r="D26" s="457"/>
      <c r="E26" s="457"/>
      <c r="F26" s="457"/>
      <c r="G26" s="457"/>
      <c r="H26" s="457"/>
      <c r="I26" s="457"/>
      <c r="J26" s="457"/>
      <c r="K26" s="457"/>
      <c r="L26" s="457"/>
    </row>
    <row r="27" spans="1:12" s="388" customFormat="1" ht="13.5" hidden="1" outlineLevel="1" thickBot="1" x14ac:dyDescent="0.25">
      <c r="A27" s="388" t="s">
        <v>1275</v>
      </c>
      <c r="B27" s="523">
        <f>B16</f>
        <v>0</v>
      </c>
      <c r="C27" s="523">
        <f>C16</f>
        <v>0</v>
      </c>
      <c r="D27" s="536"/>
      <c r="E27" s="523">
        <f>E16</f>
        <v>0</v>
      </c>
      <c r="F27" s="523">
        <f>F16</f>
        <v>0</v>
      </c>
      <c r="G27" s="536"/>
      <c r="H27" s="523">
        <f>H16</f>
        <v>0</v>
      </c>
      <c r="I27" s="523">
        <f>I16</f>
        <v>0</v>
      </c>
      <c r="J27" s="536"/>
      <c r="K27" s="523">
        <f>K16</f>
        <v>0</v>
      </c>
      <c r="L27" s="523">
        <f>L16</f>
        <v>0</v>
      </c>
    </row>
    <row r="28" spans="1:12" collapsed="1" x14ac:dyDescent="0.2"/>
    <row r="30" spans="1:12" ht="12.75" customHeight="1" x14ac:dyDescent="0.2">
      <c r="A30" s="397" t="s">
        <v>1274</v>
      </c>
    </row>
    <row r="31" spans="1:12" ht="12.75" customHeight="1" x14ac:dyDescent="0.2"/>
    <row r="32" spans="1:12" x14ac:dyDescent="0.2">
      <c r="A32" s="397" t="s">
        <v>1273</v>
      </c>
      <c r="B32" s="460"/>
      <c r="C32" s="460"/>
      <c r="D32" s="457"/>
      <c r="E32" s="460"/>
      <c r="F32" s="460"/>
      <c r="G32" s="457"/>
      <c r="H32" s="460"/>
      <c r="I32" s="460"/>
      <c r="K32" s="457">
        <f>B32+E32+H32</f>
        <v>0</v>
      </c>
      <c r="L32" s="457">
        <f>C32+F32+I32</f>
        <v>0</v>
      </c>
    </row>
    <row r="35" spans="1:12" x14ac:dyDescent="0.2">
      <c r="A35" s="388" t="s">
        <v>2085</v>
      </c>
    </row>
    <row r="37" spans="1:12" x14ac:dyDescent="0.2">
      <c r="A37" s="549" t="s">
        <v>767</v>
      </c>
      <c r="B37" s="460"/>
      <c r="C37" s="460"/>
      <c r="D37" s="457"/>
      <c r="E37" s="460"/>
      <c r="F37" s="460"/>
      <c r="G37" s="457"/>
      <c r="H37" s="460"/>
      <c r="I37" s="460"/>
      <c r="K37" s="457">
        <f>B37+E37+H37</f>
        <v>0</v>
      </c>
      <c r="L37" s="457">
        <f>C37+F37+I37</f>
        <v>0</v>
      </c>
    </row>
    <row r="38" spans="1:12" x14ac:dyDescent="0.2">
      <c r="A38" s="549" t="s">
        <v>768</v>
      </c>
      <c r="B38" s="460"/>
      <c r="C38" s="460"/>
      <c r="D38" s="457"/>
      <c r="E38" s="460"/>
      <c r="F38" s="460"/>
      <c r="G38" s="457"/>
      <c r="H38" s="460"/>
      <c r="I38" s="460"/>
      <c r="K38" s="457">
        <f>B38+E38+H38</f>
        <v>0</v>
      </c>
      <c r="L38" s="457">
        <f>C38+F38+I38</f>
        <v>0</v>
      </c>
    </row>
    <row r="40" spans="1:12" x14ac:dyDescent="0.2">
      <c r="A40" s="397" t="s">
        <v>1166</v>
      </c>
      <c r="B40" s="543">
        <f>SUM(B37:B38)</f>
        <v>0</v>
      </c>
      <c r="C40" s="543">
        <f>SUM(C37:C38)</f>
        <v>0</v>
      </c>
      <c r="D40" s="457"/>
      <c r="E40" s="543">
        <f>SUM(E37:E38)</f>
        <v>0</v>
      </c>
      <c r="F40" s="543">
        <f>SUM(F37:F38)</f>
        <v>0</v>
      </c>
      <c r="G40" s="457"/>
      <c r="H40" s="543">
        <f>SUM(H37:H38)</f>
        <v>0</v>
      </c>
      <c r="I40" s="543">
        <f>SUM(I37:I38)</f>
        <v>0</v>
      </c>
      <c r="J40" s="457"/>
      <c r="K40" s="543">
        <f>SUM(K37:K38)</f>
        <v>0</v>
      </c>
      <c r="L40" s="543">
        <f>SUM(L37:L38)</f>
        <v>0</v>
      </c>
    </row>
  </sheetData>
  <sheetProtection algorithmName="SHA-512" hashValue="EfJNqZeBGnGYumzwIaADIv6wFCO5soZ7MJSHQJF7GYir3Vwtko60OLW9VNneqYQjsAk6SIeDiNoUywd2Z9VHMQ==" saltValue="mLkcl0tHDVJJOQJAO/u53Q==" spinCount="100000" sheet="1" formatColumns="0" formatRows="0"/>
  <mergeCells count="4">
    <mergeCell ref="K7:L7"/>
    <mergeCell ref="B7:C7"/>
    <mergeCell ref="E7:F7"/>
    <mergeCell ref="H7:I7"/>
  </mergeCells>
  <conditionalFormatting sqref="A3">
    <cfRule type="expression" dxfId="190" priority="4">
      <formula>CELL("Protect",A3)=0</formula>
    </cfRule>
  </conditionalFormatting>
  <conditionalFormatting sqref="A1:S2 B3:S3 A4:S34">
    <cfRule type="expression" dxfId="189" priority="7">
      <formula>CELL("Protect",A1)=0</formula>
    </cfRule>
  </conditionalFormatting>
  <conditionalFormatting sqref="B37:I38">
    <cfRule type="expression" dxfId="188" priority="3">
      <formula>CELL("Protect",B37)=0</formula>
    </cfRule>
  </conditionalFormatting>
  <conditionalFormatting sqref="B40:L40">
    <cfRule type="expression" dxfId="187" priority="2">
      <formula>CELL("Protect",B40)=0</formula>
    </cfRule>
  </conditionalFormatting>
  <conditionalFormatting sqref="K37:L38">
    <cfRule type="expression" dxfId="186" priority="1">
      <formula>CELL("Protect",K37)=0</formula>
    </cfRule>
  </conditionalFormatting>
  <pageMargins left="0.74803149606299213" right="0.74803149606299213" top="0.59055118110236227" bottom="0.59055118110236227" header="0.51181102362204722" footer="0.51181102362204722"/>
  <pageSetup paperSize="9" scale="67"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7">
    <tabColor rgb="FFFFFF00"/>
    <pageSetUpPr fitToPage="1"/>
  </sheetPr>
  <dimension ref="A1:AG71"/>
  <sheetViews>
    <sheetView zoomScaleNormal="100" workbookViewId="0">
      <pane xSplit="2" ySplit="8" topLeftCell="C9" activePane="bottomRight" state="frozen"/>
      <selection activeCell="F19" sqref="F19"/>
      <selection pane="topRight" activeCell="F19" sqref="F19"/>
      <selection pane="bottomLeft" activeCell="F19" sqref="F19"/>
      <selection pane="bottomRight" activeCell="C9" sqref="C9"/>
    </sheetView>
  </sheetViews>
  <sheetFormatPr defaultColWidth="9.140625" defaultRowHeight="12.75" outlineLevelCol="1" x14ac:dyDescent="0.2"/>
  <cols>
    <col min="1" max="1" width="43" style="397" customWidth="1"/>
    <col min="2" max="2" width="11.85546875" style="397" customWidth="1"/>
    <col min="3" max="3" width="14.28515625" style="397" bestFit="1" customWidth="1"/>
    <col min="4" max="4" width="11.85546875" style="397" customWidth="1"/>
    <col min="5" max="5" width="16" style="397" bestFit="1" customWidth="1"/>
    <col min="6" max="6" width="16.5703125" style="397" bestFit="1" customWidth="1"/>
    <col min="7" max="8" width="11.85546875" style="397" customWidth="1"/>
    <col min="9" max="9" width="17.28515625" style="397" bestFit="1" customWidth="1"/>
    <col min="10" max="10" width="11.85546875" style="397" customWidth="1"/>
    <col min="11" max="20" width="9.140625" style="397"/>
    <col min="21" max="21" width="79.7109375" style="397" customWidth="1"/>
    <col min="22" max="31" width="9.140625" style="397" customWidth="1" outlineLevel="1"/>
    <col min="32" max="32" width="9.140625" style="397" customWidth="1"/>
    <col min="33" max="16384" width="9.140625" style="397"/>
  </cols>
  <sheetData>
    <row r="1" spans="1:33" ht="14.65" customHeight="1" x14ac:dyDescent="0.2">
      <c r="A1" s="416" t="str">
        <f>'alb Instructions'!$B$20</f>
        <v>enter HSC Body name here</v>
      </c>
      <c r="B1" s="388"/>
      <c r="C1" s="388"/>
      <c r="D1" s="388"/>
      <c r="E1" s="388"/>
      <c r="F1" s="388"/>
      <c r="G1" s="388"/>
      <c r="H1" s="388"/>
      <c r="I1" s="388"/>
      <c r="J1" s="388"/>
      <c r="K1" s="501"/>
      <c r="L1" s="501"/>
      <c r="M1" s="501"/>
      <c r="N1" s="501"/>
      <c r="O1" s="501"/>
      <c r="P1" s="501"/>
      <c r="Q1" s="501"/>
      <c r="R1" s="501"/>
      <c r="S1" s="501"/>
      <c r="T1" s="501"/>
    </row>
    <row r="2" spans="1:33" ht="12.75" customHeight="1" x14ac:dyDescent="0.25">
      <c r="A2" s="633"/>
      <c r="B2" s="632"/>
      <c r="C2" s="632"/>
      <c r="D2" s="632"/>
      <c r="E2" s="632"/>
      <c r="F2" s="632"/>
      <c r="G2" s="632"/>
      <c r="H2" s="632"/>
      <c r="I2" s="632"/>
      <c r="J2" s="632"/>
      <c r="K2" s="501"/>
      <c r="L2" s="501"/>
      <c r="M2" s="501"/>
      <c r="N2" s="501"/>
      <c r="O2" s="501"/>
      <c r="P2" s="501"/>
      <c r="Q2" s="501"/>
      <c r="R2" s="501"/>
      <c r="S2" s="501"/>
      <c r="T2" s="501"/>
    </row>
    <row r="3" spans="1:33" ht="12.75" customHeight="1" x14ac:dyDescent="0.2">
      <c r="A3" s="416" t="str">
        <f>"NOTES TO THE ACCOUNTS FOR THE YEAR ENDED"&amp;Update!$B$22</f>
        <v>NOTES TO THE ACCOUNTS FOR THE YEAR ENDED 31 March 2026</v>
      </c>
      <c r="K3" s="501"/>
      <c r="L3" s="501"/>
      <c r="M3" s="501"/>
      <c r="N3" s="501"/>
      <c r="O3" s="501"/>
      <c r="P3" s="501"/>
      <c r="Q3" s="501"/>
      <c r="R3" s="501"/>
      <c r="S3" s="501"/>
      <c r="T3" s="501"/>
    </row>
    <row r="4" spans="1:33" ht="12.75" customHeight="1" x14ac:dyDescent="0.2">
      <c r="A4" s="388"/>
    </row>
    <row r="5" spans="1:33" ht="12.75" customHeight="1" x14ac:dyDescent="0.2">
      <c r="A5" s="388" t="str">
        <f>"NOTE 6.1 Consolidated Intangible assets  -"&amp;""&amp;Update!$B$22</f>
        <v>NOTE 6.1 Consolidated Intangible assets  - 31 March 2026</v>
      </c>
      <c r="L5" s="388" t="s">
        <v>930</v>
      </c>
      <c r="M5" s="388"/>
      <c r="N5" s="388"/>
      <c r="O5" s="388"/>
      <c r="P5" s="388"/>
      <c r="Q5" s="388"/>
      <c r="R5" s="388"/>
      <c r="S5" s="388"/>
      <c r="T5" s="388"/>
      <c r="U5" s="388"/>
    </row>
    <row r="6" spans="1:33" ht="12.75" customHeight="1" x14ac:dyDescent="0.2">
      <c r="A6" s="388" t="s">
        <v>281</v>
      </c>
      <c r="L6" s="630"/>
      <c r="M6" s="630"/>
      <c r="N6" s="630"/>
      <c r="O6" s="630"/>
      <c r="P6" s="630"/>
      <c r="Q6" s="630"/>
      <c r="R6" s="630"/>
      <c r="S6" s="630"/>
      <c r="T6" s="630"/>
      <c r="U6" s="630"/>
      <c r="V6" s="397" t="s">
        <v>146</v>
      </c>
      <c r="W6" s="397" t="s">
        <v>1267</v>
      </c>
      <c r="X6" s="397" t="s">
        <v>201</v>
      </c>
      <c r="Y6" s="397" t="s">
        <v>451</v>
      </c>
      <c r="Z6" s="397" t="s">
        <v>212</v>
      </c>
      <c r="AA6" s="397" t="s">
        <v>1266</v>
      </c>
      <c r="AB6" s="397" t="s">
        <v>453</v>
      </c>
      <c r="AC6" s="397" t="s">
        <v>454</v>
      </c>
      <c r="AD6" s="397" t="s">
        <v>455</v>
      </c>
    </row>
    <row r="7" spans="1:33" ht="52.9" customHeight="1" x14ac:dyDescent="0.2">
      <c r="B7" s="631" t="s">
        <v>1267</v>
      </c>
      <c r="C7" s="605" t="s">
        <v>201</v>
      </c>
      <c r="D7" s="606" t="s">
        <v>451</v>
      </c>
      <c r="E7" s="605" t="s">
        <v>212</v>
      </c>
      <c r="F7" s="606" t="s">
        <v>1266</v>
      </c>
      <c r="G7" s="605" t="s">
        <v>453</v>
      </c>
      <c r="H7" s="606" t="s">
        <v>454</v>
      </c>
      <c r="I7" s="605" t="s">
        <v>455</v>
      </c>
      <c r="J7" s="604" t="s">
        <v>146</v>
      </c>
      <c r="L7" s="630" t="s">
        <v>146</v>
      </c>
      <c r="M7" s="414" t="s">
        <v>1267</v>
      </c>
      <c r="N7" s="414" t="s">
        <v>201</v>
      </c>
      <c r="O7" s="414" t="s">
        <v>451</v>
      </c>
      <c r="P7" s="414" t="s">
        <v>212</v>
      </c>
      <c r="Q7" s="414" t="s">
        <v>1266</v>
      </c>
      <c r="R7" s="414" t="s">
        <v>453</v>
      </c>
      <c r="S7" s="414" t="s">
        <v>454</v>
      </c>
      <c r="T7" s="414" t="s">
        <v>455</v>
      </c>
      <c r="U7" s="414" t="s">
        <v>1257</v>
      </c>
      <c r="V7" s="412" t="s">
        <v>1256</v>
      </c>
      <c r="W7" s="412" t="s">
        <v>1256</v>
      </c>
      <c r="X7" s="412" t="s">
        <v>1256</v>
      </c>
      <c r="Y7" s="412" t="s">
        <v>1256</v>
      </c>
      <c r="Z7" s="412" t="s">
        <v>1256</v>
      </c>
      <c r="AA7" s="412" t="s">
        <v>1256</v>
      </c>
      <c r="AB7" s="412" t="s">
        <v>1256</v>
      </c>
      <c r="AC7" s="412" t="s">
        <v>1256</v>
      </c>
      <c r="AD7" s="412" t="s">
        <v>1256</v>
      </c>
      <c r="AE7" s="412" t="s">
        <v>1256</v>
      </c>
      <c r="AF7" s="412" t="s">
        <v>1265</v>
      </c>
      <c r="AG7" s="412" t="s">
        <v>63</v>
      </c>
    </row>
    <row r="8" spans="1:33" ht="12.75" customHeight="1" x14ac:dyDescent="0.2">
      <c r="B8" s="602" t="s">
        <v>493</v>
      </c>
      <c r="C8" s="602" t="s">
        <v>493</v>
      </c>
      <c r="D8" s="602" t="s">
        <v>493</v>
      </c>
      <c r="E8" s="602" t="s">
        <v>493</v>
      </c>
      <c r="F8" s="602" t="s">
        <v>493</v>
      </c>
      <c r="G8" s="602" t="s">
        <v>493</v>
      </c>
      <c r="H8" s="602" t="s">
        <v>493</v>
      </c>
      <c r="I8" s="602" t="s">
        <v>493</v>
      </c>
      <c r="J8" s="601" t="s">
        <v>493</v>
      </c>
      <c r="L8" s="414" t="s">
        <v>493</v>
      </c>
      <c r="M8" s="414" t="s">
        <v>493</v>
      </c>
      <c r="N8" s="414" t="s">
        <v>493</v>
      </c>
      <c r="O8" s="414" t="s">
        <v>493</v>
      </c>
      <c r="P8" s="414" t="s">
        <v>493</v>
      </c>
      <c r="Q8" s="414" t="s">
        <v>493</v>
      </c>
      <c r="R8" s="414" t="s">
        <v>493</v>
      </c>
      <c r="S8" s="414" t="s">
        <v>493</v>
      </c>
      <c r="T8" s="414" t="s">
        <v>493</v>
      </c>
      <c r="U8" s="411"/>
      <c r="V8" s="508" t="s">
        <v>62</v>
      </c>
      <c r="W8" s="508" t="s">
        <v>62</v>
      </c>
      <c r="X8" s="508" t="s">
        <v>62</v>
      </c>
      <c r="Y8" s="508" t="s">
        <v>62</v>
      </c>
      <c r="Z8" s="508" t="s">
        <v>62</v>
      </c>
      <c r="AA8" s="508" t="s">
        <v>62</v>
      </c>
      <c r="AB8" s="508" t="s">
        <v>62</v>
      </c>
      <c r="AC8" s="508" t="s">
        <v>62</v>
      </c>
      <c r="AD8" s="508" t="s">
        <v>62</v>
      </c>
      <c r="AE8" s="508" t="s">
        <v>62</v>
      </c>
      <c r="AF8" s="508" t="s">
        <v>62</v>
      </c>
      <c r="AG8" s="508"/>
    </row>
    <row r="9" spans="1:33" ht="12.75" customHeight="1" x14ac:dyDescent="0.2">
      <c r="A9" s="388" t="s">
        <v>183</v>
      </c>
      <c r="B9" s="590"/>
      <c r="C9" s="432"/>
      <c r="D9" s="457"/>
      <c r="E9" s="432"/>
      <c r="F9" s="457"/>
      <c r="G9" s="432"/>
      <c r="H9" s="457"/>
      <c r="I9" s="432"/>
      <c r="J9" s="431"/>
      <c r="L9" s="584"/>
      <c r="M9" s="584"/>
      <c r="N9" s="584"/>
      <c r="O9" s="584"/>
      <c r="P9" s="584"/>
      <c r="Q9" s="584"/>
      <c r="R9" s="584"/>
      <c r="S9" s="584"/>
      <c r="T9" s="584"/>
      <c r="U9" s="584"/>
    </row>
    <row r="10" spans="1:33" ht="12.75" customHeight="1" x14ac:dyDescent="0.2">
      <c r="A10" s="549" t="str">
        <f>"At"&amp;Update!$B$20</f>
        <v>At 1 April 2025</v>
      </c>
      <c r="B10" s="432">
        <f>'alb Note 6.2 -  Intangibles PY'!B21</f>
        <v>0</v>
      </c>
      <c r="C10" s="432">
        <f>'alb Note 6.2 -  Intangibles PY'!C21</f>
        <v>0</v>
      </c>
      <c r="D10" s="432">
        <f>'alb Note 6.2 -  Intangibles PY'!D21</f>
        <v>0</v>
      </c>
      <c r="E10" s="432">
        <f>'alb Note 6.2 -  Intangibles PY'!E21</f>
        <v>0</v>
      </c>
      <c r="F10" s="432">
        <f>'alb Note 6.2 -  Intangibles PY'!F21</f>
        <v>0</v>
      </c>
      <c r="G10" s="432">
        <f>'alb Note 6.2 -  Intangibles PY'!G21</f>
        <v>0</v>
      </c>
      <c r="H10" s="432">
        <f>'alb Note 6.2 -  Intangibles PY'!H21</f>
        <v>0</v>
      </c>
      <c r="I10" s="432">
        <f>'alb Note 6.2 -  Intangibles PY'!I21</f>
        <v>0</v>
      </c>
      <c r="J10" s="431">
        <f t="shared" ref="J10:J21" si="0">SUM(B10:I10)</f>
        <v>0</v>
      </c>
      <c r="L10" s="590"/>
      <c r="M10" s="590"/>
      <c r="N10" s="590"/>
      <c r="O10" s="590"/>
      <c r="P10" s="590"/>
      <c r="Q10" s="590"/>
      <c r="R10" s="590"/>
      <c r="S10" s="590"/>
      <c r="T10" s="590"/>
      <c r="U10" s="432"/>
      <c r="V10" s="504"/>
      <c r="W10" s="504"/>
      <c r="X10" s="504"/>
      <c r="Y10" s="504"/>
      <c r="Z10" s="504"/>
      <c r="AA10" s="504"/>
      <c r="AB10" s="504"/>
      <c r="AC10" s="504"/>
      <c r="AD10" s="504"/>
      <c r="AE10" s="504"/>
      <c r="AF10" s="504"/>
      <c r="AG10" s="504"/>
    </row>
    <row r="11" spans="1:33" ht="12.75" customHeight="1" x14ac:dyDescent="0.2">
      <c r="A11" s="549" t="s">
        <v>184</v>
      </c>
      <c r="B11" s="439"/>
      <c r="C11" s="439"/>
      <c r="D11" s="439"/>
      <c r="E11" s="439"/>
      <c r="F11" s="439"/>
      <c r="G11" s="439"/>
      <c r="H11" s="439"/>
      <c r="I11" s="439"/>
      <c r="J11" s="432">
        <f>SUM(B11:I11)</f>
        <v>0</v>
      </c>
      <c r="L11" s="432">
        <f>SUM(M11:T11)</f>
        <v>0</v>
      </c>
      <c r="M11" s="617"/>
      <c r="N11" s="617"/>
      <c r="O11" s="617"/>
      <c r="P11" s="617"/>
      <c r="Q11" s="617"/>
      <c r="R11" s="617"/>
      <c r="S11" s="617"/>
      <c r="T11" s="617"/>
      <c r="U11" s="617"/>
      <c r="V11" s="409" t="str">
        <f>IF(J11&gt;=0,IF(L11&gt;=0,IF(J11&gt;=L11,"Ok ","Check size "),"Check sign"),IF(L11&gt;0,"Check sign ",IF(ABS(J11)&gt;=ABS(L11),"Ok ","Check size ")))</f>
        <v xml:space="preserve">Ok </v>
      </c>
      <c r="W11" s="409" t="str">
        <f t="shared" ref="W11:AE11" si="1">IF(B11&gt;=0,IF(M11&gt;=0,IF(B11&gt;=M11,"Ok ","Check size "),"Check sign"),IF(M11&gt;0,"Check sign ",IF(ABS(B11)&gt;=ABS(M11),"Ok ","Check size ")))</f>
        <v xml:space="preserve">Ok </v>
      </c>
      <c r="X11" s="409" t="str">
        <f t="shared" si="1"/>
        <v xml:space="preserve">Ok </v>
      </c>
      <c r="Y11" s="409" t="str">
        <f t="shared" si="1"/>
        <v xml:space="preserve">Ok </v>
      </c>
      <c r="Z11" s="409" t="str">
        <f t="shared" si="1"/>
        <v xml:space="preserve">Ok </v>
      </c>
      <c r="AA11" s="409" t="str">
        <f t="shared" si="1"/>
        <v xml:space="preserve">Ok </v>
      </c>
      <c r="AB11" s="409" t="str">
        <f t="shared" si="1"/>
        <v xml:space="preserve">Ok </v>
      </c>
      <c r="AC11" s="409" t="str">
        <f t="shared" si="1"/>
        <v xml:space="preserve">Ok </v>
      </c>
      <c r="AD11" s="409" t="str">
        <f t="shared" si="1"/>
        <v xml:space="preserve">Ok </v>
      </c>
      <c r="AE11" s="409" t="str">
        <f t="shared" si="1"/>
        <v xml:space="preserve">Ok </v>
      </c>
      <c r="AF11" s="626">
        <f>J11-L11</f>
        <v>0</v>
      </c>
      <c r="AG11" s="409" t="str">
        <f>IF(J11&gt;=0,IF(L11&gt;=0,IF(J11&gt;=L11,"Ok ","Check size "),"Check sign"),IF(L11&gt;0,"Check sign ",IF(ABS(J11)&gt;=ABS(L11),"Ok ","Check size ")))</f>
        <v xml:space="preserve">Ok </v>
      </c>
    </row>
    <row r="12" spans="1:33" ht="12.75" customHeight="1" x14ac:dyDescent="0.2">
      <c r="A12" s="544" t="s">
        <v>869</v>
      </c>
      <c r="B12" s="504">
        <f>SUM(B10:B11)</f>
        <v>0</v>
      </c>
      <c r="C12" s="504">
        <f t="shared" ref="C12:J12" si="2">SUM(C10:C11)</f>
        <v>0</v>
      </c>
      <c r="D12" s="504">
        <f t="shared" si="2"/>
        <v>0</v>
      </c>
      <c r="E12" s="504">
        <f t="shared" si="2"/>
        <v>0</v>
      </c>
      <c r="F12" s="504">
        <f t="shared" si="2"/>
        <v>0</v>
      </c>
      <c r="G12" s="504">
        <f t="shared" si="2"/>
        <v>0</v>
      </c>
      <c r="H12" s="504">
        <f t="shared" si="2"/>
        <v>0</v>
      </c>
      <c r="I12" s="504">
        <f t="shared" si="2"/>
        <v>0</v>
      </c>
      <c r="J12" s="504">
        <f t="shared" si="2"/>
        <v>0</v>
      </c>
      <c r="L12" s="432">
        <f t="shared" ref="L12:L21" si="3">SUM(M12:T12)</f>
        <v>0</v>
      </c>
      <c r="M12" s="590"/>
      <c r="N12" s="590"/>
      <c r="O12" s="590"/>
      <c r="P12" s="590"/>
      <c r="Q12" s="590"/>
      <c r="R12" s="590"/>
      <c r="S12" s="590"/>
      <c r="T12" s="590"/>
      <c r="U12" s="432"/>
      <c r="V12" s="504"/>
      <c r="W12" s="504"/>
      <c r="X12" s="504"/>
      <c r="Y12" s="504"/>
      <c r="Z12" s="504"/>
      <c r="AA12" s="504"/>
      <c r="AB12" s="504"/>
      <c r="AC12" s="504"/>
      <c r="AD12" s="504"/>
      <c r="AE12" s="504"/>
      <c r="AF12" s="504"/>
      <c r="AG12" s="504"/>
    </row>
    <row r="13" spans="1:33" ht="12.75" customHeight="1" x14ac:dyDescent="0.2">
      <c r="A13" s="443" t="s">
        <v>188</v>
      </c>
      <c r="B13" s="439"/>
      <c r="C13" s="439"/>
      <c r="D13" s="439"/>
      <c r="E13" s="439"/>
      <c r="F13" s="439"/>
      <c r="G13" s="439"/>
      <c r="H13" s="439"/>
      <c r="I13" s="439"/>
      <c r="J13" s="432">
        <f t="shared" si="0"/>
        <v>0</v>
      </c>
      <c r="L13" s="432">
        <f t="shared" si="3"/>
        <v>0</v>
      </c>
      <c r="M13" s="617"/>
      <c r="N13" s="617"/>
      <c r="O13" s="617"/>
      <c r="P13" s="617"/>
      <c r="Q13" s="617"/>
      <c r="R13" s="617"/>
      <c r="S13" s="617"/>
      <c r="T13" s="617"/>
      <c r="U13" s="617"/>
      <c r="V13" s="409" t="str">
        <f>IF(J13&gt;=0,IF(L13&gt;=0,IF(J13&gt;=L13,"Ok ","Check size "),"Check sign"),IF(L13&gt;0,"Check sign ",IF(ABS(J13)&gt;=ABS(L13),"Ok ","Check size ")))</f>
        <v xml:space="preserve">Ok </v>
      </c>
      <c r="W13" s="409" t="str">
        <f t="shared" ref="W13:W21" si="4">IF(B13&gt;=0,IF(M13&gt;=0,IF(B13&gt;=M13,"Ok ","Check size "),"Check sign"),IF(M13&gt;0,"Check sign ",IF(ABS(B13)&gt;=ABS(M13),"Ok ","Check size ")))</f>
        <v xml:space="preserve">Ok </v>
      </c>
      <c r="X13" s="409" t="str">
        <f t="shared" ref="X13:X21" si="5">IF(C13&gt;=0,IF(N13&gt;=0,IF(C13&gt;=N13,"Ok ","Check size "),"Check sign"),IF(N13&gt;0,"Check sign ",IF(ABS(C13)&gt;=ABS(N13),"Ok ","Check size ")))</f>
        <v xml:space="preserve">Ok </v>
      </c>
      <c r="Y13" s="409" t="str">
        <f t="shared" ref="Y13:Y21" si="6">IF(D13&gt;=0,IF(O13&gt;=0,IF(D13&gt;=O13,"Ok ","Check size "),"Check sign"),IF(O13&gt;0,"Check sign ",IF(ABS(D13)&gt;=ABS(O13),"Ok ","Check size ")))</f>
        <v xml:space="preserve">Ok </v>
      </c>
      <c r="Z13" s="409" t="str">
        <f t="shared" ref="Z13:Z21" si="7">IF(E13&gt;=0,IF(P13&gt;=0,IF(E13&gt;=P13,"Ok ","Check size "),"Check sign"),IF(P13&gt;0,"Check sign ",IF(ABS(E13)&gt;=ABS(P13),"Ok ","Check size ")))</f>
        <v xml:space="preserve">Ok </v>
      </c>
      <c r="AA13" s="409" t="str">
        <f t="shared" ref="AA13:AA21" si="8">IF(F13&gt;=0,IF(Q13&gt;=0,IF(F13&gt;=Q13,"Ok ","Check size "),"Check sign"),IF(Q13&gt;0,"Check sign ",IF(ABS(F13)&gt;=ABS(Q13),"Ok ","Check size ")))</f>
        <v xml:space="preserve">Ok </v>
      </c>
      <c r="AB13" s="409" t="str">
        <f t="shared" ref="AB13:AB21" si="9">IF(G13&gt;=0,IF(R13&gt;=0,IF(G13&gt;=R13,"Ok ","Check size "),"Check sign"),IF(R13&gt;0,"Check sign ",IF(ABS(G13)&gt;=ABS(R13),"Ok ","Check size ")))</f>
        <v xml:space="preserve">Ok </v>
      </c>
      <c r="AC13" s="409" t="str">
        <f t="shared" ref="AC13:AC21" si="10">IF(H13&gt;=0,IF(S13&gt;=0,IF(H13&gt;=S13,"Ok ","Check size "),"Check sign"),IF(S13&gt;0,"Check sign ",IF(ABS(H13)&gt;=ABS(S13),"Ok ","Check size ")))</f>
        <v xml:space="preserve">Ok </v>
      </c>
      <c r="AD13" s="409" t="str">
        <f t="shared" ref="AD13:AD21" si="11">IF(I13&gt;=0,IF(T13&gt;=0,IF(I13&gt;=T13,"Ok ","Check size "),"Check sign"),IF(T13&gt;0,"Check sign ",IF(ABS(I13)&gt;=ABS(T13),"Ok ","Check size ")))</f>
        <v xml:space="preserve">Ok </v>
      </c>
      <c r="AE13" s="409" t="str">
        <f t="shared" ref="AE13:AE21" si="12">IF(J13&gt;=0,IF(U13&gt;=0,IF(J13&gt;=U13,"Ok ","Check size "),"Check sign"),IF(U13&gt;0,"Check sign ",IF(ABS(J13)&gt;=ABS(U13),"Ok ","Check size ")))</f>
        <v xml:space="preserve">Ok </v>
      </c>
      <c r="AF13" s="626">
        <f t="shared" ref="AF13:AF21" si="13">J13-L13</f>
        <v>0</v>
      </c>
      <c r="AG13" s="409" t="str">
        <f t="shared" ref="AG13:AG21" si="14">IF(J13&gt;=0,IF(L13&gt;=0,IF(J13&gt;=L13,"Ok ","Check size "),"Check sign"),IF(L13&gt;0,"Check sign ",IF(ABS(J13)&gt;=ABS(L13),"Ok ","Check size ")))</f>
        <v xml:space="preserve">Ok </v>
      </c>
    </row>
    <row r="14" spans="1:33" x14ac:dyDescent="0.2">
      <c r="A14" s="443" t="s">
        <v>185</v>
      </c>
      <c r="B14" s="439"/>
      <c r="C14" s="439"/>
      <c r="D14" s="439"/>
      <c r="E14" s="439"/>
      <c r="F14" s="439"/>
      <c r="G14" s="439"/>
      <c r="H14" s="439"/>
      <c r="I14" s="439"/>
      <c r="J14" s="432">
        <f t="shared" si="0"/>
        <v>0</v>
      </c>
      <c r="L14" s="432">
        <f t="shared" si="3"/>
        <v>0</v>
      </c>
      <c r="M14" s="439"/>
      <c r="N14" s="439"/>
      <c r="O14" s="439"/>
      <c r="P14" s="439"/>
      <c r="Q14" s="439"/>
      <c r="R14" s="439"/>
      <c r="S14" s="439"/>
      <c r="T14" s="439"/>
      <c r="U14" s="439"/>
      <c r="V14" s="409" t="s">
        <v>1264</v>
      </c>
      <c r="W14" s="409" t="str">
        <f t="shared" si="4"/>
        <v xml:space="preserve">Ok </v>
      </c>
      <c r="X14" s="409" t="str">
        <f t="shared" si="5"/>
        <v xml:space="preserve">Ok </v>
      </c>
      <c r="Y14" s="409" t="str">
        <f t="shared" si="6"/>
        <v xml:space="preserve">Ok </v>
      </c>
      <c r="Z14" s="409" t="str">
        <f t="shared" si="7"/>
        <v xml:space="preserve">Ok </v>
      </c>
      <c r="AA14" s="409" t="str">
        <f t="shared" si="8"/>
        <v xml:space="preserve">Ok </v>
      </c>
      <c r="AB14" s="409" t="str">
        <f t="shared" si="9"/>
        <v xml:space="preserve">Ok </v>
      </c>
      <c r="AC14" s="409" t="str">
        <f t="shared" si="10"/>
        <v xml:space="preserve">Ok </v>
      </c>
      <c r="AD14" s="409" t="str">
        <f t="shared" si="11"/>
        <v xml:space="preserve">Ok </v>
      </c>
      <c r="AE14" s="409" t="str">
        <f t="shared" si="12"/>
        <v xml:space="preserve">Ok </v>
      </c>
      <c r="AF14" s="626">
        <f t="shared" si="13"/>
        <v>0</v>
      </c>
      <c r="AG14" s="409" t="str">
        <f t="shared" si="14"/>
        <v xml:space="preserve">Ok </v>
      </c>
    </row>
    <row r="15" spans="1:33" x14ac:dyDescent="0.2">
      <c r="A15" s="549" t="s">
        <v>437</v>
      </c>
      <c r="B15" s="439"/>
      <c r="C15" s="439"/>
      <c r="D15" s="439"/>
      <c r="E15" s="439"/>
      <c r="F15" s="439"/>
      <c r="G15" s="439"/>
      <c r="H15" s="439"/>
      <c r="I15" s="439"/>
      <c r="J15" s="432">
        <f t="shared" si="0"/>
        <v>0</v>
      </c>
      <c r="L15" s="432">
        <f t="shared" si="3"/>
        <v>0</v>
      </c>
      <c r="M15" s="439"/>
      <c r="N15" s="439"/>
      <c r="O15" s="439"/>
      <c r="P15" s="439"/>
      <c r="Q15" s="439"/>
      <c r="R15" s="439"/>
      <c r="S15" s="439"/>
      <c r="T15" s="439"/>
      <c r="U15" s="439"/>
      <c r="V15" s="409" t="str">
        <f t="shared" ref="V15:V21" si="15">IF(J15&gt;=0,IF(L15&gt;=0,IF(J15&gt;=L15,"Ok ","Check size "),"Check sign"),IF(L15&gt;0,"Check sign ",IF(ABS(J15)&gt;=ABS(L15),"Ok ","Check size ")))</f>
        <v xml:space="preserve">Ok </v>
      </c>
      <c r="W15" s="409" t="str">
        <f t="shared" si="4"/>
        <v xml:space="preserve">Ok </v>
      </c>
      <c r="X15" s="409" t="str">
        <f t="shared" si="5"/>
        <v xml:space="preserve">Ok </v>
      </c>
      <c r="Y15" s="409" t="str">
        <f t="shared" si="6"/>
        <v xml:space="preserve">Ok </v>
      </c>
      <c r="Z15" s="409" t="str">
        <f t="shared" si="7"/>
        <v xml:space="preserve">Ok </v>
      </c>
      <c r="AA15" s="409" t="str">
        <f t="shared" si="8"/>
        <v xml:space="preserve">Ok </v>
      </c>
      <c r="AB15" s="409" t="str">
        <f t="shared" si="9"/>
        <v xml:space="preserve">Ok </v>
      </c>
      <c r="AC15" s="409" t="str">
        <f t="shared" si="10"/>
        <v xml:space="preserve">Ok </v>
      </c>
      <c r="AD15" s="409" t="str">
        <f t="shared" si="11"/>
        <v xml:space="preserve">Ok </v>
      </c>
      <c r="AE15" s="409" t="str">
        <f t="shared" si="12"/>
        <v xml:space="preserve">Ok </v>
      </c>
      <c r="AF15" s="626">
        <f t="shared" si="13"/>
        <v>0</v>
      </c>
      <c r="AG15" s="409" t="str">
        <f t="shared" si="14"/>
        <v xml:space="preserve">Ok </v>
      </c>
    </row>
    <row r="16" spans="1:33" ht="12.75" customHeight="1" x14ac:dyDescent="0.2">
      <c r="A16" s="436" t="s">
        <v>187</v>
      </c>
      <c r="B16" s="439"/>
      <c r="C16" s="439"/>
      <c r="D16" s="439"/>
      <c r="E16" s="439"/>
      <c r="F16" s="439"/>
      <c r="G16" s="439"/>
      <c r="H16" s="439"/>
      <c r="I16" s="439"/>
      <c r="J16" s="432">
        <f t="shared" si="0"/>
        <v>0</v>
      </c>
      <c r="L16" s="432">
        <f t="shared" si="3"/>
        <v>0</v>
      </c>
      <c r="M16" s="439"/>
      <c r="N16" s="439"/>
      <c r="O16" s="439"/>
      <c r="P16" s="439"/>
      <c r="Q16" s="439"/>
      <c r="R16" s="439"/>
      <c r="S16" s="439"/>
      <c r="T16" s="439"/>
      <c r="U16" s="439"/>
      <c r="V16" s="409" t="str">
        <f t="shared" si="15"/>
        <v xml:space="preserve">Ok </v>
      </c>
      <c r="W16" s="409" t="str">
        <f t="shared" si="4"/>
        <v xml:space="preserve">Ok </v>
      </c>
      <c r="X16" s="409" t="str">
        <f t="shared" si="5"/>
        <v xml:space="preserve">Ok </v>
      </c>
      <c r="Y16" s="409" t="str">
        <f t="shared" si="6"/>
        <v xml:space="preserve">Ok </v>
      </c>
      <c r="Z16" s="409" t="str">
        <f t="shared" si="7"/>
        <v xml:space="preserve">Ok </v>
      </c>
      <c r="AA16" s="409" t="str">
        <f t="shared" si="8"/>
        <v xml:space="preserve">Ok </v>
      </c>
      <c r="AB16" s="409" t="str">
        <f t="shared" si="9"/>
        <v xml:space="preserve">Ok </v>
      </c>
      <c r="AC16" s="409" t="str">
        <f t="shared" si="10"/>
        <v xml:space="preserve">Ok </v>
      </c>
      <c r="AD16" s="409" t="str">
        <f t="shared" si="11"/>
        <v xml:space="preserve">Ok </v>
      </c>
      <c r="AE16" s="409" t="str">
        <f t="shared" si="12"/>
        <v xml:space="preserve">Ok </v>
      </c>
      <c r="AF16" s="626">
        <f t="shared" si="13"/>
        <v>0</v>
      </c>
      <c r="AG16" s="409" t="str">
        <f t="shared" si="14"/>
        <v xml:space="preserve">Ok </v>
      </c>
    </row>
    <row r="17" spans="1:33" ht="12.75" customHeight="1" x14ac:dyDescent="0.2">
      <c r="A17" s="436" t="s">
        <v>186</v>
      </c>
      <c r="B17" s="439"/>
      <c r="C17" s="439"/>
      <c r="D17" s="439"/>
      <c r="E17" s="439"/>
      <c r="F17" s="439"/>
      <c r="G17" s="439"/>
      <c r="H17" s="439"/>
      <c r="I17" s="439"/>
      <c r="J17" s="432">
        <f t="shared" si="0"/>
        <v>0</v>
      </c>
      <c r="L17" s="432">
        <f t="shared" si="3"/>
        <v>0</v>
      </c>
      <c r="M17" s="439"/>
      <c r="N17" s="439"/>
      <c r="O17" s="439"/>
      <c r="P17" s="439"/>
      <c r="Q17" s="439"/>
      <c r="R17" s="439"/>
      <c r="S17" s="439"/>
      <c r="T17" s="439"/>
      <c r="U17" s="439"/>
      <c r="V17" s="409" t="str">
        <f t="shared" si="15"/>
        <v xml:space="preserve">Ok </v>
      </c>
      <c r="W17" s="409" t="str">
        <f t="shared" si="4"/>
        <v xml:space="preserve">Ok </v>
      </c>
      <c r="X17" s="409" t="str">
        <f t="shared" si="5"/>
        <v xml:space="preserve">Ok </v>
      </c>
      <c r="Y17" s="409" t="str">
        <f t="shared" si="6"/>
        <v xml:space="preserve">Ok </v>
      </c>
      <c r="Z17" s="409" t="str">
        <f t="shared" si="7"/>
        <v xml:space="preserve">Ok </v>
      </c>
      <c r="AA17" s="409" t="str">
        <f t="shared" si="8"/>
        <v xml:space="preserve">Ok </v>
      </c>
      <c r="AB17" s="409" t="str">
        <f t="shared" si="9"/>
        <v xml:space="preserve">Ok </v>
      </c>
      <c r="AC17" s="409" t="str">
        <f t="shared" si="10"/>
        <v xml:space="preserve">Ok </v>
      </c>
      <c r="AD17" s="409" t="str">
        <f t="shared" si="11"/>
        <v xml:space="preserve">Ok </v>
      </c>
      <c r="AE17" s="409" t="str">
        <f t="shared" si="12"/>
        <v xml:space="preserve">Ok </v>
      </c>
      <c r="AF17" s="626">
        <f t="shared" si="13"/>
        <v>0</v>
      </c>
      <c r="AG17" s="409" t="str">
        <f t="shared" si="14"/>
        <v xml:space="preserve">Ok </v>
      </c>
    </row>
    <row r="18" spans="1:33" ht="12.75" customHeight="1" x14ac:dyDescent="0.2">
      <c r="A18" s="443" t="s">
        <v>557</v>
      </c>
      <c r="B18" s="439"/>
      <c r="C18" s="439"/>
      <c r="D18" s="439"/>
      <c r="E18" s="439"/>
      <c r="F18" s="439"/>
      <c r="G18" s="439"/>
      <c r="H18" s="439"/>
      <c r="I18" s="439"/>
      <c r="J18" s="432">
        <f t="shared" si="0"/>
        <v>0</v>
      </c>
      <c r="L18" s="432">
        <f t="shared" si="3"/>
        <v>0</v>
      </c>
      <c r="M18" s="439"/>
      <c r="N18" s="439"/>
      <c r="O18" s="439"/>
      <c r="P18" s="439"/>
      <c r="Q18" s="439"/>
      <c r="R18" s="439"/>
      <c r="S18" s="439"/>
      <c r="T18" s="439"/>
      <c r="U18" s="439"/>
      <c r="V18" s="409" t="str">
        <f t="shared" si="15"/>
        <v xml:space="preserve">Ok </v>
      </c>
      <c r="W18" s="409" t="str">
        <f t="shared" si="4"/>
        <v xml:space="preserve">Ok </v>
      </c>
      <c r="X18" s="409" t="str">
        <f t="shared" si="5"/>
        <v xml:space="preserve">Ok </v>
      </c>
      <c r="Y18" s="409" t="str">
        <f t="shared" si="6"/>
        <v xml:space="preserve">Ok </v>
      </c>
      <c r="Z18" s="409" t="str">
        <f t="shared" si="7"/>
        <v xml:space="preserve">Ok </v>
      </c>
      <c r="AA18" s="409" t="str">
        <f t="shared" si="8"/>
        <v xml:space="preserve">Ok </v>
      </c>
      <c r="AB18" s="409" t="str">
        <f t="shared" si="9"/>
        <v xml:space="preserve">Ok </v>
      </c>
      <c r="AC18" s="409" t="str">
        <f t="shared" si="10"/>
        <v xml:space="preserve">Ok </v>
      </c>
      <c r="AD18" s="409" t="str">
        <f t="shared" si="11"/>
        <v xml:space="preserve">Ok </v>
      </c>
      <c r="AE18" s="409" t="str">
        <f t="shared" si="12"/>
        <v xml:space="preserve">Ok </v>
      </c>
      <c r="AF18" s="626">
        <f t="shared" si="13"/>
        <v>0</v>
      </c>
      <c r="AG18" s="409" t="str">
        <f t="shared" si="14"/>
        <v xml:space="preserve">Ok </v>
      </c>
    </row>
    <row r="19" spans="1:33" ht="12.75" customHeight="1" x14ac:dyDescent="0.2">
      <c r="A19" s="549" t="s">
        <v>767</v>
      </c>
      <c r="B19" s="439"/>
      <c r="C19" s="439"/>
      <c r="D19" s="439"/>
      <c r="E19" s="439"/>
      <c r="F19" s="439"/>
      <c r="G19" s="439"/>
      <c r="H19" s="439"/>
      <c r="I19" s="439"/>
      <c r="J19" s="432">
        <f t="shared" si="0"/>
        <v>0</v>
      </c>
      <c r="L19" s="432">
        <f t="shared" si="3"/>
        <v>0</v>
      </c>
      <c r="M19" s="439"/>
      <c r="N19" s="439"/>
      <c r="O19" s="439"/>
      <c r="P19" s="439"/>
      <c r="Q19" s="439"/>
      <c r="R19" s="439"/>
      <c r="S19" s="439"/>
      <c r="T19" s="439"/>
      <c r="U19" s="439"/>
      <c r="V19" s="409" t="str">
        <f t="shared" si="15"/>
        <v xml:space="preserve">Ok </v>
      </c>
      <c r="W19" s="409" t="str">
        <f t="shared" si="4"/>
        <v xml:space="preserve">Ok </v>
      </c>
      <c r="X19" s="409" t="str">
        <f t="shared" si="5"/>
        <v xml:space="preserve">Ok </v>
      </c>
      <c r="Y19" s="409" t="str">
        <f t="shared" si="6"/>
        <v xml:space="preserve">Ok </v>
      </c>
      <c r="Z19" s="409" t="str">
        <f t="shared" si="7"/>
        <v xml:space="preserve">Ok </v>
      </c>
      <c r="AA19" s="409" t="str">
        <f t="shared" si="8"/>
        <v xml:space="preserve">Ok </v>
      </c>
      <c r="AB19" s="409" t="str">
        <f t="shared" si="9"/>
        <v xml:space="preserve">Ok </v>
      </c>
      <c r="AC19" s="409" t="str">
        <f t="shared" si="10"/>
        <v xml:space="preserve">Ok </v>
      </c>
      <c r="AD19" s="409" t="str">
        <f t="shared" si="11"/>
        <v xml:space="preserve">Ok </v>
      </c>
      <c r="AE19" s="409" t="str">
        <f t="shared" si="12"/>
        <v xml:space="preserve">Ok </v>
      </c>
      <c r="AF19" s="626">
        <f t="shared" si="13"/>
        <v>0</v>
      </c>
      <c r="AG19" s="409" t="str">
        <f t="shared" si="14"/>
        <v xml:space="preserve">Ok </v>
      </c>
    </row>
    <row r="20" spans="1:33" ht="12.75" customHeight="1" x14ac:dyDescent="0.2">
      <c r="A20" s="549" t="s">
        <v>768</v>
      </c>
      <c r="B20" s="439"/>
      <c r="C20" s="439"/>
      <c r="D20" s="439"/>
      <c r="E20" s="439"/>
      <c r="F20" s="439"/>
      <c r="G20" s="439"/>
      <c r="H20" s="439"/>
      <c r="I20" s="439"/>
      <c r="J20" s="432">
        <f t="shared" si="0"/>
        <v>0</v>
      </c>
      <c r="L20" s="432">
        <f t="shared" si="3"/>
        <v>0</v>
      </c>
      <c r="M20" s="439"/>
      <c r="N20" s="439"/>
      <c r="O20" s="439"/>
      <c r="P20" s="439"/>
      <c r="Q20" s="439"/>
      <c r="R20" s="439"/>
      <c r="S20" s="439"/>
      <c r="T20" s="439"/>
      <c r="U20" s="439"/>
      <c r="V20" s="409" t="str">
        <f t="shared" si="15"/>
        <v xml:space="preserve">Ok </v>
      </c>
      <c r="W20" s="409" t="str">
        <f t="shared" si="4"/>
        <v xml:space="preserve">Ok </v>
      </c>
      <c r="X20" s="409" t="str">
        <f t="shared" si="5"/>
        <v xml:space="preserve">Ok </v>
      </c>
      <c r="Y20" s="409" t="str">
        <f t="shared" si="6"/>
        <v xml:space="preserve">Ok </v>
      </c>
      <c r="Z20" s="409" t="str">
        <f t="shared" si="7"/>
        <v xml:space="preserve">Ok </v>
      </c>
      <c r="AA20" s="409" t="str">
        <f t="shared" si="8"/>
        <v xml:space="preserve">Ok </v>
      </c>
      <c r="AB20" s="409" t="str">
        <f t="shared" si="9"/>
        <v xml:space="preserve">Ok </v>
      </c>
      <c r="AC20" s="409" t="str">
        <f t="shared" si="10"/>
        <v xml:space="preserve">Ok </v>
      </c>
      <c r="AD20" s="409" t="str">
        <f t="shared" si="11"/>
        <v xml:space="preserve">Ok </v>
      </c>
      <c r="AE20" s="409" t="str">
        <f t="shared" si="12"/>
        <v xml:space="preserve">Ok </v>
      </c>
      <c r="AF20" s="626">
        <f t="shared" si="13"/>
        <v>0</v>
      </c>
      <c r="AG20" s="409" t="str">
        <f t="shared" si="14"/>
        <v xml:space="preserve">Ok </v>
      </c>
    </row>
    <row r="21" spans="1:33" ht="12.75" customHeight="1" x14ac:dyDescent="0.2">
      <c r="A21" s="549" t="s">
        <v>191</v>
      </c>
      <c r="B21" s="439"/>
      <c r="C21" s="439"/>
      <c r="D21" s="439"/>
      <c r="E21" s="439"/>
      <c r="F21" s="439"/>
      <c r="G21" s="439"/>
      <c r="H21" s="439"/>
      <c r="I21" s="439"/>
      <c r="J21" s="432">
        <f t="shared" si="0"/>
        <v>0</v>
      </c>
      <c r="L21" s="432">
        <f t="shared" si="3"/>
        <v>0</v>
      </c>
      <c r="M21" s="439"/>
      <c r="N21" s="439"/>
      <c r="O21" s="439"/>
      <c r="P21" s="439"/>
      <c r="Q21" s="439"/>
      <c r="R21" s="439"/>
      <c r="S21" s="439"/>
      <c r="T21" s="439"/>
      <c r="U21" s="439"/>
      <c r="V21" s="409" t="str">
        <f t="shared" si="15"/>
        <v xml:space="preserve">Ok </v>
      </c>
      <c r="W21" s="409" t="str">
        <f t="shared" si="4"/>
        <v xml:space="preserve">Ok </v>
      </c>
      <c r="X21" s="409" t="str">
        <f t="shared" si="5"/>
        <v xml:space="preserve">Ok </v>
      </c>
      <c r="Y21" s="409" t="str">
        <f t="shared" si="6"/>
        <v xml:space="preserve">Ok </v>
      </c>
      <c r="Z21" s="409" t="str">
        <f t="shared" si="7"/>
        <v xml:space="preserve">Ok </v>
      </c>
      <c r="AA21" s="409" t="str">
        <f t="shared" si="8"/>
        <v xml:space="preserve">Ok </v>
      </c>
      <c r="AB21" s="409" t="str">
        <f t="shared" si="9"/>
        <v xml:space="preserve">Ok </v>
      </c>
      <c r="AC21" s="409" t="str">
        <f t="shared" si="10"/>
        <v xml:space="preserve">Ok </v>
      </c>
      <c r="AD21" s="409" t="str">
        <f t="shared" si="11"/>
        <v xml:space="preserve">Ok </v>
      </c>
      <c r="AE21" s="409" t="str">
        <f t="shared" si="12"/>
        <v xml:space="preserve">Ok </v>
      </c>
      <c r="AF21" s="626">
        <f t="shared" si="13"/>
        <v>0</v>
      </c>
      <c r="AG21" s="409" t="str">
        <f t="shared" si="14"/>
        <v xml:space="preserve">Ok </v>
      </c>
    </row>
    <row r="22" spans="1:33" ht="12.75" customHeight="1" x14ac:dyDescent="0.2">
      <c r="A22" s="436"/>
      <c r="B22" s="432"/>
      <c r="C22" s="432"/>
      <c r="D22" s="432"/>
      <c r="E22" s="432"/>
      <c r="F22" s="432"/>
      <c r="G22" s="432"/>
      <c r="H22" s="432"/>
      <c r="I22" s="432"/>
      <c r="J22" s="432"/>
      <c r="L22" s="432"/>
      <c r="M22" s="432"/>
      <c r="N22" s="432"/>
      <c r="O22" s="432"/>
      <c r="P22" s="432"/>
      <c r="Q22" s="432"/>
      <c r="R22" s="432"/>
      <c r="S22" s="432"/>
      <c r="T22" s="432"/>
      <c r="U22" s="432"/>
      <c r="V22" s="624"/>
      <c r="W22" s="624"/>
      <c r="X22" s="624"/>
      <c r="Y22" s="624"/>
      <c r="Z22" s="624"/>
      <c r="AA22" s="624"/>
      <c r="AB22" s="624"/>
      <c r="AC22" s="624"/>
      <c r="AD22" s="624"/>
      <c r="AE22" s="624"/>
      <c r="AF22" s="624"/>
    </row>
    <row r="23" spans="1:33" ht="12.75" customHeight="1" thickBot="1" x14ac:dyDescent="0.25">
      <c r="A23" s="549" t="str">
        <f>"At"&amp;Update!$B$22</f>
        <v>At 31 March 2026</v>
      </c>
      <c r="B23" s="629">
        <f>SUM(B12:B21)</f>
        <v>0</v>
      </c>
      <c r="C23" s="629">
        <f t="shared" ref="C23:J23" si="16">SUM(C12:C21)</f>
        <v>0</v>
      </c>
      <c r="D23" s="629">
        <f t="shared" si="16"/>
        <v>0</v>
      </c>
      <c r="E23" s="629">
        <f t="shared" si="16"/>
        <v>0</v>
      </c>
      <c r="F23" s="629">
        <f t="shared" si="16"/>
        <v>0</v>
      </c>
      <c r="G23" s="629">
        <f t="shared" si="16"/>
        <v>0</v>
      </c>
      <c r="H23" s="629">
        <f t="shared" si="16"/>
        <v>0</v>
      </c>
      <c r="I23" s="629">
        <f t="shared" si="16"/>
        <v>0</v>
      </c>
      <c r="J23" s="629">
        <f t="shared" si="16"/>
        <v>0</v>
      </c>
      <c r="L23" s="629">
        <f>SUM(L10:L21)</f>
        <v>0</v>
      </c>
      <c r="M23" s="629"/>
      <c r="N23" s="629"/>
      <c r="O23" s="629"/>
      <c r="P23" s="629"/>
      <c r="Q23" s="629"/>
      <c r="R23" s="629"/>
      <c r="S23" s="629"/>
      <c r="T23" s="629"/>
      <c r="U23" s="629"/>
      <c r="V23" s="624"/>
      <c r="W23" s="624"/>
      <c r="X23" s="624"/>
      <c r="Y23" s="624"/>
      <c r="Z23" s="624"/>
      <c r="AA23" s="624"/>
      <c r="AB23" s="624"/>
      <c r="AC23" s="624"/>
      <c r="AD23" s="624"/>
      <c r="AE23" s="624"/>
      <c r="AF23" s="624"/>
    </row>
    <row r="24" spans="1:33" ht="12.75" customHeight="1" thickTop="1" x14ac:dyDescent="0.2">
      <c r="A24" s="388"/>
      <c r="B24" s="536"/>
      <c r="C24" s="536"/>
      <c r="D24" s="536"/>
      <c r="E24" s="536"/>
      <c r="F24" s="536"/>
      <c r="G24" s="536"/>
      <c r="H24" s="536"/>
      <c r="I24" s="536"/>
      <c r="J24" s="536"/>
      <c r="L24" s="536"/>
      <c r="M24" s="536"/>
      <c r="N24" s="536"/>
      <c r="O24" s="536"/>
      <c r="P24" s="536"/>
      <c r="Q24" s="536"/>
      <c r="R24" s="536"/>
      <c r="S24" s="536"/>
      <c r="T24" s="536"/>
      <c r="U24" s="586"/>
      <c r="V24" s="624"/>
      <c r="W24" s="624"/>
      <c r="X24" s="624"/>
      <c r="Y24" s="624"/>
      <c r="Z24" s="624"/>
      <c r="AA24" s="624"/>
      <c r="AB24" s="624"/>
      <c r="AC24" s="624"/>
      <c r="AD24" s="624"/>
      <c r="AE24" s="624"/>
      <c r="AF24" s="624"/>
    </row>
    <row r="25" spans="1:33" ht="12.75" customHeight="1" x14ac:dyDescent="0.2">
      <c r="A25" s="388" t="s">
        <v>161</v>
      </c>
      <c r="B25" s="457"/>
      <c r="C25" s="457"/>
      <c r="D25" s="457"/>
      <c r="E25" s="457"/>
      <c r="F25" s="457"/>
      <c r="G25" s="457"/>
      <c r="H25" s="457"/>
      <c r="I25" s="457"/>
      <c r="J25" s="457"/>
      <c r="L25" s="457"/>
      <c r="M25" s="457"/>
      <c r="N25" s="457"/>
      <c r="O25" s="457"/>
      <c r="P25" s="457"/>
      <c r="Q25" s="457"/>
      <c r="R25" s="457"/>
      <c r="S25" s="457"/>
      <c r="T25" s="457"/>
      <c r="U25" s="432"/>
      <c r="V25" s="624"/>
      <c r="W25" s="624"/>
      <c r="X25" s="624"/>
      <c r="Y25" s="624"/>
      <c r="Z25" s="624"/>
      <c r="AA25" s="624"/>
      <c r="AB25" s="624"/>
      <c r="AC25" s="624"/>
      <c r="AD25" s="624"/>
      <c r="AE25" s="624"/>
      <c r="AF25" s="624"/>
    </row>
    <row r="26" spans="1:33" ht="12.75" customHeight="1" x14ac:dyDescent="0.2">
      <c r="A26" s="397" t="str">
        <f>+A10&amp;" "</f>
        <v xml:space="preserve">At 1 April 2025 </v>
      </c>
      <c r="B26" s="584">
        <f>'alb Note 6.2 -  Intangibles PY'!B34</f>
        <v>0</v>
      </c>
      <c r="C26" s="584">
        <f>'alb Note 6.2 -  Intangibles PY'!C34</f>
        <v>0</v>
      </c>
      <c r="D26" s="584">
        <f>'alb Note 6.2 -  Intangibles PY'!D34</f>
        <v>0</v>
      </c>
      <c r="E26" s="584">
        <f>'alb Note 6.2 -  Intangibles PY'!E34</f>
        <v>0</v>
      </c>
      <c r="F26" s="584">
        <f>'alb Note 6.2 -  Intangibles PY'!F34</f>
        <v>0</v>
      </c>
      <c r="G26" s="584">
        <f>'alb Note 6.2 -  Intangibles PY'!G34</f>
        <v>0</v>
      </c>
      <c r="H26" s="584">
        <f>'alb Note 6.2 -  Intangibles PY'!H34</f>
        <v>0</v>
      </c>
      <c r="I26" s="584">
        <f>'alb Note 6.2 -  Intangibles PY'!I34</f>
        <v>0</v>
      </c>
      <c r="J26" s="584">
        <f t="shared" ref="J26:J36" si="17">SUM(B26:I26)</f>
        <v>0</v>
      </c>
      <c r="L26" s="584"/>
      <c r="M26" s="618"/>
      <c r="N26" s="585"/>
      <c r="O26" s="585"/>
      <c r="P26" s="585"/>
      <c r="Q26" s="585"/>
      <c r="R26" s="585"/>
      <c r="S26" s="585"/>
      <c r="T26" s="585"/>
      <c r="U26" s="598"/>
      <c r="V26" s="624"/>
      <c r="W26" s="624"/>
      <c r="X26" s="624"/>
      <c r="Y26" s="624"/>
      <c r="Z26" s="624"/>
      <c r="AA26" s="624"/>
      <c r="AB26" s="624"/>
      <c r="AC26" s="624"/>
      <c r="AD26" s="624"/>
      <c r="AE26" s="624"/>
      <c r="AF26" s="624"/>
    </row>
    <row r="27" spans="1:33" ht="12.75" customHeight="1" x14ac:dyDescent="0.2">
      <c r="A27" s="397" t="s">
        <v>435</v>
      </c>
      <c r="B27" s="439"/>
      <c r="C27" s="439"/>
      <c r="D27" s="439"/>
      <c r="E27" s="439"/>
      <c r="F27" s="439"/>
      <c r="G27" s="439"/>
      <c r="H27" s="439"/>
      <c r="I27" s="439"/>
      <c r="J27" s="432">
        <f>SUM(B27:I27)</f>
        <v>0</v>
      </c>
      <c r="L27" s="432">
        <f>SUM(M27:T27)</f>
        <v>0</v>
      </c>
      <c r="M27" s="1603"/>
      <c r="N27" s="563"/>
      <c r="O27" s="563"/>
      <c r="P27" s="563"/>
      <c r="Q27" s="563"/>
      <c r="R27" s="563"/>
      <c r="S27" s="563"/>
      <c r="T27" s="563"/>
      <c r="U27" s="1604"/>
      <c r="V27" s="409" t="str">
        <f>IF(J27&gt;=0,IF(L27&gt;=0,IF(J27&gt;=L27,"Ok ","Check size "),"Check sign"),IF(L27&gt;0,"Check sign ",IF(ABS(J27)&gt;=ABS(L27),"Ok ","Check size ")))</f>
        <v xml:space="preserve">Ok </v>
      </c>
      <c r="W27" s="409" t="str">
        <f t="shared" ref="W27:AE27" si="18">IF(B27&gt;=0,IF(M27&gt;=0,IF(B27&gt;=M27,"Ok ","Check size "),"Check sign"),IF(M27&gt;0,"Check sign ",IF(ABS(B27)&gt;=ABS(M27),"Ok ","Check size ")))</f>
        <v xml:space="preserve">Ok </v>
      </c>
      <c r="X27" s="409" t="str">
        <f t="shared" si="18"/>
        <v xml:space="preserve">Ok </v>
      </c>
      <c r="Y27" s="409" t="str">
        <f t="shared" si="18"/>
        <v xml:space="preserve">Ok </v>
      </c>
      <c r="Z27" s="409" t="str">
        <f t="shared" si="18"/>
        <v xml:space="preserve">Ok </v>
      </c>
      <c r="AA27" s="409" t="str">
        <f t="shared" si="18"/>
        <v xml:space="preserve">Ok </v>
      </c>
      <c r="AB27" s="409" t="str">
        <f t="shared" si="18"/>
        <v xml:space="preserve">Ok </v>
      </c>
      <c r="AC27" s="409" t="str">
        <f t="shared" si="18"/>
        <v xml:space="preserve">Ok </v>
      </c>
      <c r="AD27" s="409" t="str">
        <f t="shared" si="18"/>
        <v xml:space="preserve">Ok </v>
      </c>
      <c r="AE27" s="409" t="str">
        <f t="shared" si="18"/>
        <v xml:space="preserve">Ok </v>
      </c>
      <c r="AF27" s="626">
        <f>J27-L27</f>
        <v>0</v>
      </c>
      <c r="AG27" s="409" t="str">
        <f>IF(J27&gt;=0,IF(L27&gt;=0,IF(J27&gt;=L27,"Ok ","Check size "),"Check sign"),IF(L27&gt;0,"Check sign ",IF(ABS(J27)&gt;=ABS(L27),"Ok ","Check size ")))</f>
        <v xml:space="preserve">Ok </v>
      </c>
    </row>
    <row r="28" spans="1:33" ht="12.75" customHeight="1" x14ac:dyDescent="0.2">
      <c r="A28" s="569" t="s">
        <v>442</v>
      </c>
      <c r="B28" s="504">
        <f t="shared" ref="B28:J28" si="19">SUM(B26:B27)</f>
        <v>0</v>
      </c>
      <c r="C28" s="504">
        <f t="shared" si="19"/>
        <v>0</v>
      </c>
      <c r="D28" s="504">
        <f t="shared" si="19"/>
        <v>0</v>
      </c>
      <c r="E28" s="504">
        <f t="shared" si="19"/>
        <v>0</v>
      </c>
      <c r="F28" s="504">
        <f t="shared" si="19"/>
        <v>0</v>
      </c>
      <c r="G28" s="504">
        <f t="shared" si="19"/>
        <v>0</v>
      </c>
      <c r="H28" s="504">
        <f t="shared" si="19"/>
        <v>0</v>
      </c>
      <c r="I28" s="504">
        <f t="shared" si="19"/>
        <v>0</v>
      </c>
      <c r="J28" s="504">
        <f t="shared" si="19"/>
        <v>0</v>
      </c>
      <c r="L28" s="432"/>
      <c r="M28" s="584">
        <f>SUM(M26:M27)</f>
        <v>0</v>
      </c>
      <c r="N28" s="584">
        <f t="shared" ref="N28:T28" si="20">SUM(N26:N27)</f>
        <v>0</v>
      </c>
      <c r="O28" s="584">
        <f t="shared" si="20"/>
        <v>0</v>
      </c>
      <c r="P28" s="584">
        <f t="shared" si="20"/>
        <v>0</v>
      </c>
      <c r="Q28" s="584">
        <f t="shared" si="20"/>
        <v>0</v>
      </c>
      <c r="R28" s="584">
        <f t="shared" si="20"/>
        <v>0</v>
      </c>
      <c r="S28" s="584">
        <f t="shared" si="20"/>
        <v>0</v>
      </c>
      <c r="T28" s="584">
        <f t="shared" si="20"/>
        <v>0</v>
      </c>
      <c r="U28" s="584"/>
      <c r="V28" s="624"/>
      <c r="W28" s="624"/>
      <c r="X28" s="624"/>
      <c r="Y28" s="624"/>
      <c r="Z28" s="624"/>
      <c r="AA28" s="624"/>
      <c r="AB28" s="624"/>
      <c r="AC28" s="624"/>
      <c r="AD28" s="624"/>
      <c r="AE28" s="624"/>
      <c r="AF28" s="624"/>
    </row>
    <row r="29" spans="1:33" ht="12.75" customHeight="1" x14ac:dyDescent="0.2">
      <c r="A29" s="443" t="s">
        <v>868</v>
      </c>
      <c r="B29" s="439"/>
      <c r="C29" s="439"/>
      <c r="D29" s="439"/>
      <c r="E29" s="439"/>
      <c r="F29" s="439"/>
      <c r="G29" s="439"/>
      <c r="H29" s="439"/>
      <c r="I29" s="439"/>
      <c r="J29" s="432">
        <f t="shared" si="17"/>
        <v>0</v>
      </c>
      <c r="L29" s="432">
        <f t="shared" ref="L29:L36" si="21">SUM(M29:T29)</f>
        <v>0</v>
      </c>
      <c r="M29" s="617"/>
      <c r="N29" s="617"/>
      <c r="O29" s="617"/>
      <c r="P29" s="617"/>
      <c r="Q29" s="617"/>
      <c r="R29" s="617"/>
      <c r="S29" s="617"/>
      <c r="T29" s="617"/>
      <c r="U29" s="617"/>
      <c r="V29" s="409" t="str">
        <f t="shared" ref="V29:V36" si="22">IF(J29&gt;=0,IF(L29&gt;=0,IF(J29&gt;=L29,"Ok ","Check size "),"Check sign"),IF(L29&gt;0,"Check sign ",IF(ABS(J29)&gt;=ABS(L29),"Ok ","Check size ")))</f>
        <v xml:space="preserve">Ok </v>
      </c>
      <c r="W29" s="409" t="str">
        <f t="shared" ref="W29:AE36" si="23">IF(B29&gt;=0,IF(M29&gt;=0,IF(B29&gt;=M29,"Ok ","Check size "),"Check sign"),IF(M29&gt;0,"Check sign ",IF(ABS(B29)&gt;=ABS(M29),"Ok ","Check size ")))</f>
        <v xml:space="preserve">Ok </v>
      </c>
      <c r="X29" s="409" t="str">
        <f t="shared" si="23"/>
        <v xml:space="preserve">Ok </v>
      </c>
      <c r="Y29" s="409" t="str">
        <f t="shared" si="23"/>
        <v xml:space="preserve">Ok </v>
      </c>
      <c r="Z29" s="409" t="str">
        <f t="shared" si="23"/>
        <v xml:space="preserve">Ok </v>
      </c>
      <c r="AA29" s="409" t="str">
        <f t="shared" si="23"/>
        <v xml:space="preserve">Ok </v>
      </c>
      <c r="AB29" s="409" t="str">
        <f t="shared" si="23"/>
        <v xml:space="preserve">Ok </v>
      </c>
      <c r="AC29" s="409" t="str">
        <f t="shared" si="23"/>
        <v xml:space="preserve">Ok </v>
      </c>
      <c r="AD29" s="409" t="str">
        <f t="shared" si="23"/>
        <v xml:space="preserve">Ok </v>
      </c>
      <c r="AE29" s="409" t="str">
        <f t="shared" si="23"/>
        <v xml:space="preserve">Ok </v>
      </c>
      <c r="AF29" s="626">
        <f t="shared" ref="AF29:AF36" si="24">J29-L29</f>
        <v>0</v>
      </c>
      <c r="AG29" s="409" t="str">
        <f t="shared" ref="AG29:AG36" si="25">IF(J29&gt;=0,IF(L29&gt;=0,IF(J29&gt;=L29,"Ok ","Check size "),"Check sign"),IF(L29&gt;0,"Check sign ",IF(ABS(J29)&gt;=ABS(L29),"Ok ","Check size ")))</f>
        <v xml:space="preserve">Ok </v>
      </c>
    </row>
    <row r="30" spans="1:33" ht="12.75" customHeight="1" x14ac:dyDescent="0.2">
      <c r="A30" s="436" t="s">
        <v>867</v>
      </c>
      <c r="B30" s="439"/>
      <c r="C30" s="439"/>
      <c r="D30" s="439"/>
      <c r="E30" s="439"/>
      <c r="F30" s="439"/>
      <c r="G30" s="439"/>
      <c r="H30" s="439"/>
      <c r="I30" s="439"/>
      <c r="J30" s="432">
        <f t="shared" si="17"/>
        <v>0</v>
      </c>
      <c r="L30" s="432">
        <f t="shared" si="21"/>
        <v>0</v>
      </c>
      <c r="M30" s="439"/>
      <c r="N30" s="439"/>
      <c r="O30" s="439"/>
      <c r="P30" s="439"/>
      <c r="Q30" s="439"/>
      <c r="R30" s="439"/>
      <c r="S30" s="439"/>
      <c r="T30" s="439"/>
      <c r="U30" s="439"/>
      <c r="V30" s="409" t="str">
        <f t="shared" si="22"/>
        <v xml:space="preserve">Ok </v>
      </c>
      <c r="W30" s="409" t="str">
        <f t="shared" si="23"/>
        <v xml:space="preserve">Ok </v>
      </c>
      <c r="X30" s="409" t="str">
        <f t="shared" si="23"/>
        <v xml:space="preserve">Ok </v>
      </c>
      <c r="Y30" s="409" t="str">
        <f t="shared" si="23"/>
        <v xml:space="preserve">Ok </v>
      </c>
      <c r="Z30" s="409" t="str">
        <f t="shared" si="23"/>
        <v xml:space="preserve">Ok </v>
      </c>
      <c r="AA30" s="409" t="str">
        <f t="shared" si="23"/>
        <v xml:space="preserve">Ok </v>
      </c>
      <c r="AB30" s="409" t="str">
        <f t="shared" si="23"/>
        <v xml:space="preserve">Ok </v>
      </c>
      <c r="AC30" s="409" t="str">
        <f t="shared" si="23"/>
        <v xml:space="preserve">Ok </v>
      </c>
      <c r="AD30" s="409" t="str">
        <f t="shared" si="23"/>
        <v xml:space="preserve">Ok </v>
      </c>
      <c r="AE30" s="409" t="str">
        <f t="shared" si="23"/>
        <v xml:space="preserve">Ok </v>
      </c>
      <c r="AF30" s="626">
        <f t="shared" si="24"/>
        <v>0</v>
      </c>
      <c r="AG30" s="409" t="str">
        <f t="shared" si="25"/>
        <v xml:space="preserve">Ok </v>
      </c>
    </row>
    <row r="31" spans="1:33" ht="12.75" customHeight="1" x14ac:dyDescent="0.2">
      <c r="A31" s="443" t="s">
        <v>863</v>
      </c>
      <c r="B31" s="439"/>
      <c r="C31" s="439"/>
      <c r="D31" s="439"/>
      <c r="E31" s="439"/>
      <c r="F31" s="439"/>
      <c r="G31" s="439"/>
      <c r="H31" s="439"/>
      <c r="I31" s="439"/>
      <c r="J31" s="432">
        <f t="shared" si="17"/>
        <v>0</v>
      </c>
      <c r="L31" s="432">
        <f t="shared" si="21"/>
        <v>0</v>
      </c>
      <c r="M31" s="439"/>
      <c r="N31" s="439"/>
      <c r="O31" s="439"/>
      <c r="P31" s="439"/>
      <c r="Q31" s="439"/>
      <c r="R31" s="439"/>
      <c r="S31" s="439"/>
      <c r="T31" s="439"/>
      <c r="U31" s="439"/>
      <c r="V31" s="409" t="str">
        <f t="shared" si="22"/>
        <v xml:space="preserve">Ok </v>
      </c>
      <c r="W31" s="409" t="str">
        <f t="shared" si="23"/>
        <v xml:space="preserve">Ok </v>
      </c>
      <c r="X31" s="409" t="str">
        <f t="shared" si="23"/>
        <v xml:space="preserve">Ok </v>
      </c>
      <c r="Y31" s="409" t="str">
        <f t="shared" si="23"/>
        <v xml:space="preserve">Ok </v>
      </c>
      <c r="Z31" s="409" t="str">
        <f t="shared" si="23"/>
        <v xml:space="preserve">Ok </v>
      </c>
      <c r="AA31" s="409" t="str">
        <f t="shared" si="23"/>
        <v xml:space="preserve">Ok </v>
      </c>
      <c r="AB31" s="409" t="str">
        <f t="shared" si="23"/>
        <v xml:space="preserve">Ok </v>
      </c>
      <c r="AC31" s="409" t="str">
        <f t="shared" si="23"/>
        <v xml:space="preserve">Ok </v>
      </c>
      <c r="AD31" s="409" t="str">
        <f t="shared" si="23"/>
        <v xml:space="preserve">Ok </v>
      </c>
      <c r="AE31" s="409" t="str">
        <f t="shared" si="23"/>
        <v xml:space="preserve">Ok </v>
      </c>
      <c r="AF31" s="626">
        <f t="shared" si="24"/>
        <v>0</v>
      </c>
      <c r="AG31" s="409" t="str">
        <f t="shared" si="25"/>
        <v xml:space="preserve">Ok </v>
      </c>
    </row>
    <row r="32" spans="1:33" ht="12.75" customHeight="1" x14ac:dyDescent="0.2">
      <c r="A32" s="436" t="s">
        <v>870</v>
      </c>
      <c r="B32" s="439"/>
      <c r="C32" s="439"/>
      <c r="D32" s="439"/>
      <c r="E32" s="439"/>
      <c r="F32" s="439"/>
      <c r="G32" s="439"/>
      <c r="H32" s="439"/>
      <c r="I32" s="439"/>
      <c r="J32" s="432">
        <f t="shared" si="17"/>
        <v>0</v>
      </c>
      <c r="L32" s="432">
        <f t="shared" si="21"/>
        <v>0</v>
      </c>
      <c r="M32" s="439"/>
      <c r="N32" s="439"/>
      <c r="O32" s="439"/>
      <c r="P32" s="439"/>
      <c r="Q32" s="439"/>
      <c r="R32" s="439"/>
      <c r="S32" s="439"/>
      <c r="T32" s="439"/>
      <c r="U32" s="439"/>
      <c r="V32" s="409" t="str">
        <f t="shared" si="22"/>
        <v xml:space="preserve">Ok </v>
      </c>
      <c r="W32" s="409" t="str">
        <f t="shared" si="23"/>
        <v xml:space="preserve">Ok </v>
      </c>
      <c r="X32" s="409" t="str">
        <f t="shared" si="23"/>
        <v xml:space="preserve">Ok </v>
      </c>
      <c r="Y32" s="409" t="str">
        <f t="shared" si="23"/>
        <v xml:space="preserve">Ok </v>
      </c>
      <c r="Z32" s="409" t="str">
        <f t="shared" si="23"/>
        <v xml:space="preserve">Ok </v>
      </c>
      <c r="AA32" s="409" t="str">
        <f t="shared" si="23"/>
        <v xml:space="preserve">Ok </v>
      </c>
      <c r="AB32" s="409" t="str">
        <f t="shared" si="23"/>
        <v xml:space="preserve">Ok </v>
      </c>
      <c r="AC32" s="409" t="str">
        <f t="shared" si="23"/>
        <v xml:space="preserve">Ok </v>
      </c>
      <c r="AD32" s="409" t="str">
        <f t="shared" si="23"/>
        <v xml:space="preserve">Ok </v>
      </c>
      <c r="AE32" s="409" t="str">
        <f t="shared" si="23"/>
        <v xml:space="preserve">Ok </v>
      </c>
      <c r="AF32" s="626">
        <f t="shared" si="24"/>
        <v>0</v>
      </c>
      <c r="AG32" s="409" t="str">
        <f t="shared" si="25"/>
        <v xml:space="preserve">Ok </v>
      </c>
    </row>
    <row r="33" spans="1:33" ht="12.75" customHeight="1" x14ac:dyDescent="0.2">
      <c r="A33" s="549" t="s">
        <v>865</v>
      </c>
      <c r="B33" s="439"/>
      <c r="C33" s="439"/>
      <c r="D33" s="439"/>
      <c r="E33" s="439"/>
      <c r="F33" s="439"/>
      <c r="G33" s="439"/>
      <c r="H33" s="439"/>
      <c r="I33" s="439"/>
      <c r="J33" s="432">
        <f t="shared" si="17"/>
        <v>0</v>
      </c>
      <c r="L33" s="432">
        <f t="shared" si="21"/>
        <v>0</v>
      </c>
      <c r="M33" s="439"/>
      <c r="N33" s="439"/>
      <c r="O33" s="439"/>
      <c r="P33" s="439"/>
      <c r="Q33" s="439"/>
      <c r="R33" s="439"/>
      <c r="S33" s="439"/>
      <c r="T33" s="439"/>
      <c r="U33" s="439"/>
      <c r="V33" s="409" t="str">
        <f t="shared" si="22"/>
        <v xml:space="preserve">Ok </v>
      </c>
      <c r="W33" s="409" t="str">
        <f t="shared" si="23"/>
        <v xml:space="preserve">Ok </v>
      </c>
      <c r="X33" s="409" t="str">
        <f t="shared" si="23"/>
        <v xml:space="preserve">Ok </v>
      </c>
      <c r="Y33" s="409" t="str">
        <f t="shared" si="23"/>
        <v xml:space="preserve">Ok </v>
      </c>
      <c r="Z33" s="409" t="str">
        <f t="shared" si="23"/>
        <v xml:space="preserve">Ok </v>
      </c>
      <c r="AA33" s="409" t="str">
        <f t="shared" si="23"/>
        <v xml:space="preserve">Ok </v>
      </c>
      <c r="AB33" s="409" t="str">
        <f t="shared" si="23"/>
        <v xml:space="preserve">Ok </v>
      </c>
      <c r="AC33" s="409" t="str">
        <f t="shared" si="23"/>
        <v xml:space="preserve">Ok </v>
      </c>
      <c r="AD33" s="409" t="str">
        <f t="shared" si="23"/>
        <v xml:space="preserve">Ok </v>
      </c>
      <c r="AE33" s="409" t="str">
        <f t="shared" si="23"/>
        <v xml:space="preserve">Ok </v>
      </c>
      <c r="AF33" s="626">
        <f t="shared" si="24"/>
        <v>0</v>
      </c>
      <c r="AG33" s="409" t="str">
        <f t="shared" si="25"/>
        <v xml:space="preserve">Ok </v>
      </c>
    </row>
    <row r="34" spans="1:33" ht="12.75" customHeight="1" x14ac:dyDescent="0.2">
      <c r="A34" s="549" t="s">
        <v>864</v>
      </c>
      <c r="B34" s="439"/>
      <c r="C34" s="439"/>
      <c r="D34" s="439"/>
      <c r="E34" s="439"/>
      <c r="F34" s="439"/>
      <c r="G34" s="439"/>
      <c r="H34" s="439"/>
      <c r="I34" s="439"/>
      <c r="J34" s="432">
        <f t="shared" si="17"/>
        <v>0</v>
      </c>
      <c r="L34" s="432">
        <f t="shared" si="21"/>
        <v>0</v>
      </c>
      <c r="M34" s="439"/>
      <c r="N34" s="439"/>
      <c r="O34" s="439"/>
      <c r="P34" s="439"/>
      <c r="Q34" s="439"/>
      <c r="R34" s="439"/>
      <c r="S34" s="439"/>
      <c r="T34" s="439"/>
      <c r="U34" s="439"/>
      <c r="V34" s="409" t="str">
        <f t="shared" si="22"/>
        <v xml:space="preserve">Ok </v>
      </c>
      <c r="W34" s="409" t="str">
        <f t="shared" si="23"/>
        <v xml:space="preserve">Ok </v>
      </c>
      <c r="X34" s="409" t="str">
        <f t="shared" si="23"/>
        <v xml:space="preserve">Ok </v>
      </c>
      <c r="Y34" s="409" t="str">
        <f t="shared" si="23"/>
        <v xml:space="preserve">Ok </v>
      </c>
      <c r="Z34" s="409" t="str">
        <f t="shared" si="23"/>
        <v xml:space="preserve">Ok </v>
      </c>
      <c r="AA34" s="409" t="str">
        <f t="shared" si="23"/>
        <v xml:space="preserve">Ok </v>
      </c>
      <c r="AB34" s="409" t="str">
        <f t="shared" si="23"/>
        <v xml:space="preserve">Ok </v>
      </c>
      <c r="AC34" s="409" t="str">
        <f t="shared" si="23"/>
        <v xml:space="preserve">Ok </v>
      </c>
      <c r="AD34" s="409" t="str">
        <f t="shared" si="23"/>
        <v xml:space="preserve">Ok </v>
      </c>
      <c r="AE34" s="409" t="str">
        <f t="shared" si="23"/>
        <v xml:space="preserve">Ok </v>
      </c>
      <c r="AF34" s="626">
        <f t="shared" si="24"/>
        <v>0</v>
      </c>
      <c r="AG34" s="409" t="str">
        <f t="shared" si="25"/>
        <v xml:space="preserve">Ok </v>
      </c>
    </row>
    <row r="35" spans="1:33" ht="12.75" customHeight="1" x14ac:dyDescent="0.2">
      <c r="A35" s="549" t="s">
        <v>457</v>
      </c>
      <c r="B35" s="439"/>
      <c r="C35" s="439"/>
      <c r="D35" s="439"/>
      <c r="E35" s="439"/>
      <c r="F35" s="439"/>
      <c r="G35" s="439"/>
      <c r="H35" s="439"/>
      <c r="I35" s="439"/>
      <c r="J35" s="432">
        <f t="shared" si="17"/>
        <v>0</v>
      </c>
      <c r="L35" s="432">
        <f t="shared" si="21"/>
        <v>0</v>
      </c>
      <c r="M35" s="439"/>
      <c r="N35" s="439"/>
      <c r="O35" s="439"/>
      <c r="P35" s="439"/>
      <c r="Q35" s="439"/>
      <c r="R35" s="439"/>
      <c r="S35" s="439"/>
      <c r="T35" s="439"/>
      <c r="U35" s="439"/>
      <c r="V35" s="409" t="str">
        <f t="shared" si="22"/>
        <v xml:space="preserve">Ok </v>
      </c>
      <c r="W35" s="409" t="str">
        <f t="shared" si="23"/>
        <v xml:space="preserve">Ok </v>
      </c>
      <c r="X35" s="409" t="str">
        <f t="shared" si="23"/>
        <v xml:space="preserve">Ok </v>
      </c>
      <c r="Y35" s="409" t="str">
        <f t="shared" si="23"/>
        <v xml:space="preserve">Ok </v>
      </c>
      <c r="Z35" s="409" t="str">
        <f t="shared" si="23"/>
        <v xml:space="preserve">Ok </v>
      </c>
      <c r="AA35" s="409" t="str">
        <f t="shared" si="23"/>
        <v xml:space="preserve">Ok </v>
      </c>
      <c r="AB35" s="409" t="str">
        <f t="shared" si="23"/>
        <v xml:space="preserve">Ok </v>
      </c>
      <c r="AC35" s="409" t="str">
        <f t="shared" si="23"/>
        <v xml:space="preserve">Ok </v>
      </c>
      <c r="AD35" s="409" t="str">
        <f t="shared" si="23"/>
        <v xml:space="preserve">Ok </v>
      </c>
      <c r="AE35" s="409" t="str">
        <f t="shared" si="23"/>
        <v xml:space="preserve">Ok </v>
      </c>
      <c r="AF35" s="626">
        <f t="shared" si="24"/>
        <v>0</v>
      </c>
      <c r="AG35" s="409" t="str">
        <f t="shared" si="25"/>
        <v xml:space="preserve">Ok </v>
      </c>
    </row>
    <row r="36" spans="1:33" x14ac:dyDescent="0.2">
      <c r="A36" s="443" t="s">
        <v>190</v>
      </c>
      <c r="B36" s="1036"/>
      <c r="C36" s="439"/>
      <c r="D36" s="439"/>
      <c r="E36" s="439"/>
      <c r="F36" s="439"/>
      <c r="G36" s="439"/>
      <c r="H36" s="439"/>
      <c r="I36" s="439"/>
      <c r="J36" s="432">
        <f t="shared" si="17"/>
        <v>0</v>
      </c>
      <c r="L36" s="432">
        <f t="shared" si="21"/>
        <v>0</v>
      </c>
      <c r="M36" s="439"/>
      <c r="N36" s="439"/>
      <c r="O36" s="439"/>
      <c r="P36" s="439"/>
      <c r="Q36" s="439"/>
      <c r="R36" s="439"/>
      <c r="S36" s="439"/>
      <c r="T36" s="439"/>
      <c r="U36" s="439"/>
      <c r="V36" s="409" t="str">
        <f t="shared" si="22"/>
        <v xml:space="preserve">Ok </v>
      </c>
      <c r="W36" s="409" t="str">
        <f t="shared" si="23"/>
        <v xml:space="preserve">Ok </v>
      </c>
      <c r="X36" s="409" t="str">
        <f t="shared" si="23"/>
        <v xml:space="preserve">Ok </v>
      </c>
      <c r="Y36" s="409" t="str">
        <f t="shared" si="23"/>
        <v xml:space="preserve">Ok </v>
      </c>
      <c r="Z36" s="409" t="str">
        <f t="shared" si="23"/>
        <v xml:space="preserve">Ok </v>
      </c>
      <c r="AA36" s="409" t="str">
        <f t="shared" si="23"/>
        <v xml:space="preserve">Ok </v>
      </c>
      <c r="AB36" s="409" t="str">
        <f t="shared" si="23"/>
        <v xml:space="preserve">Ok </v>
      </c>
      <c r="AC36" s="409" t="str">
        <f t="shared" si="23"/>
        <v xml:space="preserve">Ok </v>
      </c>
      <c r="AD36" s="409" t="str">
        <f t="shared" si="23"/>
        <v xml:space="preserve">Ok </v>
      </c>
      <c r="AE36" s="409" t="str">
        <f t="shared" si="23"/>
        <v xml:space="preserve">Ok </v>
      </c>
      <c r="AF36" s="626">
        <f t="shared" si="24"/>
        <v>0</v>
      </c>
      <c r="AG36" s="409" t="str">
        <f t="shared" si="25"/>
        <v xml:space="preserve">Ok </v>
      </c>
    </row>
    <row r="37" spans="1:33" ht="12.75" customHeight="1" x14ac:dyDescent="0.2">
      <c r="A37" s="436"/>
      <c r="B37" s="434"/>
      <c r="C37" s="434"/>
      <c r="D37" s="434"/>
      <c r="E37" s="434"/>
      <c r="F37" s="434"/>
      <c r="G37" s="434"/>
      <c r="H37" s="434"/>
      <c r="I37" s="434"/>
      <c r="J37" s="434"/>
      <c r="L37" s="434"/>
      <c r="M37" s="434"/>
      <c r="N37" s="434"/>
      <c r="O37" s="434"/>
      <c r="P37" s="434"/>
      <c r="Q37" s="434"/>
      <c r="R37" s="434"/>
      <c r="S37" s="434"/>
      <c r="T37" s="434"/>
      <c r="U37" s="434"/>
      <c r="V37" s="624"/>
      <c r="W37" s="624"/>
      <c r="X37" s="624"/>
      <c r="Y37" s="624"/>
      <c r="Z37" s="624"/>
      <c r="AA37" s="624"/>
      <c r="AB37" s="624"/>
      <c r="AC37" s="624"/>
      <c r="AD37" s="624"/>
      <c r="AE37" s="624"/>
      <c r="AF37" s="624"/>
    </row>
    <row r="38" spans="1:33" ht="12.75" customHeight="1" thickBot="1" x14ac:dyDescent="0.25">
      <c r="A38" s="436" t="str">
        <f>+A23</f>
        <v>At 31 March 2026</v>
      </c>
      <c r="B38" s="592">
        <f>SUM(B28:B36)</f>
        <v>0</v>
      </c>
      <c r="C38" s="592">
        <f t="shared" ref="C38:J38" si="26">SUM(C28:C36)</f>
        <v>0</v>
      </c>
      <c r="D38" s="592">
        <f t="shared" si="26"/>
        <v>0</v>
      </c>
      <c r="E38" s="592">
        <f t="shared" si="26"/>
        <v>0</v>
      </c>
      <c r="F38" s="592">
        <f t="shared" si="26"/>
        <v>0</v>
      </c>
      <c r="G38" s="592">
        <f t="shared" si="26"/>
        <v>0</v>
      </c>
      <c r="H38" s="592">
        <f t="shared" si="26"/>
        <v>0</v>
      </c>
      <c r="I38" s="592">
        <f t="shared" si="26"/>
        <v>0</v>
      </c>
      <c r="J38" s="592">
        <f t="shared" si="26"/>
        <v>0</v>
      </c>
      <c r="L38" s="592">
        <f>SUM(L28:L36)</f>
        <v>0</v>
      </c>
      <c r="M38" s="592">
        <f>SUM(M28:M36)</f>
        <v>0</v>
      </c>
      <c r="N38" s="592">
        <f t="shared" ref="N38:T38" si="27">SUM(N28:N36)</f>
        <v>0</v>
      </c>
      <c r="O38" s="592">
        <f t="shared" si="27"/>
        <v>0</v>
      </c>
      <c r="P38" s="592">
        <f t="shared" si="27"/>
        <v>0</v>
      </c>
      <c r="Q38" s="592">
        <f t="shared" si="27"/>
        <v>0</v>
      </c>
      <c r="R38" s="592">
        <f t="shared" si="27"/>
        <v>0</v>
      </c>
      <c r="S38" s="592">
        <f t="shared" si="27"/>
        <v>0</v>
      </c>
      <c r="T38" s="592">
        <f t="shared" si="27"/>
        <v>0</v>
      </c>
      <c r="U38" s="592"/>
      <c r="V38" s="624"/>
      <c r="W38" s="624"/>
      <c r="X38" s="624"/>
      <c r="Y38" s="624"/>
      <c r="Z38" s="624"/>
      <c r="AA38" s="624"/>
      <c r="AB38" s="624"/>
      <c r="AC38" s="624"/>
      <c r="AD38" s="624"/>
      <c r="AE38" s="624"/>
      <c r="AF38" s="624"/>
    </row>
    <row r="39" spans="1:33" ht="12.75" customHeight="1" thickTop="1" x14ac:dyDescent="0.2">
      <c r="B39" s="628"/>
      <c r="C39" s="628"/>
      <c r="D39" s="628"/>
      <c r="E39" s="628"/>
      <c r="F39" s="628"/>
      <c r="G39" s="628"/>
      <c r="H39" s="628"/>
      <c r="I39" s="628"/>
      <c r="J39" s="628"/>
      <c r="L39" s="628"/>
      <c r="M39" s="628"/>
      <c r="N39" s="628"/>
      <c r="O39" s="628"/>
      <c r="P39" s="628"/>
      <c r="Q39" s="628"/>
      <c r="R39" s="628"/>
      <c r="S39" s="628"/>
      <c r="T39" s="628"/>
      <c r="U39" s="628"/>
      <c r="V39" s="624"/>
      <c r="W39" s="624"/>
      <c r="X39" s="624"/>
      <c r="Y39" s="624"/>
      <c r="Z39" s="624"/>
      <c r="AA39" s="624"/>
      <c r="AB39" s="624"/>
      <c r="AC39" s="624"/>
      <c r="AD39" s="624"/>
      <c r="AE39" s="624"/>
      <c r="AF39" s="624"/>
    </row>
    <row r="40" spans="1:33" ht="12.75" customHeight="1" x14ac:dyDescent="0.2">
      <c r="A40" s="536" t="s">
        <v>1254</v>
      </c>
      <c r="B40" s="432"/>
      <c r="C40" s="432"/>
      <c r="D40" s="432"/>
      <c r="E40" s="432"/>
      <c r="F40" s="432"/>
      <c r="G40" s="432"/>
      <c r="H40" s="432"/>
      <c r="I40" s="432"/>
      <c r="J40" s="432"/>
      <c r="L40" s="432"/>
      <c r="M40" s="432"/>
      <c r="N40" s="432"/>
      <c r="O40" s="432"/>
      <c r="P40" s="432"/>
      <c r="Q40" s="432"/>
      <c r="R40" s="432"/>
      <c r="S40" s="432"/>
      <c r="T40" s="432"/>
      <c r="U40" s="432"/>
      <c r="V40" s="624"/>
      <c r="W40" s="624"/>
      <c r="X40" s="624"/>
      <c r="Y40" s="624"/>
      <c r="Z40" s="624"/>
      <c r="AA40" s="624"/>
      <c r="AB40" s="624"/>
      <c r="AC40" s="624"/>
      <c r="AD40" s="624"/>
      <c r="AE40" s="624"/>
      <c r="AF40" s="624"/>
    </row>
    <row r="41" spans="1:33" ht="12.75" customHeight="1" thickBot="1" x14ac:dyDescent="0.25">
      <c r="A41" s="397" t="str">
        <f>+A38</f>
        <v>At 31 March 2026</v>
      </c>
      <c r="B41" s="592">
        <f t="shared" ref="B41:J41" si="28">+B23-B38</f>
        <v>0</v>
      </c>
      <c r="C41" s="592">
        <f t="shared" si="28"/>
        <v>0</v>
      </c>
      <c r="D41" s="592">
        <f t="shared" si="28"/>
        <v>0</v>
      </c>
      <c r="E41" s="592">
        <f t="shared" si="28"/>
        <v>0</v>
      </c>
      <c r="F41" s="592">
        <f t="shared" si="28"/>
        <v>0</v>
      </c>
      <c r="G41" s="592">
        <f t="shared" si="28"/>
        <v>0</v>
      </c>
      <c r="H41" s="592">
        <f t="shared" si="28"/>
        <v>0</v>
      </c>
      <c r="I41" s="592">
        <f t="shared" si="28"/>
        <v>0</v>
      </c>
      <c r="J41" s="592">
        <f t="shared" si="28"/>
        <v>0</v>
      </c>
      <c r="L41" s="592">
        <f>+L23-L38</f>
        <v>0</v>
      </c>
      <c r="M41" s="592">
        <f t="shared" ref="M41:T41" si="29">+M23-M38</f>
        <v>0</v>
      </c>
      <c r="N41" s="592">
        <f t="shared" si="29"/>
        <v>0</v>
      </c>
      <c r="O41" s="592">
        <f t="shared" si="29"/>
        <v>0</v>
      </c>
      <c r="P41" s="592">
        <f t="shared" si="29"/>
        <v>0</v>
      </c>
      <c r="Q41" s="592">
        <f t="shared" si="29"/>
        <v>0</v>
      </c>
      <c r="R41" s="592">
        <f t="shared" si="29"/>
        <v>0</v>
      </c>
      <c r="S41" s="592">
        <f t="shared" si="29"/>
        <v>0</v>
      </c>
      <c r="T41" s="592">
        <f t="shared" si="29"/>
        <v>0</v>
      </c>
      <c r="U41" s="592"/>
      <c r="V41" s="624"/>
      <c r="W41" s="624"/>
      <c r="X41" s="624"/>
      <c r="Y41" s="624"/>
      <c r="Z41" s="624"/>
      <c r="AA41" s="624"/>
      <c r="AB41" s="624"/>
      <c r="AC41" s="624"/>
      <c r="AD41" s="624"/>
      <c r="AE41" s="624"/>
      <c r="AF41" s="624"/>
    </row>
    <row r="42" spans="1:33" ht="12.75" customHeight="1" thickTop="1" x14ac:dyDescent="0.2">
      <c r="A42" s="627"/>
      <c r="B42" s="432"/>
      <c r="C42" s="432"/>
      <c r="D42" s="432"/>
      <c r="E42" s="432"/>
      <c r="F42" s="432"/>
      <c r="G42" s="432"/>
      <c r="H42" s="432"/>
      <c r="I42" s="432"/>
      <c r="J42" s="432"/>
      <c r="L42" s="432"/>
      <c r="M42" s="432"/>
      <c r="N42" s="432"/>
      <c r="O42" s="432"/>
      <c r="P42" s="432"/>
      <c r="Q42" s="432"/>
      <c r="R42" s="432"/>
      <c r="S42" s="432"/>
      <c r="T42" s="432"/>
      <c r="U42" s="432"/>
      <c r="V42" s="624"/>
      <c r="W42" s="624"/>
      <c r="X42" s="624"/>
      <c r="Y42" s="624"/>
      <c r="Z42" s="624"/>
      <c r="AA42" s="624"/>
      <c r="AB42" s="624"/>
      <c r="AC42" s="624"/>
      <c r="AD42" s="624"/>
      <c r="AE42" s="624"/>
      <c r="AF42" s="624"/>
    </row>
    <row r="43" spans="1:33" ht="12.75" customHeight="1" thickBot="1" x14ac:dyDescent="0.25">
      <c r="A43" s="549" t="str">
        <f>"At"&amp;Update!$B$24</f>
        <v>At 31 March 2025</v>
      </c>
      <c r="B43" s="583">
        <f t="shared" ref="B43:J43" si="30">B10-B26</f>
        <v>0</v>
      </c>
      <c r="C43" s="583">
        <f t="shared" si="30"/>
        <v>0</v>
      </c>
      <c r="D43" s="583">
        <f t="shared" si="30"/>
        <v>0</v>
      </c>
      <c r="E43" s="583">
        <f t="shared" si="30"/>
        <v>0</v>
      </c>
      <c r="F43" s="583">
        <f t="shared" si="30"/>
        <v>0</v>
      </c>
      <c r="G43" s="583">
        <f t="shared" si="30"/>
        <v>0</v>
      </c>
      <c r="H43" s="583">
        <f t="shared" si="30"/>
        <v>0</v>
      </c>
      <c r="I43" s="583">
        <f t="shared" si="30"/>
        <v>0</v>
      </c>
      <c r="J43" s="583">
        <f t="shared" si="30"/>
        <v>0</v>
      </c>
      <c r="L43" s="583">
        <f>L10-L26</f>
        <v>0</v>
      </c>
      <c r="M43" s="583">
        <f t="shared" ref="M43:T43" si="31">M10-M26</f>
        <v>0</v>
      </c>
      <c r="N43" s="583">
        <f t="shared" si="31"/>
        <v>0</v>
      </c>
      <c r="O43" s="583">
        <f t="shared" si="31"/>
        <v>0</v>
      </c>
      <c r="P43" s="583">
        <f t="shared" si="31"/>
        <v>0</v>
      </c>
      <c r="Q43" s="583">
        <f t="shared" si="31"/>
        <v>0</v>
      </c>
      <c r="R43" s="583">
        <f t="shared" si="31"/>
        <v>0</v>
      </c>
      <c r="S43" s="583">
        <f t="shared" si="31"/>
        <v>0</v>
      </c>
      <c r="T43" s="583">
        <f t="shared" si="31"/>
        <v>0</v>
      </c>
      <c r="U43" s="583"/>
      <c r="V43" s="624"/>
      <c r="W43" s="624"/>
      <c r="X43" s="624"/>
      <c r="Y43" s="624"/>
      <c r="Z43" s="624"/>
      <c r="AA43" s="624"/>
      <c r="AB43" s="624"/>
      <c r="AC43" s="624"/>
      <c r="AD43" s="624"/>
      <c r="AE43" s="624"/>
      <c r="AF43" s="624"/>
    </row>
    <row r="44" spans="1:33" ht="12.75" customHeight="1" thickTop="1" x14ac:dyDescent="0.2">
      <c r="B44" s="536"/>
      <c r="C44" s="536"/>
      <c r="D44" s="536"/>
      <c r="E44" s="536"/>
      <c r="F44" s="536"/>
      <c r="G44" s="536"/>
      <c r="H44" s="536"/>
      <c r="I44" s="536"/>
      <c r="J44" s="536"/>
      <c r="L44" s="536"/>
      <c r="M44" s="536"/>
      <c r="N44" s="536"/>
      <c r="O44" s="536"/>
      <c r="P44" s="536"/>
      <c r="Q44" s="536"/>
      <c r="R44" s="536"/>
      <c r="S44" s="536"/>
      <c r="T44" s="536"/>
      <c r="U44" s="586"/>
      <c r="V44" s="624"/>
      <c r="W44" s="624"/>
      <c r="X44" s="624"/>
      <c r="Y44" s="624"/>
      <c r="Z44" s="624"/>
      <c r="AA44" s="624"/>
      <c r="AB44" s="624"/>
      <c r="AC44" s="624"/>
      <c r="AD44" s="624"/>
      <c r="AE44" s="624"/>
      <c r="AF44" s="624"/>
    </row>
    <row r="45" spans="1:33" x14ac:dyDescent="0.2">
      <c r="A45" s="536" t="s">
        <v>1255</v>
      </c>
      <c r="B45" s="535"/>
      <c r="C45" s="535"/>
      <c r="D45" s="535"/>
      <c r="E45" s="535"/>
      <c r="F45" s="535"/>
      <c r="G45" s="535"/>
      <c r="H45" s="535"/>
      <c r="I45" s="535"/>
      <c r="J45" s="535"/>
      <c r="L45" s="535"/>
      <c r="M45" s="535"/>
      <c r="N45" s="535"/>
      <c r="O45" s="535"/>
      <c r="P45" s="535"/>
      <c r="Q45" s="535"/>
      <c r="R45" s="535"/>
      <c r="S45" s="535"/>
      <c r="T45" s="535"/>
      <c r="U45" s="434"/>
      <c r="V45" s="624"/>
      <c r="W45" s="624"/>
      <c r="X45" s="624"/>
      <c r="Y45" s="624"/>
      <c r="Z45" s="624"/>
      <c r="AA45" s="624"/>
      <c r="AB45" s="624"/>
      <c r="AC45" s="624"/>
      <c r="AD45" s="624"/>
      <c r="AE45" s="624"/>
      <c r="AF45" s="624"/>
    </row>
    <row r="46" spans="1:33" x14ac:dyDescent="0.2">
      <c r="A46" s="457" t="s">
        <v>197</v>
      </c>
      <c r="B46" s="432">
        <f t="shared" ref="B46:I46" si="32">B41-B47-B48-B49</f>
        <v>0</v>
      </c>
      <c r="C46" s="432">
        <f t="shared" si="32"/>
        <v>0</v>
      </c>
      <c r="D46" s="432">
        <f t="shared" si="32"/>
        <v>0</v>
      </c>
      <c r="E46" s="432">
        <f t="shared" si="32"/>
        <v>0</v>
      </c>
      <c r="F46" s="432">
        <f t="shared" si="32"/>
        <v>0</v>
      </c>
      <c r="G46" s="432">
        <f t="shared" si="32"/>
        <v>0</v>
      </c>
      <c r="H46" s="432">
        <f t="shared" si="32"/>
        <v>0</v>
      </c>
      <c r="I46" s="432">
        <f t="shared" si="32"/>
        <v>0</v>
      </c>
      <c r="J46" s="432">
        <f>SUM(B46:I46)</f>
        <v>0</v>
      </c>
      <c r="L46" s="432">
        <f>SUM(M46:T46)</f>
        <v>0</v>
      </c>
      <c r="M46" s="432">
        <f t="shared" ref="M46:T46" si="33">M41-M47-M48-M49</f>
        <v>0</v>
      </c>
      <c r="N46" s="432">
        <f t="shared" si="33"/>
        <v>0</v>
      </c>
      <c r="O46" s="432">
        <f t="shared" si="33"/>
        <v>0</v>
      </c>
      <c r="P46" s="432">
        <f t="shared" si="33"/>
        <v>0</v>
      </c>
      <c r="Q46" s="432">
        <f t="shared" si="33"/>
        <v>0</v>
      </c>
      <c r="R46" s="432">
        <f t="shared" si="33"/>
        <v>0</v>
      </c>
      <c r="S46" s="432">
        <f t="shared" si="33"/>
        <v>0</v>
      </c>
      <c r="T46" s="432">
        <f t="shared" si="33"/>
        <v>0</v>
      </c>
      <c r="U46" s="439"/>
      <c r="V46" s="409" t="str">
        <f>IF(J46&gt;=0,IF(L46&gt;=0,IF(J46&gt;=L46,"Ok ","Check size "),"Check sign"),IF(L46&gt;0,"Check sign ",IF(ABS(J46)&gt;=ABS(L46),"Ok ","Check size ")))</f>
        <v xml:space="preserve">Ok </v>
      </c>
      <c r="W46" s="409" t="str">
        <f t="shared" ref="W46:AE48" si="34">IF(B46&gt;=0,IF(M46&gt;=0,IF(B46&gt;=M46,"Ok ","Check size "),"Check sign"),IF(M46&gt;0,"Check sign ",IF(ABS(B46)&gt;=ABS(M46),"Ok ","Check size ")))</f>
        <v xml:space="preserve">Ok </v>
      </c>
      <c r="X46" s="409" t="str">
        <f t="shared" si="34"/>
        <v xml:space="preserve">Ok </v>
      </c>
      <c r="Y46" s="409" t="str">
        <f t="shared" si="34"/>
        <v xml:space="preserve">Ok </v>
      </c>
      <c r="Z46" s="409" t="str">
        <f t="shared" si="34"/>
        <v xml:space="preserve">Ok </v>
      </c>
      <c r="AA46" s="409" t="str">
        <f t="shared" si="34"/>
        <v xml:space="preserve">Ok </v>
      </c>
      <c r="AB46" s="409" t="str">
        <f t="shared" si="34"/>
        <v xml:space="preserve">Ok </v>
      </c>
      <c r="AC46" s="409" t="str">
        <f t="shared" si="34"/>
        <v xml:space="preserve">Ok </v>
      </c>
      <c r="AD46" s="409" t="str">
        <f t="shared" si="34"/>
        <v xml:space="preserve">Ok </v>
      </c>
      <c r="AE46" s="409" t="str">
        <f t="shared" si="34"/>
        <v xml:space="preserve">Ok </v>
      </c>
      <c r="AF46" s="626">
        <f>J46-L46</f>
        <v>0</v>
      </c>
      <c r="AG46" s="409" t="str">
        <f>IF(J46&gt;=0,IF(L46&gt;=0,IF(J46&gt;=L46,"Ok ","Check size "),"Check sign"),IF(L46&gt;0,"Check sign ",IF(ABS(J46)&gt;=ABS(L46),"Ok ","Check size ")))</f>
        <v xml:space="preserve">Ok </v>
      </c>
    </row>
    <row r="47" spans="1:33" x14ac:dyDescent="0.2">
      <c r="A47" s="457" t="s">
        <v>198</v>
      </c>
      <c r="B47" s="439"/>
      <c r="C47" s="439"/>
      <c r="D47" s="439"/>
      <c r="E47" s="439"/>
      <c r="F47" s="439"/>
      <c r="G47" s="439"/>
      <c r="H47" s="439"/>
      <c r="I47" s="439"/>
      <c r="J47" s="432">
        <f>SUM(B47:I47)</f>
        <v>0</v>
      </c>
      <c r="L47" s="432">
        <f>SUM(M47:T47)</f>
        <v>0</v>
      </c>
      <c r="M47" s="439"/>
      <c r="N47" s="439"/>
      <c r="O47" s="439"/>
      <c r="P47" s="439"/>
      <c r="Q47" s="439"/>
      <c r="R47" s="439"/>
      <c r="S47" s="439"/>
      <c r="T47" s="439"/>
      <c r="U47" s="439"/>
      <c r="V47" s="409" t="str">
        <f>IF(J47&gt;=0,IF(L47&gt;=0,IF(J47&gt;=L47,"Ok ","Check size "),"Check sign"),IF(L47&gt;0,"Check sign ",IF(ABS(J47)&gt;=ABS(L47),"Ok ","Check size ")))</f>
        <v xml:space="preserve">Ok </v>
      </c>
      <c r="W47" s="409" t="str">
        <f t="shared" si="34"/>
        <v xml:space="preserve">Ok </v>
      </c>
      <c r="X47" s="409" t="str">
        <f t="shared" si="34"/>
        <v xml:space="preserve">Ok </v>
      </c>
      <c r="Y47" s="409" t="str">
        <f t="shared" si="34"/>
        <v xml:space="preserve">Ok </v>
      </c>
      <c r="Z47" s="409" t="str">
        <f t="shared" si="34"/>
        <v xml:space="preserve">Ok </v>
      </c>
      <c r="AA47" s="409" t="str">
        <f t="shared" si="34"/>
        <v xml:space="preserve">Ok </v>
      </c>
      <c r="AB47" s="409" t="str">
        <f t="shared" si="34"/>
        <v xml:space="preserve">Ok </v>
      </c>
      <c r="AC47" s="409" t="str">
        <f t="shared" si="34"/>
        <v xml:space="preserve">Ok </v>
      </c>
      <c r="AD47" s="409" t="str">
        <f t="shared" si="34"/>
        <v xml:space="preserve">Ok </v>
      </c>
      <c r="AE47" s="409" t="str">
        <f t="shared" si="34"/>
        <v xml:space="preserve">Ok </v>
      </c>
      <c r="AF47" s="626">
        <f>J47-L47</f>
        <v>0</v>
      </c>
      <c r="AG47" s="409" t="str">
        <f>IF(J47&gt;=0,IF(L47&gt;=0,IF(J47&gt;=L47,"Ok ","Check size "),"Check sign"),IF(L47&gt;0,"Check sign ",IF(ABS(J47)&gt;=ABS(L47),"Ok ","Check size ")))</f>
        <v xml:space="preserve">Ok </v>
      </c>
    </row>
    <row r="48" spans="1:33" ht="30.4" customHeight="1" x14ac:dyDescent="0.2">
      <c r="A48" s="587" t="s">
        <v>769</v>
      </c>
      <c r="B48" s="439"/>
      <c r="C48" s="439"/>
      <c r="D48" s="439"/>
      <c r="E48" s="439"/>
      <c r="F48" s="439"/>
      <c r="G48" s="439"/>
      <c r="H48" s="439"/>
      <c r="I48" s="439"/>
      <c r="J48" s="432">
        <f>SUM(B48:I48)</f>
        <v>0</v>
      </c>
      <c r="L48" s="432">
        <f>SUM(M48:T48)</f>
        <v>0</v>
      </c>
      <c r="M48" s="439"/>
      <c r="N48" s="439"/>
      <c r="O48" s="439"/>
      <c r="P48" s="439"/>
      <c r="Q48" s="439"/>
      <c r="R48" s="439"/>
      <c r="S48" s="439"/>
      <c r="T48" s="439"/>
      <c r="U48" s="439"/>
      <c r="V48" s="409" t="str">
        <f>IF(J48&gt;=0,IF(L48&gt;=0,IF(J48&gt;=L48,"Ok ","Check size "),"Check sign"),IF(L48&gt;0,"Check sign ",IF(ABS(J48)&gt;=ABS(L48),"Ok ","Check size ")))</f>
        <v xml:space="preserve">Ok </v>
      </c>
      <c r="W48" s="409" t="str">
        <f t="shared" si="34"/>
        <v xml:space="preserve">Ok </v>
      </c>
      <c r="X48" s="409" t="str">
        <f t="shared" si="34"/>
        <v xml:space="preserve">Ok </v>
      </c>
      <c r="Y48" s="409" t="str">
        <f t="shared" si="34"/>
        <v xml:space="preserve">Ok </v>
      </c>
      <c r="Z48" s="409" t="str">
        <f t="shared" si="34"/>
        <v xml:space="preserve">Ok </v>
      </c>
      <c r="AA48" s="409" t="str">
        <f t="shared" si="34"/>
        <v xml:space="preserve">Ok </v>
      </c>
      <c r="AB48" s="409" t="str">
        <f t="shared" si="34"/>
        <v xml:space="preserve">Ok </v>
      </c>
      <c r="AC48" s="409" t="str">
        <f t="shared" si="34"/>
        <v xml:space="preserve">Ok </v>
      </c>
      <c r="AD48" s="409" t="str">
        <f t="shared" si="34"/>
        <v xml:space="preserve">Ok </v>
      </c>
      <c r="AE48" s="409" t="str">
        <f t="shared" si="34"/>
        <v xml:space="preserve">Ok </v>
      </c>
      <c r="AF48" s="626">
        <f>J48-L48</f>
        <v>0</v>
      </c>
      <c r="AG48" s="409" t="str">
        <f>IF(J48&gt;=0,IF(L48&gt;=0,IF(J48&gt;=L48,"Ok ","Check size "),"Check sign"),IF(L48&gt;0,"Check sign ",IF(ABS(J48)&gt;=ABS(L48),"Ok ","Check size ")))</f>
        <v xml:space="preserve">Ok </v>
      </c>
    </row>
    <row r="49" spans="1:33" x14ac:dyDescent="0.2">
      <c r="A49" s="457" t="s">
        <v>1695</v>
      </c>
      <c r="B49" s="439"/>
      <c r="C49" s="439"/>
      <c r="D49" s="439"/>
      <c r="E49" s="439"/>
      <c r="F49" s="439"/>
      <c r="G49" s="439"/>
      <c r="H49" s="439"/>
      <c r="I49" s="439"/>
      <c r="J49" s="432">
        <f>SUM(B49:I49)</f>
        <v>0</v>
      </c>
      <c r="L49" s="432">
        <f>SUM(M49:T49)</f>
        <v>0</v>
      </c>
      <c r="M49" s="439"/>
      <c r="N49" s="439"/>
      <c r="O49" s="439"/>
      <c r="P49" s="439"/>
      <c r="Q49" s="439"/>
      <c r="R49" s="439"/>
      <c r="S49" s="439"/>
      <c r="T49" s="439"/>
      <c r="U49" s="439"/>
      <c r="V49" s="409" t="str">
        <f>IF(J49&gt;=0,IF(L49&gt;=0,IF(J49&gt;=L49,"Ok ","Check size "),"Check sign"),IF(L49&gt;0,"Check sign ",IF(ABS(J49)&gt;=ABS(L49),"Ok ","Check size ")))</f>
        <v xml:space="preserve">Ok </v>
      </c>
      <c r="W49" s="409" t="str">
        <f t="shared" ref="W49:AE49" si="35">IF(B49&gt;=0,IF(M49&gt;=0,IF(B49&gt;=M49,"Ok ","Check size "),"Check sign"),IF(M49&gt;0,"Check sign ",IF(ABS(B49)&gt;=ABS(M49),"Ok ","Check size ")))</f>
        <v xml:space="preserve">Ok </v>
      </c>
      <c r="X49" s="409" t="str">
        <f t="shared" si="35"/>
        <v xml:space="preserve">Ok </v>
      </c>
      <c r="Y49" s="409" t="str">
        <f t="shared" si="35"/>
        <v xml:space="preserve">Ok </v>
      </c>
      <c r="Z49" s="409" t="str">
        <f t="shared" si="35"/>
        <v xml:space="preserve">Ok </v>
      </c>
      <c r="AA49" s="409" t="str">
        <f t="shared" si="35"/>
        <v xml:space="preserve">Ok </v>
      </c>
      <c r="AB49" s="409" t="str">
        <f t="shared" si="35"/>
        <v xml:space="preserve">Ok </v>
      </c>
      <c r="AC49" s="409" t="str">
        <f t="shared" si="35"/>
        <v xml:space="preserve">Ok </v>
      </c>
      <c r="AD49" s="409" t="str">
        <f t="shared" si="35"/>
        <v xml:space="preserve">Ok </v>
      </c>
      <c r="AE49" s="409" t="str">
        <f t="shared" si="35"/>
        <v xml:space="preserve">Ok </v>
      </c>
      <c r="AF49" s="626">
        <f>J49-L49</f>
        <v>0</v>
      </c>
      <c r="AG49" s="409" t="str">
        <f>IF(J49&gt;=0,IF(L49&gt;=0,IF(J49&gt;=L49,"Ok ","Check size "),"Check sign"),IF(L49&gt;0,"Check sign ",IF(ABS(J49)&gt;=ABS(L49),"Ok ","Check size ")))</f>
        <v xml:space="preserve">Ok </v>
      </c>
    </row>
    <row r="50" spans="1:33" x14ac:dyDescent="0.2">
      <c r="A50" s="536" t="s">
        <v>1254</v>
      </c>
      <c r="B50" s="584"/>
      <c r="C50" s="584"/>
      <c r="D50" s="584"/>
      <c r="E50" s="584"/>
      <c r="F50" s="584"/>
      <c r="G50" s="584"/>
      <c r="H50" s="584"/>
      <c r="I50" s="584"/>
      <c r="J50" s="584"/>
      <c r="L50" s="584"/>
      <c r="M50" s="584"/>
      <c r="N50" s="584"/>
      <c r="O50" s="584"/>
      <c r="P50" s="584"/>
      <c r="Q50" s="584"/>
      <c r="R50" s="584"/>
      <c r="S50" s="584"/>
      <c r="T50" s="584"/>
      <c r="U50" s="584"/>
      <c r="V50" s="624"/>
      <c r="W50" s="624"/>
      <c r="X50" s="624"/>
      <c r="Y50" s="624"/>
      <c r="Z50" s="624"/>
      <c r="AA50" s="624"/>
      <c r="AB50" s="624"/>
      <c r="AC50" s="624"/>
      <c r="AD50" s="624"/>
      <c r="AE50" s="624"/>
      <c r="AF50" s="624"/>
    </row>
    <row r="51" spans="1:33" ht="13.5" thickBot="1" x14ac:dyDescent="0.25">
      <c r="A51" s="457" t="str">
        <f>A41</f>
        <v>At 31 March 2026</v>
      </c>
      <c r="B51" s="583">
        <f>SUM(B46:B49)</f>
        <v>0</v>
      </c>
      <c r="C51" s="583">
        <f>SUM(C46:C49)</f>
        <v>0</v>
      </c>
      <c r="D51" s="583">
        <f t="shared" ref="D51:I51" si="36">SUM(D46:D49)</f>
        <v>0</v>
      </c>
      <c r="E51" s="583">
        <f t="shared" si="36"/>
        <v>0</v>
      </c>
      <c r="F51" s="583">
        <f t="shared" si="36"/>
        <v>0</v>
      </c>
      <c r="G51" s="583">
        <f t="shared" si="36"/>
        <v>0</v>
      </c>
      <c r="H51" s="583">
        <f t="shared" si="36"/>
        <v>0</v>
      </c>
      <c r="I51" s="583">
        <f t="shared" si="36"/>
        <v>0</v>
      </c>
      <c r="J51" s="583">
        <f>SUM(J46:J49)</f>
        <v>0</v>
      </c>
      <c r="L51" s="583">
        <f t="shared" ref="L51:T51" si="37">SUM(L46:L49)</f>
        <v>0</v>
      </c>
      <c r="M51" s="583">
        <f t="shared" si="37"/>
        <v>0</v>
      </c>
      <c r="N51" s="583">
        <f t="shared" si="37"/>
        <v>0</v>
      </c>
      <c r="O51" s="583">
        <f t="shared" si="37"/>
        <v>0</v>
      </c>
      <c r="P51" s="583">
        <f t="shared" si="37"/>
        <v>0</v>
      </c>
      <c r="Q51" s="583">
        <f t="shared" si="37"/>
        <v>0</v>
      </c>
      <c r="R51" s="583">
        <f t="shared" si="37"/>
        <v>0</v>
      </c>
      <c r="S51" s="583">
        <f t="shared" si="37"/>
        <v>0</v>
      </c>
      <c r="T51" s="583">
        <f t="shared" si="37"/>
        <v>0</v>
      </c>
      <c r="U51" s="583"/>
      <c r="V51" s="409" t="str">
        <f>IF(J51&gt;=0,IF(L51&gt;=0,IF(J51&gt;=L51,"Ok ","Check size "),"Check sign"),IF(L51&gt;0,"Check sign ",IF(ABS(J51)&gt;=ABS(L51),"Ok ","Check size ")))</f>
        <v xml:space="preserve">Ok </v>
      </c>
      <c r="W51" s="409" t="str">
        <f t="shared" ref="W51:AE51" si="38">IF(B51&gt;=0,IF(M51&gt;=0,IF(B51&gt;=M51,"Ok ","Check size "),"Check sign"),IF(M51&gt;0,"Check sign ",IF(ABS(B51)&gt;=ABS(M51),"Ok ","Check size ")))</f>
        <v xml:space="preserve">Ok </v>
      </c>
      <c r="X51" s="409" t="str">
        <f t="shared" si="38"/>
        <v xml:space="preserve">Ok </v>
      </c>
      <c r="Y51" s="409" t="str">
        <f t="shared" si="38"/>
        <v xml:space="preserve">Ok </v>
      </c>
      <c r="Z51" s="409" t="str">
        <f t="shared" si="38"/>
        <v xml:space="preserve">Ok </v>
      </c>
      <c r="AA51" s="409" t="str">
        <f t="shared" si="38"/>
        <v xml:space="preserve">Ok </v>
      </c>
      <c r="AB51" s="409" t="str">
        <f t="shared" si="38"/>
        <v xml:space="preserve">Ok </v>
      </c>
      <c r="AC51" s="409" t="str">
        <f t="shared" si="38"/>
        <v xml:space="preserve">Ok </v>
      </c>
      <c r="AD51" s="409" t="str">
        <f t="shared" si="38"/>
        <v xml:space="preserve">Ok </v>
      </c>
      <c r="AE51" s="409" t="str">
        <f t="shared" si="38"/>
        <v xml:space="preserve">Ok </v>
      </c>
      <c r="AF51" s="626">
        <f>J51-L51</f>
        <v>0</v>
      </c>
      <c r="AG51" s="409" t="str">
        <f>IF(J51&gt;=0,IF(L51&gt;=0,IF(J51&gt;=L51,"Ok ","Check size "),"Check sign"),IF(L51&gt;0,"Check sign ",IF(ABS(J51)&gt;=ABS(L51),"Ok ","Check size ")))</f>
        <v xml:space="preserve">Ok </v>
      </c>
    </row>
    <row r="52" spans="1:33" ht="13.5" thickTop="1" x14ac:dyDescent="0.2">
      <c r="U52" s="625"/>
      <c r="V52" s="624"/>
      <c r="W52" s="624"/>
      <c r="X52" s="624"/>
      <c r="Y52" s="624"/>
      <c r="Z52" s="624"/>
      <c r="AA52" s="624"/>
      <c r="AB52" s="624"/>
      <c r="AC52" s="624"/>
      <c r="AD52" s="624"/>
      <c r="AE52" s="624"/>
      <c r="AF52" s="624"/>
    </row>
    <row r="53" spans="1:33" x14ac:dyDescent="0.2">
      <c r="A53" s="457"/>
      <c r="V53" s="624"/>
      <c r="W53" s="624"/>
      <c r="X53" s="624"/>
      <c r="Y53" s="624"/>
      <c r="Z53" s="624"/>
      <c r="AA53" s="624"/>
      <c r="AB53" s="624"/>
      <c r="AC53" s="624"/>
      <c r="AD53" s="624"/>
      <c r="AE53" s="624"/>
      <c r="AF53" s="624"/>
    </row>
    <row r="54" spans="1:33" x14ac:dyDescent="0.2">
      <c r="A54" s="457"/>
      <c r="B54" s="457"/>
      <c r="C54" s="457"/>
      <c r="D54" s="457"/>
      <c r="E54" s="457"/>
      <c r="F54" s="457"/>
      <c r="G54" s="457"/>
      <c r="H54" s="457"/>
      <c r="I54" s="457"/>
      <c r="L54" s="457"/>
      <c r="M54" s="457"/>
      <c r="N54" s="457"/>
      <c r="O54" s="457"/>
      <c r="P54" s="457"/>
      <c r="Q54" s="457"/>
      <c r="R54" s="457"/>
      <c r="S54" s="457"/>
      <c r="T54" s="457"/>
      <c r="V54" s="624"/>
      <c r="W54" s="624"/>
      <c r="X54" s="624"/>
      <c r="Y54" s="624"/>
      <c r="Z54" s="624"/>
      <c r="AA54" s="624"/>
      <c r="AB54" s="624"/>
      <c r="AC54" s="624"/>
      <c r="AD54" s="624"/>
      <c r="AE54" s="624"/>
      <c r="AF54" s="624"/>
    </row>
    <row r="55" spans="1:33" x14ac:dyDescent="0.2">
      <c r="A55" s="457"/>
      <c r="B55" s="457"/>
      <c r="C55" s="457"/>
      <c r="D55" s="457"/>
      <c r="E55" s="457"/>
      <c r="F55" s="457"/>
      <c r="G55" s="457"/>
      <c r="H55" s="457"/>
      <c r="I55" s="457"/>
      <c r="L55" s="457"/>
      <c r="M55" s="457"/>
      <c r="N55" s="457"/>
      <c r="O55" s="457"/>
      <c r="P55" s="457"/>
      <c r="Q55" s="457"/>
      <c r="R55" s="457"/>
      <c r="S55" s="457"/>
      <c r="T55" s="457"/>
      <c r="V55" s="624"/>
      <c r="W55" s="624"/>
      <c r="X55" s="624"/>
      <c r="Y55" s="624"/>
      <c r="Z55" s="624"/>
      <c r="AA55" s="624"/>
      <c r="AB55" s="624"/>
      <c r="AC55" s="624"/>
      <c r="AD55" s="624"/>
      <c r="AE55" s="624"/>
      <c r="AF55" s="624"/>
    </row>
    <row r="56" spans="1:33" x14ac:dyDescent="0.2">
      <c r="A56" s="959" t="s">
        <v>1716</v>
      </c>
      <c r="B56" s="498"/>
      <c r="C56" s="457"/>
      <c r="D56" s="457"/>
      <c r="E56" s="457"/>
      <c r="F56" s="457"/>
      <c r="G56" s="457"/>
      <c r="H56" s="457"/>
      <c r="I56" s="457"/>
      <c r="J56" s="457"/>
      <c r="L56" s="457"/>
      <c r="M56" s="457"/>
      <c r="N56" s="457"/>
      <c r="O56" s="457"/>
      <c r="P56" s="457"/>
      <c r="Q56" s="457"/>
      <c r="R56" s="457"/>
      <c r="S56" s="457"/>
      <c r="T56" s="457"/>
      <c r="V56" s="624"/>
      <c r="W56" s="624"/>
      <c r="X56" s="624"/>
      <c r="Y56" s="624"/>
      <c r="Z56" s="624"/>
      <c r="AA56" s="624"/>
      <c r="AB56" s="624"/>
      <c r="AC56" s="624"/>
      <c r="AD56" s="624"/>
      <c r="AE56" s="624"/>
      <c r="AF56" s="624"/>
    </row>
    <row r="57" spans="1:33" ht="25.5" x14ac:dyDescent="0.2">
      <c r="A57" s="960" t="s">
        <v>1720</v>
      </c>
      <c r="B57" s="659"/>
      <c r="C57" s="659"/>
      <c r="D57" s="659"/>
      <c r="E57" s="962" t="s">
        <v>1715</v>
      </c>
      <c r="F57" s="457"/>
      <c r="G57" s="457"/>
      <c r="H57" s="457"/>
      <c r="I57" s="457"/>
      <c r="J57" s="457"/>
      <c r="L57" s="457"/>
      <c r="M57" s="457"/>
      <c r="N57" s="457"/>
      <c r="O57" s="457"/>
      <c r="P57" s="457"/>
      <c r="Q57" s="457"/>
      <c r="R57" s="457"/>
      <c r="S57" s="457"/>
      <c r="T57" s="457"/>
      <c r="V57" s="624"/>
      <c r="W57" s="624"/>
      <c r="X57" s="624"/>
      <c r="Y57" s="624"/>
      <c r="Z57" s="624"/>
      <c r="AA57" s="624"/>
      <c r="AB57" s="624"/>
      <c r="AC57" s="624"/>
      <c r="AD57" s="624"/>
      <c r="AE57" s="624"/>
      <c r="AF57" s="624"/>
    </row>
    <row r="58" spans="1:33" x14ac:dyDescent="0.2">
      <c r="A58" s="961"/>
      <c r="B58" s="457"/>
      <c r="C58" s="457"/>
      <c r="D58" s="457"/>
      <c r="E58" s="963"/>
      <c r="F58" s="457"/>
      <c r="G58" s="457"/>
      <c r="H58" s="457"/>
      <c r="I58" s="457"/>
      <c r="J58" s="457"/>
      <c r="V58" s="624"/>
      <c r="W58" s="624"/>
      <c r="X58" s="624"/>
      <c r="Y58" s="624"/>
      <c r="Z58" s="624"/>
      <c r="AA58" s="624"/>
      <c r="AB58" s="624"/>
      <c r="AC58" s="624"/>
      <c r="AD58" s="624"/>
      <c r="AE58" s="624"/>
      <c r="AF58" s="624"/>
    </row>
    <row r="59" spans="1:33" x14ac:dyDescent="0.2">
      <c r="A59" s="682"/>
      <c r="B59" s="457"/>
      <c r="C59" s="457"/>
      <c r="D59" s="457"/>
      <c r="E59" s="964"/>
      <c r="F59" s="457"/>
      <c r="G59" s="457"/>
      <c r="H59" s="457"/>
      <c r="I59" s="457"/>
      <c r="J59" s="457"/>
    </row>
    <row r="60" spans="1:33" x14ac:dyDescent="0.2">
      <c r="A60" s="682"/>
      <c r="B60" s="457"/>
      <c r="C60" s="457"/>
      <c r="D60" s="457"/>
      <c r="E60" s="964"/>
      <c r="F60" s="457"/>
      <c r="G60" s="457"/>
      <c r="H60" s="457"/>
      <c r="I60" s="457"/>
      <c r="J60" s="457"/>
    </row>
    <row r="61" spans="1:33" x14ac:dyDescent="0.2">
      <c r="A61" s="682"/>
      <c r="B61" s="457"/>
      <c r="C61" s="457"/>
      <c r="D61" s="457"/>
      <c r="E61" s="964"/>
      <c r="F61" s="457"/>
      <c r="G61" s="457"/>
      <c r="H61" s="457"/>
      <c r="I61" s="457"/>
      <c r="J61" s="457"/>
    </row>
    <row r="62" spans="1:33" x14ac:dyDescent="0.2">
      <c r="A62" s="682"/>
      <c r="B62" s="457"/>
      <c r="C62" s="457"/>
      <c r="D62" s="457"/>
      <c r="E62" s="964"/>
      <c r="F62" s="457"/>
      <c r="G62" s="457"/>
      <c r="H62" s="457"/>
      <c r="I62" s="457"/>
      <c r="J62" s="457"/>
    </row>
    <row r="63" spans="1:33" x14ac:dyDescent="0.2">
      <c r="A63" s="682"/>
      <c r="B63" s="457"/>
      <c r="C63" s="457"/>
      <c r="D63" s="457"/>
      <c r="E63" s="964"/>
      <c r="F63" s="457"/>
      <c r="G63" s="457"/>
      <c r="H63" s="457"/>
      <c r="I63" s="457"/>
      <c r="J63" s="457"/>
    </row>
    <row r="64" spans="1:33" x14ac:dyDescent="0.2">
      <c r="A64" s="457"/>
      <c r="B64" s="457"/>
      <c r="C64" s="457"/>
      <c r="D64" s="457"/>
      <c r="E64" s="457"/>
      <c r="F64" s="457"/>
      <c r="G64" s="457"/>
      <c r="H64" s="457"/>
      <c r="I64" s="457"/>
      <c r="J64" s="457"/>
    </row>
    <row r="65" spans="1:10" x14ac:dyDescent="0.2">
      <c r="A65" s="457"/>
      <c r="B65" s="457"/>
      <c r="C65" s="457"/>
      <c r="D65" s="457"/>
      <c r="E65" s="457"/>
      <c r="F65" s="457"/>
      <c r="G65" s="457"/>
      <c r="H65" s="457"/>
      <c r="I65" s="457"/>
      <c r="J65" s="457"/>
    </row>
    <row r="66" spans="1:10" x14ac:dyDescent="0.2">
      <c r="A66" s="504" t="s">
        <v>1712</v>
      </c>
      <c r="B66" s="1912"/>
      <c r="C66" s="1913"/>
      <c r="D66" s="1913"/>
      <c r="E66" s="1913"/>
      <c r="F66" s="1913"/>
      <c r="G66" s="1913"/>
      <c r="H66" s="1913"/>
      <c r="I66" s="1914"/>
      <c r="J66" s="457"/>
    </row>
    <row r="67" spans="1:10" x14ac:dyDescent="0.2">
      <c r="A67" s="504" t="s">
        <v>1713</v>
      </c>
      <c r="B67" s="1912"/>
      <c r="C67" s="1913"/>
      <c r="D67" s="1913"/>
      <c r="E67" s="1913"/>
      <c r="F67" s="1913"/>
      <c r="G67" s="1913"/>
      <c r="H67" s="1913"/>
      <c r="I67" s="1914"/>
      <c r="J67" s="457"/>
    </row>
    <row r="68" spans="1:10" x14ac:dyDescent="0.2">
      <c r="A68" s="504" t="s">
        <v>1714</v>
      </c>
      <c r="B68" s="1912"/>
      <c r="C68" s="1913"/>
      <c r="D68" s="1913"/>
      <c r="E68" s="1913"/>
      <c r="F68" s="1913"/>
      <c r="G68" s="1913"/>
      <c r="H68" s="1913"/>
      <c r="I68" s="1914"/>
      <c r="J68" s="457"/>
    </row>
    <row r="69" spans="1:10" x14ac:dyDescent="0.2">
      <c r="A69" s="457"/>
      <c r="B69" s="457"/>
      <c r="C69" s="457"/>
      <c r="D69" s="457"/>
      <c r="E69" s="457"/>
      <c r="F69" s="457"/>
      <c r="G69" s="457"/>
      <c r="H69" s="457"/>
      <c r="I69" s="457"/>
      <c r="J69" s="457"/>
    </row>
    <row r="70" spans="1:10" x14ac:dyDescent="0.2">
      <c r="A70" s="457"/>
      <c r="B70" s="457"/>
      <c r="C70" s="457"/>
      <c r="D70" s="457"/>
      <c r="E70" s="457"/>
      <c r="F70" s="457"/>
      <c r="G70" s="457"/>
      <c r="H70" s="457"/>
      <c r="I70" s="457"/>
      <c r="J70" s="966" t="s">
        <v>493</v>
      </c>
    </row>
    <row r="71" spans="1:10" x14ac:dyDescent="0.2">
      <c r="A71" s="581" t="s">
        <v>1253</v>
      </c>
      <c r="B71" s="457"/>
      <c r="C71" s="457"/>
      <c r="D71" s="457"/>
      <c r="E71" s="457"/>
      <c r="F71" s="457"/>
      <c r="G71" s="457"/>
      <c r="H71" s="457"/>
      <c r="I71" s="457"/>
      <c r="J71" s="682"/>
    </row>
  </sheetData>
  <sheetProtection algorithmName="SHA-512" hashValue="M7sRsxiBl1h6IU/NcU6VEmKvMDi9fyC8bUoj4gCMibVS7EspEtwtXDqkEYz6Ae6Cdm+31ma25zDlwmou7kqhSw==" saltValue="hBfb04OJKwrYkTICsEz40g==" spinCount="100000" sheet="1" formatColumns="0" formatRows="0"/>
  <mergeCells count="3">
    <mergeCell ref="B66:I66"/>
    <mergeCell ref="B67:I67"/>
    <mergeCell ref="B68:I68"/>
  </mergeCells>
  <conditionalFormatting sqref="A3">
    <cfRule type="expression" dxfId="185" priority="18">
      <formula>CELL("Protect",A3)=0</formula>
    </cfRule>
  </conditionalFormatting>
  <conditionalFormatting sqref="A58:A63">
    <cfRule type="expression" dxfId="184" priority="13">
      <formula>CELL("Protect",A58)=0</formula>
    </cfRule>
  </conditionalFormatting>
  <conditionalFormatting sqref="B66:B68">
    <cfRule type="expression" dxfId="183" priority="10">
      <formula>CELL("Protect",B66)=0</formula>
    </cfRule>
  </conditionalFormatting>
  <conditionalFormatting sqref="B11:I11">
    <cfRule type="expression" dxfId="182" priority="6">
      <formula>CELL("Protect",B11)=0</formula>
    </cfRule>
  </conditionalFormatting>
  <conditionalFormatting sqref="B13:I21">
    <cfRule type="expression" dxfId="181" priority="76">
      <formula>CELL("Protect",B13)=0</formula>
    </cfRule>
  </conditionalFormatting>
  <conditionalFormatting sqref="B27:I27">
    <cfRule type="expression" dxfId="180" priority="3">
      <formula>CELL("Protect",B27)=0</formula>
    </cfRule>
  </conditionalFormatting>
  <conditionalFormatting sqref="B29:I36">
    <cfRule type="expression" dxfId="179" priority="7">
      <formula>CELL("Protect",B29)=0</formula>
    </cfRule>
  </conditionalFormatting>
  <conditionalFormatting sqref="B47:I49">
    <cfRule type="expression" dxfId="178" priority="22">
      <formula>CELL("Protect",B47)=0</formula>
    </cfRule>
  </conditionalFormatting>
  <conditionalFormatting sqref="D46:I46">
    <cfRule type="expression" dxfId="177" priority="55">
      <formula>CELL("Protect",D46)=0</formula>
    </cfRule>
  </conditionalFormatting>
  <conditionalFormatting sqref="E58:E63">
    <cfRule type="expression" dxfId="176" priority="9">
      <formula>CELL("Protect",E58)=0</formula>
    </cfRule>
  </conditionalFormatting>
  <conditionalFormatting sqref="J71">
    <cfRule type="expression" dxfId="175" priority="8">
      <formula>CELL("Protect",J71)=0</formula>
    </cfRule>
  </conditionalFormatting>
  <conditionalFormatting sqref="M46:T46">
    <cfRule type="expression" dxfId="174" priority="17">
      <formula>CELL("Protect",M46)=0</formula>
    </cfRule>
  </conditionalFormatting>
  <conditionalFormatting sqref="M11:U11">
    <cfRule type="expression" dxfId="173" priority="4">
      <formula>CELL("Protect",M11)=0</formula>
    </cfRule>
  </conditionalFormatting>
  <conditionalFormatting sqref="M13:U21">
    <cfRule type="expression" dxfId="172" priority="23">
      <formula>CELL("Protect",M13)=0</formula>
    </cfRule>
  </conditionalFormatting>
  <conditionalFormatting sqref="M27:U27">
    <cfRule type="expression" dxfId="171" priority="1">
      <formula>CELL("Protect",M27)=0</formula>
    </cfRule>
  </conditionalFormatting>
  <conditionalFormatting sqref="M29:U36">
    <cfRule type="expression" dxfId="170" priority="43">
      <formula>CELL("Protect",M29)=0</formula>
    </cfRule>
  </conditionalFormatting>
  <conditionalFormatting sqref="M47:U49">
    <cfRule type="expression" dxfId="169" priority="20">
      <formula>CELL("Protect",M47)=0</formula>
    </cfRule>
  </conditionalFormatting>
  <pageMargins left="0.74803149606299213" right="0.74803149606299213" top="0.59055118110236227" bottom="0.59055118110236227" header="0.51181102362204722" footer="0.51181102362204722"/>
  <pageSetup paperSize="9" scale="64"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FF"/>
    <pageSetUpPr fitToPage="1"/>
  </sheetPr>
  <dimension ref="A1:U97"/>
  <sheetViews>
    <sheetView topLeftCell="A8" zoomScaleNormal="100" workbookViewId="0">
      <selection activeCell="G5" sqref="G4:G5"/>
    </sheetView>
  </sheetViews>
  <sheetFormatPr defaultRowHeight="15" x14ac:dyDescent="0.25"/>
  <cols>
    <col min="1" max="1" width="5.140625" customWidth="1"/>
    <col min="2" max="2" width="65" customWidth="1"/>
    <col min="3" max="3" width="13" customWidth="1"/>
    <col min="4" max="4" width="14.42578125" bestFit="1" customWidth="1"/>
    <col min="5" max="5" width="19.42578125" bestFit="1" customWidth="1"/>
    <col min="6" max="6" width="15.5703125" bestFit="1" customWidth="1"/>
    <col min="7" max="7" width="5.7109375" customWidth="1"/>
    <col min="8" max="8" width="14.5703125" customWidth="1"/>
    <col min="9" max="9" width="10" customWidth="1"/>
    <col min="10" max="11" width="9.140625" customWidth="1"/>
    <col min="17" max="17" width="9.85546875" bestFit="1" customWidth="1"/>
    <col min="18" max="18" width="10.85546875" bestFit="1" customWidth="1"/>
    <col min="19" max="19" width="9.7109375" bestFit="1" customWidth="1"/>
    <col min="250" max="250" width="5.140625" customWidth="1"/>
    <col min="251" max="251" width="65" customWidth="1"/>
    <col min="252" max="252" width="13" customWidth="1"/>
    <col min="253" max="253" width="12.42578125" bestFit="1" customWidth="1"/>
    <col min="254" max="254" width="14.42578125" bestFit="1" customWidth="1"/>
    <col min="255" max="255" width="15.5703125" bestFit="1" customWidth="1"/>
    <col min="256" max="256" width="5.7109375" customWidth="1"/>
    <col min="257" max="257" width="14.5703125" customWidth="1"/>
    <col min="258" max="258" width="10" customWidth="1"/>
    <col min="506" max="506" width="5.140625" customWidth="1"/>
    <col min="507" max="507" width="65" customWidth="1"/>
    <col min="508" max="508" width="13" customWidth="1"/>
    <col min="509" max="509" width="12.42578125" bestFit="1" customWidth="1"/>
    <col min="510" max="510" width="14.42578125" bestFit="1" customWidth="1"/>
    <col min="511" max="511" width="15.5703125" bestFit="1" customWidth="1"/>
    <col min="512" max="512" width="5.7109375" customWidth="1"/>
    <col min="513" max="513" width="14.5703125" customWidth="1"/>
    <col min="514" max="514" width="10" customWidth="1"/>
    <col min="762" max="762" width="5.140625" customWidth="1"/>
    <col min="763" max="763" width="65" customWidth="1"/>
    <col min="764" max="764" width="13" customWidth="1"/>
    <col min="765" max="765" width="12.42578125" bestFit="1" customWidth="1"/>
    <col min="766" max="766" width="14.42578125" bestFit="1" customWidth="1"/>
    <col min="767" max="767" width="15.5703125" bestFit="1" customWidth="1"/>
    <col min="768" max="768" width="5.7109375" customWidth="1"/>
    <col min="769" max="769" width="14.5703125" customWidth="1"/>
    <col min="770" max="770" width="10" customWidth="1"/>
    <col min="1018" max="1018" width="5.140625" customWidth="1"/>
    <col min="1019" max="1019" width="65" customWidth="1"/>
    <col min="1020" max="1020" width="13" customWidth="1"/>
    <col min="1021" max="1021" width="12.42578125" bestFit="1" customWidth="1"/>
    <col min="1022" max="1022" width="14.42578125" bestFit="1" customWidth="1"/>
    <col min="1023" max="1023" width="15.5703125" bestFit="1" customWidth="1"/>
    <col min="1024" max="1024" width="5.7109375" customWidth="1"/>
    <col min="1025" max="1025" width="14.5703125" customWidth="1"/>
    <col min="1026" max="1026" width="10" customWidth="1"/>
    <col min="1274" max="1274" width="5.140625" customWidth="1"/>
    <col min="1275" max="1275" width="65" customWidth="1"/>
    <col min="1276" max="1276" width="13" customWidth="1"/>
    <col min="1277" max="1277" width="12.42578125" bestFit="1" customWidth="1"/>
    <col min="1278" max="1278" width="14.42578125" bestFit="1" customWidth="1"/>
    <col min="1279" max="1279" width="15.5703125" bestFit="1" customWidth="1"/>
    <col min="1280" max="1280" width="5.7109375" customWidth="1"/>
    <col min="1281" max="1281" width="14.5703125" customWidth="1"/>
    <col min="1282" max="1282" width="10" customWidth="1"/>
    <col min="1530" max="1530" width="5.140625" customWidth="1"/>
    <col min="1531" max="1531" width="65" customWidth="1"/>
    <col min="1532" max="1532" width="13" customWidth="1"/>
    <col min="1533" max="1533" width="12.42578125" bestFit="1" customWidth="1"/>
    <col min="1534" max="1534" width="14.42578125" bestFit="1" customWidth="1"/>
    <col min="1535" max="1535" width="15.5703125" bestFit="1" customWidth="1"/>
    <col min="1536" max="1536" width="5.7109375" customWidth="1"/>
    <col min="1537" max="1537" width="14.5703125" customWidth="1"/>
    <col min="1538" max="1538" width="10" customWidth="1"/>
    <col min="1786" max="1786" width="5.140625" customWidth="1"/>
    <col min="1787" max="1787" width="65" customWidth="1"/>
    <col min="1788" max="1788" width="13" customWidth="1"/>
    <col min="1789" max="1789" width="12.42578125" bestFit="1" customWidth="1"/>
    <col min="1790" max="1790" width="14.42578125" bestFit="1" customWidth="1"/>
    <col min="1791" max="1791" width="15.5703125" bestFit="1" customWidth="1"/>
    <col min="1792" max="1792" width="5.7109375" customWidth="1"/>
    <col min="1793" max="1793" width="14.5703125" customWidth="1"/>
    <col min="1794" max="1794" width="10" customWidth="1"/>
    <col min="2042" max="2042" width="5.140625" customWidth="1"/>
    <col min="2043" max="2043" width="65" customWidth="1"/>
    <col min="2044" max="2044" width="13" customWidth="1"/>
    <col min="2045" max="2045" width="12.42578125" bestFit="1" customWidth="1"/>
    <col min="2046" max="2046" width="14.42578125" bestFit="1" customWidth="1"/>
    <col min="2047" max="2047" width="15.5703125" bestFit="1" customWidth="1"/>
    <col min="2048" max="2048" width="5.7109375" customWidth="1"/>
    <col min="2049" max="2049" width="14.5703125" customWidth="1"/>
    <col min="2050" max="2050" width="10" customWidth="1"/>
    <col min="2298" max="2298" width="5.140625" customWidth="1"/>
    <col min="2299" max="2299" width="65" customWidth="1"/>
    <col min="2300" max="2300" width="13" customWidth="1"/>
    <col min="2301" max="2301" width="12.42578125" bestFit="1" customWidth="1"/>
    <col min="2302" max="2302" width="14.42578125" bestFit="1" customWidth="1"/>
    <col min="2303" max="2303" width="15.5703125" bestFit="1" customWidth="1"/>
    <col min="2304" max="2304" width="5.7109375" customWidth="1"/>
    <col min="2305" max="2305" width="14.5703125" customWidth="1"/>
    <col min="2306" max="2306" width="10" customWidth="1"/>
    <col min="2554" max="2554" width="5.140625" customWidth="1"/>
    <col min="2555" max="2555" width="65" customWidth="1"/>
    <col min="2556" max="2556" width="13" customWidth="1"/>
    <col min="2557" max="2557" width="12.42578125" bestFit="1" customWidth="1"/>
    <col min="2558" max="2558" width="14.42578125" bestFit="1" customWidth="1"/>
    <col min="2559" max="2559" width="15.5703125" bestFit="1" customWidth="1"/>
    <col min="2560" max="2560" width="5.7109375" customWidth="1"/>
    <col min="2561" max="2561" width="14.5703125" customWidth="1"/>
    <col min="2562" max="2562" width="10" customWidth="1"/>
    <col min="2810" max="2810" width="5.140625" customWidth="1"/>
    <col min="2811" max="2811" width="65" customWidth="1"/>
    <col min="2812" max="2812" width="13" customWidth="1"/>
    <col min="2813" max="2813" width="12.42578125" bestFit="1" customWidth="1"/>
    <col min="2814" max="2814" width="14.42578125" bestFit="1" customWidth="1"/>
    <col min="2815" max="2815" width="15.5703125" bestFit="1" customWidth="1"/>
    <col min="2816" max="2816" width="5.7109375" customWidth="1"/>
    <col min="2817" max="2817" width="14.5703125" customWidth="1"/>
    <col min="2818" max="2818" width="10" customWidth="1"/>
    <col min="3066" max="3066" width="5.140625" customWidth="1"/>
    <col min="3067" max="3067" width="65" customWidth="1"/>
    <col min="3068" max="3068" width="13" customWidth="1"/>
    <col min="3069" max="3069" width="12.42578125" bestFit="1" customWidth="1"/>
    <col min="3070" max="3070" width="14.42578125" bestFit="1" customWidth="1"/>
    <col min="3071" max="3071" width="15.5703125" bestFit="1" customWidth="1"/>
    <col min="3072" max="3072" width="5.7109375" customWidth="1"/>
    <col min="3073" max="3073" width="14.5703125" customWidth="1"/>
    <col min="3074" max="3074" width="10" customWidth="1"/>
    <col min="3322" max="3322" width="5.140625" customWidth="1"/>
    <col min="3323" max="3323" width="65" customWidth="1"/>
    <col min="3324" max="3324" width="13" customWidth="1"/>
    <col min="3325" max="3325" width="12.42578125" bestFit="1" customWidth="1"/>
    <col min="3326" max="3326" width="14.42578125" bestFit="1" customWidth="1"/>
    <col min="3327" max="3327" width="15.5703125" bestFit="1" customWidth="1"/>
    <col min="3328" max="3328" width="5.7109375" customWidth="1"/>
    <col min="3329" max="3329" width="14.5703125" customWidth="1"/>
    <col min="3330" max="3330" width="10" customWidth="1"/>
    <col min="3578" max="3578" width="5.140625" customWidth="1"/>
    <col min="3579" max="3579" width="65" customWidth="1"/>
    <col min="3580" max="3580" width="13" customWidth="1"/>
    <col min="3581" max="3581" width="12.42578125" bestFit="1" customWidth="1"/>
    <col min="3582" max="3582" width="14.42578125" bestFit="1" customWidth="1"/>
    <col min="3583" max="3583" width="15.5703125" bestFit="1" customWidth="1"/>
    <col min="3584" max="3584" width="5.7109375" customWidth="1"/>
    <col min="3585" max="3585" width="14.5703125" customWidth="1"/>
    <col min="3586" max="3586" width="10" customWidth="1"/>
    <col min="3834" max="3834" width="5.140625" customWidth="1"/>
    <col min="3835" max="3835" width="65" customWidth="1"/>
    <col min="3836" max="3836" width="13" customWidth="1"/>
    <col min="3837" max="3837" width="12.42578125" bestFit="1" customWidth="1"/>
    <col min="3838" max="3838" width="14.42578125" bestFit="1" customWidth="1"/>
    <col min="3839" max="3839" width="15.5703125" bestFit="1" customWidth="1"/>
    <col min="3840" max="3840" width="5.7109375" customWidth="1"/>
    <col min="3841" max="3841" width="14.5703125" customWidth="1"/>
    <col min="3842" max="3842" width="10" customWidth="1"/>
    <col min="4090" max="4090" width="5.140625" customWidth="1"/>
    <col min="4091" max="4091" width="65" customWidth="1"/>
    <col min="4092" max="4092" width="13" customWidth="1"/>
    <col min="4093" max="4093" width="12.42578125" bestFit="1" customWidth="1"/>
    <col min="4094" max="4094" width="14.42578125" bestFit="1" customWidth="1"/>
    <col min="4095" max="4095" width="15.5703125" bestFit="1" customWidth="1"/>
    <col min="4096" max="4096" width="5.7109375" customWidth="1"/>
    <col min="4097" max="4097" width="14.5703125" customWidth="1"/>
    <col min="4098" max="4098" width="10" customWidth="1"/>
    <col min="4346" max="4346" width="5.140625" customWidth="1"/>
    <col min="4347" max="4347" width="65" customWidth="1"/>
    <col min="4348" max="4348" width="13" customWidth="1"/>
    <col min="4349" max="4349" width="12.42578125" bestFit="1" customWidth="1"/>
    <col min="4350" max="4350" width="14.42578125" bestFit="1" customWidth="1"/>
    <col min="4351" max="4351" width="15.5703125" bestFit="1" customWidth="1"/>
    <col min="4352" max="4352" width="5.7109375" customWidth="1"/>
    <col min="4353" max="4353" width="14.5703125" customWidth="1"/>
    <col min="4354" max="4354" width="10" customWidth="1"/>
    <col min="4602" max="4602" width="5.140625" customWidth="1"/>
    <col min="4603" max="4603" width="65" customWidth="1"/>
    <col min="4604" max="4604" width="13" customWidth="1"/>
    <col min="4605" max="4605" width="12.42578125" bestFit="1" customWidth="1"/>
    <col min="4606" max="4606" width="14.42578125" bestFit="1" customWidth="1"/>
    <col min="4607" max="4607" width="15.5703125" bestFit="1" customWidth="1"/>
    <col min="4608" max="4608" width="5.7109375" customWidth="1"/>
    <col min="4609" max="4609" width="14.5703125" customWidth="1"/>
    <col min="4610" max="4610" width="10" customWidth="1"/>
    <col min="4858" max="4858" width="5.140625" customWidth="1"/>
    <col min="4859" max="4859" width="65" customWidth="1"/>
    <col min="4860" max="4860" width="13" customWidth="1"/>
    <col min="4861" max="4861" width="12.42578125" bestFit="1" customWidth="1"/>
    <col min="4862" max="4862" width="14.42578125" bestFit="1" customWidth="1"/>
    <col min="4863" max="4863" width="15.5703125" bestFit="1" customWidth="1"/>
    <col min="4864" max="4864" width="5.7109375" customWidth="1"/>
    <col min="4865" max="4865" width="14.5703125" customWidth="1"/>
    <col min="4866" max="4866" width="10" customWidth="1"/>
    <col min="5114" max="5114" width="5.140625" customWidth="1"/>
    <col min="5115" max="5115" width="65" customWidth="1"/>
    <col min="5116" max="5116" width="13" customWidth="1"/>
    <col min="5117" max="5117" width="12.42578125" bestFit="1" customWidth="1"/>
    <col min="5118" max="5118" width="14.42578125" bestFit="1" customWidth="1"/>
    <col min="5119" max="5119" width="15.5703125" bestFit="1" customWidth="1"/>
    <col min="5120" max="5120" width="5.7109375" customWidth="1"/>
    <col min="5121" max="5121" width="14.5703125" customWidth="1"/>
    <col min="5122" max="5122" width="10" customWidth="1"/>
    <col min="5370" max="5370" width="5.140625" customWidth="1"/>
    <col min="5371" max="5371" width="65" customWidth="1"/>
    <col min="5372" max="5372" width="13" customWidth="1"/>
    <col min="5373" max="5373" width="12.42578125" bestFit="1" customWidth="1"/>
    <col min="5374" max="5374" width="14.42578125" bestFit="1" customWidth="1"/>
    <col min="5375" max="5375" width="15.5703125" bestFit="1" customWidth="1"/>
    <col min="5376" max="5376" width="5.7109375" customWidth="1"/>
    <col min="5377" max="5377" width="14.5703125" customWidth="1"/>
    <col min="5378" max="5378" width="10" customWidth="1"/>
    <col min="5626" max="5626" width="5.140625" customWidth="1"/>
    <col min="5627" max="5627" width="65" customWidth="1"/>
    <col min="5628" max="5628" width="13" customWidth="1"/>
    <col min="5629" max="5629" width="12.42578125" bestFit="1" customWidth="1"/>
    <col min="5630" max="5630" width="14.42578125" bestFit="1" customWidth="1"/>
    <col min="5631" max="5631" width="15.5703125" bestFit="1" customWidth="1"/>
    <col min="5632" max="5632" width="5.7109375" customWidth="1"/>
    <col min="5633" max="5633" width="14.5703125" customWidth="1"/>
    <col min="5634" max="5634" width="10" customWidth="1"/>
    <col min="5882" max="5882" width="5.140625" customWidth="1"/>
    <col min="5883" max="5883" width="65" customWidth="1"/>
    <col min="5884" max="5884" width="13" customWidth="1"/>
    <col min="5885" max="5885" width="12.42578125" bestFit="1" customWidth="1"/>
    <col min="5886" max="5886" width="14.42578125" bestFit="1" customWidth="1"/>
    <col min="5887" max="5887" width="15.5703125" bestFit="1" customWidth="1"/>
    <col min="5888" max="5888" width="5.7109375" customWidth="1"/>
    <col min="5889" max="5889" width="14.5703125" customWidth="1"/>
    <col min="5890" max="5890" width="10" customWidth="1"/>
    <col min="6138" max="6138" width="5.140625" customWidth="1"/>
    <col min="6139" max="6139" width="65" customWidth="1"/>
    <col min="6140" max="6140" width="13" customWidth="1"/>
    <col min="6141" max="6141" width="12.42578125" bestFit="1" customWidth="1"/>
    <col min="6142" max="6142" width="14.42578125" bestFit="1" customWidth="1"/>
    <col min="6143" max="6143" width="15.5703125" bestFit="1" customWidth="1"/>
    <col min="6144" max="6144" width="5.7109375" customWidth="1"/>
    <col min="6145" max="6145" width="14.5703125" customWidth="1"/>
    <col min="6146" max="6146" width="10" customWidth="1"/>
    <col min="6394" max="6394" width="5.140625" customWidth="1"/>
    <col min="6395" max="6395" width="65" customWidth="1"/>
    <col min="6396" max="6396" width="13" customWidth="1"/>
    <col min="6397" max="6397" width="12.42578125" bestFit="1" customWidth="1"/>
    <col min="6398" max="6398" width="14.42578125" bestFit="1" customWidth="1"/>
    <col min="6399" max="6399" width="15.5703125" bestFit="1" customWidth="1"/>
    <col min="6400" max="6400" width="5.7109375" customWidth="1"/>
    <col min="6401" max="6401" width="14.5703125" customWidth="1"/>
    <col min="6402" max="6402" width="10" customWidth="1"/>
    <col min="6650" max="6650" width="5.140625" customWidth="1"/>
    <col min="6651" max="6651" width="65" customWidth="1"/>
    <col min="6652" max="6652" width="13" customWidth="1"/>
    <col min="6653" max="6653" width="12.42578125" bestFit="1" customWidth="1"/>
    <col min="6654" max="6654" width="14.42578125" bestFit="1" customWidth="1"/>
    <col min="6655" max="6655" width="15.5703125" bestFit="1" customWidth="1"/>
    <col min="6656" max="6656" width="5.7109375" customWidth="1"/>
    <col min="6657" max="6657" width="14.5703125" customWidth="1"/>
    <col min="6658" max="6658" width="10" customWidth="1"/>
    <col min="6906" max="6906" width="5.140625" customWidth="1"/>
    <col min="6907" max="6907" width="65" customWidth="1"/>
    <col min="6908" max="6908" width="13" customWidth="1"/>
    <col min="6909" max="6909" width="12.42578125" bestFit="1" customWidth="1"/>
    <col min="6910" max="6910" width="14.42578125" bestFit="1" customWidth="1"/>
    <col min="6911" max="6911" width="15.5703125" bestFit="1" customWidth="1"/>
    <col min="6912" max="6912" width="5.7109375" customWidth="1"/>
    <col min="6913" max="6913" width="14.5703125" customWidth="1"/>
    <col min="6914" max="6914" width="10" customWidth="1"/>
    <col min="7162" max="7162" width="5.140625" customWidth="1"/>
    <col min="7163" max="7163" width="65" customWidth="1"/>
    <col min="7164" max="7164" width="13" customWidth="1"/>
    <col min="7165" max="7165" width="12.42578125" bestFit="1" customWidth="1"/>
    <col min="7166" max="7166" width="14.42578125" bestFit="1" customWidth="1"/>
    <col min="7167" max="7167" width="15.5703125" bestFit="1" customWidth="1"/>
    <col min="7168" max="7168" width="5.7109375" customWidth="1"/>
    <col min="7169" max="7169" width="14.5703125" customWidth="1"/>
    <col min="7170" max="7170" width="10" customWidth="1"/>
    <col min="7418" max="7418" width="5.140625" customWidth="1"/>
    <col min="7419" max="7419" width="65" customWidth="1"/>
    <col min="7420" max="7420" width="13" customWidth="1"/>
    <col min="7421" max="7421" width="12.42578125" bestFit="1" customWidth="1"/>
    <col min="7422" max="7422" width="14.42578125" bestFit="1" customWidth="1"/>
    <col min="7423" max="7423" width="15.5703125" bestFit="1" customWidth="1"/>
    <col min="7424" max="7424" width="5.7109375" customWidth="1"/>
    <col min="7425" max="7425" width="14.5703125" customWidth="1"/>
    <col min="7426" max="7426" width="10" customWidth="1"/>
    <col min="7674" max="7674" width="5.140625" customWidth="1"/>
    <col min="7675" max="7675" width="65" customWidth="1"/>
    <col min="7676" max="7676" width="13" customWidth="1"/>
    <col min="7677" max="7677" width="12.42578125" bestFit="1" customWidth="1"/>
    <col min="7678" max="7678" width="14.42578125" bestFit="1" customWidth="1"/>
    <col min="7679" max="7679" width="15.5703125" bestFit="1" customWidth="1"/>
    <col min="7680" max="7680" width="5.7109375" customWidth="1"/>
    <col min="7681" max="7681" width="14.5703125" customWidth="1"/>
    <col min="7682" max="7682" width="10" customWidth="1"/>
    <col min="7930" max="7930" width="5.140625" customWidth="1"/>
    <col min="7931" max="7931" width="65" customWidth="1"/>
    <col min="7932" max="7932" width="13" customWidth="1"/>
    <col min="7933" max="7933" width="12.42578125" bestFit="1" customWidth="1"/>
    <col min="7934" max="7934" width="14.42578125" bestFit="1" customWidth="1"/>
    <col min="7935" max="7935" width="15.5703125" bestFit="1" customWidth="1"/>
    <col min="7936" max="7936" width="5.7109375" customWidth="1"/>
    <col min="7937" max="7937" width="14.5703125" customWidth="1"/>
    <col min="7938" max="7938" width="10" customWidth="1"/>
    <col min="8186" max="8186" width="5.140625" customWidth="1"/>
    <col min="8187" max="8187" width="65" customWidth="1"/>
    <col min="8188" max="8188" width="13" customWidth="1"/>
    <col min="8189" max="8189" width="12.42578125" bestFit="1" customWidth="1"/>
    <col min="8190" max="8190" width="14.42578125" bestFit="1" customWidth="1"/>
    <col min="8191" max="8191" width="15.5703125" bestFit="1" customWidth="1"/>
    <col min="8192" max="8192" width="5.7109375" customWidth="1"/>
    <col min="8193" max="8193" width="14.5703125" customWidth="1"/>
    <col min="8194" max="8194" width="10" customWidth="1"/>
    <col min="8442" max="8442" width="5.140625" customWidth="1"/>
    <col min="8443" max="8443" width="65" customWidth="1"/>
    <col min="8444" max="8444" width="13" customWidth="1"/>
    <col min="8445" max="8445" width="12.42578125" bestFit="1" customWidth="1"/>
    <col min="8446" max="8446" width="14.42578125" bestFit="1" customWidth="1"/>
    <col min="8447" max="8447" width="15.5703125" bestFit="1" customWidth="1"/>
    <col min="8448" max="8448" width="5.7109375" customWidth="1"/>
    <col min="8449" max="8449" width="14.5703125" customWidth="1"/>
    <col min="8450" max="8450" width="10" customWidth="1"/>
    <col min="8698" max="8698" width="5.140625" customWidth="1"/>
    <col min="8699" max="8699" width="65" customWidth="1"/>
    <col min="8700" max="8700" width="13" customWidth="1"/>
    <col min="8701" max="8701" width="12.42578125" bestFit="1" customWidth="1"/>
    <col min="8702" max="8702" width="14.42578125" bestFit="1" customWidth="1"/>
    <col min="8703" max="8703" width="15.5703125" bestFit="1" customWidth="1"/>
    <col min="8704" max="8704" width="5.7109375" customWidth="1"/>
    <col min="8705" max="8705" width="14.5703125" customWidth="1"/>
    <col min="8706" max="8706" width="10" customWidth="1"/>
    <col min="8954" max="8954" width="5.140625" customWidth="1"/>
    <col min="8955" max="8955" width="65" customWidth="1"/>
    <col min="8956" max="8956" width="13" customWidth="1"/>
    <col min="8957" max="8957" width="12.42578125" bestFit="1" customWidth="1"/>
    <col min="8958" max="8958" width="14.42578125" bestFit="1" customWidth="1"/>
    <col min="8959" max="8959" width="15.5703125" bestFit="1" customWidth="1"/>
    <col min="8960" max="8960" width="5.7109375" customWidth="1"/>
    <col min="8961" max="8961" width="14.5703125" customWidth="1"/>
    <col min="8962" max="8962" width="10" customWidth="1"/>
    <col min="9210" max="9210" width="5.140625" customWidth="1"/>
    <col min="9211" max="9211" width="65" customWidth="1"/>
    <col min="9212" max="9212" width="13" customWidth="1"/>
    <col min="9213" max="9213" width="12.42578125" bestFit="1" customWidth="1"/>
    <col min="9214" max="9214" width="14.42578125" bestFit="1" customWidth="1"/>
    <col min="9215" max="9215" width="15.5703125" bestFit="1" customWidth="1"/>
    <col min="9216" max="9216" width="5.7109375" customWidth="1"/>
    <col min="9217" max="9217" width="14.5703125" customWidth="1"/>
    <col min="9218" max="9218" width="10" customWidth="1"/>
    <col min="9466" max="9466" width="5.140625" customWidth="1"/>
    <col min="9467" max="9467" width="65" customWidth="1"/>
    <col min="9468" max="9468" width="13" customWidth="1"/>
    <col min="9469" max="9469" width="12.42578125" bestFit="1" customWidth="1"/>
    <col min="9470" max="9470" width="14.42578125" bestFit="1" customWidth="1"/>
    <col min="9471" max="9471" width="15.5703125" bestFit="1" customWidth="1"/>
    <col min="9472" max="9472" width="5.7109375" customWidth="1"/>
    <col min="9473" max="9473" width="14.5703125" customWidth="1"/>
    <col min="9474" max="9474" width="10" customWidth="1"/>
    <col min="9722" max="9722" width="5.140625" customWidth="1"/>
    <col min="9723" max="9723" width="65" customWidth="1"/>
    <col min="9724" max="9724" width="13" customWidth="1"/>
    <col min="9725" max="9725" width="12.42578125" bestFit="1" customWidth="1"/>
    <col min="9726" max="9726" width="14.42578125" bestFit="1" customWidth="1"/>
    <col min="9727" max="9727" width="15.5703125" bestFit="1" customWidth="1"/>
    <col min="9728" max="9728" width="5.7109375" customWidth="1"/>
    <col min="9729" max="9729" width="14.5703125" customWidth="1"/>
    <col min="9730" max="9730" width="10" customWidth="1"/>
    <col min="9978" max="9978" width="5.140625" customWidth="1"/>
    <col min="9979" max="9979" width="65" customWidth="1"/>
    <col min="9980" max="9980" width="13" customWidth="1"/>
    <col min="9981" max="9981" width="12.42578125" bestFit="1" customWidth="1"/>
    <col min="9982" max="9982" width="14.42578125" bestFit="1" customWidth="1"/>
    <col min="9983" max="9983" width="15.5703125" bestFit="1" customWidth="1"/>
    <col min="9984" max="9984" width="5.7109375" customWidth="1"/>
    <col min="9985" max="9985" width="14.5703125" customWidth="1"/>
    <col min="9986" max="9986" width="10" customWidth="1"/>
    <col min="10234" max="10234" width="5.140625" customWidth="1"/>
    <col min="10235" max="10235" width="65" customWidth="1"/>
    <col min="10236" max="10236" width="13" customWidth="1"/>
    <col min="10237" max="10237" width="12.42578125" bestFit="1" customWidth="1"/>
    <col min="10238" max="10238" width="14.42578125" bestFit="1" customWidth="1"/>
    <col min="10239" max="10239" width="15.5703125" bestFit="1" customWidth="1"/>
    <col min="10240" max="10240" width="5.7109375" customWidth="1"/>
    <col min="10241" max="10241" width="14.5703125" customWidth="1"/>
    <col min="10242" max="10242" width="10" customWidth="1"/>
    <col min="10490" max="10490" width="5.140625" customWidth="1"/>
    <col min="10491" max="10491" width="65" customWidth="1"/>
    <col min="10492" max="10492" width="13" customWidth="1"/>
    <col min="10493" max="10493" width="12.42578125" bestFit="1" customWidth="1"/>
    <col min="10494" max="10494" width="14.42578125" bestFit="1" customWidth="1"/>
    <col min="10495" max="10495" width="15.5703125" bestFit="1" customWidth="1"/>
    <col min="10496" max="10496" width="5.7109375" customWidth="1"/>
    <col min="10497" max="10497" width="14.5703125" customWidth="1"/>
    <col min="10498" max="10498" width="10" customWidth="1"/>
    <col min="10746" max="10746" width="5.140625" customWidth="1"/>
    <col min="10747" max="10747" width="65" customWidth="1"/>
    <col min="10748" max="10748" width="13" customWidth="1"/>
    <col min="10749" max="10749" width="12.42578125" bestFit="1" customWidth="1"/>
    <col min="10750" max="10750" width="14.42578125" bestFit="1" customWidth="1"/>
    <col min="10751" max="10751" width="15.5703125" bestFit="1" customWidth="1"/>
    <col min="10752" max="10752" width="5.7109375" customWidth="1"/>
    <col min="10753" max="10753" width="14.5703125" customWidth="1"/>
    <col min="10754" max="10754" width="10" customWidth="1"/>
    <col min="11002" max="11002" width="5.140625" customWidth="1"/>
    <col min="11003" max="11003" width="65" customWidth="1"/>
    <col min="11004" max="11004" width="13" customWidth="1"/>
    <col min="11005" max="11005" width="12.42578125" bestFit="1" customWidth="1"/>
    <col min="11006" max="11006" width="14.42578125" bestFit="1" customWidth="1"/>
    <col min="11007" max="11007" width="15.5703125" bestFit="1" customWidth="1"/>
    <col min="11008" max="11008" width="5.7109375" customWidth="1"/>
    <col min="11009" max="11009" width="14.5703125" customWidth="1"/>
    <col min="11010" max="11010" width="10" customWidth="1"/>
    <col min="11258" max="11258" width="5.140625" customWidth="1"/>
    <col min="11259" max="11259" width="65" customWidth="1"/>
    <col min="11260" max="11260" width="13" customWidth="1"/>
    <col min="11261" max="11261" width="12.42578125" bestFit="1" customWidth="1"/>
    <col min="11262" max="11262" width="14.42578125" bestFit="1" customWidth="1"/>
    <col min="11263" max="11263" width="15.5703125" bestFit="1" customWidth="1"/>
    <col min="11264" max="11264" width="5.7109375" customWidth="1"/>
    <col min="11265" max="11265" width="14.5703125" customWidth="1"/>
    <col min="11266" max="11266" width="10" customWidth="1"/>
    <col min="11514" max="11514" width="5.140625" customWidth="1"/>
    <col min="11515" max="11515" width="65" customWidth="1"/>
    <col min="11516" max="11516" width="13" customWidth="1"/>
    <col min="11517" max="11517" width="12.42578125" bestFit="1" customWidth="1"/>
    <col min="11518" max="11518" width="14.42578125" bestFit="1" customWidth="1"/>
    <col min="11519" max="11519" width="15.5703125" bestFit="1" customWidth="1"/>
    <col min="11520" max="11520" width="5.7109375" customWidth="1"/>
    <col min="11521" max="11521" width="14.5703125" customWidth="1"/>
    <col min="11522" max="11522" width="10" customWidth="1"/>
    <col min="11770" max="11770" width="5.140625" customWidth="1"/>
    <col min="11771" max="11771" width="65" customWidth="1"/>
    <col min="11772" max="11772" width="13" customWidth="1"/>
    <col min="11773" max="11773" width="12.42578125" bestFit="1" customWidth="1"/>
    <col min="11774" max="11774" width="14.42578125" bestFit="1" customWidth="1"/>
    <col min="11775" max="11775" width="15.5703125" bestFit="1" customWidth="1"/>
    <col min="11776" max="11776" width="5.7109375" customWidth="1"/>
    <col min="11777" max="11777" width="14.5703125" customWidth="1"/>
    <col min="11778" max="11778" width="10" customWidth="1"/>
    <col min="12026" max="12026" width="5.140625" customWidth="1"/>
    <col min="12027" max="12027" width="65" customWidth="1"/>
    <col min="12028" max="12028" width="13" customWidth="1"/>
    <col min="12029" max="12029" width="12.42578125" bestFit="1" customWidth="1"/>
    <col min="12030" max="12030" width="14.42578125" bestFit="1" customWidth="1"/>
    <col min="12031" max="12031" width="15.5703125" bestFit="1" customWidth="1"/>
    <col min="12032" max="12032" width="5.7109375" customWidth="1"/>
    <col min="12033" max="12033" width="14.5703125" customWidth="1"/>
    <col min="12034" max="12034" width="10" customWidth="1"/>
    <col min="12282" max="12282" width="5.140625" customWidth="1"/>
    <col min="12283" max="12283" width="65" customWidth="1"/>
    <col min="12284" max="12284" width="13" customWidth="1"/>
    <col min="12285" max="12285" width="12.42578125" bestFit="1" customWidth="1"/>
    <col min="12286" max="12286" width="14.42578125" bestFit="1" customWidth="1"/>
    <col min="12287" max="12287" width="15.5703125" bestFit="1" customWidth="1"/>
    <col min="12288" max="12288" width="5.7109375" customWidth="1"/>
    <col min="12289" max="12289" width="14.5703125" customWidth="1"/>
    <col min="12290" max="12290" width="10" customWidth="1"/>
    <col min="12538" max="12538" width="5.140625" customWidth="1"/>
    <col min="12539" max="12539" width="65" customWidth="1"/>
    <col min="12540" max="12540" width="13" customWidth="1"/>
    <col min="12541" max="12541" width="12.42578125" bestFit="1" customWidth="1"/>
    <col min="12542" max="12542" width="14.42578125" bestFit="1" customWidth="1"/>
    <col min="12543" max="12543" width="15.5703125" bestFit="1" customWidth="1"/>
    <col min="12544" max="12544" width="5.7109375" customWidth="1"/>
    <col min="12545" max="12545" width="14.5703125" customWidth="1"/>
    <col min="12546" max="12546" width="10" customWidth="1"/>
    <col min="12794" max="12794" width="5.140625" customWidth="1"/>
    <col min="12795" max="12795" width="65" customWidth="1"/>
    <col min="12796" max="12796" width="13" customWidth="1"/>
    <col min="12797" max="12797" width="12.42578125" bestFit="1" customWidth="1"/>
    <col min="12798" max="12798" width="14.42578125" bestFit="1" customWidth="1"/>
    <col min="12799" max="12799" width="15.5703125" bestFit="1" customWidth="1"/>
    <col min="12800" max="12800" width="5.7109375" customWidth="1"/>
    <col min="12801" max="12801" width="14.5703125" customWidth="1"/>
    <col min="12802" max="12802" width="10" customWidth="1"/>
    <col min="13050" max="13050" width="5.140625" customWidth="1"/>
    <col min="13051" max="13051" width="65" customWidth="1"/>
    <col min="13052" max="13052" width="13" customWidth="1"/>
    <col min="13053" max="13053" width="12.42578125" bestFit="1" customWidth="1"/>
    <col min="13054" max="13054" width="14.42578125" bestFit="1" customWidth="1"/>
    <col min="13055" max="13055" width="15.5703125" bestFit="1" customWidth="1"/>
    <col min="13056" max="13056" width="5.7109375" customWidth="1"/>
    <col min="13057" max="13057" width="14.5703125" customWidth="1"/>
    <col min="13058" max="13058" width="10" customWidth="1"/>
    <col min="13306" max="13306" width="5.140625" customWidth="1"/>
    <col min="13307" max="13307" width="65" customWidth="1"/>
    <col min="13308" max="13308" width="13" customWidth="1"/>
    <col min="13309" max="13309" width="12.42578125" bestFit="1" customWidth="1"/>
    <col min="13310" max="13310" width="14.42578125" bestFit="1" customWidth="1"/>
    <col min="13311" max="13311" width="15.5703125" bestFit="1" customWidth="1"/>
    <col min="13312" max="13312" width="5.7109375" customWidth="1"/>
    <col min="13313" max="13313" width="14.5703125" customWidth="1"/>
    <col min="13314" max="13314" width="10" customWidth="1"/>
    <col min="13562" max="13562" width="5.140625" customWidth="1"/>
    <col min="13563" max="13563" width="65" customWidth="1"/>
    <col min="13564" max="13564" width="13" customWidth="1"/>
    <col min="13565" max="13565" width="12.42578125" bestFit="1" customWidth="1"/>
    <col min="13566" max="13566" width="14.42578125" bestFit="1" customWidth="1"/>
    <col min="13567" max="13567" width="15.5703125" bestFit="1" customWidth="1"/>
    <col min="13568" max="13568" width="5.7109375" customWidth="1"/>
    <col min="13569" max="13569" width="14.5703125" customWidth="1"/>
    <col min="13570" max="13570" width="10" customWidth="1"/>
    <col min="13818" max="13818" width="5.140625" customWidth="1"/>
    <col min="13819" max="13819" width="65" customWidth="1"/>
    <col min="13820" max="13820" width="13" customWidth="1"/>
    <col min="13821" max="13821" width="12.42578125" bestFit="1" customWidth="1"/>
    <col min="13822" max="13822" width="14.42578125" bestFit="1" customWidth="1"/>
    <col min="13823" max="13823" width="15.5703125" bestFit="1" customWidth="1"/>
    <col min="13824" max="13824" width="5.7109375" customWidth="1"/>
    <col min="13825" max="13825" width="14.5703125" customWidth="1"/>
    <col min="13826" max="13826" width="10" customWidth="1"/>
    <col min="14074" max="14074" width="5.140625" customWidth="1"/>
    <col min="14075" max="14075" width="65" customWidth="1"/>
    <col min="14076" max="14076" width="13" customWidth="1"/>
    <col min="14077" max="14077" width="12.42578125" bestFit="1" customWidth="1"/>
    <col min="14078" max="14078" width="14.42578125" bestFit="1" customWidth="1"/>
    <col min="14079" max="14079" width="15.5703125" bestFit="1" customWidth="1"/>
    <col min="14080" max="14080" width="5.7109375" customWidth="1"/>
    <col min="14081" max="14081" width="14.5703125" customWidth="1"/>
    <col min="14082" max="14082" width="10" customWidth="1"/>
    <col min="14330" max="14330" width="5.140625" customWidth="1"/>
    <col min="14331" max="14331" width="65" customWidth="1"/>
    <col min="14332" max="14332" width="13" customWidth="1"/>
    <col min="14333" max="14333" width="12.42578125" bestFit="1" customWidth="1"/>
    <col min="14334" max="14334" width="14.42578125" bestFit="1" customWidth="1"/>
    <col min="14335" max="14335" width="15.5703125" bestFit="1" customWidth="1"/>
    <col min="14336" max="14336" width="5.7109375" customWidth="1"/>
    <col min="14337" max="14337" width="14.5703125" customWidth="1"/>
    <col min="14338" max="14338" width="10" customWidth="1"/>
    <col min="14586" max="14586" width="5.140625" customWidth="1"/>
    <col min="14587" max="14587" width="65" customWidth="1"/>
    <col min="14588" max="14588" width="13" customWidth="1"/>
    <col min="14589" max="14589" width="12.42578125" bestFit="1" customWidth="1"/>
    <col min="14590" max="14590" width="14.42578125" bestFit="1" customWidth="1"/>
    <col min="14591" max="14591" width="15.5703125" bestFit="1" customWidth="1"/>
    <col min="14592" max="14592" width="5.7109375" customWidth="1"/>
    <col min="14593" max="14593" width="14.5703125" customWidth="1"/>
    <col min="14594" max="14594" width="10" customWidth="1"/>
    <col min="14842" max="14842" width="5.140625" customWidth="1"/>
    <col min="14843" max="14843" width="65" customWidth="1"/>
    <col min="14844" max="14844" width="13" customWidth="1"/>
    <col min="14845" max="14845" width="12.42578125" bestFit="1" customWidth="1"/>
    <col min="14846" max="14846" width="14.42578125" bestFit="1" customWidth="1"/>
    <col min="14847" max="14847" width="15.5703125" bestFit="1" customWidth="1"/>
    <col min="14848" max="14848" width="5.7109375" customWidth="1"/>
    <col min="14849" max="14849" width="14.5703125" customWidth="1"/>
    <col min="14850" max="14850" width="10" customWidth="1"/>
    <col min="15098" max="15098" width="5.140625" customWidth="1"/>
    <col min="15099" max="15099" width="65" customWidth="1"/>
    <col min="15100" max="15100" width="13" customWidth="1"/>
    <col min="15101" max="15101" width="12.42578125" bestFit="1" customWidth="1"/>
    <col min="15102" max="15102" width="14.42578125" bestFit="1" customWidth="1"/>
    <col min="15103" max="15103" width="15.5703125" bestFit="1" customWidth="1"/>
    <col min="15104" max="15104" width="5.7109375" customWidth="1"/>
    <col min="15105" max="15105" width="14.5703125" customWidth="1"/>
    <col min="15106" max="15106" width="10" customWidth="1"/>
    <col min="15354" max="15354" width="5.140625" customWidth="1"/>
    <col min="15355" max="15355" width="65" customWidth="1"/>
    <col min="15356" max="15356" width="13" customWidth="1"/>
    <col min="15357" max="15357" width="12.42578125" bestFit="1" customWidth="1"/>
    <col min="15358" max="15358" width="14.42578125" bestFit="1" customWidth="1"/>
    <col min="15359" max="15359" width="15.5703125" bestFit="1" customWidth="1"/>
    <col min="15360" max="15360" width="5.7109375" customWidth="1"/>
    <col min="15361" max="15361" width="14.5703125" customWidth="1"/>
    <col min="15362" max="15362" width="10" customWidth="1"/>
    <col min="15610" max="15610" width="5.140625" customWidth="1"/>
    <col min="15611" max="15611" width="65" customWidth="1"/>
    <col min="15612" max="15612" width="13" customWidth="1"/>
    <col min="15613" max="15613" width="12.42578125" bestFit="1" customWidth="1"/>
    <col min="15614" max="15614" width="14.42578125" bestFit="1" customWidth="1"/>
    <col min="15615" max="15615" width="15.5703125" bestFit="1" customWidth="1"/>
    <col min="15616" max="15616" width="5.7109375" customWidth="1"/>
    <col min="15617" max="15617" width="14.5703125" customWidth="1"/>
    <col min="15618" max="15618" width="10" customWidth="1"/>
    <col min="15866" max="15866" width="5.140625" customWidth="1"/>
    <col min="15867" max="15867" width="65" customWidth="1"/>
    <col min="15868" max="15868" width="13" customWidth="1"/>
    <col min="15869" max="15869" width="12.42578125" bestFit="1" customWidth="1"/>
    <col min="15870" max="15870" width="14.42578125" bestFit="1" customWidth="1"/>
    <col min="15871" max="15871" width="15.5703125" bestFit="1" customWidth="1"/>
    <col min="15872" max="15872" width="5.7109375" customWidth="1"/>
    <col min="15873" max="15873" width="14.5703125" customWidth="1"/>
    <col min="15874" max="15874" width="10" customWidth="1"/>
    <col min="16122" max="16122" width="5.140625" customWidth="1"/>
    <col min="16123" max="16123" width="65" customWidth="1"/>
    <col min="16124" max="16124" width="13" customWidth="1"/>
    <col min="16125" max="16125" width="12.42578125" bestFit="1" customWidth="1"/>
    <col min="16126" max="16126" width="14.42578125" bestFit="1" customWidth="1"/>
    <col min="16127" max="16127" width="15.5703125" bestFit="1" customWidth="1"/>
    <col min="16128" max="16128" width="5.7109375" customWidth="1"/>
    <col min="16129" max="16129" width="14.5703125" customWidth="1"/>
    <col min="16130" max="16130" width="10" customWidth="1"/>
  </cols>
  <sheetData>
    <row r="1" spans="1:13" x14ac:dyDescent="0.25">
      <c r="A1" s="35"/>
      <c r="B1" s="35" t="str">
        <f>Update!$B$6</f>
        <v>Department of Health</v>
      </c>
      <c r="C1" s="102"/>
      <c r="D1" s="103"/>
      <c r="E1" s="103"/>
      <c r="F1" s="103"/>
      <c r="G1" s="103"/>
      <c r="H1" s="103"/>
      <c r="I1" s="103"/>
      <c r="J1" s="103"/>
      <c r="K1" s="103"/>
      <c r="L1" s="103"/>
      <c r="M1" s="103"/>
    </row>
    <row r="2" spans="1:13" x14ac:dyDescent="0.25">
      <c r="A2" s="35"/>
      <c r="B2" s="35" t="str">
        <f>Update!$B$10</f>
        <v>Notes to the financial statements</v>
      </c>
      <c r="C2" s="102"/>
      <c r="D2" s="103"/>
      <c r="E2" s="103"/>
      <c r="F2" s="103"/>
      <c r="G2" s="103"/>
      <c r="H2" s="103"/>
      <c r="I2" s="103"/>
      <c r="J2" s="103"/>
      <c r="K2" s="103"/>
      <c r="L2" s="103"/>
      <c r="M2" s="103"/>
    </row>
    <row r="3" spans="1:13" x14ac:dyDescent="0.25">
      <c r="A3" s="35"/>
      <c r="B3" s="35" t="str">
        <f>Update!$A$3</f>
        <v>2025-26</v>
      </c>
      <c r="C3" s="102"/>
      <c r="D3" s="103"/>
      <c r="E3" s="103"/>
      <c r="F3" s="103"/>
      <c r="G3" s="103"/>
      <c r="H3" s="103"/>
      <c r="I3" s="103"/>
      <c r="J3" s="103"/>
      <c r="K3" s="103"/>
      <c r="L3" s="103"/>
      <c r="M3" s="103"/>
    </row>
    <row r="4" spans="1:13" x14ac:dyDescent="0.25">
      <c r="A4" s="35"/>
      <c r="B4" s="35"/>
      <c r="C4" s="102"/>
      <c r="D4" s="103"/>
      <c r="E4" s="103"/>
      <c r="F4" s="103"/>
      <c r="G4" s="103"/>
      <c r="H4" s="103"/>
      <c r="I4" s="103"/>
      <c r="J4" s="103"/>
      <c r="K4" s="103"/>
      <c r="L4" s="103"/>
      <c r="M4" s="103"/>
    </row>
    <row r="5" spans="1:13" x14ac:dyDescent="0.25">
      <c r="A5" s="60"/>
      <c r="B5" s="35" t="s">
        <v>1966</v>
      </c>
      <c r="C5" s="104"/>
      <c r="D5" s="103"/>
      <c r="E5" s="35"/>
      <c r="F5" s="103"/>
      <c r="G5" s="103"/>
      <c r="H5" s="103"/>
      <c r="I5" s="103"/>
      <c r="J5" s="103"/>
      <c r="K5" s="103"/>
      <c r="L5" s="103"/>
      <c r="M5" s="103"/>
    </row>
    <row r="6" spans="1:13" x14ac:dyDescent="0.25">
      <c r="A6" s="60"/>
      <c r="B6" s="35" t="s">
        <v>1967</v>
      </c>
      <c r="C6" s="104"/>
      <c r="D6" s="103"/>
      <c r="E6" s="35"/>
      <c r="F6" s="103"/>
      <c r="G6" s="103"/>
      <c r="H6" s="103"/>
      <c r="I6" s="103"/>
      <c r="J6" s="103"/>
      <c r="K6" s="103"/>
      <c r="L6" s="103"/>
      <c r="M6" s="103"/>
    </row>
    <row r="7" spans="1:13" x14ac:dyDescent="0.25">
      <c r="A7" s="60"/>
      <c r="B7" s="35"/>
      <c r="C7" s="104"/>
      <c r="D7" s="1905" t="str">
        <f>Update!$C$38</f>
        <v>2025-26</v>
      </c>
      <c r="E7" s="1905"/>
      <c r="F7" s="1905"/>
      <c r="G7" s="103"/>
      <c r="H7" s="103"/>
      <c r="I7" s="103"/>
      <c r="J7" s="103"/>
      <c r="K7" s="103"/>
      <c r="L7" s="103"/>
      <c r="M7" s="103"/>
    </row>
    <row r="8" spans="1:13" s="56" customFormat="1" ht="78.400000000000006" customHeight="1" x14ac:dyDescent="0.2">
      <c r="A8" s="55"/>
      <c r="C8" s="111" t="s">
        <v>461</v>
      </c>
      <c r="D8" s="42" t="s">
        <v>495</v>
      </c>
      <c r="E8" s="42" t="s">
        <v>494</v>
      </c>
      <c r="F8" s="42" t="s">
        <v>2316</v>
      </c>
      <c r="G8" s="42"/>
      <c r="M8" s="56" t="s">
        <v>507</v>
      </c>
    </row>
    <row r="9" spans="1:13" x14ac:dyDescent="0.25">
      <c r="A9" s="35"/>
      <c r="B9" s="103"/>
      <c r="C9" s="103"/>
      <c r="D9" s="39" t="s">
        <v>462</v>
      </c>
      <c r="E9" s="39" t="s">
        <v>462</v>
      </c>
      <c r="F9" s="39" t="s">
        <v>462</v>
      </c>
      <c r="G9" s="105"/>
      <c r="H9" s="35"/>
      <c r="I9" s="103"/>
      <c r="J9" s="103"/>
      <c r="K9" s="103"/>
      <c r="L9" s="103"/>
      <c r="M9" s="103"/>
    </row>
    <row r="11" spans="1:13" ht="21.95" customHeight="1" x14ac:dyDescent="0.25">
      <c r="A11" s="35"/>
      <c r="B11" s="35" t="s">
        <v>505</v>
      </c>
      <c r="C11" s="102" t="s">
        <v>1609</v>
      </c>
      <c r="D11" s="1793" t="e">
        <f>+SCNE!D49+'CFER RECONCILIATION'!E12</f>
        <v>#VALUE!</v>
      </c>
      <c r="E11" s="1609">
        <f>9856302+394821-7626150-370234+7650018</f>
        <v>9904757</v>
      </c>
      <c r="F11" s="103" t="e">
        <f>E11-D11</f>
        <v>#VALUE!</v>
      </c>
      <c r="G11" s="103"/>
      <c r="H11" s="103"/>
      <c r="I11" s="103"/>
      <c r="J11" s="103"/>
      <c r="K11" s="103"/>
      <c r="L11" s="103"/>
      <c r="M11" s="112" t="e">
        <f>F11/E11</f>
        <v>#VALUE!</v>
      </c>
    </row>
    <row r="12" spans="1:13" ht="21.95" customHeight="1" x14ac:dyDescent="0.25">
      <c r="A12" s="35"/>
      <c r="B12" s="190" t="s">
        <v>2315</v>
      </c>
      <c r="C12" s="102"/>
      <c r="D12" s="35">
        <f>-TE!G55</f>
        <v>0</v>
      </c>
      <c r="E12" s="107">
        <v>-823951</v>
      </c>
      <c r="F12" s="103">
        <f>E12-D12</f>
        <v>-823951</v>
      </c>
      <c r="G12" s="103"/>
      <c r="H12" s="103"/>
      <c r="I12" s="103"/>
      <c r="J12" s="103"/>
      <c r="K12" s="103"/>
      <c r="L12" s="103"/>
      <c r="M12" s="112"/>
    </row>
    <row r="13" spans="1:13" ht="23.25" customHeight="1" x14ac:dyDescent="0.25">
      <c r="A13" s="35"/>
      <c r="B13" s="35" t="s">
        <v>508</v>
      </c>
      <c r="C13" s="102"/>
      <c r="D13" s="103"/>
      <c r="E13" s="103"/>
      <c r="F13" s="103"/>
      <c r="G13" s="103"/>
      <c r="H13" s="103"/>
      <c r="I13" s="103"/>
      <c r="J13" s="103"/>
      <c r="K13" s="103"/>
      <c r="L13" s="103"/>
      <c r="M13" s="112"/>
    </row>
    <row r="14" spans="1:13" ht="23.25" customHeight="1" x14ac:dyDescent="0.25">
      <c r="A14" s="35"/>
      <c r="B14" s="103" t="s">
        <v>509</v>
      </c>
      <c r="C14" s="102">
        <v>5</v>
      </c>
      <c r="D14" s="35">
        <f>'Note 5 (C&amp;A)'!K13+'Note 13'!G15-'Note 13'!C15+'Note 13'!G20-'Note 13'!C20</f>
        <v>172</v>
      </c>
      <c r="E14" s="107"/>
      <c r="F14" s="103">
        <f t="shared" ref="F14:F19" si="0">E14-D14</f>
        <v>-172</v>
      </c>
      <c r="G14" s="103"/>
      <c r="H14" s="103"/>
      <c r="I14" s="103"/>
      <c r="J14" s="103"/>
      <c r="K14" s="103"/>
      <c r="L14" s="103"/>
      <c r="M14" s="112"/>
    </row>
    <row r="15" spans="1:13" ht="23.25" customHeight="1" x14ac:dyDescent="0.25">
      <c r="A15" s="35"/>
      <c r="B15" s="103" t="s">
        <v>510</v>
      </c>
      <c r="C15" s="102">
        <v>6</v>
      </c>
      <c r="D15" s="35">
        <f>+'Note 6 (C&amp;A)'!K15+'Note 13'!G16-'Note 13'!C16</f>
        <v>1138</v>
      </c>
      <c r="E15" s="103"/>
      <c r="F15" s="103">
        <f t="shared" si="0"/>
        <v>-1138</v>
      </c>
      <c r="G15" s="103"/>
      <c r="H15" s="103"/>
      <c r="I15" s="103"/>
      <c r="J15" s="103"/>
      <c r="K15" s="103"/>
      <c r="L15" s="103"/>
      <c r="M15" s="112"/>
    </row>
    <row r="16" spans="1:13" ht="23.25" customHeight="1" x14ac:dyDescent="0.25">
      <c r="A16" s="35"/>
      <c r="B16" s="103" t="s">
        <v>511</v>
      </c>
      <c r="C16" s="109">
        <v>7</v>
      </c>
      <c r="D16" s="103"/>
      <c r="E16" s="103"/>
      <c r="F16" s="103">
        <f t="shared" si="0"/>
        <v>0</v>
      </c>
      <c r="G16" s="103"/>
      <c r="H16" s="110" t="str">
        <f>IF(D16=TE!J67,"OK","ERROR")</f>
        <v>OK</v>
      </c>
      <c r="I16" s="103"/>
      <c r="J16" s="103"/>
      <c r="K16" s="103"/>
      <c r="L16" s="103"/>
      <c r="M16" s="112"/>
    </row>
    <row r="17" spans="1:20" ht="23.25" customHeight="1" x14ac:dyDescent="0.25">
      <c r="A17" s="35"/>
      <c r="B17" s="103" t="s">
        <v>512</v>
      </c>
      <c r="C17" s="109">
        <v>7</v>
      </c>
      <c r="D17" s="103">
        <f>+'Notes 8 &amp; 9'!D27+'Notes 8 &amp; 9'!C27+'Notes 8 &amp; 9'!E27</f>
        <v>0</v>
      </c>
      <c r="E17" s="103"/>
      <c r="F17" s="103">
        <f t="shared" si="0"/>
        <v>0</v>
      </c>
      <c r="G17" s="103"/>
      <c r="H17" s="103"/>
      <c r="I17" s="103"/>
      <c r="J17" s="103"/>
      <c r="K17" s="103"/>
      <c r="L17" s="103"/>
      <c r="M17" s="112"/>
    </row>
    <row r="18" spans="1:20" ht="23.25" customHeight="1" x14ac:dyDescent="0.25">
      <c r="B18" s="103" t="s">
        <v>513</v>
      </c>
      <c r="C18" s="109">
        <v>9</v>
      </c>
      <c r="D18" s="103">
        <v>0</v>
      </c>
      <c r="E18" s="107"/>
      <c r="F18" s="103">
        <f t="shared" si="0"/>
        <v>0</v>
      </c>
      <c r="G18" s="103"/>
      <c r="H18" s="103"/>
      <c r="I18" s="103"/>
      <c r="J18" s="103"/>
      <c r="K18" s="103"/>
      <c r="L18" s="103"/>
      <c r="M18" s="112"/>
    </row>
    <row r="19" spans="1:20" ht="23.25" customHeight="1" x14ac:dyDescent="0.25">
      <c r="B19" s="103" t="s">
        <v>514</v>
      </c>
      <c r="C19" s="109">
        <v>9</v>
      </c>
      <c r="D19" s="103">
        <f>+'Notes 8 &amp; 9'!D27</f>
        <v>0</v>
      </c>
      <c r="E19" s="107"/>
      <c r="F19" s="103">
        <f t="shared" si="0"/>
        <v>0</v>
      </c>
      <c r="G19" s="103"/>
      <c r="H19" s="103"/>
      <c r="I19" s="103"/>
      <c r="J19" s="103"/>
      <c r="K19" s="103"/>
      <c r="L19" s="103"/>
      <c r="M19" s="112"/>
    </row>
    <row r="20" spans="1:20" ht="23.25" customHeight="1" x14ac:dyDescent="0.25">
      <c r="B20" s="35" t="s">
        <v>515</v>
      </c>
      <c r="C20" s="102"/>
      <c r="D20" s="103"/>
      <c r="E20" s="103"/>
      <c r="F20" s="103"/>
      <c r="G20" s="103"/>
      <c r="H20" s="103"/>
      <c r="I20" s="103"/>
      <c r="J20" s="103"/>
      <c r="K20" s="103"/>
      <c r="L20" s="103"/>
      <c r="M20" s="112"/>
    </row>
    <row r="21" spans="1:20" ht="23.25" customHeight="1" x14ac:dyDescent="0.25">
      <c r="B21" s="103" t="s">
        <v>516</v>
      </c>
      <c r="C21" s="102"/>
      <c r="D21" s="103">
        <f>-'Note 3a'!D23-'Note 3b &amp; 3c'!D28</f>
        <v>0</v>
      </c>
      <c r="E21" s="107"/>
      <c r="F21" s="103">
        <f>E21-D21</f>
        <v>0</v>
      </c>
      <c r="G21" s="103"/>
      <c r="H21" s="103"/>
      <c r="I21" s="103"/>
      <c r="J21" s="103"/>
      <c r="K21" s="103"/>
      <c r="L21" s="103"/>
      <c r="M21" s="112"/>
    </row>
    <row r="22" spans="1:20" ht="23.25" customHeight="1" x14ac:dyDescent="0.25">
      <c r="B22" s="103" t="s">
        <v>517</v>
      </c>
      <c r="C22" s="102"/>
      <c r="D22" s="103">
        <f>-'Note 3a'!D24-'Note 3b &amp; 3c'!D29</f>
        <v>0</v>
      </c>
      <c r="E22" s="107"/>
      <c r="F22" s="103">
        <f>E22-D22</f>
        <v>0</v>
      </c>
      <c r="G22" s="103"/>
      <c r="H22" s="103"/>
      <c r="I22" s="103"/>
      <c r="J22" s="103"/>
      <c r="K22" s="103"/>
      <c r="L22" s="103"/>
      <c r="M22" s="112"/>
    </row>
    <row r="23" spans="1:20" ht="23.25" customHeight="1" x14ac:dyDescent="0.25">
      <c r="B23" s="103" t="s">
        <v>518</v>
      </c>
      <c r="C23" s="109">
        <v>8</v>
      </c>
      <c r="D23" s="103"/>
      <c r="E23" s="107"/>
      <c r="F23" s="103">
        <f>E23-D23</f>
        <v>0</v>
      </c>
      <c r="G23" s="103"/>
      <c r="H23" s="110"/>
      <c r="I23" s="110"/>
      <c r="J23" s="103"/>
      <c r="K23" s="103"/>
      <c r="L23" s="103"/>
      <c r="M23" s="112"/>
    </row>
    <row r="24" spans="1:20" ht="23.25" customHeight="1" x14ac:dyDescent="0.25">
      <c r="B24" s="103" t="s">
        <v>519</v>
      </c>
      <c r="C24" s="109">
        <v>9</v>
      </c>
      <c r="D24" s="35">
        <f>+'Notes 8 &amp; 9'!D29</f>
        <v>0</v>
      </c>
      <c r="E24" s="107"/>
      <c r="F24" s="103">
        <f>E24-D24</f>
        <v>0</v>
      </c>
      <c r="G24" s="103"/>
      <c r="H24" s="110"/>
      <c r="I24" s="110"/>
      <c r="J24" s="103"/>
      <c r="K24" s="103"/>
      <c r="L24" s="103"/>
      <c r="M24" s="112"/>
    </row>
    <row r="25" spans="1:20" ht="23.25" customHeight="1" x14ac:dyDescent="0.25">
      <c r="B25" s="35" t="s">
        <v>520</v>
      </c>
      <c r="C25" s="102"/>
      <c r="D25" s="103"/>
      <c r="E25" s="103"/>
      <c r="F25" s="103"/>
      <c r="G25" s="103"/>
      <c r="H25" s="103"/>
      <c r="I25" s="103"/>
      <c r="J25" s="103"/>
      <c r="K25" s="103"/>
      <c r="L25" s="103"/>
      <c r="M25" s="112"/>
    </row>
    <row r="26" spans="1:20" ht="23.25" customHeight="1" x14ac:dyDescent="0.25">
      <c r="B26" s="1189" t="s">
        <v>1968</v>
      </c>
      <c r="C26" s="102">
        <v>3</v>
      </c>
      <c r="D26" s="35">
        <f>-(+'Note 3a'!D21+'Note 3a'!D22+'Note 3a'!D28+'Note 3b &amp; 3c'!D25+'Note 3b &amp; 3c'!D26+'Note 3b &amp; 3c'!D27)</f>
        <v>0</v>
      </c>
      <c r="E26" s="107">
        <v>-22636</v>
      </c>
      <c r="F26" s="103">
        <f t="shared" ref="F26:F42" si="1">E26-D26</f>
        <v>-22636</v>
      </c>
      <c r="G26" s="103"/>
      <c r="H26" s="110" t="str">
        <f>IF(SUM(D26:D29)=-SCF!D12,"OK","ERROR")</f>
        <v>OK</v>
      </c>
      <c r="I26" s="103">
        <f>SUM(D26:D29)</f>
        <v>0</v>
      </c>
      <c r="J26" s="103">
        <f>-SCF!D12</f>
        <v>0</v>
      </c>
      <c r="K26" s="103">
        <f>+I26-J26</f>
        <v>0</v>
      </c>
      <c r="L26" s="103"/>
      <c r="M26" s="112"/>
    </row>
    <row r="27" spans="1:20" ht="23.25" hidden="1" customHeight="1" x14ac:dyDescent="0.25">
      <c r="B27" s="103" t="s">
        <v>521</v>
      </c>
      <c r="C27" s="102"/>
      <c r="D27" s="35"/>
      <c r="E27" s="107"/>
      <c r="F27" s="103">
        <f t="shared" si="1"/>
        <v>0</v>
      </c>
      <c r="G27" s="103"/>
      <c r="H27" s="110"/>
      <c r="I27" s="103"/>
      <c r="J27" s="103"/>
      <c r="K27" s="103"/>
      <c r="L27" s="103"/>
      <c r="M27" s="112"/>
    </row>
    <row r="28" spans="1:20" ht="23.25" customHeight="1" x14ac:dyDescent="0.25">
      <c r="B28" s="103" t="s">
        <v>522</v>
      </c>
      <c r="C28" s="102"/>
      <c r="D28" s="35">
        <f>-(+'Note 3a'!D26+'Note 3a'!D27+'Note 3b &amp; 3c'!D31+'Note 3b &amp; 3c'!D32)</f>
        <v>0</v>
      </c>
      <c r="E28" s="107">
        <v>-18524</v>
      </c>
      <c r="F28" s="103">
        <f t="shared" si="1"/>
        <v>-18524</v>
      </c>
      <c r="G28" s="103"/>
      <c r="H28" s="110"/>
      <c r="I28" s="103"/>
      <c r="J28" s="103"/>
      <c r="K28" s="103"/>
      <c r="L28" s="103"/>
      <c r="M28" s="112"/>
    </row>
    <row r="29" spans="1:20" ht="23.25" customHeight="1" x14ac:dyDescent="0.25">
      <c r="B29" s="103" t="s">
        <v>523</v>
      </c>
      <c r="C29" s="102"/>
      <c r="D29" s="35">
        <f>-('Note 3a'!D25+'Note 3a'!D29+'Note 3a'!D30+'Note 3b &amp; 3c'!D30+'Note 3b &amp; 3c'!D107)</f>
        <v>0</v>
      </c>
      <c r="E29" s="107">
        <v>140000</v>
      </c>
      <c r="F29" s="103">
        <f t="shared" si="1"/>
        <v>140000</v>
      </c>
      <c r="G29" s="103"/>
      <c r="H29" s="110"/>
      <c r="I29" s="103"/>
      <c r="J29" s="103"/>
      <c r="K29" s="103"/>
      <c r="L29" s="103"/>
      <c r="M29" s="112"/>
    </row>
    <row r="30" spans="1:20" ht="23.25" customHeight="1" x14ac:dyDescent="0.25">
      <c r="B30" s="103" t="s">
        <v>2497</v>
      </c>
      <c r="C30" s="102"/>
      <c r="D30" s="35">
        <f>+'Notes 10 &amp; 11'!C14-'Notes 10 &amp; 11'!G14</f>
        <v>-1088</v>
      </c>
      <c r="E30" s="107"/>
      <c r="F30" s="103">
        <f t="shared" si="1"/>
        <v>1088</v>
      </c>
      <c r="G30" s="103"/>
      <c r="H30" s="110"/>
      <c r="I30" s="103"/>
      <c r="J30" s="103"/>
      <c r="K30" s="103"/>
      <c r="L30" s="103"/>
      <c r="M30" s="112"/>
    </row>
    <row r="31" spans="1:20" ht="23.25" customHeight="1" x14ac:dyDescent="0.25">
      <c r="B31" s="103" t="s">
        <v>2499</v>
      </c>
      <c r="C31" s="109">
        <v>12</v>
      </c>
      <c r="D31" s="35">
        <f>(+'Note 12'!C47-'Note 12'!G47)</f>
        <v>-25244</v>
      </c>
      <c r="E31" s="107">
        <v>200000</v>
      </c>
      <c r="F31" s="103">
        <f t="shared" si="1"/>
        <v>225244</v>
      </c>
      <c r="G31" s="103"/>
      <c r="H31" s="110"/>
      <c r="I31" s="103"/>
      <c r="J31" s="103"/>
      <c r="K31" s="103"/>
      <c r="L31" s="103"/>
      <c r="M31" s="112"/>
      <c r="T31" s="1584"/>
    </row>
    <row r="32" spans="1:20" ht="23.25" customHeight="1" x14ac:dyDescent="0.25">
      <c r="B32" s="103" t="s">
        <v>2498</v>
      </c>
      <c r="C32" s="109">
        <v>13</v>
      </c>
      <c r="D32" s="35">
        <f>-'Note 13'!C55+'Note 13'!G55+'Note 13'!C11-'Note 13'!G11-SCF!D23-SCF!D24-SCF!D25</f>
        <v>212081</v>
      </c>
      <c r="E32" s="107">
        <v>85000</v>
      </c>
      <c r="F32" s="103">
        <f t="shared" si="1"/>
        <v>-127081</v>
      </c>
      <c r="G32" s="103"/>
      <c r="H32" s="110"/>
      <c r="I32" s="103"/>
      <c r="J32" s="103"/>
      <c r="K32" s="103"/>
      <c r="L32" s="103"/>
      <c r="M32" s="112"/>
      <c r="T32" s="1584"/>
    </row>
    <row r="33" spans="1:21" ht="23.25" customHeight="1" x14ac:dyDescent="0.25">
      <c r="A33" s="35"/>
      <c r="B33" s="103" t="s">
        <v>524</v>
      </c>
      <c r="C33" s="109">
        <v>12</v>
      </c>
      <c r="D33" s="103">
        <f>+'Note 13'!G30-'Note 13'!C30</f>
        <v>0</v>
      </c>
      <c r="E33" s="107">
        <v>1695</v>
      </c>
      <c r="F33" s="103">
        <f t="shared" si="1"/>
        <v>1695</v>
      </c>
      <c r="G33" s="103"/>
      <c r="H33" s="110"/>
      <c r="I33" s="103"/>
      <c r="J33" s="103"/>
      <c r="K33" s="103"/>
      <c r="L33" s="103"/>
      <c r="M33" s="112"/>
      <c r="T33" s="1584"/>
    </row>
    <row r="34" spans="1:21" ht="23.25" customHeight="1" x14ac:dyDescent="0.25">
      <c r="A34" s="35"/>
      <c r="B34" s="103" t="s">
        <v>525</v>
      </c>
      <c r="C34" s="109">
        <v>12</v>
      </c>
      <c r="D34" s="103">
        <f>(-'Note 12'!C21+'Note 12'!G21)</f>
        <v>0</v>
      </c>
      <c r="E34" s="107"/>
      <c r="F34" s="103">
        <f t="shared" si="1"/>
        <v>0</v>
      </c>
      <c r="G34" s="103"/>
      <c r="H34" s="110"/>
      <c r="I34" s="103"/>
      <c r="J34" s="103"/>
      <c r="K34" s="103"/>
      <c r="L34" s="103"/>
      <c r="M34" s="112"/>
      <c r="T34" s="1584"/>
    </row>
    <row r="35" spans="1:21" ht="23.25" customHeight="1" x14ac:dyDescent="0.25">
      <c r="A35" s="35"/>
      <c r="B35" s="56" t="s">
        <v>526</v>
      </c>
      <c r="C35" s="102">
        <v>13</v>
      </c>
      <c r="D35" s="103">
        <f>+'Note 13'!C27-'Note 13'!G27</f>
        <v>-27203</v>
      </c>
      <c r="E35" s="107"/>
      <c r="F35" s="103">
        <f t="shared" si="1"/>
        <v>27203</v>
      </c>
      <c r="G35" s="103"/>
      <c r="H35" s="110"/>
      <c r="I35" s="103"/>
      <c r="J35" s="103"/>
      <c r="K35" s="103"/>
      <c r="L35" s="103"/>
      <c r="M35" s="112"/>
      <c r="T35" s="1584"/>
    </row>
    <row r="36" spans="1:21" ht="23.25" customHeight="1" x14ac:dyDescent="0.25">
      <c r="A36" s="35"/>
      <c r="B36" s="56" t="s">
        <v>527</v>
      </c>
      <c r="C36" s="91"/>
      <c r="D36" s="103"/>
      <c r="E36" s="107"/>
      <c r="F36" s="103">
        <f t="shared" si="1"/>
        <v>0</v>
      </c>
      <c r="G36" s="103"/>
      <c r="H36" s="110"/>
      <c r="I36" s="103"/>
      <c r="J36" s="103"/>
      <c r="K36" s="103"/>
      <c r="L36" s="103"/>
      <c r="M36" s="112"/>
      <c r="T36" s="1584"/>
    </row>
    <row r="37" spans="1:21" ht="23.25" customHeight="1" x14ac:dyDescent="0.25">
      <c r="A37" s="35"/>
      <c r="B37" s="103" t="s">
        <v>528</v>
      </c>
      <c r="C37" s="79">
        <v>13</v>
      </c>
      <c r="D37" s="35">
        <f>+'Note 13'!C29-'Note 13'!G29</f>
        <v>-1419</v>
      </c>
      <c r="E37" s="107"/>
      <c r="F37" s="103">
        <f t="shared" si="1"/>
        <v>1419</v>
      </c>
      <c r="G37" s="103"/>
      <c r="H37" s="110"/>
      <c r="I37" s="103"/>
      <c r="J37" s="103"/>
      <c r="K37" s="103"/>
      <c r="L37" s="103"/>
      <c r="M37" s="112"/>
      <c r="T37" s="1584"/>
    </row>
    <row r="38" spans="1:21" ht="23.25" customHeight="1" x14ac:dyDescent="0.25">
      <c r="A38" s="35"/>
      <c r="B38" s="103" t="s">
        <v>529</v>
      </c>
      <c r="C38" s="109">
        <v>13</v>
      </c>
      <c r="D38" s="103">
        <f>+'Note 13'!C30-'Note 13'!G30</f>
        <v>0</v>
      </c>
      <c r="E38" s="107"/>
      <c r="F38" s="103">
        <f t="shared" si="1"/>
        <v>0</v>
      </c>
      <c r="G38" s="103"/>
      <c r="H38" s="110"/>
      <c r="I38" s="103"/>
      <c r="J38" s="103"/>
      <c r="K38" s="103"/>
      <c r="L38" s="103"/>
      <c r="M38" s="112"/>
      <c r="T38" s="1584"/>
    </row>
    <row r="39" spans="1:21" ht="23.25" customHeight="1" x14ac:dyDescent="0.25">
      <c r="A39" s="35"/>
      <c r="B39" s="103" t="s">
        <v>2502</v>
      </c>
      <c r="C39" s="102"/>
      <c r="D39" s="1793">
        <f>-SCF!D56</f>
        <v>0</v>
      </c>
      <c r="E39" s="107"/>
      <c r="F39" s="103">
        <f t="shared" si="1"/>
        <v>0</v>
      </c>
      <c r="G39" s="103"/>
      <c r="H39" s="103"/>
      <c r="I39" s="103"/>
      <c r="J39" s="103"/>
      <c r="K39" s="103"/>
      <c r="L39" s="103"/>
      <c r="M39" s="112"/>
      <c r="T39" s="1584"/>
    </row>
    <row r="40" spans="1:21" ht="23.25" customHeight="1" x14ac:dyDescent="0.25">
      <c r="A40" s="35"/>
      <c r="B40" s="103" t="s">
        <v>530</v>
      </c>
      <c r="C40" s="109">
        <v>13</v>
      </c>
      <c r="D40" s="35">
        <f>-'Note 13'!C57+'Note 13'!G57</f>
        <v>178</v>
      </c>
      <c r="E40" s="107"/>
      <c r="F40" s="103">
        <f t="shared" si="1"/>
        <v>-178</v>
      </c>
      <c r="G40" s="103"/>
      <c r="H40" s="103"/>
      <c r="I40" s="103"/>
      <c r="J40" s="103"/>
      <c r="K40" s="103"/>
      <c r="L40" s="103"/>
      <c r="M40" s="112"/>
      <c r="T40" s="1584"/>
    </row>
    <row r="41" spans="1:21" ht="23.25" customHeight="1" x14ac:dyDescent="0.25">
      <c r="A41" s="35"/>
      <c r="B41" s="103" t="s">
        <v>531</v>
      </c>
      <c r="C41" s="109">
        <v>14</v>
      </c>
      <c r="D41" s="35">
        <f>-'Note 14'!U21</f>
        <v>0</v>
      </c>
      <c r="E41" s="107"/>
      <c r="F41" s="103">
        <f t="shared" si="1"/>
        <v>0</v>
      </c>
      <c r="G41" s="103"/>
      <c r="H41" s="103"/>
      <c r="I41" s="103"/>
      <c r="J41" s="103"/>
      <c r="K41" s="103"/>
      <c r="L41" s="103"/>
      <c r="M41" s="112"/>
      <c r="T41" s="1584"/>
    </row>
    <row r="42" spans="1:21" ht="23.25" customHeight="1" x14ac:dyDescent="0.25">
      <c r="A42" s="35"/>
      <c r="B42" s="103" t="s">
        <v>532</v>
      </c>
      <c r="C42" s="102"/>
      <c r="D42" s="103"/>
      <c r="E42" s="103"/>
      <c r="F42" s="103">
        <f t="shared" si="1"/>
        <v>0</v>
      </c>
      <c r="G42" s="103"/>
      <c r="H42" s="103"/>
      <c r="I42" s="103"/>
      <c r="J42" s="103"/>
      <c r="K42" s="103"/>
      <c r="L42" s="103"/>
      <c r="M42" s="112"/>
      <c r="T42" s="1584"/>
    </row>
    <row r="43" spans="1:21" s="47" customFormat="1" ht="23.25" customHeight="1" thickBot="1" x14ac:dyDescent="0.3">
      <c r="B43" s="47" t="s">
        <v>533</v>
      </c>
      <c r="C43" s="113"/>
      <c r="D43" s="114" t="e">
        <f>SUM(D11:D42)</f>
        <v>#VALUE!</v>
      </c>
      <c r="E43" s="114">
        <f>SUM(E11:E42)</f>
        <v>9466341</v>
      </c>
      <c r="F43" s="114" t="e">
        <f>SUM(F11:F42)</f>
        <v>#VALUE!</v>
      </c>
      <c r="M43" s="112" t="e">
        <f>F43/E43</f>
        <v>#VALUE!</v>
      </c>
      <c r="Q43"/>
      <c r="R43"/>
      <c r="S43"/>
      <c r="T43" s="39"/>
    </row>
    <row r="44" spans="1:21" x14ac:dyDescent="0.25">
      <c r="A44" s="35"/>
      <c r="B44" s="103"/>
      <c r="C44" s="102"/>
      <c r="D44" s="110"/>
      <c r="E44" s="103"/>
      <c r="F44" s="103"/>
      <c r="G44" s="103"/>
      <c r="H44" s="103"/>
      <c r="I44" s="103"/>
      <c r="J44" s="103"/>
      <c r="K44" s="103"/>
      <c r="L44" s="103"/>
      <c r="M44" s="103"/>
      <c r="T44" s="1584"/>
    </row>
    <row r="45" spans="1:21" x14ac:dyDescent="0.25">
      <c r="A45" s="35"/>
      <c r="B45" s="103"/>
      <c r="C45" s="102"/>
      <c r="D45" s="110" t="e">
        <f>IF(D43=SOAS!D49,"OK","ERROR")</f>
        <v>#VALUE!</v>
      </c>
      <c r="E45" s="110" t="str">
        <f>IF(E43=SOAS!E49,"OK","ERROR")</f>
        <v>OK</v>
      </c>
      <c r="F45" s="110" t="e">
        <f>IF(ROUND(F43,0)=ROUND(SOAS!F49,0),"OK","ERROR")</f>
        <v>#VALUE!</v>
      </c>
      <c r="G45" s="110"/>
      <c r="H45" s="103"/>
      <c r="I45" s="103"/>
      <c r="J45" s="103"/>
      <c r="K45" s="103"/>
      <c r="L45" s="103"/>
      <c r="M45" s="103"/>
      <c r="T45" s="1584"/>
    </row>
    <row r="46" spans="1:21" s="1189" customFormat="1" x14ac:dyDescent="0.25">
      <c r="A46" s="1187"/>
      <c r="C46" s="1188"/>
      <c r="Q46"/>
      <c r="R46"/>
      <c r="S46"/>
      <c r="T46" s="1792"/>
    </row>
    <row r="47" spans="1:21" s="1189" customFormat="1" x14ac:dyDescent="0.25">
      <c r="A47" s="1439"/>
      <c r="B47" s="1187"/>
      <c r="C47" s="1440"/>
      <c r="D47" s="1905" t="str">
        <f>Update!$C$38</f>
        <v>2025-26</v>
      </c>
      <c r="E47" s="1905"/>
      <c r="F47" s="1905"/>
      <c r="Q47"/>
      <c r="R47"/>
      <c r="S47"/>
      <c r="T47" s="1792"/>
    </row>
    <row r="48" spans="1:21" s="936" customFormat="1" ht="78" customHeight="1" x14ac:dyDescent="0.25">
      <c r="A48" s="1441"/>
      <c r="B48" s="1442" t="s">
        <v>2112</v>
      </c>
      <c r="C48" s="1443" t="s">
        <v>461</v>
      </c>
      <c r="D48" s="1444" t="s">
        <v>494</v>
      </c>
      <c r="E48" s="1444" t="s">
        <v>495</v>
      </c>
      <c r="F48" s="1444" t="s">
        <v>2316</v>
      </c>
      <c r="G48" s="1444"/>
      <c r="Q48"/>
      <c r="R48"/>
      <c r="S48"/>
      <c r="T48" s="1584"/>
      <c r="U48" s="1503"/>
    </row>
    <row r="49" spans="1:19" s="1189" customFormat="1" x14ac:dyDescent="0.25">
      <c r="A49" s="1187"/>
      <c r="D49" s="39" t="s">
        <v>462</v>
      </c>
      <c r="E49" s="39" t="s">
        <v>462</v>
      </c>
      <c r="F49" s="39" t="s">
        <v>462</v>
      </c>
      <c r="G49" s="1445"/>
      <c r="H49" s="1187"/>
      <c r="Q49"/>
      <c r="R49"/>
      <c r="S49"/>
    </row>
    <row r="50" spans="1:19" s="1189" customFormat="1" x14ac:dyDescent="0.25">
      <c r="A50" s="1187"/>
      <c r="C50" s="1188"/>
      <c r="Q50"/>
      <c r="R50"/>
      <c r="S50"/>
    </row>
    <row r="51" spans="1:19" x14ac:dyDescent="0.25">
      <c r="B51" s="1187" t="s">
        <v>505</v>
      </c>
      <c r="C51" s="1188" t="s">
        <v>1609</v>
      </c>
      <c r="D51" s="1112" t="e">
        <f>+D11+D12+D42</f>
        <v>#VALUE!</v>
      </c>
      <c r="E51" s="1112">
        <f>+E11+E12</f>
        <v>9080806</v>
      </c>
      <c r="F51" s="1112" t="e">
        <f>+F11+F12</f>
        <v>#VALUE!</v>
      </c>
    </row>
    <row r="52" spans="1:19" x14ac:dyDescent="0.25">
      <c r="B52" s="1187" t="s">
        <v>2317</v>
      </c>
      <c r="C52" s="1188"/>
    </row>
    <row r="53" spans="1:19" x14ac:dyDescent="0.25">
      <c r="B53" s="1189" t="s">
        <v>508</v>
      </c>
      <c r="C53" s="1188" t="s">
        <v>2318</v>
      </c>
      <c r="D53" s="1112">
        <f>SUM(D14:D19)</f>
        <v>1310</v>
      </c>
      <c r="E53" s="1112">
        <f>SUM(E14:E19)</f>
        <v>0</v>
      </c>
      <c r="F53" s="1112">
        <f>SUM(F14:F19)</f>
        <v>-1310</v>
      </c>
    </row>
    <row r="54" spans="1:19" x14ac:dyDescent="0.25">
      <c r="B54" s="1189" t="s">
        <v>515</v>
      </c>
      <c r="C54" s="1188" t="s">
        <v>2319</v>
      </c>
      <c r="D54" s="1446">
        <f>SUM(D21:D24)</f>
        <v>0</v>
      </c>
      <c r="E54" s="1446">
        <f>SUM(E21:E24)</f>
        <v>0</v>
      </c>
      <c r="F54" s="1446">
        <f>SUM(F21:F24)</f>
        <v>0</v>
      </c>
    </row>
    <row r="55" spans="1:19" x14ac:dyDescent="0.25">
      <c r="B55" s="1189"/>
      <c r="C55" s="1188"/>
    </row>
    <row r="56" spans="1:19" x14ac:dyDescent="0.25">
      <c r="B56" s="1187" t="s">
        <v>2320</v>
      </c>
      <c r="C56" s="1188"/>
      <c r="D56" s="1112">
        <f>SUM(D53:D54)</f>
        <v>1310</v>
      </c>
      <c r="E56" s="1112">
        <f>SUM(E53:E54)</f>
        <v>0</v>
      </c>
      <c r="F56" s="1112">
        <f>SUM(F53:F54)</f>
        <v>-1310</v>
      </c>
    </row>
    <row r="57" spans="1:19" x14ac:dyDescent="0.25">
      <c r="B57" s="1189"/>
      <c r="C57" s="1188"/>
    </row>
    <row r="58" spans="1:19" x14ac:dyDescent="0.25">
      <c r="B58" s="1187" t="s">
        <v>2321</v>
      </c>
      <c r="C58" s="1188"/>
    </row>
    <row r="59" spans="1:19" x14ac:dyDescent="0.25">
      <c r="B59" s="1189" t="s">
        <v>2322</v>
      </c>
      <c r="C59" s="1188" t="s">
        <v>121</v>
      </c>
      <c r="D59" s="1112">
        <f>+D26</f>
        <v>0</v>
      </c>
      <c r="E59" s="1112">
        <f>+E26</f>
        <v>-22636</v>
      </c>
      <c r="F59" s="1112">
        <f>+F26</f>
        <v>-22636</v>
      </c>
    </row>
    <row r="60" spans="1:19" x14ac:dyDescent="0.25">
      <c r="B60" s="1189" t="s">
        <v>2169</v>
      </c>
      <c r="C60" s="1188" t="s">
        <v>2323</v>
      </c>
      <c r="D60" s="1112">
        <f t="shared" ref="D60:F61" si="2">+D28</f>
        <v>0</v>
      </c>
      <c r="E60" s="1112">
        <f t="shared" si="2"/>
        <v>-18524</v>
      </c>
      <c r="F60" s="1112">
        <f t="shared" si="2"/>
        <v>-18524</v>
      </c>
    </row>
    <row r="61" spans="1:19" x14ac:dyDescent="0.25">
      <c r="B61" s="1189" t="s">
        <v>2324</v>
      </c>
      <c r="C61" s="1188" t="s">
        <v>121</v>
      </c>
      <c r="D61" s="1112">
        <f t="shared" si="2"/>
        <v>0</v>
      </c>
      <c r="E61" s="1112">
        <f t="shared" si="2"/>
        <v>140000</v>
      </c>
      <c r="F61" s="1112">
        <f t="shared" si="2"/>
        <v>140000</v>
      </c>
    </row>
    <row r="62" spans="1:19" x14ac:dyDescent="0.25">
      <c r="B62" s="1189" t="s">
        <v>2325</v>
      </c>
      <c r="C62" s="1188" t="s">
        <v>2326</v>
      </c>
      <c r="D62" s="1112">
        <f>SUM(D30:D40)</f>
        <v>157305</v>
      </c>
      <c r="E62" s="1112">
        <f>SUM(E30:E40)</f>
        <v>286695</v>
      </c>
      <c r="F62" s="1112">
        <f>SUM(F30:F40)</f>
        <v>129390</v>
      </c>
    </row>
    <row r="63" spans="1:19" x14ac:dyDescent="0.25">
      <c r="B63" s="1189" t="s">
        <v>91</v>
      </c>
      <c r="C63" s="1188">
        <v>15</v>
      </c>
      <c r="D63" s="1189">
        <f>+D41</f>
        <v>0</v>
      </c>
      <c r="E63" s="1189">
        <f>+E41</f>
        <v>0</v>
      </c>
      <c r="F63" s="1189">
        <f>+F41</f>
        <v>0</v>
      </c>
    </row>
    <row r="64" spans="1:19" x14ac:dyDescent="0.25">
      <c r="B64" s="1189"/>
      <c r="C64" s="1188"/>
      <c r="D64" s="1447"/>
      <c r="E64" s="1447"/>
      <c r="F64" s="1447"/>
    </row>
    <row r="65" spans="1:6" x14ac:dyDescent="0.25">
      <c r="B65" s="1187" t="s">
        <v>2327</v>
      </c>
      <c r="C65" s="1188"/>
      <c r="D65" s="1189">
        <f>SUM(D59:D63)</f>
        <v>157305</v>
      </c>
      <c r="E65" s="1189">
        <f>SUM(E59:E63)</f>
        <v>385535</v>
      </c>
      <c r="F65" s="1189">
        <f>SUM(F59:F63)</f>
        <v>228230</v>
      </c>
    </row>
    <row r="66" spans="1:6" ht="15.75" thickBot="1" x14ac:dyDescent="0.3">
      <c r="B66" s="937" t="s">
        <v>724</v>
      </c>
      <c r="C66" s="1186"/>
      <c r="D66" s="1448" t="e">
        <f>+D65+D56+D51</f>
        <v>#VALUE!</v>
      </c>
      <c r="E66" s="1448">
        <f>+E65+E56+E51</f>
        <v>9466341</v>
      </c>
      <c r="F66" s="1448" t="e">
        <f>+F65+F56+F51</f>
        <v>#VALUE!</v>
      </c>
    </row>
    <row r="70" spans="1:6" x14ac:dyDescent="0.25">
      <c r="B70" s="1187" t="s">
        <v>2496</v>
      </c>
      <c r="C70" s="1188"/>
      <c r="D70" s="1189"/>
      <c r="E70" s="1189"/>
    </row>
    <row r="74" spans="1:6" x14ac:dyDescent="0.25">
      <c r="A74" s="1519" t="s">
        <v>2432</v>
      </c>
    </row>
    <row r="75" spans="1:6" x14ac:dyDescent="0.25">
      <c r="B75" t="s">
        <v>2433</v>
      </c>
    </row>
    <row r="76" spans="1:6" x14ac:dyDescent="0.25">
      <c r="B76" t="s">
        <v>1892</v>
      </c>
      <c r="C76" s="1112">
        <f>+'Notes 10 &amp; 11'!C20</f>
        <v>-7487</v>
      </c>
    </row>
    <row r="77" spans="1:6" x14ac:dyDescent="0.25">
      <c r="B77" t="s">
        <v>2434</v>
      </c>
      <c r="C77" s="1112">
        <f>+'Notes 10 &amp; 11'!C22</f>
        <v>0</v>
      </c>
    </row>
    <row r="78" spans="1:6" ht="15.75" thickBot="1" x14ac:dyDescent="0.3">
      <c r="B78" t="s">
        <v>2435</v>
      </c>
      <c r="C78" s="1518">
        <f>+C76-C77</f>
        <v>-7487</v>
      </c>
    </row>
    <row r="79" spans="1:6" ht="15.75" thickTop="1" x14ac:dyDescent="0.25"/>
    <row r="81" spans="2:5" x14ac:dyDescent="0.25">
      <c r="B81" t="s">
        <v>2436</v>
      </c>
      <c r="C81" s="1112" t="e">
        <f>+D66</f>
        <v>#VALUE!</v>
      </c>
    </row>
    <row r="82" spans="2:5" x14ac:dyDescent="0.25">
      <c r="B82" t="s">
        <v>2437</v>
      </c>
      <c r="C82" s="1112">
        <f>+TE!G48+TE!G49</f>
        <v>0</v>
      </c>
    </row>
    <row r="83" spans="2:5" ht="15.75" thickBot="1" x14ac:dyDescent="0.3">
      <c r="C83" s="1518" t="e">
        <f>+C81-C82</f>
        <v>#VALUE!</v>
      </c>
      <c r="D83" s="1112" t="e">
        <f>+C83-C78</f>
        <v>#VALUE!</v>
      </c>
    </row>
    <row r="84" spans="2:5" ht="15.75" thickTop="1" x14ac:dyDescent="0.25"/>
    <row r="85" spans="2:5" x14ac:dyDescent="0.25">
      <c r="B85" t="s">
        <v>2438</v>
      </c>
    </row>
    <row r="86" spans="2:5" x14ac:dyDescent="0.25">
      <c r="B86" t="s">
        <v>2439</v>
      </c>
    </row>
    <row r="87" spans="2:5" x14ac:dyDescent="0.25">
      <c r="B87" t="s">
        <v>2440</v>
      </c>
      <c r="C87" s="1112">
        <f>+'CFER RECONCILIATION'!E17-173</f>
        <v>1246</v>
      </c>
    </row>
    <row r="88" spans="2:5" x14ac:dyDescent="0.25">
      <c r="B88" t="s">
        <v>2441</v>
      </c>
      <c r="C88" s="1112">
        <f>-'Note 12'!C21</f>
        <v>0</v>
      </c>
    </row>
    <row r="89" spans="2:5" x14ac:dyDescent="0.25">
      <c r="B89" t="s">
        <v>2442</v>
      </c>
      <c r="C89" s="1112">
        <f>+'Note 13'!C27</f>
        <v>0</v>
      </c>
    </row>
    <row r="90" spans="2:5" x14ac:dyDescent="0.25">
      <c r="B90" t="s">
        <v>2443</v>
      </c>
      <c r="C90" s="1501">
        <f>SUM(C86:C89)</f>
        <v>1246</v>
      </c>
    </row>
    <row r="91" spans="2:5" x14ac:dyDescent="0.25">
      <c r="B91" t="s">
        <v>2444</v>
      </c>
      <c r="C91" s="1112">
        <f>+C77</f>
        <v>0</v>
      </c>
    </row>
    <row r="92" spans="2:5" ht="15.75" thickBot="1" x14ac:dyDescent="0.3">
      <c r="B92" t="s">
        <v>2445</v>
      </c>
      <c r="C92" s="1518">
        <f>+C90-C91</f>
        <v>1246</v>
      </c>
      <c r="D92" s="1112" t="e">
        <f>+C92-C83</f>
        <v>#VALUE!</v>
      </c>
      <c r="E92" s="1112"/>
    </row>
    <row r="93" spans="2:5" ht="15.75" thickTop="1" x14ac:dyDescent="0.25">
      <c r="C93" s="1112"/>
    </row>
    <row r="94" spans="2:5" x14ac:dyDescent="0.25">
      <c r="C94" s="1112"/>
    </row>
    <row r="95" spans="2:5" x14ac:dyDescent="0.25">
      <c r="C95" s="1112"/>
    </row>
    <row r="96" spans="2:5" x14ac:dyDescent="0.25">
      <c r="C96" s="1112"/>
    </row>
    <row r="97" spans="3:3" x14ac:dyDescent="0.25">
      <c r="C97" s="1112"/>
    </row>
  </sheetData>
  <mergeCells count="2">
    <mergeCell ref="D7:F7"/>
    <mergeCell ref="D47:F47"/>
  </mergeCells>
  <printOptions gridLines="1"/>
  <pageMargins left="0.74803149606299213" right="0.74803149606299213" top="0.98425196850393704" bottom="0.98425196850393704" header="0.51181102362204722" footer="0.51181102362204722"/>
  <pageSetup paperSize="9" scale="45" orientation="portrait" r:id="rId1"/>
  <headerFooter alignWithMargins="0">
    <oddFooter>&amp;L&amp;F - &amp;A&amp;C&amp;P&amp;RPrinted at &amp;T on &amp;D</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8">
    <tabColor rgb="FFFFFF00"/>
    <pageSetUpPr fitToPage="1"/>
  </sheetPr>
  <dimension ref="A1:K68"/>
  <sheetViews>
    <sheetView zoomScaleNormal="100" workbookViewId="0"/>
  </sheetViews>
  <sheetFormatPr defaultColWidth="9.140625" defaultRowHeight="12.75" x14ac:dyDescent="0.2"/>
  <cols>
    <col min="1" max="1" width="45.7109375" style="457" customWidth="1"/>
    <col min="2" max="2" width="11.85546875" style="457" customWidth="1"/>
    <col min="3" max="3" width="14.28515625" style="457" bestFit="1" customWidth="1"/>
    <col min="4" max="4" width="11.85546875" style="457" customWidth="1"/>
    <col min="5" max="5" width="16" style="457" bestFit="1" customWidth="1"/>
    <col min="6" max="6" width="16.5703125" style="457" bestFit="1" customWidth="1"/>
    <col min="7" max="8" width="11.85546875" style="457" customWidth="1"/>
    <col min="9" max="9" width="16" style="457" bestFit="1" customWidth="1"/>
    <col min="10" max="10" width="11.85546875" style="457" customWidth="1"/>
    <col min="11" max="16384" width="9.140625" style="457"/>
  </cols>
  <sheetData>
    <row r="1" spans="1:11" ht="14.65" customHeight="1" x14ac:dyDescent="0.2">
      <c r="A1" s="416" t="str">
        <f>'alb Instructions'!$B$20</f>
        <v>enter HSC Body name here</v>
      </c>
      <c r="B1" s="536"/>
      <c r="C1" s="536"/>
      <c r="D1" s="536"/>
      <c r="E1" s="536"/>
      <c r="F1" s="536"/>
      <c r="G1" s="536"/>
      <c r="H1" s="536"/>
      <c r="I1" s="536"/>
      <c r="J1" s="536"/>
    </row>
    <row r="2" spans="1:11" ht="12.75" customHeight="1" x14ac:dyDescent="0.25">
      <c r="A2" s="610"/>
      <c r="B2" s="635"/>
      <c r="C2" s="635"/>
      <c r="D2" s="635"/>
      <c r="E2" s="635"/>
      <c r="F2" s="635"/>
      <c r="G2" s="635"/>
      <c r="H2" s="635"/>
      <c r="I2" s="635"/>
      <c r="J2" s="635"/>
    </row>
    <row r="3" spans="1:11" ht="12.75" customHeight="1" x14ac:dyDescent="0.2">
      <c r="A3" s="416" t="str">
        <f>"NOTES TO THE ACCOUNTS FOR THE YEAR ENDED"&amp;Update!$B$22</f>
        <v>NOTES TO THE ACCOUNTS FOR THE YEAR ENDED 31 March 2026</v>
      </c>
    </row>
    <row r="4" spans="1:11" ht="12.75" customHeight="1" x14ac:dyDescent="0.2">
      <c r="A4" s="536"/>
      <c r="K4" s="608"/>
    </row>
    <row r="5" spans="1:11" ht="12.75" customHeight="1" x14ac:dyDescent="0.2">
      <c r="A5" s="536" t="str">
        <f>"NOTE 6.2 Consolidated Intangible assets - year ended"&amp;""&amp;Update!$B$24</f>
        <v>NOTE 6.2 Consolidated Intangible assets - year ended 31 March 2025</v>
      </c>
      <c r="K5" s="608"/>
    </row>
    <row r="6" spans="1:11" ht="12.75" customHeight="1" x14ac:dyDescent="0.2">
      <c r="B6" s="2147"/>
      <c r="C6" s="2147"/>
      <c r="D6" s="2147"/>
      <c r="E6" s="2147"/>
      <c r="F6" s="2147"/>
      <c r="G6" s="2147"/>
      <c r="H6" s="2147"/>
      <c r="I6" s="2147"/>
      <c r="J6" s="2147"/>
    </row>
    <row r="7" spans="1:11" s="397" customFormat="1" ht="52.9" customHeight="1" x14ac:dyDescent="0.2">
      <c r="B7" s="631" t="s">
        <v>1267</v>
      </c>
      <c r="C7" s="605" t="s">
        <v>201</v>
      </c>
      <c r="D7" s="606" t="s">
        <v>451</v>
      </c>
      <c r="E7" s="605" t="s">
        <v>212</v>
      </c>
      <c r="F7" s="606" t="s">
        <v>1266</v>
      </c>
      <c r="G7" s="605" t="s">
        <v>453</v>
      </c>
      <c r="H7" s="606" t="s">
        <v>454</v>
      </c>
      <c r="I7" s="605" t="s">
        <v>455</v>
      </c>
      <c r="J7" s="604" t="s">
        <v>146</v>
      </c>
    </row>
    <row r="8" spans="1:11" s="397" customFormat="1" ht="12.75" customHeight="1" x14ac:dyDescent="0.2">
      <c r="B8" s="602" t="s">
        <v>493</v>
      </c>
      <c r="C8" s="602" t="s">
        <v>493</v>
      </c>
      <c r="D8" s="602" t="s">
        <v>493</v>
      </c>
      <c r="E8" s="602" t="s">
        <v>493</v>
      </c>
      <c r="F8" s="602" t="s">
        <v>493</v>
      </c>
      <c r="G8" s="602" t="s">
        <v>493</v>
      </c>
      <c r="H8" s="602" t="s">
        <v>493</v>
      </c>
      <c r="I8" s="602" t="s">
        <v>493</v>
      </c>
      <c r="J8" s="601" t="s">
        <v>493</v>
      </c>
    </row>
    <row r="9" spans="1:11" s="397" customFormat="1" ht="12.75" customHeight="1" x14ac:dyDescent="0.2">
      <c r="A9" s="388" t="s">
        <v>183</v>
      </c>
      <c r="B9" s="590"/>
      <c r="C9" s="432"/>
      <c r="D9" s="457"/>
      <c r="E9" s="432"/>
      <c r="F9" s="457"/>
      <c r="G9" s="432"/>
      <c r="H9" s="457"/>
      <c r="I9" s="432"/>
      <c r="J9" s="431"/>
    </row>
    <row r="10" spans="1:11" s="397" customFormat="1" ht="12.75" customHeight="1" x14ac:dyDescent="0.2">
      <c r="A10" s="549" t="str">
        <f>"At"&amp;Update!$B$18</f>
        <v>At 1 April 2024</v>
      </c>
      <c r="B10" s="439"/>
      <c r="C10" s="439"/>
      <c r="D10" s="439"/>
      <c r="E10" s="439"/>
      <c r="F10" s="439"/>
      <c r="G10" s="439"/>
      <c r="H10" s="439"/>
      <c r="I10" s="439"/>
      <c r="J10" s="431">
        <f t="shared" ref="J10:J19" si="0">SUM(B10:I10)</f>
        <v>0</v>
      </c>
    </row>
    <row r="11" spans="1:11" ht="12.75" customHeight="1" x14ac:dyDescent="0.2">
      <c r="A11" s="542" t="s">
        <v>188</v>
      </c>
      <c r="B11" s="439"/>
      <c r="C11" s="439"/>
      <c r="D11" s="439"/>
      <c r="E11" s="439"/>
      <c r="F11" s="439"/>
      <c r="G11" s="439"/>
      <c r="H11" s="439"/>
      <c r="I11" s="439"/>
      <c r="J11" s="600">
        <f t="shared" si="0"/>
        <v>0</v>
      </c>
    </row>
    <row r="12" spans="1:11" x14ac:dyDescent="0.2">
      <c r="A12" s="542" t="s">
        <v>1020</v>
      </c>
      <c r="B12" s="439"/>
      <c r="C12" s="439"/>
      <c r="D12" s="439"/>
      <c r="E12" s="439"/>
      <c r="F12" s="439"/>
      <c r="G12" s="439"/>
      <c r="H12" s="439"/>
      <c r="I12" s="439"/>
      <c r="J12" s="600">
        <f t="shared" si="0"/>
        <v>0</v>
      </c>
    </row>
    <row r="13" spans="1:11" x14ac:dyDescent="0.2">
      <c r="A13" s="549" t="s">
        <v>437</v>
      </c>
      <c r="B13" s="439"/>
      <c r="C13" s="439"/>
      <c r="D13" s="439"/>
      <c r="E13" s="439"/>
      <c r="F13" s="439"/>
      <c r="G13" s="439"/>
      <c r="H13" s="439"/>
      <c r="I13" s="439"/>
      <c r="J13" s="600">
        <f t="shared" si="0"/>
        <v>0</v>
      </c>
    </row>
    <row r="14" spans="1:11" ht="12.75" customHeight="1" x14ac:dyDescent="0.2">
      <c r="A14" s="549" t="s">
        <v>187</v>
      </c>
      <c r="B14" s="439"/>
      <c r="C14" s="439"/>
      <c r="D14" s="439"/>
      <c r="E14" s="439"/>
      <c r="F14" s="439"/>
      <c r="G14" s="439"/>
      <c r="H14" s="439"/>
      <c r="I14" s="439"/>
      <c r="J14" s="600">
        <f t="shared" si="0"/>
        <v>0</v>
      </c>
    </row>
    <row r="15" spans="1:11" ht="12.75" customHeight="1" x14ac:dyDescent="0.2">
      <c r="A15" s="549" t="s">
        <v>186</v>
      </c>
      <c r="B15" s="439"/>
      <c r="C15" s="439"/>
      <c r="D15" s="439"/>
      <c r="E15" s="439"/>
      <c r="F15" s="439"/>
      <c r="G15" s="439"/>
      <c r="H15" s="439"/>
      <c r="I15" s="439"/>
      <c r="J15" s="600">
        <f t="shared" si="0"/>
        <v>0</v>
      </c>
    </row>
    <row r="16" spans="1:11" ht="12.75" customHeight="1" x14ac:dyDescent="0.2">
      <c r="A16" s="542" t="s">
        <v>870</v>
      </c>
      <c r="B16" s="439"/>
      <c r="C16" s="439"/>
      <c r="D16" s="439"/>
      <c r="E16" s="439"/>
      <c r="F16" s="439"/>
      <c r="G16" s="439"/>
      <c r="H16" s="439"/>
      <c r="I16" s="439"/>
      <c r="J16" s="600">
        <f t="shared" si="0"/>
        <v>0</v>
      </c>
    </row>
    <row r="17" spans="1:10" ht="12.75" customHeight="1" x14ac:dyDescent="0.2">
      <c r="A17" s="549" t="s">
        <v>767</v>
      </c>
      <c r="B17" s="439"/>
      <c r="C17" s="439"/>
      <c r="D17" s="439"/>
      <c r="E17" s="439"/>
      <c r="F17" s="439"/>
      <c r="G17" s="439"/>
      <c r="H17" s="439"/>
      <c r="I17" s="439"/>
      <c r="J17" s="600">
        <f t="shared" si="0"/>
        <v>0</v>
      </c>
    </row>
    <row r="18" spans="1:10" ht="12.75" customHeight="1" x14ac:dyDescent="0.2">
      <c r="A18" s="549" t="s">
        <v>768</v>
      </c>
      <c r="B18" s="439"/>
      <c r="C18" s="439"/>
      <c r="D18" s="439"/>
      <c r="E18" s="439"/>
      <c r="F18" s="439"/>
      <c r="G18" s="439"/>
      <c r="H18" s="439"/>
      <c r="I18" s="439"/>
      <c r="J18" s="600">
        <f t="shared" si="0"/>
        <v>0</v>
      </c>
    </row>
    <row r="19" spans="1:10" ht="12.75" customHeight="1" x14ac:dyDescent="0.2">
      <c r="A19" s="549" t="s">
        <v>191</v>
      </c>
      <c r="B19" s="439"/>
      <c r="C19" s="439"/>
      <c r="D19" s="439"/>
      <c r="E19" s="439"/>
      <c r="F19" s="439"/>
      <c r="G19" s="439"/>
      <c r="H19" s="439"/>
      <c r="I19" s="439"/>
      <c r="J19" s="600">
        <f t="shared" si="0"/>
        <v>0</v>
      </c>
    </row>
    <row r="20" spans="1:10" ht="12.75" customHeight="1" x14ac:dyDescent="0.2">
      <c r="A20" s="549"/>
      <c r="B20" s="432"/>
      <c r="C20" s="432"/>
      <c r="D20" s="432"/>
      <c r="E20" s="432"/>
      <c r="F20" s="432"/>
      <c r="G20" s="432"/>
      <c r="H20" s="432"/>
      <c r="I20" s="432"/>
      <c r="J20" s="432"/>
    </row>
    <row r="21" spans="1:10" ht="12.75" customHeight="1" thickBot="1" x14ac:dyDescent="0.25">
      <c r="A21" s="549" t="str">
        <f>"At"&amp;Update!$B$24</f>
        <v>At 31 March 2025</v>
      </c>
      <c r="B21" s="629">
        <f t="shared" ref="B21:I21" si="1">SUM(B10:B19)</f>
        <v>0</v>
      </c>
      <c r="C21" s="629">
        <f t="shared" si="1"/>
        <v>0</v>
      </c>
      <c r="D21" s="629">
        <f t="shared" si="1"/>
        <v>0</v>
      </c>
      <c r="E21" s="629">
        <f t="shared" si="1"/>
        <v>0</v>
      </c>
      <c r="F21" s="629">
        <f t="shared" si="1"/>
        <v>0</v>
      </c>
      <c r="G21" s="629">
        <f t="shared" si="1"/>
        <v>0</v>
      </c>
      <c r="H21" s="629">
        <f t="shared" si="1"/>
        <v>0</v>
      </c>
      <c r="I21" s="629">
        <f t="shared" si="1"/>
        <v>0</v>
      </c>
      <c r="J21" s="629">
        <f>SUM(B21:I21)</f>
        <v>0</v>
      </c>
    </row>
    <row r="22" spans="1:10" ht="12.75" customHeight="1" thickTop="1" x14ac:dyDescent="0.2">
      <c r="A22" s="536"/>
      <c r="B22" s="536"/>
      <c r="C22" s="536"/>
      <c r="D22" s="536"/>
      <c r="E22" s="536"/>
      <c r="F22" s="536"/>
      <c r="G22" s="536"/>
      <c r="H22" s="536"/>
      <c r="I22" s="536"/>
      <c r="J22" s="536"/>
    </row>
    <row r="23" spans="1:10" ht="12.75" customHeight="1" x14ac:dyDescent="0.2">
      <c r="A23" s="536" t="s">
        <v>161</v>
      </c>
    </row>
    <row r="24" spans="1:10" ht="12.75" customHeight="1" x14ac:dyDescent="0.2">
      <c r="A24" s="457" t="str">
        <f>+A10</f>
        <v>At 1 April 2024</v>
      </c>
      <c r="B24" s="617"/>
      <c r="C24" s="617"/>
      <c r="D24" s="617"/>
      <c r="E24" s="617"/>
      <c r="F24" s="617"/>
      <c r="G24" s="617"/>
      <c r="H24" s="617"/>
      <c r="I24" s="617"/>
      <c r="J24" s="597">
        <f t="shared" ref="J24:J32" si="2">SUM(B24:I24)</f>
        <v>0</v>
      </c>
    </row>
    <row r="25" spans="1:10" ht="12.75" customHeight="1" x14ac:dyDescent="0.2">
      <c r="A25" s="542" t="s">
        <v>188</v>
      </c>
      <c r="B25" s="439"/>
      <c r="C25" s="439"/>
      <c r="D25" s="439"/>
      <c r="E25" s="439"/>
      <c r="F25" s="439"/>
      <c r="G25" s="439"/>
      <c r="H25" s="439"/>
      <c r="I25" s="439"/>
      <c r="J25" s="600">
        <f t="shared" si="2"/>
        <v>0</v>
      </c>
    </row>
    <row r="26" spans="1:10" ht="12.75" customHeight="1" x14ac:dyDescent="0.2">
      <c r="A26" s="549" t="s">
        <v>187</v>
      </c>
      <c r="B26" s="439"/>
      <c r="C26" s="439"/>
      <c r="D26" s="439"/>
      <c r="E26" s="439"/>
      <c r="F26" s="439"/>
      <c r="G26" s="439"/>
      <c r="H26" s="439"/>
      <c r="I26" s="439"/>
      <c r="J26" s="600">
        <f t="shared" si="2"/>
        <v>0</v>
      </c>
    </row>
    <row r="27" spans="1:10" ht="12.75" customHeight="1" x14ac:dyDescent="0.2">
      <c r="A27" s="542" t="s">
        <v>186</v>
      </c>
      <c r="B27" s="439"/>
      <c r="C27" s="439"/>
      <c r="D27" s="439"/>
      <c r="E27" s="439"/>
      <c r="F27" s="439"/>
      <c r="G27" s="439"/>
      <c r="H27" s="439"/>
      <c r="I27" s="439"/>
      <c r="J27" s="600">
        <f t="shared" si="2"/>
        <v>0</v>
      </c>
    </row>
    <row r="28" spans="1:10" ht="12.75" customHeight="1" x14ac:dyDescent="0.2">
      <c r="A28" s="549" t="s">
        <v>557</v>
      </c>
      <c r="B28" s="439"/>
      <c r="C28" s="439"/>
      <c r="D28" s="439"/>
      <c r="E28" s="439"/>
      <c r="F28" s="439"/>
      <c r="G28" s="439"/>
      <c r="H28" s="439"/>
      <c r="I28" s="439"/>
      <c r="J28" s="600">
        <f t="shared" si="2"/>
        <v>0</v>
      </c>
    </row>
    <row r="29" spans="1:10" ht="12.75" customHeight="1" x14ac:dyDescent="0.2">
      <c r="A29" s="549" t="s">
        <v>767</v>
      </c>
      <c r="B29" s="439"/>
      <c r="C29" s="439"/>
      <c r="D29" s="439"/>
      <c r="E29" s="439"/>
      <c r="F29" s="439"/>
      <c r="G29" s="439"/>
      <c r="H29" s="439"/>
      <c r="I29" s="439"/>
      <c r="J29" s="600">
        <f t="shared" si="2"/>
        <v>0</v>
      </c>
    </row>
    <row r="30" spans="1:10" ht="12.75" customHeight="1" x14ac:dyDescent="0.2">
      <c r="A30" s="549" t="s">
        <v>768</v>
      </c>
      <c r="B30" s="439"/>
      <c r="C30" s="439"/>
      <c r="D30" s="439"/>
      <c r="E30" s="439"/>
      <c r="F30" s="439"/>
      <c r="G30" s="439"/>
      <c r="H30" s="439"/>
      <c r="I30" s="439"/>
      <c r="J30" s="600">
        <f t="shared" si="2"/>
        <v>0</v>
      </c>
    </row>
    <row r="31" spans="1:10" ht="12.75" customHeight="1" x14ac:dyDescent="0.2">
      <c r="A31" s="549" t="s">
        <v>191</v>
      </c>
      <c r="B31" s="439"/>
      <c r="C31" s="439"/>
      <c r="D31" s="439"/>
      <c r="E31" s="439"/>
      <c r="F31" s="439"/>
      <c r="G31" s="439"/>
      <c r="H31" s="439"/>
      <c r="I31" s="439"/>
      <c r="J31" s="600">
        <f t="shared" si="2"/>
        <v>0</v>
      </c>
    </row>
    <row r="32" spans="1:10" x14ac:dyDescent="0.2">
      <c r="A32" s="542" t="s">
        <v>1263</v>
      </c>
      <c r="B32" s="1036"/>
      <c r="C32" s="439"/>
      <c r="D32" s="439"/>
      <c r="E32" s="439"/>
      <c r="F32" s="439"/>
      <c r="G32" s="439"/>
      <c r="H32" s="439"/>
      <c r="I32" s="439"/>
      <c r="J32" s="600">
        <f t="shared" si="2"/>
        <v>0</v>
      </c>
    </row>
    <row r="33" spans="1:10" ht="12.75" customHeight="1" x14ac:dyDescent="0.2">
      <c r="A33" s="549"/>
      <c r="B33" s="434"/>
      <c r="C33" s="434"/>
      <c r="D33" s="434"/>
      <c r="E33" s="434"/>
      <c r="F33" s="434"/>
      <c r="G33" s="434"/>
      <c r="H33" s="434"/>
      <c r="I33" s="434"/>
      <c r="J33" s="434"/>
    </row>
    <row r="34" spans="1:10" ht="12.75" customHeight="1" thickBot="1" x14ac:dyDescent="0.25">
      <c r="A34" s="549" t="str">
        <f>+A21</f>
        <v>At 31 March 2025</v>
      </c>
      <c r="B34" s="592">
        <f t="shared" ref="B34:I34" si="3">SUM(B24:B32)</f>
        <v>0</v>
      </c>
      <c r="C34" s="592">
        <f t="shared" si="3"/>
        <v>0</v>
      </c>
      <c r="D34" s="592">
        <f t="shared" si="3"/>
        <v>0</v>
      </c>
      <c r="E34" s="592">
        <f t="shared" si="3"/>
        <v>0</v>
      </c>
      <c r="F34" s="592">
        <f t="shared" si="3"/>
        <v>0</v>
      </c>
      <c r="G34" s="592">
        <f t="shared" si="3"/>
        <v>0</v>
      </c>
      <c r="H34" s="592">
        <f t="shared" si="3"/>
        <v>0</v>
      </c>
      <c r="I34" s="592">
        <f t="shared" si="3"/>
        <v>0</v>
      </c>
      <c r="J34" s="592">
        <f>SUM(B34:I34)</f>
        <v>0</v>
      </c>
    </row>
    <row r="35" spans="1:10" ht="12.75" customHeight="1" thickTop="1" x14ac:dyDescent="0.2">
      <c r="B35" s="628"/>
      <c r="C35" s="628"/>
      <c r="D35" s="628"/>
      <c r="E35" s="628"/>
      <c r="F35" s="628"/>
      <c r="G35" s="628"/>
      <c r="H35" s="628"/>
      <c r="I35" s="628"/>
      <c r="J35" s="628"/>
    </row>
    <row r="36" spans="1:10" ht="12.75" customHeight="1" x14ac:dyDescent="0.2">
      <c r="A36" s="536" t="s">
        <v>1254</v>
      </c>
      <c r="B36" s="432"/>
      <c r="C36" s="432"/>
      <c r="D36" s="432"/>
      <c r="E36" s="432"/>
      <c r="F36" s="432"/>
      <c r="G36" s="432"/>
      <c r="H36" s="432"/>
      <c r="I36" s="432"/>
      <c r="J36" s="432"/>
    </row>
    <row r="37" spans="1:10" ht="12.75" customHeight="1" thickBot="1" x14ac:dyDescent="0.25">
      <c r="A37" s="457" t="str">
        <f>+A34</f>
        <v>At 31 March 2025</v>
      </c>
      <c r="B37" s="583">
        <f t="shared" ref="B37:J37" si="4">B21-B34</f>
        <v>0</v>
      </c>
      <c r="C37" s="583">
        <f t="shared" si="4"/>
        <v>0</v>
      </c>
      <c r="D37" s="583">
        <f t="shared" si="4"/>
        <v>0</v>
      </c>
      <c r="E37" s="583">
        <f t="shared" si="4"/>
        <v>0</v>
      </c>
      <c r="F37" s="583">
        <f t="shared" si="4"/>
        <v>0</v>
      </c>
      <c r="G37" s="583">
        <f t="shared" si="4"/>
        <v>0</v>
      </c>
      <c r="H37" s="583">
        <f t="shared" si="4"/>
        <v>0</v>
      </c>
      <c r="I37" s="583">
        <f t="shared" si="4"/>
        <v>0</v>
      </c>
      <c r="J37" s="583">
        <f t="shared" si="4"/>
        <v>0</v>
      </c>
    </row>
    <row r="38" spans="1:10" ht="12.75" customHeight="1" thickTop="1" x14ac:dyDescent="0.2">
      <c r="B38" s="628"/>
      <c r="C38" s="628"/>
      <c r="D38" s="628"/>
      <c r="E38" s="628"/>
      <c r="F38" s="628"/>
      <c r="G38" s="628"/>
      <c r="H38" s="628"/>
      <c r="I38" s="628"/>
      <c r="J38" s="628"/>
    </row>
    <row r="39" spans="1:10" ht="12.75" customHeight="1" x14ac:dyDescent="0.2">
      <c r="A39" s="457" t="str">
        <f>+A10</f>
        <v>At 1 April 2024</v>
      </c>
      <c r="B39" s="430">
        <f t="shared" ref="B39:J39" si="5">B10-B24</f>
        <v>0</v>
      </c>
      <c r="C39" s="430">
        <f t="shared" si="5"/>
        <v>0</v>
      </c>
      <c r="D39" s="430">
        <f t="shared" si="5"/>
        <v>0</v>
      </c>
      <c r="E39" s="430">
        <f t="shared" si="5"/>
        <v>0</v>
      </c>
      <c r="F39" s="430">
        <f t="shared" si="5"/>
        <v>0</v>
      </c>
      <c r="G39" s="430">
        <f t="shared" si="5"/>
        <v>0</v>
      </c>
      <c r="H39" s="430">
        <f t="shared" si="5"/>
        <v>0</v>
      </c>
      <c r="I39" s="430">
        <f t="shared" si="5"/>
        <v>0</v>
      </c>
      <c r="J39" s="430">
        <f t="shared" si="5"/>
        <v>0</v>
      </c>
    </row>
    <row r="40" spans="1:10" ht="12.75" customHeight="1" x14ac:dyDescent="0.2">
      <c r="A40" s="458"/>
    </row>
    <row r="41" spans="1:10" ht="12.75" customHeight="1" x14ac:dyDescent="0.2">
      <c r="B41" s="536"/>
      <c r="C41" s="536"/>
      <c r="D41" s="536"/>
      <c r="E41" s="536"/>
      <c r="F41" s="536"/>
      <c r="G41" s="536"/>
      <c r="H41" s="536"/>
      <c r="I41" s="536"/>
      <c r="J41" s="536"/>
    </row>
    <row r="42" spans="1:10" ht="12.75" customHeight="1" x14ac:dyDescent="0.2">
      <c r="A42" s="536" t="s">
        <v>1255</v>
      </c>
      <c r="J42" s="536"/>
    </row>
    <row r="43" spans="1:10" x14ac:dyDescent="0.2">
      <c r="A43" s="457" t="s">
        <v>197</v>
      </c>
      <c r="B43" s="432">
        <f t="shared" ref="B43:I43" si="6">B37-B44-B45-B46</f>
        <v>0</v>
      </c>
      <c r="C43" s="432">
        <f t="shared" si="6"/>
        <v>0</v>
      </c>
      <c r="D43" s="432">
        <f t="shared" si="6"/>
        <v>0</v>
      </c>
      <c r="E43" s="432">
        <f t="shared" si="6"/>
        <v>0</v>
      </c>
      <c r="F43" s="432">
        <f t="shared" si="6"/>
        <v>0</v>
      </c>
      <c r="G43" s="432">
        <f t="shared" si="6"/>
        <v>0</v>
      </c>
      <c r="H43" s="432">
        <f t="shared" si="6"/>
        <v>0</v>
      </c>
      <c r="I43" s="432">
        <f t="shared" si="6"/>
        <v>0</v>
      </c>
      <c r="J43" s="432">
        <f>SUM(B43:I43)</f>
        <v>0</v>
      </c>
    </row>
    <row r="44" spans="1:10" x14ac:dyDescent="0.2">
      <c r="A44" s="457" t="s">
        <v>198</v>
      </c>
      <c r="B44" s="439"/>
      <c r="C44" s="439"/>
      <c r="D44" s="439"/>
      <c r="E44" s="439"/>
      <c r="F44" s="439"/>
      <c r="G44" s="439"/>
      <c r="H44" s="439"/>
      <c r="I44" s="439"/>
      <c r="J44" s="432">
        <f>SUM(B44:I44)</f>
        <v>0</v>
      </c>
    </row>
    <row r="45" spans="1:10" ht="29.1" customHeight="1" x14ac:dyDescent="0.2">
      <c r="A45" s="587" t="s">
        <v>1697</v>
      </c>
      <c r="B45" s="439"/>
      <c r="C45" s="439"/>
      <c r="D45" s="439"/>
      <c r="E45" s="439"/>
      <c r="F45" s="439"/>
      <c r="G45" s="439"/>
      <c r="H45" s="439"/>
      <c r="I45" s="439"/>
      <c r="J45" s="432">
        <f>SUM(B45:I45)</f>
        <v>0</v>
      </c>
    </row>
    <row r="46" spans="1:10" x14ac:dyDescent="0.2">
      <c r="A46" s="457" t="s">
        <v>1695</v>
      </c>
      <c r="B46" s="439"/>
      <c r="C46" s="439"/>
      <c r="D46" s="439"/>
      <c r="E46" s="439"/>
      <c r="F46" s="439"/>
      <c r="G46" s="439"/>
      <c r="H46" s="439"/>
      <c r="I46" s="439"/>
      <c r="J46" s="432">
        <f>SUM(B46:I46)</f>
        <v>0</v>
      </c>
    </row>
    <row r="47" spans="1:10" x14ac:dyDescent="0.2">
      <c r="A47" s="536" t="s">
        <v>1254</v>
      </c>
      <c r="B47" s="584"/>
      <c r="C47" s="584"/>
      <c r="D47" s="584"/>
      <c r="E47" s="584"/>
      <c r="F47" s="584"/>
      <c r="G47" s="584"/>
      <c r="H47" s="584"/>
      <c r="I47" s="585"/>
      <c r="J47" s="584"/>
    </row>
    <row r="48" spans="1:10" ht="13.5" thickBot="1" x14ac:dyDescent="0.25">
      <c r="A48" s="457" t="str">
        <f>A37</f>
        <v>At 31 March 2025</v>
      </c>
      <c r="B48" s="583">
        <f>SUM(B43:B46)</f>
        <v>0</v>
      </c>
      <c r="C48" s="583">
        <f t="shared" ref="C48:J48" si="7">SUM(C43:C46)</f>
        <v>0</v>
      </c>
      <c r="D48" s="583">
        <f t="shared" si="7"/>
        <v>0</v>
      </c>
      <c r="E48" s="583">
        <f t="shared" si="7"/>
        <v>0</v>
      </c>
      <c r="F48" s="583">
        <f t="shared" si="7"/>
        <v>0</v>
      </c>
      <c r="G48" s="583">
        <f t="shared" si="7"/>
        <v>0</v>
      </c>
      <c r="H48" s="583">
        <f t="shared" si="7"/>
        <v>0</v>
      </c>
      <c r="I48" s="634">
        <f t="shared" si="7"/>
        <v>0</v>
      </c>
      <c r="J48" s="583">
        <f t="shared" si="7"/>
        <v>0</v>
      </c>
    </row>
    <row r="49" spans="1:9" ht="13.5" thickTop="1" x14ac:dyDescent="0.2"/>
    <row r="52" spans="1:9" x14ac:dyDescent="0.2">
      <c r="A52" s="959" t="s">
        <v>1716</v>
      </c>
      <c r="B52" s="498"/>
    </row>
    <row r="53" spans="1:9" ht="25.5" x14ac:dyDescent="0.2">
      <c r="A53" s="960" t="s">
        <v>1720</v>
      </c>
      <c r="B53" s="659"/>
      <c r="C53" s="659"/>
      <c r="D53" s="659"/>
      <c r="E53" s="962" t="s">
        <v>1715</v>
      </c>
    </row>
    <row r="54" spans="1:9" x14ac:dyDescent="0.2">
      <c r="A54" s="961"/>
      <c r="E54" s="963"/>
    </row>
    <row r="55" spans="1:9" x14ac:dyDescent="0.2">
      <c r="A55" s="682"/>
      <c r="E55" s="964"/>
    </row>
    <row r="56" spans="1:9" x14ac:dyDescent="0.2">
      <c r="A56" s="682"/>
      <c r="E56" s="964"/>
    </row>
    <row r="57" spans="1:9" x14ac:dyDescent="0.2">
      <c r="A57" s="682"/>
      <c r="E57" s="964"/>
    </row>
    <row r="58" spans="1:9" x14ac:dyDescent="0.2">
      <c r="A58" s="682"/>
      <c r="E58" s="964"/>
    </row>
    <row r="59" spans="1:9" x14ac:dyDescent="0.2">
      <c r="A59" s="682"/>
      <c r="E59" s="964"/>
    </row>
    <row r="62" spans="1:9" x14ac:dyDescent="0.2">
      <c r="A62" s="504" t="s">
        <v>1712</v>
      </c>
      <c r="B62" s="1912"/>
      <c r="C62" s="1913"/>
      <c r="D62" s="1913"/>
      <c r="E62" s="1913"/>
      <c r="F62" s="1913"/>
      <c r="G62" s="1913"/>
      <c r="H62" s="1913"/>
      <c r="I62" s="1914"/>
    </row>
    <row r="63" spans="1:9" x14ac:dyDescent="0.2">
      <c r="A63" s="504" t="s">
        <v>1713</v>
      </c>
      <c r="B63" s="1912"/>
      <c r="C63" s="1913"/>
      <c r="D63" s="1913"/>
      <c r="E63" s="1913"/>
      <c r="F63" s="1913"/>
      <c r="G63" s="1913"/>
      <c r="H63" s="1913"/>
      <c r="I63" s="1914"/>
    </row>
    <row r="64" spans="1:9" x14ac:dyDescent="0.2">
      <c r="A64" s="504" t="s">
        <v>1714</v>
      </c>
      <c r="B64" s="1912"/>
      <c r="C64" s="1913"/>
      <c r="D64" s="1913"/>
      <c r="E64" s="1913"/>
      <c r="F64" s="1913"/>
      <c r="G64" s="1913"/>
      <c r="H64" s="1913"/>
      <c r="I64" s="1914"/>
    </row>
    <row r="66" spans="1:10" x14ac:dyDescent="0.2">
      <c r="J66" s="966" t="s">
        <v>493</v>
      </c>
    </row>
    <row r="67" spans="1:10" x14ac:dyDescent="0.2">
      <c r="A67" s="581" t="s">
        <v>1253</v>
      </c>
      <c r="J67" s="682"/>
    </row>
    <row r="68" spans="1:10" x14ac:dyDescent="0.2">
      <c r="A68" s="397"/>
      <c r="B68" s="397"/>
      <c r="C68" s="397"/>
      <c r="D68" s="397"/>
      <c r="E68" s="397"/>
      <c r="F68" s="397"/>
      <c r="G68" s="397"/>
      <c r="H68" s="397"/>
      <c r="I68" s="397"/>
      <c r="J68" s="397"/>
    </row>
  </sheetData>
  <sheetProtection algorithmName="SHA-512" hashValue="BpKvDjNAE83u8McdmcXRe+JArmDiFusdxPkcfmG2FasDdLE2t/nVixvHjyGnnkjJJ4H/TDFAYUbsZOP8hzF87w==" saltValue="VEaEG85+SnlQna8wzCe7zQ==" spinCount="100000" sheet="1" formatColumns="0" formatRows="0"/>
  <mergeCells count="4">
    <mergeCell ref="B6:J6"/>
    <mergeCell ref="B62:I62"/>
    <mergeCell ref="B63:I63"/>
    <mergeCell ref="B64:I64"/>
  </mergeCells>
  <conditionalFormatting sqref="A3">
    <cfRule type="expression" dxfId="168" priority="10">
      <formula>CELL("Protect",A3)=0</formula>
    </cfRule>
  </conditionalFormatting>
  <conditionalFormatting sqref="A54:A59">
    <cfRule type="expression" dxfId="167" priority="8">
      <formula>CELL("Protect",A54)=0</formula>
    </cfRule>
  </conditionalFormatting>
  <conditionalFormatting sqref="B62:B64">
    <cfRule type="expression" dxfId="166" priority="5">
      <formula>CELL("Protect",B62)=0</formula>
    </cfRule>
  </conditionalFormatting>
  <conditionalFormatting sqref="B10:I19">
    <cfRule type="expression" dxfId="165" priority="33">
      <formula>CELL("Protect",B10)=0</formula>
    </cfRule>
  </conditionalFormatting>
  <conditionalFormatting sqref="B24:I32">
    <cfRule type="expression" dxfId="164" priority="2">
      <formula>CELL("Protect",B24)=0</formula>
    </cfRule>
  </conditionalFormatting>
  <conditionalFormatting sqref="B44:I46">
    <cfRule type="expression" dxfId="163" priority="12">
      <formula>CELL("Protect",B44)=0</formula>
    </cfRule>
  </conditionalFormatting>
  <conditionalFormatting sqref="D43:I43">
    <cfRule type="expression" dxfId="162" priority="1">
      <formula>CELL("Protect",D43)=0</formula>
    </cfRule>
  </conditionalFormatting>
  <conditionalFormatting sqref="E54:E59">
    <cfRule type="expression" dxfId="161" priority="4">
      <formula>CELL("Protect",E54)=0</formula>
    </cfRule>
  </conditionalFormatting>
  <conditionalFormatting sqref="J67">
    <cfRule type="expression" dxfId="160" priority="3">
      <formula>CELL("Protect",J67)=0</formula>
    </cfRule>
  </conditionalFormatting>
  <pageMargins left="0.74803149606299213" right="0.74803149606299213" top="0.59055118110236227" bottom="0.59055118110236227" header="0.51181102362204722" footer="0.51181102362204722"/>
  <pageSetup paperSize="9" scale="61"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9">
    <tabColor rgb="FFFFFF00"/>
    <pageSetUpPr fitToPage="1"/>
  </sheetPr>
  <dimension ref="A1:S23"/>
  <sheetViews>
    <sheetView zoomScaleNormal="100" workbookViewId="0"/>
  </sheetViews>
  <sheetFormatPr defaultColWidth="9.140625" defaultRowHeight="12.75" customHeight="1" outlineLevelCol="1" x14ac:dyDescent="0.2"/>
  <cols>
    <col min="1" max="1" width="54.7109375" style="397" customWidth="1"/>
    <col min="2" max="2" width="18" style="397" customWidth="1"/>
    <col min="3" max="3" width="2.28515625" style="397" customWidth="1"/>
    <col min="4" max="4" width="14.7109375" style="397" customWidth="1"/>
    <col min="5" max="5" width="3.28515625" style="397" customWidth="1"/>
    <col min="6" max="6" width="15.7109375" style="397" bestFit="1" customWidth="1"/>
    <col min="7" max="7" width="3.28515625" style="397" customWidth="1"/>
    <col min="8" max="8" width="14.7109375" style="397" customWidth="1"/>
    <col min="9" max="9" width="6.140625" style="397" customWidth="1"/>
    <col min="10" max="10" width="5.85546875" style="397" customWidth="1"/>
    <col min="11" max="13" width="9.140625" style="397"/>
    <col min="14" max="14" width="52.85546875" style="397" customWidth="1"/>
    <col min="15" max="15" width="10" style="397" customWidth="1"/>
    <col min="16" max="16" width="9.140625" style="397" hidden="1" customWidth="1" outlineLevel="1"/>
    <col min="17" max="17" width="9.140625" style="397" hidden="1" customWidth="1" outlineLevel="1" collapsed="1"/>
    <col min="18" max="18" width="12.42578125" style="397" hidden="1" customWidth="1" outlineLevel="1"/>
    <col min="19" max="19" width="9.140625" style="397" collapsed="1"/>
    <col min="20" max="16384" width="9.140625" style="397"/>
  </cols>
  <sheetData>
    <row r="1" spans="1:18" ht="14.65" customHeight="1" x14ac:dyDescent="0.2">
      <c r="A1" s="416" t="str">
        <f>'alb Instructions'!$B$20</f>
        <v>enter HSC Body name here</v>
      </c>
      <c r="B1" s="416"/>
      <c r="C1" s="416"/>
      <c r="D1" s="416"/>
      <c r="E1" s="416"/>
      <c r="F1" s="416"/>
      <c r="G1" s="416"/>
      <c r="H1" s="416"/>
    </row>
    <row r="2" spans="1:18" ht="12.75" customHeight="1" x14ac:dyDescent="0.2">
      <c r="A2" s="388"/>
      <c r="B2" s="388"/>
      <c r="C2" s="388"/>
      <c r="H2" s="643"/>
    </row>
    <row r="3" spans="1:18" ht="12.75" customHeight="1" x14ac:dyDescent="0.2">
      <c r="A3" s="416" t="str">
        <f>"NOTES TO THE ACCOUNTS FOR THE YEAR ENDED"&amp;Update!$B$22</f>
        <v>NOTES TO THE ACCOUNTS FOR THE YEAR ENDED 31 March 2026</v>
      </c>
      <c r="B3" s="416"/>
      <c r="C3" s="388"/>
      <c r="H3" s="501"/>
    </row>
    <row r="4" spans="1:18" ht="12.75" customHeight="1" x14ac:dyDescent="0.2">
      <c r="A4" s="388"/>
      <c r="B4" s="388"/>
      <c r="C4" s="388"/>
    </row>
    <row r="5" spans="1:18" ht="12.75" customHeight="1" x14ac:dyDescent="0.2">
      <c r="A5" s="388" t="s">
        <v>2341</v>
      </c>
      <c r="B5" s="388"/>
      <c r="C5" s="388"/>
    </row>
    <row r="6" spans="1:18" ht="12.75" customHeight="1" x14ac:dyDescent="0.2">
      <c r="B6" s="2148" t="str">
        <f>Update!$B$22</f>
        <v xml:space="preserve"> 31 March 2026</v>
      </c>
      <c r="C6" s="2148"/>
      <c r="D6" s="2148"/>
      <c r="E6" s="2148"/>
      <c r="F6" s="2148"/>
      <c r="G6" s="2148"/>
      <c r="H6" s="2149"/>
      <c r="K6" s="388" t="s">
        <v>930</v>
      </c>
      <c r="L6" s="388"/>
      <c r="M6" s="388"/>
      <c r="N6" s="457"/>
      <c r="O6" s="457"/>
      <c r="P6" s="1161" t="s">
        <v>728</v>
      </c>
      <c r="Q6" s="1161" t="s">
        <v>685</v>
      </c>
      <c r="R6" s="1161" t="s">
        <v>343</v>
      </c>
    </row>
    <row r="7" spans="1:18" s="453" customFormat="1" ht="25.5" x14ac:dyDescent="0.2">
      <c r="A7" s="461"/>
      <c r="B7" s="464" t="s">
        <v>825</v>
      </c>
      <c r="C7" s="462"/>
      <c r="D7" s="461" t="s">
        <v>685</v>
      </c>
      <c r="E7" s="461"/>
      <c r="F7" s="461" t="s">
        <v>343</v>
      </c>
      <c r="G7" s="461"/>
      <c r="H7" s="461" t="s">
        <v>146</v>
      </c>
      <c r="K7" s="413" t="s">
        <v>728</v>
      </c>
      <c r="L7" s="413" t="s">
        <v>685</v>
      </c>
      <c r="M7" s="413" t="s">
        <v>343</v>
      </c>
      <c r="N7" s="413" t="s">
        <v>1268</v>
      </c>
      <c r="O7" s="412" t="s">
        <v>932</v>
      </c>
      <c r="P7" s="412" t="s">
        <v>63</v>
      </c>
      <c r="Q7" s="412" t="s">
        <v>63</v>
      </c>
      <c r="R7" s="412" t="s">
        <v>63</v>
      </c>
    </row>
    <row r="8" spans="1:18" ht="12.75" customHeight="1" x14ac:dyDescent="0.2">
      <c r="A8" s="451"/>
      <c r="B8" s="468" t="s">
        <v>493</v>
      </c>
      <c r="C8" s="468" t="s">
        <v>281</v>
      </c>
      <c r="D8" s="468" t="s">
        <v>493</v>
      </c>
      <c r="E8" s="468"/>
      <c r="F8" s="468" t="s">
        <v>493</v>
      </c>
      <c r="G8" s="468"/>
      <c r="H8" s="468" t="s">
        <v>493</v>
      </c>
      <c r="I8" s="468" t="s">
        <v>281</v>
      </c>
      <c r="J8" s="468" t="s">
        <v>281</v>
      </c>
      <c r="K8" s="411" t="s">
        <v>62</v>
      </c>
      <c r="L8" s="411" t="s">
        <v>62</v>
      </c>
      <c r="M8" s="411" t="s">
        <v>62</v>
      </c>
      <c r="N8" s="411"/>
      <c r="O8" s="508" t="s">
        <v>62</v>
      </c>
      <c r="P8" s="508"/>
      <c r="Q8" s="508"/>
      <c r="R8" s="508"/>
    </row>
    <row r="9" spans="1:18" ht="12.75" customHeight="1" x14ac:dyDescent="0.2">
      <c r="A9" s="642"/>
      <c r="B9" s="641"/>
      <c r="C9" s="641"/>
      <c r="K9" s="457"/>
      <c r="L9" s="457"/>
      <c r="M9" s="457"/>
      <c r="N9" s="457"/>
    </row>
    <row r="10" spans="1:18" ht="25.5" x14ac:dyDescent="0.2">
      <c r="A10" s="452" t="s">
        <v>876</v>
      </c>
      <c r="B10" s="459">
        <f>-(('alb Note 5.1 -PP&amp;E - CY'!J19+'alb Note 5.1 -PP&amp;E - CY'!J21)-('alb Note 5.1 -PP&amp;E - CY'!J35+'alb Note 5.1 -PP&amp;E - CY'!J37)+'alb Note 5.3 -Asset held resale'!B37+'alb Note 5.3 -Asset held resale'!E37+'alb Note 5.3 -Asset held resale'!H37)</f>
        <v>0</v>
      </c>
      <c r="C10" s="459"/>
      <c r="D10" s="459">
        <f>-(('alb Note 6.1 -  Intangibles CY'!J19)-'alb Note 6.1 -  Intangibles CY'!J33)</f>
        <v>0</v>
      </c>
      <c r="E10" s="457"/>
      <c r="F10" s="513"/>
      <c r="G10" s="457"/>
      <c r="H10" s="457">
        <f>SUM(B10:F10)</f>
        <v>0</v>
      </c>
      <c r="K10" s="513"/>
      <c r="L10" s="513"/>
      <c r="M10" s="513"/>
      <c r="N10" s="513"/>
      <c r="O10" s="626">
        <f>H10-K10-L10-M10</f>
        <v>0</v>
      </c>
      <c r="P10" s="409" t="str">
        <f>IF(B10&gt;=0,IF(K10&gt;=0,IF(B10&gt;=K10,"Ok ","Check size "),"Check sign"),IF(K10&gt;0,"Check sign ",IF(ABS(B10)&gt;=ABS(K10),"Ok ","Check size ")))</f>
        <v xml:space="preserve">Ok </v>
      </c>
      <c r="Q10" s="409" t="str">
        <f>IF(D10&gt;=0,IF(L10&gt;=0,IF(D10&gt;=L10,"Ok ","Check size "),"Check sign"),IF(L10&gt;0,"Check sign ",IF(ABS(D10)&gt;=ABS(L10),"Ok ","Check size ")))</f>
        <v xml:space="preserve">Ok </v>
      </c>
      <c r="R10" s="409" t="str">
        <f>IF(F10&gt;=0,IF(M10&gt;=0,IF(F10&gt;=M10,"Ok ","Check size "),"Check sign"),IF(M10&gt;0,"Check sign ",IF(ABS(F10)&gt;=ABS(M10),"Ok ","Check size ")))</f>
        <v xml:space="preserve">Ok </v>
      </c>
    </row>
    <row r="11" spans="1:18" ht="25.5" x14ac:dyDescent="0.2">
      <c r="A11" s="384" t="s">
        <v>770</v>
      </c>
      <c r="B11" s="459">
        <f>-(('alb Note 5.1 -PP&amp;E - CY'!J20-'alb Note 5.1 -PP&amp;E - CY'!J36)+'alb Note 5.3 -Asset held resale'!B38+'alb Note 5.3 -Asset held resale'!E38+'alb Note 5.3 -Asset held resale'!H38)</f>
        <v>0</v>
      </c>
      <c r="C11" s="459"/>
      <c r="D11" s="459">
        <f>-('alb Note 6.1 -  Intangibles CY'!J20-'alb Note 6.1 -  Intangibles CY'!J34)</f>
        <v>0</v>
      </c>
      <c r="F11" s="513"/>
      <c r="H11" s="457">
        <f>SUM(B11:F11)</f>
        <v>0</v>
      </c>
      <c r="K11" s="513"/>
      <c r="L11" s="513"/>
      <c r="M11" s="513"/>
      <c r="N11" s="513"/>
      <c r="O11" s="626">
        <f>H11-K11-L11-M11</f>
        <v>0</v>
      </c>
      <c r="P11" s="409" t="str">
        <f>IF(B11&gt;=0,IF(K11&gt;=0,IF(B11&gt;=K11,"Ok ","Check size "),"Check sign"),IF(K11&gt;0,"Check sign ",IF(ABS(B11)&gt;=ABS(K11),"Ok ","Check size ")))</f>
        <v xml:space="preserve">Ok </v>
      </c>
      <c r="Q11" s="409" t="str">
        <f>IF(D11&gt;=0,IF(L11&gt;=0,IF(D11&gt;=L11,"Ok ","Check size "),"Check sign"),IF(L11&gt;0,"Check sign ",IF(ABS(D11)&gt;=ABS(L11),"Ok ","Check size ")))</f>
        <v xml:space="preserve">Ok </v>
      </c>
      <c r="R11" s="409" t="str">
        <f>IF(F11&gt;=0,IF(M11&gt;=0,IF(F11&gt;=M11,"Ok ","Check size "),"Check sign"),IF(M11&gt;0,"Check sign ",IF(ABS(F11)&gt;=ABS(M11),"Ok ","Check size ")))</f>
        <v xml:space="preserve">Ok </v>
      </c>
    </row>
    <row r="12" spans="1:18" ht="12.75" customHeight="1" x14ac:dyDescent="0.2">
      <c r="A12" s="452"/>
      <c r="B12" s="459"/>
      <c r="C12" s="459"/>
      <c r="D12" s="457"/>
      <c r="E12" s="457"/>
      <c r="F12" s="457"/>
      <c r="G12" s="457"/>
      <c r="H12" s="457"/>
      <c r="K12" s="457"/>
      <c r="L12" s="457"/>
      <c r="M12" s="457"/>
      <c r="P12" s="624"/>
    </row>
    <row r="13" spans="1:18" ht="13.5" thickBot="1" x14ac:dyDescent="0.25">
      <c r="A13" s="469" t="s">
        <v>1272</v>
      </c>
      <c r="B13" s="507">
        <f>SUM(B10:B12)</f>
        <v>0</v>
      </c>
      <c r="C13" s="510"/>
      <c r="D13" s="507">
        <f>SUM(D10:D12)</f>
        <v>0</v>
      </c>
      <c r="E13" s="510"/>
      <c r="F13" s="507">
        <f>SUM(F10:F12)</f>
        <v>0</v>
      </c>
      <c r="G13" s="510"/>
      <c r="H13" s="507">
        <f>SUM(H10:H12)</f>
        <v>0</v>
      </c>
      <c r="K13" s="507">
        <f>K10-K11</f>
        <v>0</v>
      </c>
      <c r="L13" s="507">
        <f>L10-L11</f>
        <v>0</v>
      </c>
      <c r="M13" s="507">
        <f>M10-M11</f>
        <v>0</v>
      </c>
      <c r="O13" s="507">
        <f>O10-O11</f>
        <v>0</v>
      </c>
      <c r="P13" s="409" t="str">
        <f>IF(B13&gt;=0,IF(K13&gt;=0,IF(B13&gt;=K13,"Ok ","Check size "),"Check sign"),IF(K13&gt;0,"Check sign ",IF(ABS(B13)&gt;=ABS(K13),"Ok ","Check size ")))</f>
        <v xml:space="preserve">Ok </v>
      </c>
      <c r="Q13" s="409" t="str">
        <f>IF(D13&gt;=0,IF(L13&gt;=0,IF(D13&gt;=L13,"Ok ","Check size "),"Check sign"),IF(L13&gt;0,"Check sign ",IF(ABS(D13)&gt;=ABS(L13),"Ok ","Check size ")))</f>
        <v xml:space="preserve">Ok </v>
      </c>
      <c r="R13" s="409" t="str">
        <f>IF(F13&gt;=0,IF(M13&gt;=0,IF(F13&gt;=M13,"Ok ","Check size "),"Check sign"),IF(M13&gt;0,"Check sign ",IF(ABS(F13)&gt;=ABS(M13),"Ok ","Check size ")))</f>
        <v xml:space="preserve">Ok </v>
      </c>
    </row>
    <row r="14" spans="1:18" ht="12.75" customHeight="1" thickTop="1" x14ac:dyDescent="0.2">
      <c r="A14" s="469"/>
      <c r="B14" s="574"/>
      <c r="C14" s="574"/>
    </row>
    <row r="15" spans="1:18" ht="12.75" customHeight="1" x14ac:dyDescent="0.2">
      <c r="B15" s="2148" t="str">
        <f>Update!$B$24</f>
        <v xml:space="preserve"> 31 March 2025</v>
      </c>
      <c r="C15" s="2148"/>
      <c r="D15" s="2148"/>
      <c r="E15" s="2148"/>
      <c r="F15" s="2148"/>
      <c r="G15" s="2148"/>
      <c r="H15" s="2149"/>
    </row>
    <row r="16" spans="1:18" s="453" customFormat="1" ht="25.5" x14ac:dyDescent="0.2">
      <c r="A16" s="461"/>
      <c r="B16" s="464" t="s">
        <v>825</v>
      </c>
      <c r="C16" s="462"/>
      <c r="D16" s="461" t="s">
        <v>685</v>
      </c>
      <c r="E16" s="461"/>
      <c r="F16" s="461" t="s">
        <v>343</v>
      </c>
      <c r="G16" s="461"/>
      <c r="H16" s="461" t="s">
        <v>146</v>
      </c>
    </row>
    <row r="17" spans="1:8" ht="12.75" customHeight="1" x14ac:dyDescent="0.2">
      <c r="A17" s="451"/>
      <c r="B17" s="468" t="s">
        <v>493</v>
      </c>
      <c r="C17" s="468" t="s">
        <v>281</v>
      </c>
      <c r="D17" s="468" t="s">
        <v>493</v>
      </c>
      <c r="E17" s="468"/>
      <c r="F17" s="468" t="s">
        <v>493</v>
      </c>
      <c r="G17" s="468"/>
      <c r="H17" s="468" t="s">
        <v>493</v>
      </c>
    </row>
    <row r="18" spans="1:8" ht="12.75" customHeight="1" x14ac:dyDescent="0.2">
      <c r="A18" s="642"/>
      <c r="B18" s="641"/>
      <c r="C18" s="641"/>
    </row>
    <row r="19" spans="1:8" ht="34.5" customHeight="1" x14ac:dyDescent="0.2">
      <c r="A19" s="452" t="s">
        <v>1269</v>
      </c>
      <c r="B19" s="459">
        <f>-('alb Note 5.2 -  PP&amp;E - PY'!J17+'alb Note 5.2 -  PP&amp;E - PY'!J19-'alb Note 5.2 -  PP&amp;E - PY'!J31-'alb Note 5.2 -  PP&amp;E - PY'!J33+'alb Note 5.3 -Asset held resale'!C37+'alb Note 5.3 -Asset held resale'!F37+'alb Note 5.3 -Asset held resale'!I37)</f>
        <v>0</v>
      </c>
      <c r="C19" s="459"/>
      <c r="D19" s="459">
        <f>-('alb Note 6.2 -  Intangibles PY'!J17-'alb Note 6.2 -  Intangibles PY'!J29)</f>
        <v>0</v>
      </c>
      <c r="E19" s="457"/>
      <c r="F19" s="513"/>
      <c r="G19" s="457"/>
      <c r="H19" s="457">
        <f>SUM(B19:F19)</f>
        <v>0</v>
      </c>
    </row>
    <row r="20" spans="1:8" ht="26.45" customHeight="1" x14ac:dyDescent="0.2">
      <c r="A20" s="384" t="s">
        <v>1270</v>
      </c>
      <c r="B20" s="459">
        <f>-(('alb Note 5.2 -  PP&amp;E - PY'!J18-'alb Note 5.2 -  PP&amp;E - PY'!J32)+'alb Note 5.3 -Asset held resale'!C38+'alb Note 5.3 -Asset held resale'!F38+'alb Note 5.3 -Asset held resale'!I38)</f>
        <v>0</v>
      </c>
      <c r="C20" s="459"/>
      <c r="D20" s="459">
        <f>-('alb Note 6.2 -  Intangibles PY'!J18-'alb Note 6.2 -  Intangibles PY'!J30)</f>
        <v>0</v>
      </c>
      <c r="F20" s="513"/>
      <c r="H20" s="457">
        <f>SUM(B20:F20)</f>
        <v>0</v>
      </c>
    </row>
    <row r="21" spans="1:8" ht="12.6" customHeight="1" x14ac:dyDescent="0.2">
      <c r="A21" s="452"/>
      <c r="B21" s="459"/>
      <c r="C21" s="459"/>
      <c r="D21" s="457"/>
      <c r="E21" s="457"/>
      <c r="F21" s="457"/>
      <c r="G21" s="457"/>
      <c r="H21" s="457"/>
    </row>
    <row r="22" spans="1:8" ht="13.5" thickBot="1" x14ac:dyDescent="0.25">
      <c r="A22" s="469" t="s">
        <v>1271</v>
      </c>
      <c r="B22" s="507">
        <f>SUM(B19:B21)</f>
        <v>0</v>
      </c>
      <c r="C22" s="510"/>
      <c r="D22" s="507">
        <f>SUM(D19:D21)</f>
        <v>0</v>
      </c>
      <c r="F22" s="507">
        <f>SUM(F19:F21)</f>
        <v>0</v>
      </c>
      <c r="H22" s="507">
        <f>SUM(H19:H21)</f>
        <v>0</v>
      </c>
    </row>
    <row r="23" spans="1:8" ht="12.75" customHeight="1" thickTop="1" x14ac:dyDescent="0.2"/>
  </sheetData>
  <sheetProtection algorithmName="SHA-512" hashValue="Rk4A8km++4iVmSd9NXRqb3sXjylVI13nrtaea5rh1fDxec/FhE3EgLDzGUjY7Yvrs0wga+RCEjBBDjnP1yUsvw==" saltValue="OmWojxeyibGm5KNHHGJXXQ==" spinCount="100000" sheet="1" formatColumns="0" formatRows="0"/>
  <mergeCells count="2">
    <mergeCell ref="B15:H15"/>
    <mergeCell ref="B6:H6"/>
  </mergeCells>
  <conditionalFormatting sqref="A3:C3">
    <cfRule type="expression" dxfId="159" priority="8">
      <formula>CELL("Protect",A3)=0</formula>
    </cfRule>
  </conditionalFormatting>
  <conditionalFormatting sqref="F10:F11">
    <cfRule type="expression" dxfId="158" priority="2">
      <formula>CELL("Protect",F10)=0</formula>
    </cfRule>
  </conditionalFormatting>
  <conditionalFormatting sqref="F19:F20">
    <cfRule type="expression" dxfId="157" priority="1">
      <formula>CELL("Protect",F19)=0</formula>
    </cfRule>
  </conditionalFormatting>
  <conditionalFormatting sqref="K10:N11">
    <cfRule type="expression" dxfId="156" priority="3">
      <formula>CELL("Protect",K10)=0</formula>
    </cfRule>
  </conditionalFormatting>
  <pageMargins left="0.74803149606299213" right="0.74803149606299213" top="0.59055118110236227" bottom="0.59055118110236227" header="0.51181102362204722" footer="0.51181102362204722"/>
  <pageSetup paperSize="9" scale="96"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1">
    <tabColor rgb="FFFFFF00"/>
    <pageSetUpPr fitToPage="1"/>
  </sheetPr>
  <dimension ref="A1:H16"/>
  <sheetViews>
    <sheetView zoomScaleNormal="100" workbookViewId="0">
      <pane xSplit="4" ySplit="11" topLeftCell="E12" activePane="bottomRight" state="frozen"/>
      <selection activeCell="F19" sqref="F19"/>
      <selection pane="topRight" activeCell="F19" sqref="F19"/>
      <selection pane="bottomLeft" activeCell="F19" sqref="F19"/>
      <selection pane="bottomRight" activeCell="E12" sqref="E12"/>
    </sheetView>
  </sheetViews>
  <sheetFormatPr defaultColWidth="9.140625" defaultRowHeight="12.75" x14ac:dyDescent="0.2"/>
  <cols>
    <col min="1" max="1" width="54.140625" style="457" customWidth="1"/>
    <col min="2" max="2" width="14.85546875" style="457" bestFit="1" customWidth="1"/>
    <col min="3" max="3" width="3" style="457" customWidth="1"/>
    <col min="4" max="4" width="14.85546875" style="457" bestFit="1" customWidth="1"/>
    <col min="5" max="5" width="3" style="457" customWidth="1"/>
    <col min="6" max="6" width="49.42578125" style="457" customWidth="1"/>
    <col min="7" max="16384" width="9.140625" style="457"/>
  </cols>
  <sheetData>
    <row r="1" spans="1:8" x14ac:dyDescent="0.2">
      <c r="A1" s="416" t="str">
        <f>'alb Instructions'!$B$20</f>
        <v>enter HSC Body name here</v>
      </c>
      <c r="B1" s="536"/>
      <c r="C1" s="536"/>
      <c r="D1" s="536"/>
    </row>
    <row r="2" spans="1:8" ht="15.75" x14ac:dyDescent="0.25">
      <c r="A2" s="610"/>
      <c r="B2" s="610"/>
      <c r="C2" s="536"/>
    </row>
    <row r="3" spans="1:8" x14ac:dyDescent="0.2">
      <c r="A3" s="416" t="str">
        <f>"NOTES TO THE ACCOUNTS FOR THE YEAR ENDED"&amp;Update!$B$22</f>
        <v>NOTES TO THE ACCOUNTS FOR THE YEAR ENDED 31 March 2026</v>
      </c>
      <c r="B3" s="536"/>
      <c r="C3" s="536"/>
      <c r="D3" s="609"/>
    </row>
    <row r="4" spans="1:8" x14ac:dyDescent="0.2">
      <c r="A4" s="536"/>
      <c r="B4" s="536"/>
      <c r="C4" s="536"/>
    </row>
    <row r="5" spans="1:8" x14ac:dyDescent="0.2">
      <c r="A5" s="536" t="s">
        <v>2342</v>
      </c>
      <c r="B5" s="536"/>
      <c r="C5" s="536"/>
    </row>
    <row r="6" spans="1:8" x14ac:dyDescent="0.2">
      <c r="A6" s="536"/>
      <c r="B6" s="536"/>
      <c r="C6" s="536"/>
    </row>
    <row r="7" spans="1:8" ht="48" customHeight="1" x14ac:dyDescent="0.2">
      <c r="A7" s="2150" t="s">
        <v>2808</v>
      </c>
      <c r="B7" s="2150"/>
      <c r="C7" s="2150"/>
      <c r="D7" s="2150"/>
      <c r="E7" s="2150"/>
      <c r="F7" s="2150"/>
      <c r="G7" s="1176"/>
      <c r="H7" s="1176"/>
    </row>
    <row r="8" spans="1:8" x14ac:dyDescent="0.2">
      <c r="A8" s="1176"/>
      <c r="B8" s="1176"/>
      <c r="C8" s="1176"/>
      <c r="D8" s="1176"/>
      <c r="E8" s="1176"/>
      <c r="F8" s="1176"/>
      <c r="G8" s="1176"/>
      <c r="H8" s="1176"/>
    </row>
    <row r="9" spans="1:8" x14ac:dyDescent="0.2">
      <c r="A9" s="1176"/>
      <c r="B9" s="1176"/>
      <c r="C9" s="1176"/>
      <c r="D9" s="1176"/>
      <c r="E9" s="1176"/>
      <c r="F9" s="1176"/>
      <c r="G9" s="1176"/>
      <c r="H9" s="1176"/>
    </row>
    <row r="10" spans="1:8" s="456" customFormat="1" x14ac:dyDescent="0.2">
      <c r="B10" s="638" t="str">
        <f>Update!$B$22</f>
        <v xml:space="preserve"> 31 March 2026</v>
      </c>
      <c r="C10" s="637"/>
      <c r="D10" s="637" t="str">
        <f>Update!$B$24</f>
        <v xml:space="preserve"> 31 March 2025</v>
      </c>
      <c r="E10" s="640"/>
      <c r="F10" s="1175" t="s">
        <v>2037</v>
      </c>
    </row>
    <row r="11" spans="1:8" x14ac:dyDescent="0.2">
      <c r="B11" s="468" t="s">
        <v>493</v>
      </c>
      <c r="C11" s="468"/>
      <c r="D11" s="468" t="s">
        <v>493</v>
      </c>
    </row>
    <row r="12" spans="1:8" x14ac:dyDescent="0.2">
      <c r="A12" s="1080"/>
      <c r="B12" s="468"/>
      <c r="C12" s="468"/>
      <c r="D12" s="468"/>
    </row>
    <row r="13" spans="1:8" ht="87.75" customHeight="1" x14ac:dyDescent="0.2">
      <c r="A13" s="1177" t="s">
        <v>1944</v>
      </c>
      <c r="B13" s="1173"/>
      <c r="C13" s="1172"/>
      <c r="D13" s="1173"/>
      <c r="E13" s="640"/>
      <c r="F13" s="1174"/>
    </row>
    <row r="14" spans="1:8" x14ac:dyDescent="0.2">
      <c r="A14" s="536"/>
      <c r="C14" s="468"/>
    </row>
    <row r="15" spans="1:8" x14ac:dyDescent="0.2">
      <c r="C15" s="468"/>
      <c r="E15" s="636"/>
    </row>
    <row r="16" spans="1:8" x14ac:dyDescent="0.2">
      <c r="C16" s="468"/>
    </row>
  </sheetData>
  <sheetProtection algorithmName="SHA-512" hashValue="V7+DKKXx943wlW/WSUntBivtQ+VcE3fOeXo7PW/aiA81679rKN4xAY9EE85WLO1lQlkeYtwVzaAJIGYytl49+w==" saltValue="u1lJYys0IjcI/oi0PC1TzQ==" spinCount="100000" sheet="1" formatColumns="0" formatRows="0"/>
  <mergeCells count="1">
    <mergeCell ref="A7:F7"/>
  </mergeCells>
  <conditionalFormatting sqref="A3">
    <cfRule type="expression" dxfId="155" priority="71">
      <formula>CELL("Protect",A3)=0</formula>
    </cfRule>
  </conditionalFormatting>
  <conditionalFormatting sqref="B13">
    <cfRule type="expression" dxfId="154" priority="44">
      <formula>CELL("Protect",B13)=0</formula>
    </cfRule>
  </conditionalFormatting>
  <conditionalFormatting sqref="D13">
    <cfRule type="expression" dxfId="153" priority="65">
      <formula>CELL("Protect",D13)=0</formula>
    </cfRule>
  </conditionalFormatting>
  <conditionalFormatting sqref="F13">
    <cfRule type="expression" dxfId="152" priority="9">
      <formula>CELL("Protect",F13)=0</formula>
    </cfRule>
  </conditionalFormatting>
  <pageMargins left="0.74803149606299213" right="0.74803149606299213" top="0.59055118110236227" bottom="0.59055118110236227" header="0.51181102362204722" footer="0.51181102362204722"/>
  <pageSetup paperSize="9" scale="3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2">
    <tabColor rgb="FFFFFF00"/>
    <pageSetUpPr fitToPage="1"/>
  </sheetPr>
  <dimension ref="A1:K31"/>
  <sheetViews>
    <sheetView zoomScaleNormal="100" workbookViewId="0">
      <pane xSplit="6" ySplit="7" topLeftCell="G8" activePane="bottomRight" state="frozen"/>
      <selection activeCell="F19" sqref="F19"/>
      <selection pane="topRight" activeCell="F19" sqref="F19"/>
      <selection pane="bottomLeft" activeCell="F19" sqref="F19"/>
      <selection pane="bottomRight" activeCell="G8" sqref="G8"/>
    </sheetView>
  </sheetViews>
  <sheetFormatPr defaultColWidth="9.140625" defaultRowHeight="12.75" customHeight="1" x14ac:dyDescent="0.2"/>
  <cols>
    <col min="1" max="1" width="30.28515625" style="397" customWidth="1"/>
    <col min="2" max="2" width="15.140625" style="397" customWidth="1"/>
    <col min="3" max="3" width="20.5703125" style="397" customWidth="1"/>
    <col min="4" max="5" width="13.140625" style="397" customWidth="1"/>
    <col min="6" max="6" width="5" style="397" customWidth="1"/>
    <col min="7" max="7" width="14.7109375" style="397" customWidth="1"/>
    <col min="8" max="8" width="21" style="397" customWidth="1"/>
    <col min="9" max="9" width="14.140625" style="397" customWidth="1"/>
    <col min="10" max="10" width="11.7109375" style="397" bestFit="1" customWidth="1"/>
    <col min="11" max="16384" width="9.140625" style="397"/>
  </cols>
  <sheetData>
    <row r="1" spans="1:11" ht="14.65" customHeight="1" x14ac:dyDescent="0.2">
      <c r="A1" s="416" t="str">
        <f>'alb Instructions'!$B$20</f>
        <v>enter HSC Body name here</v>
      </c>
      <c r="B1" s="416"/>
      <c r="C1" s="416"/>
      <c r="D1" s="416"/>
      <c r="E1" s="416"/>
      <c r="F1" s="416"/>
      <c r="G1" s="416"/>
      <c r="H1" s="416"/>
      <c r="I1" s="416"/>
      <c r="J1" s="416"/>
    </row>
    <row r="2" spans="1:11" ht="12.75" customHeight="1" x14ac:dyDescent="0.2">
      <c r="A2" s="388"/>
      <c r="B2" s="388"/>
      <c r="C2" s="388"/>
      <c r="D2" s="388"/>
      <c r="E2" s="388"/>
      <c r="F2" s="388"/>
      <c r="G2" s="388"/>
      <c r="H2" s="388"/>
      <c r="I2" s="388"/>
      <c r="J2" s="388"/>
    </row>
    <row r="3" spans="1:11" ht="12.75" customHeight="1" x14ac:dyDescent="0.2">
      <c r="A3" s="416" t="str">
        <f>"NOTES TO THE ACCOUNTS FOR THE YEAR ENDED"&amp;Update!$B$22</f>
        <v>NOTES TO THE ACCOUNTS FOR THE YEAR ENDED 31 March 2026</v>
      </c>
      <c r="B3" s="644"/>
      <c r="C3" s="644"/>
      <c r="D3" s="644"/>
      <c r="E3" s="644"/>
      <c r="F3" s="644"/>
      <c r="G3" s="642"/>
      <c r="H3" s="642"/>
      <c r="I3" s="642"/>
      <c r="J3" s="642"/>
      <c r="K3" s="642"/>
    </row>
    <row r="4" spans="1:11" ht="12.75" customHeight="1" x14ac:dyDescent="0.2">
      <c r="A4" s="388"/>
      <c r="B4" s="388"/>
      <c r="C4" s="388"/>
      <c r="D4" s="388"/>
      <c r="E4" s="388"/>
      <c r="F4" s="388"/>
      <c r="G4" s="388"/>
      <c r="H4" s="388"/>
      <c r="I4" s="388"/>
      <c r="J4" s="388"/>
    </row>
    <row r="5" spans="1:11" ht="12.75" customHeight="1" x14ac:dyDescent="0.2">
      <c r="A5" s="388" t="s">
        <v>2343</v>
      </c>
      <c r="B5" s="388"/>
      <c r="C5" s="388"/>
      <c r="D5" s="388"/>
      <c r="E5" s="388"/>
      <c r="F5" s="388"/>
      <c r="G5" s="388"/>
      <c r="H5" s="388"/>
      <c r="I5" s="388"/>
      <c r="J5" s="388"/>
    </row>
    <row r="6" spans="1:11" ht="12.75" customHeight="1" x14ac:dyDescent="0.2">
      <c r="A6" s="388"/>
      <c r="B6" s="388"/>
      <c r="C6" s="468"/>
      <c r="D6" s="468"/>
      <c r="E6" s="468"/>
      <c r="F6" s="388"/>
      <c r="G6" s="388"/>
      <c r="H6" s="388"/>
      <c r="I6" s="388"/>
      <c r="J6" s="388"/>
    </row>
    <row r="7" spans="1:11" x14ac:dyDescent="0.2">
      <c r="A7" s="931"/>
      <c r="B7" s="931"/>
      <c r="C7" s="931"/>
      <c r="D7" s="931"/>
      <c r="E7" s="931"/>
      <c r="F7" s="931"/>
      <c r="G7" s="931"/>
      <c r="H7" s="931"/>
      <c r="I7" s="931"/>
      <c r="J7" s="468"/>
    </row>
    <row r="8" spans="1:11" ht="12.75" customHeight="1" x14ac:dyDescent="0.2">
      <c r="A8" s="932"/>
      <c r="B8" s="1042"/>
      <c r="C8" s="468" t="str">
        <f>Update!$C$38</f>
        <v>2025-26</v>
      </c>
      <c r="D8" s="1042"/>
      <c r="E8" s="1042"/>
      <c r="F8" s="933"/>
      <c r="G8" s="1042"/>
      <c r="H8" s="468" t="str">
        <f>Update!$C$37</f>
        <v>2024-25</v>
      </c>
      <c r="I8" s="1042"/>
      <c r="J8" s="645"/>
    </row>
    <row r="9" spans="1:11" ht="32.25" customHeight="1" x14ac:dyDescent="0.2">
      <c r="A9" s="932"/>
      <c r="B9" s="1165" t="s">
        <v>1939</v>
      </c>
      <c r="C9" s="1165" t="s">
        <v>1940</v>
      </c>
      <c r="D9" s="1165" t="s">
        <v>1941</v>
      </c>
      <c r="E9" s="1165" t="s">
        <v>146</v>
      </c>
      <c r="F9" s="1165"/>
      <c r="G9" s="1165" t="s">
        <v>1939</v>
      </c>
      <c r="H9" s="1165" t="s">
        <v>1940</v>
      </c>
      <c r="I9" s="1165" t="s">
        <v>1941</v>
      </c>
      <c r="J9" s="1165" t="s">
        <v>146</v>
      </c>
    </row>
    <row r="10" spans="1:11" ht="12.75" customHeight="1" x14ac:dyDescent="0.2">
      <c r="A10" s="932"/>
      <c r="B10" s="934" t="s">
        <v>62</v>
      </c>
      <c r="C10" s="934" t="s">
        <v>62</v>
      </c>
      <c r="D10" s="934" t="s">
        <v>62</v>
      </c>
      <c r="E10" s="934" t="s">
        <v>62</v>
      </c>
      <c r="F10" s="935"/>
      <c r="G10" s="934" t="s">
        <v>62</v>
      </c>
      <c r="H10" s="934" t="s">
        <v>62</v>
      </c>
      <c r="I10" s="934" t="s">
        <v>62</v>
      </c>
      <c r="J10" s="934" t="s">
        <v>62</v>
      </c>
    </row>
    <row r="11" spans="1:11" ht="12.75" customHeight="1" x14ac:dyDescent="0.2">
      <c r="A11" s="931" t="s">
        <v>607</v>
      </c>
      <c r="B11" s="931">
        <f>+G20</f>
        <v>0</v>
      </c>
      <c r="C11" s="931">
        <f>+H20</f>
        <v>0</v>
      </c>
      <c r="D11" s="931">
        <f>+I20</f>
        <v>0</v>
      </c>
      <c r="E11" s="931">
        <f>SUM(B11:D11)</f>
        <v>0</v>
      </c>
      <c r="F11" s="932"/>
      <c r="G11" s="513"/>
      <c r="H11" s="513"/>
      <c r="I11" s="513"/>
      <c r="J11" s="931">
        <f t="shared" ref="J11:J18" si="0">SUM(G11:I11)</f>
        <v>0</v>
      </c>
    </row>
    <row r="12" spans="1:11" ht="12.75" customHeight="1" x14ac:dyDescent="0.2">
      <c r="A12" s="931"/>
      <c r="B12" s="931"/>
      <c r="C12" s="931"/>
      <c r="D12" s="931"/>
      <c r="E12" s="931"/>
      <c r="F12" s="932"/>
      <c r="G12" s="931"/>
      <c r="H12" s="931"/>
      <c r="I12" s="931"/>
      <c r="J12" s="931"/>
    </row>
    <row r="13" spans="1:11" ht="12.75" customHeight="1" x14ac:dyDescent="0.2">
      <c r="A13" s="931" t="s">
        <v>185</v>
      </c>
      <c r="B13" s="513"/>
      <c r="C13" s="513"/>
      <c r="D13" s="513"/>
      <c r="E13" s="931">
        <f t="shared" ref="E13:E18" si="1">SUM(B13:D13)</f>
        <v>0</v>
      </c>
      <c r="F13" s="932"/>
      <c r="G13" s="513"/>
      <c r="H13" s="513"/>
      <c r="I13" s="513"/>
      <c r="J13" s="931">
        <f t="shared" si="0"/>
        <v>0</v>
      </c>
    </row>
    <row r="14" spans="1:11" ht="12.75" customHeight="1" x14ac:dyDescent="0.2">
      <c r="A14" s="931" t="s">
        <v>191</v>
      </c>
      <c r="B14" s="513"/>
      <c r="C14" s="513"/>
      <c r="D14" s="513"/>
      <c r="E14" s="931">
        <f t="shared" si="1"/>
        <v>0</v>
      </c>
      <c r="F14" s="932"/>
      <c r="G14" s="513"/>
      <c r="H14" s="513"/>
      <c r="I14" s="513"/>
      <c r="J14" s="931">
        <f t="shared" si="0"/>
        <v>0</v>
      </c>
    </row>
    <row r="15" spans="1:11" ht="12.75" customHeight="1" x14ac:dyDescent="0.2">
      <c r="A15" s="931" t="s">
        <v>222</v>
      </c>
      <c r="B15" s="513"/>
      <c r="C15" s="513"/>
      <c r="D15" s="513"/>
      <c r="E15" s="931">
        <f t="shared" si="1"/>
        <v>0</v>
      </c>
      <c r="F15" s="932"/>
      <c r="G15" s="513"/>
      <c r="H15" s="513"/>
      <c r="I15" s="513"/>
      <c r="J15" s="931">
        <f t="shared" si="0"/>
        <v>0</v>
      </c>
    </row>
    <row r="16" spans="1:11" ht="12.75" customHeight="1" x14ac:dyDescent="0.2">
      <c r="A16" s="936" t="s">
        <v>223</v>
      </c>
      <c r="B16" s="513"/>
      <c r="C16" s="513"/>
      <c r="D16" s="513"/>
      <c r="E16" s="931">
        <f t="shared" si="1"/>
        <v>0</v>
      </c>
      <c r="F16" s="932"/>
      <c r="G16" s="513"/>
      <c r="H16" s="513"/>
      <c r="I16" s="513"/>
      <c r="J16" s="931">
        <f t="shared" si="0"/>
        <v>0</v>
      </c>
    </row>
    <row r="17" spans="1:10" ht="12.75" customHeight="1" x14ac:dyDescent="0.2">
      <c r="A17" s="936" t="s">
        <v>189</v>
      </c>
      <c r="B17" s="513"/>
      <c r="C17" s="513"/>
      <c r="D17" s="513"/>
      <c r="E17" s="931">
        <f t="shared" si="1"/>
        <v>0</v>
      </c>
      <c r="F17" s="932"/>
      <c r="G17" s="513"/>
      <c r="H17" s="513"/>
      <c r="I17" s="513"/>
      <c r="J17" s="931">
        <f t="shared" si="0"/>
        <v>0</v>
      </c>
    </row>
    <row r="18" spans="1:10" ht="12.75" customHeight="1" x14ac:dyDescent="0.2">
      <c r="A18" s="931" t="s">
        <v>208</v>
      </c>
      <c r="B18" s="513"/>
      <c r="C18" s="513"/>
      <c r="D18" s="513"/>
      <c r="E18" s="931">
        <f t="shared" si="1"/>
        <v>0</v>
      </c>
      <c r="F18" s="932"/>
      <c r="G18" s="513"/>
      <c r="H18" s="513"/>
      <c r="I18" s="513"/>
      <c r="J18" s="931">
        <f t="shared" si="0"/>
        <v>0</v>
      </c>
    </row>
    <row r="19" spans="1:10" ht="12.75" customHeight="1" x14ac:dyDescent="0.2">
      <c r="A19" s="931"/>
      <c r="B19" s="932"/>
      <c r="C19" s="932"/>
      <c r="D19" s="932"/>
      <c r="E19" s="932"/>
      <c r="F19" s="932"/>
      <c r="G19" s="932"/>
      <c r="H19" s="932"/>
      <c r="I19" s="932"/>
      <c r="J19" s="932"/>
    </row>
    <row r="20" spans="1:10" ht="12.75" customHeight="1" x14ac:dyDescent="0.2">
      <c r="A20" s="937" t="s">
        <v>608</v>
      </c>
      <c r="B20" s="938">
        <f>SUM(B11:B18)</f>
        <v>0</v>
      </c>
      <c r="C20" s="938">
        <f>SUM(C11:C18)</f>
        <v>0</v>
      </c>
      <c r="D20" s="938">
        <f>SUM(D11:D18)</f>
        <v>0</v>
      </c>
      <c r="E20" s="938">
        <f>SUM(E11:E18)</f>
        <v>0</v>
      </c>
      <c r="F20" s="932"/>
      <c r="G20" s="938">
        <f>SUM(G11:G18)</f>
        <v>0</v>
      </c>
      <c r="H20" s="938">
        <f>SUM(H11:H18)</f>
        <v>0</v>
      </c>
      <c r="I20" s="938">
        <f>SUM(I11:I18)</f>
        <v>0</v>
      </c>
      <c r="J20" s="938">
        <f>SUM(J11:J18)</f>
        <v>0</v>
      </c>
    </row>
    <row r="21" spans="1:10" ht="12.75" customHeight="1" x14ac:dyDescent="0.2">
      <c r="A21" s="932"/>
      <c r="B21" s="932"/>
      <c r="C21" s="932"/>
      <c r="D21" s="932"/>
      <c r="E21" s="932"/>
      <c r="F21" s="932"/>
      <c r="G21" s="933"/>
      <c r="H21" s="933"/>
      <c r="I21" s="933"/>
      <c r="J21" s="932"/>
    </row>
    <row r="22" spans="1:10" ht="12.75" customHeight="1" x14ac:dyDescent="0.2">
      <c r="A22" s="932"/>
      <c r="B22" s="932"/>
      <c r="C22" s="932"/>
      <c r="D22" s="932"/>
      <c r="E22" s="932"/>
      <c r="F22" s="932"/>
      <c r="G22" s="933"/>
      <c r="H22" s="933"/>
      <c r="I22" s="933"/>
      <c r="J22" s="932"/>
    </row>
    <row r="23" spans="1:10" ht="33.75" customHeight="1" x14ac:dyDescent="0.2">
      <c r="A23" s="1078" t="s">
        <v>1942</v>
      </c>
      <c r="B23" s="1079"/>
      <c r="C23" s="1079"/>
      <c r="D23" s="1073"/>
      <c r="E23" s="1073"/>
      <c r="F23" s="1097"/>
      <c r="G23" s="1079"/>
      <c r="H23" s="1079"/>
      <c r="I23" s="1079"/>
      <c r="J23" s="1073"/>
    </row>
    <row r="24" spans="1:10" ht="33.75" customHeight="1" x14ac:dyDescent="0.2">
      <c r="A24" s="1078"/>
      <c r="B24" s="1042"/>
      <c r="C24" s="468" t="str">
        <f>C8</f>
        <v>2025-26</v>
      </c>
      <c r="D24" s="1042"/>
      <c r="E24" s="645"/>
      <c r="F24" s="1097"/>
      <c r="G24" s="1042"/>
      <c r="H24" s="468" t="str">
        <f>H8</f>
        <v>2024-25</v>
      </c>
      <c r="I24" s="1042"/>
      <c r="J24" s="645"/>
    </row>
    <row r="25" spans="1:10" ht="33.75" customHeight="1" x14ac:dyDescent="0.2">
      <c r="A25" s="1078"/>
      <c r="B25" s="1165" t="str">
        <f>B9</f>
        <v>Charitable Trust Fund</v>
      </c>
      <c r="C25" s="1165" t="str">
        <f>C9</f>
        <v>Financial Transactions Capital</v>
      </c>
      <c r="D25" s="1165" t="str">
        <f>D9</f>
        <v>Other Investments</v>
      </c>
      <c r="E25" s="1165" t="str">
        <f>E9</f>
        <v>Total</v>
      </c>
      <c r="F25" s="1097"/>
      <c r="G25" s="1165" t="str">
        <f>G9</f>
        <v>Charitable Trust Fund</v>
      </c>
      <c r="H25" s="1165" t="str">
        <f>H9</f>
        <v>Financial Transactions Capital</v>
      </c>
      <c r="I25" s="1165" t="str">
        <f>I9</f>
        <v>Other Investments</v>
      </c>
      <c r="J25" s="1165" t="str">
        <f>J9</f>
        <v>Total</v>
      </c>
    </row>
    <row r="26" spans="1:10" ht="12.75" customHeight="1" x14ac:dyDescent="0.2">
      <c r="A26" s="1079"/>
      <c r="B26" s="1096" t="s">
        <v>493</v>
      </c>
      <c r="C26" s="1096" t="s">
        <v>493</v>
      </c>
      <c r="D26" s="1096" t="s">
        <v>493</v>
      </c>
      <c r="E26" s="1096" t="s">
        <v>493</v>
      </c>
      <c r="F26" s="1166"/>
      <c r="G26" s="1096" t="s">
        <v>493</v>
      </c>
      <c r="H26" s="1096" t="s">
        <v>493</v>
      </c>
      <c r="I26" s="1096" t="s">
        <v>493</v>
      </c>
      <c r="J26" s="1096" t="s">
        <v>493</v>
      </c>
    </row>
    <row r="27" spans="1:10" ht="12.75" customHeight="1" x14ac:dyDescent="0.2">
      <c r="A27" s="1167" t="s">
        <v>1685</v>
      </c>
      <c r="B27" s="513"/>
      <c r="C27" s="513"/>
      <c r="D27" s="513"/>
      <c r="E27" s="931">
        <f>SUM(B27:D27)</f>
        <v>0</v>
      </c>
      <c r="F27" s="1168"/>
      <c r="G27" s="513"/>
      <c r="H27" s="513"/>
      <c r="I27" s="513"/>
      <c r="J27" s="931">
        <f>SUM(G27:I27)</f>
        <v>0</v>
      </c>
    </row>
    <row r="28" spans="1:10" ht="12.75" customHeight="1" x14ac:dyDescent="0.2">
      <c r="A28" s="1169" t="s">
        <v>1943</v>
      </c>
      <c r="B28" s="931">
        <f>B29-B27</f>
        <v>0</v>
      </c>
      <c r="C28" s="931">
        <f>C29-C27</f>
        <v>0</v>
      </c>
      <c r="D28" s="931">
        <f>D29-D27</f>
        <v>0</v>
      </c>
      <c r="E28" s="931">
        <f>SUM(B28:D28)</f>
        <v>0</v>
      </c>
      <c r="F28" s="1166"/>
      <c r="G28" s="931">
        <f>G29-G27</f>
        <v>0</v>
      </c>
      <c r="H28" s="931">
        <f>H29-H27</f>
        <v>0</v>
      </c>
      <c r="I28" s="931">
        <f>I29-I27</f>
        <v>0</v>
      </c>
      <c r="J28" s="931">
        <f>SUM(G28:I28)</f>
        <v>0</v>
      </c>
    </row>
    <row r="29" spans="1:10" ht="12.75" customHeight="1" thickBot="1" x14ac:dyDescent="0.25">
      <c r="A29" s="1170" t="s">
        <v>146</v>
      </c>
      <c r="B29" s="1171">
        <f>B20</f>
        <v>0</v>
      </c>
      <c r="C29" s="1171">
        <f>C20</f>
        <v>0</v>
      </c>
      <c r="D29" s="1171">
        <f>D20</f>
        <v>0</v>
      </c>
      <c r="E29" s="1171">
        <f>E20</f>
        <v>0</v>
      </c>
      <c r="F29" s="1080"/>
      <c r="G29" s="1171">
        <f>G20</f>
        <v>0</v>
      </c>
      <c r="H29" s="1171">
        <f>H20</f>
        <v>0</v>
      </c>
      <c r="I29" s="1171">
        <f>I20</f>
        <v>0</v>
      </c>
      <c r="J29" s="1171">
        <f>J20</f>
        <v>0</v>
      </c>
    </row>
    <row r="30" spans="1:10" ht="12.75" customHeight="1" thickTop="1" x14ac:dyDescent="0.2">
      <c r="A30" s="1080"/>
      <c r="B30" s="1080"/>
      <c r="C30" s="1080"/>
      <c r="D30" s="1080"/>
      <c r="E30" s="1080"/>
      <c r="F30" s="1080"/>
      <c r="G30" s="1080"/>
      <c r="H30" s="1080"/>
      <c r="I30" s="1080"/>
    </row>
    <row r="31" spans="1:10" ht="12.75" customHeight="1" x14ac:dyDescent="0.2">
      <c r="A31" s="931"/>
      <c r="B31" s="940" t="str">
        <f>IF(B11=SUM(G11:G19),"Ok","ERROR")</f>
        <v>Ok</v>
      </c>
      <c r="C31" s="940" t="str">
        <f>IF(C11=SUM(H11:H19),"Ok","ERROR")</f>
        <v>Ok</v>
      </c>
      <c r="D31" s="940" t="str">
        <f>IF(D11=SUM(I11:I19),"Ok","ERROR")</f>
        <v>Ok</v>
      </c>
      <c r="E31" s="940" t="str">
        <f>IF(E11=SUM(J11:J19),"Ok","ERROR")</f>
        <v>Ok</v>
      </c>
      <c r="F31" s="931"/>
      <c r="G31" s="939"/>
      <c r="H31" s="931"/>
      <c r="I31" s="931"/>
    </row>
  </sheetData>
  <sheetProtection algorithmName="SHA-512" hashValue="sCQ40QZRkUIs1SmPosxVScrNSeiJP/esW8XyIPUO9cxIBdmVlEIQD/Sd+iSrsP4xN4rWiqGrWW8lB3E2Rg83Fw==" saltValue="1KY04zSgRZf+o2S5jsVgWw==" spinCount="100000" sheet="1" formatColumns="0" formatRows="0"/>
  <conditionalFormatting sqref="A3">
    <cfRule type="expression" dxfId="151" priority="15">
      <formula>CELL("Protect",A3)=0</formula>
    </cfRule>
  </conditionalFormatting>
  <conditionalFormatting sqref="B13:D18">
    <cfRule type="expression" dxfId="150" priority="14">
      <formula>CELL("Protect",B13)=0</formula>
    </cfRule>
  </conditionalFormatting>
  <conditionalFormatting sqref="B27:D27">
    <cfRule type="expression" dxfId="149" priority="2">
      <formula>CELL("Protect",B27)=0</formula>
    </cfRule>
  </conditionalFormatting>
  <conditionalFormatting sqref="G11:I11">
    <cfRule type="expression" dxfId="148" priority="13">
      <formula>CELL("Protect",G11)=0</formula>
    </cfRule>
  </conditionalFormatting>
  <conditionalFormatting sqref="G13:I18">
    <cfRule type="expression" dxfId="147" priority="5">
      <formula>CELL("Protect",G13)=0</formula>
    </cfRule>
  </conditionalFormatting>
  <conditionalFormatting sqref="G27:I27">
    <cfRule type="expression" dxfId="146" priority="1">
      <formula>CELL("Protect",G27)=0</formula>
    </cfRule>
  </conditionalFormatting>
  <pageMargins left="0.74803149606299213" right="0.74803149606299213" top="0.59055118110236227" bottom="0.59055118110236227" header="0.51181102362204722" footer="0.51181102362204722"/>
  <pageSetup paperSize="9" scale="6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3">
    <tabColor rgb="FFFFFF00"/>
    <pageSetUpPr fitToPage="1"/>
  </sheetPr>
  <dimension ref="A1:C17"/>
  <sheetViews>
    <sheetView zoomScaleNormal="100" workbookViewId="0">
      <pane xSplit="2" ySplit="8" topLeftCell="C9" activePane="bottomRight" state="frozen"/>
      <selection activeCell="F19" sqref="F19"/>
      <selection pane="topRight" activeCell="F19" sqref="F19"/>
      <selection pane="bottomLeft" activeCell="F19" sqref="F19"/>
      <selection pane="bottomRight" activeCell="C9" sqref="C9"/>
    </sheetView>
  </sheetViews>
  <sheetFormatPr defaultColWidth="9.140625" defaultRowHeight="12.75" customHeight="1" x14ac:dyDescent="0.2"/>
  <cols>
    <col min="1" max="1" width="37.5703125" style="397" customWidth="1"/>
    <col min="2" max="3" width="12.85546875" style="397" bestFit="1" customWidth="1"/>
    <col min="4" max="16384" width="9.140625" style="397"/>
  </cols>
  <sheetData>
    <row r="1" spans="1:3" ht="14.65" customHeight="1" x14ac:dyDescent="0.2">
      <c r="A1" s="416" t="str">
        <f>'alb Instructions'!$B$20</f>
        <v>enter HSC Body name here</v>
      </c>
      <c r="B1" s="416"/>
      <c r="C1" s="416"/>
    </row>
    <row r="2" spans="1:3" ht="12.75" customHeight="1" x14ac:dyDescent="0.2">
      <c r="A2" s="388"/>
      <c r="B2" s="388"/>
      <c r="C2" s="388"/>
    </row>
    <row r="3" spans="1:3" ht="12.75" customHeight="1" x14ac:dyDescent="0.2">
      <c r="A3" s="416" t="str">
        <f>"NOTES TO THE ACCOUNTS FOR THE YEAR ENDED"&amp;Update!$B$22</f>
        <v>NOTES TO THE ACCOUNTS FOR THE YEAR ENDED 31 March 2026</v>
      </c>
      <c r="B3" s="644"/>
      <c r="C3" s="642"/>
    </row>
    <row r="4" spans="1:3" ht="12.75" customHeight="1" x14ac:dyDescent="0.2">
      <c r="A4" s="388"/>
      <c r="B4" s="388"/>
      <c r="C4" s="388"/>
    </row>
    <row r="5" spans="1:3" ht="12.75" customHeight="1" x14ac:dyDescent="0.2">
      <c r="A5" s="388" t="s">
        <v>2344</v>
      </c>
      <c r="B5" s="388"/>
      <c r="C5" s="388"/>
    </row>
    <row r="6" spans="1:3" ht="12.75" customHeight="1" x14ac:dyDescent="0.2">
      <c r="A6" s="388" t="s">
        <v>281</v>
      </c>
      <c r="B6" s="462"/>
      <c r="C6" s="462"/>
    </row>
    <row r="7" spans="1:3" ht="12.75" customHeight="1" x14ac:dyDescent="0.2">
      <c r="A7" s="451"/>
      <c r="B7" s="468" t="str">
        <f>Update!$C$38</f>
        <v>2025-26</v>
      </c>
      <c r="C7" s="468" t="str">
        <f>Update!$C$37</f>
        <v>2024-25</v>
      </c>
    </row>
    <row r="8" spans="1:3" x14ac:dyDescent="0.2">
      <c r="A8" s="569" t="s">
        <v>1276</v>
      </c>
      <c r="B8" s="468" t="s">
        <v>493</v>
      </c>
      <c r="C8" s="468" t="s">
        <v>493</v>
      </c>
    </row>
    <row r="9" spans="1:3" ht="12.75" customHeight="1" x14ac:dyDescent="0.2">
      <c r="A9" s="452" t="s">
        <v>811</v>
      </c>
      <c r="B9" s="513"/>
      <c r="C9" s="513"/>
    </row>
    <row r="10" spans="1:3" ht="12.75" customHeight="1" x14ac:dyDescent="0.2">
      <c r="A10" s="452" t="s">
        <v>1730</v>
      </c>
      <c r="B10" s="513"/>
      <c r="C10" s="513"/>
    </row>
    <row r="11" spans="1:3" ht="12.75" customHeight="1" x14ac:dyDescent="0.2">
      <c r="A11" s="452" t="s">
        <v>813</v>
      </c>
      <c r="B11" s="513"/>
      <c r="C11" s="513"/>
    </row>
    <row r="12" spans="1:3" ht="12.75" customHeight="1" x14ac:dyDescent="0.2">
      <c r="A12" s="452" t="s">
        <v>812</v>
      </c>
      <c r="B12" s="513"/>
      <c r="C12" s="513"/>
    </row>
    <row r="13" spans="1:3" ht="12.75" customHeight="1" x14ac:dyDescent="0.2">
      <c r="A13" s="452" t="s">
        <v>181</v>
      </c>
      <c r="B13" s="513"/>
      <c r="C13" s="513"/>
    </row>
    <row r="14" spans="1:3" ht="12.75" customHeight="1" x14ac:dyDescent="0.2">
      <c r="A14" s="452"/>
      <c r="B14" s="459"/>
      <c r="C14" s="459"/>
    </row>
    <row r="15" spans="1:3" ht="12.75" customHeight="1" thickBot="1" x14ac:dyDescent="0.25">
      <c r="A15" s="388" t="s">
        <v>146</v>
      </c>
      <c r="B15" s="507">
        <f>SUM(B9:B13)</f>
        <v>0</v>
      </c>
      <c r="C15" s="507">
        <f>SUM(C9:C13)</f>
        <v>0</v>
      </c>
    </row>
    <row r="16" spans="1:3" ht="12.75" customHeight="1" thickTop="1" x14ac:dyDescent="0.2">
      <c r="A16" s="388"/>
      <c r="B16" s="574"/>
      <c r="C16" s="574"/>
    </row>
    <row r="17" spans="1:3" ht="12.75" customHeight="1" x14ac:dyDescent="0.2">
      <c r="A17" s="388"/>
      <c r="B17" s="645"/>
      <c r="C17" s="645"/>
    </row>
  </sheetData>
  <sheetProtection algorithmName="SHA-512" hashValue="4HcyLsI2IGmiRkVA9WcbYImFA7O1gwsWffciwdqOVqFAeijoH8G9W2zMA3vgFFtpAzr4kxMQECKXllbta06erw==" saltValue="+3ctTRSM7q+gx7XUOVn4oA==" spinCount="100000" sheet="1" formatColumns="0" formatRows="0"/>
  <conditionalFormatting sqref="A3">
    <cfRule type="expression" dxfId="145" priority="3">
      <formula>CELL("Protect",A3)=0</formula>
    </cfRule>
  </conditionalFormatting>
  <conditionalFormatting sqref="B9:C13">
    <cfRule type="expression" dxfId="144" priority="1">
      <formula>CELL("Protect",B9)=0</formula>
    </cfRule>
  </conditionalFormatting>
  <pageMargins left="0.74803149606299213" right="0.74803149606299213" top="0.59055118110236227" bottom="0.59055118110236227" header="0.51181102362204722" footer="0.51181102362204722"/>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4">
    <tabColor rgb="FFFFFF00"/>
    <pageSetUpPr fitToPage="1"/>
  </sheetPr>
  <dimension ref="A1:I33"/>
  <sheetViews>
    <sheetView zoomScaleNormal="100" workbookViewId="0">
      <pane xSplit="2" ySplit="9" topLeftCell="C10" activePane="bottomRight" state="frozen"/>
      <selection activeCell="F19" sqref="F19"/>
      <selection pane="topRight" activeCell="F19" sqref="F19"/>
      <selection pane="bottomLeft" activeCell="F19" sqref="F19"/>
      <selection pane="bottomRight" activeCell="C10" sqref="C10"/>
    </sheetView>
  </sheetViews>
  <sheetFormatPr defaultColWidth="9.140625" defaultRowHeight="12.75" customHeight="1" x14ac:dyDescent="0.2"/>
  <cols>
    <col min="1" max="1" width="56.42578125" style="457" customWidth="1"/>
    <col min="2" max="2" width="14.140625" style="457" customWidth="1"/>
    <col min="3" max="3" width="12.85546875" style="457" bestFit="1" customWidth="1"/>
    <col min="4" max="4" width="20.7109375" style="457" hidden="1" customWidth="1"/>
    <col min="5" max="5" width="16.140625" style="457" customWidth="1"/>
    <col min="6" max="16384" width="9.140625" style="457"/>
  </cols>
  <sheetData>
    <row r="1" spans="1:3" ht="14.65" customHeight="1" x14ac:dyDescent="0.2">
      <c r="A1" s="416" t="str">
        <f>'alb Instructions'!$B$20</f>
        <v>enter HSC Body name here</v>
      </c>
      <c r="B1" s="544"/>
      <c r="C1" s="544"/>
    </row>
    <row r="3" spans="1:3" ht="12.75" customHeight="1" x14ac:dyDescent="0.2">
      <c r="A3" s="416" t="str">
        <f>"NOTES TO THE ACCOUNTS FOR THE YEAR ENDED"&amp;Update!$B$22</f>
        <v>NOTES TO THE ACCOUNTS FOR THE YEAR ENDED 31 March 2026</v>
      </c>
      <c r="B3" s="549"/>
    </row>
    <row r="5" spans="1:3" ht="12.75" customHeight="1" x14ac:dyDescent="0.2">
      <c r="A5" s="536" t="s">
        <v>2345</v>
      </c>
    </row>
    <row r="6" spans="1:3" s="450" customFormat="1" ht="12.75" customHeight="1" x14ac:dyDescent="0.2">
      <c r="A6" s="465"/>
      <c r="B6" s="462"/>
      <c r="C6" s="462"/>
    </row>
    <row r="7" spans="1:3" ht="12.75" customHeight="1" x14ac:dyDescent="0.2">
      <c r="B7" s="468"/>
      <c r="C7" s="468"/>
    </row>
    <row r="8" spans="1:3" ht="12.75" customHeight="1" x14ac:dyDescent="0.2">
      <c r="B8" s="468" t="str">
        <f>Update!$C$38</f>
        <v>2025-26</v>
      </c>
      <c r="C8" s="468" t="str">
        <f>Update!$C$37</f>
        <v>2024-25</v>
      </c>
    </row>
    <row r="9" spans="1:3" ht="12.75" customHeight="1" x14ac:dyDescent="0.2">
      <c r="B9" s="468" t="s">
        <v>493</v>
      </c>
      <c r="C9" s="468" t="s">
        <v>493</v>
      </c>
    </row>
    <row r="10" spans="1:3" ht="12.75" customHeight="1" x14ac:dyDescent="0.2">
      <c r="A10" s="649" t="s">
        <v>219</v>
      </c>
      <c r="B10" s="459">
        <f>C13</f>
        <v>0</v>
      </c>
      <c r="C10" s="513"/>
    </row>
    <row r="11" spans="1:3" ht="12.75" customHeight="1" x14ac:dyDescent="0.2">
      <c r="A11" s="649" t="s">
        <v>774</v>
      </c>
      <c r="B11" s="1037"/>
      <c r="C11" s="513"/>
    </row>
    <row r="12" spans="1:3" ht="12.75" customHeight="1" x14ac:dyDescent="0.2">
      <c r="A12" s="649"/>
      <c r="B12" s="459"/>
      <c r="C12" s="459"/>
    </row>
    <row r="13" spans="1:3" ht="12.75" customHeight="1" thickBot="1" x14ac:dyDescent="0.25">
      <c r="A13" s="650" t="s">
        <v>1280</v>
      </c>
      <c r="B13" s="507">
        <f>SUM(B10:B11)</f>
        <v>0</v>
      </c>
      <c r="C13" s="507">
        <f>SUM(C10:C11)</f>
        <v>0</v>
      </c>
    </row>
    <row r="14" spans="1:3" ht="12.75" customHeight="1" thickTop="1" x14ac:dyDescent="0.2"/>
    <row r="15" spans="1:3" ht="12.75" customHeight="1" x14ac:dyDescent="0.2">
      <c r="B15" s="462"/>
      <c r="C15" s="462"/>
    </row>
    <row r="16" spans="1:3" ht="12.75" customHeight="1" x14ac:dyDescent="0.2">
      <c r="A16" s="536" t="s">
        <v>1281</v>
      </c>
      <c r="B16" s="468"/>
      <c r="C16" s="468"/>
    </row>
    <row r="17" spans="1:9" ht="12.75" customHeight="1" x14ac:dyDescent="0.2">
      <c r="A17" s="536"/>
      <c r="B17" s="468" t="s">
        <v>347</v>
      </c>
      <c r="C17" s="468" t="s">
        <v>347</v>
      </c>
    </row>
    <row r="18" spans="1:9" ht="12.75" customHeight="1" x14ac:dyDescent="0.2">
      <c r="A18" s="649" t="s">
        <v>226</v>
      </c>
      <c r="B18" s="459">
        <f>IF(B13&gt;=0,B13,0)</f>
        <v>0</v>
      </c>
      <c r="C18" s="459">
        <f>IF(C13&gt;=0,C13,0)</f>
        <v>0</v>
      </c>
    </row>
    <row r="19" spans="1:9" ht="12.75" customHeight="1" x14ac:dyDescent="0.2">
      <c r="A19" s="649" t="s">
        <v>2535</v>
      </c>
      <c r="B19" s="459">
        <f>IF(B13&lt;0,B13,0)</f>
        <v>0</v>
      </c>
      <c r="C19" s="459">
        <f>IF(C13&lt;0,C13,0)</f>
        <v>0</v>
      </c>
    </row>
    <row r="20" spans="1:9" ht="12.75" customHeight="1" x14ac:dyDescent="0.2">
      <c r="A20" s="649" t="s">
        <v>227</v>
      </c>
      <c r="B20" s="459">
        <f>B22-B19-B18</f>
        <v>0</v>
      </c>
      <c r="C20" s="459">
        <f>C22-C18-C19</f>
        <v>0</v>
      </c>
    </row>
    <row r="21" spans="1:9" ht="12.75" customHeight="1" x14ac:dyDescent="0.2">
      <c r="A21" s="649"/>
      <c r="B21" s="556"/>
      <c r="C21" s="459"/>
    </row>
    <row r="22" spans="1:9" ht="12.75" customHeight="1" thickBot="1" x14ac:dyDescent="0.25">
      <c r="A22" s="650" t="s">
        <v>1280</v>
      </c>
      <c r="B22" s="507">
        <f>B13</f>
        <v>0</v>
      </c>
      <c r="C22" s="507">
        <f>C13</f>
        <v>0</v>
      </c>
    </row>
    <row r="23" spans="1:9" ht="12.75" customHeight="1" thickTop="1" x14ac:dyDescent="0.2">
      <c r="A23" s="649"/>
      <c r="B23" s="459"/>
      <c r="C23" s="459"/>
    </row>
    <row r="24" spans="1:9" ht="12.75" customHeight="1" x14ac:dyDescent="0.2">
      <c r="A24" s="1506" t="s">
        <v>2478</v>
      </c>
      <c r="B24" s="1507"/>
      <c r="C24" s="1507"/>
      <c r="D24" s="1507"/>
      <c r="E24" s="1507"/>
      <c r="F24" s="1507"/>
      <c r="G24" s="1507"/>
      <c r="H24" s="1507"/>
    </row>
    <row r="25" spans="1:9" ht="12.75" customHeight="1" x14ac:dyDescent="0.2">
      <c r="A25" s="1506"/>
      <c r="B25" s="1507"/>
      <c r="C25" s="1507"/>
      <c r="D25" s="1507"/>
      <c r="E25" s="1507"/>
      <c r="F25" s="1507"/>
      <c r="G25" s="1507"/>
      <c r="H25" s="1507"/>
    </row>
    <row r="26" spans="1:9" ht="12.75" customHeight="1" x14ac:dyDescent="0.2">
      <c r="A26" s="1538"/>
      <c r="B26" s="2151">
        <v>2025</v>
      </c>
      <c r="C26" s="2151" t="s">
        <v>1279</v>
      </c>
      <c r="D26" s="2151" t="s">
        <v>533</v>
      </c>
      <c r="E26" s="2151" t="s">
        <v>2477</v>
      </c>
      <c r="F26" s="2151"/>
      <c r="G26" s="2151"/>
      <c r="H26" s="2151">
        <v>2026</v>
      </c>
    </row>
    <row r="27" spans="1:9" ht="12.75" customHeight="1" x14ac:dyDescent="0.2">
      <c r="A27" s="1538"/>
      <c r="B27" s="2151"/>
      <c r="C27" s="2151"/>
      <c r="D27" s="2151"/>
      <c r="E27" s="1539" t="s">
        <v>2472</v>
      </c>
      <c r="F27" s="1539" t="s">
        <v>2473</v>
      </c>
      <c r="G27" s="1539" t="s">
        <v>1654</v>
      </c>
      <c r="H27" s="2151"/>
    </row>
    <row r="28" spans="1:9" x14ac:dyDescent="0.2">
      <c r="A28" s="647"/>
      <c r="B28" s="1540" t="s">
        <v>493</v>
      </c>
      <c r="C28" s="1540" t="s">
        <v>493</v>
      </c>
      <c r="D28" s="1540" t="s">
        <v>493</v>
      </c>
      <c r="E28" s="1540" t="s">
        <v>493</v>
      </c>
      <c r="F28" s="1540" t="s">
        <v>493</v>
      </c>
      <c r="G28" s="1540" t="s">
        <v>493</v>
      </c>
      <c r="H28" s="1540" t="s">
        <v>493</v>
      </c>
    </row>
    <row r="29" spans="1:9" ht="12.75" customHeight="1" x14ac:dyDescent="0.2">
      <c r="A29" s="931" t="s">
        <v>2474</v>
      </c>
      <c r="B29" s="1546"/>
      <c r="C29" s="1546"/>
      <c r="D29" s="1546"/>
      <c r="E29" s="1546"/>
      <c r="F29" s="1546"/>
      <c r="G29" s="1546"/>
      <c r="H29" s="1546">
        <f>SUM(B29:G29)</f>
        <v>0</v>
      </c>
    </row>
    <row r="30" spans="1:9" ht="12.75" customHeight="1" x14ac:dyDescent="0.2">
      <c r="A30" s="931" t="s">
        <v>2475</v>
      </c>
      <c r="B30" s="513"/>
      <c r="C30" s="513"/>
      <c r="D30" s="513"/>
      <c r="E30" s="513"/>
      <c r="F30" s="513"/>
      <c r="G30" s="513"/>
      <c r="H30" s="1550">
        <f>SUM(B30:G30)</f>
        <v>0</v>
      </c>
      <c r="I30" s="939" t="str">
        <f>IF(H30='alb Note 16  Leases'!D58,"OK","ERROR")</f>
        <v>OK</v>
      </c>
    </row>
    <row r="31" spans="1:9" x14ac:dyDescent="0.2">
      <c r="A31" s="1503" t="s">
        <v>2476</v>
      </c>
      <c r="B31" s="513"/>
      <c r="C31" s="513"/>
      <c r="D31" s="513"/>
      <c r="E31" s="513"/>
      <c r="F31" s="513"/>
      <c r="G31" s="513"/>
      <c r="H31" s="1550">
        <f>SUM(B31:G31)</f>
        <v>0</v>
      </c>
      <c r="I31" s="939" t="str">
        <f>IF(H31='alb Note 17 - Commitments PFI'!B55,"OK","ERROR")</f>
        <v>OK</v>
      </c>
    </row>
    <row r="32" spans="1:9" ht="12.75" customHeight="1" x14ac:dyDescent="0.2">
      <c r="A32" s="1541"/>
      <c r="B32" s="1542"/>
      <c r="C32" s="1542"/>
      <c r="D32" s="1547"/>
      <c r="E32" s="1542"/>
      <c r="F32" s="1542"/>
      <c r="G32" s="1542"/>
      <c r="H32" s="1543"/>
    </row>
    <row r="33" spans="1:8" ht="12.75" customHeight="1" thickBot="1" x14ac:dyDescent="0.25">
      <c r="A33" s="803" t="s">
        <v>1277</v>
      </c>
      <c r="B33" s="1544">
        <f t="shared" ref="B33:H33" si="0">SUM(B29:B31)</f>
        <v>0</v>
      </c>
      <c r="C33" s="1544">
        <f t="shared" si="0"/>
        <v>0</v>
      </c>
      <c r="D33" s="1548">
        <f t="shared" si="0"/>
        <v>0</v>
      </c>
      <c r="E33" s="1544">
        <f t="shared" si="0"/>
        <v>0</v>
      </c>
      <c r="F33" s="1544">
        <f t="shared" si="0"/>
        <v>0</v>
      </c>
      <c r="G33" s="1544">
        <f t="shared" si="0"/>
        <v>0</v>
      </c>
      <c r="H33" s="1545">
        <f t="shared" si="0"/>
        <v>0</v>
      </c>
    </row>
  </sheetData>
  <sheetProtection algorithmName="SHA-512" hashValue="kuRW5eYI9s9IsqfV44ZOBECmO8XK1E0V98X41rlIMJXMqhFg8orY/fcUBI7IO1ctJATdUSqS+KdNz90v4StB5Q==" saltValue="+Zzc7rJ8r+nWkrswW5K6sw==" spinCount="100000" sheet="1" formatColumns="0" formatRows="0"/>
  <mergeCells count="5">
    <mergeCell ref="B26:B27"/>
    <mergeCell ref="C26:C27"/>
    <mergeCell ref="D26:D27"/>
    <mergeCell ref="E26:G26"/>
    <mergeCell ref="H26:H27"/>
  </mergeCells>
  <conditionalFormatting sqref="A3">
    <cfRule type="expression" dxfId="143" priority="13">
      <formula>CELL("Protect",A3)=0</formula>
    </cfRule>
  </conditionalFormatting>
  <conditionalFormatting sqref="B11">
    <cfRule type="expression" dxfId="142" priority="2">
      <formula>CELL("Protect",B11)=0</formula>
    </cfRule>
  </conditionalFormatting>
  <conditionalFormatting sqref="B30:G31">
    <cfRule type="expression" dxfId="141" priority="1">
      <formula>CELL("Protect",B30)=0</formula>
    </cfRule>
  </conditionalFormatting>
  <conditionalFormatting sqref="C10:C11">
    <cfRule type="expression" dxfId="140" priority="6">
      <formula>CELL("Protect",C10)=0</formula>
    </cfRule>
  </conditionalFormatting>
  <pageMargins left="0.74803149606299213" right="0.74803149606299213" top="0.59055118110236227" bottom="0.59055118110236227" header="0.51181102362204722" footer="0.51181102362204722"/>
  <pageSetup paperSize="9" scale="64"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6">
    <tabColor rgb="FFFFFF00"/>
    <pageSetUpPr fitToPage="1"/>
  </sheetPr>
  <dimension ref="A1:AB53"/>
  <sheetViews>
    <sheetView zoomScale="96" zoomScaleNormal="96" workbookViewId="0">
      <pane xSplit="2" ySplit="9" topLeftCell="C10" activePane="bottomRight" state="frozen"/>
      <selection activeCell="F19" sqref="F19"/>
      <selection pane="topRight" activeCell="F19" sqref="F19"/>
      <selection pane="bottomLeft" activeCell="F19" sqref="F19"/>
      <selection pane="bottomRight" activeCell="C10" sqref="C10"/>
    </sheetView>
  </sheetViews>
  <sheetFormatPr defaultColWidth="9.140625" defaultRowHeight="12.75" x14ac:dyDescent="0.2"/>
  <cols>
    <col min="1" max="1" width="72.28515625" style="397" customWidth="1"/>
    <col min="2" max="2" width="14.140625" style="397" customWidth="1"/>
    <col min="3" max="3" width="14.7109375" style="397" customWidth="1"/>
    <col min="4" max="4" width="4.5703125" style="397" customWidth="1"/>
    <col min="5" max="5" width="11.28515625" style="397" customWidth="1"/>
    <col min="6" max="7" width="9.140625" style="397"/>
    <col min="8" max="9" width="11.7109375" style="397" customWidth="1"/>
    <col min="10" max="16" width="9.140625" style="397"/>
    <col min="17" max="17" width="11.7109375" style="397" customWidth="1"/>
    <col min="18" max="26" width="9.140625" style="397"/>
    <col min="27" max="27" width="12" style="397" customWidth="1"/>
    <col min="28" max="16384" width="9.140625" style="397"/>
  </cols>
  <sheetData>
    <row r="1" spans="1:28" ht="14.65" customHeight="1" x14ac:dyDescent="0.2">
      <c r="A1" s="416" t="str">
        <f>'alb Instructions'!$B$20</f>
        <v>enter HSC Body name here</v>
      </c>
      <c r="B1" s="416"/>
      <c r="C1" s="416"/>
    </row>
    <row r="2" spans="1:28" ht="12.75" customHeight="1" x14ac:dyDescent="0.2">
      <c r="A2" s="388"/>
      <c r="B2" s="388"/>
      <c r="C2" s="388"/>
    </row>
    <row r="3" spans="1:28" ht="12.75" customHeight="1" x14ac:dyDescent="0.2">
      <c r="A3" s="416" t="str">
        <f>"NOTES TO THE ACCOUNTS FOR THE YEAR ENDED"&amp;Update!$B$22</f>
        <v>NOTES TO THE ACCOUNTS FOR THE YEAR ENDED 31 March 2026</v>
      </c>
      <c r="B3" s="642"/>
      <c r="C3" s="642"/>
    </row>
    <row r="4" spans="1:28" ht="12.75" customHeight="1" x14ac:dyDescent="0.2">
      <c r="A4" s="388" t="s">
        <v>1289</v>
      </c>
      <c r="B4" s="388"/>
      <c r="C4" s="388"/>
    </row>
    <row r="5" spans="1:28" ht="12.75" customHeight="1" x14ac:dyDescent="0.2">
      <c r="A5" s="388" t="s">
        <v>2346</v>
      </c>
      <c r="B5" s="388"/>
      <c r="C5" s="388"/>
      <c r="E5" s="388" t="s">
        <v>930</v>
      </c>
      <c r="F5" s="388"/>
      <c r="G5" s="457"/>
      <c r="H5" s="457"/>
      <c r="I5" s="457"/>
      <c r="J5" s="457"/>
      <c r="K5" s="457"/>
      <c r="L5" s="457"/>
      <c r="M5" s="457"/>
      <c r="N5" s="457"/>
      <c r="O5" s="457"/>
      <c r="P5" s="457"/>
      <c r="Q5" s="457"/>
      <c r="R5" s="457"/>
      <c r="S5" s="457"/>
      <c r="T5" s="457"/>
      <c r="U5" s="457"/>
      <c r="V5" s="457"/>
      <c r="W5" s="457"/>
      <c r="X5" s="457"/>
      <c r="Y5" s="457"/>
      <c r="Z5" s="457"/>
      <c r="AA5" s="457"/>
    </row>
    <row r="6" spans="1:28" ht="12.75" customHeight="1" x14ac:dyDescent="0.2">
      <c r="A6" s="388"/>
      <c r="B6" s="388"/>
      <c r="C6" s="388"/>
      <c r="E6" s="579"/>
      <c r="F6" s="579" t="s">
        <v>345</v>
      </c>
      <c r="G6" s="579" t="s">
        <v>2459</v>
      </c>
      <c r="H6" s="579" t="s">
        <v>4</v>
      </c>
      <c r="I6" s="579" t="s">
        <v>10</v>
      </c>
      <c r="J6" s="579" t="s">
        <v>24</v>
      </c>
      <c r="K6" s="579" t="s">
        <v>16</v>
      </c>
      <c r="L6" s="579" t="s">
        <v>18</v>
      </c>
      <c r="M6" s="579" t="s">
        <v>34</v>
      </c>
      <c r="N6" s="580" t="s">
        <v>1252</v>
      </c>
      <c r="O6" s="579" t="s">
        <v>2448</v>
      </c>
      <c r="P6" s="579" t="s">
        <v>22</v>
      </c>
      <c r="Q6" s="579" t="s">
        <v>32</v>
      </c>
      <c r="R6" s="579" t="s">
        <v>30</v>
      </c>
      <c r="S6" s="579" t="s">
        <v>6</v>
      </c>
      <c r="T6" s="579" t="s">
        <v>26</v>
      </c>
      <c r="U6" s="579" t="s">
        <v>28</v>
      </c>
      <c r="V6" s="579" t="s">
        <v>12</v>
      </c>
      <c r="W6" s="579" t="s">
        <v>8</v>
      </c>
      <c r="X6" s="579" t="s">
        <v>14</v>
      </c>
      <c r="Y6" s="579" t="s">
        <v>36</v>
      </c>
      <c r="Z6" s="579" t="s">
        <v>38</v>
      </c>
    </row>
    <row r="7" spans="1:28" ht="57" customHeight="1" x14ac:dyDescent="0.2">
      <c r="B7" s="468" t="str">
        <f>Update!$C$38</f>
        <v>2025-26</v>
      </c>
      <c r="C7" s="468" t="str">
        <f>Update!$C$37</f>
        <v>2024-25</v>
      </c>
      <c r="E7" s="414" t="s">
        <v>604</v>
      </c>
      <c r="F7" s="413" t="s">
        <v>48</v>
      </c>
      <c r="G7" s="413" t="s">
        <v>2457</v>
      </c>
      <c r="H7" s="413" t="s">
        <v>5</v>
      </c>
      <c r="I7" s="413" t="s">
        <v>11</v>
      </c>
      <c r="J7" s="413" t="s">
        <v>25</v>
      </c>
      <c r="K7" s="413" t="s">
        <v>17</v>
      </c>
      <c r="L7" s="413" t="s">
        <v>19</v>
      </c>
      <c r="M7" s="413" t="s">
        <v>35</v>
      </c>
      <c r="N7" s="413" t="s">
        <v>900</v>
      </c>
      <c r="O7" s="413" t="s">
        <v>2446</v>
      </c>
      <c r="P7" s="413" t="s">
        <v>23</v>
      </c>
      <c r="Q7" s="413" t="s">
        <v>33</v>
      </c>
      <c r="R7" s="413" t="s">
        <v>31</v>
      </c>
      <c r="S7" s="413" t="s">
        <v>7</v>
      </c>
      <c r="T7" s="413" t="s">
        <v>27</v>
      </c>
      <c r="U7" s="413" t="s">
        <v>29</v>
      </c>
      <c r="V7" s="413" t="s">
        <v>13</v>
      </c>
      <c r="W7" s="413" t="s">
        <v>9</v>
      </c>
      <c r="X7" s="413" t="s">
        <v>15</v>
      </c>
      <c r="Y7" s="413" t="s">
        <v>37</v>
      </c>
      <c r="Z7" s="413" t="s">
        <v>39</v>
      </c>
      <c r="AA7" s="412" t="s">
        <v>932</v>
      </c>
      <c r="AB7" s="412" t="s">
        <v>63</v>
      </c>
    </row>
    <row r="8" spans="1:28" ht="12.75" customHeight="1" x14ac:dyDescent="0.2">
      <c r="A8" s="451"/>
      <c r="B8" s="468" t="s">
        <v>493</v>
      </c>
      <c r="C8" s="468" t="s">
        <v>493</v>
      </c>
      <c r="E8" s="411" t="s">
        <v>62</v>
      </c>
      <c r="F8" s="411" t="s">
        <v>62</v>
      </c>
      <c r="G8" s="411" t="s">
        <v>62</v>
      </c>
      <c r="H8" s="411" t="s">
        <v>62</v>
      </c>
      <c r="I8" s="411" t="s">
        <v>62</v>
      </c>
      <c r="J8" s="411" t="s">
        <v>62</v>
      </c>
      <c r="K8" s="411" t="s">
        <v>62</v>
      </c>
      <c r="L8" s="411" t="s">
        <v>62</v>
      </c>
      <c r="M8" s="411" t="s">
        <v>62</v>
      </c>
      <c r="N8" s="411" t="s">
        <v>62</v>
      </c>
      <c r="O8" s="411" t="s">
        <v>62</v>
      </c>
      <c r="P8" s="411" t="s">
        <v>62</v>
      </c>
      <c r="Q8" s="411" t="s">
        <v>62</v>
      </c>
      <c r="R8" s="411" t="s">
        <v>62</v>
      </c>
      <c r="S8" s="411" t="s">
        <v>62</v>
      </c>
      <c r="T8" s="411" t="s">
        <v>62</v>
      </c>
      <c r="U8" s="411" t="s">
        <v>62</v>
      </c>
      <c r="V8" s="411" t="s">
        <v>62</v>
      </c>
      <c r="W8" s="411" t="s">
        <v>62</v>
      </c>
      <c r="X8" s="411" t="s">
        <v>62</v>
      </c>
      <c r="Y8" s="411" t="s">
        <v>62</v>
      </c>
      <c r="Z8" s="411" t="s">
        <v>62</v>
      </c>
      <c r="AA8" s="508" t="s">
        <v>62</v>
      </c>
      <c r="AB8" s="508"/>
    </row>
    <row r="9" spans="1:28" x14ac:dyDescent="0.2">
      <c r="A9" s="944" t="s">
        <v>1288</v>
      </c>
      <c r="B9" s="468" t="s">
        <v>146</v>
      </c>
      <c r="C9" s="468" t="s">
        <v>146</v>
      </c>
      <c r="AA9" s="651"/>
    </row>
    <row r="10" spans="1:28" ht="12.75" customHeight="1" x14ac:dyDescent="0.2">
      <c r="A10" s="452" t="s">
        <v>231</v>
      </c>
      <c r="B10" s="513"/>
      <c r="C10" s="513"/>
      <c r="E10" s="656">
        <f t="shared" ref="E10:E15" si="0">SUM(F10:Z10)</f>
        <v>0</v>
      </c>
      <c r="F10" s="513"/>
      <c r="G10" s="513"/>
      <c r="H10" s="513"/>
      <c r="I10" s="513"/>
      <c r="J10" s="513"/>
      <c r="K10" s="513"/>
      <c r="L10" s="513"/>
      <c r="M10" s="513"/>
      <c r="N10" s="513"/>
      <c r="O10" s="513"/>
      <c r="P10" s="513"/>
      <c r="Q10" s="513"/>
      <c r="R10" s="513"/>
      <c r="S10" s="513"/>
      <c r="T10" s="513"/>
      <c r="U10" s="513"/>
      <c r="V10" s="513"/>
      <c r="W10" s="513"/>
      <c r="X10" s="513"/>
      <c r="Y10" s="513"/>
      <c r="Z10" s="513"/>
      <c r="AA10" s="626">
        <f t="shared" ref="AA10:AA15" si="1">B10-E10</f>
        <v>0</v>
      </c>
      <c r="AB10" s="409" t="str">
        <f t="shared" ref="AB10:AB15" si="2">IF(B10&gt;=0,IF(E10&gt;=0,IF(B10&gt;=E10,"Ok ","Check size "),"Check sign"),IF(E10&gt;0,"Check sign ",IF(ABS(B10)&gt;=ABS(E10),"Ok ","Check size ")))</f>
        <v xml:space="preserve">Ok </v>
      </c>
    </row>
    <row r="11" spans="1:28" ht="12.75" customHeight="1" x14ac:dyDescent="0.2">
      <c r="A11" s="452" t="s">
        <v>775</v>
      </c>
      <c r="B11" s="513"/>
      <c r="C11" s="513"/>
      <c r="E11" s="656">
        <f t="shared" si="0"/>
        <v>0</v>
      </c>
      <c r="F11" s="513"/>
      <c r="G11" s="513"/>
      <c r="H11" s="513"/>
      <c r="I11" s="513"/>
      <c r="J11" s="513"/>
      <c r="K11" s="513"/>
      <c r="L11" s="513"/>
      <c r="M11" s="513"/>
      <c r="N11" s="513"/>
      <c r="O11" s="513"/>
      <c r="P11" s="513"/>
      <c r="Q11" s="513"/>
      <c r="R11" s="513"/>
      <c r="S11" s="513"/>
      <c r="T11" s="513"/>
      <c r="U11" s="513"/>
      <c r="V11" s="513"/>
      <c r="W11" s="513"/>
      <c r="X11" s="513"/>
      <c r="Y11" s="513"/>
      <c r="Z11" s="513"/>
      <c r="AA11" s="626">
        <f t="shared" si="1"/>
        <v>0</v>
      </c>
      <c r="AB11" s="409" t="str">
        <f t="shared" si="2"/>
        <v xml:space="preserve">Ok </v>
      </c>
    </row>
    <row r="12" spans="1:28" ht="12.75" customHeight="1" x14ac:dyDescent="0.2">
      <c r="A12" s="452" t="s">
        <v>239</v>
      </c>
      <c r="B12" s="513"/>
      <c r="C12" s="513"/>
      <c r="E12" s="656">
        <f>SUM(F12:Z12)</f>
        <v>0</v>
      </c>
      <c r="F12" s="513"/>
      <c r="G12" s="513"/>
      <c r="H12" s="513"/>
      <c r="I12" s="513"/>
      <c r="J12" s="513"/>
      <c r="K12" s="513"/>
      <c r="L12" s="513"/>
      <c r="M12" s="513"/>
      <c r="N12" s="513"/>
      <c r="O12" s="513"/>
      <c r="P12" s="513"/>
      <c r="Q12" s="513"/>
      <c r="R12" s="513"/>
      <c r="S12" s="513"/>
      <c r="T12" s="513"/>
      <c r="U12" s="513"/>
      <c r="V12" s="513"/>
      <c r="W12" s="513"/>
      <c r="X12" s="513"/>
      <c r="Y12" s="513"/>
      <c r="Z12" s="513"/>
      <c r="AA12" s="626">
        <f t="shared" si="1"/>
        <v>0</v>
      </c>
      <c r="AB12" s="409" t="str">
        <f t="shared" si="2"/>
        <v xml:space="preserve">Ok </v>
      </c>
    </row>
    <row r="13" spans="1:28" ht="12.75" customHeight="1" x14ac:dyDescent="0.2">
      <c r="A13" s="452" t="s">
        <v>611</v>
      </c>
      <c r="B13" s="513"/>
      <c r="C13" s="513"/>
      <c r="E13" s="656">
        <f t="shared" si="0"/>
        <v>0</v>
      </c>
      <c r="F13" s="513"/>
      <c r="G13" s="513"/>
      <c r="H13" s="513"/>
      <c r="I13" s="513"/>
      <c r="J13" s="513"/>
      <c r="K13" s="513"/>
      <c r="L13" s="513"/>
      <c r="M13" s="513"/>
      <c r="N13" s="513"/>
      <c r="O13" s="513"/>
      <c r="P13" s="513"/>
      <c r="Q13" s="513"/>
      <c r="R13" s="513"/>
      <c r="S13" s="513"/>
      <c r="T13" s="513"/>
      <c r="U13" s="513"/>
      <c r="V13" s="513"/>
      <c r="W13" s="513"/>
      <c r="X13" s="513"/>
      <c r="Y13" s="513"/>
      <c r="Z13" s="513"/>
      <c r="AA13" s="626">
        <f t="shared" si="1"/>
        <v>0</v>
      </c>
      <c r="AB13" s="409" t="str">
        <f t="shared" si="2"/>
        <v xml:space="preserve">Ok </v>
      </c>
    </row>
    <row r="14" spans="1:28" ht="12.75" customHeight="1" x14ac:dyDescent="0.2">
      <c r="A14" s="452" t="s">
        <v>233</v>
      </c>
      <c r="B14" s="513"/>
      <c r="C14" s="513"/>
      <c r="E14" s="656">
        <f t="shared" si="0"/>
        <v>0</v>
      </c>
      <c r="F14" s="513"/>
      <c r="G14" s="513"/>
      <c r="H14" s="513"/>
      <c r="I14" s="513"/>
      <c r="J14" s="513"/>
      <c r="K14" s="513"/>
      <c r="L14" s="513"/>
      <c r="M14" s="513"/>
      <c r="N14" s="513"/>
      <c r="O14" s="513"/>
      <c r="P14" s="513"/>
      <c r="Q14" s="513"/>
      <c r="R14" s="513"/>
      <c r="S14" s="513"/>
      <c r="T14" s="513"/>
      <c r="U14" s="513"/>
      <c r="V14" s="513"/>
      <c r="W14" s="513"/>
      <c r="X14" s="513"/>
      <c r="Y14" s="513"/>
      <c r="Z14" s="513"/>
      <c r="AA14" s="626">
        <f t="shared" si="1"/>
        <v>0</v>
      </c>
      <c r="AB14" s="409" t="str">
        <f t="shared" si="2"/>
        <v xml:space="preserve">Ok </v>
      </c>
    </row>
    <row r="15" spans="1:28" ht="12.75" customHeight="1" x14ac:dyDescent="0.2">
      <c r="A15" s="452" t="s">
        <v>234</v>
      </c>
      <c r="B15" s="513"/>
      <c r="C15" s="513"/>
      <c r="E15" s="656">
        <f t="shared" si="0"/>
        <v>0</v>
      </c>
      <c r="F15" s="513"/>
      <c r="G15" s="513"/>
      <c r="H15" s="513"/>
      <c r="I15" s="513"/>
      <c r="J15" s="513"/>
      <c r="K15" s="513"/>
      <c r="L15" s="513"/>
      <c r="M15" s="513"/>
      <c r="N15" s="513"/>
      <c r="O15" s="513"/>
      <c r="P15" s="513"/>
      <c r="Q15" s="513"/>
      <c r="R15" s="513"/>
      <c r="S15" s="513"/>
      <c r="T15" s="513"/>
      <c r="U15" s="513"/>
      <c r="V15" s="513"/>
      <c r="W15" s="513"/>
      <c r="X15" s="513"/>
      <c r="Y15" s="513"/>
      <c r="Z15" s="513"/>
      <c r="AA15" s="626">
        <f t="shared" si="1"/>
        <v>0</v>
      </c>
      <c r="AB15" s="409" t="str">
        <f t="shared" si="2"/>
        <v xml:space="preserve">Ok </v>
      </c>
    </row>
    <row r="16" spans="1:28" ht="12.75" customHeight="1" x14ac:dyDescent="0.2">
      <c r="A16" s="642" t="s">
        <v>290</v>
      </c>
      <c r="B16" s="515">
        <f>SUM(B10:B15)</f>
        <v>0</v>
      </c>
      <c r="C16" s="515">
        <f>SUM(C10:C15)</f>
        <v>0</v>
      </c>
      <c r="E16" s="515">
        <f t="shared" ref="E16:AA16" si="3">SUM(E10:E15)</f>
        <v>0</v>
      </c>
      <c r="F16" s="515">
        <f t="shared" si="3"/>
        <v>0</v>
      </c>
      <c r="G16" s="515">
        <f t="shared" si="3"/>
        <v>0</v>
      </c>
      <c r="H16" s="515">
        <f t="shared" si="3"/>
        <v>0</v>
      </c>
      <c r="I16" s="515">
        <f t="shared" si="3"/>
        <v>0</v>
      </c>
      <c r="J16" s="515">
        <f t="shared" si="3"/>
        <v>0</v>
      </c>
      <c r="K16" s="515">
        <f t="shared" si="3"/>
        <v>0</v>
      </c>
      <c r="L16" s="515">
        <f t="shared" si="3"/>
        <v>0</v>
      </c>
      <c r="M16" s="515">
        <f t="shared" si="3"/>
        <v>0</v>
      </c>
      <c r="N16" s="515">
        <f t="shared" si="3"/>
        <v>0</v>
      </c>
      <c r="O16" s="515">
        <f t="shared" si="3"/>
        <v>0</v>
      </c>
      <c r="P16" s="515">
        <f t="shared" si="3"/>
        <v>0</v>
      </c>
      <c r="Q16" s="515">
        <f t="shared" si="3"/>
        <v>0</v>
      </c>
      <c r="R16" s="515">
        <f t="shared" si="3"/>
        <v>0</v>
      </c>
      <c r="S16" s="515">
        <f t="shared" si="3"/>
        <v>0</v>
      </c>
      <c r="T16" s="515">
        <f t="shared" si="3"/>
        <v>0</v>
      </c>
      <c r="U16" s="515">
        <f t="shared" si="3"/>
        <v>0</v>
      </c>
      <c r="V16" s="515">
        <f t="shared" si="3"/>
        <v>0</v>
      </c>
      <c r="W16" s="515">
        <f t="shared" si="3"/>
        <v>0</v>
      </c>
      <c r="X16" s="515">
        <f t="shared" si="3"/>
        <v>0</v>
      </c>
      <c r="Y16" s="515">
        <f t="shared" si="3"/>
        <v>0</v>
      </c>
      <c r="Z16" s="515">
        <f t="shared" si="3"/>
        <v>0</v>
      </c>
      <c r="AA16" s="655">
        <f t="shared" si="3"/>
        <v>0</v>
      </c>
    </row>
    <row r="17" spans="1:28" ht="12.75" customHeight="1" x14ac:dyDescent="0.2">
      <c r="A17" s="642"/>
      <c r="B17" s="459"/>
      <c r="C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651"/>
    </row>
    <row r="18" spans="1:28" ht="12.75" customHeight="1" x14ac:dyDescent="0.2">
      <c r="A18" s="452" t="s">
        <v>615</v>
      </c>
      <c r="B18" s="513"/>
      <c r="C18" s="513"/>
      <c r="E18" s="656">
        <f>SUM(F18:Z18)</f>
        <v>0</v>
      </c>
      <c r="F18" s="513"/>
      <c r="G18" s="513"/>
      <c r="H18" s="513"/>
      <c r="I18" s="513"/>
      <c r="J18" s="513"/>
      <c r="K18" s="513"/>
      <c r="L18" s="513"/>
      <c r="M18" s="513"/>
      <c r="N18" s="513"/>
      <c r="O18" s="513"/>
      <c r="P18" s="513"/>
      <c r="Q18" s="513"/>
      <c r="R18" s="513"/>
      <c r="S18" s="513"/>
      <c r="T18" s="513"/>
      <c r="U18" s="513"/>
      <c r="V18" s="513"/>
      <c r="W18" s="513"/>
      <c r="X18" s="513"/>
      <c r="Y18" s="513"/>
      <c r="Z18" s="513"/>
      <c r="AA18" s="626">
        <f>B18-E18</f>
        <v>0</v>
      </c>
      <c r="AB18" s="409" t="str">
        <f>IF(B18&gt;=0,IF(E18&gt;=0,IF(B18&gt;=E18,"Ok ","Check size "),"Check sign"),IF(E18&gt;0,"Check sign ",IF(ABS(B18)&gt;=ABS(E18),"Ok ","Check size ")))</f>
        <v xml:space="preserve">Ok </v>
      </c>
    </row>
    <row r="19" spans="1:28" ht="12.75" customHeight="1" x14ac:dyDescent="0.2">
      <c r="A19" s="452" t="s">
        <v>616</v>
      </c>
      <c r="B19" s="513"/>
      <c r="C19" s="513"/>
      <c r="E19" s="656">
        <f>SUM(F19:Z19)</f>
        <v>0</v>
      </c>
      <c r="F19" s="513"/>
      <c r="G19" s="513"/>
      <c r="H19" s="513"/>
      <c r="I19" s="513"/>
      <c r="J19" s="513"/>
      <c r="K19" s="513"/>
      <c r="L19" s="513"/>
      <c r="M19" s="513"/>
      <c r="N19" s="513"/>
      <c r="O19" s="513"/>
      <c r="P19" s="513"/>
      <c r="Q19" s="513"/>
      <c r="R19" s="513"/>
      <c r="S19" s="513"/>
      <c r="T19" s="513"/>
      <c r="U19" s="513"/>
      <c r="V19" s="513"/>
      <c r="W19" s="513"/>
      <c r="X19" s="513"/>
      <c r="Y19" s="513"/>
      <c r="Z19" s="513"/>
      <c r="AA19" s="626">
        <f>B19-E19</f>
        <v>0</v>
      </c>
      <c r="AB19" s="409" t="str">
        <f>IF(B19&gt;=0,IF(E19&gt;=0,IF(B19&gt;=E19,"Ok ","Check size "),"Check sign"),IF(E19&gt;0,"Check sign ",IF(ABS(B19)&gt;=ABS(E19),"Ok ","Check size ")))</f>
        <v xml:space="preserve">Ok </v>
      </c>
    </row>
    <row r="20" spans="1:28" ht="12.75" customHeight="1" x14ac:dyDescent="0.2">
      <c r="A20" s="452" t="s">
        <v>1073</v>
      </c>
      <c r="B20" s="513"/>
      <c r="C20" s="513"/>
      <c r="E20" s="656">
        <f>SUM(F20:Z20)</f>
        <v>0</v>
      </c>
      <c r="F20" s="513"/>
      <c r="G20" s="513"/>
      <c r="H20" s="513"/>
      <c r="I20" s="513"/>
      <c r="J20" s="513"/>
      <c r="K20" s="513"/>
      <c r="L20" s="513"/>
      <c r="M20" s="513"/>
      <c r="N20" s="513"/>
      <c r="O20" s="513"/>
      <c r="P20" s="513"/>
      <c r="Q20" s="513"/>
      <c r="R20" s="513"/>
      <c r="S20" s="513"/>
      <c r="T20" s="513"/>
      <c r="U20" s="513"/>
      <c r="V20" s="513"/>
      <c r="W20" s="513"/>
      <c r="X20" s="513"/>
      <c r="Y20" s="513"/>
      <c r="Z20" s="513"/>
      <c r="AA20" s="626">
        <f>B20-E20</f>
        <v>0</v>
      </c>
      <c r="AB20" s="409" t="str">
        <f>IF(B20&gt;=0,IF(E20&gt;=0,IF(B20&gt;=E20,"Ok ","Check size "),"Check sign"),IF(E20&gt;0,"Check sign ",IF(ABS(B20)&gt;=ABS(E20),"Ok ","Check size ")))</f>
        <v xml:space="preserve">Ok </v>
      </c>
    </row>
    <row r="21" spans="1:28" x14ac:dyDescent="0.2">
      <c r="A21" s="452" t="s">
        <v>776</v>
      </c>
      <c r="B21" s="513"/>
      <c r="C21" s="513"/>
      <c r="E21" s="656">
        <f>SUM(F21:Z21)</f>
        <v>0</v>
      </c>
      <c r="F21" s="513"/>
      <c r="G21" s="513"/>
      <c r="H21" s="513"/>
      <c r="I21" s="513"/>
      <c r="J21" s="513"/>
      <c r="K21" s="513"/>
      <c r="L21" s="513"/>
      <c r="M21" s="513"/>
      <c r="N21" s="513"/>
      <c r="O21" s="513"/>
      <c r="P21" s="513"/>
      <c r="Q21" s="513"/>
      <c r="R21" s="513"/>
      <c r="S21" s="513"/>
      <c r="T21" s="513"/>
      <c r="U21" s="513"/>
      <c r="V21" s="513"/>
      <c r="W21" s="513"/>
      <c r="X21" s="513"/>
      <c r="Y21" s="513"/>
      <c r="Z21" s="513"/>
      <c r="AA21" s="626">
        <f>B21-E21</f>
        <v>0</v>
      </c>
      <c r="AB21" s="409" t="str">
        <f>IF(B21&gt;=0,IF(E21&gt;=0,IF(B21&gt;=E21,"Ok ","Check size "),"Check sign"),IF(E21&gt;0,"Check sign ",IF(ABS(B21)&gt;=ABS(E21),"Ok ","Check size ")))</f>
        <v xml:space="preserve">Ok </v>
      </c>
    </row>
    <row r="22" spans="1:28" ht="12.75" customHeight="1" x14ac:dyDescent="0.2">
      <c r="A22" s="642" t="s">
        <v>291</v>
      </c>
      <c r="B22" s="515">
        <f>SUM(B18:B21)</f>
        <v>0</v>
      </c>
      <c r="C22" s="515">
        <f>SUM(C18:C21)</f>
        <v>0</v>
      </c>
      <c r="D22" s="452"/>
      <c r="E22" s="515">
        <f t="shared" ref="E22:AA22" si="4">SUM(E18:E21)</f>
        <v>0</v>
      </c>
      <c r="F22" s="515">
        <f t="shared" si="4"/>
        <v>0</v>
      </c>
      <c r="G22" s="515">
        <f t="shared" si="4"/>
        <v>0</v>
      </c>
      <c r="H22" s="515">
        <f t="shared" si="4"/>
        <v>0</v>
      </c>
      <c r="I22" s="515">
        <f t="shared" si="4"/>
        <v>0</v>
      </c>
      <c r="J22" s="515">
        <f t="shared" si="4"/>
        <v>0</v>
      </c>
      <c r="K22" s="515">
        <f t="shared" si="4"/>
        <v>0</v>
      </c>
      <c r="L22" s="515">
        <f t="shared" si="4"/>
        <v>0</v>
      </c>
      <c r="M22" s="515">
        <f t="shared" si="4"/>
        <v>0</v>
      </c>
      <c r="N22" s="515">
        <f t="shared" si="4"/>
        <v>0</v>
      </c>
      <c r="O22" s="515">
        <f t="shared" si="4"/>
        <v>0</v>
      </c>
      <c r="P22" s="515">
        <f t="shared" si="4"/>
        <v>0</v>
      </c>
      <c r="Q22" s="515">
        <f t="shared" si="4"/>
        <v>0</v>
      </c>
      <c r="R22" s="515">
        <f t="shared" si="4"/>
        <v>0</v>
      </c>
      <c r="S22" s="515">
        <f t="shared" si="4"/>
        <v>0</v>
      </c>
      <c r="T22" s="515">
        <f t="shared" si="4"/>
        <v>0</v>
      </c>
      <c r="U22" s="515">
        <f t="shared" si="4"/>
        <v>0</v>
      </c>
      <c r="V22" s="515">
        <f t="shared" si="4"/>
        <v>0</v>
      </c>
      <c r="W22" s="515">
        <f t="shared" si="4"/>
        <v>0</v>
      </c>
      <c r="X22" s="515">
        <f t="shared" si="4"/>
        <v>0</v>
      </c>
      <c r="Y22" s="515">
        <f t="shared" si="4"/>
        <v>0</v>
      </c>
      <c r="Z22" s="515">
        <f t="shared" si="4"/>
        <v>0</v>
      </c>
      <c r="AA22" s="626">
        <f t="shared" si="4"/>
        <v>0</v>
      </c>
      <c r="AB22" s="409" t="str">
        <f>IF(B22&gt;=0,IF(E22&gt;=0,IF(B22&gt;=E22,"Ok ","Check size "),"Check sign"),IF(E22&gt;0,"Check sign ",IF(ABS(B22)&gt;=ABS(E22),"Ok ","Check size ")))</f>
        <v xml:space="preserve">Ok </v>
      </c>
    </row>
    <row r="23" spans="1:28" ht="12.75" customHeight="1" x14ac:dyDescent="0.2">
      <c r="A23" s="642"/>
      <c r="B23" s="459"/>
      <c r="C23" s="459"/>
      <c r="D23" s="452"/>
      <c r="E23" s="459"/>
      <c r="F23" s="459"/>
      <c r="G23" s="459"/>
      <c r="H23" s="459"/>
      <c r="I23" s="459"/>
      <c r="J23" s="459"/>
      <c r="K23" s="459"/>
      <c r="L23" s="459"/>
      <c r="M23" s="459"/>
      <c r="N23" s="459"/>
      <c r="O23" s="459"/>
      <c r="P23" s="459"/>
      <c r="Q23" s="459"/>
      <c r="R23" s="459"/>
      <c r="S23" s="459"/>
      <c r="T23" s="459"/>
      <c r="U23" s="459"/>
      <c r="V23" s="459"/>
      <c r="W23" s="459"/>
      <c r="X23" s="459"/>
      <c r="Y23" s="459"/>
      <c r="Z23" s="459"/>
      <c r="AA23" s="651"/>
    </row>
    <row r="24" spans="1:28" ht="12.75" customHeight="1" x14ac:dyDescent="0.2">
      <c r="A24" s="452" t="s">
        <v>777</v>
      </c>
      <c r="B24" s="513"/>
      <c r="C24" s="513"/>
      <c r="D24" s="452"/>
      <c r="E24" s="656">
        <f>SUM(F24:Z24)</f>
        <v>0</v>
      </c>
      <c r="F24" s="513"/>
      <c r="G24" s="513"/>
      <c r="H24" s="513"/>
      <c r="I24" s="513"/>
      <c r="J24" s="513"/>
      <c r="K24" s="513"/>
      <c r="L24" s="513"/>
      <c r="M24" s="513"/>
      <c r="N24" s="513"/>
      <c r="O24" s="513"/>
      <c r="P24" s="513"/>
      <c r="Q24" s="513"/>
      <c r="R24" s="513"/>
      <c r="S24" s="513"/>
      <c r="T24" s="513"/>
      <c r="U24" s="513"/>
      <c r="V24" s="513"/>
      <c r="W24" s="513"/>
      <c r="X24" s="513"/>
      <c r="Y24" s="513"/>
      <c r="Z24" s="513"/>
      <c r="AA24" s="626">
        <f>B24-E24</f>
        <v>0</v>
      </c>
      <c r="AB24" s="1041" t="str">
        <f>IF(B24&gt;=0,IF(E24&gt;=0,IF(B24&gt;=E24,"Ok ","Check size "),"Check sign"),IF(E24&gt;0,"Check sign ",IF(ABS(B24)&gt;=ABS(E24),"Ok ","Check size ")))</f>
        <v xml:space="preserve">Ok </v>
      </c>
    </row>
    <row r="25" spans="1:28" ht="12.75" customHeight="1" x14ac:dyDescent="0.2">
      <c r="A25" s="642" t="s">
        <v>294</v>
      </c>
      <c r="B25" s="515">
        <f>SUM(B24)</f>
        <v>0</v>
      </c>
      <c r="C25" s="515">
        <f>SUM(C24)</f>
        <v>0</v>
      </c>
      <c r="D25" s="452"/>
      <c r="E25" s="515">
        <f t="shared" ref="E25:AA25" si="5">SUM(E24)</f>
        <v>0</v>
      </c>
      <c r="F25" s="515">
        <f t="shared" si="5"/>
        <v>0</v>
      </c>
      <c r="G25" s="515">
        <f t="shared" si="5"/>
        <v>0</v>
      </c>
      <c r="H25" s="515">
        <f t="shared" si="5"/>
        <v>0</v>
      </c>
      <c r="I25" s="515">
        <f t="shared" si="5"/>
        <v>0</v>
      </c>
      <c r="J25" s="515">
        <f t="shared" si="5"/>
        <v>0</v>
      </c>
      <c r="K25" s="515">
        <f t="shared" si="5"/>
        <v>0</v>
      </c>
      <c r="L25" s="515">
        <f t="shared" si="5"/>
        <v>0</v>
      </c>
      <c r="M25" s="515">
        <f t="shared" si="5"/>
        <v>0</v>
      </c>
      <c r="N25" s="515">
        <f t="shared" si="5"/>
        <v>0</v>
      </c>
      <c r="O25" s="515">
        <f t="shared" si="5"/>
        <v>0</v>
      </c>
      <c r="P25" s="515">
        <f t="shared" si="5"/>
        <v>0</v>
      </c>
      <c r="Q25" s="515">
        <f t="shared" si="5"/>
        <v>0</v>
      </c>
      <c r="R25" s="515">
        <f t="shared" si="5"/>
        <v>0</v>
      </c>
      <c r="S25" s="515">
        <f t="shared" si="5"/>
        <v>0</v>
      </c>
      <c r="T25" s="515">
        <f t="shared" si="5"/>
        <v>0</v>
      </c>
      <c r="U25" s="515">
        <f t="shared" si="5"/>
        <v>0</v>
      </c>
      <c r="V25" s="515">
        <f t="shared" si="5"/>
        <v>0</v>
      </c>
      <c r="W25" s="515">
        <f t="shared" si="5"/>
        <v>0</v>
      </c>
      <c r="X25" s="515">
        <f t="shared" si="5"/>
        <v>0</v>
      </c>
      <c r="Y25" s="515">
        <f t="shared" si="5"/>
        <v>0</v>
      </c>
      <c r="Z25" s="515">
        <f t="shared" si="5"/>
        <v>0</v>
      </c>
      <c r="AA25" s="626">
        <f t="shared" si="5"/>
        <v>0</v>
      </c>
    </row>
    <row r="26" spans="1:28" ht="12.75" customHeight="1" x14ac:dyDescent="0.2">
      <c r="A26" s="388"/>
      <c r="B26" s="459"/>
      <c r="C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651"/>
    </row>
    <row r="27" spans="1:28" ht="12.75" customHeight="1" x14ac:dyDescent="0.2">
      <c r="A27" s="387" t="s">
        <v>1287</v>
      </c>
      <c r="B27" s="510"/>
      <c r="C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651"/>
    </row>
    <row r="28" spans="1:28" ht="12.75" customHeight="1" x14ac:dyDescent="0.2">
      <c r="A28" s="452" t="s">
        <v>877</v>
      </c>
      <c r="B28" s="513"/>
      <c r="C28" s="513"/>
      <c r="E28" s="656">
        <f>SUM(F28:Z28)</f>
        <v>0</v>
      </c>
      <c r="F28" s="513"/>
      <c r="G28" s="513"/>
      <c r="H28" s="513"/>
      <c r="I28" s="513"/>
      <c r="J28" s="513"/>
      <c r="K28" s="513"/>
      <c r="L28" s="513"/>
      <c r="M28" s="513"/>
      <c r="N28" s="513"/>
      <c r="O28" s="513"/>
      <c r="P28" s="513"/>
      <c r="Q28" s="513"/>
      <c r="R28" s="513"/>
      <c r="S28" s="513"/>
      <c r="T28" s="513"/>
      <c r="U28" s="513"/>
      <c r="V28" s="513"/>
      <c r="W28" s="513"/>
      <c r="X28" s="513"/>
      <c r="Y28" s="513"/>
      <c r="Z28" s="513"/>
      <c r="AA28" s="626">
        <f>B28-E28</f>
        <v>0</v>
      </c>
      <c r="AB28" s="1041" t="str">
        <f>IF(B28&gt;=0,IF(E28&gt;=0,IF(B28&gt;=E28,"Ok ","Check size "),"Check sign"),IF(E28&gt;0,"Check sign ",IF(ABS(B28)&gt;=ABS(E28),"Ok ","Check size ")))</f>
        <v xml:space="preserve">Ok </v>
      </c>
    </row>
    <row r="29" spans="1:28" ht="12.75" customHeight="1" x14ac:dyDescent="0.2">
      <c r="A29" s="452" t="s">
        <v>879</v>
      </c>
      <c r="B29" s="513"/>
      <c r="C29" s="513"/>
      <c r="E29" s="656">
        <f>SUM(F29:Z29)</f>
        <v>0</v>
      </c>
      <c r="F29" s="513"/>
      <c r="G29" s="513"/>
      <c r="H29" s="513"/>
      <c r="I29" s="513"/>
      <c r="J29" s="513"/>
      <c r="K29" s="513"/>
      <c r="L29" s="513"/>
      <c r="M29" s="513"/>
      <c r="N29" s="513"/>
      <c r="O29" s="513"/>
      <c r="P29" s="513"/>
      <c r="Q29" s="513"/>
      <c r="R29" s="513"/>
      <c r="S29" s="513"/>
      <c r="T29" s="513"/>
      <c r="U29" s="513"/>
      <c r="V29" s="513"/>
      <c r="W29" s="513"/>
      <c r="X29" s="513"/>
      <c r="Y29" s="513"/>
      <c r="Z29" s="513"/>
      <c r="AA29" s="626">
        <f>B29-E29</f>
        <v>0</v>
      </c>
      <c r="AB29" s="1041" t="str">
        <f>IF(B29&gt;=0,IF(E29&gt;=0,IF(B29&gt;=E29,"Ok ","Check size "),"Check sign"),IF(E29&gt;0,"Check sign ",IF(ABS(B29)&gt;=ABS(E29),"Ok ","Check size ")))</f>
        <v xml:space="preserve">Ok </v>
      </c>
    </row>
    <row r="30" spans="1:28" ht="12.75" customHeight="1" x14ac:dyDescent="0.2">
      <c r="A30" s="452" t="s">
        <v>878</v>
      </c>
      <c r="B30" s="513"/>
      <c r="C30" s="513"/>
      <c r="E30" s="656">
        <f>SUM(F30:Z30)</f>
        <v>0</v>
      </c>
      <c r="F30" s="513"/>
      <c r="G30" s="513"/>
      <c r="H30" s="513"/>
      <c r="I30" s="513"/>
      <c r="J30" s="513"/>
      <c r="K30" s="513"/>
      <c r="L30" s="513"/>
      <c r="M30" s="513"/>
      <c r="N30" s="513"/>
      <c r="O30" s="513"/>
      <c r="P30" s="513"/>
      <c r="Q30" s="513"/>
      <c r="R30" s="513"/>
      <c r="S30" s="513"/>
      <c r="T30" s="513"/>
      <c r="U30" s="513"/>
      <c r="V30" s="513"/>
      <c r="W30" s="513"/>
      <c r="X30" s="513"/>
      <c r="Y30" s="513"/>
      <c r="Z30" s="513"/>
      <c r="AA30" s="626">
        <f>B30-E30</f>
        <v>0</v>
      </c>
      <c r="AB30" s="1041" t="str">
        <f>IF(B30&gt;=0,IF(E30&gt;=0,IF(B30&gt;=E30,"Ok ","Check size "),"Check sign"),IF(E30&gt;0,"Check sign ",IF(ABS(B30)&gt;=ABS(E30),"Ok ","Check size ")))</f>
        <v xml:space="preserve">Ok </v>
      </c>
    </row>
    <row r="31" spans="1:28" ht="12.75" customHeight="1" x14ac:dyDescent="0.2">
      <c r="A31" s="642" t="s">
        <v>290</v>
      </c>
      <c r="B31" s="515">
        <f>SUM(B28:B30)</f>
        <v>0</v>
      </c>
      <c r="C31" s="515">
        <f>SUM(C28:C30)</f>
        <v>0</v>
      </c>
      <c r="E31" s="515">
        <f t="shared" ref="E31:AA31" si="6">SUM(E28:E30)</f>
        <v>0</v>
      </c>
      <c r="F31" s="515">
        <f t="shared" si="6"/>
        <v>0</v>
      </c>
      <c r="G31" s="515">
        <f t="shared" si="6"/>
        <v>0</v>
      </c>
      <c r="H31" s="515">
        <f t="shared" si="6"/>
        <v>0</v>
      </c>
      <c r="I31" s="515">
        <f t="shared" si="6"/>
        <v>0</v>
      </c>
      <c r="J31" s="515">
        <f t="shared" si="6"/>
        <v>0</v>
      </c>
      <c r="K31" s="515">
        <f t="shared" si="6"/>
        <v>0</v>
      </c>
      <c r="L31" s="515">
        <f t="shared" si="6"/>
        <v>0</v>
      </c>
      <c r="M31" s="515">
        <f t="shared" si="6"/>
        <v>0</v>
      </c>
      <c r="N31" s="515">
        <f t="shared" si="6"/>
        <v>0</v>
      </c>
      <c r="O31" s="515">
        <f t="shared" si="6"/>
        <v>0</v>
      </c>
      <c r="P31" s="515">
        <f t="shared" si="6"/>
        <v>0</v>
      </c>
      <c r="Q31" s="515">
        <f t="shared" si="6"/>
        <v>0</v>
      </c>
      <c r="R31" s="515">
        <f t="shared" si="6"/>
        <v>0</v>
      </c>
      <c r="S31" s="515">
        <f t="shared" si="6"/>
        <v>0</v>
      </c>
      <c r="T31" s="515">
        <f t="shared" si="6"/>
        <v>0</v>
      </c>
      <c r="U31" s="515">
        <f t="shared" si="6"/>
        <v>0</v>
      </c>
      <c r="V31" s="515">
        <f t="shared" si="6"/>
        <v>0</v>
      </c>
      <c r="W31" s="515">
        <f t="shared" si="6"/>
        <v>0</v>
      </c>
      <c r="X31" s="515">
        <f t="shared" si="6"/>
        <v>0</v>
      </c>
      <c r="Y31" s="515">
        <f t="shared" si="6"/>
        <v>0</v>
      </c>
      <c r="Z31" s="515">
        <f t="shared" si="6"/>
        <v>0</v>
      </c>
      <c r="AA31" s="626">
        <f t="shared" si="6"/>
        <v>0</v>
      </c>
    </row>
    <row r="32" spans="1:28" ht="12.75" customHeight="1" x14ac:dyDescent="0.2">
      <c r="A32" s="642"/>
      <c r="B32" s="510"/>
      <c r="C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651"/>
    </row>
    <row r="33" spans="1:28" ht="12.75" customHeight="1" x14ac:dyDescent="0.2">
      <c r="A33" s="452" t="s">
        <v>897</v>
      </c>
      <c r="B33" s="513"/>
      <c r="C33" s="513"/>
      <c r="E33" s="656">
        <f>SUM(F33:Z33)</f>
        <v>0</v>
      </c>
      <c r="F33" s="513"/>
      <c r="G33" s="513"/>
      <c r="H33" s="513"/>
      <c r="I33" s="513"/>
      <c r="J33" s="513"/>
      <c r="K33" s="513"/>
      <c r="L33" s="513"/>
      <c r="M33" s="513"/>
      <c r="N33" s="513"/>
      <c r="O33" s="513"/>
      <c r="P33" s="513"/>
      <c r="Q33" s="513"/>
      <c r="R33" s="513"/>
      <c r="S33" s="513"/>
      <c r="T33" s="513"/>
      <c r="U33" s="513"/>
      <c r="V33" s="513"/>
      <c r="W33" s="513"/>
      <c r="X33" s="513"/>
      <c r="Y33" s="513"/>
      <c r="Z33" s="513"/>
      <c r="AA33" s="626">
        <f>B33-E33</f>
        <v>0</v>
      </c>
      <c r="AB33" s="1041" t="str">
        <f>IF(B33&gt;=0,IF(E33&gt;=0,IF(B33&gt;=E33,"Ok ","Check size "),"Check sign"),IF(E33&gt;0,"Check sign ",IF(ABS(B33)&gt;=ABS(E33),"Ok ","Check size ")))</f>
        <v xml:space="preserve">Ok </v>
      </c>
    </row>
    <row r="34" spans="1:28" ht="12.75" customHeight="1" x14ac:dyDescent="0.2">
      <c r="A34" s="452" t="s">
        <v>898</v>
      </c>
      <c r="B34" s="513"/>
      <c r="C34" s="513"/>
      <c r="E34" s="656">
        <f>SUM(F34:Z34)</f>
        <v>0</v>
      </c>
      <c r="F34" s="513"/>
      <c r="G34" s="513"/>
      <c r="H34" s="513"/>
      <c r="I34" s="513"/>
      <c r="J34" s="513"/>
      <c r="K34" s="513"/>
      <c r="L34" s="513"/>
      <c r="M34" s="513"/>
      <c r="N34" s="513"/>
      <c r="O34" s="513"/>
      <c r="P34" s="513"/>
      <c r="Q34" s="513"/>
      <c r="R34" s="513"/>
      <c r="S34" s="513"/>
      <c r="T34" s="513"/>
      <c r="U34" s="513"/>
      <c r="V34" s="513"/>
      <c r="W34" s="513"/>
      <c r="X34" s="513"/>
      <c r="Y34" s="513"/>
      <c r="Z34" s="513"/>
      <c r="AA34" s="626">
        <f>B34-E34</f>
        <v>0</v>
      </c>
      <c r="AB34" s="1041" t="str">
        <f>IF(B34&gt;=0,IF(E34&gt;=0,IF(B34&gt;=E34,"Ok ","Check size "),"Check sign"),IF(E34&gt;0,"Check sign ",IF(ABS(B34)&gt;=ABS(E34),"Ok ","Check size ")))</f>
        <v xml:space="preserve">Ok </v>
      </c>
    </row>
    <row r="35" spans="1:28" ht="12.75" customHeight="1" x14ac:dyDescent="0.2">
      <c r="A35" s="642" t="s">
        <v>1286</v>
      </c>
      <c r="B35" s="515">
        <f>SUM(B33:B34)</f>
        <v>0</v>
      </c>
      <c r="C35" s="515">
        <f>SUM(C33:C34)</f>
        <v>0</v>
      </c>
      <c r="E35" s="515">
        <f t="shared" ref="E35:AA35" si="7">SUM(E33:E34)</f>
        <v>0</v>
      </c>
      <c r="F35" s="515">
        <f t="shared" si="7"/>
        <v>0</v>
      </c>
      <c r="G35" s="515">
        <f t="shared" si="7"/>
        <v>0</v>
      </c>
      <c r="H35" s="515">
        <f t="shared" si="7"/>
        <v>0</v>
      </c>
      <c r="I35" s="515">
        <f t="shared" si="7"/>
        <v>0</v>
      </c>
      <c r="J35" s="515">
        <f t="shared" si="7"/>
        <v>0</v>
      </c>
      <c r="K35" s="515">
        <f t="shared" si="7"/>
        <v>0</v>
      </c>
      <c r="L35" s="515">
        <f t="shared" si="7"/>
        <v>0</v>
      </c>
      <c r="M35" s="515">
        <f t="shared" si="7"/>
        <v>0</v>
      </c>
      <c r="N35" s="515">
        <f t="shared" si="7"/>
        <v>0</v>
      </c>
      <c r="O35" s="515">
        <f t="shared" si="7"/>
        <v>0</v>
      </c>
      <c r="P35" s="515">
        <f t="shared" si="7"/>
        <v>0</v>
      </c>
      <c r="Q35" s="515">
        <f t="shared" si="7"/>
        <v>0</v>
      </c>
      <c r="R35" s="515">
        <f t="shared" si="7"/>
        <v>0</v>
      </c>
      <c r="S35" s="515">
        <f t="shared" si="7"/>
        <v>0</v>
      </c>
      <c r="T35" s="515">
        <f t="shared" si="7"/>
        <v>0</v>
      </c>
      <c r="U35" s="515">
        <f t="shared" si="7"/>
        <v>0</v>
      </c>
      <c r="V35" s="515">
        <f t="shared" si="7"/>
        <v>0</v>
      </c>
      <c r="W35" s="515">
        <f t="shared" si="7"/>
        <v>0</v>
      </c>
      <c r="X35" s="515">
        <f t="shared" si="7"/>
        <v>0</v>
      </c>
      <c r="Y35" s="515">
        <f t="shared" si="7"/>
        <v>0</v>
      </c>
      <c r="Z35" s="515">
        <f t="shared" si="7"/>
        <v>0</v>
      </c>
      <c r="AA35" s="626">
        <f t="shared" si="7"/>
        <v>0</v>
      </c>
    </row>
    <row r="36" spans="1:28" ht="12.75" customHeight="1" x14ac:dyDescent="0.2">
      <c r="A36" s="642"/>
      <c r="B36" s="459"/>
      <c r="C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640"/>
    </row>
    <row r="37" spans="1:28" ht="12.75" customHeight="1" thickBot="1" x14ac:dyDescent="0.25">
      <c r="A37" s="388" t="s">
        <v>1285</v>
      </c>
      <c r="B37" s="512">
        <f>+B16+B31</f>
        <v>0</v>
      </c>
      <c r="C37" s="512">
        <f>+C16+C31</f>
        <v>0</v>
      </c>
      <c r="E37" s="512">
        <f t="shared" ref="E37:AA37" si="8">+E16+E31</f>
        <v>0</v>
      </c>
      <c r="F37" s="512">
        <f t="shared" si="8"/>
        <v>0</v>
      </c>
      <c r="G37" s="512">
        <f t="shared" si="8"/>
        <v>0</v>
      </c>
      <c r="H37" s="512">
        <f t="shared" si="8"/>
        <v>0</v>
      </c>
      <c r="I37" s="512">
        <f t="shared" si="8"/>
        <v>0</v>
      </c>
      <c r="J37" s="512">
        <f t="shared" si="8"/>
        <v>0</v>
      </c>
      <c r="K37" s="512">
        <f t="shared" si="8"/>
        <v>0</v>
      </c>
      <c r="L37" s="512">
        <f t="shared" si="8"/>
        <v>0</v>
      </c>
      <c r="M37" s="512">
        <f t="shared" si="8"/>
        <v>0</v>
      </c>
      <c r="N37" s="512">
        <f t="shared" si="8"/>
        <v>0</v>
      </c>
      <c r="O37" s="512">
        <f t="shared" si="8"/>
        <v>0</v>
      </c>
      <c r="P37" s="512">
        <f t="shared" si="8"/>
        <v>0</v>
      </c>
      <c r="Q37" s="512">
        <f t="shared" si="8"/>
        <v>0</v>
      </c>
      <c r="R37" s="512">
        <f t="shared" si="8"/>
        <v>0</v>
      </c>
      <c r="S37" s="512">
        <f t="shared" si="8"/>
        <v>0</v>
      </c>
      <c r="T37" s="512">
        <f t="shared" si="8"/>
        <v>0</v>
      </c>
      <c r="U37" s="512">
        <f t="shared" si="8"/>
        <v>0</v>
      </c>
      <c r="V37" s="512">
        <f t="shared" si="8"/>
        <v>0</v>
      </c>
      <c r="W37" s="512">
        <f t="shared" si="8"/>
        <v>0</v>
      </c>
      <c r="X37" s="512">
        <f t="shared" si="8"/>
        <v>0</v>
      </c>
      <c r="Y37" s="512">
        <f t="shared" si="8"/>
        <v>0</v>
      </c>
      <c r="Z37" s="512">
        <f t="shared" si="8"/>
        <v>0</v>
      </c>
      <c r="AA37" s="654">
        <f t="shared" si="8"/>
        <v>0</v>
      </c>
    </row>
    <row r="38" spans="1:28" ht="12.75" customHeight="1" thickTop="1" x14ac:dyDescent="0.2">
      <c r="B38" s="457"/>
      <c r="C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640"/>
    </row>
    <row r="39" spans="1:28" ht="12.75" customHeight="1" thickBot="1" x14ac:dyDescent="0.25">
      <c r="A39" s="388" t="s">
        <v>1284</v>
      </c>
      <c r="B39" s="639">
        <f>+B22+B35</f>
        <v>0</v>
      </c>
      <c r="C39" s="639">
        <f>+C22+C35</f>
        <v>0</v>
      </c>
      <c r="E39" s="639">
        <f t="shared" ref="E39:AA39" si="9">+E22+E35</f>
        <v>0</v>
      </c>
      <c r="F39" s="639">
        <f t="shared" si="9"/>
        <v>0</v>
      </c>
      <c r="G39" s="639">
        <f t="shared" si="9"/>
        <v>0</v>
      </c>
      <c r="H39" s="639">
        <f t="shared" si="9"/>
        <v>0</v>
      </c>
      <c r="I39" s="639">
        <f t="shared" si="9"/>
        <v>0</v>
      </c>
      <c r="J39" s="639">
        <f t="shared" si="9"/>
        <v>0</v>
      </c>
      <c r="K39" s="639">
        <f t="shared" si="9"/>
        <v>0</v>
      </c>
      <c r="L39" s="639">
        <f t="shared" si="9"/>
        <v>0</v>
      </c>
      <c r="M39" s="639">
        <f t="shared" si="9"/>
        <v>0</v>
      </c>
      <c r="N39" s="639">
        <f t="shared" si="9"/>
        <v>0</v>
      </c>
      <c r="O39" s="639">
        <f t="shared" si="9"/>
        <v>0</v>
      </c>
      <c r="P39" s="639">
        <f t="shared" si="9"/>
        <v>0</v>
      </c>
      <c r="Q39" s="639">
        <f t="shared" si="9"/>
        <v>0</v>
      </c>
      <c r="R39" s="639">
        <f t="shared" si="9"/>
        <v>0</v>
      </c>
      <c r="S39" s="639">
        <f t="shared" si="9"/>
        <v>0</v>
      </c>
      <c r="T39" s="639">
        <f t="shared" si="9"/>
        <v>0</v>
      </c>
      <c r="U39" s="639">
        <f t="shared" si="9"/>
        <v>0</v>
      </c>
      <c r="V39" s="639">
        <f t="shared" si="9"/>
        <v>0</v>
      </c>
      <c r="W39" s="639">
        <f t="shared" si="9"/>
        <v>0</v>
      </c>
      <c r="X39" s="639">
        <f t="shared" si="9"/>
        <v>0</v>
      </c>
      <c r="Y39" s="639">
        <f t="shared" si="9"/>
        <v>0</v>
      </c>
      <c r="Z39" s="639">
        <f t="shared" si="9"/>
        <v>0</v>
      </c>
      <c r="AA39" s="654">
        <f t="shared" si="9"/>
        <v>0</v>
      </c>
    </row>
    <row r="40" spans="1:28" ht="12.75" customHeight="1" thickTop="1" x14ac:dyDescent="0.2">
      <c r="B40" s="457"/>
      <c r="C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640"/>
    </row>
    <row r="41" spans="1:28" ht="12.75" customHeight="1" thickBot="1" x14ac:dyDescent="0.25">
      <c r="A41" s="388" t="s">
        <v>1283</v>
      </c>
      <c r="B41" s="639">
        <f>+B25</f>
        <v>0</v>
      </c>
      <c r="C41" s="639">
        <f>+C25</f>
        <v>0</v>
      </c>
      <c r="E41" s="639">
        <f t="shared" ref="E41:AA41" si="10">+E25</f>
        <v>0</v>
      </c>
      <c r="F41" s="639">
        <f t="shared" si="10"/>
        <v>0</v>
      </c>
      <c r="G41" s="639">
        <f t="shared" si="10"/>
        <v>0</v>
      </c>
      <c r="H41" s="639">
        <f t="shared" si="10"/>
        <v>0</v>
      </c>
      <c r="I41" s="639">
        <f t="shared" si="10"/>
        <v>0</v>
      </c>
      <c r="J41" s="639">
        <f t="shared" si="10"/>
        <v>0</v>
      </c>
      <c r="K41" s="639">
        <f t="shared" si="10"/>
        <v>0</v>
      </c>
      <c r="L41" s="639">
        <f t="shared" si="10"/>
        <v>0</v>
      </c>
      <c r="M41" s="639">
        <f t="shared" si="10"/>
        <v>0</v>
      </c>
      <c r="N41" s="639">
        <f t="shared" si="10"/>
        <v>0</v>
      </c>
      <c r="O41" s="639">
        <f t="shared" si="10"/>
        <v>0</v>
      </c>
      <c r="P41" s="639">
        <f t="shared" si="10"/>
        <v>0</v>
      </c>
      <c r="Q41" s="639">
        <f t="shared" si="10"/>
        <v>0</v>
      </c>
      <c r="R41" s="639">
        <f t="shared" si="10"/>
        <v>0</v>
      </c>
      <c r="S41" s="639">
        <f t="shared" si="10"/>
        <v>0</v>
      </c>
      <c r="T41" s="639">
        <f t="shared" si="10"/>
        <v>0</v>
      </c>
      <c r="U41" s="639">
        <f t="shared" si="10"/>
        <v>0</v>
      </c>
      <c r="V41" s="639">
        <f t="shared" si="10"/>
        <v>0</v>
      </c>
      <c r="W41" s="639">
        <f t="shared" si="10"/>
        <v>0</v>
      </c>
      <c r="X41" s="639">
        <f t="shared" si="10"/>
        <v>0</v>
      </c>
      <c r="Y41" s="639">
        <f t="shared" si="10"/>
        <v>0</v>
      </c>
      <c r="Z41" s="639">
        <f t="shared" si="10"/>
        <v>0</v>
      </c>
      <c r="AA41" s="654">
        <f t="shared" si="10"/>
        <v>0</v>
      </c>
    </row>
    <row r="42" spans="1:28" ht="12.75" customHeight="1" thickTop="1" x14ac:dyDescent="0.2">
      <c r="B42" s="457"/>
      <c r="C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640"/>
    </row>
    <row r="43" spans="1:28" ht="12.75" customHeight="1" thickBot="1" x14ac:dyDescent="0.25">
      <c r="A43" s="388" t="s">
        <v>1282</v>
      </c>
      <c r="B43" s="523">
        <f>+B37+B39+B41</f>
        <v>0</v>
      </c>
      <c r="C43" s="523">
        <f>+C37+C39+C41</f>
        <v>0</v>
      </c>
      <c r="E43" s="523">
        <f t="shared" ref="E43:AA43" si="11">+E37+E39+E41</f>
        <v>0</v>
      </c>
      <c r="F43" s="523">
        <f t="shared" si="11"/>
        <v>0</v>
      </c>
      <c r="G43" s="523">
        <f t="shared" si="11"/>
        <v>0</v>
      </c>
      <c r="H43" s="523">
        <f t="shared" si="11"/>
        <v>0</v>
      </c>
      <c r="I43" s="523">
        <f t="shared" si="11"/>
        <v>0</v>
      </c>
      <c r="J43" s="523">
        <f t="shared" si="11"/>
        <v>0</v>
      </c>
      <c r="K43" s="523">
        <f t="shared" si="11"/>
        <v>0</v>
      </c>
      <c r="L43" s="523">
        <f t="shared" si="11"/>
        <v>0</v>
      </c>
      <c r="M43" s="523">
        <f t="shared" si="11"/>
        <v>0</v>
      </c>
      <c r="N43" s="523">
        <f t="shared" si="11"/>
        <v>0</v>
      </c>
      <c r="O43" s="523">
        <f t="shared" si="11"/>
        <v>0</v>
      </c>
      <c r="P43" s="523">
        <f t="shared" si="11"/>
        <v>0</v>
      </c>
      <c r="Q43" s="523">
        <f t="shared" si="11"/>
        <v>0</v>
      </c>
      <c r="R43" s="523">
        <f t="shared" si="11"/>
        <v>0</v>
      </c>
      <c r="S43" s="523">
        <f t="shared" si="11"/>
        <v>0</v>
      </c>
      <c r="T43" s="523">
        <f t="shared" si="11"/>
        <v>0</v>
      </c>
      <c r="U43" s="523">
        <f t="shared" si="11"/>
        <v>0</v>
      </c>
      <c r="V43" s="523">
        <f t="shared" si="11"/>
        <v>0</v>
      </c>
      <c r="W43" s="523">
        <f t="shared" si="11"/>
        <v>0</v>
      </c>
      <c r="X43" s="523">
        <f t="shared" si="11"/>
        <v>0</v>
      </c>
      <c r="Y43" s="523">
        <f t="shared" si="11"/>
        <v>0</v>
      </c>
      <c r="Z43" s="523">
        <f t="shared" si="11"/>
        <v>0</v>
      </c>
      <c r="AA43" s="653">
        <f t="shared" si="11"/>
        <v>0</v>
      </c>
      <c r="AB43" s="409" t="str">
        <f>IF(B43&gt;=0,IF(E43&gt;=0,IF(B43&gt;=E43,"Ok ","Check size "),"Check sign"),IF(E43&gt;0,"Check sign ",IF(ABS(B43)&gt;=ABS(E43),"Ok ","Check size ")))</f>
        <v xml:space="preserve">Ok </v>
      </c>
    </row>
    <row r="44" spans="1:28" ht="12.75" customHeight="1" thickTop="1" x14ac:dyDescent="0.2">
      <c r="AA44" s="651"/>
    </row>
    <row r="45" spans="1:28" ht="12.75" customHeight="1" x14ac:dyDescent="0.2">
      <c r="AA45" s="651"/>
    </row>
    <row r="46" spans="1:28" x14ac:dyDescent="0.2">
      <c r="A46" s="466"/>
      <c r="B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652"/>
    </row>
    <row r="47" spans="1:28" x14ac:dyDescent="0.2">
      <c r="AA47" s="651"/>
    </row>
    <row r="48" spans="1:28" x14ac:dyDescent="0.2">
      <c r="AA48" s="651"/>
    </row>
    <row r="49" spans="27:27" x14ac:dyDescent="0.2">
      <c r="AA49" s="651"/>
    </row>
    <row r="50" spans="27:27" x14ac:dyDescent="0.2">
      <c r="AA50" s="651"/>
    </row>
    <row r="51" spans="27:27" x14ac:dyDescent="0.2">
      <c r="AA51" s="651"/>
    </row>
    <row r="52" spans="27:27" x14ac:dyDescent="0.2">
      <c r="AA52" s="651"/>
    </row>
    <row r="53" spans="27:27" x14ac:dyDescent="0.2">
      <c r="AA53" s="494"/>
    </row>
  </sheetData>
  <sheetProtection algorithmName="SHA-512" hashValue="L/5v9Er7gPnFKlMZD7zrFkkIR0/5H+58Aj9fqA/kGQ+C964Vs9GTUkF3/748Sgcw2Og49hDmg1BlbiQ1RKtxBQ==" saltValue="MfnnmRrV82pom4ymbGRsmg==" spinCount="100000" sheet="1" formatColumns="0" formatRows="0"/>
  <conditionalFormatting sqref="A3">
    <cfRule type="expression" dxfId="139" priority="7">
      <formula>CELL("Protect",A3)=0</formula>
    </cfRule>
  </conditionalFormatting>
  <conditionalFormatting sqref="B10:C15">
    <cfRule type="expression" dxfId="138" priority="1">
      <formula>CELL("Protect",B10)=0</formula>
    </cfRule>
  </conditionalFormatting>
  <conditionalFormatting sqref="B18:C21 F18:Z21">
    <cfRule type="expression" dxfId="137" priority="24">
      <formula>CELL("Protect",B18)=0</formula>
    </cfRule>
  </conditionalFormatting>
  <conditionalFormatting sqref="B24:C24 B28:C30 B33:C34">
    <cfRule type="expression" dxfId="136" priority="5">
      <formula>CELL("Protect",B24)=0</formula>
    </cfRule>
  </conditionalFormatting>
  <conditionalFormatting sqref="F10:Z15">
    <cfRule type="expression" dxfId="135" priority="3">
      <formula>CELL("Protect",F10)=0</formula>
    </cfRule>
  </conditionalFormatting>
  <conditionalFormatting sqref="F24:Z24">
    <cfRule type="expression" dxfId="134" priority="10">
      <formula>CELL("Protect",F24)=0</formula>
    </cfRule>
  </conditionalFormatting>
  <conditionalFormatting sqref="F28:Z30">
    <cfRule type="expression" dxfId="133" priority="9">
      <formula>CELL("Protect",F28)=0</formula>
    </cfRule>
  </conditionalFormatting>
  <conditionalFormatting sqref="F33:Z34">
    <cfRule type="expression" dxfId="132" priority="8">
      <formula>CELL("Protect",F33)=0</formula>
    </cfRule>
  </conditionalFormatting>
  <pageMargins left="0.74803149606299213" right="0.74803149606299213" top="0.59055118110236227" bottom="0.59055118110236227" header="0.51181102362204722" footer="0.51181102362204722"/>
  <pageSetup paperSize="9" scale="5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7">
    <tabColor rgb="FFFFFF00"/>
    <pageSetUpPr fitToPage="1"/>
  </sheetPr>
  <dimension ref="A1:AB75"/>
  <sheetViews>
    <sheetView zoomScaleNormal="100" workbookViewId="0">
      <pane xSplit="3" ySplit="11" topLeftCell="D12" activePane="bottomRight" state="frozen"/>
      <selection activeCell="F19" sqref="F19"/>
      <selection pane="topRight" activeCell="F19" sqref="F19"/>
      <selection pane="bottomLeft" activeCell="F19" sqref="F19"/>
      <selection pane="bottomRight" activeCell="D12" sqref="D12"/>
    </sheetView>
  </sheetViews>
  <sheetFormatPr defaultColWidth="9.140625" defaultRowHeight="12.75" customHeight="1" outlineLevelCol="1" x14ac:dyDescent="0.2"/>
  <cols>
    <col min="1" max="1" width="70.42578125" style="457" customWidth="1"/>
    <col min="2" max="3" width="13" style="457" customWidth="1"/>
    <col min="4" max="5" width="9.140625" style="457"/>
    <col min="6" max="16" width="9.140625" style="457" customWidth="1" outlineLevel="1"/>
    <col min="17" max="17" width="16.28515625" style="457" customWidth="1" outlineLevel="1"/>
    <col min="18" max="26" width="9.140625" style="457" customWidth="1" outlineLevel="1"/>
    <col min="27" max="27" width="9.140625" style="457" customWidth="1"/>
    <col min="28" max="16384" width="9.140625" style="457"/>
  </cols>
  <sheetData>
    <row r="1" spans="1:28" ht="14.65" customHeight="1" x14ac:dyDescent="0.2">
      <c r="A1" s="416" t="str">
        <f>'alb Instructions'!$B$20</f>
        <v>enter HSC Body name here</v>
      </c>
      <c r="B1" s="544"/>
      <c r="C1" s="544"/>
    </row>
    <row r="2" spans="1:28" ht="12.75" customHeight="1" x14ac:dyDescent="0.2">
      <c r="A2" s="544"/>
      <c r="B2" s="544"/>
      <c r="C2" s="549"/>
    </row>
    <row r="3" spans="1:28" ht="12.75" customHeight="1" x14ac:dyDescent="0.2">
      <c r="A3" s="416" t="str">
        <f>"NOTES TO THE ACCOUNTS FOR THE YEAR ENDED"&amp;Update!$B$22</f>
        <v>NOTES TO THE ACCOUNTS FOR THE YEAR ENDED 31 March 2026</v>
      </c>
      <c r="B3" s="397"/>
    </row>
    <row r="4" spans="1:28" ht="12.75" customHeight="1" x14ac:dyDescent="0.2">
      <c r="A4" s="536"/>
      <c r="B4" s="536"/>
    </row>
    <row r="5" spans="1:28" ht="12.75" customHeight="1" x14ac:dyDescent="0.2">
      <c r="A5" s="536" t="s">
        <v>2347</v>
      </c>
      <c r="B5" s="536"/>
    </row>
    <row r="6" spans="1:28" ht="12.75" customHeight="1" x14ac:dyDescent="0.2">
      <c r="A6" s="536"/>
      <c r="B6" s="536"/>
      <c r="E6" s="388" t="s">
        <v>930</v>
      </c>
      <c r="F6" s="388"/>
    </row>
    <row r="7" spans="1:28" ht="12.75" customHeight="1" x14ac:dyDescent="0.2">
      <c r="A7" s="536" t="s">
        <v>2348</v>
      </c>
      <c r="B7" s="536"/>
      <c r="E7" s="579"/>
      <c r="F7" s="579" t="s">
        <v>345</v>
      </c>
      <c r="G7" s="579" t="s">
        <v>2459</v>
      </c>
      <c r="H7" s="579" t="s">
        <v>4</v>
      </c>
      <c r="I7" s="579" t="s">
        <v>10</v>
      </c>
      <c r="J7" s="579" t="s">
        <v>24</v>
      </c>
      <c r="K7" s="579" t="s">
        <v>16</v>
      </c>
      <c r="L7" s="579" t="s">
        <v>18</v>
      </c>
      <c r="M7" s="579" t="s">
        <v>34</v>
      </c>
      <c r="N7" s="580" t="s">
        <v>1252</v>
      </c>
      <c r="O7" s="579" t="s">
        <v>2448</v>
      </c>
      <c r="P7" s="579" t="s">
        <v>22</v>
      </c>
      <c r="Q7" s="579" t="s">
        <v>32</v>
      </c>
      <c r="R7" s="579" t="s">
        <v>30</v>
      </c>
      <c r="S7" s="579" t="s">
        <v>6</v>
      </c>
      <c r="T7" s="579" t="s">
        <v>26</v>
      </c>
      <c r="U7" s="579" t="s">
        <v>28</v>
      </c>
      <c r="V7" s="579" t="s">
        <v>12</v>
      </c>
      <c r="W7" s="579" t="s">
        <v>8</v>
      </c>
      <c r="X7" s="579" t="s">
        <v>14</v>
      </c>
      <c r="Y7" s="579" t="s">
        <v>36</v>
      </c>
      <c r="Z7" s="579" t="s">
        <v>38</v>
      </c>
    </row>
    <row r="8" spans="1:28" ht="56.25" x14ac:dyDescent="0.2">
      <c r="B8" s="461"/>
      <c r="C8" s="461"/>
      <c r="E8" s="414" t="s">
        <v>604</v>
      </c>
      <c r="F8" s="413" t="s">
        <v>48</v>
      </c>
      <c r="G8" s="413" t="s">
        <v>2457</v>
      </c>
      <c r="H8" s="413" t="s">
        <v>5</v>
      </c>
      <c r="I8" s="413" t="s">
        <v>11</v>
      </c>
      <c r="J8" s="413" t="s">
        <v>25</v>
      </c>
      <c r="K8" s="413" t="s">
        <v>17</v>
      </c>
      <c r="L8" s="413" t="s">
        <v>19</v>
      </c>
      <c r="M8" s="413" t="s">
        <v>35</v>
      </c>
      <c r="N8" s="413" t="s">
        <v>900</v>
      </c>
      <c r="O8" s="413" t="s">
        <v>2446</v>
      </c>
      <c r="P8" s="413" t="s">
        <v>23</v>
      </c>
      <c r="Q8" s="413" t="s">
        <v>33</v>
      </c>
      <c r="R8" s="413" t="s">
        <v>31</v>
      </c>
      <c r="S8" s="413" t="s">
        <v>7</v>
      </c>
      <c r="T8" s="413" t="s">
        <v>27</v>
      </c>
      <c r="U8" s="413" t="s">
        <v>29</v>
      </c>
      <c r="V8" s="413" t="s">
        <v>13</v>
      </c>
      <c r="W8" s="413" t="s">
        <v>9</v>
      </c>
      <c r="X8" s="413" t="s">
        <v>15</v>
      </c>
      <c r="Y8" s="413" t="s">
        <v>37</v>
      </c>
      <c r="Z8" s="413" t="s">
        <v>39</v>
      </c>
      <c r="AA8" s="412" t="s">
        <v>932</v>
      </c>
      <c r="AB8" s="412" t="s">
        <v>63</v>
      </c>
    </row>
    <row r="9" spans="1:28" ht="12.75" customHeight="1" x14ac:dyDescent="0.2">
      <c r="B9" s="461" t="str">
        <f>Update!$C$38</f>
        <v>2025-26</v>
      </c>
      <c r="C9" s="461" t="str">
        <f>Update!$C$37</f>
        <v>2024-25</v>
      </c>
      <c r="E9" s="411" t="s">
        <v>62</v>
      </c>
      <c r="F9" s="411" t="s">
        <v>62</v>
      </c>
      <c r="G9" s="411" t="s">
        <v>62</v>
      </c>
      <c r="H9" s="411" t="s">
        <v>62</v>
      </c>
      <c r="I9" s="411" t="s">
        <v>62</v>
      </c>
      <c r="J9" s="411" t="s">
        <v>62</v>
      </c>
      <c r="K9" s="411" t="s">
        <v>62</v>
      </c>
      <c r="L9" s="411" t="s">
        <v>62</v>
      </c>
      <c r="M9" s="411" t="s">
        <v>62</v>
      </c>
      <c r="N9" s="411" t="s">
        <v>62</v>
      </c>
      <c r="O9" s="411" t="s">
        <v>62</v>
      </c>
      <c r="P9" s="411" t="s">
        <v>62</v>
      </c>
      <c r="Q9" s="411" t="s">
        <v>62</v>
      </c>
      <c r="R9" s="411" t="s">
        <v>62</v>
      </c>
      <c r="S9" s="411" t="s">
        <v>62</v>
      </c>
      <c r="T9" s="411" t="s">
        <v>62</v>
      </c>
      <c r="U9" s="411" t="s">
        <v>62</v>
      </c>
      <c r="V9" s="411" t="s">
        <v>62</v>
      </c>
      <c r="W9" s="411" t="s">
        <v>62</v>
      </c>
      <c r="X9" s="411" t="s">
        <v>62</v>
      </c>
      <c r="Y9" s="411" t="s">
        <v>62</v>
      </c>
      <c r="Z9" s="411" t="s">
        <v>62</v>
      </c>
      <c r="AA9" s="508" t="s">
        <v>62</v>
      </c>
      <c r="AB9" s="508"/>
    </row>
    <row r="10" spans="1:28" ht="12.75" customHeight="1" x14ac:dyDescent="0.2">
      <c r="B10" s="468" t="s">
        <v>493</v>
      </c>
      <c r="C10" s="468" t="s">
        <v>493</v>
      </c>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row>
    <row r="11" spans="1:28" x14ac:dyDescent="0.2">
      <c r="A11" s="550" t="s">
        <v>1288</v>
      </c>
      <c r="B11" s="468" t="s">
        <v>146</v>
      </c>
      <c r="C11" s="468" t="s">
        <v>146</v>
      </c>
      <c r="E11" s="397"/>
      <c r="F11" s="397"/>
      <c r="G11" s="397"/>
      <c r="H11" s="397"/>
      <c r="I11" s="397"/>
      <c r="J11" s="397"/>
      <c r="K11" s="397"/>
      <c r="L11" s="397"/>
      <c r="M11" s="397"/>
      <c r="N11" s="397"/>
      <c r="O11" s="397"/>
      <c r="P11" s="397"/>
      <c r="Q11" s="397"/>
      <c r="R11" s="397"/>
      <c r="S11" s="397"/>
      <c r="T11" s="397"/>
      <c r="U11" s="397"/>
      <c r="V11" s="397"/>
      <c r="W11" s="397"/>
      <c r="X11" s="397"/>
      <c r="Y11" s="397"/>
      <c r="Z11" s="397"/>
      <c r="AA11" s="397"/>
      <c r="AB11" s="397"/>
    </row>
    <row r="12" spans="1:28" ht="12.75" customHeight="1" x14ac:dyDescent="0.2">
      <c r="A12" s="457" t="s">
        <v>622</v>
      </c>
      <c r="B12" s="513"/>
      <c r="C12" s="513"/>
      <c r="E12" s="656">
        <f t="shared" ref="E12:E27" si="0">SUM(F12:Z12)</f>
        <v>0</v>
      </c>
      <c r="F12" s="513"/>
      <c r="G12" s="513"/>
      <c r="H12" s="513"/>
      <c r="I12" s="513"/>
      <c r="J12" s="513"/>
      <c r="K12" s="513"/>
      <c r="L12" s="513"/>
      <c r="M12" s="513"/>
      <c r="N12" s="513"/>
      <c r="O12" s="513"/>
      <c r="P12" s="513"/>
      <c r="Q12" s="513"/>
      <c r="R12" s="513"/>
      <c r="S12" s="513"/>
      <c r="T12" s="513"/>
      <c r="U12" s="513"/>
      <c r="V12" s="513"/>
      <c r="W12" s="513"/>
      <c r="X12" s="513"/>
      <c r="Y12" s="513"/>
      <c r="Z12" s="513"/>
      <c r="AA12" s="626">
        <f t="shared" ref="AA12:AA27" si="1">B12-E12</f>
        <v>0</v>
      </c>
      <c r="AB12" s="409" t="str">
        <f t="shared" ref="AB12:AB27" si="2">IF(B12&gt;=0,IF(E12&gt;=0,IF(B12&gt;=E12,"Ok ","Check size "),"Check sign"),IF(E12&gt;0,"Check sign ",IF(ABS(B12)&gt;=ABS(E12),"Ok ","Check size ")))</f>
        <v xml:space="preserve">Ok </v>
      </c>
    </row>
    <row r="13" spans="1:28" ht="12.75" customHeight="1" x14ac:dyDescent="0.2">
      <c r="A13" s="457" t="s">
        <v>778</v>
      </c>
      <c r="B13" s="513"/>
      <c r="C13" s="513"/>
      <c r="E13" s="656">
        <f t="shared" si="0"/>
        <v>0</v>
      </c>
      <c r="F13" s="513"/>
      <c r="G13" s="513"/>
      <c r="H13" s="513"/>
      <c r="I13" s="513"/>
      <c r="J13" s="513"/>
      <c r="K13" s="513"/>
      <c r="L13" s="513"/>
      <c r="M13" s="513"/>
      <c r="N13" s="513"/>
      <c r="O13" s="513"/>
      <c r="P13" s="513"/>
      <c r="Q13" s="513"/>
      <c r="R13" s="513"/>
      <c r="S13" s="513"/>
      <c r="T13" s="513"/>
      <c r="U13" s="513"/>
      <c r="V13" s="513"/>
      <c r="W13" s="513"/>
      <c r="X13" s="513"/>
      <c r="Y13" s="513"/>
      <c r="Z13" s="513"/>
      <c r="AA13" s="626">
        <f t="shared" si="1"/>
        <v>0</v>
      </c>
      <c r="AB13" s="409" t="str">
        <f t="shared" si="2"/>
        <v xml:space="preserve">Ok </v>
      </c>
    </row>
    <row r="14" spans="1:28" ht="12.75" customHeight="1" x14ac:dyDescent="0.2">
      <c r="A14" s="457" t="s">
        <v>621</v>
      </c>
      <c r="B14" s="459">
        <f>IF('alb Note 11 - Cash'!B13&lt;0,-'alb Note 11 - Cash'!B13,0)</f>
        <v>0</v>
      </c>
      <c r="C14" s="459">
        <f>IF('alb Note 11 - Cash'!C13&lt;0,-'alb Note 11 - Cash'!C13,0)</f>
        <v>0</v>
      </c>
      <c r="E14" s="656">
        <f t="shared" si="0"/>
        <v>0</v>
      </c>
      <c r="F14" s="513"/>
      <c r="G14" s="513"/>
      <c r="H14" s="513"/>
      <c r="I14" s="513"/>
      <c r="J14" s="513"/>
      <c r="K14" s="513"/>
      <c r="L14" s="513"/>
      <c r="M14" s="513"/>
      <c r="N14" s="513"/>
      <c r="O14" s="513"/>
      <c r="P14" s="513"/>
      <c r="Q14" s="513"/>
      <c r="R14" s="513"/>
      <c r="S14" s="513"/>
      <c r="T14" s="513"/>
      <c r="U14" s="513"/>
      <c r="V14" s="513"/>
      <c r="W14" s="513"/>
      <c r="X14" s="513"/>
      <c r="Y14" s="513"/>
      <c r="Z14" s="513"/>
      <c r="AA14" s="626">
        <f t="shared" si="1"/>
        <v>0</v>
      </c>
      <c r="AB14" s="409" t="str">
        <f t="shared" si="2"/>
        <v xml:space="preserve">Ok </v>
      </c>
    </row>
    <row r="15" spans="1:28" ht="12.75" customHeight="1" x14ac:dyDescent="0.2">
      <c r="A15" s="457" t="s">
        <v>623</v>
      </c>
      <c r="B15" s="513"/>
      <c r="C15" s="513"/>
      <c r="E15" s="656">
        <f t="shared" si="0"/>
        <v>0</v>
      </c>
      <c r="F15" s="513"/>
      <c r="G15" s="513"/>
      <c r="H15" s="513"/>
      <c r="I15" s="513"/>
      <c r="J15" s="513"/>
      <c r="K15" s="513"/>
      <c r="L15" s="513"/>
      <c r="M15" s="513"/>
      <c r="N15" s="513"/>
      <c r="O15" s="513"/>
      <c r="P15" s="513"/>
      <c r="Q15" s="513"/>
      <c r="R15" s="513"/>
      <c r="S15" s="513"/>
      <c r="T15" s="513"/>
      <c r="U15" s="513"/>
      <c r="V15" s="513"/>
      <c r="W15" s="513"/>
      <c r="X15" s="513"/>
      <c r="Y15" s="513"/>
      <c r="Z15" s="513"/>
      <c r="AA15" s="626">
        <f t="shared" si="1"/>
        <v>0</v>
      </c>
      <c r="AB15" s="409" t="str">
        <f t="shared" si="2"/>
        <v xml:space="preserve">Ok </v>
      </c>
    </row>
    <row r="16" spans="1:28" ht="12.75" customHeight="1" x14ac:dyDescent="0.2">
      <c r="A16" s="457" t="s">
        <v>624</v>
      </c>
      <c r="B16" s="513"/>
      <c r="C16" s="513"/>
      <c r="E16" s="656">
        <f t="shared" si="0"/>
        <v>0</v>
      </c>
      <c r="F16" s="513"/>
      <c r="G16" s="513"/>
      <c r="H16" s="513"/>
      <c r="I16" s="513"/>
      <c r="J16" s="513"/>
      <c r="K16" s="513"/>
      <c r="L16" s="513"/>
      <c r="M16" s="513"/>
      <c r="N16" s="513"/>
      <c r="O16" s="513"/>
      <c r="P16" s="513"/>
      <c r="Q16" s="513"/>
      <c r="R16" s="513"/>
      <c r="S16" s="513"/>
      <c r="T16" s="513"/>
      <c r="U16" s="513"/>
      <c r="V16" s="513"/>
      <c r="W16" s="513"/>
      <c r="X16" s="513"/>
      <c r="Y16" s="513"/>
      <c r="Z16" s="513"/>
      <c r="AA16" s="626">
        <f t="shared" si="1"/>
        <v>0</v>
      </c>
      <c r="AB16" s="409" t="str">
        <f t="shared" si="2"/>
        <v xml:space="preserve">Ok </v>
      </c>
    </row>
    <row r="17" spans="1:28" ht="12.75" customHeight="1" x14ac:dyDescent="0.2">
      <c r="A17" s="457" t="s">
        <v>248</v>
      </c>
      <c r="B17" s="513"/>
      <c r="C17" s="513"/>
      <c r="E17" s="656">
        <f t="shared" si="0"/>
        <v>0</v>
      </c>
      <c r="F17" s="513"/>
      <c r="G17" s="513"/>
      <c r="H17" s="513"/>
      <c r="I17" s="513"/>
      <c r="J17" s="513"/>
      <c r="K17" s="513"/>
      <c r="L17" s="513"/>
      <c r="M17" s="513"/>
      <c r="N17" s="513"/>
      <c r="O17" s="513"/>
      <c r="P17" s="513"/>
      <c r="Q17" s="513"/>
      <c r="R17" s="513"/>
      <c r="S17" s="513"/>
      <c r="T17" s="513"/>
      <c r="U17" s="513"/>
      <c r="V17" s="513"/>
      <c r="W17" s="513"/>
      <c r="X17" s="513"/>
      <c r="Y17" s="513"/>
      <c r="Z17" s="513"/>
      <c r="AA17" s="626">
        <f t="shared" si="1"/>
        <v>0</v>
      </c>
      <c r="AB17" s="409" t="str">
        <f t="shared" si="2"/>
        <v xml:space="preserve">Ok </v>
      </c>
    </row>
    <row r="18" spans="1:28" ht="12.75" customHeight="1" x14ac:dyDescent="0.2">
      <c r="A18" s="457" t="s">
        <v>779</v>
      </c>
      <c r="B18" s="513"/>
      <c r="C18" s="513"/>
      <c r="E18" s="656">
        <f t="shared" si="0"/>
        <v>0</v>
      </c>
      <c r="F18" s="513"/>
      <c r="G18" s="513"/>
      <c r="H18" s="513"/>
      <c r="I18" s="513"/>
      <c r="J18" s="513"/>
      <c r="K18" s="513"/>
      <c r="L18" s="513"/>
      <c r="M18" s="513"/>
      <c r="N18" s="513"/>
      <c r="O18" s="513"/>
      <c r="P18" s="513"/>
      <c r="Q18" s="513"/>
      <c r="R18" s="513"/>
      <c r="S18" s="513"/>
      <c r="T18" s="513"/>
      <c r="U18" s="513"/>
      <c r="V18" s="513"/>
      <c r="W18" s="513"/>
      <c r="X18" s="513"/>
      <c r="Y18" s="513"/>
      <c r="Z18" s="513"/>
      <c r="AA18" s="626">
        <f t="shared" si="1"/>
        <v>0</v>
      </c>
      <c r="AB18" s="409" t="str">
        <f t="shared" si="2"/>
        <v xml:space="preserve">Ok </v>
      </c>
    </row>
    <row r="19" spans="1:28" ht="12.75" customHeight="1" x14ac:dyDescent="0.2">
      <c r="A19" s="457" t="s">
        <v>780</v>
      </c>
      <c r="B19" s="513"/>
      <c r="C19" s="513"/>
      <c r="D19" s="454"/>
      <c r="E19" s="656">
        <f t="shared" si="0"/>
        <v>0</v>
      </c>
      <c r="F19" s="513"/>
      <c r="G19" s="513"/>
      <c r="H19" s="513"/>
      <c r="I19" s="513"/>
      <c r="J19" s="513"/>
      <c r="K19" s="513"/>
      <c r="L19" s="513"/>
      <c r="M19" s="513"/>
      <c r="N19" s="513"/>
      <c r="O19" s="513"/>
      <c r="P19" s="513"/>
      <c r="Q19" s="513"/>
      <c r="R19" s="513"/>
      <c r="S19" s="513"/>
      <c r="T19" s="513"/>
      <c r="U19" s="513"/>
      <c r="V19" s="513"/>
      <c r="W19" s="513"/>
      <c r="X19" s="513"/>
      <c r="Y19" s="513"/>
      <c r="Z19" s="513"/>
      <c r="AA19" s="626">
        <f t="shared" si="1"/>
        <v>0</v>
      </c>
      <c r="AB19" s="409" t="str">
        <f t="shared" si="2"/>
        <v xml:space="preserve">Ok </v>
      </c>
    </row>
    <row r="20" spans="1:28" ht="12.75" customHeight="1" x14ac:dyDescent="0.2">
      <c r="A20" s="457" t="s">
        <v>814</v>
      </c>
      <c r="B20" s="513"/>
      <c r="C20" s="513"/>
      <c r="E20" s="656">
        <f t="shared" si="0"/>
        <v>0</v>
      </c>
      <c r="F20" s="513"/>
      <c r="G20" s="513"/>
      <c r="H20" s="513"/>
      <c r="I20" s="513"/>
      <c r="J20" s="513"/>
      <c r="K20" s="513"/>
      <c r="L20" s="513"/>
      <c r="M20" s="513"/>
      <c r="N20" s="513"/>
      <c r="O20" s="513"/>
      <c r="P20" s="513"/>
      <c r="Q20" s="513"/>
      <c r="R20" s="513"/>
      <c r="S20" s="513"/>
      <c r="T20" s="513"/>
      <c r="U20" s="513"/>
      <c r="V20" s="513"/>
      <c r="W20" s="513"/>
      <c r="X20" s="513"/>
      <c r="Y20" s="513"/>
      <c r="Z20" s="513"/>
      <c r="AA20" s="626">
        <f t="shared" si="1"/>
        <v>0</v>
      </c>
      <c r="AB20" s="409" t="str">
        <f t="shared" si="2"/>
        <v xml:space="preserve">Ok </v>
      </c>
    </row>
    <row r="21" spans="1:28" ht="12.75" customHeight="1" x14ac:dyDescent="0.2">
      <c r="A21" s="457" t="s">
        <v>781</v>
      </c>
      <c r="B21" s="513"/>
      <c r="C21" s="513"/>
      <c r="E21" s="656">
        <f t="shared" si="0"/>
        <v>0</v>
      </c>
      <c r="F21" s="513"/>
      <c r="G21" s="513"/>
      <c r="H21" s="513"/>
      <c r="I21" s="513"/>
      <c r="J21" s="513"/>
      <c r="K21" s="513"/>
      <c r="L21" s="513"/>
      <c r="M21" s="513"/>
      <c r="N21" s="513"/>
      <c r="O21" s="513"/>
      <c r="P21" s="513"/>
      <c r="Q21" s="513"/>
      <c r="R21" s="513"/>
      <c r="S21" s="513"/>
      <c r="T21" s="513"/>
      <c r="U21" s="513"/>
      <c r="V21" s="513"/>
      <c r="W21" s="513"/>
      <c r="X21" s="513"/>
      <c r="Y21" s="513"/>
      <c r="Z21" s="513"/>
      <c r="AA21" s="626">
        <f t="shared" si="1"/>
        <v>0</v>
      </c>
      <c r="AB21" s="409" t="str">
        <f t="shared" si="2"/>
        <v xml:space="preserve">Ok </v>
      </c>
    </row>
    <row r="22" spans="1:28" ht="12.75" customHeight="1" x14ac:dyDescent="0.2">
      <c r="A22" s="457" t="s">
        <v>250</v>
      </c>
      <c r="B22" s="513"/>
      <c r="C22" s="513"/>
      <c r="E22" s="656">
        <f t="shared" si="0"/>
        <v>0</v>
      </c>
      <c r="F22" s="513"/>
      <c r="G22" s="513"/>
      <c r="H22" s="513"/>
      <c r="I22" s="513"/>
      <c r="J22" s="513"/>
      <c r="K22" s="513"/>
      <c r="L22" s="513"/>
      <c r="M22" s="513"/>
      <c r="N22" s="513"/>
      <c r="O22" s="513"/>
      <c r="P22" s="513"/>
      <c r="Q22" s="513"/>
      <c r="R22" s="513"/>
      <c r="S22" s="513"/>
      <c r="T22" s="513"/>
      <c r="U22" s="513"/>
      <c r="V22" s="513"/>
      <c r="W22" s="513"/>
      <c r="X22" s="513"/>
      <c r="Y22" s="513"/>
      <c r="Z22" s="513"/>
      <c r="AA22" s="626">
        <f t="shared" si="1"/>
        <v>0</v>
      </c>
      <c r="AB22" s="409" t="str">
        <f t="shared" si="2"/>
        <v xml:space="preserve">Ok </v>
      </c>
    </row>
    <row r="23" spans="1:28" ht="12.75" customHeight="1" x14ac:dyDescent="0.2">
      <c r="A23" s="457" t="s">
        <v>628</v>
      </c>
      <c r="B23" s="513"/>
      <c r="C23" s="513"/>
      <c r="E23" s="656">
        <f t="shared" si="0"/>
        <v>0</v>
      </c>
      <c r="F23" s="513"/>
      <c r="G23" s="513"/>
      <c r="H23" s="513"/>
      <c r="I23" s="513"/>
      <c r="J23" s="513"/>
      <c r="K23" s="513"/>
      <c r="L23" s="513"/>
      <c r="M23" s="513"/>
      <c r="N23" s="513"/>
      <c r="O23" s="513"/>
      <c r="P23" s="513"/>
      <c r="Q23" s="513"/>
      <c r="R23" s="513"/>
      <c r="S23" s="513"/>
      <c r="T23" s="513"/>
      <c r="U23" s="513"/>
      <c r="V23" s="513"/>
      <c r="W23" s="513"/>
      <c r="X23" s="513"/>
      <c r="Y23" s="513"/>
      <c r="Z23" s="513"/>
      <c r="AA23" s="626">
        <f t="shared" si="1"/>
        <v>0</v>
      </c>
      <c r="AB23" s="409" t="str">
        <f t="shared" si="2"/>
        <v xml:space="preserve">Ok </v>
      </c>
    </row>
    <row r="24" spans="1:28" ht="12.75" customHeight="1" x14ac:dyDescent="0.2">
      <c r="A24" s="457" t="s">
        <v>625</v>
      </c>
      <c r="B24" s="513"/>
      <c r="C24" s="513"/>
      <c r="E24" s="656">
        <f t="shared" si="0"/>
        <v>0</v>
      </c>
      <c r="F24" s="513"/>
      <c r="G24" s="513"/>
      <c r="H24" s="513"/>
      <c r="I24" s="513"/>
      <c r="J24" s="513"/>
      <c r="K24" s="513"/>
      <c r="L24" s="513"/>
      <c r="M24" s="513"/>
      <c r="N24" s="513"/>
      <c r="O24" s="513"/>
      <c r="P24" s="513"/>
      <c r="Q24" s="513"/>
      <c r="R24" s="513"/>
      <c r="S24" s="513"/>
      <c r="T24" s="513"/>
      <c r="U24" s="513"/>
      <c r="V24" s="513"/>
      <c r="W24" s="513"/>
      <c r="X24" s="513"/>
      <c r="Y24" s="513"/>
      <c r="Z24" s="513"/>
      <c r="AA24" s="626">
        <f t="shared" si="1"/>
        <v>0</v>
      </c>
      <c r="AB24" s="409" t="str">
        <f t="shared" si="2"/>
        <v xml:space="preserve">Ok </v>
      </c>
    </row>
    <row r="25" spans="1:28" ht="12.75" customHeight="1" x14ac:dyDescent="0.2">
      <c r="A25" s="457" t="s">
        <v>626</v>
      </c>
      <c r="B25" s="513"/>
      <c r="C25" s="513"/>
      <c r="E25" s="656">
        <f t="shared" si="0"/>
        <v>0</v>
      </c>
      <c r="F25" s="513"/>
      <c r="G25" s="513"/>
      <c r="H25" s="513"/>
      <c r="I25" s="513"/>
      <c r="J25" s="513"/>
      <c r="K25" s="513"/>
      <c r="L25" s="513"/>
      <c r="M25" s="513"/>
      <c r="N25" s="513"/>
      <c r="O25" s="513"/>
      <c r="P25" s="513"/>
      <c r="Q25" s="513"/>
      <c r="R25" s="513"/>
      <c r="S25" s="513"/>
      <c r="T25" s="513"/>
      <c r="U25" s="513"/>
      <c r="V25" s="513"/>
      <c r="W25" s="513"/>
      <c r="X25" s="513"/>
      <c r="Y25" s="513"/>
      <c r="Z25" s="513"/>
      <c r="AA25" s="626">
        <f t="shared" si="1"/>
        <v>0</v>
      </c>
      <c r="AB25" s="409" t="str">
        <f t="shared" si="2"/>
        <v xml:space="preserve">Ok </v>
      </c>
    </row>
    <row r="26" spans="1:28" ht="12.75" customHeight="1" x14ac:dyDescent="0.2">
      <c r="A26" s="457" t="s">
        <v>629</v>
      </c>
      <c r="B26" s="513"/>
      <c r="C26" s="513"/>
      <c r="E26" s="656">
        <f t="shared" si="0"/>
        <v>0</v>
      </c>
      <c r="F26" s="513"/>
      <c r="G26" s="513"/>
      <c r="H26" s="513"/>
      <c r="I26" s="513"/>
      <c r="J26" s="513"/>
      <c r="K26" s="513"/>
      <c r="L26" s="513"/>
      <c r="M26" s="513"/>
      <c r="N26" s="513"/>
      <c r="O26" s="513"/>
      <c r="P26" s="513"/>
      <c r="Q26" s="513"/>
      <c r="R26" s="513"/>
      <c r="S26" s="513"/>
      <c r="T26" s="513"/>
      <c r="U26" s="513"/>
      <c r="V26" s="513"/>
      <c r="W26" s="513"/>
      <c r="X26" s="513"/>
      <c r="Y26" s="513"/>
      <c r="Z26" s="513"/>
      <c r="AA26" s="626">
        <f t="shared" si="1"/>
        <v>0</v>
      </c>
      <c r="AB26" s="409" t="str">
        <f t="shared" si="2"/>
        <v xml:space="preserve">Ok </v>
      </c>
    </row>
    <row r="27" spans="1:28" ht="12.75" customHeight="1" x14ac:dyDescent="0.2">
      <c r="A27" s="457" t="s">
        <v>1075</v>
      </c>
      <c r="B27" s="513"/>
      <c r="C27" s="513"/>
      <c r="E27" s="656">
        <f t="shared" si="0"/>
        <v>0</v>
      </c>
      <c r="F27" s="513"/>
      <c r="G27" s="513"/>
      <c r="H27" s="513"/>
      <c r="I27" s="513"/>
      <c r="J27" s="513"/>
      <c r="K27" s="513"/>
      <c r="L27" s="513"/>
      <c r="M27" s="513"/>
      <c r="N27" s="513"/>
      <c r="O27" s="513"/>
      <c r="P27" s="513"/>
      <c r="Q27" s="513"/>
      <c r="R27" s="513"/>
      <c r="S27" s="513"/>
      <c r="T27" s="513"/>
      <c r="U27" s="513"/>
      <c r="V27" s="513"/>
      <c r="W27" s="513"/>
      <c r="X27" s="513"/>
      <c r="Y27" s="513"/>
      <c r="Z27" s="513"/>
      <c r="AA27" s="626">
        <f t="shared" si="1"/>
        <v>0</v>
      </c>
      <c r="AB27" s="409" t="str">
        <f t="shared" si="2"/>
        <v xml:space="preserve">Ok </v>
      </c>
    </row>
    <row r="28" spans="1:28" ht="12.75" customHeight="1" x14ac:dyDescent="0.2">
      <c r="A28" s="536" t="s">
        <v>314</v>
      </c>
      <c r="B28" s="515">
        <f>SUM(B12:B27)</f>
        <v>0</v>
      </c>
      <c r="C28" s="515">
        <f>SUM(C12:C27)</f>
        <v>0</v>
      </c>
      <c r="E28" s="515">
        <f t="shared" ref="E28:AA28" si="3">SUM(E12:E27)</f>
        <v>0</v>
      </c>
      <c r="F28" s="662">
        <f t="shared" si="3"/>
        <v>0</v>
      </c>
      <c r="G28" s="662">
        <f t="shared" si="3"/>
        <v>0</v>
      </c>
      <c r="H28" s="662">
        <f t="shared" si="3"/>
        <v>0</v>
      </c>
      <c r="I28" s="662">
        <f t="shared" si="3"/>
        <v>0</v>
      </c>
      <c r="J28" s="662">
        <f t="shared" si="3"/>
        <v>0</v>
      </c>
      <c r="K28" s="662">
        <f t="shared" si="3"/>
        <v>0</v>
      </c>
      <c r="L28" s="662">
        <f t="shared" si="3"/>
        <v>0</v>
      </c>
      <c r="M28" s="662">
        <f t="shared" si="3"/>
        <v>0</v>
      </c>
      <c r="N28" s="662">
        <f t="shared" si="3"/>
        <v>0</v>
      </c>
      <c r="O28" s="662">
        <f t="shared" si="3"/>
        <v>0</v>
      </c>
      <c r="P28" s="662">
        <f t="shared" si="3"/>
        <v>0</v>
      </c>
      <c r="Q28" s="662">
        <f t="shared" si="3"/>
        <v>0</v>
      </c>
      <c r="R28" s="662">
        <f t="shared" si="3"/>
        <v>0</v>
      </c>
      <c r="S28" s="662">
        <f t="shared" si="3"/>
        <v>0</v>
      </c>
      <c r="T28" s="662">
        <f t="shared" si="3"/>
        <v>0</v>
      </c>
      <c r="U28" s="662">
        <f t="shared" si="3"/>
        <v>0</v>
      </c>
      <c r="V28" s="662">
        <f t="shared" si="3"/>
        <v>0</v>
      </c>
      <c r="W28" s="662">
        <f t="shared" si="3"/>
        <v>0</v>
      </c>
      <c r="X28" s="662">
        <f t="shared" si="3"/>
        <v>0</v>
      </c>
      <c r="Y28" s="662">
        <f t="shared" si="3"/>
        <v>0</v>
      </c>
      <c r="Z28" s="662">
        <f t="shared" si="3"/>
        <v>0</v>
      </c>
      <c r="AA28" s="661">
        <f t="shared" si="3"/>
        <v>0</v>
      </c>
    </row>
    <row r="29" spans="1:28" ht="12.75" customHeight="1" x14ac:dyDescent="0.2">
      <c r="B29" s="499"/>
      <c r="C29" s="499"/>
      <c r="E29" s="459"/>
      <c r="F29" s="499"/>
      <c r="G29" s="499"/>
      <c r="H29" s="499"/>
      <c r="I29" s="499"/>
      <c r="J29" s="499"/>
      <c r="K29" s="499"/>
      <c r="L29" s="499"/>
      <c r="M29" s="499"/>
      <c r="N29" s="499"/>
      <c r="O29" s="499"/>
      <c r="P29" s="499"/>
      <c r="Q29" s="499"/>
      <c r="R29" s="499"/>
      <c r="S29" s="499"/>
      <c r="T29" s="499"/>
      <c r="U29" s="499"/>
      <c r="V29" s="499"/>
      <c r="W29" s="499"/>
      <c r="X29" s="499"/>
      <c r="Y29" s="499"/>
      <c r="Z29" s="499"/>
      <c r="AA29" s="640"/>
    </row>
    <row r="30" spans="1:28" ht="12.75" customHeight="1" x14ac:dyDescent="0.2">
      <c r="A30" s="457" t="s">
        <v>2368</v>
      </c>
      <c r="B30" s="513"/>
      <c r="C30" s="513"/>
      <c r="E30" s="656">
        <f>SUM(F30:Z30)</f>
        <v>0</v>
      </c>
      <c r="F30" s="513"/>
      <c r="G30" s="513"/>
      <c r="H30" s="513"/>
      <c r="I30" s="513"/>
      <c r="J30" s="513"/>
      <c r="K30" s="513"/>
      <c r="L30" s="513"/>
      <c r="M30" s="513"/>
      <c r="N30" s="513"/>
      <c r="O30" s="513"/>
      <c r="P30" s="513"/>
      <c r="Q30" s="513"/>
      <c r="R30" s="513"/>
      <c r="S30" s="513"/>
      <c r="T30" s="513"/>
      <c r="U30" s="513"/>
      <c r="V30" s="513"/>
      <c r="W30" s="513"/>
      <c r="X30" s="513"/>
      <c r="Y30" s="513"/>
      <c r="Z30" s="513"/>
      <c r="AA30" s="626">
        <f>B30-E30</f>
        <v>0</v>
      </c>
      <c r="AB30" s="409" t="str">
        <f>IF(B30&gt;=0,IF(E30&gt;=0,IF(B30&gt;=E30,"Ok ","Check size "),"Check sign"),IF(E30&gt;0,"Check sign ",IF(ABS(B30)&gt;=ABS(E30),"Ok ","Check size ")))</f>
        <v xml:space="preserve">Ok </v>
      </c>
    </row>
    <row r="31" spans="1:28" ht="12.75" customHeight="1" x14ac:dyDescent="0.2">
      <c r="A31" s="457" t="s">
        <v>782</v>
      </c>
      <c r="B31" s="513"/>
      <c r="C31" s="513"/>
      <c r="E31" s="656">
        <f>SUM(F31:Z31)</f>
        <v>0</v>
      </c>
      <c r="F31" s="513"/>
      <c r="G31" s="513"/>
      <c r="H31" s="513"/>
      <c r="I31" s="513"/>
      <c r="J31" s="513"/>
      <c r="K31" s="513"/>
      <c r="L31" s="513"/>
      <c r="M31" s="513"/>
      <c r="N31" s="513"/>
      <c r="O31" s="513"/>
      <c r="P31" s="513"/>
      <c r="Q31" s="513"/>
      <c r="R31" s="513"/>
      <c r="S31" s="513"/>
      <c r="T31" s="513"/>
      <c r="U31" s="513"/>
      <c r="V31" s="513"/>
      <c r="W31" s="513"/>
      <c r="X31" s="513"/>
      <c r="Y31" s="513"/>
      <c r="Z31" s="513"/>
      <c r="AA31" s="626">
        <f>B31-E31</f>
        <v>0</v>
      </c>
      <c r="AB31" s="409" t="str">
        <f>IF(B31&gt;=0,IF(E31&gt;=0,IF(B31&gt;=E31,"Ok ","Check size "),"Check sign"),IF(E31&gt;0,"Check sign ",IF(ABS(B31)&gt;=ABS(E31),"Ok ","Check size ")))</f>
        <v xml:space="preserve">Ok </v>
      </c>
    </row>
    <row r="32" spans="1:28" ht="25.5" x14ac:dyDescent="0.2">
      <c r="A32" s="587" t="s">
        <v>2369</v>
      </c>
      <c r="B32" s="513"/>
      <c r="C32" s="513"/>
      <c r="E32" s="656">
        <f>SUM(F32:Z32)</f>
        <v>0</v>
      </c>
      <c r="F32" s="513"/>
      <c r="G32" s="513"/>
      <c r="H32" s="513"/>
      <c r="I32" s="513"/>
      <c r="J32" s="513"/>
      <c r="K32" s="513"/>
      <c r="L32" s="513"/>
      <c r="M32" s="513"/>
      <c r="N32" s="513"/>
      <c r="O32" s="513"/>
      <c r="P32" s="513"/>
      <c r="Q32" s="513"/>
      <c r="R32" s="513"/>
      <c r="S32" s="513"/>
      <c r="T32" s="513"/>
      <c r="U32" s="513"/>
      <c r="V32" s="513"/>
      <c r="W32" s="513"/>
      <c r="X32" s="513"/>
      <c r="Y32" s="513"/>
      <c r="Z32" s="513"/>
      <c r="AA32" s="626">
        <f>B32-E32</f>
        <v>0</v>
      </c>
      <c r="AB32" s="409" t="str">
        <f>IF(B32&gt;=0,IF(E32&gt;=0,IF(B32&gt;=E32,"Ok ","Check size "),"Check sign"),IF(E32&gt;0,"Check sign ",IF(ABS(B32)&gt;=ABS(E32),"Ok ","Check size ")))</f>
        <v xml:space="preserve">Ok </v>
      </c>
    </row>
    <row r="33" spans="1:28" ht="12.75" customHeight="1" x14ac:dyDescent="0.2">
      <c r="A33" s="536" t="s">
        <v>1293</v>
      </c>
      <c r="B33" s="515">
        <f>SUM(B30:B32)</f>
        <v>0</v>
      </c>
      <c r="C33" s="515">
        <f>SUM(C30:C32)</f>
        <v>0</v>
      </c>
      <c r="E33" s="515">
        <f t="shared" ref="E33:Z33" si="4">SUM(E30:E32)</f>
        <v>0</v>
      </c>
      <c r="F33" s="662">
        <f t="shared" si="4"/>
        <v>0</v>
      </c>
      <c r="G33" s="662">
        <f t="shared" si="4"/>
        <v>0</v>
      </c>
      <c r="H33" s="662">
        <f t="shared" si="4"/>
        <v>0</v>
      </c>
      <c r="I33" s="662">
        <f t="shared" si="4"/>
        <v>0</v>
      </c>
      <c r="J33" s="662">
        <f t="shared" si="4"/>
        <v>0</v>
      </c>
      <c r="K33" s="662">
        <f t="shared" si="4"/>
        <v>0</v>
      </c>
      <c r="L33" s="662">
        <f t="shared" si="4"/>
        <v>0</v>
      </c>
      <c r="M33" s="662">
        <f t="shared" si="4"/>
        <v>0</v>
      </c>
      <c r="N33" s="662">
        <f t="shared" si="4"/>
        <v>0</v>
      </c>
      <c r="O33" s="662">
        <f t="shared" si="4"/>
        <v>0</v>
      </c>
      <c r="P33" s="662">
        <f t="shared" si="4"/>
        <v>0</v>
      </c>
      <c r="Q33" s="662">
        <f t="shared" si="4"/>
        <v>0</v>
      </c>
      <c r="R33" s="662">
        <f t="shared" si="4"/>
        <v>0</v>
      </c>
      <c r="S33" s="662">
        <f t="shared" si="4"/>
        <v>0</v>
      </c>
      <c r="T33" s="662">
        <f t="shared" si="4"/>
        <v>0</v>
      </c>
      <c r="U33" s="662">
        <f t="shared" si="4"/>
        <v>0</v>
      </c>
      <c r="V33" s="662">
        <f t="shared" si="4"/>
        <v>0</v>
      </c>
      <c r="W33" s="662">
        <f t="shared" si="4"/>
        <v>0</v>
      </c>
      <c r="X33" s="662">
        <f t="shared" si="4"/>
        <v>0</v>
      </c>
      <c r="Y33" s="662">
        <f t="shared" si="4"/>
        <v>0</v>
      </c>
      <c r="Z33" s="662">
        <f t="shared" si="4"/>
        <v>0</v>
      </c>
      <c r="AA33" s="640"/>
    </row>
    <row r="34" spans="1:28" ht="12.75" customHeight="1" x14ac:dyDescent="0.2">
      <c r="B34" s="499"/>
      <c r="C34" s="499"/>
      <c r="E34" s="459"/>
      <c r="F34" s="499"/>
      <c r="G34" s="499"/>
      <c r="H34" s="499"/>
      <c r="I34" s="499"/>
      <c r="J34" s="499"/>
      <c r="K34" s="499"/>
      <c r="L34" s="499"/>
      <c r="M34" s="499"/>
      <c r="N34" s="499"/>
      <c r="O34" s="499"/>
      <c r="P34" s="499"/>
      <c r="Q34" s="499"/>
      <c r="R34" s="499"/>
      <c r="S34" s="499"/>
      <c r="T34" s="499"/>
      <c r="U34" s="499"/>
      <c r="V34" s="499"/>
      <c r="W34" s="499"/>
      <c r="X34" s="499"/>
      <c r="Y34" s="499"/>
      <c r="Z34" s="499"/>
      <c r="AA34" s="640"/>
    </row>
    <row r="35" spans="1:28" ht="12.75" customHeight="1" x14ac:dyDescent="0.2">
      <c r="A35" s="457" t="s">
        <v>777</v>
      </c>
      <c r="B35" s="513"/>
      <c r="C35" s="513"/>
      <c r="E35" s="656">
        <f>SUM(F35:Z35)</f>
        <v>0</v>
      </c>
      <c r="F35" s="513"/>
      <c r="G35" s="513"/>
      <c r="H35" s="513"/>
      <c r="I35" s="513"/>
      <c r="J35" s="513"/>
      <c r="K35" s="513"/>
      <c r="L35" s="513"/>
      <c r="M35" s="513"/>
      <c r="N35" s="513"/>
      <c r="O35" s="513"/>
      <c r="P35" s="513"/>
      <c r="Q35" s="513"/>
      <c r="R35" s="513"/>
      <c r="S35" s="513"/>
      <c r="T35" s="513"/>
      <c r="U35" s="513"/>
      <c r="V35" s="513"/>
      <c r="W35" s="513"/>
      <c r="X35" s="513"/>
      <c r="Y35" s="513"/>
      <c r="Z35" s="513"/>
      <c r="AA35" s="626">
        <f>B35-E35</f>
        <v>0</v>
      </c>
      <c r="AB35" s="409" t="str">
        <f>IF(B35&gt;=0,IF(E35&gt;=0,IF(B35&gt;=E35,"Ok ","Check size "),"Check sign"),IF(E35&gt;0,"Check sign ",IF(ABS(B35)&gt;=ABS(E35),"Ok ","Check size ")))</f>
        <v xml:space="preserve">Ok </v>
      </c>
    </row>
    <row r="36" spans="1:28" ht="12.75" customHeight="1" x14ac:dyDescent="0.2">
      <c r="A36" s="536" t="s">
        <v>296</v>
      </c>
      <c r="B36" s="515">
        <f>SUM(B35)</f>
        <v>0</v>
      </c>
      <c r="C36" s="515">
        <f>SUM(C35)</f>
        <v>0</v>
      </c>
      <c r="E36" s="515">
        <f t="shared" ref="E36:AA36" si="5">SUM(E35)</f>
        <v>0</v>
      </c>
      <c r="F36" s="662">
        <f t="shared" si="5"/>
        <v>0</v>
      </c>
      <c r="G36" s="662">
        <f t="shared" si="5"/>
        <v>0</v>
      </c>
      <c r="H36" s="662">
        <f t="shared" si="5"/>
        <v>0</v>
      </c>
      <c r="I36" s="662">
        <f t="shared" si="5"/>
        <v>0</v>
      </c>
      <c r="J36" s="662">
        <f t="shared" si="5"/>
        <v>0</v>
      </c>
      <c r="K36" s="662">
        <f t="shared" si="5"/>
        <v>0</v>
      </c>
      <c r="L36" s="662">
        <f t="shared" si="5"/>
        <v>0</v>
      </c>
      <c r="M36" s="662">
        <f t="shared" si="5"/>
        <v>0</v>
      </c>
      <c r="N36" s="662">
        <f t="shared" si="5"/>
        <v>0</v>
      </c>
      <c r="O36" s="662">
        <f t="shared" si="5"/>
        <v>0</v>
      </c>
      <c r="P36" s="662">
        <f t="shared" si="5"/>
        <v>0</v>
      </c>
      <c r="Q36" s="662">
        <f t="shared" si="5"/>
        <v>0</v>
      </c>
      <c r="R36" s="662">
        <f t="shared" si="5"/>
        <v>0</v>
      </c>
      <c r="S36" s="662">
        <f t="shared" si="5"/>
        <v>0</v>
      </c>
      <c r="T36" s="662">
        <f t="shared" si="5"/>
        <v>0</v>
      </c>
      <c r="U36" s="662">
        <f t="shared" si="5"/>
        <v>0</v>
      </c>
      <c r="V36" s="662">
        <f t="shared" si="5"/>
        <v>0</v>
      </c>
      <c r="W36" s="662">
        <f t="shared" si="5"/>
        <v>0</v>
      </c>
      <c r="X36" s="662">
        <f t="shared" si="5"/>
        <v>0</v>
      </c>
      <c r="Y36" s="662">
        <f t="shared" si="5"/>
        <v>0</v>
      </c>
      <c r="Z36" s="662">
        <f t="shared" si="5"/>
        <v>0</v>
      </c>
      <c r="AA36" s="661">
        <f t="shared" si="5"/>
        <v>0</v>
      </c>
    </row>
    <row r="37" spans="1:28" ht="12.75" customHeight="1" x14ac:dyDescent="0.2">
      <c r="B37" s="499"/>
      <c r="C37" s="499"/>
      <c r="E37" s="459"/>
      <c r="F37" s="499"/>
      <c r="G37" s="499"/>
      <c r="H37" s="499"/>
      <c r="I37" s="499"/>
      <c r="J37" s="499"/>
      <c r="K37" s="499"/>
      <c r="L37" s="499"/>
      <c r="M37" s="499"/>
      <c r="N37" s="499"/>
      <c r="O37" s="499"/>
      <c r="P37" s="499"/>
      <c r="Q37" s="499"/>
      <c r="R37" s="499"/>
      <c r="S37" s="499"/>
      <c r="T37" s="499"/>
      <c r="U37" s="499"/>
      <c r="V37" s="499"/>
      <c r="W37" s="499"/>
      <c r="X37" s="499"/>
      <c r="Y37" s="499"/>
      <c r="Z37" s="499"/>
      <c r="AA37" s="660"/>
    </row>
    <row r="38" spans="1:28" ht="12.75" customHeight="1" x14ac:dyDescent="0.2">
      <c r="A38" s="536" t="s">
        <v>1292</v>
      </c>
      <c r="B38" s="457">
        <f>+B28+B33+B36</f>
        <v>0</v>
      </c>
      <c r="C38" s="457">
        <f>+C28+C33+C36</f>
        <v>0</v>
      </c>
      <c r="E38" s="457">
        <f t="shared" ref="E38:AA38" si="6">+E28+E33+E36</f>
        <v>0</v>
      </c>
      <c r="F38" s="457">
        <f t="shared" si="6"/>
        <v>0</v>
      </c>
      <c r="G38" s="457">
        <f t="shared" si="6"/>
        <v>0</v>
      </c>
      <c r="H38" s="457">
        <f t="shared" si="6"/>
        <v>0</v>
      </c>
      <c r="I38" s="457">
        <f t="shared" si="6"/>
        <v>0</v>
      </c>
      <c r="J38" s="457">
        <f t="shared" si="6"/>
        <v>0</v>
      </c>
      <c r="K38" s="457">
        <f t="shared" si="6"/>
        <v>0</v>
      </c>
      <c r="L38" s="457">
        <f t="shared" si="6"/>
        <v>0</v>
      </c>
      <c r="M38" s="457">
        <f t="shared" si="6"/>
        <v>0</v>
      </c>
      <c r="N38" s="457">
        <f t="shared" si="6"/>
        <v>0</v>
      </c>
      <c r="O38" s="457">
        <f t="shared" si="6"/>
        <v>0</v>
      </c>
      <c r="P38" s="457">
        <f t="shared" si="6"/>
        <v>0</v>
      </c>
      <c r="Q38" s="457">
        <f t="shared" si="6"/>
        <v>0</v>
      </c>
      <c r="R38" s="457">
        <f t="shared" si="6"/>
        <v>0</v>
      </c>
      <c r="S38" s="457">
        <f t="shared" si="6"/>
        <v>0</v>
      </c>
      <c r="T38" s="457">
        <f t="shared" si="6"/>
        <v>0</v>
      </c>
      <c r="U38" s="457">
        <f t="shared" si="6"/>
        <v>0</v>
      </c>
      <c r="V38" s="457">
        <f t="shared" si="6"/>
        <v>0</v>
      </c>
      <c r="W38" s="457">
        <f t="shared" si="6"/>
        <v>0</v>
      </c>
      <c r="X38" s="457">
        <f t="shared" si="6"/>
        <v>0</v>
      </c>
      <c r="Y38" s="457">
        <f t="shared" si="6"/>
        <v>0</v>
      </c>
      <c r="Z38" s="457">
        <f t="shared" si="6"/>
        <v>0</v>
      </c>
      <c r="AA38" s="640">
        <f t="shared" si="6"/>
        <v>0</v>
      </c>
    </row>
    <row r="39" spans="1:28" ht="12.75" customHeight="1" x14ac:dyDescent="0.2">
      <c r="A39" s="536"/>
      <c r="B39" s="510"/>
      <c r="C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640"/>
    </row>
    <row r="40" spans="1:28" ht="12.75" customHeight="1" x14ac:dyDescent="0.2">
      <c r="A40" s="536" t="s">
        <v>1287</v>
      </c>
      <c r="AA40" s="640"/>
    </row>
    <row r="41" spans="1:28" ht="12.75" customHeight="1" x14ac:dyDescent="0.2">
      <c r="A41" s="457" t="s">
        <v>783</v>
      </c>
      <c r="B41" s="513"/>
      <c r="C41" s="513"/>
      <c r="E41" s="656">
        <f t="shared" ref="E41:E46" si="7">SUM(F41:Z41)</f>
        <v>0</v>
      </c>
      <c r="F41" s="513"/>
      <c r="G41" s="513"/>
      <c r="H41" s="513"/>
      <c r="I41" s="513"/>
      <c r="J41" s="513"/>
      <c r="K41" s="513"/>
      <c r="L41" s="513"/>
      <c r="M41" s="513"/>
      <c r="N41" s="513"/>
      <c r="O41" s="513"/>
      <c r="P41" s="513"/>
      <c r="Q41" s="513"/>
      <c r="R41" s="513"/>
      <c r="S41" s="513"/>
      <c r="T41" s="513"/>
      <c r="U41" s="513"/>
      <c r="V41" s="513"/>
      <c r="W41" s="513"/>
      <c r="X41" s="513"/>
      <c r="Y41" s="513"/>
      <c r="Z41" s="513"/>
      <c r="AA41" s="626">
        <f t="shared" ref="AA41:AA46" si="8">B41-E41</f>
        <v>0</v>
      </c>
      <c r="AB41" s="409" t="str">
        <f t="shared" ref="AB41:AB47" si="9">IF(B41&gt;=0,IF(E41&gt;=0,IF(B41&gt;=E41,"Ok ","Check size "),"Check sign"),IF(E41&gt;0,"Check sign ",IF(ABS(B41)&gt;=ABS(E41),"Ok ","Check size ")))</f>
        <v xml:space="preserve">Ok </v>
      </c>
    </row>
    <row r="42" spans="1:28" ht="12.75" customHeight="1" x14ac:dyDescent="0.2">
      <c r="A42" s="457" t="s">
        <v>880</v>
      </c>
      <c r="B42" s="513"/>
      <c r="C42" s="513"/>
      <c r="E42" s="656">
        <f t="shared" si="7"/>
        <v>0</v>
      </c>
      <c r="F42" s="513"/>
      <c r="G42" s="513"/>
      <c r="H42" s="513"/>
      <c r="I42" s="513"/>
      <c r="J42" s="513"/>
      <c r="K42" s="513"/>
      <c r="L42" s="513"/>
      <c r="M42" s="513"/>
      <c r="N42" s="513"/>
      <c r="O42" s="513"/>
      <c r="P42" s="513"/>
      <c r="Q42" s="513"/>
      <c r="R42" s="513"/>
      <c r="S42" s="513"/>
      <c r="T42" s="513"/>
      <c r="U42" s="513"/>
      <c r="V42" s="513"/>
      <c r="W42" s="513"/>
      <c r="X42" s="513"/>
      <c r="Y42" s="513"/>
      <c r="Z42" s="513"/>
      <c r="AA42" s="626">
        <f t="shared" si="8"/>
        <v>0</v>
      </c>
      <c r="AB42" s="409" t="str">
        <f t="shared" si="9"/>
        <v xml:space="preserve">Ok </v>
      </c>
    </row>
    <row r="43" spans="1:28" ht="12.75" customHeight="1" x14ac:dyDescent="0.2">
      <c r="A43" s="457" t="s">
        <v>881</v>
      </c>
      <c r="B43" s="513"/>
      <c r="C43" s="513"/>
      <c r="E43" s="656">
        <f t="shared" si="7"/>
        <v>0</v>
      </c>
      <c r="F43" s="513"/>
      <c r="G43" s="513"/>
      <c r="H43" s="513"/>
      <c r="I43" s="513"/>
      <c r="J43" s="513"/>
      <c r="K43" s="513"/>
      <c r="L43" s="513"/>
      <c r="M43" s="513"/>
      <c r="N43" s="513"/>
      <c r="O43" s="513"/>
      <c r="P43" s="513"/>
      <c r="Q43" s="513"/>
      <c r="R43" s="513"/>
      <c r="S43" s="513"/>
      <c r="T43" s="513"/>
      <c r="U43" s="513"/>
      <c r="V43" s="513"/>
      <c r="W43" s="513"/>
      <c r="X43" s="513"/>
      <c r="Y43" s="513"/>
      <c r="Z43" s="513"/>
      <c r="AA43" s="626">
        <f t="shared" si="8"/>
        <v>0</v>
      </c>
      <c r="AB43" s="409" t="str">
        <f t="shared" si="9"/>
        <v xml:space="preserve">Ok </v>
      </c>
    </row>
    <row r="44" spans="1:28" ht="12.75" customHeight="1" x14ac:dyDescent="0.2">
      <c r="A44" s="457" t="s">
        <v>260</v>
      </c>
      <c r="B44" s="513"/>
      <c r="C44" s="513"/>
      <c r="E44" s="656">
        <f t="shared" si="7"/>
        <v>0</v>
      </c>
      <c r="F44" s="513"/>
      <c r="G44" s="513"/>
      <c r="H44" s="513"/>
      <c r="I44" s="513"/>
      <c r="J44" s="513"/>
      <c r="K44" s="513"/>
      <c r="L44" s="513"/>
      <c r="M44" s="513"/>
      <c r="N44" s="513"/>
      <c r="O44" s="513"/>
      <c r="P44" s="513"/>
      <c r="Q44" s="513"/>
      <c r="R44" s="513"/>
      <c r="S44" s="513"/>
      <c r="T44" s="513"/>
      <c r="U44" s="513"/>
      <c r="V44" s="513"/>
      <c r="W44" s="513"/>
      <c r="X44" s="513"/>
      <c r="Y44" s="513"/>
      <c r="Z44" s="513"/>
      <c r="AA44" s="626">
        <f t="shared" si="8"/>
        <v>0</v>
      </c>
      <c r="AB44" s="409" t="str">
        <f t="shared" si="9"/>
        <v xml:space="preserve">Ok </v>
      </c>
    </row>
    <row r="45" spans="1:28" ht="25.5" x14ac:dyDescent="0.2">
      <c r="A45" s="587" t="s">
        <v>2370</v>
      </c>
      <c r="B45" s="513"/>
      <c r="C45" s="513"/>
      <c r="E45" s="656">
        <f t="shared" si="7"/>
        <v>0</v>
      </c>
      <c r="F45" s="513"/>
      <c r="G45" s="513"/>
      <c r="H45" s="513"/>
      <c r="I45" s="513"/>
      <c r="J45" s="513"/>
      <c r="K45" s="513"/>
      <c r="L45" s="513"/>
      <c r="M45" s="513"/>
      <c r="N45" s="513"/>
      <c r="O45" s="513"/>
      <c r="P45" s="513"/>
      <c r="Q45" s="513"/>
      <c r="R45" s="513"/>
      <c r="S45" s="513"/>
      <c r="T45" s="513"/>
      <c r="U45" s="513"/>
      <c r="V45" s="513"/>
      <c r="W45" s="513"/>
      <c r="X45" s="513"/>
      <c r="Y45" s="513"/>
      <c r="Z45" s="513"/>
      <c r="AA45" s="626">
        <f t="shared" si="8"/>
        <v>0</v>
      </c>
      <c r="AB45" s="409" t="str">
        <f t="shared" si="9"/>
        <v xml:space="preserve">Ok </v>
      </c>
    </row>
    <row r="46" spans="1:28" ht="12.75" customHeight="1" x14ac:dyDescent="0.2">
      <c r="A46" s="457" t="s">
        <v>784</v>
      </c>
      <c r="B46" s="513"/>
      <c r="C46" s="513"/>
      <c r="E46" s="656">
        <f t="shared" si="7"/>
        <v>0</v>
      </c>
      <c r="F46" s="513"/>
      <c r="G46" s="513"/>
      <c r="H46" s="513"/>
      <c r="I46" s="513"/>
      <c r="J46" s="513"/>
      <c r="K46" s="513"/>
      <c r="L46" s="513"/>
      <c r="M46" s="513"/>
      <c r="N46" s="513"/>
      <c r="O46" s="513"/>
      <c r="P46" s="513"/>
      <c r="Q46" s="513"/>
      <c r="R46" s="513"/>
      <c r="S46" s="513"/>
      <c r="T46" s="513"/>
      <c r="U46" s="513"/>
      <c r="V46" s="513"/>
      <c r="W46" s="513"/>
      <c r="X46" s="513"/>
      <c r="Y46" s="513"/>
      <c r="Z46" s="513"/>
      <c r="AA46" s="626">
        <f t="shared" si="8"/>
        <v>0</v>
      </c>
      <c r="AB46" s="409" t="str">
        <f t="shared" si="9"/>
        <v xml:space="preserve">Ok </v>
      </c>
    </row>
    <row r="47" spans="1:28" ht="12.75" customHeight="1" x14ac:dyDescent="0.2">
      <c r="A47" s="536" t="s">
        <v>1291</v>
      </c>
      <c r="B47" s="659">
        <f>SUM(B41:B46)</f>
        <v>0</v>
      </c>
      <c r="C47" s="659">
        <f>SUM(C41:C46)</f>
        <v>0</v>
      </c>
      <c r="E47" s="659">
        <f t="shared" ref="E47:AA47" si="10">SUM(E41:E46)</f>
        <v>0</v>
      </c>
      <c r="F47" s="659">
        <f t="shared" si="10"/>
        <v>0</v>
      </c>
      <c r="G47" s="659">
        <f t="shared" si="10"/>
        <v>0</v>
      </c>
      <c r="H47" s="659">
        <f t="shared" si="10"/>
        <v>0</v>
      </c>
      <c r="I47" s="659">
        <f t="shared" si="10"/>
        <v>0</v>
      </c>
      <c r="J47" s="659">
        <f t="shared" si="10"/>
        <v>0</v>
      </c>
      <c r="K47" s="659">
        <f t="shared" si="10"/>
        <v>0</v>
      </c>
      <c r="L47" s="659">
        <f t="shared" si="10"/>
        <v>0</v>
      </c>
      <c r="M47" s="659">
        <f t="shared" si="10"/>
        <v>0</v>
      </c>
      <c r="N47" s="659">
        <f t="shared" si="10"/>
        <v>0</v>
      </c>
      <c r="O47" s="659">
        <f t="shared" si="10"/>
        <v>0</v>
      </c>
      <c r="P47" s="659">
        <f t="shared" si="10"/>
        <v>0</v>
      </c>
      <c r="Q47" s="659">
        <f t="shared" si="10"/>
        <v>0</v>
      </c>
      <c r="R47" s="659">
        <f t="shared" si="10"/>
        <v>0</v>
      </c>
      <c r="S47" s="659">
        <f t="shared" si="10"/>
        <v>0</v>
      </c>
      <c r="T47" s="659">
        <f t="shared" si="10"/>
        <v>0</v>
      </c>
      <c r="U47" s="659">
        <f t="shared" si="10"/>
        <v>0</v>
      </c>
      <c r="V47" s="659">
        <f t="shared" si="10"/>
        <v>0</v>
      </c>
      <c r="W47" s="659">
        <f t="shared" si="10"/>
        <v>0</v>
      </c>
      <c r="X47" s="659">
        <f t="shared" si="10"/>
        <v>0</v>
      </c>
      <c r="Y47" s="659">
        <f t="shared" si="10"/>
        <v>0</v>
      </c>
      <c r="Z47" s="659">
        <f t="shared" si="10"/>
        <v>0</v>
      </c>
      <c r="AA47" s="655">
        <f t="shared" si="10"/>
        <v>0</v>
      </c>
      <c r="AB47" s="409" t="str">
        <f t="shared" si="9"/>
        <v xml:space="preserve">Ok </v>
      </c>
    </row>
    <row r="48" spans="1:28" ht="12.75" customHeight="1" x14ac:dyDescent="0.2">
      <c r="A48" s="536"/>
      <c r="B48" s="510"/>
      <c r="C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640"/>
    </row>
    <row r="49" spans="1:28" ht="12.75" customHeight="1" x14ac:dyDescent="0.2">
      <c r="AA49" s="640"/>
    </row>
    <row r="50" spans="1:28" ht="12.75" customHeight="1" thickBot="1" x14ac:dyDescent="0.25">
      <c r="A50" s="536" t="s">
        <v>1290</v>
      </c>
      <c r="B50" s="523">
        <f>+B28+B33+B36+B47</f>
        <v>0</v>
      </c>
      <c r="C50" s="523">
        <f>+C28+C33+C36+C47</f>
        <v>0</v>
      </c>
      <c r="E50" s="523">
        <f t="shared" ref="E50:AA50" si="11">+E28+E33+E36+E47</f>
        <v>0</v>
      </c>
      <c r="F50" s="523">
        <f t="shared" si="11"/>
        <v>0</v>
      </c>
      <c r="G50" s="523">
        <f t="shared" si="11"/>
        <v>0</v>
      </c>
      <c r="H50" s="523">
        <f t="shared" si="11"/>
        <v>0</v>
      </c>
      <c r="I50" s="523">
        <f t="shared" si="11"/>
        <v>0</v>
      </c>
      <c r="J50" s="523">
        <f t="shared" si="11"/>
        <v>0</v>
      </c>
      <c r="K50" s="523">
        <f t="shared" si="11"/>
        <v>0</v>
      </c>
      <c r="L50" s="523">
        <f t="shared" si="11"/>
        <v>0</v>
      </c>
      <c r="M50" s="523">
        <f t="shared" si="11"/>
        <v>0</v>
      </c>
      <c r="N50" s="523">
        <f t="shared" si="11"/>
        <v>0</v>
      </c>
      <c r="O50" s="523">
        <f t="shared" si="11"/>
        <v>0</v>
      </c>
      <c r="P50" s="523">
        <f t="shared" si="11"/>
        <v>0</v>
      </c>
      <c r="Q50" s="523">
        <f t="shared" si="11"/>
        <v>0</v>
      </c>
      <c r="R50" s="523">
        <f t="shared" si="11"/>
        <v>0</v>
      </c>
      <c r="S50" s="523">
        <f t="shared" si="11"/>
        <v>0</v>
      </c>
      <c r="T50" s="523">
        <f t="shared" si="11"/>
        <v>0</v>
      </c>
      <c r="U50" s="523">
        <f t="shared" si="11"/>
        <v>0</v>
      </c>
      <c r="V50" s="523">
        <f t="shared" si="11"/>
        <v>0</v>
      </c>
      <c r="W50" s="523">
        <f t="shared" si="11"/>
        <v>0</v>
      </c>
      <c r="X50" s="523">
        <f t="shared" si="11"/>
        <v>0</v>
      </c>
      <c r="Y50" s="523">
        <f t="shared" si="11"/>
        <v>0</v>
      </c>
      <c r="Z50" s="523">
        <f t="shared" si="11"/>
        <v>0</v>
      </c>
      <c r="AA50" s="653">
        <f t="shared" si="11"/>
        <v>0</v>
      </c>
      <c r="AB50" s="409" t="str">
        <f>IF(B50&gt;=0,IF(E50&gt;=0,IF(B50&gt;=E50,"Ok ","Check size "),"Check sign"),IF(E50&gt;0,"Check sign ",IF(ABS(B50)&gt;=ABS(E50),"Ok ","Check size ")))</f>
        <v xml:space="preserve">Ok </v>
      </c>
    </row>
    <row r="51" spans="1:28" ht="12.75" customHeight="1" thickTop="1" x14ac:dyDescent="0.2">
      <c r="A51" s="536"/>
    </row>
    <row r="52" spans="1:28" ht="12.75" customHeight="1" x14ac:dyDescent="0.2">
      <c r="A52" s="536"/>
    </row>
    <row r="53" spans="1:28" ht="12.75" customHeight="1" x14ac:dyDescent="0.2">
      <c r="A53" s="658" t="s">
        <v>281</v>
      </c>
      <c r="B53" s="658"/>
      <c r="C53" s="658"/>
      <c r="F53" s="658"/>
      <c r="G53" s="658"/>
      <c r="H53" s="658"/>
      <c r="I53" s="658"/>
      <c r="J53" s="658"/>
      <c r="K53" s="658"/>
      <c r="L53" s="658"/>
      <c r="M53" s="658"/>
      <c r="N53" s="658"/>
      <c r="O53" s="658"/>
      <c r="P53" s="658"/>
      <c r="Q53" s="658"/>
      <c r="R53" s="658"/>
      <c r="S53" s="658"/>
      <c r="T53" s="658"/>
      <c r="U53" s="658"/>
      <c r="V53" s="658"/>
      <c r="W53" s="658"/>
      <c r="X53" s="658"/>
      <c r="Y53" s="658"/>
      <c r="Z53" s="658"/>
    </row>
    <row r="54" spans="1:28" ht="12.75" customHeight="1" x14ac:dyDescent="0.2">
      <c r="C54" s="658"/>
    </row>
    <row r="56" spans="1:28" ht="12.75" customHeight="1" x14ac:dyDescent="0.2">
      <c r="A56" s="457" t="s">
        <v>281</v>
      </c>
    </row>
    <row r="58" spans="1:28" ht="12.75" customHeight="1" x14ac:dyDescent="0.2">
      <c r="A58" s="457" t="s">
        <v>281</v>
      </c>
    </row>
    <row r="59" spans="1:28" ht="12.75" customHeight="1" x14ac:dyDescent="0.2">
      <c r="A59" s="536"/>
      <c r="B59" s="536"/>
      <c r="C59" s="536"/>
    </row>
    <row r="61" spans="1:28" ht="12.75" customHeight="1" x14ac:dyDescent="0.2">
      <c r="A61" s="657"/>
      <c r="B61" s="650"/>
      <c r="C61" s="650"/>
    </row>
    <row r="63" spans="1:28" ht="12.75" customHeight="1" x14ac:dyDescent="0.2">
      <c r="B63" s="536"/>
      <c r="C63" s="556"/>
    </row>
    <row r="64" spans="1:28" ht="12.75" customHeight="1" x14ac:dyDescent="0.2">
      <c r="A64" s="536"/>
      <c r="B64" s="558"/>
      <c r="C64" s="558"/>
    </row>
    <row r="65" spans="1:3" ht="12.75" customHeight="1" x14ac:dyDescent="0.2">
      <c r="A65" s="536"/>
      <c r="B65" s="556"/>
      <c r="C65" s="556"/>
    </row>
    <row r="66" spans="1:3" ht="12.75" customHeight="1" x14ac:dyDescent="0.2">
      <c r="A66" s="587"/>
    </row>
    <row r="67" spans="1:3" ht="12.75" customHeight="1" x14ac:dyDescent="0.2">
      <c r="A67" s="587"/>
    </row>
    <row r="72" spans="1:3" ht="12.75" customHeight="1" x14ac:dyDescent="0.2">
      <c r="B72" s="536"/>
      <c r="C72" s="536"/>
    </row>
    <row r="73" spans="1:3" ht="12.75" customHeight="1" x14ac:dyDescent="0.2">
      <c r="A73" s="587"/>
    </row>
    <row r="75" spans="1:3" ht="12.75" customHeight="1" x14ac:dyDescent="0.2">
      <c r="B75" s="536"/>
      <c r="C75" s="536"/>
    </row>
  </sheetData>
  <sheetProtection algorithmName="SHA-512" hashValue="IaeBgX/NiuSFN/iKMVTNoG74QLE2dUjqcM/6GBOGCANjj53TRGMDxC737R9pp9lJ6JMnb8180pdu9E2sf0OwAw==" saltValue="GFzAXtYCj7N+nFqtqIue5Q==" spinCount="100000" sheet="1" formatColumns="0" formatRows="0"/>
  <conditionalFormatting sqref="A3">
    <cfRule type="expression" dxfId="131" priority="9">
      <formula>CELL("Protect",A3)=0</formula>
    </cfRule>
  </conditionalFormatting>
  <conditionalFormatting sqref="B3">
    <cfRule type="expression" dxfId="130" priority="23">
      <formula>CELL("Protect",B3)=0</formula>
    </cfRule>
  </conditionalFormatting>
  <conditionalFormatting sqref="B12:C27">
    <cfRule type="expression" dxfId="129" priority="4">
      <formula>CELL("Protect",B12)=0</formula>
    </cfRule>
  </conditionalFormatting>
  <conditionalFormatting sqref="B30:C32">
    <cfRule type="expression" dxfId="128" priority="3">
      <formula>CELL("Protect",B30)=0</formula>
    </cfRule>
  </conditionalFormatting>
  <conditionalFormatting sqref="B35:C35">
    <cfRule type="expression" dxfId="127" priority="2">
      <formula>CELL("Protect",B35)=0</formula>
    </cfRule>
  </conditionalFormatting>
  <conditionalFormatting sqref="B41:C46">
    <cfRule type="expression" dxfId="126" priority="1">
      <formula>CELL("Protect",B41)=0</formula>
    </cfRule>
  </conditionalFormatting>
  <conditionalFormatting sqref="F12:Z27">
    <cfRule type="expression" dxfId="125" priority="13">
      <formula>CELL("Protect",F12)=0</formula>
    </cfRule>
  </conditionalFormatting>
  <conditionalFormatting sqref="F30:Z32">
    <cfRule type="expression" dxfId="124" priority="12">
      <formula>CELL("Protect",F30)=0</formula>
    </cfRule>
  </conditionalFormatting>
  <conditionalFormatting sqref="F35:Z35">
    <cfRule type="expression" dxfId="123" priority="11">
      <formula>CELL("Protect",F35)=0</formula>
    </cfRule>
  </conditionalFormatting>
  <conditionalFormatting sqref="F41:Z46">
    <cfRule type="expression" dxfId="122" priority="10">
      <formula>CELL("Protect",F41)=0</formula>
    </cfRule>
  </conditionalFormatting>
  <pageMargins left="0.74803149606299213" right="0.74803149606299213" top="0.59055118110236227" bottom="0.59055118110236227" header="0.51181102362204722" footer="0.51181102362204722"/>
  <pageSetup paperSize="9" scale="49" orientation="portrait" r:id="rId1"/>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8">
    <tabColor rgb="FFFFFF00"/>
    <pageSetUpPr fitToPage="1"/>
  </sheetPr>
  <dimension ref="A1:O76"/>
  <sheetViews>
    <sheetView zoomScaleNormal="100" workbookViewId="0">
      <pane xSplit="8" ySplit="7" topLeftCell="I8" activePane="bottomRight" state="frozen"/>
      <selection activeCell="F19" sqref="F19"/>
      <selection pane="topRight" activeCell="F19" sqref="F19"/>
      <selection pane="bottomLeft" activeCell="F19" sqref="F19"/>
      <selection pane="bottomRight" activeCell="I8" sqref="I8"/>
    </sheetView>
  </sheetViews>
  <sheetFormatPr defaultColWidth="9.140625" defaultRowHeight="12.75" x14ac:dyDescent="0.2"/>
  <cols>
    <col min="1" max="1" width="42.7109375" style="397" customWidth="1"/>
    <col min="2" max="2" width="19" style="397" customWidth="1"/>
    <col min="3" max="3" width="18.42578125" style="397" customWidth="1"/>
    <col min="4" max="4" width="13.5703125" style="397" customWidth="1"/>
    <col min="5" max="6" width="16.140625" style="397" customWidth="1"/>
    <col min="7" max="7" width="17.28515625" style="397" customWidth="1"/>
    <col min="8" max="8" width="13" style="397" customWidth="1"/>
    <col min="9" max="9" width="15.28515625" style="397" customWidth="1"/>
    <col min="10" max="10" width="13" style="397" customWidth="1"/>
    <col min="11" max="11" width="5.140625" style="397" customWidth="1"/>
    <col min="12" max="12" width="14" style="397" customWidth="1"/>
    <col min="13" max="13" width="57" style="397" customWidth="1"/>
    <col min="14" max="14" width="11.28515625" style="397" customWidth="1"/>
    <col min="15" max="16384" width="9.140625" style="397"/>
  </cols>
  <sheetData>
    <row r="1" spans="1:15" ht="14.65" customHeight="1" x14ac:dyDescent="0.2">
      <c r="A1" s="416" t="str">
        <f>'alb Instructions'!$B$20</f>
        <v>enter HSC Body name here</v>
      </c>
      <c r="B1" s="449"/>
      <c r="C1" s="449"/>
      <c r="D1" s="449"/>
      <c r="E1" s="449"/>
      <c r="F1" s="449"/>
      <c r="G1" s="449"/>
      <c r="H1" s="449"/>
      <c r="J1" s="449"/>
    </row>
    <row r="2" spans="1:15" x14ac:dyDescent="0.2">
      <c r="A2" s="388"/>
      <c r="B2" s="388"/>
      <c r="C2" s="388"/>
      <c r="D2" s="388"/>
    </row>
    <row r="3" spans="1:15" x14ac:dyDescent="0.2">
      <c r="A3" s="416" t="str">
        <f>"NOTES TO THE ACCOUNTS FOR THE YEAR ENDED"&amp;Update!$B$22</f>
        <v>NOTES TO THE ACCOUNTS FOR THE YEAR ENDED 31 March 2026</v>
      </c>
      <c r="B3" s="388"/>
      <c r="C3" s="388"/>
      <c r="D3" s="388"/>
    </row>
    <row r="4" spans="1:15" x14ac:dyDescent="0.2">
      <c r="A4" s="388"/>
      <c r="B4" s="388"/>
      <c r="C4" s="388"/>
      <c r="D4" s="388"/>
      <c r="H4" s="671" t="s">
        <v>1869</v>
      </c>
    </row>
    <row r="5" spans="1:15" x14ac:dyDescent="0.2">
      <c r="A5" s="388" t="str">
        <f>"NOTE 14 PROVISIONS FOR LIABILITIES AND CHARGES - "&amp;Update!$B$38</f>
        <v>NOTE 14 PROVISIONS FOR LIABILITIES AND CHARGES - 2026</v>
      </c>
      <c r="H5" s="461" t="s">
        <v>472</v>
      </c>
      <c r="I5" s="671" t="s">
        <v>1218</v>
      </c>
      <c r="J5" s="461" t="s">
        <v>604</v>
      </c>
      <c r="L5" s="388" t="s">
        <v>1297</v>
      </c>
      <c r="M5" s="388"/>
    </row>
    <row r="6" spans="1:15" s="453" customFormat="1" ht="40.5" customHeight="1" x14ac:dyDescent="0.2">
      <c r="B6" s="670" t="s">
        <v>831</v>
      </c>
      <c r="C6" s="670" t="s">
        <v>832</v>
      </c>
      <c r="D6" s="670" t="s">
        <v>815</v>
      </c>
      <c r="E6" s="670" t="s">
        <v>1296</v>
      </c>
      <c r="F6" s="463" t="s">
        <v>2830</v>
      </c>
      <c r="G6" s="670" t="s">
        <v>181</v>
      </c>
      <c r="H6" s="669">
        <f>Update!$B$38</f>
        <v>2026</v>
      </c>
      <c r="I6" s="669" t="s">
        <v>938</v>
      </c>
      <c r="J6" s="669">
        <f>H6</f>
        <v>2026</v>
      </c>
      <c r="K6" s="464"/>
      <c r="L6" s="414" t="s">
        <v>146</v>
      </c>
      <c r="M6" s="414" t="s">
        <v>1295</v>
      </c>
      <c r="N6" s="412" t="s">
        <v>932</v>
      </c>
      <c r="O6" s="412" t="s">
        <v>63</v>
      </c>
    </row>
    <row r="7" spans="1:15" ht="15" x14ac:dyDescent="0.2">
      <c r="B7" s="468" t="s">
        <v>493</v>
      </c>
      <c r="C7" s="468" t="s">
        <v>493</v>
      </c>
      <c r="D7" s="468" t="s">
        <v>493</v>
      </c>
      <c r="E7" s="468" t="s">
        <v>493</v>
      </c>
      <c r="F7" s="468" t="s">
        <v>493</v>
      </c>
      <c r="G7" s="468" t="s">
        <v>493</v>
      </c>
      <c r="H7" s="468" t="s">
        <v>493</v>
      </c>
      <c r="I7" s="468" t="s">
        <v>493</v>
      </c>
      <c r="J7" s="468" t="s">
        <v>493</v>
      </c>
      <c r="K7" s="468"/>
      <c r="L7" s="414" t="s">
        <v>493</v>
      </c>
      <c r="M7" s="414"/>
      <c r="N7" s="508" t="s">
        <v>62</v>
      </c>
      <c r="O7" s="508"/>
    </row>
    <row r="12" spans="1:15" x14ac:dyDescent="0.2">
      <c r="A12" s="388" t="str">
        <f>"Balance at"&amp;Update!B20</f>
        <v>Balance at 1 April 2025</v>
      </c>
      <c r="B12" s="459">
        <f>'alb Note 14 - Provisions PY'!B22</f>
        <v>0</v>
      </c>
      <c r="C12" s="459">
        <f>'alb Note 14 - Provisions PY'!C22</f>
        <v>0</v>
      </c>
      <c r="D12" s="459">
        <f>'alb Note 14 - Provisions PY'!D22</f>
        <v>0</v>
      </c>
      <c r="E12" s="459">
        <f>'alb Note 14 - Provisions PY'!E22</f>
        <v>0</v>
      </c>
      <c r="F12" s="459">
        <f>'alb Note 14 - Provisions PY'!F22</f>
        <v>0</v>
      </c>
      <c r="G12" s="459">
        <f>'alb Note 14 - Provisions PY'!G22</f>
        <v>0</v>
      </c>
      <c r="H12" s="457">
        <f>SUM(B12:G12)</f>
        <v>0</v>
      </c>
      <c r="I12" s="459">
        <f>'alb Note 14 - Provisions PY'!I22</f>
        <v>0</v>
      </c>
      <c r="J12" s="457">
        <f>SUM(H12:I12)</f>
        <v>0</v>
      </c>
      <c r="K12" s="500"/>
      <c r="N12" s="500"/>
    </row>
    <row r="13" spans="1:15" x14ac:dyDescent="0.2">
      <c r="A13" s="388"/>
      <c r="B13" s="459"/>
      <c r="C13" s="459"/>
      <c r="D13" s="459"/>
      <c r="E13" s="459"/>
      <c r="F13" s="459"/>
      <c r="G13" s="459"/>
      <c r="H13" s="457"/>
      <c r="I13" s="457"/>
      <c r="J13" s="457"/>
      <c r="K13" s="500"/>
      <c r="N13" s="500"/>
    </row>
    <row r="14" spans="1:15" x14ac:dyDescent="0.2">
      <c r="A14" s="397" t="s">
        <v>2495</v>
      </c>
      <c r="B14" s="513"/>
      <c r="C14" s="513"/>
      <c r="D14" s="1037"/>
      <c r="E14" s="1037"/>
      <c r="F14" s="1037"/>
      <c r="G14" s="1037"/>
      <c r="H14" s="457">
        <f>SUM(B14:G14)</f>
        <v>0</v>
      </c>
      <c r="I14" s="513"/>
      <c r="J14" s="457">
        <f>SUM(H14:I14)</f>
        <v>0</v>
      </c>
      <c r="K14" s="500"/>
      <c r="L14" s="513"/>
      <c r="M14" s="513"/>
      <c r="N14" s="663">
        <f>J14-L14</f>
        <v>0</v>
      </c>
      <c r="O14" s="409" t="str">
        <f>IF(H14&gt;=0,IF(L14&gt;=0,IF(H14&gt;=L14,"Ok ","Check size "),"Check sign"),IF(L14&gt;0,"Check sign ",IF(ABS(H14)&gt;=ABS(L14),"Ok ","Check size ")))</f>
        <v xml:space="preserve">Ok </v>
      </c>
    </row>
    <row r="15" spans="1:15" x14ac:dyDescent="0.2">
      <c r="B15" s="457"/>
      <c r="C15" s="457"/>
      <c r="D15" s="457"/>
      <c r="E15" s="457"/>
      <c r="F15" s="457"/>
      <c r="G15" s="457"/>
      <c r="H15" s="457"/>
      <c r="I15" s="457"/>
      <c r="J15" s="457"/>
      <c r="K15" s="500"/>
      <c r="L15" s="500"/>
      <c r="N15" s="500"/>
    </row>
    <row r="16" spans="1:15" x14ac:dyDescent="0.2">
      <c r="A16" s="397" t="s">
        <v>791</v>
      </c>
      <c r="B16" s="513"/>
      <c r="C16" s="513"/>
      <c r="D16" s="1037"/>
      <c r="E16" s="1037"/>
      <c r="F16" s="1037"/>
      <c r="G16" s="1037"/>
      <c r="H16" s="457">
        <f>SUM(B16:G16)</f>
        <v>0</v>
      </c>
      <c r="I16" s="513"/>
      <c r="J16" s="457">
        <f>SUM(H16:I16)</f>
        <v>0</v>
      </c>
      <c r="K16" s="500"/>
      <c r="L16" s="513"/>
      <c r="M16" s="513"/>
      <c r="N16" s="663">
        <f>J16-L16</f>
        <v>0</v>
      </c>
      <c r="O16" s="409" t="str">
        <f>IF(H16&gt;=0,IF(L16&gt;=0,IF(H16&gt;=L16,"Ok ","Check size "),"Check sign"),IF(L16&gt;0,"Check sign ",IF(ABS(H16)&gt;=ABS(L16),"Ok ","Check size ")))</f>
        <v xml:space="preserve">Ok </v>
      </c>
    </row>
    <row r="17" spans="1:15" x14ac:dyDescent="0.2">
      <c r="B17" s="457"/>
      <c r="C17" s="457"/>
      <c r="D17" s="457"/>
      <c r="E17" s="457"/>
      <c r="F17" s="457"/>
      <c r="G17" s="457"/>
      <c r="H17" s="457"/>
      <c r="I17" s="457"/>
      <c r="J17" s="457"/>
      <c r="K17" s="500"/>
      <c r="L17" s="500"/>
      <c r="N17" s="500"/>
    </row>
    <row r="18" spans="1:15" ht="15" customHeight="1" x14ac:dyDescent="0.2">
      <c r="A18" s="672" t="s">
        <v>792</v>
      </c>
      <c r="B18" s="513"/>
      <c r="C18" s="513"/>
      <c r="D18" s="513"/>
      <c r="E18" s="513"/>
      <c r="F18" s="513"/>
      <c r="G18" s="513"/>
      <c r="H18" s="457">
        <f>SUM(B18:G18)</f>
        <v>0</v>
      </c>
      <c r="I18" s="513"/>
      <c r="J18" s="457">
        <f>SUM(H18:I18)</f>
        <v>0</v>
      </c>
      <c r="K18" s="500"/>
      <c r="L18" s="513"/>
      <c r="M18" s="513"/>
      <c r="N18" s="663">
        <f>J18-L18</f>
        <v>0</v>
      </c>
      <c r="O18" s="409" t="str">
        <f>IF(H18&gt;=0,IF(L18&gt;=0,IF(H18&gt;=L18,"Ok ","Check size "),"Check sign"),IF(L18&gt;0,"Check sign ",IF(ABS(H18)&gt;=ABS(L18),"Ok ","Check size ")))</f>
        <v xml:space="preserve">Ok </v>
      </c>
    </row>
    <row r="19" spans="1:15" ht="15" customHeight="1" x14ac:dyDescent="0.2">
      <c r="A19" s="672"/>
      <c r="B19" s="457"/>
      <c r="C19" s="457"/>
      <c r="D19" s="457"/>
      <c r="E19" s="457"/>
      <c r="F19" s="457"/>
      <c r="G19" s="457"/>
      <c r="H19" s="457"/>
      <c r="I19" s="457"/>
      <c r="J19" s="457"/>
      <c r="K19" s="500"/>
      <c r="N19" s="500"/>
    </row>
    <row r="20" spans="1:15" x14ac:dyDescent="0.2">
      <c r="A20" s="436" t="s">
        <v>793</v>
      </c>
      <c r="B20" s="513"/>
      <c r="C20" s="513"/>
      <c r="D20" s="513"/>
      <c r="E20" s="513"/>
      <c r="F20" s="513"/>
      <c r="G20" s="513"/>
      <c r="H20" s="457">
        <f>SUM(B20:G20)</f>
        <v>0</v>
      </c>
      <c r="I20" s="513"/>
      <c r="J20" s="457">
        <f>SUM(H20:I20)</f>
        <v>0</v>
      </c>
      <c r="K20" s="500"/>
      <c r="L20" s="513"/>
      <c r="M20" s="513"/>
      <c r="N20" s="663">
        <f>J20-L20</f>
        <v>0</v>
      </c>
      <c r="O20" s="409" t="str">
        <f>IF(H20&gt;=0,IF(L20&gt;=0,IF(H20&gt;=L20,"Ok ","Check size "),"Check sign"),IF(L20&gt;0,"Check sign ",IF(ABS(H20)&gt;=ABS(L20),"Ok ","Check size ")))</f>
        <v xml:space="preserve">Ok </v>
      </c>
    </row>
    <row r="21" spans="1:15" x14ac:dyDescent="0.2">
      <c r="A21" s="436"/>
      <c r="B21" s="457"/>
      <c r="C21" s="457"/>
      <c r="D21" s="457"/>
      <c r="E21" s="457"/>
      <c r="F21" s="457"/>
      <c r="G21" s="457"/>
      <c r="H21" s="457"/>
      <c r="I21" s="457"/>
      <c r="J21" s="457"/>
      <c r="K21" s="500"/>
      <c r="N21" s="500"/>
    </row>
    <row r="22" spans="1:15" x14ac:dyDescent="0.2">
      <c r="A22" s="672" t="s">
        <v>794</v>
      </c>
      <c r="B22" s="513"/>
      <c r="C22" s="513"/>
      <c r="D22" s="513"/>
      <c r="E22" s="513"/>
      <c r="F22" s="513"/>
      <c r="G22" s="513"/>
      <c r="H22" s="457">
        <f>SUM(B22:G22)</f>
        <v>0</v>
      </c>
      <c r="I22" s="513"/>
      <c r="J22" s="457">
        <f>SUM(H22:I22)</f>
        <v>0</v>
      </c>
      <c r="K22" s="500"/>
      <c r="L22" s="513"/>
      <c r="M22" s="513"/>
      <c r="N22" s="663">
        <f>J22-L22</f>
        <v>0</v>
      </c>
      <c r="O22" s="409" t="str">
        <f>IF(H22&gt;=0,IF(L22&gt;=0,IF(H22&gt;=L22,"Ok ","Check size "),"Check sign"),IF(L22&gt;0,"Check sign ",IF(ABS(H22)&gt;=ABS(L22),"Ok ","Check size ")))</f>
        <v xml:space="preserve">Ok </v>
      </c>
    </row>
    <row r="23" spans="1:15" x14ac:dyDescent="0.2">
      <c r="A23" s="672"/>
      <c r="B23" s="457"/>
      <c r="C23" s="457"/>
      <c r="D23" s="457"/>
      <c r="E23" s="457"/>
      <c r="F23" s="457"/>
      <c r="G23" s="457"/>
      <c r="H23" s="457"/>
      <c r="I23" s="457"/>
      <c r="J23" s="457"/>
      <c r="K23" s="500"/>
      <c r="N23" s="500"/>
    </row>
    <row r="24" spans="1:15" ht="13.5" thickBot="1" x14ac:dyDescent="0.25">
      <c r="A24" s="416" t="str">
        <f>"At"&amp;Update!B22</f>
        <v>At 31 March 2026</v>
      </c>
      <c r="B24" s="523">
        <f t="shared" ref="B24:J24" si="0">SUM(B12:B22)</f>
        <v>0</v>
      </c>
      <c r="C24" s="523">
        <f t="shared" si="0"/>
        <v>0</v>
      </c>
      <c r="D24" s="523">
        <f>SUM(D12:D22)</f>
        <v>0</v>
      </c>
      <c r="E24" s="523">
        <f t="shared" si="0"/>
        <v>0</v>
      </c>
      <c r="F24" s="523">
        <f t="shared" si="0"/>
        <v>0</v>
      </c>
      <c r="G24" s="523">
        <f t="shared" si="0"/>
        <v>0</v>
      </c>
      <c r="H24" s="523">
        <f t="shared" si="0"/>
        <v>0</v>
      </c>
      <c r="I24" s="523">
        <f t="shared" si="0"/>
        <v>0</v>
      </c>
      <c r="J24" s="523">
        <f t="shared" si="0"/>
        <v>0</v>
      </c>
      <c r="K24" s="571"/>
      <c r="L24" s="523">
        <f>SUM(L12:L22)</f>
        <v>0</v>
      </c>
      <c r="N24" s="523">
        <f>SUM(N12:N22)</f>
        <v>0</v>
      </c>
      <c r="O24" s="409" t="str">
        <f>IF(H24&gt;=0,IF(L24&gt;=0,IF(H24&gt;=L24,"Ok ","Check size "),"Check sign"),IF(L24&gt;0,"Check sign ",IF(ABS(H24)&gt;=ABS(L24),"Ok ","Check size ")))</f>
        <v xml:space="preserve">Ok </v>
      </c>
    </row>
    <row r="25" spans="1:15" ht="13.5" thickTop="1" x14ac:dyDescent="0.2">
      <c r="A25" s="436"/>
      <c r="B25" s="536"/>
      <c r="C25" s="536"/>
      <c r="D25" s="536"/>
      <c r="E25" s="536"/>
      <c r="F25" s="536"/>
      <c r="G25" s="536"/>
      <c r="H25" s="536"/>
      <c r="I25" s="536"/>
      <c r="J25" s="536"/>
      <c r="K25" s="536"/>
      <c r="L25" s="536"/>
    </row>
    <row r="26" spans="1:15" x14ac:dyDescent="0.2">
      <c r="C26" s="510"/>
      <c r="D26" s="671" t="s">
        <v>1869</v>
      </c>
      <c r="E26" s="510"/>
      <c r="F26" s="510"/>
      <c r="G26" s="510"/>
      <c r="H26" s="510"/>
      <c r="I26" s="510"/>
      <c r="J26" s="510"/>
      <c r="K26" s="536"/>
      <c r="L26" s="536"/>
    </row>
    <row r="27" spans="1:15" x14ac:dyDescent="0.2">
      <c r="B27" s="536"/>
      <c r="C27" s="536"/>
      <c r="D27" s="536" t="s">
        <v>1044</v>
      </c>
      <c r="E27" s="671" t="s">
        <v>1218</v>
      </c>
      <c r="F27" s="671"/>
      <c r="G27" s="556" t="s">
        <v>604</v>
      </c>
      <c r="H27" s="536"/>
      <c r="I27" s="536"/>
      <c r="J27" s="536"/>
      <c r="K27" s="536"/>
      <c r="L27" s="536"/>
    </row>
    <row r="28" spans="1:15" x14ac:dyDescent="0.2">
      <c r="A28" s="416" t="s">
        <v>1301</v>
      </c>
      <c r="B28" s="536"/>
      <c r="C28" s="536"/>
      <c r="D28" s="518">
        <f>H6</f>
        <v>2026</v>
      </c>
      <c r="E28" s="518">
        <f>D28</f>
        <v>2026</v>
      </c>
      <c r="F28" s="518">
        <f>E28</f>
        <v>2026</v>
      </c>
      <c r="G28" s="518">
        <f>J6</f>
        <v>2026</v>
      </c>
      <c r="H28" s="518">
        <f>+D28-1</f>
        <v>2025</v>
      </c>
      <c r="I28" s="518"/>
      <c r="J28" s="518"/>
      <c r="K28" s="536"/>
      <c r="L28" s="536"/>
    </row>
    <row r="29" spans="1:15" x14ac:dyDescent="0.2">
      <c r="A29" s="436"/>
      <c r="B29" s="536"/>
      <c r="C29" s="536"/>
      <c r="D29" s="468" t="s">
        <v>493</v>
      </c>
      <c r="E29" s="468" t="s">
        <v>493</v>
      </c>
      <c r="F29" s="468" t="s">
        <v>493</v>
      </c>
      <c r="G29" s="468" t="s">
        <v>493</v>
      </c>
      <c r="H29" s="468" t="s">
        <v>62</v>
      </c>
      <c r="I29" s="468"/>
      <c r="J29" s="468"/>
      <c r="K29" s="536"/>
      <c r="L29" s="536"/>
    </row>
    <row r="30" spans="1:15" x14ac:dyDescent="0.2">
      <c r="A30" s="436"/>
      <c r="B30" s="536"/>
      <c r="C30" s="536"/>
      <c r="D30" s="536"/>
      <c r="G30" s="536"/>
      <c r="H30" s="536"/>
      <c r="I30" s="536"/>
      <c r="J30" s="536"/>
      <c r="K30" s="536"/>
      <c r="L30" s="536"/>
    </row>
    <row r="31" spans="1:15" x14ac:dyDescent="0.2">
      <c r="A31" s="436"/>
      <c r="B31" s="457" t="s">
        <v>1300</v>
      </c>
      <c r="C31" s="536"/>
      <c r="D31" s="457">
        <f>H16</f>
        <v>0</v>
      </c>
      <c r="E31" s="457">
        <f>I16</f>
        <v>0</v>
      </c>
      <c r="F31" s="457">
        <f>J16</f>
        <v>0</v>
      </c>
      <c r="G31" s="457">
        <f>J16</f>
        <v>0</v>
      </c>
      <c r="H31" s="457">
        <f>'alb Note 14 - Provisions PY'!H14</f>
        <v>0</v>
      </c>
      <c r="I31" s="457"/>
      <c r="J31" s="457"/>
      <c r="K31" s="536"/>
      <c r="L31" s="536"/>
    </row>
    <row r="32" spans="1:15" x14ac:dyDescent="0.2">
      <c r="A32" s="436"/>
      <c r="B32" s="457" t="s">
        <v>1299</v>
      </c>
      <c r="C32" s="536"/>
      <c r="D32" s="457">
        <f>H18</f>
        <v>0</v>
      </c>
      <c r="E32" s="457">
        <f>I18</f>
        <v>0</v>
      </c>
      <c r="F32" s="457">
        <f>J18</f>
        <v>0</v>
      </c>
      <c r="G32" s="457">
        <f>J18</f>
        <v>0</v>
      </c>
      <c r="H32" s="457">
        <f>'alb Note 14 - Provisions PY'!H16</f>
        <v>0</v>
      </c>
      <c r="I32" s="457"/>
      <c r="J32" s="457"/>
      <c r="K32" s="536"/>
      <c r="L32" s="536"/>
    </row>
    <row r="33" spans="1:15" x14ac:dyDescent="0.2">
      <c r="A33" s="436"/>
      <c r="B33" s="2152" t="s">
        <v>794</v>
      </c>
      <c r="C33" s="2152"/>
      <c r="D33" s="457">
        <f>H22</f>
        <v>0</v>
      </c>
      <c r="E33" s="457">
        <f>I22</f>
        <v>0</v>
      </c>
      <c r="F33" s="457">
        <f>J22</f>
        <v>0</v>
      </c>
      <c r="G33" s="457">
        <f>J22</f>
        <v>0</v>
      </c>
      <c r="H33" s="457">
        <f>'alb Note 14 - Provisions PY'!H20</f>
        <v>0</v>
      </c>
      <c r="I33" s="457"/>
      <c r="J33" s="457"/>
      <c r="K33" s="536"/>
      <c r="L33" s="536"/>
    </row>
    <row r="34" spans="1:15" x14ac:dyDescent="0.2">
      <c r="A34" s="436"/>
      <c r="B34" s="457"/>
      <c r="C34" s="536"/>
      <c r="D34" s="457"/>
      <c r="E34" s="457"/>
      <c r="F34" s="457"/>
      <c r="G34" s="457"/>
      <c r="H34" s="457"/>
      <c r="I34" s="457"/>
      <c r="J34" s="457"/>
      <c r="K34" s="536"/>
      <c r="L34" s="536"/>
    </row>
    <row r="35" spans="1:15" ht="13.5" thickBot="1" x14ac:dyDescent="0.25">
      <c r="A35" s="436"/>
      <c r="B35" s="536" t="s">
        <v>1298</v>
      </c>
      <c r="C35" s="536"/>
      <c r="D35" s="523">
        <f>SUM(D31:D33)</f>
        <v>0</v>
      </c>
      <c r="E35" s="523">
        <f>SUM(E31:E33)</f>
        <v>0</v>
      </c>
      <c r="F35" s="523">
        <f>SUM(F31:F33)</f>
        <v>0</v>
      </c>
      <c r="G35" s="523">
        <f>SUM(G31:G33)</f>
        <v>0</v>
      </c>
      <c r="H35" s="523">
        <f>SUM(H31:H33)</f>
        <v>0</v>
      </c>
      <c r="I35" s="457"/>
      <c r="J35" s="457"/>
      <c r="K35" s="457"/>
      <c r="L35" s="457"/>
      <c r="M35" s="457"/>
    </row>
    <row r="36" spans="1:15" ht="13.5" thickTop="1" x14ac:dyDescent="0.2">
      <c r="A36" s="436"/>
      <c r="B36" s="536"/>
      <c r="C36" s="536"/>
      <c r="D36" s="536"/>
      <c r="E36" s="536"/>
      <c r="F36" s="536"/>
      <c r="G36" s="536"/>
      <c r="H36" s="457"/>
      <c r="I36" s="457"/>
      <c r="J36" s="457"/>
      <c r="K36" s="457"/>
      <c r="L36" s="457"/>
      <c r="M36" s="457"/>
    </row>
    <row r="37" spans="1:15" x14ac:dyDescent="0.2">
      <c r="A37" s="436"/>
      <c r="B37" s="536"/>
      <c r="C37" s="536"/>
      <c r="D37" s="536"/>
      <c r="E37" s="536"/>
      <c r="F37" s="536"/>
      <c r="G37" s="536"/>
      <c r="H37" s="457"/>
      <c r="I37" s="457"/>
      <c r="J37" s="457"/>
      <c r="K37" s="457"/>
      <c r="L37" s="457"/>
      <c r="M37" s="457"/>
    </row>
    <row r="38" spans="1:15" x14ac:dyDescent="0.2">
      <c r="A38" s="436"/>
      <c r="B38" s="536"/>
      <c r="C38" s="536"/>
      <c r="D38" s="536"/>
      <c r="E38" s="536"/>
      <c r="F38" s="536"/>
      <c r="G38" s="536"/>
      <c r="H38" s="457"/>
      <c r="I38" s="457"/>
      <c r="J38" s="457"/>
      <c r="K38" s="457"/>
      <c r="L38" s="457"/>
      <c r="M38" s="457"/>
    </row>
    <row r="39" spans="1:15" x14ac:dyDescent="0.2">
      <c r="A39" s="436"/>
      <c r="B39" s="536"/>
      <c r="C39" s="536"/>
      <c r="D39" s="536"/>
      <c r="E39" s="536"/>
      <c r="F39" s="536"/>
      <c r="G39" s="536"/>
      <c r="H39" s="457"/>
      <c r="I39" s="457"/>
      <c r="J39" s="457"/>
      <c r="K39" s="457"/>
      <c r="L39" s="457"/>
      <c r="M39" s="457"/>
    </row>
    <row r="40" spans="1:15" x14ac:dyDescent="0.2">
      <c r="A40" s="436"/>
      <c r="B40" s="536"/>
      <c r="C40" s="536"/>
      <c r="D40" s="536"/>
      <c r="E40" s="536"/>
      <c r="F40" s="536"/>
      <c r="G40" s="536"/>
      <c r="H40" s="457"/>
      <c r="I40" s="457"/>
      <c r="J40" s="457"/>
      <c r="K40" s="457"/>
      <c r="L40" s="457"/>
      <c r="M40" s="457"/>
    </row>
    <row r="41" spans="1:15" x14ac:dyDescent="0.2">
      <c r="A41" s="436"/>
      <c r="B41" s="457"/>
      <c r="C41" s="536"/>
      <c r="D41" s="457"/>
      <c r="E41" s="457"/>
      <c r="F41" s="457"/>
      <c r="G41" s="457"/>
      <c r="H41" s="457"/>
      <c r="I41" s="457"/>
      <c r="J41" s="457"/>
      <c r="K41" s="457"/>
      <c r="L41" s="457"/>
      <c r="M41" s="457"/>
    </row>
    <row r="42" spans="1:15" x14ac:dyDescent="0.2">
      <c r="A42" s="388" t="s">
        <v>221</v>
      </c>
      <c r="C42" s="462"/>
      <c r="D42" s="500"/>
      <c r="H42" s="461" t="s">
        <v>472</v>
      </c>
      <c r="I42" s="671" t="s">
        <v>1218</v>
      </c>
      <c r="J42" s="461" t="s">
        <v>604</v>
      </c>
      <c r="K42" s="536"/>
      <c r="L42" s="388" t="s">
        <v>1297</v>
      </c>
      <c r="M42" s="388"/>
      <c r="O42" s="536"/>
    </row>
    <row r="43" spans="1:15" ht="38.25" x14ac:dyDescent="0.2">
      <c r="B43" s="670" t="s">
        <v>831</v>
      </c>
      <c r="C43" s="670" t="s">
        <v>832</v>
      </c>
      <c r="D43" s="670" t="s">
        <v>815</v>
      </c>
      <c r="E43" s="670" t="s">
        <v>1296</v>
      </c>
      <c r="F43" s="463" t="s">
        <v>2830</v>
      </c>
      <c r="G43" s="670" t="s">
        <v>181</v>
      </c>
      <c r="H43" s="669">
        <f>H6</f>
        <v>2026</v>
      </c>
      <c r="I43" s="669" t="s">
        <v>938</v>
      </c>
      <c r="J43" s="669">
        <f>J6</f>
        <v>2026</v>
      </c>
      <c r="L43" s="414" t="s">
        <v>146</v>
      </c>
      <c r="M43" s="414" t="s">
        <v>1295</v>
      </c>
      <c r="N43" s="536"/>
    </row>
    <row r="44" spans="1:15" x14ac:dyDescent="0.2">
      <c r="B44" s="668" t="s">
        <v>493</v>
      </c>
      <c r="C44" s="668" t="s">
        <v>493</v>
      </c>
      <c r="D44" s="668" t="s">
        <v>493</v>
      </c>
      <c r="E44" s="668" t="s">
        <v>493</v>
      </c>
      <c r="F44" s="668" t="s">
        <v>493</v>
      </c>
      <c r="G44" s="668" t="s">
        <v>493</v>
      </c>
      <c r="H44" s="668" t="s">
        <v>493</v>
      </c>
      <c r="I44" s="468" t="s">
        <v>493</v>
      </c>
      <c r="J44" s="668" t="s">
        <v>493</v>
      </c>
      <c r="L44" s="414" t="s">
        <v>493</v>
      </c>
      <c r="M44" s="414"/>
      <c r="N44" s="464"/>
    </row>
    <row r="45" spans="1:15" x14ac:dyDescent="0.2">
      <c r="B45" s="461"/>
      <c r="C45" s="461"/>
      <c r="D45" s="461"/>
      <c r="E45" s="461"/>
      <c r="F45" s="461"/>
      <c r="G45" s="461"/>
      <c r="H45" s="461"/>
      <c r="I45" s="461"/>
      <c r="J45" s="461"/>
      <c r="N45" s="468"/>
    </row>
    <row r="46" spans="1:15" x14ac:dyDescent="0.2">
      <c r="A46" s="667"/>
      <c r="B46" s="457"/>
      <c r="C46" s="457"/>
      <c r="D46" s="457"/>
      <c r="E46" s="457"/>
      <c r="F46" s="457"/>
      <c r="G46" s="457"/>
      <c r="H46" s="457"/>
      <c r="I46" s="457"/>
      <c r="J46" s="457"/>
      <c r="N46" s="461"/>
    </row>
    <row r="47" spans="1:15" x14ac:dyDescent="0.2">
      <c r="B47" s="457"/>
      <c r="C47" s="457"/>
      <c r="D47" s="457"/>
      <c r="E47" s="457"/>
      <c r="F47" s="457"/>
      <c r="G47" s="457"/>
      <c r="H47" s="457"/>
      <c r="I47" s="457"/>
      <c r="J47" s="457"/>
      <c r="N47" s="457"/>
    </row>
    <row r="48" spans="1:15" x14ac:dyDescent="0.2">
      <c r="A48" s="436" t="s">
        <v>795</v>
      </c>
      <c r="B48" s="513"/>
      <c r="C48" s="513"/>
      <c r="D48" s="513"/>
      <c r="E48" s="513"/>
      <c r="F48" s="513"/>
      <c r="G48" s="513"/>
      <c r="H48" s="457">
        <f>SUM(B48:G48)</f>
        <v>0</v>
      </c>
      <c r="I48" s="513"/>
      <c r="J48" s="457">
        <f>I48+H48</f>
        <v>0</v>
      </c>
      <c r="L48" s="513"/>
      <c r="M48" s="513"/>
      <c r="N48" s="663">
        <f>J48-L48</f>
        <v>0</v>
      </c>
      <c r="O48" s="409" t="str">
        <f>IF(H48&gt;=0,IF(L48&gt;=0,IF(H48&gt;=L48,"Ok ","Check size "),"Check sign"),IF(L48&gt;0,"Check sign ",IF(ABS(H48)&gt;=ABS(L48),"Ok ","Check size ")))</f>
        <v xml:space="preserve">Ok </v>
      </c>
    </row>
    <row r="49" spans="1:15" x14ac:dyDescent="0.2">
      <c r="A49" s="436"/>
      <c r="B49" s="457"/>
      <c r="C49" s="457"/>
      <c r="D49" s="457"/>
      <c r="E49" s="457"/>
      <c r="F49" s="457"/>
      <c r="G49" s="457"/>
      <c r="H49" s="457"/>
      <c r="I49" s="457"/>
      <c r="J49" s="457"/>
      <c r="N49" s="457"/>
    </row>
    <row r="50" spans="1:15" x14ac:dyDescent="0.2">
      <c r="A50" s="436" t="s">
        <v>796</v>
      </c>
      <c r="B50" s="513"/>
      <c r="C50" s="513"/>
      <c r="D50" s="513"/>
      <c r="E50" s="513"/>
      <c r="F50" s="513"/>
      <c r="G50" s="513"/>
      <c r="H50" s="457">
        <f>SUM(B50:G50)</f>
        <v>0</v>
      </c>
      <c r="I50" s="513"/>
      <c r="J50" s="457">
        <f>I50+H50</f>
        <v>0</v>
      </c>
      <c r="L50" s="513"/>
      <c r="M50" s="513"/>
      <c r="N50" s="663">
        <f>J50-L50</f>
        <v>0</v>
      </c>
      <c r="O50" s="409" t="str">
        <f>IF(H50&gt;=0,IF(L50&gt;=0,IF(H50&gt;=L50,"Ok ","Check size "),"Check sign"),IF(L50&gt;0,"Check sign ",IF(ABS(H50)&gt;=ABS(L50),"Ok ","Check size ")))</f>
        <v xml:space="preserve">Ok </v>
      </c>
    </row>
    <row r="51" spans="1:15" x14ac:dyDescent="0.2">
      <c r="A51" s="436"/>
      <c r="B51" s="457"/>
      <c r="C51" s="457"/>
      <c r="D51" s="457"/>
      <c r="E51" s="457"/>
      <c r="F51" s="457"/>
      <c r="G51" s="457"/>
      <c r="H51" s="457"/>
      <c r="I51" s="457"/>
      <c r="J51" s="457"/>
      <c r="N51" s="457"/>
    </row>
    <row r="52" spans="1:15" x14ac:dyDescent="0.2">
      <c r="A52" s="436" t="s">
        <v>797</v>
      </c>
      <c r="B52" s="513"/>
      <c r="C52" s="513"/>
      <c r="D52" s="513"/>
      <c r="E52" s="513"/>
      <c r="F52" s="513"/>
      <c r="G52" s="513"/>
      <c r="H52" s="457">
        <f>SUM(B52:G52)</f>
        <v>0</v>
      </c>
      <c r="I52" s="513"/>
      <c r="J52" s="457">
        <f>I52+H52</f>
        <v>0</v>
      </c>
      <c r="L52" s="513"/>
      <c r="M52" s="513"/>
      <c r="N52" s="663">
        <f>J52-L52</f>
        <v>0</v>
      </c>
      <c r="O52" s="409" t="str">
        <f>IF(H52&gt;=0,IF(L52&gt;=0,IF(H52&gt;=L52,"Ok ","Check size "),"Check sign"),IF(L52&gt;0,"Check sign ",IF(ABS(H52)&gt;=ABS(L52),"Ok ","Check size ")))</f>
        <v xml:space="preserve">Ok </v>
      </c>
    </row>
    <row r="53" spans="1:15" x14ac:dyDescent="0.2">
      <c r="A53" s="397" t="s">
        <v>281</v>
      </c>
      <c r="B53" s="457"/>
      <c r="C53" s="457"/>
      <c r="D53" s="457"/>
      <c r="E53" s="457"/>
      <c r="F53" s="457"/>
      <c r="G53" s="457"/>
      <c r="H53" s="457"/>
      <c r="I53" s="457"/>
      <c r="J53" s="457"/>
      <c r="N53" s="457"/>
    </row>
    <row r="54" spans="1:15" x14ac:dyDescent="0.2">
      <c r="A54" s="436" t="str">
        <f>+A24</f>
        <v>At 31 March 2026</v>
      </c>
      <c r="B54" s="666">
        <f t="shared" ref="B54:J54" si="1">SUM(B48:B52)</f>
        <v>0</v>
      </c>
      <c r="C54" s="666">
        <f t="shared" si="1"/>
        <v>0</v>
      </c>
      <c r="D54" s="666">
        <f t="shared" si="1"/>
        <v>0</v>
      </c>
      <c r="E54" s="666">
        <f t="shared" si="1"/>
        <v>0</v>
      </c>
      <c r="F54" s="666">
        <f t="shared" si="1"/>
        <v>0</v>
      </c>
      <c r="G54" s="666">
        <f t="shared" si="1"/>
        <v>0</v>
      </c>
      <c r="H54" s="666">
        <f t="shared" si="1"/>
        <v>0</v>
      </c>
      <c r="I54" s="666">
        <f t="shared" si="1"/>
        <v>0</v>
      </c>
      <c r="J54" s="666">
        <f t="shared" si="1"/>
        <v>0</v>
      </c>
      <c r="L54" s="666">
        <f>SUM(L48:L52)</f>
        <v>0</v>
      </c>
      <c r="M54" s="666"/>
      <c r="N54" s="666">
        <f>SUM(N48:N52)</f>
        <v>0</v>
      </c>
      <c r="O54" s="409" t="str">
        <f>IF(H54&gt;=0,IF(L54&gt;=0,IF(H54&gt;=L54,"Ok ","Check size "),"Check sign"),IF(L54&gt;0,"Check sign ",IF(ABS(H54)&gt;=ABS(L54),"Ok ","Check size ")))</f>
        <v xml:space="preserve">Ok </v>
      </c>
    </row>
    <row r="55" spans="1:15" x14ac:dyDescent="0.2">
      <c r="A55" s="388"/>
      <c r="B55" s="571"/>
      <c r="C55" s="571"/>
      <c r="D55" s="571"/>
      <c r="E55" s="571"/>
      <c r="F55" s="571"/>
      <c r="G55" s="571"/>
      <c r="H55" s="1465" t="str">
        <f>IF(H54=H24,"OK","ERROR")</f>
        <v>OK</v>
      </c>
      <c r="I55" s="571"/>
      <c r="J55" s="1465" t="str">
        <f>IF(J54=J24,"OK","ERROR")</f>
        <v>OK</v>
      </c>
      <c r="K55" s="571"/>
      <c r="O55" s="457"/>
    </row>
    <row r="56" spans="1:15" x14ac:dyDescent="0.2">
      <c r="A56" s="388"/>
      <c r="B56" s="571"/>
      <c r="C56" s="571"/>
      <c r="D56" s="571"/>
      <c r="E56" s="571"/>
      <c r="F56" s="571"/>
      <c r="G56" s="571"/>
      <c r="H56" s="571"/>
      <c r="I56" s="571"/>
      <c r="J56" s="571"/>
      <c r="K56" s="571"/>
      <c r="O56" s="457"/>
    </row>
    <row r="57" spans="1:15" x14ac:dyDescent="0.2">
      <c r="A57" s="665"/>
      <c r="B57" s="665"/>
      <c r="C57" s="665"/>
      <c r="D57" s="665"/>
      <c r="E57" s="665"/>
      <c r="F57" s="665"/>
      <c r="G57" s="665"/>
      <c r="H57" s="665"/>
      <c r="I57" s="665"/>
      <c r="J57" s="665"/>
      <c r="K57" s="665"/>
      <c r="O57" s="500"/>
    </row>
    <row r="58" spans="1:15" ht="12.75" customHeight="1" x14ac:dyDescent="0.2"/>
    <row r="59" spans="1:15" x14ac:dyDescent="0.2">
      <c r="A59" s="664"/>
      <c r="B59" s="664"/>
      <c r="C59" s="664"/>
      <c r="D59" s="664"/>
      <c r="E59" s="664"/>
      <c r="F59" s="664"/>
      <c r="G59" s="664"/>
      <c r="H59" s="664"/>
      <c r="I59" s="664"/>
      <c r="J59" s="664"/>
      <c r="K59" s="664"/>
    </row>
    <row r="60" spans="1:15" ht="12.75" customHeight="1" x14ac:dyDescent="0.2"/>
    <row r="61" spans="1:15" ht="12.75" customHeight="1" x14ac:dyDescent="0.2"/>
    <row r="62" spans="1:15" ht="12.75" customHeight="1" x14ac:dyDescent="0.2"/>
    <row r="63" spans="1:15" ht="42.75" customHeight="1" x14ac:dyDescent="0.2"/>
    <row r="64" spans="1:15" ht="12.75" customHeight="1" x14ac:dyDescent="0.2"/>
    <row r="65" spans="1:13" ht="27.2" customHeight="1" x14ac:dyDescent="0.2"/>
    <row r="66" spans="1:13" ht="27.2" customHeight="1" x14ac:dyDescent="0.2"/>
    <row r="69" spans="1:13" x14ac:dyDescent="0.2">
      <c r="M69" s="397" t="s">
        <v>281</v>
      </c>
    </row>
    <row r="73" spans="1:13" ht="29.25" customHeight="1" x14ac:dyDescent="0.2"/>
    <row r="76" spans="1:13" x14ac:dyDescent="0.2">
      <c r="A76" s="457"/>
    </row>
  </sheetData>
  <sheetProtection algorithmName="SHA-512" hashValue="gb3Em0iENNResAc2C8F9IxUln/qSbKoWCNO3gDj0xwSnqVM+Ppw6DEHdosRyg0YSGiA+TcGmis1xmqOLwCsjmw==" saltValue="XlSpbGN2AG2c4IlEtKg0pw==" spinCount="100000" sheet="1" formatColumns="0" formatRows="0"/>
  <mergeCells count="1">
    <mergeCell ref="B33:C33"/>
  </mergeCells>
  <conditionalFormatting sqref="A3">
    <cfRule type="expression" dxfId="121" priority="9">
      <formula>CELL("Protect",A3)=0</formula>
    </cfRule>
  </conditionalFormatting>
  <conditionalFormatting sqref="B14:G14">
    <cfRule type="expression" dxfId="120" priority="1">
      <formula>CELL("Protect",B14)=0</formula>
    </cfRule>
  </conditionalFormatting>
  <conditionalFormatting sqref="B16:G16">
    <cfRule type="expression" dxfId="119" priority="5">
      <formula>CELL("Protect",B16)=0</formula>
    </cfRule>
  </conditionalFormatting>
  <conditionalFormatting sqref="B18:G18">
    <cfRule type="expression" dxfId="118" priority="8">
      <formula>CELL("Protect",B18)=0</formula>
    </cfRule>
  </conditionalFormatting>
  <conditionalFormatting sqref="B20:G20">
    <cfRule type="expression" dxfId="117" priority="7">
      <formula>CELL("Protect",B20)=0</formula>
    </cfRule>
  </conditionalFormatting>
  <conditionalFormatting sqref="B22:G22">
    <cfRule type="expression" dxfId="116" priority="6">
      <formula>CELL("Protect",B22)=0</formula>
    </cfRule>
  </conditionalFormatting>
  <conditionalFormatting sqref="B48:G48">
    <cfRule type="expression" dxfId="115" priority="20">
      <formula>CELL("Protect",B48)=0</formula>
    </cfRule>
  </conditionalFormatting>
  <conditionalFormatting sqref="B50:G50">
    <cfRule type="expression" dxfId="114" priority="19">
      <formula>CELL("Protect",B50)=0</formula>
    </cfRule>
  </conditionalFormatting>
  <conditionalFormatting sqref="B52:G52">
    <cfRule type="expression" dxfId="113" priority="18">
      <formula>CELL("Protect",B52)=0</formula>
    </cfRule>
  </conditionalFormatting>
  <conditionalFormatting sqref="I14">
    <cfRule type="expression" dxfId="112" priority="2">
      <formula>CELL("Protect",I14)=0</formula>
    </cfRule>
  </conditionalFormatting>
  <conditionalFormatting sqref="I16">
    <cfRule type="expression" dxfId="111" priority="24">
      <formula>CELL("Protect",I16)=0</formula>
    </cfRule>
  </conditionalFormatting>
  <conditionalFormatting sqref="I18">
    <cfRule type="expression" dxfId="110" priority="23">
      <formula>CELL("Protect",I18)=0</formula>
    </cfRule>
  </conditionalFormatting>
  <conditionalFormatting sqref="I20">
    <cfRule type="expression" dxfId="109" priority="22">
      <formula>CELL("Protect",I20)=0</formula>
    </cfRule>
  </conditionalFormatting>
  <conditionalFormatting sqref="I22">
    <cfRule type="expression" dxfId="108" priority="21">
      <formula>CELL("Protect",I22)=0</formula>
    </cfRule>
  </conditionalFormatting>
  <conditionalFormatting sqref="I48">
    <cfRule type="expression" dxfId="107" priority="17">
      <formula>CELL("Protect",I48)=0</formula>
    </cfRule>
  </conditionalFormatting>
  <conditionalFormatting sqref="I50">
    <cfRule type="expression" dxfId="106" priority="16">
      <formula>CELL("Protect",I50)=0</formula>
    </cfRule>
  </conditionalFormatting>
  <conditionalFormatting sqref="I52">
    <cfRule type="expression" dxfId="105" priority="15">
      <formula>CELL("Protect",I52)=0</formula>
    </cfRule>
  </conditionalFormatting>
  <conditionalFormatting sqref="L14:M14">
    <cfRule type="expression" dxfId="104" priority="3">
      <formula>CELL("Protect",L14)=0</formula>
    </cfRule>
  </conditionalFormatting>
  <conditionalFormatting sqref="L16:M16">
    <cfRule type="expression" dxfId="103" priority="28">
      <formula>CELL("Protect",L16)=0</formula>
    </cfRule>
  </conditionalFormatting>
  <conditionalFormatting sqref="L18:M18">
    <cfRule type="expression" dxfId="102" priority="27">
      <formula>CELL("Protect",L18)=0</formula>
    </cfRule>
  </conditionalFormatting>
  <conditionalFormatting sqref="L20:M20">
    <cfRule type="expression" dxfId="101" priority="26">
      <formula>CELL("Protect",L20)=0</formula>
    </cfRule>
  </conditionalFormatting>
  <conditionalFormatting sqref="L22:M22">
    <cfRule type="expression" dxfId="100" priority="25">
      <formula>CELL("Protect",L22)=0</formula>
    </cfRule>
  </conditionalFormatting>
  <conditionalFormatting sqref="L48:M48">
    <cfRule type="expression" dxfId="99" priority="14">
      <formula>CELL("Protect",L48)=0</formula>
    </cfRule>
  </conditionalFormatting>
  <conditionalFormatting sqref="L50:M50">
    <cfRule type="expression" dxfId="98" priority="10">
      <formula>CELL("Protect",L50)=0</formula>
    </cfRule>
  </conditionalFormatting>
  <conditionalFormatting sqref="L52:M52">
    <cfRule type="expression" dxfId="97" priority="11">
      <formula>CELL("Protect",L52)=0</formula>
    </cfRule>
  </conditionalFormatting>
  <pageMargins left="0.74803149606299213" right="0.74803149606299213" top="0.59055118110236227" bottom="0.59055118110236227" header="0.51181102362204722" footer="0.51181102362204722"/>
  <pageSetup paperSize="9" scale="62" orientation="portrait" r:id="rId1"/>
  <headerFooter alignWithMargins="0"/>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9">
    <tabColor rgb="FFFFFF00"/>
    <pageSetUpPr fitToPage="1"/>
  </sheetPr>
  <dimension ref="A1:P40"/>
  <sheetViews>
    <sheetView zoomScaleNormal="100" workbookViewId="0">
      <pane xSplit="8" ySplit="7" topLeftCell="I8" activePane="bottomRight" state="frozen"/>
      <selection activeCell="F19" sqref="F19"/>
      <selection pane="topRight" activeCell="F19" sqref="F19"/>
      <selection pane="bottomLeft" activeCell="F19" sqref="F19"/>
      <selection pane="bottomRight" activeCell="I8" sqref="I8"/>
    </sheetView>
  </sheetViews>
  <sheetFormatPr defaultColWidth="9.140625" defaultRowHeight="12.75" x14ac:dyDescent="0.2"/>
  <cols>
    <col min="1" max="1" width="41.28515625" style="397" customWidth="1"/>
    <col min="2" max="2" width="19" style="397" customWidth="1"/>
    <col min="3" max="4" width="14" style="397" customWidth="1"/>
    <col min="5" max="6" width="15" style="397" customWidth="1"/>
    <col min="7" max="7" width="14.85546875" style="397" customWidth="1"/>
    <col min="8" max="8" width="14" style="397" customWidth="1"/>
    <col min="9" max="9" width="14.140625" style="397" customWidth="1"/>
    <col min="10" max="10" width="11.28515625" style="397" customWidth="1"/>
    <col min="11" max="11" width="14.140625" style="397" bestFit="1" customWidth="1"/>
    <col min="12" max="12" width="11.7109375" style="397" customWidth="1"/>
    <col min="13" max="13" width="11.28515625" style="397" customWidth="1"/>
    <col min="14" max="14" width="12.42578125" style="397" customWidth="1"/>
    <col min="15" max="15" width="12.85546875" style="397" customWidth="1"/>
    <col min="16" max="16384" width="9.140625" style="397"/>
  </cols>
  <sheetData>
    <row r="1" spans="1:16" ht="14.65" customHeight="1" x14ac:dyDescent="0.25">
      <c r="A1" s="416" t="str">
        <f>'alb Instructions'!$B$20</f>
        <v>enter HSC Body name here</v>
      </c>
      <c r="B1" s="449"/>
      <c r="C1" s="449"/>
      <c r="D1" s="449"/>
      <c r="E1" s="449"/>
      <c r="F1" s="449"/>
      <c r="G1" s="449"/>
      <c r="H1" s="449"/>
      <c r="J1" s="674"/>
      <c r="P1" s="501"/>
    </row>
    <row r="2" spans="1:16" x14ac:dyDescent="0.2">
      <c r="A2" s="388"/>
      <c r="B2" s="388"/>
      <c r="C2" s="388"/>
      <c r="D2" s="388"/>
      <c r="P2" s="501"/>
    </row>
    <row r="3" spans="1:16" x14ac:dyDescent="0.2">
      <c r="A3" s="416" t="str">
        <f>"NOTES TO THE ACCOUNTS FOR THE YEAR ENDED"&amp;Update!$B$22</f>
        <v>NOTES TO THE ACCOUNTS FOR THE YEAR ENDED 31 March 2026</v>
      </c>
      <c r="B3" s="388"/>
      <c r="C3" s="388"/>
      <c r="D3" s="388"/>
      <c r="J3" s="2141"/>
      <c r="K3" s="2141"/>
      <c r="L3" s="2153"/>
      <c r="M3" s="2153"/>
      <c r="N3" s="2153"/>
      <c r="P3" s="501"/>
    </row>
    <row r="4" spans="1:16" x14ac:dyDescent="0.2">
      <c r="A4" s="388"/>
      <c r="B4" s="388"/>
      <c r="C4" s="388"/>
      <c r="D4" s="388"/>
      <c r="H4" s="671" t="s">
        <v>1869</v>
      </c>
    </row>
    <row r="5" spans="1:16" x14ac:dyDescent="0.2">
      <c r="A5" s="388" t="str">
        <f>"NOTE 14 PROVISIONS FOR LIABILITIES AND CHARGES - "&amp;Update!$B$37</f>
        <v>NOTE 14 PROVISIONS FOR LIABILITIES AND CHARGES - 2025</v>
      </c>
      <c r="H5" s="461" t="s">
        <v>472</v>
      </c>
      <c r="I5" s="671" t="s">
        <v>1218</v>
      </c>
      <c r="J5" s="461" t="s">
        <v>604</v>
      </c>
    </row>
    <row r="6" spans="1:16" s="453" customFormat="1" ht="40.5" customHeight="1" x14ac:dyDescent="0.2">
      <c r="B6" s="463" t="s">
        <v>831</v>
      </c>
      <c r="C6" s="463" t="s">
        <v>832</v>
      </c>
      <c r="D6" s="463" t="s">
        <v>815</v>
      </c>
      <c r="E6" s="463" t="s">
        <v>1296</v>
      </c>
      <c r="F6" s="463" t="s">
        <v>2830</v>
      </c>
      <c r="G6" s="463" t="s">
        <v>181</v>
      </c>
      <c r="H6" s="464">
        <f>Update!B37</f>
        <v>2025</v>
      </c>
      <c r="I6" s="669" t="s">
        <v>938</v>
      </c>
      <c r="J6" s="669">
        <f>H6</f>
        <v>2025</v>
      </c>
      <c r="K6" s="463"/>
      <c r="L6" s="463"/>
      <c r="M6" s="463"/>
      <c r="N6" s="463"/>
      <c r="O6" s="464"/>
      <c r="P6" s="464"/>
    </row>
    <row r="7" spans="1:16" x14ac:dyDescent="0.2">
      <c r="B7" s="468" t="s">
        <v>493</v>
      </c>
      <c r="C7" s="468" t="s">
        <v>493</v>
      </c>
      <c r="D7" s="468" t="s">
        <v>493</v>
      </c>
      <c r="E7" s="468" t="s">
        <v>493</v>
      </c>
      <c r="F7" s="468" t="s">
        <v>493</v>
      </c>
      <c r="G7" s="468" t="s">
        <v>493</v>
      </c>
      <c r="H7" s="468" t="s">
        <v>493</v>
      </c>
      <c r="I7" s="468" t="s">
        <v>493</v>
      </c>
      <c r="J7" s="468" t="s">
        <v>493</v>
      </c>
      <c r="K7" s="468"/>
      <c r="L7" s="468"/>
      <c r="M7" s="468"/>
      <c r="N7" s="468"/>
      <c r="O7" s="468"/>
      <c r="P7" s="468"/>
    </row>
    <row r="12" spans="1:16" x14ac:dyDescent="0.2">
      <c r="A12" s="388" t="str">
        <f>"Balance at"&amp;Update!$B$18</f>
        <v>Balance at 1 April 2024</v>
      </c>
      <c r="B12" s="513"/>
      <c r="C12" s="513"/>
      <c r="D12" s="1037"/>
      <c r="E12" s="1037"/>
      <c r="F12" s="1037"/>
      <c r="G12" s="1037"/>
      <c r="H12" s="457">
        <f>SUM(B12:G12)</f>
        <v>0</v>
      </c>
      <c r="I12" s="513"/>
      <c r="J12" s="457">
        <f>SUM(H12:I12)</f>
        <v>0</v>
      </c>
      <c r="K12" s="673"/>
      <c r="L12" s="673"/>
      <c r="M12" s="673"/>
      <c r="N12" s="673"/>
      <c r="O12" s="500"/>
      <c r="P12" s="673"/>
    </row>
    <row r="13" spans="1:16" x14ac:dyDescent="0.2">
      <c r="B13" s="457"/>
      <c r="C13" s="457"/>
      <c r="D13" s="457"/>
      <c r="E13" s="457"/>
      <c r="F13" s="457"/>
      <c r="G13" s="457"/>
      <c r="H13" s="457"/>
      <c r="I13" s="457"/>
      <c r="J13" s="457"/>
      <c r="K13" s="500"/>
      <c r="L13" s="500"/>
      <c r="M13" s="500"/>
      <c r="N13" s="500"/>
      <c r="O13" s="500"/>
      <c r="P13" s="500"/>
    </row>
    <row r="14" spans="1:16" x14ac:dyDescent="0.2">
      <c r="A14" s="397" t="s">
        <v>791</v>
      </c>
      <c r="B14" s="513"/>
      <c r="C14" s="513"/>
      <c r="D14" s="513"/>
      <c r="E14" s="513"/>
      <c r="F14" s="513"/>
      <c r="G14" s="513"/>
      <c r="H14" s="457">
        <f>SUM(B14:G14)</f>
        <v>0</v>
      </c>
      <c r="I14" s="513"/>
      <c r="J14" s="457">
        <f>SUM(H14:I14)</f>
        <v>0</v>
      </c>
      <c r="K14" s="673"/>
      <c r="L14" s="673"/>
      <c r="M14" s="500"/>
      <c r="N14" s="673"/>
      <c r="O14" s="500"/>
      <c r="P14" s="673"/>
    </row>
    <row r="15" spans="1:16" x14ac:dyDescent="0.2">
      <c r="B15" s="457"/>
      <c r="C15" s="457"/>
      <c r="D15" s="457"/>
      <c r="E15" s="457"/>
      <c r="F15" s="457"/>
      <c r="G15" s="457"/>
      <c r="H15" s="457"/>
      <c r="I15" s="457"/>
      <c r="J15" s="457"/>
      <c r="K15" s="500"/>
      <c r="L15" s="500"/>
      <c r="M15" s="500"/>
      <c r="N15" s="500"/>
      <c r="O15" s="500"/>
      <c r="P15" s="500"/>
    </row>
    <row r="16" spans="1:16" x14ac:dyDescent="0.2">
      <c r="A16" s="672" t="s">
        <v>792</v>
      </c>
      <c r="B16" s="513"/>
      <c r="C16" s="513"/>
      <c r="D16" s="513"/>
      <c r="E16" s="513"/>
      <c r="F16" s="513"/>
      <c r="G16" s="513"/>
      <c r="H16" s="457">
        <f>SUM(B16:G16)</f>
        <v>0</v>
      </c>
      <c r="I16" s="513"/>
      <c r="J16" s="457">
        <f>SUM(H16:I16)</f>
        <v>0</v>
      </c>
      <c r="K16" s="673"/>
      <c r="L16" s="673"/>
      <c r="M16" s="673"/>
      <c r="N16" s="673"/>
      <c r="O16" s="500"/>
      <c r="P16" s="673"/>
    </row>
    <row r="17" spans="1:16" x14ac:dyDescent="0.2">
      <c r="A17" s="672"/>
      <c r="B17" s="457"/>
      <c r="C17" s="498"/>
      <c r="D17" s="457"/>
      <c r="E17" s="498"/>
      <c r="F17" s="498"/>
      <c r="G17" s="498"/>
      <c r="H17" s="457"/>
      <c r="I17" s="498"/>
      <c r="J17" s="457"/>
      <c r="K17" s="673"/>
      <c r="L17" s="500"/>
      <c r="M17" s="673"/>
      <c r="N17" s="500"/>
      <c r="O17" s="500"/>
      <c r="P17" s="500"/>
    </row>
    <row r="18" spans="1:16" x14ac:dyDescent="0.2">
      <c r="A18" s="436" t="s">
        <v>793</v>
      </c>
      <c r="B18" s="513"/>
      <c r="C18" s="513"/>
      <c r="D18" s="513"/>
      <c r="E18" s="513"/>
      <c r="F18" s="513"/>
      <c r="G18" s="513"/>
      <c r="H18" s="457">
        <f>SUM(B18:G18)</f>
        <v>0</v>
      </c>
      <c r="I18" s="513"/>
      <c r="J18" s="457">
        <f>SUM(H18:I18)</f>
        <v>0</v>
      </c>
      <c r="K18" s="673"/>
      <c r="L18" s="673"/>
      <c r="M18" s="673"/>
      <c r="N18" s="673"/>
      <c r="O18" s="500"/>
      <c r="P18" s="673"/>
    </row>
    <row r="19" spans="1:16" x14ac:dyDescent="0.2">
      <c r="A19" s="672"/>
      <c r="B19" s="457"/>
      <c r="C19" s="498"/>
      <c r="D19" s="498"/>
      <c r="E19" s="498"/>
      <c r="F19" s="498"/>
      <c r="G19" s="498"/>
      <c r="H19" s="457"/>
      <c r="I19" s="498"/>
      <c r="J19" s="457"/>
      <c r="K19" s="673"/>
      <c r="L19" s="673"/>
      <c r="M19" s="673"/>
      <c r="N19" s="500"/>
      <c r="O19" s="500"/>
      <c r="P19" s="500"/>
    </row>
    <row r="20" spans="1:16" x14ac:dyDescent="0.2">
      <c r="A20" s="672" t="s">
        <v>794</v>
      </c>
      <c r="B20" s="849"/>
      <c r="C20" s="849"/>
      <c r="D20" s="849"/>
      <c r="E20" s="849"/>
      <c r="F20" s="849"/>
      <c r="G20" s="849"/>
      <c r="H20" s="535">
        <f>SUM(B20:G20)</f>
        <v>0</v>
      </c>
      <c r="I20" s="849"/>
      <c r="J20" s="457">
        <f>SUM(H20:I20)</f>
        <v>0</v>
      </c>
      <c r="K20" s="673"/>
      <c r="L20" s="673"/>
      <c r="M20" s="673"/>
      <c r="N20" s="673"/>
      <c r="O20" s="500"/>
      <c r="P20" s="673"/>
    </row>
    <row r="21" spans="1:16" x14ac:dyDescent="0.2">
      <c r="B21" s="457"/>
      <c r="C21" s="457"/>
      <c r="D21" s="457"/>
      <c r="E21" s="457"/>
      <c r="F21" s="457"/>
      <c r="G21" s="457"/>
      <c r="H21" s="457"/>
      <c r="I21" s="457"/>
      <c r="J21" s="457"/>
      <c r="K21" s="500"/>
      <c r="L21" s="500"/>
      <c r="M21" s="500"/>
      <c r="N21" s="500"/>
      <c r="O21" s="500"/>
      <c r="P21" s="500"/>
    </row>
    <row r="22" spans="1:16" ht="13.5" thickBot="1" x14ac:dyDescent="0.25">
      <c r="A22" s="416" t="str">
        <f>"At"&amp;Update!$B$24</f>
        <v>At 31 March 2025</v>
      </c>
      <c r="B22" s="570">
        <f t="shared" ref="B22:G22" si="0">SUM(B8:B20)</f>
        <v>0</v>
      </c>
      <c r="C22" s="570">
        <f t="shared" si="0"/>
        <v>0</v>
      </c>
      <c r="D22" s="570">
        <f t="shared" si="0"/>
        <v>0</v>
      </c>
      <c r="E22" s="570">
        <f t="shared" si="0"/>
        <v>0</v>
      </c>
      <c r="F22" s="570">
        <f t="shared" si="0"/>
        <v>0</v>
      </c>
      <c r="G22" s="570">
        <f t="shared" si="0"/>
        <v>0</v>
      </c>
      <c r="H22" s="570">
        <f>SUM(H12:H20)</f>
        <v>0</v>
      </c>
      <c r="I22" s="570">
        <f>SUM(I12:I20)</f>
        <v>0</v>
      </c>
      <c r="J22" s="570">
        <f>SUM(J12:J20)</f>
        <v>0</v>
      </c>
      <c r="K22" s="571"/>
      <c r="L22" s="571"/>
      <c r="M22" s="571"/>
      <c r="N22" s="571"/>
      <c r="O22" s="571"/>
      <c r="P22" s="571"/>
    </row>
    <row r="23" spans="1:16" ht="13.5" thickTop="1" x14ac:dyDescent="0.2"/>
    <row r="25" spans="1:16" ht="51.75" hidden="1" customHeight="1" x14ac:dyDescent="0.2">
      <c r="A25" s="2154" t="s">
        <v>1302</v>
      </c>
      <c r="B25" s="2154"/>
      <c r="C25" s="2154"/>
      <c r="D25" s="2154"/>
      <c r="E25" s="2154"/>
      <c r="F25" s="2154"/>
      <c r="G25" s="2154"/>
      <c r="H25" s="2154"/>
    </row>
    <row r="26" spans="1:16" ht="12.75" customHeight="1" x14ac:dyDescent="0.2">
      <c r="A26" s="665"/>
      <c r="B26" s="665"/>
      <c r="C26" s="665"/>
      <c r="D26" s="665"/>
      <c r="E26" s="665"/>
      <c r="F26" s="665"/>
      <c r="G26" s="665"/>
      <c r="H26" s="671" t="s">
        <v>1869</v>
      </c>
    </row>
    <row r="27" spans="1:16" ht="12.75" customHeight="1" x14ac:dyDescent="0.2">
      <c r="A27" s="388" t="s">
        <v>221</v>
      </c>
      <c r="C27" s="536"/>
      <c r="D27" s="468"/>
      <c r="E27" s="536"/>
      <c r="F27" s="536"/>
      <c r="G27" s="536"/>
      <c r="H27" s="461" t="s">
        <v>472</v>
      </c>
      <c r="I27" s="671" t="s">
        <v>1218</v>
      </c>
      <c r="J27" s="461" t="s">
        <v>604</v>
      </c>
    </row>
    <row r="28" spans="1:16" ht="42" customHeight="1" x14ac:dyDescent="0.2">
      <c r="B28" s="463" t="s">
        <v>831</v>
      </c>
      <c r="C28" s="463" t="s">
        <v>832</v>
      </c>
      <c r="D28" s="463" t="s">
        <v>815</v>
      </c>
      <c r="E28" s="463" t="s">
        <v>1296</v>
      </c>
      <c r="F28" s="463" t="s">
        <v>2830</v>
      </c>
      <c r="G28" s="463" t="s">
        <v>181</v>
      </c>
      <c r="H28" s="464">
        <f>+H6</f>
        <v>2025</v>
      </c>
      <c r="I28" s="669" t="s">
        <v>938</v>
      </c>
      <c r="J28" s="669">
        <f>H28</f>
        <v>2025</v>
      </c>
    </row>
    <row r="29" spans="1:16" ht="12.75" customHeight="1" x14ac:dyDescent="0.2">
      <c r="B29" s="468" t="s">
        <v>493</v>
      </c>
      <c r="C29" s="468" t="s">
        <v>493</v>
      </c>
      <c r="D29" s="468" t="s">
        <v>493</v>
      </c>
      <c r="E29" s="468" t="s">
        <v>493</v>
      </c>
      <c r="F29" s="468" t="s">
        <v>493</v>
      </c>
      <c r="G29" s="468" t="s">
        <v>493</v>
      </c>
      <c r="H29" s="468" t="s">
        <v>493</v>
      </c>
      <c r="I29" s="468" t="s">
        <v>493</v>
      </c>
      <c r="J29" s="668" t="s">
        <v>493</v>
      </c>
    </row>
    <row r="30" spans="1:16" ht="12.75" customHeight="1" x14ac:dyDescent="0.2">
      <c r="B30" s="457"/>
      <c r="C30" s="457"/>
      <c r="D30" s="457"/>
      <c r="E30" s="457"/>
      <c r="F30" s="457"/>
      <c r="G30" s="457"/>
      <c r="H30" s="457"/>
      <c r="I30" s="461"/>
      <c r="J30" s="461"/>
    </row>
    <row r="31" spans="1:16" ht="12.75" customHeight="1" x14ac:dyDescent="0.2">
      <c r="A31" s="436" t="s">
        <v>795</v>
      </c>
      <c r="B31" s="513"/>
      <c r="C31" s="513"/>
      <c r="D31" s="513"/>
      <c r="E31" s="513"/>
      <c r="F31" s="513"/>
      <c r="G31" s="513"/>
      <c r="H31" s="457">
        <f>SUM(B31:G31)</f>
        <v>0</v>
      </c>
      <c r="I31" s="513"/>
      <c r="J31" s="457">
        <f>I31+H31</f>
        <v>0</v>
      </c>
    </row>
    <row r="32" spans="1:16" x14ac:dyDescent="0.2">
      <c r="A32" s="436"/>
      <c r="B32" s="498"/>
      <c r="C32" s="498"/>
      <c r="D32" s="498"/>
      <c r="E32" s="498"/>
      <c r="F32" s="498"/>
      <c r="G32" s="498"/>
      <c r="H32" s="457"/>
      <c r="I32" s="457"/>
      <c r="J32" s="457"/>
    </row>
    <row r="33" spans="1:10" x14ac:dyDescent="0.2">
      <c r="A33" s="436" t="s">
        <v>796</v>
      </c>
      <c r="B33" s="513"/>
      <c r="C33" s="513"/>
      <c r="D33" s="513"/>
      <c r="E33" s="513"/>
      <c r="F33" s="513"/>
      <c r="G33" s="513"/>
      <c r="H33" s="457">
        <f>SUM(B33:G33)</f>
        <v>0</v>
      </c>
      <c r="I33" s="513"/>
      <c r="J33" s="457">
        <f>I33+H33</f>
        <v>0</v>
      </c>
    </row>
    <row r="34" spans="1:10" x14ac:dyDescent="0.2">
      <c r="A34" s="436"/>
      <c r="B34" s="498"/>
      <c r="C34" s="498"/>
      <c r="D34" s="498"/>
      <c r="E34" s="498"/>
      <c r="F34" s="498"/>
      <c r="G34" s="498"/>
      <c r="H34" s="457"/>
      <c r="I34" s="457"/>
      <c r="J34" s="457"/>
    </row>
    <row r="35" spans="1:10" x14ac:dyDescent="0.2">
      <c r="A35" s="436" t="s">
        <v>797</v>
      </c>
      <c r="B35" s="513"/>
      <c r="C35" s="513"/>
      <c r="D35" s="513"/>
      <c r="E35" s="513"/>
      <c r="F35" s="513"/>
      <c r="G35" s="513"/>
      <c r="H35" s="457">
        <f>SUM(B35:G35)</f>
        <v>0</v>
      </c>
      <c r="I35" s="513"/>
      <c r="J35" s="457">
        <f>I35+H35</f>
        <v>0</v>
      </c>
    </row>
    <row r="36" spans="1:10" x14ac:dyDescent="0.2">
      <c r="A36" s="397" t="s">
        <v>281</v>
      </c>
      <c r="B36" s="457"/>
      <c r="C36" s="457"/>
      <c r="D36" s="457"/>
      <c r="E36" s="457"/>
      <c r="F36" s="457"/>
      <c r="G36" s="457"/>
      <c r="H36" s="457"/>
      <c r="I36" s="457"/>
      <c r="J36" s="457"/>
    </row>
    <row r="37" spans="1:10" x14ac:dyDescent="0.2">
      <c r="A37" s="436" t="str">
        <f>+A22</f>
        <v>At 31 March 2025</v>
      </c>
      <c r="B37" s="666">
        <f t="shared" ref="B37:J37" si="1">SUM(B31:B35)</f>
        <v>0</v>
      </c>
      <c r="C37" s="666">
        <f t="shared" si="1"/>
        <v>0</v>
      </c>
      <c r="D37" s="666">
        <f t="shared" si="1"/>
        <v>0</v>
      </c>
      <c r="E37" s="666">
        <f t="shared" si="1"/>
        <v>0</v>
      </c>
      <c r="F37" s="666">
        <f t="shared" si="1"/>
        <v>0</v>
      </c>
      <c r="G37" s="666">
        <f t="shared" si="1"/>
        <v>0</v>
      </c>
      <c r="H37" s="666">
        <f t="shared" si="1"/>
        <v>0</v>
      </c>
      <c r="I37" s="666">
        <f t="shared" si="1"/>
        <v>0</v>
      </c>
      <c r="J37" s="666">
        <f t="shared" si="1"/>
        <v>0</v>
      </c>
    </row>
    <row r="38" spans="1:10" x14ac:dyDescent="0.2">
      <c r="H38" s="1466" t="str">
        <f>IF(H22=H37,"OK","ERROR")</f>
        <v>OK</v>
      </c>
      <c r="J38" s="1466" t="str">
        <f>IF(J22=J37,"OK","ERROR")</f>
        <v>OK</v>
      </c>
    </row>
    <row r="40" spans="1:10" x14ac:dyDescent="0.2">
      <c r="A40" s="457"/>
    </row>
  </sheetData>
  <sheetProtection algorithmName="SHA-512" hashValue="xLQ6G5xUIAOuuKCUEx+FCjUu1ascO1mia8T8rPVtdGxpABSoSTVYK12D311BhAdbyiwqJOA7US4vdCpMSzgn0g==" saltValue="j3tCBv63XVT/gyRxHPcSWQ==" spinCount="100000" sheet="1" formatColumns="0" formatRows="0"/>
  <mergeCells count="2">
    <mergeCell ref="J3:N3"/>
    <mergeCell ref="A25:H25"/>
  </mergeCells>
  <conditionalFormatting sqref="A3">
    <cfRule type="expression" dxfId="96" priority="2">
      <formula>CELL("Protect",A3)=0</formula>
    </cfRule>
  </conditionalFormatting>
  <conditionalFormatting sqref="B12:G12">
    <cfRule type="expression" dxfId="95" priority="1">
      <formula>CELL("Protect",B12)=0</formula>
    </cfRule>
  </conditionalFormatting>
  <conditionalFormatting sqref="B14:G14">
    <cfRule type="expression" dxfId="94" priority="17">
      <formula>CELL("Protect",B14)=0</formula>
    </cfRule>
  </conditionalFormatting>
  <conditionalFormatting sqref="B16:G16">
    <cfRule type="expression" dxfId="93" priority="16">
      <formula>CELL("Protect",B16)=0</formula>
    </cfRule>
  </conditionalFormatting>
  <conditionalFormatting sqref="B18:G18">
    <cfRule type="expression" dxfId="92" priority="15">
      <formula>CELL("Protect",B18)=0</formula>
    </cfRule>
  </conditionalFormatting>
  <conditionalFormatting sqref="B20:G20">
    <cfRule type="expression" dxfId="91" priority="14">
      <formula>CELL("Protect",B20)=0</formula>
    </cfRule>
  </conditionalFormatting>
  <conditionalFormatting sqref="B31:G31">
    <cfRule type="expression" dxfId="90" priority="8">
      <formula>CELL("Protect",B31)=0</formula>
    </cfRule>
  </conditionalFormatting>
  <conditionalFormatting sqref="B33:G33">
    <cfRule type="expression" dxfId="89" priority="7">
      <formula>CELL("Protect",B33)=0</formula>
    </cfRule>
  </conditionalFormatting>
  <conditionalFormatting sqref="B35:G35">
    <cfRule type="expression" dxfId="88" priority="6">
      <formula>CELL("Protect",B35)=0</formula>
    </cfRule>
  </conditionalFormatting>
  <conditionalFormatting sqref="I12">
    <cfRule type="expression" dxfId="87" priority="13">
      <formula>CELL("Protect",I12)=0</formula>
    </cfRule>
  </conditionalFormatting>
  <conditionalFormatting sqref="I14">
    <cfRule type="expression" dxfId="86" priority="12">
      <formula>CELL("Protect",I14)=0</formula>
    </cfRule>
  </conditionalFormatting>
  <conditionalFormatting sqref="I16">
    <cfRule type="expression" dxfId="85" priority="11">
      <formula>CELL("Protect",I16)=0</formula>
    </cfRule>
  </conditionalFormatting>
  <conditionalFormatting sqref="I18">
    <cfRule type="expression" dxfId="84" priority="10">
      <formula>CELL("Protect",I18)=0</formula>
    </cfRule>
  </conditionalFormatting>
  <conditionalFormatting sqref="I20">
    <cfRule type="expression" dxfId="83" priority="9">
      <formula>CELL("Protect",I20)=0</formula>
    </cfRule>
  </conditionalFormatting>
  <conditionalFormatting sqref="I31">
    <cfRule type="expression" dxfId="82" priority="5">
      <formula>CELL("Protect",I31)=0</formula>
    </cfRule>
  </conditionalFormatting>
  <conditionalFormatting sqref="I33">
    <cfRule type="expression" dxfId="81" priority="4">
      <formula>CELL("Protect",I33)=0</formula>
    </cfRule>
  </conditionalFormatting>
  <conditionalFormatting sqref="I35">
    <cfRule type="expression" dxfId="80" priority="3">
      <formula>CELL("Protect",I35)=0</formula>
    </cfRule>
  </conditionalFormatting>
  <pageMargins left="0.74803149606299213" right="0.74803149606299213" top="0.59055118110236227" bottom="0.59055118110236227" header="0.51181102362204722" footer="0.51181102362204722"/>
  <pageSetup paperSize="9" scale="66"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9">
    <tabColor rgb="FF00B0F0"/>
    <pageSetUpPr fitToPage="1"/>
  </sheetPr>
  <dimension ref="A1:H25"/>
  <sheetViews>
    <sheetView zoomScale="90" zoomScaleNormal="90" workbookViewId="0">
      <selection activeCell="G5" sqref="G4:G5"/>
    </sheetView>
  </sheetViews>
  <sheetFormatPr defaultColWidth="9.140625" defaultRowHeight="12.75" x14ac:dyDescent="0.2"/>
  <cols>
    <col min="1" max="1" width="5.28515625" style="37" customWidth="1"/>
    <col min="2" max="2" width="62.42578125" style="34" customWidth="1"/>
    <col min="3" max="3" width="9.28515625" style="74" bestFit="1" customWidth="1"/>
    <col min="4" max="4" width="13.28515625" style="34" bestFit="1" customWidth="1"/>
    <col min="5" max="5" width="15.5703125" style="34" bestFit="1" customWidth="1"/>
    <col min="6" max="6" width="13.28515625" style="34" bestFit="1" customWidth="1"/>
    <col min="7" max="7" width="15.5703125" style="34" bestFit="1" customWidth="1"/>
    <col min="8" max="16384" width="9.140625" style="34"/>
  </cols>
  <sheetData>
    <row r="1" spans="1:8" x14ac:dyDescent="0.2">
      <c r="B1" s="35" t="str">
        <f>+SOAS!B2</f>
        <v>2025-26</v>
      </c>
    </row>
    <row r="2" spans="1:8" x14ac:dyDescent="0.2">
      <c r="B2" s="35" t="s">
        <v>476</v>
      </c>
    </row>
    <row r="3" spans="1:8" x14ac:dyDescent="0.2">
      <c r="B3" s="35" t="s">
        <v>840</v>
      </c>
    </row>
    <row r="5" spans="1:8" x14ac:dyDescent="0.2">
      <c r="A5" s="36"/>
      <c r="B5" s="37" t="s">
        <v>1969</v>
      </c>
    </row>
    <row r="6" spans="1:8" x14ac:dyDescent="0.2">
      <c r="A6" s="36"/>
      <c r="B6" s="34" t="s">
        <v>1970</v>
      </c>
    </row>
    <row r="7" spans="1:8" x14ac:dyDescent="0.2">
      <c r="A7" s="36"/>
    </row>
    <row r="8" spans="1:8" x14ac:dyDescent="0.2">
      <c r="A8" s="36"/>
      <c r="B8" s="34" t="s">
        <v>2176</v>
      </c>
    </row>
    <row r="9" spans="1:8" x14ac:dyDescent="0.2">
      <c r="A9" s="36"/>
      <c r="B9" s="37"/>
    </row>
    <row r="10" spans="1:8" ht="25.5" customHeight="1" x14ac:dyDescent="0.2">
      <c r="B10" s="1906" t="s">
        <v>2112</v>
      </c>
      <c r="C10" s="1907" t="s">
        <v>461</v>
      </c>
      <c r="D10" s="1908" t="s">
        <v>2849</v>
      </c>
      <c r="E10" s="1908"/>
      <c r="F10" s="1908" t="s">
        <v>2851</v>
      </c>
      <c r="G10" s="1908"/>
    </row>
    <row r="11" spans="1:8" ht="25.5" x14ac:dyDescent="0.2">
      <c r="B11" s="1906"/>
      <c r="C11" s="1907"/>
      <c r="D11" s="1363" t="s">
        <v>2623</v>
      </c>
      <c r="E11" s="1363" t="s">
        <v>2624</v>
      </c>
      <c r="F11" s="1363" t="s">
        <v>2623</v>
      </c>
      <c r="G11" s="1363" t="s">
        <v>2624</v>
      </c>
    </row>
    <row r="12" spans="1:8" x14ac:dyDescent="0.2">
      <c r="B12" s="1364"/>
      <c r="D12" s="1364"/>
      <c r="E12" s="1364"/>
      <c r="F12" s="1364">
        <f>ROUND(SUMIF(MAP!$E$389:$E$406,$B12,MAP!$N$389:$N$406),0)</f>
        <v>0</v>
      </c>
      <c r="G12" s="1364"/>
    </row>
    <row r="13" spans="1:8" x14ac:dyDescent="0.2">
      <c r="B13" s="65" t="s">
        <v>2620</v>
      </c>
      <c r="D13" s="65">
        <f>-(+'CFER RECONCILIATION'!E17)</f>
        <v>-1419</v>
      </c>
      <c r="E13" s="1365">
        <f>-ROUND((+'CFER RECONCILIATION'!G20+'CFER RECONCILIATION'!E12-'CFER RECONCILIATION'!E20),0)</f>
        <v>0</v>
      </c>
      <c r="F13" s="65">
        <v>-1419</v>
      </c>
      <c r="G13" s="1365">
        <v>-373</v>
      </c>
    </row>
    <row r="14" spans="1:8" x14ac:dyDescent="0.2">
      <c r="B14" s="68"/>
      <c r="D14" s="65"/>
      <c r="E14" s="1365"/>
      <c r="F14" s="65"/>
      <c r="G14" s="1365"/>
    </row>
    <row r="15" spans="1:8" x14ac:dyDescent="0.2">
      <c r="B15" s="1367" t="s">
        <v>2621</v>
      </c>
      <c r="C15" s="1366"/>
      <c r="D15" s="1367">
        <v>0</v>
      </c>
      <c r="E15" s="1640">
        <v>0</v>
      </c>
      <c r="F15" s="1367"/>
      <c r="G15" s="1640"/>
      <c r="H15" s="834"/>
    </row>
    <row r="16" spans="1:8" x14ac:dyDescent="0.2">
      <c r="B16" s="65"/>
      <c r="D16" s="65"/>
      <c r="E16" s="1365"/>
      <c r="F16" s="65"/>
      <c r="G16" s="1365"/>
    </row>
    <row r="17" spans="2:7" ht="25.5" x14ac:dyDescent="0.2">
      <c r="B17" s="93" t="s">
        <v>2622</v>
      </c>
      <c r="D17" s="65"/>
      <c r="E17" s="1365"/>
      <c r="F17" s="65"/>
      <c r="G17" s="1365"/>
    </row>
    <row r="18" spans="2:7" x14ac:dyDescent="0.2">
      <c r="B18" s="65"/>
      <c r="D18" s="65"/>
      <c r="E18" s="1365"/>
      <c r="F18" s="65"/>
      <c r="G18" s="1365"/>
    </row>
    <row r="19" spans="2:7" s="37" customFormat="1" ht="20.45" customHeight="1" x14ac:dyDescent="0.2">
      <c r="B19" s="361" t="s">
        <v>2177</v>
      </c>
      <c r="C19" s="1368"/>
      <c r="D19" s="361">
        <f>SUM(D13:D17)</f>
        <v>-1419</v>
      </c>
      <c r="E19" s="361">
        <f>SUM(E13:E17)</f>
        <v>0</v>
      </c>
      <c r="F19" s="361">
        <f>SUM(F13:F17)</f>
        <v>-1419</v>
      </c>
      <c r="G19" s="361">
        <f>SUM(G13:G17)</f>
        <v>-373</v>
      </c>
    </row>
    <row r="21" spans="2:7" ht="12.75" customHeight="1" x14ac:dyDescent="0.2">
      <c r="B21" s="1909" t="s">
        <v>2527</v>
      </c>
      <c r="C21" s="1909"/>
      <c r="D21" s="1909"/>
      <c r="E21" s="1909"/>
      <c r="F21" s="1909"/>
      <c r="G21" s="1909"/>
    </row>
    <row r="22" spans="2:7" x14ac:dyDescent="0.2">
      <c r="B22" s="1909"/>
      <c r="C22" s="1909"/>
      <c r="D22" s="1909"/>
      <c r="E22" s="1909"/>
      <c r="F22" s="1909"/>
      <c r="G22" s="1909"/>
    </row>
    <row r="24" spans="2:7" x14ac:dyDescent="0.2">
      <c r="E24" s="110" t="str">
        <f>IF(ROUND(E19-'SOAS 1.1'!I31-'SOAS 1.2'!I49,0)=0,"OK","ERROR")</f>
        <v>OK</v>
      </c>
      <c r="G24" s="110" t="str">
        <f>IF(ROUND(G19+'SOAS 1.1'!N31+'SOAS 1.2'!J30,0)=0,"OK","ERROR")</f>
        <v>ERROR</v>
      </c>
    </row>
    <row r="25" spans="2:7" x14ac:dyDescent="0.2">
      <c r="E25" s="110" t="str">
        <f>IF(ROUND(E19,0)=ROUND(SCF!F29+SCF!D63,0),"OK","ERROR")</f>
        <v>ERROR</v>
      </c>
      <c r="G25" s="110" t="str">
        <f>IF(ROUND(G19,0)=ROUND(SCF!O29,0),"OK","ERROR")</f>
        <v>ERROR</v>
      </c>
    </row>
  </sheetData>
  <mergeCells count="5">
    <mergeCell ref="B10:B11"/>
    <mergeCell ref="C10:C11"/>
    <mergeCell ref="D10:E10"/>
    <mergeCell ref="F10:G10"/>
    <mergeCell ref="B21:G22"/>
  </mergeCells>
  <pageMargins left="0.35433070866141736" right="0.47244094488188981" top="0.19685039370078741" bottom="0.19685039370078741" header="0.31496062992125984" footer="0.31496062992125984"/>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278B-086E-48C2-9ECA-104BAEF76EA7}">
  <sheetPr codeName="Sheet6">
    <tabColor theme="7" tint="0.39997558519241921"/>
  </sheetPr>
  <dimension ref="A1:G32"/>
  <sheetViews>
    <sheetView zoomScaleNormal="100" workbookViewId="0"/>
  </sheetViews>
  <sheetFormatPr defaultColWidth="9" defaultRowHeight="12.75" x14ac:dyDescent="0.2"/>
  <cols>
    <col min="1" max="1" width="59.42578125" style="675" customWidth="1"/>
    <col min="2" max="3" width="21.28515625" style="675" customWidth="1"/>
    <col min="4" max="4" width="9" style="675"/>
    <col min="5" max="5" width="10.140625" style="675" bestFit="1" customWidth="1"/>
    <col min="6" max="16384" width="9" style="675"/>
  </cols>
  <sheetData>
    <row r="1" spans="1:7" s="1759" customFormat="1" ht="15.75" x14ac:dyDescent="0.25">
      <c r="A1" s="1095" t="str">
        <f>'alb Instructions'!$B$20</f>
        <v>enter HSC Body name here</v>
      </c>
      <c r="B1" s="1869"/>
      <c r="C1" s="1870"/>
      <c r="D1" s="1079"/>
      <c r="E1" s="1079"/>
      <c r="F1" s="1079"/>
      <c r="G1" s="1079"/>
    </row>
    <row r="2" spans="1:7" s="1759" customFormat="1" x14ac:dyDescent="0.2">
      <c r="A2" s="1078"/>
      <c r="B2" s="1078"/>
      <c r="C2" s="1079"/>
      <c r="D2" s="1079"/>
      <c r="E2" s="1079"/>
      <c r="F2" s="1079"/>
      <c r="G2" s="1079"/>
    </row>
    <row r="3" spans="1:7" x14ac:dyDescent="0.2">
      <c r="A3" s="1095" t="str">
        <f>"NOTES TO THE ACCOUNTS FOR THE YEAR ENDED"&amp;Update!$B$22</f>
        <v>NOTES TO THE ACCOUNTS FOR THE YEAR ENDED 31 March 2026</v>
      </c>
      <c r="B3" s="1078"/>
      <c r="C3" s="2155"/>
      <c r="D3" s="2155"/>
      <c r="E3" s="2126"/>
      <c r="F3" s="2126"/>
      <c r="G3" s="2126"/>
    </row>
    <row r="4" spans="1:7" x14ac:dyDescent="0.2">
      <c r="A4" s="1078"/>
      <c r="B4" s="1078"/>
      <c r="C4" s="1079"/>
      <c r="D4" s="1079"/>
      <c r="E4" s="1079"/>
      <c r="F4" s="1079"/>
      <c r="G4" s="1079"/>
    </row>
    <row r="5" spans="1:7" ht="12.75" customHeight="1" x14ac:dyDescent="0.2">
      <c r="A5" s="1078" t="str">
        <f>"NOTE 14.5 SCHEME LIABILITY - "&amp;Update!$B$38</f>
        <v>NOTE 14.5 SCHEME LIABILITY - 2026</v>
      </c>
      <c r="B5" s="1871" t="s">
        <v>1218</v>
      </c>
      <c r="C5" s="1871" t="s">
        <v>1218</v>
      </c>
      <c r="D5" s="1079"/>
      <c r="E5" s="1079"/>
      <c r="F5" s="1079"/>
      <c r="G5" s="1079"/>
    </row>
    <row r="6" spans="1:7" ht="12.75" customHeight="1" x14ac:dyDescent="0.2">
      <c r="A6" s="1078"/>
      <c r="B6" s="1075"/>
      <c r="C6" s="1074"/>
      <c r="D6" s="1079"/>
      <c r="E6" s="1079"/>
      <c r="F6" s="1079"/>
      <c r="G6" s="1079"/>
    </row>
    <row r="7" spans="1:7" ht="12.75" customHeight="1" x14ac:dyDescent="0.2">
      <c r="A7" s="1078"/>
      <c r="B7" s="1074" t="str">
        <f>Update!$C$38</f>
        <v>2025-26</v>
      </c>
      <c r="C7" s="1074" t="str">
        <f>Update!$C$37</f>
        <v>2024-25</v>
      </c>
      <c r="D7" s="1079"/>
      <c r="E7" s="1079"/>
      <c r="F7" s="1079"/>
      <c r="G7" s="1079"/>
    </row>
    <row r="8" spans="1:7" ht="25.5" x14ac:dyDescent="0.2">
      <c r="A8" s="1872"/>
      <c r="B8" s="1075" t="s">
        <v>2814</v>
      </c>
      <c r="C8" s="1075" t="s">
        <v>2814</v>
      </c>
      <c r="D8" s="1075"/>
      <c r="E8" s="1075"/>
      <c r="F8" s="1075"/>
      <c r="G8" s="1075"/>
    </row>
    <row r="9" spans="1:7" x14ac:dyDescent="0.2">
      <c r="A9" s="1079"/>
      <c r="B9" s="1096" t="s">
        <v>493</v>
      </c>
      <c r="C9" s="1096" t="s">
        <v>493</v>
      </c>
      <c r="D9" s="1096"/>
      <c r="E9" s="1096"/>
      <c r="F9" s="1096"/>
      <c r="G9" s="1096"/>
    </row>
    <row r="10" spans="1:7" x14ac:dyDescent="0.2">
      <c r="A10" s="1079"/>
      <c r="B10" s="1079"/>
      <c r="C10" s="1079"/>
      <c r="D10" s="1079"/>
      <c r="E10" s="1079"/>
      <c r="F10" s="1079"/>
      <c r="G10" s="1079"/>
    </row>
    <row r="11" spans="1:7" x14ac:dyDescent="0.2">
      <c r="A11" s="1095" t="str">
        <f>"At"&amp;Update!$B$20</f>
        <v>At 1 April 2025</v>
      </c>
      <c r="B11" s="1080">
        <f>C28</f>
        <v>0</v>
      </c>
      <c r="C11" s="1760"/>
      <c r="D11" s="1097"/>
      <c r="E11" s="1097"/>
      <c r="F11" s="1097"/>
      <c r="G11" s="1097"/>
    </row>
    <row r="12" spans="1:7" x14ac:dyDescent="0.2">
      <c r="A12" s="1079"/>
      <c r="B12" s="1080"/>
      <c r="C12" s="1080"/>
      <c r="D12" s="1097"/>
      <c r="E12" s="1097"/>
      <c r="F12" s="1097"/>
      <c r="G12" s="1097"/>
    </row>
    <row r="13" spans="1:7" hidden="1" x14ac:dyDescent="0.2">
      <c r="A13" s="1079" t="s">
        <v>2815</v>
      </c>
      <c r="B13" s="1873"/>
      <c r="C13" s="1873"/>
      <c r="D13" s="1097"/>
      <c r="E13" s="1097"/>
      <c r="F13" s="1097"/>
      <c r="G13" s="1097"/>
    </row>
    <row r="14" spans="1:7" x14ac:dyDescent="0.2">
      <c r="A14" s="1079" t="s">
        <v>2391</v>
      </c>
      <c r="B14" s="1760"/>
      <c r="C14" s="1760"/>
      <c r="D14" s="1097"/>
      <c r="E14" s="1097"/>
      <c r="F14" s="1097"/>
      <c r="G14" s="1097"/>
    </row>
    <row r="15" spans="1:7" x14ac:dyDescent="0.2">
      <c r="A15" s="1079"/>
      <c r="B15" s="1097"/>
      <c r="C15" s="1097"/>
      <c r="D15" s="1097"/>
      <c r="E15" s="1097"/>
      <c r="F15" s="1097"/>
      <c r="G15" s="1097"/>
    </row>
    <row r="16" spans="1:7" x14ac:dyDescent="0.2">
      <c r="A16" s="1079" t="s">
        <v>2392</v>
      </c>
      <c r="B16" s="1760"/>
      <c r="C16" s="1760"/>
      <c r="D16" s="1097"/>
      <c r="E16" s="1097"/>
      <c r="F16" s="1097"/>
      <c r="G16" s="1097"/>
    </row>
    <row r="17" spans="1:7" x14ac:dyDescent="0.2">
      <c r="A17" s="1079"/>
      <c r="B17" s="1097"/>
      <c r="C17" s="1097"/>
      <c r="D17" s="1097"/>
      <c r="E17" s="1097"/>
      <c r="F17" s="1097"/>
      <c r="G17" s="1097"/>
    </row>
    <row r="18" spans="1:7" x14ac:dyDescent="0.2">
      <c r="A18" s="1079" t="s">
        <v>2393</v>
      </c>
      <c r="B18" s="1760"/>
      <c r="C18" s="1760"/>
      <c r="D18" s="1097"/>
      <c r="E18" s="1097"/>
      <c r="F18" s="1097"/>
      <c r="G18" s="1097"/>
    </row>
    <row r="19" spans="1:7" x14ac:dyDescent="0.2">
      <c r="A19" s="1079"/>
      <c r="B19" s="1097"/>
      <c r="C19" s="1097"/>
      <c r="D19" s="1097"/>
      <c r="E19" s="1097"/>
      <c r="F19" s="1097"/>
      <c r="G19" s="1097"/>
    </row>
    <row r="20" spans="1:7" x14ac:dyDescent="0.2">
      <c r="A20" s="1079" t="s">
        <v>2394</v>
      </c>
      <c r="B20" s="1760"/>
      <c r="C20" s="1760"/>
      <c r="D20" s="1097"/>
      <c r="E20" s="1097"/>
      <c r="F20" s="1097"/>
      <c r="G20" s="1097"/>
    </row>
    <row r="21" spans="1:7" x14ac:dyDescent="0.2">
      <c r="A21" s="1079"/>
      <c r="B21" s="1097"/>
      <c r="C21" s="1097"/>
      <c r="D21" s="1097"/>
      <c r="E21" s="1097"/>
      <c r="F21" s="1097"/>
      <c r="G21" s="1097"/>
    </row>
    <row r="22" spans="1:7" x14ac:dyDescent="0.2">
      <c r="A22" s="1079" t="s">
        <v>2395</v>
      </c>
      <c r="B22" s="1760"/>
      <c r="C22" s="1760"/>
      <c r="D22" s="1097"/>
      <c r="E22" s="1097"/>
      <c r="F22" s="1097"/>
      <c r="G22" s="1097"/>
    </row>
    <row r="23" spans="1:7" x14ac:dyDescent="0.2">
      <c r="A23" s="1079"/>
      <c r="B23" s="1097"/>
      <c r="C23" s="1097"/>
      <c r="D23" s="1097"/>
      <c r="E23" s="1097"/>
      <c r="F23" s="1097"/>
      <c r="G23" s="1097"/>
    </row>
    <row r="24" spans="1:7" x14ac:dyDescent="0.2">
      <c r="A24" s="1079" t="s">
        <v>2396</v>
      </c>
      <c r="B24" s="1760"/>
      <c r="C24" s="1760"/>
      <c r="D24" s="1097"/>
      <c r="E24" s="1097"/>
      <c r="F24" s="1097"/>
      <c r="G24" s="1097"/>
    </row>
    <row r="25" spans="1:7" x14ac:dyDescent="0.2">
      <c r="A25" s="1079"/>
      <c r="B25" s="1097"/>
      <c r="C25" s="1097"/>
      <c r="D25" s="1097"/>
      <c r="E25" s="1097"/>
      <c r="F25" s="1097"/>
      <c r="G25" s="1097"/>
    </row>
    <row r="26" spans="1:7" x14ac:dyDescent="0.2">
      <c r="A26" s="1079" t="s">
        <v>2397</v>
      </c>
      <c r="B26" s="1760"/>
      <c r="C26" s="1760"/>
      <c r="D26" s="1097"/>
      <c r="E26" s="1097"/>
      <c r="F26" s="1097"/>
      <c r="G26" s="1097"/>
    </row>
    <row r="27" spans="1:7" x14ac:dyDescent="0.2">
      <c r="A27" s="1079"/>
      <c r="B27" s="1080"/>
      <c r="C27" s="1080"/>
      <c r="D27" s="1097"/>
      <c r="E27" s="1097"/>
      <c r="F27" s="1097"/>
      <c r="G27" s="1097"/>
    </row>
    <row r="28" spans="1:7" ht="13.5" thickBot="1" x14ac:dyDescent="0.25">
      <c r="A28" s="1095" t="str">
        <f>"At"&amp;Update!$B$22</f>
        <v>At 31 March 2026</v>
      </c>
      <c r="B28" s="1874">
        <f>SUM(B11:B26)</f>
        <v>0</v>
      </c>
      <c r="C28" s="1874">
        <f>SUM(C11:C26)</f>
        <v>0</v>
      </c>
      <c r="D28" s="1875"/>
      <c r="E28" s="1875"/>
      <c r="F28" s="1875"/>
      <c r="G28" s="1875"/>
    </row>
    <row r="29" spans="1:7" ht="13.5" thickTop="1" x14ac:dyDescent="0.2">
      <c r="A29" s="1079"/>
      <c r="B29" s="1079"/>
      <c r="C29" s="1079"/>
      <c r="D29" s="1079"/>
      <c r="E29" s="1079"/>
      <c r="F29" s="1079"/>
      <c r="G29" s="1079"/>
    </row>
    <row r="30" spans="1:7" x14ac:dyDescent="0.2">
      <c r="A30" s="1079"/>
      <c r="B30" s="1079"/>
      <c r="C30" s="1079"/>
      <c r="D30" s="1079"/>
      <c r="E30" s="1079"/>
      <c r="F30" s="1079"/>
      <c r="G30" s="1079"/>
    </row>
    <row r="31" spans="1:7" x14ac:dyDescent="0.2">
      <c r="A31" s="1876" t="s">
        <v>2816</v>
      </c>
      <c r="B31" s="1877"/>
      <c r="C31" s="1761"/>
    </row>
    <row r="32" spans="1:7" x14ac:dyDescent="0.2">
      <c r="A32" s="1761"/>
      <c r="B32" s="1761"/>
      <c r="C32" s="1761"/>
    </row>
  </sheetData>
  <sheetProtection algorithmName="SHA-512" hashValue="Ek2P+ZSUToc6g3NC2Q11f7v89qD6aHDwl/JstrcWrbc3SjkbkDkZ9Ls5v9mKq6hptSRmlrFoX2LxkIqsfr4FIA==" saltValue="ZMEaIetOQGkG1BUyZR+eKA==" spinCount="100000" sheet="1" formatColumns="0" formatRows="0"/>
  <mergeCells count="1">
    <mergeCell ref="C3:G3"/>
  </mergeCells>
  <conditionalFormatting sqref="A3">
    <cfRule type="expression" dxfId="79" priority="2">
      <formula>CELL("Protect",A3)=0</formula>
    </cfRule>
  </conditionalFormatting>
  <conditionalFormatting sqref="B13:C13">
    <cfRule type="expression" dxfId="78" priority="1">
      <formula>CELL("Protect",B13)=0</formula>
    </cfRule>
  </conditionalFormatting>
  <printOptions horizontalCentered="1"/>
  <pageMargins left="0.74803149606299213" right="0.74803149606299213" top="0.98425196850393704" bottom="0.98425196850393704" header="0.51181102362204722" footer="0.51181102362204722"/>
  <pageSetup paperSize="9" scale="88" firstPageNumber="100" fitToHeight="2" orientation="portrait" r:id="rId1"/>
  <headerFooter alignWithMargins="0">
    <oddFooter>&amp;R&amp;P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90C26-2221-4313-B88C-4A2CAD153AE3}">
  <sheetPr codeName="Sheet7">
    <tabColor theme="7" tint="0.39997558519241921"/>
  </sheetPr>
  <dimension ref="A1:E68"/>
  <sheetViews>
    <sheetView topLeftCell="A30" zoomScaleNormal="100" workbookViewId="0">
      <selection activeCell="A68" sqref="A68:E68"/>
    </sheetView>
  </sheetViews>
  <sheetFormatPr defaultColWidth="9" defaultRowHeight="12.75" x14ac:dyDescent="0.2"/>
  <cols>
    <col min="1" max="1" width="52.28515625" style="675" customWidth="1"/>
    <col min="2" max="2" width="12.85546875" style="675" bestFit="1" customWidth="1"/>
    <col min="3" max="3" width="15" style="675" bestFit="1" customWidth="1"/>
    <col min="4" max="4" width="1.7109375" style="675" customWidth="1"/>
    <col min="5" max="5" width="14.28515625" style="675" customWidth="1"/>
    <col min="6" max="6" width="9" style="675"/>
    <col min="7" max="7" width="10.140625" style="675" bestFit="1" customWidth="1"/>
    <col min="8" max="16384" width="9" style="675"/>
  </cols>
  <sheetData>
    <row r="1" spans="1:5" s="1759" customFormat="1" x14ac:dyDescent="0.2">
      <c r="A1" s="1762"/>
      <c r="E1" s="1763" t="s">
        <v>1218</v>
      </c>
    </row>
    <row r="2" spans="1:5" x14ac:dyDescent="0.2">
      <c r="A2" s="1762" t="str">
        <f>"NOTES TO THE ACCOUNTS FOR THE YEAR ENDED"&amp;Update!$B$22</f>
        <v>NOTES TO THE ACCOUNTS FOR THE YEAR ENDED 31 March 2026</v>
      </c>
      <c r="B2" s="1764"/>
      <c r="C2" s="1764"/>
      <c r="D2" s="1765"/>
      <c r="E2" s="1079"/>
    </row>
    <row r="3" spans="1:5" x14ac:dyDescent="0.2">
      <c r="A3" s="1764"/>
      <c r="B3" s="1764"/>
      <c r="C3" s="1765"/>
      <c r="D3" s="1765"/>
      <c r="E3" s="1079"/>
    </row>
    <row r="4" spans="1:5" ht="18" x14ac:dyDescent="0.25">
      <c r="A4" s="1766" t="s">
        <v>2817</v>
      </c>
      <c r="B4" s="1079"/>
      <c r="C4" s="1079"/>
      <c r="D4" s="1079"/>
      <c r="E4" s="1079"/>
    </row>
    <row r="5" spans="1:5" x14ac:dyDescent="0.2">
      <c r="A5" s="1079"/>
      <c r="B5" s="1079"/>
      <c r="C5" s="1079"/>
      <c r="D5" s="1079"/>
      <c r="E5" s="1079"/>
    </row>
    <row r="6" spans="1:5" x14ac:dyDescent="0.2">
      <c r="A6" s="1079"/>
      <c r="B6" s="1079"/>
      <c r="C6" s="1767">
        <f>Update!B38</f>
        <v>2026</v>
      </c>
      <c r="D6" s="1768"/>
      <c r="E6" s="1767">
        <f>Update!B37</f>
        <v>2025</v>
      </c>
    </row>
    <row r="7" spans="1:5" x14ac:dyDescent="0.2">
      <c r="A7" s="1769"/>
      <c r="B7" s="1079"/>
      <c r="C7" s="1770" t="s">
        <v>62</v>
      </c>
      <c r="D7" s="1771"/>
      <c r="E7" s="1770" t="s">
        <v>62</v>
      </c>
    </row>
    <row r="8" spans="1:5" x14ac:dyDescent="0.2">
      <c r="A8" s="1769"/>
      <c r="B8" s="1079"/>
      <c r="C8" s="1772"/>
      <c r="D8" s="1079"/>
      <c r="E8" s="1772"/>
    </row>
    <row r="9" spans="1:5" x14ac:dyDescent="0.2">
      <c r="A9" s="1095" t="str">
        <f>"At"&amp;Update!$B$20</f>
        <v>At 1 April 2025</v>
      </c>
      <c r="B9" s="1079"/>
      <c r="C9" s="1773">
        <f>E20</f>
        <v>0</v>
      </c>
      <c r="D9" s="1079"/>
      <c r="E9" s="1760"/>
    </row>
    <row r="10" spans="1:5" x14ac:dyDescent="0.2">
      <c r="A10" s="1078"/>
      <c r="B10" s="1079"/>
      <c r="C10" s="1773"/>
      <c r="D10" s="1079"/>
      <c r="E10" s="1774"/>
    </row>
    <row r="11" spans="1:5" x14ac:dyDescent="0.2">
      <c r="A11" s="1079" t="s">
        <v>905</v>
      </c>
      <c r="B11" s="1079"/>
      <c r="C11" s="1760"/>
      <c r="D11" s="1079"/>
      <c r="E11" s="1760"/>
    </row>
    <row r="12" spans="1:5" x14ac:dyDescent="0.2">
      <c r="A12" s="1079" t="s">
        <v>998</v>
      </c>
      <c r="B12" s="1079"/>
      <c r="C12" s="1760"/>
      <c r="D12" s="1079"/>
      <c r="E12" s="1760"/>
    </row>
    <row r="13" spans="1:5" x14ac:dyDescent="0.2">
      <c r="A13" s="1079" t="s">
        <v>999</v>
      </c>
      <c r="B13" s="1079"/>
      <c r="C13" s="1760"/>
      <c r="D13" s="1079"/>
      <c r="E13" s="1760"/>
    </row>
    <row r="14" spans="1:5" x14ac:dyDescent="0.2">
      <c r="A14" s="1079"/>
      <c r="B14" s="1079"/>
      <c r="C14" s="1775">
        <f>+C11+C12+C13</f>
        <v>0</v>
      </c>
      <c r="D14" s="1079"/>
      <c r="E14" s="1776">
        <f>+E11+E12+E13</f>
        <v>0</v>
      </c>
    </row>
    <row r="15" spans="1:5" x14ac:dyDescent="0.2">
      <c r="A15" s="1079"/>
      <c r="B15" s="1079"/>
      <c r="C15" s="1777"/>
      <c r="D15" s="1079"/>
      <c r="E15" s="1079"/>
    </row>
    <row r="16" spans="1:5" x14ac:dyDescent="0.2">
      <c r="A16" s="1079" t="s">
        <v>908</v>
      </c>
      <c r="B16" s="1079"/>
      <c r="C16" s="1760"/>
      <c r="D16" s="1079"/>
      <c r="E16" s="1760"/>
    </row>
    <row r="17" spans="1:5" x14ac:dyDescent="0.2">
      <c r="A17" s="1079" t="s">
        <v>1000</v>
      </c>
      <c r="B17" s="1079"/>
      <c r="C17" s="1760"/>
      <c r="D17" s="1079"/>
      <c r="E17" s="1760"/>
    </row>
    <row r="18" spans="1:5" x14ac:dyDescent="0.2">
      <c r="A18" s="1079" t="s">
        <v>1001</v>
      </c>
      <c r="B18" s="1079"/>
      <c r="C18" s="1760"/>
      <c r="D18" s="1778"/>
      <c r="E18" s="1760"/>
    </row>
    <row r="19" spans="1:5" x14ac:dyDescent="0.2">
      <c r="A19" s="1079" t="s">
        <v>2010</v>
      </c>
      <c r="B19" s="1079"/>
      <c r="C19" s="1779"/>
      <c r="D19" s="1079"/>
      <c r="E19" s="1779"/>
    </row>
    <row r="20" spans="1:5" ht="13.5" thickBot="1" x14ac:dyDescent="0.25">
      <c r="A20" s="1095" t="str">
        <f>"At"&amp;Update!$B$22</f>
        <v>At 31 March 2026</v>
      </c>
      <c r="B20" s="1079"/>
      <c r="C20" s="1780">
        <f>+C9+C14+C16+C17+C18+C19</f>
        <v>0</v>
      </c>
      <c r="D20" s="1079"/>
      <c r="E20" s="1781">
        <f>+E9+E14+E16+E17+E18+E19</f>
        <v>0</v>
      </c>
    </row>
    <row r="21" spans="1:5" ht="13.5" thickTop="1" x14ac:dyDescent="0.2">
      <c r="A21" s="1079"/>
      <c r="B21" s="1079"/>
      <c r="C21" s="1079"/>
      <c r="D21" s="1079"/>
      <c r="E21" s="1079"/>
    </row>
    <row r="22" spans="1:5" x14ac:dyDescent="0.2">
      <c r="A22" s="1079"/>
      <c r="B22" s="1079"/>
      <c r="C22" s="1079"/>
      <c r="D22" s="1079"/>
      <c r="E22" s="1079"/>
    </row>
    <row r="23" spans="1:5" x14ac:dyDescent="0.2">
      <c r="A23" s="2156" t="s">
        <v>2871</v>
      </c>
      <c r="B23" s="2156"/>
      <c r="C23" s="2156"/>
      <c r="D23" s="2156"/>
      <c r="E23" s="2156"/>
    </row>
    <row r="24" spans="1:5" x14ac:dyDescent="0.2">
      <c r="A24" s="1079"/>
      <c r="B24" s="1079"/>
      <c r="C24" s="1079"/>
      <c r="D24" s="1079"/>
      <c r="E24" s="1079"/>
    </row>
    <row r="25" spans="1:5" x14ac:dyDescent="0.2">
      <c r="A25" s="1079"/>
      <c r="B25" s="1079"/>
      <c r="C25" s="1079"/>
      <c r="D25" s="1079"/>
      <c r="E25" s="1079"/>
    </row>
    <row r="26" spans="1:5" x14ac:dyDescent="0.2">
      <c r="A26" s="1079"/>
      <c r="B26" s="1079"/>
      <c r="C26" s="1079"/>
      <c r="D26" s="1079"/>
    </row>
    <row r="27" spans="1:5" ht="18" x14ac:dyDescent="0.25">
      <c r="A27" s="1766" t="s">
        <v>2818</v>
      </c>
      <c r="B27" s="1079"/>
      <c r="C27" s="1079"/>
      <c r="D27" s="1079"/>
      <c r="E27" s="1079"/>
    </row>
    <row r="28" spans="1:5" x14ac:dyDescent="0.2">
      <c r="A28" s="1079"/>
      <c r="B28" s="1079"/>
      <c r="C28" s="1079"/>
      <c r="D28" s="1079"/>
      <c r="E28" s="1079"/>
    </row>
    <row r="29" spans="1:5" x14ac:dyDescent="0.2">
      <c r="A29" s="1079"/>
      <c r="B29" s="1079"/>
      <c r="C29" s="1767">
        <f>C6</f>
        <v>2026</v>
      </c>
      <c r="D29" s="1768"/>
      <c r="E29" s="1767">
        <f>E6</f>
        <v>2025</v>
      </c>
    </row>
    <row r="30" spans="1:5" x14ac:dyDescent="0.2">
      <c r="A30" s="1769"/>
      <c r="B30" s="1079"/>
      <c r="C30" s="1770" t="s">
        <v>62</v>
      </c>
      <c r="D30" s="1771"/>
      <c r="E30" s="1770" t="s">
        <v>62</v>
      </c>
    </row>
    <row r="31" spans="1:5" x14ac:dyDescent="0.2">
      <c r="A31" s="1769"/>
      <c r="B31" s="1079"/>
      <c r="C31" s="1772"/>
      <c r="D31" s="1079"/>
      <c r="E31" s="1772"/>
    </row>
    <row r="32" spans="1:5" x14ac:dyDescent="0.2">
      <c r="A32" s="1095" t="str">
        <f>"At"&amp;Update!$B$20</f>
        <v>At 1 April 2025</v>
      </c>
      <c r="B32" s="1079"/>
      <c r="C32" s="1773">
        <f>E43</f>
        <v>0</v>
      </c>
      <c r="D32" s="1079"/>
      <c r="E32" s="1760"/>
    </row>
    <row r="33" spans="1:5" x14ac:dyDescent="0.2">
      <c r="B33" s="1079"/>
      <c r="C33" s="1773"/>
      <c r="D33" s="1079"/>
      <c r="E33" s="1774"/>
    </row>
    <row r="34" spans="1:5" x14ac:dyDescent="0.2">
      <c r="A34" s="1079" t="s">
        <v>2007</v>
      </c>
      <c r="B34" s="1079"/>
      <c r="C34" s="1760"/>
      <c r="D34" s="1079"/>
      <c r="E34" s="1760"/>
    </row>
    <row r="35" spans="1:5" x14ac:dyDescent="0.2">
      <c r="A35" s="1782" t="s">
        <v>2008</v>
      </c>
      <c r="B35" s="1079"/>
      <c r="C35" s="1760"/>
      <c r="D35" s="1079"/>
      <c r="E35" s="1760"/>
    </row>
    <row r="36" spans="1:5" x14ac:dyDescent="0.2">
      <c r="A36" s="1782" t="s">
        <v>907</v>
      </c>
      <c r="B36" s="1079"/>
      <c r="C36" s="1760"/>
      <c r="D36" s="1079"/>
      <c r="E36" s="1760"/>
    </row>
    <row r="37" spans="1:5" x14ac:dyDescent="0.2">
      <c r="A37" s="1079"/>
      <c r="B37" s="1079"/>
      <c r="C37" s="1775">
        <f>+C34+C35+C36</f>
        <v>0</v>
      </c>
      <c r="D37" s="1079"/>
      <c r="E37" s="1776">
        <f>+E34+E35+E36</f>
        <v>0</v>
      </c>
    </row>
    <row r="38" spans="1:5" x14ac:dyDescent="0.2">
      <c r="B38" s="1079"/>
      <c r="C38" s="1777"/>
      <c r="D38" s="1079"/>
      <c r="E38" s="1079"/>
    </row>
    <row r="39" spans="1:5" x14ac:dyDescent="0.2">
      <c r="A39" s="1782" t="s">
        <v>2009</v>
      </c>
      <c r="B39" s="1079"/>
      <c r="C39" s="1760"/>
      <c r="D39" s="1079"/>
      <c r="E39" s="1760"/>
    </row>
    <row r="40" spans="1:5" x14ac:dyDescent="0.2">
      <c r="A40" s="1167" t="s">
        <v>2011</v>
      </c>
      <c r="B40" s="1079"/>
      <c r="C40" s="1760"/>
      <c r="D40" s="1079"/>
      <c r="E40" s="1760"/>
    </row>
    <row r="41" spans="1:5" x14ac:dyDescent="0.2">
      <c r="A41" s="1167" t="s">
        <v>2020</v>
      </c>
      <c r="B41" s="1079"/>
      <c r="C41" s="1760"/>
      <c r="D41" s="1778"/>
      <c r="E41" s="1760"/>
    </row>
    <row r="42" spans="1:5" x14ac:dyDescent="0.2">
      <c r="A42" s="1782" t="s">
        <v>2012</v>
      </c>
      <c r="B42" s="1079"/>
      <c r="C42" s="1779"/>
      <c r="D42" s="1079"/>
      <c r="E42" s="1779"/>
    </row>
    <row r="43" spans="1:5" ht="13.5" thickBot="1" x14ac:dyDescent="0.25">
      <c r="A43" s="1095" t="str">
        <f>"At"&amp;Update!$B$22</f>
        <v>At 31 March 2026</v>
      </c>
      <c r="B43" s="1079"/>
      <c r="C43" s="1780">
        <f>+C32+C37+C39+C40+C41+C42</f>
        <v>0</v>
      </c>
      <c r="D43" s="1079"/>
      <c r="E43" s="1781">
        <f>+E32+E37+E39+E40+E41+E42</f>
        <v>0</v>
      </c>
    </row>
    <row r="44" spans="1:5" ht="13.5" thickTop="1" x14ac:dyDescent="0.2">
      <c r="A44" s="1079"/>
      <c r="B44" s="1079"/>
      <c r="C44" s="1079"/>
      <c r="D44" s="1079"/>
      <c r="E44" s="1079"/>
    </row>
    <row r="45" spans="1:5" ht="37.15" customHeight="1" x14ac:dyDescent="0.2">
      <c r="A45" s="2156" t="s">
        <v>2869</v>
      </c>
      <c r="B45" s="2156"/>
      <c r="C45" s="2156"/>
      <c r="D45" s="2156"/>
      <c r="E45" s="2156"/>
    </row>
    <row r="46" spans="1:5" x14ac:dyDescent="0.2">
      <c r="A46" s="1761"/>
      <c r="B46" s="1761"/>
      <c r="C46" s="1761"/>
      <c r="D46" s="1761"/>
      <c r="E46" s="1761"/>
    </row>
    <row r="47" spans="1:5" x14ac:dyDescent="0.2">
      <c r="A47" s="1761"/>
      <c r="B47" s="1761"/>
      <c r="C47" s="1761"/>
      <c r="D47" s="1761"/>
      <c r="E47" s="1761"/>
    </row>
    <row r="48" spans="1:5" x14ac:dyDescent="0.2">
      <c r="A48" s="1761"/>
      <c r="B48" s="1761"/>
      <c r="C48" s="1761"/>
      <c r="D48" s="1761"/>
      <c r="E48" s="1761"/>
    </row>
    <row r="49" spans="1:5" ht="18" x14ac:dyDescent="0.25">
      <c r="A49" s="1766" t="s">
        <v>2819</v>
      </c>
      <c r="B49" s="1079"/>
      <c r="C49" s="1079"/>
      <c r="D49" s="1079"/>
      <c r="E49" s="1079"/>
    </row>
    <row r="50" spans="1:5" x14ac:dyDescent="0.2">
      <c r="A50" s="1079"/>
      <c r="B50" s="1079"/>
      <c r="C50" s="1079"/>
      <c r="D50" s="1079"/>
      <c r="E50" s="1079"/>
    </row>
    <row r="51" spans="1:5" x14ac:dyDescent="0.2">
      <c r="A51" s="1079"/>
      <c r="B51" s="1079"/>
      <c r="C51" s="1767">
        <f>C$6</f>
        <v>2026</v>
      </c>
      <c r="D51" s="1768"/>
      <c r="E51" s="1767">
        <f>E$6</f>
        <v>2025</v>
      </c>
    </row>
    <row r="52" spans="1:5" x14ac:dyDescent="0.2">
      <c r="A52" s="1769"/>
      <c r="B52" s="1079"/>
      <c r="C52" s="1770" t="s">
        <v>62</v>
      </c>
      <c r="D52" s="1771"/>
      <c r="E52" s="1770" t="s">
        <v>62</v>
      </c>
    </row>
    <row r="53" spans="1:5" x14ac:dyDescent="0.2">
      <c r="A53" s="1769"/>
      <c r="B53" s="1079"/>
      <c r="C53" s="1772"/>
      <c r="D53" s="1079"/>
      <c r="E53" s="1772"/>
    </row>
    <row r="54" spans="1:5" x14ac:dyDescent="0.2">
      <c r="A54" s="1095" t="str">
        <f>"At"&amp;Update!$B$20</f>
        <v>At 1 April 2025</v>
      </c>
      <c r="B54" s="1079"/>
      <c r="C54" s="1773">
        <f>E65</f>
        <v>0</v>
      </c>
      <c r="D54" s="1079"/>
      <c r="E54" s="1760"/>
    </row>
    <row r="55" spans="1:5" x14ac:dyDescent="0.2">
      <c r="B55" s="1079"/>
      <c r="C55" s="1773"/>
      <c r="D55" s="1079"/>
      <c r="E55" s="1774"/>
    </row>
    <row r="56" spans="1:5" x14ac:dyDescent="0.2">
      <c r="A56" s="1079" t="s">
        <v>2013</v>
      </c>
      <c r="B56" s="1079"/>
      <c r="C56" s="1760"/>
      <c r="D56" s="1079"/>
      <c r="E56" s="1760"/>
    </row>
    <row r="57" spans="1:5" x14ac:dyDescent="0.2">
      <c r="A57" s="1782" t="s">
        <v>2014</v>
      </c>
      <c r="B57" s="1079"/>
      <c r="C57" s="1760"/>
      <c r="D57" s="1079"/>
      <c r="E57" s="1760"/>
    </row>
    <row r="58" spans="1:5" x14ac:dyDescent="0.2">
      <c r="A58" s="1782" t="s">
        <v>2015</v>
      </c>
      <c r="B58" s="1079"/>
      <c r="C58" s="1760"/>
      <c r="D58" s="1079"/>
      <c r="E58" s="1760"/>
    </row>
    <row r="59" spans="1:5" x14ac:dyDescent="0.2">
      <c r="A59" s="1079"/>
      <c r="B59" s="1079"/>
      <c r="C59" s="1775">
        <f>+C56+C57+C58</f>
        <v>0</v>
      </c>
      <c r="D59" s="1079"/>
      <c r="E59" s="1776">
        <f>+E56+E57+E58</f>
        <v>0</v>
      </c>
    </row>
    <row r="60" spans="1:5" x14ac:dyDescent="0.2">
      <c r="A60" s="1079"/>
      <c r="B60" s="1079"/>
      <c r="C60" s="1777"/>
      <c r="D60" s="1079"/>
      <c r="E60" s="1079"/>
    </row>
    <row r="61" spans="1:5" x14ac:dyDescent="0.2">
      <c r="A61" s="1782" t="s">
        <v>2016</v>
      </c>
      <c r="B61" s="1079"/>
      <c r="C61" s="1760"/>
      <c r="D61" s="1079"/>
      <c r="E61" s="1760"/>
    </row>
    <row r="62" spans="1:5" x14ac:dyDescent="0.2">
      <c r="A62" s="1167" t="s">
        <v>2017</v>
      </c>
      <c r="B62" s="1079"/>
      <c r="C62" s="1760"/>
      <c r="D62" s="1079"/>
      <c r="E62" s="1760"/>
    </row>
    <row r="63" spans="1:5" x14ac:dyDescent="0.2">
      <c r="A63" s="1167" t="s">
        <v>2018</v>
      </c>
      <c r="B63" s="1079"/>
      <c r="C63" s="1760"/>
      <c r="D63" s="1778"/>
      <c r="E63" s="1760"/>
    </row>
    <row r="64" spans="1:5" x14ac:dyDescent="0.2">
      <c r="A64" s="1782" t="s">
        <v>2019</v>
      </c>
      <c r="B64" s="1079"/>
      <c r="C64" s="1779"/>
      <c r="D64" s="1079"/>
      <c r="E64" s="1779"/>
    </row>
    <row r="65" spans="1:5" ht="13.5" thickBot="1" x14ac:dyDescent="0.25">
      <c r="A65" s="1095" t="str">
        <f>"At"&amp;Update!$B$22</f>
        <v>At 31 March 2026</v>
      </c>
      <c r="B65" s="1079"/>
      <c r="C65" s="1780">
        <f>+C54+C59+C61+C62+C63+C64</f>
        <v>0</v>
      </c>
      <c r="D65" s="1079"/>
      <c r="E65" s="1781">
        <f>+E54+E59+E61+E62+E63+E64</f>
        <v>0</v>
      </c>
    </row>
    <row r="66" spans="1:5" ht="13.5" thickTop="1" x14ac:dyDescent="0.2">
      <c r="A66" s="1079"/>
      <c r="B66" s="1079"/>
      <c r="C66" s="1079"/>
      <c r="D66" s="1079"/>
      <c r="E66" s="1079"/>
    </row>
    <row r="67" spans="1:5" x14ac:dyDescent="0.2">
      <c r="A67" s="1079"/>
      <c r="B67" s="1079"/>
      <c r="C67" s="1079"/>
      <c r="D67" s="1079"/>
      <c r="E67" s="1079"/>
    </row>
    <row r="68" spans="1:5" ht="43.9" customHeight="1" x14ac:dyDescent="0.2">
      <c r="A68" s="2156" t="s">
        <v>2870</v>
      </c>
      <c r="B68" s="2156"/>
      <c r="C68" s="2156"/>
      <c r="D68" s="2156"/>
      <c r="E68" s="2156"/>
    </row>
  </sheetData>
  <sheetProtection algorithmName="SHA-512" hashValue="X1xp9MpYX467bt3MvsqQ8uums/qH5IDWIpBGhLj39YM+yNJsTELn/PxHz64YjEWcjfSRxp4TYzhMrpoEU5ilTg==" saltValue="FviZys0B2MBOxAAVC6seBA==" spinCount="100000" sheet="1" formatColumns="0" formatRows="0"/>
  <mergeCells count="3">
    <mergeCell ref="A23:E23"/>
    <mergeCell ref="A45:E45"/>
    <mergeCell ref="A68:E68"/>
  </mergeCells>
  <printOptions horizontalCentered="1"/>
  <pageMargins left="0.74803149606299213" right="0.74803149606299213" top="0.98425196850393704" bottom="0.98425196850393704" header="0.51181102362204722" footer="0.51181102362204722"/>
  <pageSetup paperSize="9" scale="88" firstPageNumber="100" fitToHeight="2" orientation="portrait" r:id="rId1"/>
  <headerFooter alignWithMargins="0">
    <oddFooter>&amp;R&amp;P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4">
    <tabColor rgb="FFFFFF00"/>
    <pageSetUpPr fitToPage="1"/>
  </sheetPr>
  <dimension ref="A1:H31"/>
  <sheetViews>
    <sheetView zoomScaleNormal="100" workbookViewId="0"/>
  </sheetViews>
  <sheetFormatPr defaultColWidth="9.140625" defaultRowHeight="12.75" x14ac:dyDescent="0.2"/>
  <cols>
    <col min="1" max="1" width="54" style="397" customWidth="1"/>
    <col min="2" max="2" width="12.7109375" style="397" customWidth="1"/>
    <col min="3" max="3" width="12.42578125" style="397" customWidth="1"/>
    <col min="4" max="4" width="9.140625" style="397"/>
    <col min="5" max="5" width="13.5703125" style="397" bestFit="1" customWidth="1"/>
    <col min="6" max="6" width="5.42578125" style="397" bestFit="1" customWidth="1"/>
    <col min="7" max="7" width="9.28515625" style="397" customWidth="1"/>
    <col min="8" max="16384" width="9.140625" style="397"/>
  </cols>
  <sheetData>
    <row r="1" spans="1:8" ht="14.65" customHeight="1" x14ac:dyDescent="0.2">
      <c r="A1" s="416" t="str">
        <f>'alb Instructions'!$B$20</f>
        <v>enter HSC Body name here</v>
      </c>
      <c r="B1" s="449"/>
      <c r="C1" s="449"/>
    </row>
    <row r="2" spans="1:8" ht="12.75" customHeight="1" x14ac:dyDescent="0.2">
      <c r="A2" s="388"/>
      <c r="C2" s="501"/>
    </row>
    <row r="3" spans="1:8" ht="12.75" customHeight="1" x14ac:dyDescent="0.2">
      <c r="A3" s="416" t="str">
        <f>"NOTES TO THE ACCOUNTS FOR THE YEAR ENDED"&amp;Update!$B$22</f>
        <v>NOTES TO THE ACCOUNTS FOR THE YEAR ENDED 31 March 2026</v>
      </c>
      <c r="C3" s="501"/>
    </row>
    <row r="4" spans="1:8" ht="12.75" customHeight="1" x14ac:dyDescent="0.2">
      <c r="A4" s="388"/>
    </row>
    <row r="5" spans="1:8" ht="12.75" customHeight="1" x14ac:dyDescent="0.2">
      <c r="A5" s="388" t="s">
        <v>2349</v>
      </c>
    </row>
    <row r="6" spans="1:8" ht="12.75" customHeight="1" x14ac:dyDescent="0.2"/>
    <row r="7" spans="1:8" ht="39.75" customHeight="1" x14ac:dyDescent="0.2">
      <c r="A7" s="1930" t="s">
        <v>846</v>
      </c>
      <c r="B7" s="1930"/>
      <c r="C7" s="1930"/>
      <c r="E7" s="388" t="s">
        <v>1297</v>
      </c>
      <c r="F7" s="388"/>
      <c r="G7" s="388"/>
    </row>
    <row r="8" spans="1:8" ht="30" customHeight="1" x14ac:dyDescent="0.2">
      <c r="A8" s="388"/>
      <c r="E8" s="414" t="s">
        <v>146</v>
      </c>
      <c r="F8" s="414" t="s">
        <v>1294</v>
      </c>
      <c r="G8" s="412" t="s">
        <v>932</v>
      </c>
      <c r="H8" s="412" t="s">
        <v>63</v>
      </c>
    </row>
    <row r="9" spans="1:8" ht="12.75" customHeight="1" x14ac:dyDescent="0.2">
      <c r="B9" s="461" t="str">
        <f>Update!$C$38</f>
        <v>2025-26</v>
      </c>
      <c r="C9" s="461" t="str">
        <f>Update!$C$37</f>
        <v>2024-25</v>
      </c>
      <c r="E9" s="414" t="s">
        <v>493</v>
      </c>
      <c r="F9" s="414"/>
      <c r="G9" s="508" t="s">
        <v>62</v>
      </c>
      <c r="H9" s="508"/>
    </row>
    <row r="10" spans="1:8" ht="12.75" customHeight="1" x14ac:dyDescent="0.2">
      <c r="B10" s="468" t="s">
        <v>493</v>
      </c>
      <c r="C10" s="468" t="s">
        <v>493</v>
      </c>
      <c r="E10" s="468" t="s">
        <v>493</v>
      </c>
    </row>
    <row r="11" spans="1:8" ht="12.75" customHeight="1" x14ac:dyDescent="0.2">
      <c r="A11" s="397" t="s">
        <v>815</v>
      </c>
      <c r="B11" s="422"/>
      <c r="C11" s="422"/>
      <c r="E11" s="422"/>
      <c r="F11" s="422"/>
      <c r="G11" s="663">
        <f t="shared" ref="G11:G16" si="0">B11-E11</f>
        <v>0</v>
      </c>
      <c r="H11" s="409" t="str">
        <f t="shared" ref="H11:H16" si="1">IF(B11&gt;=0,IF(E11&gt;=0,IF(B11&gt;=E11,"Ok ","Check size "),"Check sign"),IF(E11&gt;0,"Check sign ",IF(ABS(B11)&gt;=ABS(E11),"Ok ","Check size ")))</f>
        <v xml:space="preserve">Ok </v>
      </c>
    </row>
    <row r="12" spans="1:8" ht="12.75" customHeight="1" x14ac:dyDescent="0.2">
      <c r="A12" s="397" t="s">
        <v>816</v>
      </c>
      <c r="B12" s="422"/>
      <c r="C12" s="422"/>
      <c r="E12" s="422"/>
      <c r="F12" s="422"/>
      <c r="G12" s="663">
        <f t="shared" si="0"/>
        <v>0</v>
      </c>
      <c r="H12" s="409" t="str">
        <f t="shared" si="1"/>
        <v xml:space="preserve">Ok </v>
      </c>
    </row>
    <row r="13" spans="1:8" ht="12.75" customHeight="1" x14ac:dyDescent="0.2">
      <c r="A13" s="397" t="s">
        <v>817</v>
      </c>
      <c r="B13" s="422"/>
      <c r="C13" s="422"/>
      <c r="E13" s="422"/>
      <c r="F13" s="422"/>
      <c r="G13" s="663">
        <f t="shared" si="0"/>
        <v>0</v>
      </c>
      <c r="H13" s="409" t="str">
        <f t="shared" si="1"/>
        <v xml:space="preserve">Ok </v>
      </c>
    </row>
    <row r="14" spans="1:8" ht="12.75" customHeight="1" x14ac:dyDescent="0.2">
      <c r="A14" s="397" t="s">
        <v>818</v>
      </c>
      <c r="B14" s="422"/>
      <c r="C14" s="422"/>
      <c r="E14" s="422"/>
      <c r="F14" s="422"/>
      <c r="G14" s="663">
        <f t="shared" si="0"/>
        <v>0</v>
      </c>
      <c r="H14" s="409" t="str">
        <f t="shared" si="1"/>
        <v xml:space="preserve">Ok </v>
      </c>
    </row>
    <row r="15" spans="1:8" ht="12.75" customHeight="1" x14ac:dyDescent="0.2">
      <c r="A15" s="397" t="s">
        <v>819</v>
      </c>
      <c r="B15" s="422"/>
      <c r="C15" s="422"/>
      <c r="E15" s="422"/>
      <c r="F15" s="422"/>
      <c r="G15" s="663">
        <f t="shared" si="0"/>
        <v>0</v>
      </c>
      <c r="H15" s="409" t="str">
        <f t="shared" si="1"/>
        <v xml:space="preserve">Ok </v>
      </c>
    </row>
    <row r="16" spans="1:8" ht="12.75" customHeight="1" x14ac:dyDescent="0.2">
      <c r="A16" s="397" t="s">
        <v>820</v>
      </c>
      <c r="B16" s="422"/>
      <c r="C16" s="422"/>
      <c r="E16" s="422"/>
      <c r="F16" s="422"/>
      <c r="G16" s="663">
        <f t="shared" si="0"/>
        <v>0</v>
      </c>
      <c r="H16" s="409" t="str">
        <f t="shared" si="1"/>
        <v xml:space="preserve">Ok </v>
      </c>
    </row>
    <row r="17" spans="1:8" ht="12.75" customHeight="1" x14ac:dyDescent="0.2">
      <c r="B17" s="459"/>
      <c r="C17" s="459"/>
    </row>
    <row r="18" spans="1:8" ht="12.75" customHeight="1" thickBot="1" x14ac:dyDescent="0.25">
      <c r="A18" s="397" t="s">
        <v>146</v>
      </c>
      <c r="B18" s="507">
        <f>SUM(B11:B16)</f>
        <v>0</v>
      </c>
      <c r="C18" s="507">
        <f>SUM(C11:C16)</f>
        <v>0</v>
      </c>
      <c r="E18" s="507">
        <f>SUM(E11:E16)</f>
        <v>0</v>
      </c>
      <c r="G18" s="507">
        <f>SUM(G11:G16)</f>
        <v>0</v>
      </c>
      <c r="H18" s="409" t="str">
        <f>IF(B18&gt;=0,IF(E18&gt;=0,IF(B18&gt;=E18,"Ok ","Check size "),"Check sign"),IF(E18&gt;0,"Check sign ",IF(ABS(B18)&gt;=ABS(E18),"Ok ","Check size ")))</f>
        <v xml:space="preserve">Ok </v>
      </c>
    </row>
    <row r="19" spans="1:8" ht="12.75" customHeight="1" thickTop="1" x14ac:dyDescent="0.2"/>
    <row r="20" spans="1:8" x14ac:dyDescent="0.2">
      <c r="A20" s="397" t="s">
        <v>1816</v>
      </c>
      <c r="B20" s="384"/>
      <c r="C20" s="384"/>
    </row>
    <row r="21" spans="1:8" ht="15" x14ac:dyDescent="0.2">
      <c r="A21" s="2157"/>
      <c r="B21" s="1996"/>
      <c r="C21" s="1996"/>
    </row>
    <row r="22" spans="1:8" ht="15" x14ac:dyDescent="0.2">
      <c r="A22" s="2157"/>
      <c r="B22" s="1996"/>
      <c r="C22" s="1996"/>
    </row>
    <row r="23" spans="1:8" ht="15" x14ac:dyDescent="0.2">
      <c r="A23" s="2157"/>
      <c r="B23" s="1996"/>
      <c r="C23" s="1996"/>
    </row>
    <row r="24" spans="1:8" ht="15" x14ac:dyDescent="0.2">
      <c r="A24" s="2157"/>
      <c r="B24" s="1996"/>
      <c r="C24" s="1996"/>
    </row>
    <row r="25" spans="1:8" ht="15" x14ac:dyDescent="0.2">
      <c r="A25" s="2157"/>
      <c r="B25" s="1996"/>
      <c r="C25" s="1996"/>
    </row>
    <row r="26" spans="1:8" x14ac:dyDescent="0.2">
      <c r="A26" s="384" t="s">
        <v>847</v>
      </c>
      <c r="B26" s="384"/>
      <c r="C26" s="384"/>
    </row>
    <row r="27" spans="1:8" x14ac:dyDescent="0.2">
      <c r="A27" s="384"/>
      <c r="B27" s="384"/>
      <c r="C27" s="384"/>
    </row>
    <row r="28" spans="1:8" x14ac:dyDescent="0.2">
      <c r="A28" s="384"/>
      <c r="B28" s="384"/>
      <c r="C28" s="384"/>
    </row>
    <row r="29" spans="1:8" x14ac:dyDescent="0.2">
      <c r="A29" s="384"/>
      <c r="B29" s="384"/>
      <c r="C29" s="384"/>
    </row>
    <row r="30" spans="1:8" x14ac:dyDescent="0.2">
      <c r="A30" s="384"/>
      <c r="B30" s="384"/>
      <c r="C30" s="384"/>
    </row>
    <row r="31" spans="1:8" x14ac:dyDescent="0.2">
      <c r="A31" s="384"/>
      <c r="B31" s="384"/>
      <c r="C31" s="384"/>
    </row>
  </sheetData>
  <sheetProtection algorithmName="SHA-512" hashValue="UFQhqnjgU+3/wVVS8AWhzmjwyD5tHbJDftr/xI3ORnir3Ln2auwkWP7PYHoec/Kpmyr3ieNRq0aeVCJ4+/WRcg==" saltValue="CbONZ74kn9zA9JID4SxJcA==" spinCount="100000" sheet="1" formatColumns="0" formatRows="0"/>
  <mergeCells count="6">
    <mergeCell ref="A25:C25"/>
    <mergeCell ref="A7:C7"/>
    <mergeCell ref="A21:C21"/>
    <mergeCell ref="A22:C22"/>
    <mergeCell ref="A23:C23"/>
    <mergeCell ref="A24:C24"/>
  </mergeCells>
  <conditionalFormatting sqref="A3">
    <cfRule type="expression" dxfId="77" priority="4">
      <formula>CELL("Protect",A3)=0</formula>
    </cfRule>
  </conditionalFormatting>
  <conditionalFormatting sqref="A21:A25">
    <cfRule type="expression" dxfId="76" priority="1">
      <formula>CELL("Protect",A21)=0</formula>
    </cfRule>
  </conditionalFormatting>
  <conditionalFormatting sqref="B11:C16">
    <cfRule type="expression" dxfId="75" priority="8">
      <formula>CELL("Protect",B11)=0</formula>
    </cfRule>
  </conditionalFormatting>
  <conditionalFormatting sqref="E11:F16">
    <cfRule type="expression" dxfId="74" priority="7">
      <formula>CELL("Protect",E11)=0</formula>
    </cfRule>
  </conditionalFormatting>
  <pageMargins left="0.74803149606299213" right="0.74803149606299213" top="0.59055118110236227" bottom="0.59055118110236227"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5">
    <tabColor rgb="FFFFFF00"/>
    <pageSetUpPr fitToPage="1"/>
  </sheetPr>
  <dimension ref="A1:L32"/>
  <sheetViews>
    <sheetView zoomScaleNormal="100" workbookViewId="0"/>
  </sheetViews>
  <sheetFormatPr defaultColWidth="9.140625" defaultRowHeight="12.75" outlineLevelRow="1" x14ac:dyDescent="0.2"/>
  <cols>
    <col min="1" max="1" width="34.42578125" style="457" customWidth="1"/>
    <col min="2" max="2" width="12.5703125" style="457" bestFit="1" customWidth="1"/>
    <col min="3" max="3" width="10.5703125" style="457" customWidth="1"/>
    <col min="4" max="4" width="13.5703125" style="457" customWidth="1"/>
    <col min="5" max="5" width="13.140625" style="457" customWidth="1"/>
    <col min="6" max="6" width="12.5703125" style="457" bestFit="1" customWidth="1"/>
    <col min="7" max="9" width="9.140625" style="457"/>
    <col min="10" max="10" width="45.42578125" style="457" customWidth="1"/>
    <col min="11" max="11" width="11.5703125" style="457" customWidth="1"/>
    <col min="12" max="16384" width="9.140625" style="457"/>
  </cols>
  <sheetData>
    <row r="1" spans="1:12" ht="14.65" customHeight="1" x14ac:dyDescent="0.2">
      <c r="A1" s="416" t="str">
        <f>'alb Instructions'!$B$20</f>
        <v>enter HSC Body name here</v>
      </c>
      <c r="B1" s="544"/>
      <c r="C1" s="544"/>
      <c r="D1" s="544"/>
      <c r="E1" s="544"/>
      <c r="F1" s="544"/>
    </row>
    <row r="2" spans="1:12" x14ac:dyDescent="0.2">
      <c r="A2" s="536"/>
    </row>
    <row r="3" spans="1:12" ht="12.75" customHeight="1" x14ac:dyDescent="0.2">
      <c r="A3" s="416" t="str">
        <f>"NOTES TO THE ACCOUNTS FOR THE YEAR ENDED"&amp;Update!$B$22</f>
        <v>NOTES TO THE ACCOUNTS FOR THE YEAR ENDED 31 March 2026</v>
      </c>
      <c r="B3" s="657"/>
      <c r="C3" s="657"/>
      <c r="D3" s="657"/>
    </row>
    <row r="4" spans="1:12" x14ac:dyDescent="0.2">
      <c r="A4" s="536"/>
    </row>
    <row r="5" spans="1:12" x14ac:dyDescent="0.2">
      <c r="A5" s="536" t="s">
        <v>2350</v>
      </c>
    </row>
    <row r="7" spans="1:12" x14ac:dyDescent="0.2">
      <c r="A7" s="550"/>
      <c r="B7" s="681"/>
      <c r="C7" s="558"/>
      <c r="D7" s="558"/>
      <c r="E7" s="558"/>
      <c r="F7" s="681"/>
    </row>
    <row r="8" spans="1:12" ht="71.25" hidden="1" customHeight="1" outlineLevel="1" x14ac:dyDescent="0.2">
      <c r="A8" s="2116" t="s">
        <v>1313</v>
      </c>
      <c r="B8" s="2116"/>
      <c r="C8" s="2116"/>
      <c r="D8" s="2116"/>
      <c r="E8" s="2116"/>
      <c r="F8" s="2116"/>
    </row>
    <row r="9" spans="1:12" collapsed="1" x14ac:dyDescent="0.2">
      <c r="A9" s="542"/>
      <c r="B9" s="542"/>
      <c r="C9" s="542"/>
      <c r="D9" s="542"/>
      <c r="E9" s="542"/>
      <c r="F9" s="542"/>
      <c r="I9" s="388" t="s">
        <v>1297</v>
      </c>
      <c r="J9" s="388"/>
      <c r="K9" s="397"/>
    </row>
    <row r="10" spans="1:12" ht="38.25" x14ac:dyDescent="0.2">
      <c r="A10" s="943">
        <f>Update!$B$38</f>
        <v>2026</v>
      </c>
      <c r="B10" s="680" t="str">
        <f>Update!$B$20</f>
        <v xml:space="preserve"> 1 April 2025</v>
      </c>
      <c r="C10" s="558" t="s">
        <v>636</v>
      </c>
      <c r="D10" s="558" t="s">
        <v>637</v>
      </c>
      <c r="E10" s="558" t="s">
        <v>638</v>
      </c>
      <c r="F10" s="680" t="str">
        <f>Update!$B$22</f>
        <v xml:space="preserve"> 31 March 2026</v>
      </c>
      <c r="I10" s="414" t="s">
        <v>146</v>
      </c>
      <c r="J10" s="414" t="s">
        <v>1294</v>
      </c>
      <c r="K10" s="412" t="s">
        <v>932</v>
      </c>
      <c r="L10" s="412" t="s">
        <v>63</v>
      </c>
    </row>
    <row r="11" spans="1:12" ht="15" x14ac:dyDescent="0.2">
      <c r="B11" s="556" t="s">
        <v>493</v>
      </c>
      <c r="C11" s="556" t="s">
        <v>493</v>
      </c>
      <c r="D11" s="556" t="s">
        <v>493</v>
      </c>
      <c r="E11" s="556" t="s">
        <v>493</v>
      </c>
      <c r="F11" s="556" t="s">
        <v>493</v>
      </c>
      <c r="I11" s="414" t="s">
        <v>493</v>
      </c>
      <c r="J11" s="414"/>
      <c r="K11" s="508" t="s">
        <v>62</v>
      </c>
      <c r="L11" s="508"/>
    </row>
    <row r="12" spans="1:12" x14ac:dyDescent="0.2">
      <c r="A12" s="457" t="s">
        <v>639</v>
      </c>
      <c r="B12" s="513"/>
      <c r="C12" s="513"/>
      <c r="D12" s="513"/>
      <c r="E12" s="513"/>
      <c r="F12" s="536">
        <f>B12+C12-D12-E12</f>
        <v>0</v>
      </c>
      <c r="I12" s="513"/>
      <c r="J12" s="513"/>
      <c r="K12" s="663">
        <f>F12-I12</f>
        <v>0</v>
      </c>
      <c r="L12" s="409" t="str">
        <f>IF(F12&gt;=0,IF(I12&gt;=0,IF(F12&gt;=I12,"Ok ","Check size "),"Check sign"),IF(I12&gt;0,"Check sign ",IF(ABS(F12)&gt;=ABS(I12),"Ok ","Check size ")))</f>
        <v xml:space="preserve">Ok </v>
      </c>
    </row>
    <row r="15" spans="1:12" x14ac:dyDescent="0.2">
      <c r="A15" s="457" t="s">
        <v>640</v>
      </c>
      <c r="B15" s="513"/>
      <c r="C15" s="513"/>
      <c r="D15" s="513"/>
      <c r="E15" s="513"/>
      <c r="F15" s="536">
        <f>B15+C15-D15-E15</f>
        <v>0</v>
      </c>
      <c r="I15" s="513"/>
      <c r="J15" s="513"/>
      <c r="K15" s="663">
        <f>F15-I15</f>
        <v>0</v>
      </c>
      <c r="L15" s="409" t="str">
        <f>IF(F15&gt;=0,IF(I15&gt;=0,IF(F15&gt;=I15,"Ok ","Check size "),"Check sign"),IF(I15&gt;0,"Check sign ",IF(ABS(F15)&gt;=ABS(I15),"Ok ","Check size ")))</f>
        <v xml:space="preserve">Ok </v>
      </c>
    </row>
    <row r="18" spans="1:12" x14ac:dyDescent="0.2">
      <c r="A18" s="457" t="s">
        <v>1312</v>
      </c>
      <c r="B18" s="513"/>
      <c r="C18" s="513"/>
      <c r="D18" s="513"/>
      <c r="E18" s="513"/>
      <c r="F18" s="536">
        <f>B18+C18-D18-E18</f>
        <v>0</v>
      </c>
      <c r="I18" s="513"/>
      <c r="J18" s="513"/>
      <c r="K18" s="663">
        <f>F18-I18</f>
        <v>0</v>
      </c>
      <c r="L18" s="409" t="str">
        <f>IF(F18&gt;=0,IF(I18&gt;=0,IF(F18&gt;=I18,"Ok ","Check size "),"Check sign"),IF(I18&gt;0,"Check sign ",IF(ABS(F18)&gt;=ABS(I18),"Ok ","Check size ")))</f>
        <v xml:space="preserve">Ok </v>
      </c>
    </row>
    <row r="19" spans="1:12" x14ac:dyDescent="0.2">
      <c r="A19" s="457" t="s">
        <v>281</v>
      </c>
      <c r="F19" s="457" t="s">
        <v>281</v>
      </c>
      <c r="I19" s="457" t="s">
        <v>281</v>
      </c>
      <c r="J19" s="457" t="s">
        <v>281</v>
      </c>
      <c r="K19" s="397"/>
    </row>
    <row r="20" spans="1:12" x14ac:dyDescent="0.2">
      <c r="K20" s="397"/>
    </row>
    <row r="21" spans="1:12" ht="38.25" x14ac:dyDescent="0.2">
      <c r="A21" s="943">
        <f>Update!$B$37</f>
        <v>2025</v>
      </c>
      <c r="B21" s="680" t="str">
        <f>Update!$B$18</f>
        <v xml:space="preserve"> 1 April 2024</v>
      </c>
      <c r="C21" s="558" t="s">
        <v>636</v>
      </c>
      <c r="D21" s="558" t="s">
        <v>637</v>
      </c>
      <c r="E21" s="558" t="s">
        <v>638</v>
      </c>
      <c r="F21" s="680" t="str">
        <f>Update!$B$24</f>
        <v xml:space="preserve"> 31 March 2025</v>
      </c>
      <c r="I21" s="679"/>
      <c r="J21" s="679"/>
      <c r="K21" s="397"/>
    </row>
    <row r="22" spans="1:12" x14ac:dyDescent="0.2">
      <c r="B22" s="556" t="s">
        <v>493</v>
      </c>
      <c r="C22" s="556" t="s">
        <v>493</v>
      </c>
      <c r="D22" s="556" t="s">
        <v>493</v>
      </c>
      <c r="E22" s="556" t="s">
        <v>493</v>
      </c>
      <c r="F22" s="556" t="s">
        <v>493</v>
      </c>
      <c r="I22" s="556" t="s">
        <v>493</v>
      </c>
      <c r="J22" s="556" t="s">
        <v>493</v>
      </c>
      <c r="K22" s="397"/>
    </row>
    <row r="23" spans="1:12" x14ac:dyDescent="0.2">
      <c r="A23" s="457" t="s">
        <v>639</v>
      </c>
      <c r="B23" s="513"/>
      <c r="C23" s="513"/>
      <c r="D23" s="513"/>
      <c r="E23" s="513"/>
      <c r="F23" s="536">
        <f>B23+C23-D23-E23</f>
        <v>0</v>
      </c>
      <c r="I23" s="513"/>
      <c r="J23" s="513"/>
      <c r="K23" s="397"/>
    </row>
    <row r="26" spans="1:12" x14ac:dyDescent="0.2">
      <c r="A26" s="457" t="s">
        <v>640</v>
      </c>
      <c r="B26" s="513"/>
      <c r="C26" s="513"/>
      <c r="D26" s="513"/>
      <c r="E26" s="513"/>
      <c r="F26" s="536">
        <f>B26+C26-D26-E26</f>
        <v>0</v>
      </c>
      <c r="I26" s="513"/>
      <c r="J26" s="513"/>
      <c r="K26" s="397"/>
    </row>
    <row r="29" spans="1:12" x14ac:dyDescent="0.2">
      <c r="A29" s="457" t="s">
        <v>1312</v>
      </c>
      <c r="B29" s="513"/>
      <c r="C29" s="513"/>
      <c r="D29" s="513"/>
      <c r="E29" s="513"/>
      <c r="F29" s="536">
        <f>B29+C29-D29-E29</f>
        <v>0</v>
      </c>
      <c r="I29" s="513"/>
      <c r="J29" s="513"/>
      <c r="K29" s="397"/>
    </row>
    <row r="32" spans="1:12" x14ac:dyDescent="0.2">
      <c r="J32" s="397"/>
      <c r="K32" s="397"/>
    </row>
  </sheetData>
  <sheetProtection algorithmName="SHA-512" hashValue="Yntt/PZ9gMdjh37laQVupJQu4pAoTKe65OH0jWaPAYk/qSXs8ivLNFMalCOIQlS3BfBJ2XOWrc46mXlSOdpkpg==" saltValue="Iiy62TDMBYraiwaMjIaKcQ==" spinCount="100000" sheet="1" formatColumns="0" formatRows="0"/>
  <mergeCells count="1">
    <mergeCell ref="A8:F8"/>
  </mergeCells>
  <conditionalFormatting sqref="A3">
    <cfRule type="expression" dxfId="73" priority="1">
      <formula>CELL("Protect",A3)=0</formula>
    </cfRule>
  </conditionalFormatting>
  <conditionalFormatting sqref="B12:E12">
    <cfRule type="expression" dxfId="72" priority="13">
      <formula>CELL("Protect",B12)=0</formula>
    </cfRule>
  </conditionalFormatting>
  <conditionalFormatting sqref="B15:E15">
    <cfRule type="expression" dxfId="71" priority="12">
      <formula>CELL("Protect",B15)=0</formula>
    </cfRule>
  </conditionalFormatting>
  <conditionalFormatting sqref="B18:E18">
    <cfRule type="expression" dxfId="70" priority="11">
      <formula>CELL("Protect",B18)=0</formula>
    </cfRule>
  </conditionalFormatting>
  <conditionalFormatting sqref="B23:E23">
    <cfRule type="expression" dxfId="69" priority="10">
      <formula>CELL("Protect",B23)=0</formula>
    </cfRule>
  </conditionalFormatting>
  <conditionalFormatting sqref="B26:E26">
    <cfRule type="expression" dxfId="68" priority="9">
      <formula>CELL("Protect",B26)=0</formula>
    </cfRule>
  </conditionalFormatting>
  <conditionalFormatting sqref="B29:E29">
    <cfRule type="expression" dxfId="67" priority="8">
      <formula>CELL("Protect",B29)=0</formula>
    </cfRule>
  </conditionalFormatting>
  <conditionalFormatting sqref="I12:J12">
    <cfRule type="expression" dxfId="66" priority="3">
      <formula>CELL("Protect",I12)=0</formula>
    </cfRule>
  </conditionalFormatting>
  <conditionalFormatting sqref="I15:J15">
    <cfRule type="expression" dxfId="65" priority="4">
      <formula>CELL("Protect",I15)=0</formula>
    </cfRule>
  </conditionalFormatting>
  <conditionalFormatting sqref="I18:J18">
    <cfRule type="expression" dxfId="64" priority="2">
      <formula>CELL("Protect",I18)=0</formula>
    </cfRule>
  </conditionalFormatting>
  <conditionalFormatting sqref="I23:J23">
    <cfRule type="expression" dxfId="63" priority="7">
      <formula>CELL("Protect",I23)=0</formula>
    </cfRule>
  </conditionalFormatting>
  <conditionalFormatting sqref="I26:J26">
    <cfRule type="expression" dxfId="62" priority="6">
      <formula>CELL("Protect",I26)=0</formula>
    </cfRule>
  </conditionalFormatting>
  <conditionalFormatting sqref="I29:J29">
    <cfRule type="expression" dxfId="61" priority="5">
      <formula>CELL("Protect",I29)=0</formula>
    </cfRule>
  </conditionalFormatting>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6">
    <tabColor rgb="FFFFFF00"/>
    <pageSetUpPr fitToPage="1"/>
  </sheetPr>
  <dimension ref="A1:AJ96"/>
  <sheetViews>
    <sheetView zoomScale="80" zoomScaleNormal="80" workbookViewId="0"/>
  </sheetViews>
  <sheetFormatPr defaultColWidth="9.140625" defaultRowHeight="12.75" customHeight="1" x14ac:dyDescent="0.2"/>
  <cols>
    <col min="1" max="1" width="7" style="397" customWidth="1"/>
    <col min="2" max="2" width="51.85546875" style="397" customWidth="1"/>
    <col min="3" max="3" width="12.5703125" style="397" customWidth="1"/>
    <col min="4" max="4" width="16.42578125" style="397" bestFit="1" customWidth="1"/>
    <col min="5" max="5" width="11.42578125" style="397" bestFit="1" customWidth="1"/>
    <col min="6" max="6" width="16.42578125" style="397" bestFit="1" customWidth="1"/>
    <col min="7" max="7" width="11.42578125" style="397" bestFit="1" customWidth="1"/>
    <col min="8" max="8" width="15" style="397" customWidth="1"/>
    <col min="9" max="9" width="12.42578125" style="397" customWidth="1"/>
    <col min="10" max="10" width="19.5703125" style="397" customWidth="1"/>
    <col min="11" max="13" width="9.140625" style="397"/>
    <col min="14" max="14" width="12" style="397" customWidth="1"/>
    <col min="15" max="15" width="11.42578125" style="397" customWidth="1"/>
    <col min="16" max="16" width="11.85546875" style="397" customWidth="1"/>
    <col min="17" max="17" width="11" style="397" customWidth="1"/>
    <col min="18" max="18" width="10.5703125" style="397" customWidth="1"/>
    <col min="19" max="19" width="9.140625" style="397"/>
    <col min="20" max="20" width="24" style="397" customWidth="1"/>
    <col min="21" max="16384" width="9.140625" style="397"/>
  </cols>
  <sheetData>
    <row r="1" spans="1:36" ht="14.65" customHeight="1" x14ac:dyDescent="0.2">
      <c r="A1" s="416" t="str">
        <f>'alb Instructions'!$B$20</f>
        <v>enter HSC Body name here</v>
      </c>
      <c r="B1" s="449"/>
      <c r="C1" s="449"/>
    </row>
    <row r="2" spans="1:36" ht="12.75" customHeight="1" x14ac:dyDescent="0.2">
      <c r="A2" s="388"/>
      <c r="C2" s="501"/>
    </row>
    <row r="3" spans="1:36" ht="12.75" customHeight="1" x14ac:dyDescent="0.2">
      <c r="A3" s="416" t="str">
        <f>"NOTES TO THE ACCOUNTS FOR THE YEAR ENDED"&amp;Update!$B$22</f>
        <v>NOTES TO THE ACCOUNTS FOR THE YEAR ENDED 31 March 2026</v>
      </c>
      <c r="C3" s="501"/>
    </row>
    <row r="4" spans="1:36" ht="12.75" customHeight="1" x14ac:dyDescent="0.2">
      <c r="A4" s="388"/>
    </row>
    <row r="5" spans="1:36" ht="12.75" customHeight="1" x14ac:dyDescent="0.2">
      <c r="A5" s="388" t="s">
        <v>2351</v>
      </c>
    </row>
    <row r="6" spans="1:36" ht="12.75" customHeight="1" x14ac:dyDescent="0.2">
      <c r="A6" s="388"/>
      <c r="B6" s="574"/>
      <c r="C6" s="574"/>
      <c r="D6" s="574"/>
      <c r="E6" s="574"/>
    </row>
    <row r="7" spans="1:36" s="1112" customFormat="1" ht="17.25" customHeight="1" x14ac:dyDescent="0.25">
      <c r="A7" s="937" t="s">
        <v>2425</v>
      </c>
      <c r="M7" s="1078"/>
      <c r="N7" s="1078"/>
      <c r="O7" s="1078"/>
      <c r="P7" s="1078"/>
      <c r="Q7" s="1078"/>
      <c r="R7" s="1078"/>
      <c r="S7" s="1078"/>
      <c r="T7" s="1078"/>
      <c r="U7" s="1078"/>
      <c r="V7" s="1078"/>
      <c r="W7" s="1078"/>
      <c r="X7" s="1078"/>
      <c r="Y7" s="1078"/>
      <c r="Z7" s="1078"/>
      <c r="AA7" s="1080"/>
      <c r="AB7" s="1080"/>
      <c r="AC7" s="1080"/>
      <c r="AD7" s="1080"/>
      <c r="AE7" s="1080"/>
      <c r="AF7" s="1080"/>
      <c r="AG7" s="1080"/>
      <c r="AH7" s="1080"/>
      <c r="AI7" s="1080"/>
      <c r="AJ7" s="1080"/>
    </row>
    <row r="8" spans="1:36" customFormat="1" ht="15" x14ac:dyDescent="0.25">
      <c r="A8" s="937"/>
      <c r="B8" s="1112"/>
      <c r="C8" s="1112"/>
      <c r="D8" s="1112"/>
      <c r="E8" s="1112"/>
      <c r="F8" s="1112"/>
      <c r="G8" s="1112"/>
      <c r="H8" s="1112"/>
      <c r="I8" s="397"/>
      <c r="J8" s="1112"/>
      <c r="K8" s="1112"/>
      <c r="L8" s="1078" t="s">
        <v>930</v>
      </c>
      <c r="M8" s="1078"/>
      <c r="N8" s="1078"/>
      <c r="O8" s="1078"/>
      <c r="P8" s="1078"/>
      <c r="Q8" s="1078"/>
      <c r="R8" s="1078"/>
      <c r="S8" s="1078"/>
      <c r="T8" s="1078"/>
      <c r="U8" s="1080" t="s">
        <v>604</v>
      </c>
      <c r="V8" s="1080" t="s">
        <v>195</v>
      </c>
      <c r="W8" s="1080" t="s">
        <v>196</v>
      </c>
      <c r="X8" s="1080" t="s">
        <v>200</v>
      </c>
      <c r="Y8" s="1080" t="s">
        <v>2536</v>
      </c>
      <c r="Z8" s="1080" t="s">
        <v>2537</v>
      </c>
      <c r="AA8" s="1080" t="s">
        <v>2538</v>
      </c>
      <c r="AB8" s="1080" t="s">
        <v>181</v>
      </c>
      <c r="AC8" s="1080"/>
      <c r="AD8" s="1080"/>
      <c r="AE8" s="1112"/>
    </row>
    <row r="9" spans="1:36" customFormat="1" ht="38.25" x14ac:dyDescent="0.25">
      <c r="A9" s="937"/>
      <c r="B9" s="1112"/>
      <c r="C9" s="1444" t="s">
        <v>195</v>
      </c>
      <c r="D9" s="1444" t="s">
        <v>196</v>
      </c>
      <c r="E9" s="1444" t="s">
        <v>200</v>
      </c>
      <c r="F9" s="1444" t="s">
        <v>2536</v>
      </c>
      <c r="G9" s="1444" t="s">
        <v>2537</v>
      </c>
      <c r="H9" s="1444" t="s">
        <v>2538</v>
      </c>
      <c r="I9" s="1444" t="s">
        <v>181</v>
      </c>
      <c r="J9" s="1443" t="s">
        <v>146</v>
      </c>
      <c r="K9" s="1112"/>
      <c r="L9" s="1551" t="s">
        <v>146</v>
      </c>
      <c r="M9" s="1551" t="s">
        <v>195</v>
      </c>
      <c r="N9" s="1551" t="s">
        <v>196</v>
      </c>
      <c r="O9" s="1551" t="s">
        <v>200</v>
      </c>
      <c r="P9" s="1551" t="s">
        <v>2536</v>
      </c>
      <c r="Q9" s="1551" t="s">
        <v>2537</v>
      </c>
      <c r="R9" s="1551" t="s">
        <v>2538</v>
      </c>
      <c r="S9" s="1551" t="s">
        <v>181</v>
      </c>
      <c r="T9" s="1551" t="s">
        <v>1257</v>
      </c>
      <c r="U9" s="1552" t="s">
        <v>1256</v>
      </c>
      <c r="V9" s="1552" t="s">
        <v>1256</v>
      </c>
      <c r="W9" s="1552" t="s">
        <v>1256</v>
      </c>
      <c r="X9" s="1552" t="s">
        <v>1256</v>
      </c>
      <c r="Y9" s="1552" t="s">
        <v>1256</v>
      </c>
      <c r="Z9" s="1552" t="s">
        <v>1256</v>
      </c>
      <c r="AA9" s="1552" t="s">
        <v>1256</v>
      </c>
      <c r="AB9" s="1552" t="s">
        <v>1256</v>
      </c>
      <c r="AC9" s="1552" t="s">
        <v>932</v>
      </c>
      <c r="AD9" s="1552" t="s">
        <v>63</v>
      </c>
      <c r="AE9" s="1112"/>
    </row>
    <row r="10" spans="1:36" customFormat="1" ht="15" x14ac:dyDescent="0.25">
      <c r="A10" s="937"/>
      <c r="B10" s="1112"/>
      <c r="C10" s="1553" t="s">
        <v>462</v>
      </c>
      <c r="D10" s="1553" t="s">
        <v>462</v>
      </c>
      <c r="E10" s="1553" t="s">
        <v>462</v>
      </c>
      <c r="F10" s="1553" t="s">
        <v>462</v>
      </c>
      <c r="G10" s="1553" t="s">
        <v>462</v>
      </c>
      <c r="H10" s="1553" t="s">
        <v>462</v>
      </c>
      <c r="I10" s="1553" t="s">
        <v>462</v>
      </c>
      <c r="J10" s="1554" t="s">
        <v>462</v>
      </c>
      <c r="K10" s="1112"/>
      <c r="L10" s="1555" t="s">
        <v>493</v>
      </c>
      <c r="M10" s="1555" t="s">
        <v>493</v>
      </c>
      <c r="N10" s="1555"/>
      <c r="O10" s="1555"/>
      <c r="P10" s="1555"/>
      <c r="Q10" s="1555"/>
      <c r="R10" s="1555"/>
      <c r="S10" s="1555" t="s">
        <v>493</v>
      </c>
      <c r="T10" s="1555"/>
      <c r="U10" s="1556" t="s">
        <v>62</v>
      </c>
      <c r="V10" s="1556" t="s">
        <v>62</v>
      </c>
      <c r="W10" s="1556" t="s">
        <v>2539</v>
      </c>
      <c r="X10" s="1556" t="s">
        <v>2540</v>
      </c>
      <c r="Y10" s="1556" t="s">
        <v>2541</v>
      </c>
      <c r="Z10" s="1556" t="s">
        <v>2542</v>
      </c>
      <c r="AA10" s="1556" t="s">
        <v>2543</v>
      </c>
      <c r="AB10" s="1556" t="s">
        <v>62</v>
      </c>
      <c r="AC10" s="1556" t="s">
        <v>62</v>
      </c>
      <c r="AD10" s="1556"/>
      <c r="AE10" s="1112"/>
    </row>
    <row r="11" spans="1:36" customFormat="1" ht="15" x14ac:dyDescent="0.25">
      <c r="A11" s="937"/>
      <c r="B11" s="937" t="s">
        <v>2489</v>
      </c>
      <c r="C11" s="1112"/>
      <c r="D11" s="1112"/>
      <c r="E11" s="1112"/>
      <c r="F11" s="1112"/>
      <c r="G11" s="1112"/>
      <c r="H11" s="1112"/>
      <c r="I11" s="1112"/>
      <c r="J11" s="1112"/>
      <c r="K11" s="1112"/>
      <c r="L11" s="1557"/>
      <c r="M11" s="1557"/>
      <c r="N11" s="1557"/>
      <c r="O11" s="1557"/>
      <c r="P11" s="1557"/>
      <c r="Q11" s="1557"/>
      <c r="R11" s="1557"/>
      <c r="S11" s="1557"/>
      <c r="T11" s="1079"/>
      <c r="U11" s="1079"/>
      <c r="V11" s="1079"/>
      <c r="W11" s="1079"/>
      <c r="X11" s="1079"/>
      <c r="Y11" s="1079"/>
      <c r="Z11" s="1079"/>
      <c r="AA11" s="1079"/>
      <c r="AB11" s="1079"/>
      <c r="AC11" s="1079"/>
      <c r="AD11" s="1079"/>
      <c r="AE11" s="1112"/>
    </row>
    <row r="12" spans="1:36" customFormat="1" ht="15" x14ac:dyDescent="0.25">
      <c r="A12" s="937"/>
      <c r="B12" s="1112" t="str">
        <f>"At"&amp;Update!$B$20</f>
        <v>At 1 April 2025</v>
      </c>
      <c r="C12" s="1578"/>
      <c r="D12" s="1578"/>
      <c r="E12" s="1578"/>
      <c r="F12" s="1578"/>
      <c r="G12" s="1578"/>
      <c r="H12" s="1578"/>
      <c r="I12" s="1578"/>
      <c r="J12" s="1112">
        <f t="shared" ref="J12:J20" si="0">SUM(C12:I12)</f>
        <v>0</v>
      </c>
      <c r="K12" s="1112"/>
      <c r="L12" s="1558">
        <f t="shared" ref="L12:L20" si="1">SUM(M12:S12)</f>
        <v>0</v>
      </c>
      <c r="M12" s="1036"/>
      <c r="N12" s="1036"/>
      <c r="O12" s="1036"/>
      <c r="P12" s="1036"/>
      <c r="Q12" s="1036"/>
      <c r="R12" s="1036"/>
      <c r="S12" s="1036"/>
      <c r="T12" s="1036"/>
      <c r="U12" s="1559" t="str">
        <f t="shared" ref="U12:U20" si="2">IF(J12&gt;=0,IF(L12&gt;=0,IF(J12&gt;=L12,"Ok ","Check size "),"Check sign"),IF(L12&gt;0,"Check sign ",IF(ABS(J12)&gt;=ABS(L12),"Ok ","Check size ")))</f>
        <v xml:space="preserve">Ok </v>
      </c>
      <c r="V12" s="1559" t="str">
        <f t="shared" ref="V12:V20" si="3">IF(C12&gt;=0,IF(M12&gt;=0,IF(C12&gt;=M12,"Ok ","Check size "),"Check sign"),IF(M12&gt;0,"Check sign ",IF(ABS(C12)&gt;=ABS(M12),"Ok ","Check size ")))</f>
        <v xml:space="preserve">Ok </v>
      </c>
      <c r="W12" s="1559" t="str">
        <f t="shared" ref="W12:AA20" si="4">IF(D12&gt;=0,IF(N12&gt;=0,IF(D12&gt;=N12,"Ok ","Check size "),"Check sign"),IF(N12&gt;0,"Check sign ",IF(ABS(D12)&gt;=ABS(N12),"Ok ","Check size ")))</f>
        <v xml:space="preserve">Ok </v>
      </c>
      <c r="X12" s="1559" t="str">
        <f t="shared" si="4"/>
        <v xml:space="preserve">Ok </v>
      </c>
      <c r="Y12" s="1559" t="str">
        <f t="shared" si="4"/>
        <v xml:space="preserve">Ok </v>
      </c>
      <c r="Z12" s="1559" t="str">
        <f t="shared" si="4"/>
        <v xml:space="preserve">Ok </v>
      </c>
      <c r="AA12" s="1559" t="str">
        <f t="shared" si="4"/>
        <v xml:space="preserve">Ok </v>
      </c>
      <c r="AB12" s="1559" t="str">
        <f t="shared" ref="AB12:AB20" si="5">IF(I12&gt;=0,IF(S12&gt;=0,IF(I12&gt;=S12,"Ok ","Check size "),"Check sign"),IF(S12&gt;0,"Check sign ",IF(ABS(I12)&gt;=ABS(S12),"Ok ","Check size ")))</f>
        <v xml:space="preserve">Ok </v>
      </c>
      <c r="AC12" s="1560">
        <f t="shared" ref="AC12:AC20" si="6">+J12-L12</f>
        <v>0</v>
      </c>
      <c r="AD12" s="1559" t="str">
        <f t="shared" ref="AD12:AD20" si="7">IF(J12&gt;=0,IF(L12&gt;=0,IF(J12&gt;=L12,"Ok ","Check size "),"Check sign"),IF(L12&gt;0,"Check sign ",IF(ABS(J12)&gt;=ABS(L12),"Ok ","Check size ")))</f>
        <v xml:space="preserve">Ok </v>
      </c>
      <c r="AE12" s="1112"/>
    </row>
    <row r="13" spans="1:36" customFormat="1" ht="15" x14ac:dyDescent="0.25">
      <c r="A13" s="937"/>
      <c r="B13" s="1112" t="s">
        <v>185</v>
      </c>
      <c r="C13" s="1578"/>
      <c r="D13" s="1578"/>
      <c r="E13" s="1578"/>
      <c r="F13" s="1578"/>
      <c r="G13" s="1578"/>
      <c r="H13" s="1578"/>
      <c r="I13" s="1578"/>
      <c r="J13" s="1112">
        <f t="shared" si="0"/>
        <v>0</v>
      </c>
      <c r="K13" s="1112"/>
      <c r="L13" s="1558">
        <f t="shared" si="1"/>
        <v>0</v>
      </c>
      <c r="M13" s="1036"/>
      <c r="N13" s="1036"/>
      <c r="O13" s="1036"/>
      <c r="P13" s="1036"/>
      <c r="Q13" s="1036"/>
      <c r="R13" s="1036"/>
      <c r="S13" s="1036"/>
      <c r="T13" s="1036"/>
      <c r="U13" s="1559" t="str">
        <f t="shared" si="2"/>
        <v xml:space="preserve">Ok </v>
      </c>
      <c r="V13" s="1559" t="str">
        <f t="shared" si="3"/>
        <v xml:space="preserve">Ok </v>
      </c>
      <c r="W13" s="1559" t="str">
        <f t="shared" si="4"/>
        <v xml:space="preserve">Ok </v>
      </c>
      <c r="X13" s="1559" t="str">
        <f t="shared" si="4"/>
        <v xml:space="preserve">Ok </v>
      </c>
      <c r="Y13" s="1559" t="str">
        <f t="shared" si="4"/>
        <v xml:space="preserve">Ok </v>
      </c>
      <c r="Z13" s="1559" t="str">
        <f t="shared" si="4"/>
        <v xml:space="preserve">Ok </v>
      </c>
      <c r="AA13" s="1559" t="str">
        <f t="shared" si="4"/>
        <v xml:space="preserve">Ok </v>
      </c>
      <c r="AB13" s="1559" t="str">
        <f t="shared" si="5"/>
        <v xml:space="preserve">Ok </v>
      </c>
      <c r="AC13" s="1560">
        <f t="shared" si="6"/>
        <v>0</v>
      </c>
      <c r="AD13" s="1559" t="str">
        <f t="shared" si="7"/>
        <v xml:space="preserve">Ok </v>
      </c>
      <c r="AE13" s="1112"/>
    </row>
    <row r="14" spans="1:36" customFormat="1" ht="15" x14ac:dyDescent="0.25">
      <c r="A14" s="937"/>
      <c r="B14" s="1112" t="s">
        <v>208</v>
      </c>
      <c r="C14" s="1578"/>
      <c r="D14" s="1578"/>
      <c r="E14" s="1578"/>
      <c r="F14" s="1578"/>
      <c r="G14" s="1578"/>
      <c r="H14" s="1578"/>
      <c r="I14" s="1578"/>
      <c r="J14" s="1112">
        <f t="shared" si="0"/>
        <v>0</v>
      </c>
      <c r="K14" s="1112"/>
      <c r="L14" s="1558">
        <f t="shared" si="1"/>
        <v>0</v>
      </c>
      <c r="M14" s="1036"/>
      <c r="N14" s="1036"/>
      <c r="O14" s="1036"/>
      <c r="P14" s="1036"/>
      <c r="Q14" s="1036"/>
      <c r="R14" s="1036"/>
      <c r="S14" s="1036"/>
      <c r="T14" s="1036"/>
      <c r="U14" s="1559" t="str">
        <f t="shared" si="2"/>
        <v xml:space="preserve">Ok </v>
      </c>
      <c r="V14" s="1559" t="str">
        <f t="shared" si="3"/>
        <v xml:space="preserve">Ok </v>
      </c>
      <c r="W14" s="1559" t="str">
        <f t="shared" si="4"/>
        <v xml:space="preserve">Ok </v>
      </c>
      <c r="X14" s="1559" t="str">
        <f t="shared" si="4"/>
        <v xml:space="preserve">Ok </v>
      </c>
      <c r="Y14" s="1559" t="str">
        <f t="shared" si="4"/>
        <v xml:space="preserve">Ok </v>
      </c>
      <c r="Z14" s="1559" t="str">
        <f t="shared" si="4"/>
        <v xml:space="preserve">Ok </v>
      </c>
      <c r="AA14" s="1559" t="str">
        <f t="shared" si="4"/>
        <v xml:space="preserve">Ok </v>
      </c>
      <c r="AB14" s="1559" t="str">
        <f t="shared" si="5"/>
        <v xml:space="preserve">Ok </v>
      </c>
      <c r="AC14" s="1560">
        <f t="shared" si="6"/>
        <v>0</v>
      </c>
      <c r="AD14" s="1559" t="str">
        <f t="shared" si="7"/>
        <v xml:space="preserve">Ok </v>
      </c>
      <c r="AE14" s="1112"/>
    </row>
    <row r="15" spans="1:36" customFormat="1" ht="15" x14ac:dyDescent="0.25">
      <c r="A15" s="937"/>
      <c r="B15" s="1112" t="s">
        <v>186</v>
      </c>
      <c r="C15" s="1578"/>
      <c r="D15" s="1578"/>
      <c r="E15" s="1578"/>
      <c r="F15" s="1578"/>
      <c r="G15" s="1578"/>
      <c r="H15" s="1578"/>
      <c r="I15" s="1578"/>
      <c r="J15" s="1112">
        <f t="shared" si="0"/>
        <v>0</v>
      </c>
      <c r="K15" s="1112"/>
      <c r="L15" s="1558">
        <f t="shared" si="1"/>
        <v>0</v>
      </c>
      <c r="M15" s="1036"/>
      <c r="N15" s="1036"/>
      <c r="O15" s="1036"/>
      <c r="P15" s="1036"/>
      <c r="Q15" s="1036"/>
      <c r="R15" s="1036"/>
      <c r="S15" s="1036"/>
      <c r="T15" s="1036"/>
      <c r="U15" s="1559" t="str">
        <f t="shared" si="2"/>
        <v xml:space="preserve">Ok </v>
      </c>
      <c r="V15" s="1559" t="str">
        <f t="shared" si="3"/>
        <v xml:space="preserve">Ok </v>
      </c>
      <c r="W15" s="1559" t="str">
        <f t="shared" si="4"/>
        <v xml:space="preserve">Ok </v>
      </c>
      <c r="X15" s="1559" t="str">
        <f t="shared" si="4"/>
        <v xml:space="preserve">Ok </v>
      </c>
      <c r="Y15" s="1559" t="str">
        <f t="shared" si="4"/>
        <v xml:space="preserve">Ok </v>
      </c>
      <c r="Z15" s="1559" t="str">
        <f t="shared" si="4"/>
        <v xml:space="preserve">Ok </v>
      </c>
      <c r="AA15" s="1559" t="str">
        <f t="shared" si="4"/>
        <v xml:space="preserve">Ok </v>
      </c>
      <c r="AB15" s="1559" t="str">
        <f t="shared" si="5"/>
        <v xml:space="preserve">Ok </v>
      </c>
      <c r="AC15" s="1560">
        <f t="shared" si="6"/>
        <v>0</v>
      </c>
      <c r="AD15" s="1559" t="str">
        <f t="shared" si="7"/>
        <v xml:space="preserve">Ok </v>
      </c>
      <c r="AE15" s="1112"/>
    </row>
    <row r="16" spans="1:36" customFormat="1" ht="15" x14ac:dyDescent="0.25">
      <c r="A16" s="937"/>
      <c r="B16" s="1112" t="s">
        <v>187</v>
      </c>
      <c r="C16" s="1578"/>
      <c r="D16" s="1578"/>
      <c r="E16" s="1578"/>
      <c r="F16" s="1578"/>
      <c r="G16" s="1578"/>
      <c r="H16" s="1578"/>
      <c r="I16" s="1578"/>
      <c r="J16" s="1112">
        <f t="shared" si="0"/>
        <v>0</v>
      </c>
      <c r="K16" s="1112"/>
      <c r="L16" s="1558">
        <f t="shared" si="1"/>
        <v>0</v>
      </c>
      <c r="M16" s="1036"/>
      <c r="N16" s="1036"/>
      <c r="O16" s="1036"/>
      <c r="P16" s="1036"/>
      <c r="Q16" s="1036"/>
      <c r="R16" s="1036"/>
      <c r="S16" s="1036"/>
      <c r="T16" s="1036"/>
      <c r="U16" s="1559" t="str">
        <f t="shared" si="2"/>
        <v xml:space="preserve">Ok </v>
      </c>
      <c r="V16" s="1559" t="str">
        <f t="shared" si="3"/>
        <v xml:space="preserve">Ok </v>
      </c>
      <c r="W16" s="1559" t="str">
        <f t="shared" si="4"/>
        <v xml:space="preserve">Ok </v>
      </c>
      <c r="X16" s="1559" t="str">
        <f t="shared" si="4"/>
        <v xml:space="preserve">Ok </v>
      </c>
      <c r="Y16" s="1559" t="str">
        <f t="shared" si="4"/>
        <v xml:space="preserve">Ok </v>
      </c>
      <c r="Z16" s="1559" t="str">
        <f t="shared" si="4"/>
        <v xml:space="preserve">Ok </v>
      </c>
      <c r="AA16" s="1559" t="str">
        <f t="shared" si="4"/>
        <v xml:space="preserve">Ok </v>
      </c>
      <c r="AB16" s="1559" t="str">
        <f t="shared" si="5"/>
        <v xml:space="preserve">Ok </v>
      </c>
      <c r="AC16" s="1560">
        <f t="shared" si="6"/>
        <v>0</v>
      </c>
      <c r="AD16" s="1559" t="str">
        <f t="shared" si="7"/>
        <v xml:space="preserve">Ok </v>
      </c>
      <c r="AE16" s="1112"/>
    </row>
    <row r="17" spans="1:31" customFormat="1" ht="15" x14ac:dyDescent="0.25">
      <c r="A17" s="937"/>
      <c r="B17" s="1112" t="s">
        <v>189</v>
      </c>
      <c r="C17" s="1578"/>
      <c r="D17" s="1578"/>
      <c r="E17" s="1578"/>
      <c r="F17" s="1578"/>
      <c r="G17" s="1578"/>
      <c r="H17" s="1578"/>
      <c r="I17" s="1578"/>
      <c r="J17" s="1112">
        <f t="shared" si="0"/>
        <v>0</v>
      </c>
      <c r="K17" s="1112"/>
      <c r="L17" s="1558">
        <f t="shared" si="1"/>
        <v>0</v>
      </c>
      <c r="M17" s="1036"/>
      <c r="N17" s="1036"/>
      <c r="O17" s="1036"/>
      <c r="P17" s="1036"/>
      <c r="Q17" s="1036"/>
      <c r="R17" s="1036"/>
      <c r="S17" s="1036"/>
      <c r="T17" s="1036"/>
      <c r="U17" s="1559" t="str">
        <f t="shared" si="2"/>
        <v xml:space="preserve">Ok </v>
      </c>
      <c r="V17" s="1559" t="str">
        <f t="shared" si="3"/>
        <v xml:space="preserve">Ok </v>
      </c>
      <c r="W17" s="1559" t="str">
        <f t="shared" si="4"/>
        <v xml:space="preserve">Ok </v>
      </c>
      <c r="X17" s="1559" t="str">
        <f t="shared" si="4"/>
        <v xml:space="preserve">Ok </v>
      </c>
      <c r="Y17" s="1559" t="str">
        <f t="shared" si="4"/>
        <v xml:space="preserve">Ok </v>
      </c>
      <c r="Z17" s="1559" t="str">
        <f t="shared" si="4"/>
        <v xml:space="preserve">Ok </v>
      </c>
      <c r="AA17" s="1559" t="str">
        <f t="shared" si="4"/>
        <v xml:space="preserve">Ok </v>
      </c>
      <c r="AB17" s="1559" t="str">
        <f t="shared" si="5"/>
        <v xml:space="preserve">Ok </v>
      </c>
      <c r="AC17" s="1560">
        <f t="shared" si="6"/>
        <v>0</v>
      </c>
      <c r="AD17" s="1559" t="str">
        <f t="shared" si="7"/>
        <v xml:space="preserve">Ok </v>
      </c>
      <c r="AE17" s="1112"/>
    </row>
    <row r="18" spans="1:31" customFormat="1" ht="15" x14ac:dyDescent="0.25">
      <c r="A18" s="937"/>
      <c r="B18" s="1112" t="s">
        <v>191</v>
      </c>
      <c r="C18" s="1578"/>
      <c r="D18" s="1578"/>
      <c r="E18" s="1578"/>
      <c r="F18" s="1578"/>
      <c r="G18" s="1578"/>
      <c r="H18" s="1578"/>
      <c r="I18" s="1578"/>
      <c r="J18" s="1112">
        <f t="shared" si="0"/>
        <v>0</v>
      </c>
      <c r="K18" s="1112"/>
      <c r="L18" s="1558">
        <f t="shared" si="1"/>
        <v>0</v>
      </c>
      <c r="M18" s="1036"/>
      <c r="N18" s="1036"/>
      <c r="O18" s="1036"/>
      <c r="P18" s="1036"/>
      <c r="Q18" s="1036"/>
      <c r="R18" s="1036"/>
      <c r="S18" s="1036"/>
      <c r="T18" s="1036"/>
      <c r="U18" s="1559" t="str">
        <f t="shared" si="2"/>
        <v xml:space="preserve">Ok </v>
      </c>
      <c r="V18" s="1559" t="str">
        <f t="shared" si="3"/>
        <v xml:space="preserve">Ok </v>
      </c>
      <c r="W18" s="1559" t="str">
        <f t="shared" si="4"/>
        <v xml:space="preserve">Ok </v>
      </c>
      <c r="X18" s="1559" t="str">
        <f t="shared" si="4"/>
        <v xml:space="preserve">Ok </v>
      </c>
      <c r="Y18" s="1559" t="str">
        <f t="shared" si="4"/>
        <v xml:space="preserve">Ok </v>
      </c>
      <c r="Z18" s="1559" t="str">
        <f t="shared" si="4"/>
        <v xml:space="preserve">Ok </v>
      </c>
      <c r="AA18" s="1559" t="str">
        <f t="shared" si="4"/>
        <v xml:space="preserve">Ok </v>
      </c>
      <c r="AB18" s="1559" t="str">
        <f t="shared" si="5"/>
        <v xml:space="preserve">Ok </v>
      </c>
      <c r="AC18" s="1560">
        <f t="shared" si="6"/>
        <v>0</v>
      </c>
      <c r="AD18" s="1559" t="str">
        <f t="shared" si="7"/>
        <v xml:space="preserve">Ok </v>
      </c>
      <c r="AE18" s="1112"/>
    </row>
    <row r="19" spans="1:31" customFormat="1" ht="15" x14ac:dyDescent="0.25">
      <c r="A19" s="937"/>
      <c r="B19" s="1112" t="s">
        <v>2488</v>
      </c>
      <c r="C19" s="1578"/>
      <c r="D19" s="1578"/>
      <c r="E19" s="1578"/>
      <c r="F19" s="1578"/>
      <c r="G19" s="1578"/>
      <c r="H19" s="1578"/>
      <c r="I19" s="1578"/>
      <c r="J19" s="1112">
        <f t="shared" si="0"/>
        <v>0</v>
      </c>
      <c r="K19" s="1112"/>
      <c r="L19" s="1558">
        <f t="shared" si="1"/>
        <v>0</v>
      </c>
      <c r="M19" s="1036"/>
      <c r="N19" s="1036"/>
      <c r="O19" s="1036"/>
      <c r="P19" s="1036"/>
      <c r="Q19" s="1036"/>
      <c r="R19" s="1036"/>
      <c r="S19" s="1036"/>
      <c r="T19" s="1036"/>
      <c r="U19" s="1559" t="str">
        <f t="shared" si="2"/>
        <v xml:space="preserve">Ok </v>
      </c>
      <c r="V19" s="1559" t="str">
        <f t="shared" si="3"/>
        <v xml:space="preserve">Ok </v>
      </c>
      <c r="W19" s="1559" t="str">
        <f t="shared" si="4"/>
        <v xml:space="preserve">Ok </v>
      </c>
      <c r="X19" s="1559" t="str">
        <f t="shared" si="4"/>
        <v xml:space="preserve">Ok </v>
      </c>
      <c r="Y19" s="1559" t="str">
        <f t="shared" si="4"/>
        <v xml:space="preserve">Ok </v>
      </c>
      <c r="Z19" s="1559" t="str">
        <f t="shared" si="4"/>
        <v xml:space="preserve">Ok </v>
      </c>
      <c r="AA19" s="1559" t="str">
        <f t="shared" si="4"/>
        <v xml:space="preserve">Ok </v>
      </c>
      <c r="AB19" s="1559" t="str">
        <f t="shared" si="5"/>
        <v xml:space="preserve">Ok </v>
      </c>
      <c r="AC19" s="1560">
        <f t="shared" si="6"/>
        <v>0</v>
      </c>
      <c r="AD19" s="1559" t="str">
        <f t="shared" si="7"/>
        <v xml:space="preserve">Ok </v>
      </c>
      <c r="AE19" s="1112"/>
    </row>
    <row r="20" spans="1:31" customFormat="1" ht="15.75" thickBot="1" x14ac:dyDescent="0.3">
      <c r="A20" s="937"/>
      <c r="B20" s="1590" t="str">
        <f>"At"&amp;Update!$B$22</f>
        <v>At 31 March 2026</v>
      </c>
      <c r="C20" s="1587">
        <f t="shared" ref="C20:I20" si="8">SUM(C12:C19)</f>
        <v>0</v>
      </c>
      <c r="D20" s="1587">
        <f t="shared" si="8"/>
        <v>0</v>
      </c>
      <c r="E20" s="1587">
        <f t="shared" si="8"/>
        <v>0</v>
      </c>
      <c r="F20" s="1587">
        <f t="shared" si="8"/>
        <v>0</v>
      </c>
      <c r="G20" s="1587">
        <f t="shared" si="8"/>
        <v>0</v>
      </c>
      <c r="H20" s="1587">
        <f t="shared" si="8"/>
        <v>0</v>
      </c>
      <c r="I20" s="1587">
        <f t="shared" si="8"/>
        <v>0</v>
      </c>
      <c r="J20" s="1588">
        <f t="shared" si="0"/>
        <v>0</v>
      </c>
      <c r="K20" s="1112"/>
      <c r="L20" s="1589">
        <f t="shared" si="1"/>
        <v>0</v>
      </c>
      <c r="M20" s="1588">
        <f t="shared" ref="M20:S20" si="9">SUM(M12:M19)</f>
        <v>0</v>
      </c>
      <c r="N20" s="1588">
        <f t="shared" si="9"/>
        <v>0</v>
      </c>
      <c r="O20" s="1588">
        <f t="shared" si="9"/>
        <v>0</v>
      </c>
      <c r="P20" s="1588">
        <f t="shared" si="9"/>
        <v>0</v>
      </c>
      <c r="Q20" s="1588">
        <f t="shared" si="9"/>
        <v>0</v>
      </c>
      <c r="R20" s="1588">
        <f t="shared" si="9"/>
        <v>0</v>
      </c>
      <c r="S20" s="1588">
        <f t="shared" si="9"/>
        <v>0</v>
      </c>
      <c r="T20" s="1588"/>
      <c r="U20" s="1559" t="str">
        <f t="shared" si="2"/>
        <v xml:space="preserve">Ok </v>
      </c>
      <c r="V20" s="1559" t="str">
        <f t="shared" si="3"/>
        <v xml:space="preserve">Ok </v>
      </c>
      <c r="W20" s="1559" t="str">
        <f t="shared" si="4"/>
        <v xml:space="preserve">Ok </v>
      </c>
      <c r="X20" s="1559" t="str">
        <f t="shared" si="4"/>
        <v xml:space="preserve">Ok </v>
      </c>
      <c r="Y20" s="1559" t="str">
        <f t="shared" si="4"/>
        <v xml:space="preserve">Ok </v>
      </c>
      <c r="Z20" s="1559" t="str">
        <f t="shared" si="4"/>
        <v xml:space="preserve">Ok </v>
      </c>
      <c r="AA20" s="1559" t="str">
        <f t="shared" si="4"/>
        <v xml:space="preserve">Ok </v>
      </c>
      <c r="AB20" s="1559" t="str">
        <f t="shared" si="5"/>
        <v xml:space="preserve">Ok </v>
      </c>
      <c r="AC20" s="1560">
        <f t="shared" si="6"/>
        <v>0</v>
      </c>
      <c r="AD20" s="1559" t="str">
        <f t="shared" si="7"/>
        <v xml:space="preserve">Ok </v>
      </c>
      <c r="AE20" s="1112"/>
    </row>
    <row r="21" spans="1:31" customFormat="1" ht="15" x14ac:dyDescent="0.25">
      <c r="A21" s="937"/>
      <c r="B21" s="1112"/>
      <c r="C21" s="1586"/>
      <c r="D21" s="1586"/>
      <c r="E21" s="1586"/>
      <c r="F21" s="1586"/>
      <c r="G21" s="1586"/>
      <c r="H21" s="1586"/>
      <c r="I21" s="1586"/>
      <c r="J21" s="1112"/>
      <c r="K21" s="1112"/>
      <c r="L21" s="1594"/>
      <c r="M21" s="1594"/>
      <c r="N21" s="1594"/>
      <c r="O21" s="1594"/>
      <c r="P21" s="1594"/>
      <c r="Q21" s="1594"/>
      <c r="R21" s="1594"/>
      <c r="S21" s="1594"/>
      <c r="T21" s="1594"/>
      <c r="U21" s="1559"/>
      <c r="V21" s="1559"/>
      <c r="W21" s="1559"/>
      <c r="X21" s="1559"/>
      <c r="Y21" s="1559"/>
      <c r="Z21" s="1559"/>
      <c r="AA21" s="1559"/>
      <c r="AB21" s="1559"/>
      <c r="AC21" s="1560"/>
      <c r="AD21" s="1559"/>
      <c r="AE21" s="1112"/>
    </row>
    <row r="22" spans="1:31" customFormat="1" ht="15" x14ac:dyDescent="0.25">
      <c r="A22" s="937"/>
      <c r="B22" s="937" t="s">
        <v>2412</v>
      </c>
      <c r="C22" s="1586"/>
      <c r="D22" s="1586"/>
      <c r="E22" s="1586"/>
      <c r="F22" s="1586"/>
      <c r="G22" s="1586"/>
      <c r="H22" s="1586"/>
      <c r="I22" s="1586"/>
      <c r="J22" s="1112">
        <f t="shared" ref="J22:J30" si="10">SUM(C22:I22)</f>
        <v>0</v>
      </c>
      <c r="K22" s="1112"/>
      <c r="L22" s="1595"/>
      <c r="M22" s="1595"/>
      <c r="N22" s="1595"/>
      <c r="O22" s="1595"/>
      <c r="P22" s="1595"/>
      <c r="Q22" s="1595"/>
      <c r="R22" s="1595"/>
      <c r="S22" s="1595"/>
      <c r="T22" s="1595"/>
      <c r="U22" s="1559"/>
      <c r="V22" s="1559"/>
      <c r="W22" s="1559"/>
      <c r="X22" s="1559"/>
      <c r="Y22" s="1559"/>
      <c r="Z22" s="1559"/>
      <c r="AA22" s="1559"/>
      <c r="AB22" s="1559"/>
      <c r="AC22" s="1560"/>
      <c r="AD22" s="1559"/>
      <c r="AE22" s="1112"/>
    </row>
    <row r="23" spans="1:31" customFormat="1" ht="15" x14ac:dyDescent="0.25">
      <c r="A23" s="937"/>
      <c r="B23" s="1112" t="str">
        <f>"At"&amp;Update!$B$20</f>
        <v>At 1 April 2025</v>
      </c>
      <c r="C23" s="1578"/>
      <c r="D23" s="1578"/>
      <c r="E23" s="1578"/>
      <c r="F23" s="1578"/>
      <c r="G23" s="1578"/>
      <c r="H23" s="1578"/>
      <c r="I23" s="1578"/>
      <c r="J23" s="1112">
        <f t="shared" si="10"/>
        <v>0</v>
      </c>
      <c r="K23" s="1112"/>
      <c r="L23" s="1558">
        <f t="shared" ref="L23:L30" si="11">SUM(M23:S23)</f>
        <v>0</v>
      </c>
      <c r="M23" s="1036"/>
      <c r="N23" s="1036"/>
      <c r="O23" s="1036"/>
      <c r="P23" s="1036"/>
      <c r="Q23" s="1036"/>
      <c r="R23" s="1036"/>
      <c r="S23" s="1036"/>
      <c r="T23" s="1036"/>
      <c r="U23" s="1561" t="str">
        <f t="shared" ref="U23:U31" si="12">IF(J23&gt;=0,IF(L23&gt;=0,IF(J23&gt;=L23,"Ok ","Check size "),"Check sign"),IF(L23&gt;0,"Check sign ",IF(ABS(J23)&gt;=ABS(L23),"Ok ","Check size ")))</f>
        <v xml:space="preserve">Ok </v>
      </c>
      <c r="V23" s="1561" t="str">
        <f t="shared" ref="V23:V31" si="13">IF(C23&gt;=0,IF(M23&gt;=0,IF(C23&gt;=M23,"Ok ","Check size "),"Check sign"),IF(M23&gt;0,"Check sign ",IF(ABS(C23)&gt;=ABS(M23),"Ok ","Check size ")))</f>
        <v xml:space="preserve">Ok </v>
      </c>
      <c r="W23" s="1561" t="str">
        <f t="shared" ref="W23:AA31" si="14">IF(D23&gt;=0,IF(N23&gt;=0,IF(D23&gt;=N23,"Ok ","Check size "),"Check sign"),IF(N23&gt;0,"Check sign ",IF(ABS(D23)&gt;=ABS(N23),"Ok ","Check size ")))</f>
        <v xml:space="preserve">Ok </v>
      </c>
      <c r="X23" s="1561" t="str">
        <f t="shared" si="14"/>
        <v xml:space="preserve">Ok </v>
      </c>
      <c r="Y23" s="1561" t="str">
        <f t="shared" si="14"/>
        <v xml:space="preserve">Ok </v>
      </c>
      <c r="Z23" s="1561" t="str">
        <f t="shared" si="14"/>
        <v xml:space="preserve">Ok </v>
      </c>
      <c r="AA23" s="1561" t="str">
        <f t="shared" si="14"/>
        <v xml:space="preserve">Ok </v>
      </c>
      <c r="AB23" s="1561" t="str">
        <f t="shared" ref="AB23:AB31" si="15">IF(I23&gt;=0,IF(S23&gt;=0,IF(I23&gt;=S23,"Ok ","Check size "),"Check sign"),IF(S23&gt;0,"Check sign ",IF(ABS(I23)&gt;=ABS(S23),"Ok ","Check size ")))</f>
        <v xml:space="preserve">Ok </v>
      </c>
      <c r="AC23" s="1562">
        <f t="shared" ref="AC23:AC31" si="16">+J23-L23</f>
        <v>0</v>
      </c>
      <c r="AD23" s="1561" t="str">
        <f t="shared" ref="AD23:AD31" si="17">IF(J23&gt;=0,IF(L23&gt;=0,IF(J23&gt;=L23,"Ok ","Check size "),"Check sign"),IF(L23&gt;0,"Check sign ",IF(ABS(J23)&gt;=ABS(L23),"Ok ","Check size ")))</f>
        <v xml:space="preserve">Ok </v>
      </c>
      <c r="AE23" s="1112"/>
    </row>
    <row r="24" spans="1:31" customFormat="1" ht="15" x14ac:dyDescent="0.25">
      <c r="A24" s="937"/>
      <c r="B24" s="1112" t="s">
        <v>2490</v>
      </c>
      <c r="C24" s="1578"/>
      <c r="D24" s="1578"/>
      <c r="E24" s="1578"/>
      <c r="F24" s="1578"/>
      <c r="G24" s="1578"/>
      <c r="H24" s="1578"/>
      <c r="I24" s="1578"/>
      <c r="J24" s="1112">
        <f t="shared" si="10"/>
        <v>0</v>
      </c>
      <c r="K24" s="1112"/>
      <c r="L24" s="1558">
        <f t="shared" si="11"/>
        <v>0</v>
      </c>
      <c r="M24" s="1036"/>
      <c r="N24" s="1036"/>
      <c r="O24" s="1036"/>
      <c r="P24" s="1036"/>
      <c r="Q24" s="1036"/>
      <c r="R24" s="1036"/>
      <c r="S24" s="1036"/>
      <c r="T24" s="1036"/>
      <c r="U24" s="1561" t="str">
        <f t="shared" si="12"/>
        <v xml:space="preserve">Ok </v>
      </c>
      <c r="V24" s="1561" t="str">
        <f t="shared" si="13"/>
        <v xml:space="preserve">Ok </v>
      </c>
      <c r="W24" s="1561" t="str">
        <f t="shared" si="14"/>
        <v xml:space="preserve">Ok </v>
      </c>
      <c r="X24" s="1561" t="str">
        <f t="shared" si="14"/>
        <v xml:space="preserve">Ok </v>
      </c>
      <c r="Y24" s="1561" t="str">
        <f t="shared" si="14"/>
        <v xml:space="preserve">Ok </v>
      </c>
      <c r="Z24" s="1561" t="str">
        <f t="shared" si="14"/>
        <v xml:space="preserve">Ok </v>
      </c>
      <c r="AA24" s="1561" t="str">
        <f t="shared" si="14"/>
        <v xml:space="preserve">Ok </v>
      </c>
      <c r="AB24" s="1561" t="str">
        <f t="shared" si="15"/>
        <v xml:space="preserve">Ok </v>
      </c>
      <c r="AC24" s="1562">
        <f t="shared" si="16"/>
        <v>0</v>
      </c>
      <c r="AD24" s="1561" t="str">
        <f t="shared" si="17"/>
        <v xml:space="preserve">Ok </v>
      </c>
      <c r="AE24" s="1112"/>
    </row>
    <row r="25" spans="1:31" customFormat="1" ht="15" x14ac:dyDescent="0.25">
      <c r="A25" s="937"/>
      <c r="B25" s="1112" t="s">
        <v>190</v>
      </c>
      <c r="C25" s="1578"/>
      <c r="D25" s="1578"/>
      <c r="E25" s="1578"/>
      <c r="F25" s="1578"/>
      <c r="G25" s="1578"/>
      <c r="H25" s="1578"/>
      <c r="I25" s="1578"/>
      <c r="J25" s="1112">
        <f t="shared" si="10"/>
        <v>0</v>
      </c>
      <c r="K25" s="1112"/>
      <c r="L25" s="1558">
        <f t="shared" si="11"/>
        <v>0</v>
      </c>
      <c r="M25" s="1036"/>
      <c r="N25" s="1036"/>
      <c r="O25" s="1036"/>
      <c r="P25" s="1036"/>
      <c r="Q25" s="1036"/>
      <c r="R25" s="1036"/>
      <c r="S25" s="1036"/>
      <c r="T25" s="1036"/>
      <c r="U25" s="1561" t="str">
        <f t="shared" si="12"/>
        <v xml:space="preserve">Ok </v>
      </c>
      <c r="V25" s="1561" t="str">
        <f t="shared" si="13"/>
        <v xml:space="preserve">Ok </v>
      </c>
      <c r="W25" s="1561" t="str">
        <f t="shared" si="14"/>
        <v xml:space="preserve">Ok </v>
      </c>
      <c r="X25" s="1561" t="str">
        <f t="shared" si="14"/>
        <v xml:space="preserve">Ok </v>
      </c>
      <c r="Y25" s="1561" t="str">
        <f t="shared" si="14"/>
        <v xml:space="preserve">Ok </v>
      </c>
      <c r="Z25" s="1561" t="str">
        <f t="shared" si="14"/>
        <v xml:space="preserve">Ok </v>
      </c>
      <c r="AA25" s="1561" t="str">
        <f t="shared" si="14"/>
        <v xml:space="preserve">Ok </v>
      </c>
      <c r="AB25" s="1561" t="str">
        <f t="shared" si="15"/>
        <v xml:space="preserve">Ok </v>
      </c>
      <c r="AC25" s="1562">
        <f t="shared" si="16"/>
        <v>0</v>
      </c>
      <c r="AD25" s="1561" t="str">
        <f t="shared" si="17"/>
        <v xml:space="preserve">Ok </v>
      </c>
      <c r="AE25" s="1112"/>
    </row>
    <row r="26" spans="1:31" customFormat="1" ht="15" x14ac:dyDescent="0.25">
      <c r="A26" s="937"/>
      <c r="B26" s="1112" t="s">
        <v>186</v>
      </c>
      <c r="C26" s="1578"/>
      <c r="D26" s="1578"/>
      <c r="E26" s="1578"/>
      <c r="F26" s="1578"/>
      <c r="G26" s="1578"/>
      <c r="H26" s="1578"/>
      <c r="I26" s="1578"/>
      <c r="J26" s="1112">
        <f t="shared" si="10"/>
        <v>0</v>
      </c>
      <c r="K26" s="1112"/>
      <c r="L26" s="1558">
        <f t="shared" si="11"/>
        <v>0</v>
      </c>
      <c r="M26" s="1036"/>
      <c r="N26" s="1036"/>
      <c r="O26" s="1036"/>
      <c r="P26" s="1036"/>
      <c r="Q26" s="1036"/>
      <c r="R26" s="1036"/>
      <c r="S26" s="1036"/>
      <c r="T26" s="1036"/>
      <c r="U26" s="1561" t="str">
        <f t="shared" si="12"/>
        <v xml:space="preserve">Ok </v>
      </c>
      <c r="V26" s="1561" t="str">
        <f t="shared" si="13"/>
        <v xml:space="preserve">Ok </v>
      </c>
      <c r="W26" s="1561" t="str">
        <f t="shared" si="14"/>
        <v xml:space="preserve">Ok </v>
      </c>
      <c r="X26" s="1561" t="str">
        <f t="shared" si="14"/>
        <v xml:space="preserve">Ok </v>
      </c>
      <c r="Y26" s="1561" t="str">
        <f t="shared" si="14"/>
        <v xml:space="preserve">Ok </v>
      </c>
      <c r="Z26" s="1561" t="str">
        <f t="shared" si="14"/>
        <v xml:space="preserve">Ok </v>
      </c>
      <c r="AA26" s="1561" t="str">
        <f t="shared" si="14"/>
        <v xml:space="preserve">Ok </v>
      </c>
      <c r="AB26" s="1561" t="str">
        <f t="shared" si="15"/>
        <v xml:space="preserve">Ok </v>
      </c>
      <c r="AC26" s="1562">
        <f t="shared" si="16"/>
        <v>0</v>
      </c>
      <c r="AD26" s="1561" t="str">
        <f t="shared" si="17"/>
        <v xml:space="preserve">Ok </v>
      </c>
      <c r="AE26" s="1112"/>
    </row>
    <row r="27" spans="1:31" customFormat="1" ht="15" x14ac:dyDescent="0.25">
      <c r="A27" s="937"/>
      <c r="B27" s="1112" t="s">
        <v>187</v>
      </c>
      <c r="C27" s="1578"/>
      <c r="D27" s="1578"/>
      <c r="E27" s="1578"/>
      <c r="F27" s="1578"/>
      <c r="G27" s="1578"/>
      <c r="H27" s="1578"/>
      <c r="I27" s="1578"/>
      <c r="J27" s="1112">
        <f t="shared" si="10"/>
        <v>0</v>
      </c>
      <c r="K27" s="1112"/>
      <c r="L27" s="1558">
        <f t="shared" si="11"/>
        <v>0</v>
      </c>
      <c r="M27" s="1036"/>
      <c r="N27" s="1036"/>
      <c r="O27" s="1036"/>
      <c r="P27" s="1036"/>
      <c r="Q27" s="1036"/>
      <c r="R27" s="1036"/>
      <c r="S27" s="1036"/>
      <c r="T27" s="1036"/>
      <c r="U27" s="1561" t="str">
        <f t="shared" si="12"/>
        <v xml:space="preserve">Ok </v>
      </c>
      <c r="V27" s="1561" t="str">
        <f t="shared" si="13"/>
        <v xml:space="preserve">Ok </v>
      </c>
      <c r="W27" s="1561" t="str">
        <f t="shared" si="14"/>
        <v xml:space="preserve">Ok </v>
      </c>
      <c r="X27" s="1561" t="str">
        <f t="shared" si="14"/>
        <v xml:space="preserve">Ok </v>
      </c>
      <c r="Y27" s="1561" t="str">
        <f t="shared" si="14"/>
        <v xml:space="preserve">Ok </v>
      </c>
      <c r="Z27" s="1561" t="str">
        <f t="shared" si="14"/>
        <v xml:space="preserve">Ok </v>
      </c>
      <c r="AA27" s="1561" t="str">
        <f t="shared" si="14"/>
        <v xml:space="preserve">Ok </v>
      </c>
      <c r="AB27" s="1561" t="str">
        <f t="shared" si="15"/>
        <v xml:space="preserve">Ok </v>
      </c>
      <c r="AC27" s="1562">
        <f t="shared" si="16"/>
        <v>0</v>
      </c>
      <c r="AD27" s="1561" t="str">
        <f t="shared" si="17"/>
        <v xml:space="preserve">Ok </v>
      </c>
      <c r="AE27" s="1112"/>
    </row>
    <row r="28" spans="1:31" customFormat="1" ht="15" x14ac:dyDescent="0.25">
      <c r="A28" s="937"/>
      <c r="B28" s="1112" t="s">
        <v>189</v>
      </c>
      <c r="C28" s="1578"/>
      <c r="D28" s="1578"/>
      <c r="E28" s="1578"/>
      <c r="F28" s="1578"/>
      <c r="G28" s="1578"/>
      <c r="H28" s="1578"/>
      <c r="I28" s="1578"/>
      <c r="J28" s="1112">
        <f t="shared" si="10"/>
        <v>0</v>
      </c>
      <c r="K28" s="1112"/>
      <c r="L28" s="1558">
        <f t="shared" si="11"/>
        <v>0</v>
      </c>
      <c r="M28" s="1036"/>
      <c r="N28" s="1036"/>
      <c r="O28" s="1036"/>
      <c r="P28" s="1036"/>
      <c r="Q28" s="1036"/>
      <c r="R28" s="1036"/>
      <c r="S28" s="1036"/>
      <c r="T28" s="1036"/>
      <c r="U28" s="1561" t="str">
        <f t="shared" si="12"/>
        <v xml:space="preserve">Ok </v>
      </c>
      <c r="V28" s="1561" t="str">
        <f t="shared" si="13"/>
        <v xml:space="preserve">Ok </v>
      </c>
      <c r="W28" s="1561" t="str">
        <f t="shared" si="14"/>
        <v xml:space="preserve">Ok </v>
      </c>
      <c r="X28" s="1561" t="str">
        <f t="shared" si="14"/>
        <v xml:space="preserve">Ok </v>
      </c>
      <c r="Y28" s="1561" t="str">
        <f t="shared" si="14"/>
        <v xml:space="preserve">Ok </v>
      </c>
      <c r="Z28" s="1561" t="str">
        <f t="shared" si="14"/>
        <v xml:space="preserve">Ok </v>
      </c>
      <c r="AA28" s="1561" t="str">
        <f t="shared" si="14"/>
        <v xml:space="preserve">Ok </v>
      </c>
      <c r="AB28" s="1561" t="str">
        <f t="shared" si="15"/>
        <v xml:space="preserve">Ok </v>
      </c>
      <c r="AC28" s="1562">
        <f t="shared" si="16"/>
        <v>0</v>
      </c>
      <c r="AD28" s="1561" t="str">
        <f t="shared" si="17"/>
        <v xml:space="preserve">Ok </v>
      </c>
      <c r="AE28" s="1112"/>
    </row>
    <row r="29" spans="1:31" customFormat="1" ht="15" x14ac:dyDescent="0.25">
      <c r="A29" s="937"/>
      <c r="B29" s="1112" t="s">
        <v>191</v>
      </c>
      <c r="C29" s="1578"/>
      <c r="D29" s="1578"/>
      <c r="E29" s="1578"/>
      <c r="F29" s="1578"/>
      <c r="G29" s="1578"/>
      <c r="H29" s="1578"/>
      <c r="I29" s="1578"/>
      <c r="J29" s="1112">
        <f t="shared" si="10"/>
        <v>0</v>
      </c>
      <c r="K29" s="1112"/>
      <c r="L29" s="1558">
        <f t="shared" si="11"/>
        <v>0</v>
      </c>
      <c r="M29" s="1036"/>
      <c r="N29" s="1036"/>
      <c r="O29" s="1036"/>
      <c r="P29" s="1036"/>
      <c r="Q29" s="1036"/>
      <c r="R29" s="1036"/>
      <c r="S29" s="1036"/>
      <c r="T29" s="1036"/>
      <c r="U29" s="1561" t="str">
        <f t="shared" si="12"/>
        <v xml:space="preserve">Ok </v>
      </c>
      <c r="V29" s="1561" t="str">
        <f t="shared" si="13"/>
        <v xml:space="preserve">Ok </v>
      </c>
      <c r="W29" s="1561" t="str">
        <f t="shared" si="14"/>
        <v xml:space="preserve">Ok </v>
      </c>
      <c r="X29" s="1561" t="str">
        <f t="shared" si="14"/>
        <v xml:space="preserve">Ok </v>
      </c>
      <c r="Y29" s="1561" t="str">
        <f t="shared" si="14"/>
        <v xml:space="preserve">Ok </v>
      </c>
      <c r="Z29" s="1561" t="str">
        <f t="shared" si="14"/>
        <v xml:space="preserve">Ok </v>
      </c>
      <c r="AA29" s="1561" t="str">
        <f t="shared" si="14"/>
        <v xml:space="preserve">Ok </v>
      </c>
      <c r="AB29" s="1561" t="str">
        <f t="shared" si="15"/>
        <v xml:space="preserve">Ok </v>
      </c>
      <c r="AC29" s="1562">
        <f t="shared" si="16"/>
        <v>0</v>
      </c>
      <c r="AD29" s="1561" t="str">
        <f t="shared" si="17"/>
        <v xml:space="preserve">Ok </v>
      </c>
      <c r="AE29" s="1112"/>
    </row>
    <row r="30" spans="1:31" customFormat="1" ht="15.75" thickBot="1" x14ac:dyDescent="0.3">
      <c r="A30" s="937"/>
      <c r="B30" s="13" t="str">
        <f>"At"&amp;Update!$B$22</f>
        <v>At 31 March 2026</v>
      </c>
      <c r="C30" s="1587">
        <f t="shared" ref="C30:I30" si="18">SUM(C23:C29)</f>
        <v>0</v>
      </c>
      <c r="D30" s="1587">
        <f t="shared" si="18"/>
        <v>0</v>
      </c>
      <c r="E30" s="1587">
        <f t="shared" si="18"/>
        <v>0</v>
      </c>
      <c r="F30" s="1587">
        <f t="shared" si="18"/>
        <v>0</v>
      </c>
      <c r="G30" s="1587">
        <f t="shared" si="18"/>
        <v>0</v>
      </c>
      <c r="H30" s="1587">
        <f t="shared" si="18"/>
        <v>0</v>
      </c>
      <c r="I30" s="1587">
        <f t="shared" si="18"/>
        <v>0</v>
      </c>
      <c r="J30" s="1588">
        <f t="shared" si="10"/>
        <v>0</v>
      </c>
      <c r="K30" s="1112"/>
      <c r="L30" s="1589">
        <f t="shared" si="11"/>
        <v>0</v>
      </c>
      <c r="M30" s="1588">
        <f t="shared" ref="M30:S30" si="19">SUM(M23:M29)</f>
        <v>0</v>
      </c>
      <c r="N30" s="1588">
        <f t="shared" si="19"/>
        <v>0</v>
      </c>
      <c r="O30" s="1588">
        <f t="shared" si="19"/>
        <v>0</v>
      </c>
      <c r="P30" s="1588">
        <f t="shared" si="19"/>
        <v>0</v>
      </c>
      <c r="Q30" s="1588">
        <f t="shared" si="19"/>
        <v>0</v>
      </c>
      <c r="R30" s="1588">
        <f t="shared" si="19"/>
        <v>0</v>
      </c>
      <c r="S30" s="1588">
        <f t="shared" si="19"/>
        <v>0</v>
      </c>
      <c r="T30" s="1588"/>
      <c r="U30" s="1559" t="str">
        <f t="shared" si="12"/>
        <v xml:space="preserve">Ok </v>
      </c>
      <c r="V30" s="1559" t="str">
        <f t="shared" si="13"/>
        <v xml:space="preserve">Ok </v>
      </c>
      <c r="W30" s="1559" t="str">
        <f t="shared" si="14"/>
        <v xml:space="preserve">Ok </v>
      </c>
      <c r="X30" s="1559" t="str">
        <f t="shared" si="14"/>
        <v xml:space="preserve">Ok </v>
      </c>
      <c r="Y30" s="1559" t="str">
        <f t="shared" si="14"/>
        <v xml:space="preserve">Ok </v>
      </c>
      <c r="Z30" s="1559" t="str">
        <f t="shared" si="14"/>
        <v xml:space="preserve">Ok </v>
      </c>
      <c r="AA30" s="1559" t="str">
        <f t="shared" si="14"/>
        <v xml:space="preserve">Ok </v>
      </c>
      <c r="AB30" s="1559" t="str">
        <f t="shared" si="15"/>
        <v xml:space="preserve">Ok </v>
      </c>
      <c r="AC30" s="1560">
        <f t="shared" si="16"/>
        <v>0</v>
      </c>
      <c r="AD30" s="1559" t="str">
        <f t="shared" si="17"/>
        <v xml:space="preserve">Ok </v>
      </c>
      <c r="AE30" s="1112"/>
    </row>
    <row r="31" spans="1:31" customFormat="1" ht="15.75" thickBot="1" x14ac:dyDescent="0.3">
      <c r="A31" s="937"/>
      <c r="B31" s="13" t="str">
        <f>"Carrying amount at"&amp;Update!$B$22</f>
        <v>Carrying amount at 31 March 2026</v>
      </c>
      <c r="C31" s="1563">
        <f t="shared" ref="C31:J31" si="20">+C20-C30</f>
        <v>0</v>
      </c>
      <c r="D31" s="1563">
        <f t="shared" si="20"/>
        <v>0</v>
      </c>
      <c r="E31" s="1563">
        <f t="shared" si="20"/>
        <v>0</v>
      </c>
      <c r="F31" s="1563">
        <f t="shared" si="20"/>
        <v>0</v>
      </c>
      <c r="G31" s="1563">
        <f t="shared" si="20"/>
        <v>0</v>
      </c>
      <c r="H31" s="1563">
        <f t="shared" si="20"/>
        <v>0</v>
      </c>
      <c r="I31" s="1563">
        <f t="shared" si="20"/>
        <v>0</v>
      </c>
      <c r="J31" s="1563">
        <f t="shared" si="20"/>
        <v>0</v>
      </c>
      <c r="K31" s="1112"/>
      <c r="L31" s="1592">
        <f t="shared" ref="L31:S31" si="21">+L20-L30</f>
        <v>0</v>
      </c>
      <c r="M31" s="1593">
        <f t="shared" si="21"/>
        <v>0</v>
      </c>
      <c r="N31" s="1593">
        <f t="shared" si="21"/>
        <v>0</v>
      </c>
      <c r="O31" s="1593">
        <f t="shared" si="21"/>
        <v>0</v>
      </c>
      <c r="P31" s="1593">
        <f t="shared" si="21"/>
        <v>0</v>
      </c>
      <c r="Q31" s="1593">
        <f t="shared" si="21"/>
        <v>0</v>
      </c>
      <c r="R31" s="1593">
        <f t="shared" si="21"/>
        <v>0</v>
      </c>
      <c r="S31" s="1593">
        <f t="shared" si="21"/>
        <v>0</v>
      </c>
      <c r="T31" s="1591"/>
      <c r="U31" s="1564" t="str">
        <f t="shared" si="12"/>
        <v xml:space="preserve">Ok </v>
      </c>
      <c r="V31" s="1564" t="str">
        <f t="shared" si="13"/>
        <v xml:space="preserve">Ok </v>
      </c>
      <c r="W31" s="1564" t="str">
        <f t="shared" si="14"/>
        <v xml:space="preserve">Ok </v>
      </c>
      <c r="X31" s="1564" t="str">
        <f t="shared" si="14"/>
        <v xml:space="preserve">Ok </v>
      </c>
      <c r="Y31" s="1564" t="str">
        <f t="shared" si="14"/>
        <v xml:space="preserve">Ok </v>
      </c>
      <c r="Z31" s="1564" t="str">
        <f t="shared" si="14"/>
        <v xml:space="preserve">Ok </v>
      </c>
      <c r="AA31" s="1564" t="str">
        <f t="shared" si="14"/>
        <v xml:space="preserve">Ok </v>
      </c>
      <c r="AB31" s="1564" t="str">
        <f t="shared" si="15"/>
        <v xml:space="preserve">Ok </v>
      </c>
      <c r="AC31" s="1565">
        <f t="shared" si="16"/>
        <v>0</v>
      </c>
      <c r="AD31" s="1564" t="str">
        <f t="shared" si="17"/>
        <v xml:space="preserve">Ok </v>
      </c>
      <c r="AE31" s="1112"/>
    </row>
    <row r="32" spans="1:31" customFormat="1" ht="15" x14ac:dyDescent="0.25">
      <c r="A32" s="937"/>
      <c r="B32" s="1112"/>
      <c r="C32" s="1112"/>
      <c r="D32" s="1112"/>
      <c r="E32" s="1112"/>
      <c r="F32" s="1112"/>
      <c r="G32" s="1112"/>
      <c r="H32" s="1112"/>
      <c r="I32" s="1112"/>
      <c r="J32" s="939" t="str">
        <f>IF(J31=SUM(C31:I31),"OK","ERROR")</f>
        <v>OK</v>
      </c>
      <c r="K32" s="1112"/>
      <c r="L32" s="1112"/>
      <c r="M32" s="1112"/>
      <c r="N32" s="1112"/>
      <c r="O32" s="1112"/>
      <c r="P32" s="1112"/>
      <c r="Q32" s="1112"/>
      <c r="R32" s="1112"/>
      <c r="S32" s="1112"/>
      <c r="T32" s="1112"/>
      <c r="U32" s="1112"/>
      <c r="V32" s="1112"/>
      <c r="W32" s="1112"/>
      <c r="X32" s="1112"/>
      <c r="Y32" s="1112"/>
      <c r="Z32" s="1112"/>
      <c r="AA32" s="1112"/>
      <c r="AB32" s="1112"/>
      <c r="AC32" s="1112"/>
      <c r="AD32" s="1112"/>
      <c r="AE32" s="1112"/>
    </row>
    <row r="33" spans="1:31" customFormat="1" ht="15" x14ac:dyDescent="0.25"/>
    <row r="34" spans="1:31" customFormat="1" ht="15.75" thickBot="1" x14ac:dyDescent="0.3">
      <c r="B34" t="s">
        <v>2491</v>
      </c>
      <c r="C34" s="1665"/>
      <c r="D34" s="1665"/>
      <c r="E34" s="1665"/>
      <c r="F34" s="1665"/>
      <c r="G34" s="1665"/>
      <c r="H34" s="1665"/>
      <c r="I34" s="1665"/>
      <c r="J34" s="1563">
        <f>SUM(C34:I34)</f>
        <v>0</v>
      </c>
    </row>
    <row r="35" spans="1:31" customFormat="1" ht="15" x14ac:dyDescent="0.25"/>
    <row r="36" spans="1:31" s="1112" customFormat="1" ht="17.25" customHeight="1" x14ac:dyDescent="0.25">
      <c r="A36" s="937"/>
    </row>
    <row r="37" spans="1:31" s="931" customFormat="1" x14ac:dyDescent="0.2">
      <c r="A37" s="1468" t="s">
        <v>2421</v>
      </c>
      <c r="B37" s="937" t="s">
        <v>2409</v>
      </c>
    </row>
    <row r="38" spans="1:31" s="931" customFormat="1" x14ac:dyDescent="0.2">
      <c r="A38" s="1468"/>
      <c r="H38" s="1078" t="s">
        <v>930</v>
      </c>
      <c r="I38" s="1078"/>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79"/>
    </row>
    <row r="39" spans="1:31" s="931" customFormat="1" x14ac:dyDescent="0.2">
      <c r="A39" s="1468"/>
      <c r="B39" s="937" t="s">
        <v>2420</v>
      </c>
      <c r="H39" s="1566"/>
      <c r="I39" s="1566" t="s">
        <v>345</v>
      </c>
      <c r="J39" s="1566" t="s">
        <v>2459</v>
      </c>
      <c r="K39" s="1566" t="s">
        <v>4</v>
      </c>
      <c r="L39" s="1566" t="s">
        <v>10</v>
      </c>
      <c r="M39" s="1566" t="s">
        <v>24</v>
      </c>
      <c r="N39" s="1566" t="s">
        <v>16</v>
      </c>
      <c r="O39" s="1566" t="s">
        <v>18</v>
      </c>
      <c r="P39" s="1566" t="s">
        <v>34</v>
      </c>
      <c r="Q39" s="1566" t="s">
        <v>1252</v>
      </c>
      <c r="R39" s="1566" t="s">
        <v>2448</v>
      </c>
      <c r="S39" s="1566" t="s">
        <v>22</v>
      </c>
      <c r="T39" s="1566" t="s">
        <v>32</v>
      </c>
      <c r="U39" s="1566" t="s">
        <v>30</v>
      </c>
      <c r="V39" s="1566" t="s">
        <v>6</v>
      </c>
      <c r="W39" s="1566" t="s">
        <v>26</v>
      </c>
      <c r="X39" s="1566" t="s">
        <v>28</v>
      </c>
      <c r="Y39" s="1566" t="s">
        <v>12</v>
      </c>
      <c r="Z39" s="1566" t="s">
        <v>8</v>
      </c>
      <c r="AA39" s="1566" t="s">
        <v>14</v>
      </c>
      <c r="AB39" s="1566" t="s">
        <v>36</v>
      </c>
      <c r="AC39" s="1566" t="s">
        <v>38</v>
      </c>
      <c r="AD39" s="1079"/>
      <c r="AE39" s="1079"/>
    </row>
    <row r="40" spans="1:31" s="931" customFormat="1" ht="45" x14ac:dyDescent="0.25">
      <c r="A40" s="937"/>
      <c r="D40" s="461" t="str">
        <f>Update!$C$38</f>
        <v>2025-26</v>
      </c>
      <c r="F40" s="461" t="str">
        <f>Update!$C$37</f>
        <v>2024-25</v>
      </c>
      <c r="G40" s="1112"/>
      <c r="H40" s="1567" t="s">
        <v>604</v>
      </c>
      <c r="I40" s="1555" t="s">
        <v>48</v>
      </c>
      <c r="J40" s="1555" t="s">
        <v>2457</v>
      </c>
      <c r="K40" s="1555" t="s">
        <v>5</v>
      </c>
      <c r="L40" s="1555" t="s">
        <v>11</v>
      </c>
      <c r="M40" s="1555" t="s">
        <v>25</v>
      </c>
      <c r="N40" s="1555" t="s">
        <v>17</v>
      </c>
      <c r="O40" s="1555" t="s">
        <v>19</v>
      </c>
      <c r="P40" s="1555" t="s">
        <v>35</v>
      </c>
      <c r="Q40" s="1555" t="s">
        <v>900</v>
      </c>
      <c r="R40" s="1555" t="s">
        <v>2446</v>
      </c>
      <c r="S40" s="1555" t="s">
        <v>23</v>
      </c>
      <c r="T40" s="1555" t="s">
        <v>33</v>
      </c>
      <c r="U40" s="1555" t="s">
        <v>31</v>
      </c>
      <c r="V40" s="1555" t="s">
        <v>7</v>
      </c>
      <c r="W40" s="1555" t="s">
        <v>27</v>
      </c>
      <c r="X40" s="1555" t="s">
        <v>29</v>
      </c>
      <c r="Y40" s="1555" t="s">
        <v>13</v>
      </c>
      <c r="Z40" s="1555" t="s">
        <v>9</v>
      </c>
      <c r="AA40" s="1555" t="s">
        <v>15</v>
      </c>
      <c r="AB40" s="1555" t="s">
        <v>37</v>
      </c>
      <c r="AC40" s="1555" t="s">
        <v>39</v>
      </c>
      <c r="AD40" s="1552" t="s">
        <v>932</v>
      </c>
      <c r="AE40" s="1552" t="s">
        <v>63</v>
      </c>
    </row>
    <row r="41" spans="1:31" s="931" customFormat="1" ht="15" x14ac:dyDescent="0.2">
      <c r="A41" s="937"/>
      <c r="D41" s="509" t="s">
        <v>493</v>
      </c>
      <c r="F41" s="509" t="s">
        <v>493</v>
      </c>
      <c r="H41" s="1568" t="s">
        <v>62</v>
      </c>
      <c r="I41" s="1568" t="s">
        <v>62</v>
      </c>
      <c r="J41" s="1568" t="s">
        <v>62</v>
      </c>
      <c r="K41" s="1568" t="s">
        <v>62</v>
      </c>
      <c r="L41" s="1568" t="s">
        <v>62</v>
      </c>
      <c r="M41" s="1568" t="s">
        <v>62</v>
      </c>
      <c r="N41" s="1568" t="s">
        <v>62</v>
      </c>
      <c r="O41" s="1568" t="s">
        <v>62</v>
      </c>
      <c r="P41" s="1568" t="s">
        <v>62</v>
      </c>
      <c r="Q41" s="1568" t="s">
        <v>62</v>
      </c>
      <c r="R41" s="1568" t="s">
        <v>62</v>
      </c>
      <c r="S41" s="1568" t="s">
        <v>62</v>
      </c>
      <c r="T41" s="1568" t="s">
        <v>62</v>
      </c>
      <c r="U41" s="1568" t="s">
        <v>62</v>
      </c>
      <c r="V41" s="1568" t="s">
        <v>62</v>
      </c>
      <c r="W41" s="1568" t="s">
        <v>62</v>
      </c>
      <c r="X41" s="1568" t="s">
        <v>62</v>
      </c>
      <c r="Y41" s="1568" t="s">
        <v>62</v>
      </c>
      <c r="Z41" s="1568" t="s">
        <v>62</v>
      </c>
      <c r="AA41" s="1568" t="s">
        <v>62</v>
      </c>
      <c r="AB41" s="1568" t="s">
        <v>62</v>
      </c>
      <c r="AC41" s="1568" t="s">
        <v>62</v>
      </c>
      <c r="AD41" s="1556" t="s">
        <v>62</v>
      </c>
      <c r="AE41" s="1556"/>
    </row>
    <row r="42" spans="1:31" s="931" customFormat="1" x14ac:dyDescent="0.2">
      <c r="A42" s="937"/>
      <c r="B42" s="937" t="s">
        <v>196</v>
      </c>
      <c r="D42" s="1569"/>
      <c r="E42" s="1569"/>
      <c r="F42" s="1569"/>
      <c r="H42" s="1079"/>
      <c r="I42" s="1079"/>
      <c r="J42" s="1079"/>
      <c r="K42" s="1079"/>
      <c r="L42" s="1079"/>
      <c r="M42" s="1079"/>
      <c r="N42" s="1079"/>
      <c r="O42" s="1079"/>
      <c r="P42" s="1079"/>
      <c r="Q42" s="1079"/>
      <c r="R42" s="1079"/>
      <c r="S42" s="1079"/>
      <c r="T42" s="1079"/>
      <c r="U42" s="1079"/>
      <c r="V42" s="1079"/>
      <c r="W42" s="1079"/>
      <c r="X42" s="1079"/>
      <c r="Y42" s="1079"/>
      <c r="Z42" s="1079"/>
      <c r="AA42" s="1079"/>
      <c r="AB42" s="1079"/>
      <c r="AC42" s="1079"/>
      <c r="AD42" s="1079"/>
      <c r="AE42" s="1079"/>
    </row>
    <row r="43" spans="1:31" s="931" customFormat="1" x14ac:dyDescent="0.2">
      <c r="A43" s="937"/>
      <c r="B43" s="931" t="s">
        <v>216</v>
      </c>
      <c r="D43" s="1578"/>
      <c r="E43" s="1569"/>
      <c r="F43" s="1578">
        <v>0</v>
      </c>
      <c r="H43" s="1570">
        <f>SUM(I43:AC43)</f>
        <v>0</v>
      </c>
      <c r="I43" s="1037"/>
      <c r="J43" s="1037"/>
      <c r="K43" s="1037"/>
      <c r="L43" s="1037"/>
      <c r="M43" s="1037"/>
      <c r="N43" s="1037"/>
      <c r="O43" s="1037"/>
      <c r="P43" s="1037"/>
      <c r="Q43" s="1037"/>
      <c r="R43" s="1037"/>
      <c r="S43" s="1037"/>
      <c r="T43" s="1037"/>
      <c r="U43" s="1037"/>
      <c r="V43" s="1037"/>
      <c r="W43" s="1037"/>
      <c r="X43" s="1037"/>
      <c r="Y43" s="1037"/>
      <c r="Z43" s="1037"/>
      <c r="AA43" s="1037"/>
      <c r="AB43" s="1037"/>
      <c r="AC43" s="1037"/>
      <c r="AD43" s="1560">
        <f>D43-H43</f>
        <v>0</v>
      </c>
      <c r="AE43" s="1559" t="str">
        <f>IF(D43&gt;=0,IF(H43&gt;=0,IF(D43&gt;=H43,"Ok ","Check size "),"Check sign"),IF(H43&gt;0,"Check sign ",IF(ABS(D43)&gt;=ABS(H43),"Ok ","Check size ")))</f>
        <v xml:space="preserve">Ok </v>
      </c>
    </row>
    <row r="44" spans="1:31" s="931" customFormat="1" x14ac:dyDescent="0.2">
      <c r="A44" s="937"/>
      <c r="B44" s="931" t="s">
        <v>218</v>
      </c>
      <c r="D44" s="1578"/>
      <c r="E44" s="1569"/>
      <c r="F44" s="1578">
        <v>0</v>
      </c>
      <c r="H44" s="1570">
        <f>SUM(I44:AC44)</f>
        <v>0</v>
      </c>
      <c r="I44" s="1037"/>
      <c r="J44" s="1037"/>
      <c r="K44" s="1037"/>
      <c r="L44" s="1037"/>
      <c r="M44" s="1037"/>
      <c r="N44" s="1037"/>
      <c r="O44" s="1037"/>
      <c r="P44" s="1037"/>
      <c r="Q44" s="1037"/>
      <c r="R44" s="1037"/>
      <c r="S44" s="1037"/>
      <c r="T44" s="1037"/>
      <c r="U44" s="1037"/>
      <c r="V44" s="1037"/>
      <c r="W44" s="1037"/>
      <c r="X44" s="1037"/>
      <c r="Y44" s="1037"/>
      <c r="Z44" s="1037"/>
      <c r="AA44" s="1037"/>
      <c r="AB44" s="1037"/>
      <c r="AC44" s="1037"/>
      <c r="AD44" s="1560">
        <f>D44-H44</f>
        <v>0</v>
      </c>
      <c r="AE44" s="1559" t="str">
        <f>IF(D44&gt;=0,IF(H44&gt;=0,IF(D44&gt;=H44,"Ok ","Check size "),"Check sign"),IF(H44&gt;0,"Check sign ",IF(ABS(D44)&gt;=ABS(H44),"Ok ","Check size ")))</f>
        <v xml:space="preserve">Ok </v>
      </c>
    </row>
    <row r="45" spans="1:31" s="931" customFormat="1" x14ac:dyDescent="0.2">
      <c r="A45" s="937"/>
      <c r="B45" s="931" t="s">
        <v>217</v>
      </c>
      <c r="D45" s="1578"/>
      <c r="E45" s="1569"/>
      <c r="F45" s="1578">
        <v>0</v>
      </c>
      <c r="H45" s="1570">
        <f>SUM(I45:AC45)</f>
        <v>0</v>
      </c>
      <c r="I45" s="1037"/>
      <c r="J45" s="1037"/>
      <c r="K45" s="1037"/>
      <c r="L45" s="1037"/>
      <c r="M45" s="1037"/>
      <c r="N45" s="1037"/>
      <c r="O45" s="1037"/>
      <c r="P45" s="1037"/>
      <c r="Q45" s="1037"/>
      <c r="R45" s="1037"/>
      <c r="S45" s="1037"/>
      <c r="T45" s="1037"/>
      <c r="U45" s="1037"/>
      <c r="V45" s="1037"/>
      <c r="W45" s="1037"/>
      <c r="X45" s="1037"/>
      <c r="Y45" s="1037"/>
      <c r="Z45" s="1037"/>
      <c r="AA45" s="1037"/>
      <c r="AB45" s="1037"/>
      <c r="AC45" s="1037"/>
      <c r="AD45" s="1560">
        <f>D45-H45</f>
        <v>0</v>
      </c>
      <c r="AE45" s="1559" t="str">
        <f>IF(D45&gt;=0,IF(H45&gt;=0,IF(D45&gt;=H45,"Ok ","Check size "),"Check sign"),IF(H45&gt;0,"Check sign ",IF(ABS(D45)&gt;=ABS(H45),"Ok ","Check size ")))</f>
        <v xml:space="preserve">Ok </v>
      </c>
    </row>
    <row r="46" spans="1:31" s="931" customFormat="1" ht="13.5" thickBot="1" x14ac:dyDescent="0.25">
      <c r="A46" s="937"/>
      <c r="D46" s="1571">
        <f>SUM(D42:D45)</f>
        <v>0</v>
      </c>
      <c r="E46" s="1569"/>
      <c r="F46" s="1571">
        <f>SUM(F42:F45)</f>
        <v>0</v>
      </c>
      <c r="H46" s="1572">
        <f t="shared" ref="H46:AD46" si="22">SUM(H43:H45)</f>
        <v>0</v>
      </c>
      <c r="I46" s="1572">
        <f t="shared" si="22"/>
        <v>0</v>
      </c>
      <c r="J46" s="1572">
        <f t="shared" si="22"/>
        <v>0</v>
      </c>
      <c r="K46" s="1572">
        <f t="shared" si="22"/>
        <v>0</v>
      </c>
      <c r="L46" s="1572">
        <f t="shared" si="22"/>
        <v>0</v>
      </c>
      <c r="M46" s="1572">
        <f t="shared" si="22"/>
        <v>0</v>
      </c>
      <c r="N46" s="1572">
        <f t="shared" si="22"/>
        <v>0</v>
      </c>
      <c r="O46" s="1572">
        <f t="shared" si="22"/>
        <v>0</v>
      </c>
      <c r="P46" s="1572">
        <f t="shared" si="22"/>
        <v>0</v>
      </c>
      <c r="Q46" s="1572">
        <f t="shared" si="22"/>
        <v>0</v>
      </c>
      <c r="R46" s="1572">
        <f t="shared" si="22"/>
        <v>0</v>
      </c>
      <c r="S46" s="1572">
        <f t="shared" si="22"/>
        <v>0</v>
      </c>
      <c r="T46" s="1572">
        <f t="shared" si="22"/>
        <v>0</v>
      </c>
      <c r="U46" s="1572">
        <f t="shared" si="22"/>
        <v>0</v>
      </c>
      <c r="V46" s="1572">
        <f t="shared" si="22"/>
        <v>0</v>
      </c>
      <c r="W46" s="1572">
        <f t="shared" si="22"/>
        <v>0</v>
      </c>
      <c r="X46" s="1572">
        <f t="shared" si="22"/>
        <v>0</v>
      </c>
      <c r="Y46" s="1572">
        <f t="shared" si="22"/>
        <v>0</v>
      </c>
      <c r="Z46" s="1572">
        <f t="shared" si="22"/>
        <v>0</v>
      </c>
      <c r="AA46" s="1572">
        <f t="shared" si="22"/>
        <v>0</v>
      </c>
      <c r="AB46" s="1572">
        <f t="shared" si="22"/>
        <v>0</v>
      </c>
      <c r="AC46" s="1572">
        <f t="shared" si="22"/>
        <v>0</v>
      </c>
      <c r="AD46" s="1572">
        <f t="shared" si="22"/>
        <v>0</v>
      </c>
      <c r="AE46" s="1078"/>
    </row>
    <row r="47" spans="1:31" s="931" customFormat="1" x14ac:dyDescent="0.2">
      <c r="A47" s="937"/>
      <c r="B47" s="931" t="s">
        <v>642</v>
      </c>
      <c r="D47" s="1579"/>
      <c r="E47" s="1569"/>
      <c r="F47" s="1579">
        <v>0</v>
      </c>
      <c r="H47" s="1570">
        <f>SUM(I47:AC47)</f>
        <v>0</v>
      </c>
      <c r="I47" s="1504"/>
      <c r="J47" s="1504"/>
      <c r="K47" s="1504"/>
      <c r="L47" s="1504"/>
      <c r="M47" s="1504"/>
      <c r="N47" s="1504"/>
      <c r="O47" s="1504"/>
      <c r="P47" s="1504"/>
      <c r="Q47" s="1504"/>
      <c r="R47" s="1504"/>
      <c r="S47" s="1504"/>
      <c r="T47" s="1504"/>
      <c r="U47" s="1504"/>
      <c r="V47" s="1504"/>
      <c r="W47" s="1504"/>
      <c r="X47" s="1504"/>
      <c r="Y47" s="1504"/>
      <c r="Z47" s="1504"/>
      <c r="AA47" s="1504"/>
      <c r="AB47" s="1504"/>
      <c r="AC47" s="1504"/>
      <c r="AD47" s="1560">
        <f>D47-H47</f>
        <v>0</v>
      </c>
      <c r="AE47" s="1559" t="str">
        <f>IF(D47&gt;=0,IF(H47&gt;=0,IF(D47&gt;=H47,"Ok ","Check size "),"Check sign"),IF(H47&gt;0,"Check sign ",IF(ABS(D47)&gt;=ABS(H47),"Ok ","Check size ")))</f>
        <v xml:space="preserve">Ok </v>
      </c>
    </row>
    <row r="48" spans="1:31" s="931" customFormat="1" ht="13.5" thickBot="1" x14ac:dyDescent="0.25">
      <c r="A48" s="937"/>
      <c r="B48" s="931" t="s">
        <v>643</v>
      </c>
      <c r="D48" s="1573">
        <f>SUM(D46:D47)</f>
        <v>0</v>
      </c>
      <c r="E48" s="1569"/>
      <c r="F48" s="1573">
        <f>SUM(F46:F47)</f>
        <v>0</v>
      </c>
      <c r="H48" s="1572">
        <f t="shared" ref="H48:AD48" si="23">SUM(H46:H47)</f>
        <v>0</v>
      </c>
      <c r="I48" s="1572">
        <f t="shared" si="23"/>
        <v>0</v>
      </c>
      <c r="J48" s="1572">
        <f t="shared" si="23"/>
        <v>0</v>
      </c>
      <c r="K48" s="1572">
        <f t="shared" si="23"/>
        <v>0</v>
      </c>
      <c r="L48" s="1572">
        <f t="shared" si="23"/>
        <v>0</v>
      </c>
      <c r="M48" s="1572">
        <f t="shared" si="23"/>
        <v>0</v>
      </c>
      <c r="N48" s="1572">
        <f t="shared" si="23"/>
        <v>0</v>
      </c>
      <c r="O48" s="1572">
        <f t="shared" si="23"/>
        <v>0</v>
      </c>
      <c r="P48" s="1572">
        <f t="shared" si="23"/>
        <v>0</v>
      </c>
      <c r="Q48" s="1572">
        <f t="shared" si="23"/>
        <v>0</v>
      </c>
      <c r="R48" s="1572">
        <f t="shared" si="23"/>
        <v>0</v>
      </c>
      <c r="S48" s="1572">
        <f t="shared" si="23"/>
        <v>0</v>
      </c>
      <c r="T48" s="1572">
        <f t="shared" si="23"/>
        <v>0</v>
      </c>
      <c r="U48" s="1572">
        <f t="shared" si="23"/>
        <v>0</v>
      </c>
      <c r="V48" s="1572">
        <f t="shared" si="23"/>
        <v>0</v>
      </c>
      <c r="W48" s="1572">
        <f t="shared" si="23"/>
        <v>0</v>
      </c>
      <c r="X48" s="1572">
        <f t="shared" si="23"/>
        <v>0</v>
      </c>
      <c r="Y48" s="1572">
        <f t="shared" si="23"/>
        <v>0</v>
      </c>
      <c r="Z48" s="1572">
        <f t="shared" si="23"/>
        <v>0</v>
      </c>
      <c r="AA48" s="1572">
        <f t="shared" si="23"/>
        <v>0</v>
      </c>
      <c r="AB48" s="1572">
        <f t="shared" si="23"/>
        <v>0</v>
      </c>
      <c r="AC48" s="1572">
        <f t="shared" si="23"/>
        <v>0</v>
      </c>
      <c r="AD48" s="1572">
        <f t="shared" si="23"/>
        <v>0</v>
      </c>
      <c r="AE48" s="1078"/>
    </row>
    <row r="49" spans="1:31" s="931" customFormat="1" x14ac:dyDescent="0.2">
      <c r="A49" s="937"/>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79"/>
      <c r="AE49" s="1079"/>
    </row>
    <row r="50" spans="1:31" s="931" customFormat="1" x14ac:dyDescent="0.2">
      <c r="A50" s="937"/>
      <c r="B50" s="937" t="s">
        <v>181</v>
      </c>
      <c r="D50" s="1569"/>
      <c r="E50" s="1569"/>
      <c r="F50" s="1569"/>
      <c r="H50" s="1080"/>
      <c r="I50" s="1080"/>
      <c r="J50" s="1080"/>
      <c r="K50" s="1080"/>
      <c r="L50" s="1080"/>
      <c r="M50" s="1080"/>
      <c r="N50" s="1080"/>
      <c r="O50" s="1080"/>
      <c r="P50" s="1080"/>
      <c r="Q50" s="1080"/>
      <c r="R50" s="1080"/>
      <c r="S50" s="1080"/>
      <c r="T50" s="1080"/>
      <c r="U50" s="1080"/>
      <c r="V50" s="1080"/>
      <c r="W50" s="1080"/>
      <c r="X50" s="1080"/>
      <c r="Y50" s="1080"/>
      <c r="Z50" s="1080"/>
      <c r="AA50" s="1080"/>
      <c r="AB50" s="1080"/>
      <c r="AC50" s="1080"/>
      <c r="AD50" s="1079"/>
      <c r="AE50" s="1079"/>
    </row>
    <row r="51" spans="1:31" s="931" customFormat="1" x14ac:dyDescent="0.2">
      <c r="A51" s="937"/>
      <c r="B51" s="931" t="s">
        <v>216</v>
      </c>
      <c r="D51" s="1578"/>
      <c r="E51" s="1569"/>
      <c r="F51" s="1578">
        <v>0</v>
      </c>
      <c r="H51" s="1570">
        <f>SUM(I51:AC51)</f>
        <v>0</v>
      </c>
      <c r="I51" s="1037"/>
      <c r="J51" s="1037"/>
      <c r="K51" s="1037"/>
      <c r="L51" s="1037"/>
      <c r="M51" s="1037"/>
      <c r="N51" s="1037"/>
      <c r="O51" s="1037"/>
      <c r="P51" s="1037"/>
      <c r="Q51" s="1037"/>
      <c r="R51" s="1037"/>
      <c r="S51" s="1037"/>
      <c r="T51" s="1037"/>
      <c r="U51" s="1037"/>
      <c r="V51" s="1037"/>
      <c r="W51" s="1037"/>
      <c r="X51" s="1037"/>
      <c r="Y51" s="1037"/>
      <c r="Z51" s="1037"/>
      <c r="AA51" s="1037"/>
      <c r="AB51" s="1037"/>
      <c r="AC51" s="1037"/>
      <c r="AD51" s="1560">
        <f>D51-H51</f>
        <v>0</v>
      </c>
      <c r="AE51" s="1559" t="str">
        <f>IF(D51&gt;=0,IF(H51&gt;=0,IF(D51&gt;=H51,"Ok ","Check size "),"Check sign"),IF(H51&gt;0,"Check sign ",IF(ABS(D51)&gt;=ABS(H51),"Ok ","Check size ")))</f>
        <v xml:space="preserve">Ok </v>
      </c>
    </row>
    <row r="52" spans="1:31" s="931" customFormat="1" x14ac:dyDescent="0.2">
      <c r="A52" s="937"/>
      <c r="B52" s="931" t="s">
        <v>218</v>
      </c>
      <c r="D52" s="1578"/>
      <c r="E52" s="1569"/>
      <c r="F52" s="1578">
        <v>0</v>
      </c>
      <c r="H52" s="1570">
        <f>SUM(I52:AC52)</f>
        <v>0</v>
      </c>
      <c r="I52" s="1037"/>
      <c r="J52" s="1037"/>
      <c r="K52" s="1037"/>
      <c r="L52" s="1037"/>
      <c r="M52" s="1037"/>
      <c r="N52" s="1037"/>
      <c r="O52" s="1037"/>
      <c r="P52" s="1037"/>
      <c r="Q52" s="1037"/>
      <c r="R52" s="1037"/>
      <c r="S52" s="1037"/>
      <c r="T52" s="1037"/>
      <c r="U52" s="1037"/>
      <c r="V52" s="1037"/>
      <c r="W52" s="1037"/>
      <c r="X52" s="1037"/>
      <c r="Y52" s="1037"/>
      <c r="Z52" s="1037"/>
      <c r="AA52" s="1037"/>
      <c r="AB52" s="1037"/>
      <c r="AC52" s="1037"/>
      <c r="AD52" s="1560">
        <f>D52-H52</f>
        <v>0</v>
      </c>
      <c r="AE52" s="1559" t="str">
        <f>IF(D52&gt;=0,IF(H52&gt;=0,IF(D52&gt;=H52,"Ok ","Check size "),"Check sign"),IF(H52&gt;0,"Check sign ",IF(ABS(D52)&gt;=ABS(H52),"Ok ","Check size ")))</f>
        <v xml:space="preserve">Ok </v>
      </c>
    </row>
    <row r="53" spans="1:31" s="931" customFormat="1" x14ac:dyDescent="0.2">
      <c r="A53" s="937"/>
      <c r="B53" s="931" t="s">
        <v>217</v>
      </c>
      <c r="D53" s="1578"/>
      <c r="E53" s="1569"/>
      <c r="F53" s="1578">
        <v>0</v>
      </c>
      <c r="H53" s="1570">
        <f>SUM(I53:AC53)</f>
        <v>0</v>
      </c>
      <c r="I53" s="1037"/>
      <c r="J53" s="1037"/>
      <c r="K53" s="1037"/>
      <c r="L53" s="1037"/>
      <c r="M53" s="1037"/>
      <c r="N53" s="1037"/>
      <c r="O53" s="1037"/>
      <c r="P53" s="1037"/>
      <c r="Q53" s="1037"/>
      <c r="R53" s="1037"/>
      <c r="S53" s="1037"/>
      <c r="T53" s="1037"/>
      <c r="U53" s="1037"/>
      <c r="V53" s="1037"/>
      <c r="W53" s="1037"/>
      <c r="X53" s="1037"/>
      <c r="Y53" s="1037"/>
      <c r="Z53" s="1037"/>
      <c r="AA53" s="1037"/>
      <c r="AB53" s="1037"/>
      <c r="AC53" s="1037"/>
      <c r="AD53" s="1560">
        <f>D53-H53</f>
        <v>0</v>
      </c>
      <c r="AE53" s="1559" t="str">
        <f>IF(D53&gt;=0,IF(H53&gt;=0,IF(D53&gt;=H53,"Ok ","Check size "),"Check sign"),IF(H53&gt;0,"Check sign ",IF(ABS(D53)&gt;=ABS(H53),"Ok ","Check size ")))</f>
        <v xml:space="preserve">Ok </v>
      </c>
    </row>
    <row r="54" spans="1:31" s="931" customFormat="1" ht="13.5" thickBot="1" x14ac:dyDescent="0.25">
      <c r="A54" s="937"/>
      <c r="D54" s="1571">
        <f>SUM(D50:D53)</f>
        <v>0</v>
      </c>
      <c r="E54" s="1569"/>
      <c r="F54" s="1571">
        <f>SUM(F50:F53)</f>
        <v>0</v>
      </c>
      <c r="H54" s="1572">
        <f t="shared" ref="H54:AD54" si="24">SUM(H51:H53)</f>
        <v>0</v>
      </c>
      <c r="I54" s="1572">
        <f t="shared" si="24"/>
        <v>0</v>
      </c>
      <c r="J54" s="1572">
        <f t="shared" si="24"/>
        <v>0</v>
      </c>
      <c r="K54" s="1572">
        <f t="shared" si="24"/>
        <v>0</v>
      </c>
      <c r="L54" s="1572">
        <f t="shared" si="24"/>
        <v>0</v>
      </c>
      <c r="M54" s="1572">
        <f t="shared" si="24"/>
        <v>0</v>
      </c>
      <c r="N54" s="1572">
        <f t="shared" si="24"/>
        <v>0</v>
      </c>
      <c r="O54" s="1572">
        <f t="shared" si="24"/>
        <v>0</v>
      </c>
      <c r="P54" s="1572">
        <f t="shared" si="24"/>
        <v>0</v>
      </c>
      <c r="Q54" s="1572">
        <f t="shared" si="24"/>
        <v>0</v>
      </c>
      <c r="R54" s="1572">
        <f t="shared" si="24"/>
        <v>0</v>
      </c>
      <c r="S54" s="1572">
        <f t="shared" si="24"/>
        <v>0</v>
      </c>
      <c r="T54" s="1572">
        <f t="shared" si="24"/>
        <v>0</v>
      </c>
      <c r="U54" s="1572">
        <f t="shared" si="24"/>
        <v>0</v>
      </c>
      <c r="V54" s="1572">
        <f t="shared" si="24"/>
        <v>0</v>
      </c>
      <c r="W54" s="1572">
        <f t="shared" si="24"/>
        <v>0</v>
      </c>
      <c r="X54" s="1572">
        <f t="shared" si="24"/>
        <v>0</v>
      </c>
      <c r="Y54" s="1572">
        <f t="shared" si="24"/>
        <v>0</v>
      </c>
      <c r="Z54" s="1572">
        <f t="shared" si="24"/>
        <v>0</v>
      </c>
      <c r="AA54" s="1572">
        <f t="shared" si="24"/>
        <v>0</v>
      </c>
      <c r="AB54" s="1572">
        <f t="shared" si="24"/>
        <v>0</v>
      </c>
      <c r="AC54" s="1572">
        <f t="shared" si="24"/>
        <v>0</v>
      </c>
      <c r="AD54" s="1572">
        <f t="shared" si="24"/>
        <v>0</v>
      </c>
      <c r="AE54" s="1078"/>
    </row>
    <row r="55" spans="1:31" s="931" customFormat="1" x14ac:dyDescent="0.2">
      <c r="A55" s="937"/>
      <c r="B55" s="931" t="s">
        <v>642</v>
      </c>
      <c r="D55" s="1579"/>
      <c r="E55" s="1569"/>
      <c r="F55" s="1579">
        <v>0</v>
      </c>
      <c r="H55" s="1570">
        <f>SUM(I55:AC55)</f>
        <v>0</v>
      </c>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560">
        <f>D55-H55</f>
        <v>0</v>
      </c>
      <c r="AE55" s="1559" t="str">
        <f>IF(D55&gt;=0,IF(H55&gt;=0,IF(D55&gt;=H55,"Ok ","Check size "),"Check sign"),IF(H55&gt;0,"Check sign ",IF(ABS(D55)&gt;=ABS(H55),"Ok ","Check size ")))</f>
        <v xml:space="preserve">Ok </v>
      </c>
    </row>
    <row r="56" spans="1:31" s="931" customFormat="1" ht="13.5" thickBot="1" x14ac:dyDescent="0.25">
      <c r="A56" s="937"/>
      <c r="B56" s="931" t="s">
        <v>643</v>
      </c>
      <c r="D56" s="1573">
        <f>SUM(D54:D55)</f>
        <v>0</v>
      </c>
      <c r="E56" s="1569"/>
      <c r="F56" s="1573">
        <f>SUM(F54:F55)</f>
        <v>0</v>
      </c>
      <c r="H56" s="1572">
        <f t="shared" ref="H56:AD56" si="25">SUM(H54:H55)</f>
        <v>0</v>
      </c>
      <c r="I56" s="1572">
        <f t="shared" si="25"/>
        <v>0</v>
      </c>
      <c r="J56" s="1572">
        <f t="shared" si="25"/>
        <v>0</v>
      </c>
      <c r="K56" s="1572">
        <f t="shared" si="25"/>
        <v>0</v>
      </c>
      <c r="L56" s="1572">
        <f t="shared" si="25"/>
        <v>0</v>
      </c>
      <c r="M56" s="1572">
        <f t="shared" si="25"/>
        <v>0</v>
      </c>
      <c r="N56" s="1572">
        <f t="shared" si="25"/>
        <v>0</v>
      </c>
      <c r="O56" s="1572">
        <f t="shared" si="25"/>
        <v>0</v>
      </c>
      <c r="P56" s="1572">
        <f t="shared" si="25"/>
        <v>0</v>
      </c>
      <c r="Q56" s="1572">
        <f t="shared" si="25"/>
        <v>0</v>
      </c>
      <c r="R56" s="1572">
        <f t="shared" si="25"/>
        <v>0</v>
      </c>
      <c r="S56" s="1572">
        <f t="shared" si="25"/>
        <v>0</v>
      </c>
      <c r="T56" s="1572">
        <f t="shared" si="25"/>
        <v>0</v>
      </c>
      <c r="U56" s="1572">
        <f t="shared" si="25"/>
        <v>0</v>
      </c>
      <c r="V56" s="1572">
        <f t="shared" si="25"/>
        <v>0</v>
      </c>
      <c r="W56" s="1572">
        <f t="shared" si="25"/>
        <v>0</v>
      </c>
      <c r="X56" s="1572">
        <f t="shared" si="25"/>
        <v>0</v>
      </c>
      <c r="Y56" s="1572">
        <f t="shared" si="25"/>
        <v>0</v>
      </c>
      <c r="Z56" s="1572">
        <f t="shared" si="25"/>
        <v>0</v>
      </c>
      <c r="AA56" s="1572">
        <f t="shared" si="25"/>
        <v>0</v>
      </c>
      <c r="AB56" s="1572">
        <f t="shared" si="25"/>
        <v>0</v>
      </c>
      <c r="AC56" s="1572">
        <f t="shared" si="25"/>
        <v>0</v>
      </c>
      <c r="AD56" s="1560">
        <f t="shared" si="25"/>
        <v>0</v>
      </c>
      <c r="AE56" s="1559" t="str">
        <f>IF(D56&gt;=0,IF(H56&gt;=0,IF(D56&gt;=H56,"Ok ","Check size "),"Check sign"),IF(H56&gt;0,"Check sign ",IF(ABS(D56)&gt;=ABS(H56),"Ok ","Check size ")))</f>
        <v xml:space="preserve">Ok </v>
      </c>
    </row>
    <row r="57" spans="1:31" s="931" customFormat="1" x14ac:dyDescent="0.2">
      <c r="A57" s="937"/>
      <c r="AE57" s="1078"/>
    </row>
    <row r="58" spans="1:31" s="931" customFormat="1" ht="13.5" thickBot="1" x14ac:dyDescent="0.25">
      <c r="A58" s="937"/>
      <c r="B58" s="937" t="s">
        <v>2422</v>
      </c>
      <c r="D58" s="1574">
        <f>+D56+D48</f>
        <v>0</v>
      </c>
      <c r="F58" s="1574">
        <f>+F56+F48</f>
        <v>0</v>
      </c>
      <c r="H58" s="1572">
        <f t="shared" ref="H58:AD58" si="26">H48+H56</f>
        <v>0</v>
      </c>
      <c r="I58" s="1572">
        <f t="shared" si="26"/>
        <v>0</v>
      </c>
      <c r="J58" s="1572">
        <f t="shared" si="26"/>
        <v>0</v>
      </c>
      <c r="K58" s="1572">
        <f t="shared" si="26"/>
        <v>0</v>
      </c>
      <c r="L58" s="1572">
        <f t="shared" si="26"/>
        <v>0</v>
      </c>
      <c r="M58" s="1572">
        <f t="shared" si="26"/>
        <v>0</v>
      </c>
      <c r="N58" s="1572">
        <f t="shared" si="26"/>
        <v>0</v>
      </c>
      <c r="O58" s="1572">
        <f t="shared" si="26"/>
        <v>0</v>
      </c>
      <c r="P58" s="1572">
        <f t="shared" si="26"/>
        <v>0</v>
      </c>
      <c r="Q58" s="1572">
        <f t="shared" si="26"/>
        <v>0</v>
      </c>
      <c r="R58" s="1572">
        <f t="shared" si="26"/>
        <v>0</v>
      </c>
      <c r="S58" s="1572">
        <f t="shared" si="26"/>
        <v>0</v>
      </c>
      <c r="T58" s="1572">
        <f t="shared" si="26"/>
        <v>0</v>
      </c>
      <c r="U58" s="1572">
        <f t="shared" si="26"/>
        <v>0</v>
      </c>
      <c r="V58" s="1572">
        <f t="shared" si="26"/>
        <v>0</v>
      </c>
      <c r="W58" s="1572">
        <f t="shared" si="26"/>
        <v>0</v>
      </c>
      <c r="X58" s="1572">
        <f t="shared" si="26"/>
        <v>0</v>
      </c>
      <c r="Y58" s="1572">
        <f t="shared" si="26"/>
        <v>0</v>
      </c>
      <c r="Z58" s="1572">
        <f t="shared" si="26"/>
        <v>0</v>
      </c>
      <c r="AA58" s="1572">
        <f t="shared" si="26"/>
        <v>0</v>
      </c>
      <c r="AB58" s="1572">
        <f t="shared" si="26"/>
        <v>0</v>
      </c>
      <c r="AC58" s="1572">
        <f t="shared" si="26"/>
        <v>0</v>
      </c>
      <c r="AD58" s="1572">
        <f t="shared" si="26"/>
        <v>0</v>
      </c>
      <c r="AE58" s="1079"/>
    </row>
    <row r="59" spans="1:31" s="931" customFormat="1" x14ac:dyDescent="0.2">
      <c r="A59" s="937"/>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c r="AD59" s="1079"/>
      <c r="AE59" s="1079"/>
    </row>
    <row r="60" spans="1:31" s="931" customFormat="1" ht="13.5" thickBot="1" x14ac:dyDescent="0.25">
      <c r="A60" s="937"/>
      <c r="B60" s="937" t="s">
        <v>2413</v>
      </c>
      <c r="D60" s="1580"/>
      <c r="F60" s="1580"/>
      <c r="H60" s="1575">
        <f>SUM(I60:AC60)</f>
        <v>0</v>
      </c>
      <c r="I60" s="1505"/>
      <c r="J60" s="1505"/>
      <c r="K60" s="1505"/>
      <c r="L60" s="1505"/>
      <c r="M60" s="1505"/>
      <c r="N60" s="1505"/>
      <c r="O60" s="1505"/>
      <c r="P60" s="1505"/>
      <c r="Q60" s="1505"/>
      <c r="R60" s="1505"/>
      <c r="S60" s="1505"/>
      <c r="T60" s="1505"/>
      <c r="U60" s="1505"/>
      <c r="V60" s="1505"/>
      <c r="W60" s="1505"/>
      <c r="X60" s="1505"/>
      <c r="Y60" s="1505"/>
      <c r="Z60" s="1505"/>
      <c r="AA60" s="1505"/>
      <c r="AB60" s="1505"/>
      <c r="AC60" s="1505"/>
      <c r="AD60" s="1576">
        <f>D60-H60</f>
        <v>0</v>
      </c>
      <c r="AE60" s="1577" t="str">
        <f>IF(D60&gt;=0,IF(H60&gt;=0,IF(D60&gt;=H60,"Ok ","Check size "),"Check sign"),IF(H60&gt;0,"Check sign ",IF(ABS(D60)&gt;=ABS(H60),"Ok ","Check size ")))</f>
        <v xml:space="preserve">Ok </v>
      </c>
    </row>
    <row r="61" spans="1:31" s="931" customFormat="1" x14ac:dyDescent="0.2">
      <c r="A61" s="937"/>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c r="AD61" s="1079"/>
      <c r="AE61" s="1079"/>
    </row>
    <row r="62" spans="1:31" s="931" customFormat="1" ht="13.5" thickBot="1" x14ac:dyDescent="0.25">
      <c r="A62" s="937"/>
      <c r="B62" s="937" t="s">
        <v>2414</v>
      </c>
      <c r="D62" s="1580"/>
      <c r="F62" s="1580"/>
      <c r="H62" s="1575">
        <f>SUM(I62:AC62)</f>
        <v>0</v>
      </c>
      <c r="I62" s="1505"/>
      <c r="J62" s="1505"/>
      <c r="K62" s="1505"/>
      <c r="L62" s="1505"/>
      <c r="M62" s="1505"/>
      <c r="N62" s="1505"/>
      <c r="O62" s="1505"/>
      <c r="P62" s="1505"/>
      <c r="Q62" s="1505"/>
      <c r="R62" s="1505"/>
      <c r="S62" s="1505"/>
      <c r="T62" s="1505"/>
      <c r="U62" s="1505"/>
      <c r="V62" s="1505"/>
      <c r="W62" s="1505"/>
      <c r="X62" s="1505"/>
      <c r="Y62" s="1505"/>
      <c r="Z62" s="1505"/>
      <c r="AA62" s="1505"/>
      <c r="AB62" s="1505"/>
      <c r="AC62" s="1505"/>
      <c r="AD62" s="1576">
        <f>D62-H62</f>
        <v>0</v>
      </c>
      <c r="AE62" s="1577" t="str">
        <f>IF(D62&gt;=0,IF(H62&gt;=0,IF(D62&gt;=H62,"Ok ","Check size "),"Check sign"),IF(H62&gt;0,"Check sign ",IF(ABS(D62)&gt;=ABS(H62),"Ok ","Check size ")))</f>
        <v xml:space="preserve">Ok </v>
      </c>
    </row>
    <row r="63" spans="1:31" s="931" customFormat="1" x14ac:dyDescent="0.2">
      <c r="A63" s="937"/>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079"/>
      <c r="AE63" s="1079"/>
    </row>
    <row r="64" spans="1:31" s="931" customFormat="1" x14ac:dyDescent="0.2">
      <c r="A64" s="937"/>
      <c r="D64" s="939" t="str">
        <f>IF(D60+D62=D58,"OK","ERROR")</f>
        <v>OK</v>
      </c>
      <c r="F64" s="939" t="str">
        <f>IF(F60+F62=F58,"OK","ERROR")</f>
        <v>OK</v>
      </c>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079"/>
      <c r="AE64" s="1079"/>
    </row>
    <row r="65" spans="1:31" s="931" customFormat="1" x14ac:dyDescent="0.2">
      <c r="A65" s="937"/>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row>
    <row r="66" spans="1:31" s="931" customFormat="1" x14ac:dyDescent="0.2">
      <c r="A66" s="937"/>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row>
    <row r="67" spans="1:31" s="931" customFormat="1" x14ac:dyDescent="0.2">
      <c r="A67" s="1468" t="s">
        <v>2423</v>
      </c>
      <c r="B67" s="937" t="s">
        <v>2410</v>
      </c>
      <c r="H67" s="1078" t="s">
        <v>930</v>
      </c>
      <c r="I67" s="1078"/>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79"/>
    </row>
    <row r="68" spans="1:31" s="931" customFormat="1" x14ac:dyDescent="0.2">
      <c r="A68" s="937"/>
      <c r="H68" s="1566"/>
      <c r="I68" s="1566" t="s">
        <v>345</v>
      </c>
      <c r="J68" s="1566" t="s">
        <v>2459</v>
      </c>
      <c r="K68" s="1566" t="s">
        <v>4</v>
      </c>
      <c r="L68" s="1566" t="s">
        <v>10</v>
      </c>
      <c r="M68" s="1566" t="s">
        <v>24</v>
      </c>
      <c r="N68" s="1566" t="s">
        <v>16</v>
      </c>
      <c r="O68" s="1566" t="s">
        <v>18</v>
      </c>
      <c r="P68" s="1566" t="s">
        <v>34</v>
      </c>
      <c r="Q68" s="1566" t="s">
        <v>1252</v>
      </c>
      <c r="R68" s="1566" t="s">
        <v>2448</v>
      </c>
      <c r="S68" s="1566" t="s">
        <v>22</v>
      </c>
      <c r="T68" s="1566" t="s">
        <v>32</v>
      </c>
      <c r="U68" s="1566" t="s">
        <v>30</v>
      </c>
      <c r="V68" s="1566" t="s">
        <v>6</v>
      </c>
      <c r="W68" s="1566" t="s">
        <v>26</v>
      </c>
      <c r="X68" s="1566" t="s">
        <v>28</v>
      </c>
      <c r="Y68" s="1566" t="s">
        <v>12</v>
      </c>
      <c r="Z68" s="1566" t="s">
        <v>8</v>
      </c>
      <c r="AA68" s="1566" t="s">
        <v>14</v>
      </c>
      <c r="AB68" s="1566" t="s">
        <v>36</v>
      </c>
      <c r="AC68" s="1566" t="s">
        <v>38</v>
      </c>
      <c r="AD68" s="1079"/>
      <c r="AE68" s="1079"/>
    </row>
    <row r="69" spans="1:31" s="931" customFormat="1" ht="45" x14ac:dyDescent="0.2">
      <c r="A69" s="937"/>
      <c r="D69" s="461" t="str">
        <f>+D40</f>
        <v>2025-26</v>
      </c>
      <c r="F69" s="461" t="str">
        <f>+F40</f>
        <v>2024-25</v>
      </c>
      <c r="H69" s="1567" t="s">
        <v>604</v>
      </c>
      <c r="I69" s="1555" t="s">
        <v>48</v>
      </c>
      <c r="J69" s="1555" t="s">
        <v>2457</v>
      </c>
      <c r="K69" s="1555" t="s">
        <v>5</v>
      </c>
      <c r="L69" s="1555" t="s">
        <v>11</v>
      </c>
      <c r="M69" s="1555" t="s">
        <v>25</v>
      </c>
      <c r="N69" s="1555" t="s">
        <v>17</v>
      </c>
      <c r="O69" s="1555" t="s">
        <v>19</v>
      </c>
      <c r="P69" s="1555" t="s">
        <v>35</v>
      </c>
      <c r="Q69" s="1555" t="s">
        <v>900</v>
      </c>
      <c r="R69" s="1555" t="s">
        <v>2446</v>
      </c>
      <c r="S69" s="1555" t="s">
        <v>23</v>
      </c>
      <c r="T69" s="1555" t="s">
        <v>33</v>
      </c>
      <c r="U69" s="1555" t="s">
        <v>31</v>
      </c>
      <c r="V69" s="1555" t="s">
        <v>7</v>
      </c>
      <c r="W69" s="1555" t="s">
        <v>27</v>
      </c>
      <c r="X69" s="1555" t="s">
        <v>29</v>
      </c>
      <c r="Y69" s="1555" t="s">
        <v>13</v>
      </c>
      <c r="Z69" s="1555" t="s">
        <v>9</v>
      </c>
      <c r="AA69" s="1555" t="s">
        <v>15</v>
      </c>
      <c r="AB69" s="1555" t="s">
        <v>37</v>
      </c>
      <c r="AC69" s="1555" t="s">
        <v>39</v>
      </c>
      <c r="AD69" s="1552" t="s">
        <v>932</v>
      </c>
      <c r="AE69" s="1552" t="s">
        <v>63</v>
      </c>
    </row>
    <row r="70" spans="1:31" s="931" customFormat="1" ht="15" x14ac:dyDescent="0.2">
      <c r="A70" s="937"/>
      <c r="D70" s="509" t="str">
        <f>+D41</f>
        <v>£000s</v>
      </c>
      <c r="F70" s="509" t="str">
        <f>+F41</f>
        <v>£000s</v>
      </c>
      <c r="H70" s="1568" t="s">
        <v>62</v>
      </c>
      <c r="I70" s="1568" t="s">
        <v>62</v>
      </c>
      <c r="J70" s="1568" t="s">
        <v>62</v>
      </c>
      <c r="K70" s="1568" t="s">
        <v>62</v>
      </c>
      <c r="L70" s="1568" t="s">
        <v>62</v>
      </c>
      <c r="M70" s="1568" t="s">
        <v>62</v>
      </c>
      <c r="N70" s="1568" t="s">
        <v>62</v>
      </c>
      <c r="O70" s="1568" t="s">
        <v>62</v>
      </c>
      <c r="P70" s="1568" t="s">
        <v>62</v>
      </c>
      <c r="Q70" s="1568" t="s">
        <v>62</v>
      </c>
      <c r="R70" s="1568" t="s">
        <v>62</v>
      </c>
      <c r="S70" s="1568" t="s">
        <v>62</v>
      </c>
      <c r="T70" s="1568" t="s">
        <v>62</v>
      </c>
      <c r="U70" s="1568" t="s">
        <v>62</v>
      </c>
      <c r="V70" s="1568" t="s">
        <v>62</v>
      </c>
      <c r="W70" s="1568" t="s">
        <v>62</v>
      </c>
      <c r="X70" s="1568" t="s">
        <v>62</v>
      </c>
      <c r="Y70" s="1568" t="s">
        <v>62</v>
      </c>
      <c r="Z70" s="1568" t="s">
        <v>62</v>
      </c>
      <c r="AA70" s="1568" t="s">
        <v>62</v>
      </c>
      <c r="AB70" s="1568" t="s">
        <v>62</v>
      </c>
      <c r="AC70" s="1568" t="s">
        <v>62</v>
      </c>
      <c r="AD70" s="1556" t="s">
        <v>62</v>
      </c>
      <c r="AE70" s="1556"/>
    </row>
    <row r="71" spans="1:31" s="931" customFormat="1" x14ac:dyDescent="0.2">
      <c r="A71" s="937"/>
    </row>
    <row r="72" spans="1:31" s="931" customFormat="1" x14ac:dyDescent="0.2">
      <c r="A72" s="937"/>
      <c r="B72" s="931" t="s">
        <v>2415</v>
      </c>
      <c r="D72" s="1581"/>
      <c r="F72" s="1581"/>
      <c r="H72" s="1570">
        <f>SUM(I72:AC72)</f>
        <v>0</v>
      </c>
      <c r="I72" s="1037"/>
      <c r="J72" s="1037"/>
      <c r="K72" s="1037"/>
      <c r="L72" s="1037"/>
      <c r="M72" s="1037"/>
      <c r="N72" s="1037"/>
      <c r="O72" s="1037"/>
      <c r="P72" s="1037"/>
      <c r="Q72" s="1037"/>
      <c r="R72" s="1037"/>
      <c r="S72" s="1037"/>
      <c r="T72" s="1037"/>
      <c r="U72" s="1037"/>
      <c r="V72" s="1037"/>
      <c r="W72" s="1037"/>
      <c r="X72" s="1037"/>
      <c r="Y72" s="1037"/>
      <c r="Z72" s="1037"/>
      <c r="AA72" s="1037"/>
      <c r="AB72" s="1037"/>
      <c r="AC72" s="1037"/>
      <c r="AD72" s="1560">
        <f>D72-H72</f>
        <v>0</v>
      </c>
      <c r="AE72" s="1559" t="str">
        <f>IF(D72&gt;=0,IF(H72&gt;=0,IF(D72&gt;=H72,"Ok ","Check size "),"Check sign"),IF(H72&gt;0,"Check sign ",IF(ABS(D72)&gt;=ABS(H72),"Ok ","Check size ")))</f>
        <v xml:space="preserve">Ok </v>
      </c>
    </row>
    <row r="73" spans="1:31" s="931" customFormat="1" x14ac:dyDescent="0.2">
      <c r="A73" s="937"/>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c r="AD73" s="1079"/>
      <c r="AE73" s="1079"/>
    </row>
    <row r="74" spans="1:31" s="931" customFormat="1" x14ac:dyDescent="0.2">
      <c r="A74" s="937"/>
      <c r="B74" s="931" t="s">
        <v>2416</v>
      </c>
      <c r="D74" s="1581"/>
      <c r="F74" s="1581"/>
      <c r="H74" s="1570">
        <f>SUM(I74:AC74)</f>
        <v>0</v>
      </c>
      <c r="I74" s="1037"/>
      <c r="J74" s="1037"/>
      <c r="K74" s="1037"/>
      <c r="L74" s="1037"/>
      <c r="M74" s="1037"/>
      <c r="N74" s="1037"/>
      <c r="O74" s="1037"/>
      <c r="P74" s="1037"/>
      <c r="Q74" s="1037"/>
      <c r="R74" s="1037"/>
      <c r="S74" s="1037"/>
      <c r="T74" s="1037"/>
      <c r="U74" s="1037"/>
      <c r="V74" s="1037"/>
      <c r="W74" s="1037"/>
      <c r="X74" s="1037"/>
      <c r="Y74" s="1037"/>
      <c r="Z74" s="1037"/>
      <c r="AA74" s="1037"/>
      <c r="AB74" s="1037"/>
      <c r="AC74" s="1037"/>
      <c r="AD74" s="1560">
        <f>D74-H74</f>
        <v>0</v>
      </c>
      <c r="AE74" s="1559" t="str">
        <f>IF(D74&gt;=0,IF(H74&gt;=0,IF(D74&gt;=H74,"Ok ","Check size "),"Check sign"),IF(H74&gt;0,"Check sign ",IF(ABS(D74)&gt;=ABS(H74),"Ok ","Check size ")))</f>
        <v xml:space="preserve">Ok </v>
      </c>
    </row>
    <row r="75" spans="1:31" s="931" customFormat="1" x14ac:dyDescent="0.2">
      <c r="A75" s="937"/>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c r="AD75" s="1079"/>
      <c r="AE75" s="1079"/>
    </row>
    <row r="76" spans="1:31" s="931" customFormat="1" x14ac:dyDescent="0.2">
      <c r="A76" s="937"/>
      <c r="B76" s="931" t="s">
        <v>2417</v>
      </c>
      <c r="D76" s="1581"/>
      <c r="F76" s="1581"/>
      <c r="H76" s="1570">
        <f>SUM(I76:AC76)</f>
        <v>0</v>
      </c>
      <c r="I76" s="1037"/>
      <c r="J76" s="1037"/>
      <c r="K76" s="1037"/>
      <c r="L76" s="1037"/>
      <c r="M76" s="1037"/>
      <c r="N76" s="1037"/>
      <c r="O76" s="1037"/>
      <c r="P76" s="1037"/>
      <c r="Q76" s="1037"/>
      <c r="R76" s="1037"/>
      <c r="S76" s="1037"/>
      <c r="T76" s="1037"/>
      <c r="U76" s="1037"/>
      <c r="V76" s="1037"/>
      <c r="W76" s="1037"/>
      <c r="X76" s="1037"/>
      <c r="Y76" s="1037"/>
      <c r="Z76" s="1037"/>
      <c r="AA76" s="1037"/>
      <c r="AB76" s="1037"/>
      <c r="AC76" s="1037"/>
      <c r="AD76" s="1560">
        <f>D76-H76</f>
        <v>0</v>
      </c>
      <c r="AE76" s="1559" t="str">
        <f>IF(D76&gt;=0,IF(H76&gt;=0,IF(D76&gt;=H76,"Ok ","Check size "),"Check sign"),IF(H76&gt;0,"Check sign ",IF(ABS(D76)&gt;=ABS(H76),"Ok ","Check size ")))</f>
        <v xml:space="preserve">Ok </v>
      </c>
    </row>
    <row r="77" spans="1:31" s="931" customFormat="1" x14ac:dyDescent="0.2">
      <c r="A77" s="937"/>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c r="AD77" s="1079"/>
      <c r="AE77" s="1079"/>
    </row>
    <row r="78" spans="1:31" s="931" customFormat="1" ht="25.5" x14ac:dyDescent="0.2">
      <c r="A78" s="937"/>
      <c r="B78" s="1503" t="s">
        <v>2418</v>
      </c>
      <c r="D78" s="1581"/>
      <c r="F78" s="1581"/>
      <c r="H78" s="1570">
        <f>SUM(I78:AC78)</f>
        <v>0</v>
      </c>
      <c r="I78" s="1037"/>
      <c r="J78" s="1037"/>
      <c r="K78" s="1037"/>
      <c r="L78" s="1037"/>
      <c r="M78" s="1037"/>
      <c r="N78" s="1037"/>
      <c r="O78" s="1037"/>
      <c r="P78" s="1037"/>
      <c r="Q78" s="1037"/>
      <c r="R78" s="1037"/>
      <c r="S78" s="1037"/>
      <c r="T78" s="1037"/>
      <c r="U78" s="1037"/>
      <c r="V78" s="1037"/>
      <c r="W78" s="1037"/>
      <c r="X78" s="1037"/>
      <c r="Y78" s="1037"/>
      <c r="Z78" s="1037"/>
      <c r="AA78" s="1037"/>
      <c r="AB78" s="1037"/>
      <c r="AC78" s="1037"/>
      <c r="AD78" s="1560">
        <f>D78-H78</f>
        <v>0</v>
      </c>
      <c r="AE78" s="1559" t="str">
        <f>IF(D78&gt;=0,IF(H78&gt;=0,IF(D78&gt;=H78,"Ok ","Check size "),"Check sign"),IF(H78&gt;0,"Check sign ",IF(ABS(D78)&gt;=ABS(H78),"Ok ","Check size ")))</f>
        <v xml:space="preserve">Ok </v>
      </c>
    </row>
    <row r="79" spans="1:31" s="931" customFormat="1" x14ac:dyDescent="0.2">
      <c r="A79" s="937"/>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c r="AD79" s="1079"/>
      <c r="AE79" s="1079"/>
    </row>
    <row r="80" spans="1:31" s="931" customFormat="1" x14ac:dyDescent="0.2">
      <c r="A80" s="937"/>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c r="AD80" s="1079"/>
      <c r="AE80" s="1079"/>
    </row>
    <row r="81" spans="1:31" s="931" customFormat="1" x14ac:dyDescent="0.2">
      <c r="A81" s="1468" t="s">
        <v>2424</v>
      </c>
      <c r="B81" s="937" t="s">
        <v>2411</v>
      </c>
      <c r="H81" s="1078" t="s">
        <v>930</v>
      </c>
      <c r="I81" s="1078"/>
      <c r="J81" s="1080"/>
      <c r="K81" s="1080"/>
      <c r="L81" s="1080"/>
      <c r="M81" s="1080"/>
      <c r="N81" s="1080"/>
      <c r="O81" s="1080"/>
      <c r="P81" s="1080"/>
      <c r="Q81" s="1080"/>
      <c r="R81" s="1080"/>
      <c r="S81" s="1080"/>
      <c r="T81" s="1080"/>
      <c r="U81" s="1080"/>
      <c r="V81" s="1080"/>
      <c r="W81" s="1080"/>
      <c r="X81" s="1080"/>
      <c r="Y81" s="1080"/>
      <c r="Z81" s="1080"/>
      <c r="AA81" s="1080"/>
      <c r="AB81" s="1080"/>
      <c r="AC81" s="1080"/>
      <c r="AD81" s="1080"/>
      <c r="AE81" s="1079"/>
    </row>
    <row r="82" spans="1:31" s="931" customFormat="1" x14ac:dyDescent="0.2">
      <c r="A82" s="937"/>
      <c r="H82" s="1566"/>
      <c r="I82" s="1566" t="s">
        <v>345</v>
      </c>
      <c r="J82" s="1566" t="s">
        <v>2459</v>
      </c>
      <c r="K82" s="1566" t="s">
        <v>4</v>
      </c>
      <c r="L82" s="1566" t="s">
        <v>10</v>
      </c>
      <c r="M82" s="1566" t="s">
        <v>24</v>
      </c>
      <c r="N82" s="1566" t="s">
        <v>16</v>
      </c>
      <c r="O82" s="1566" t="s">
        <v>18</v>
      </c>
      <c r="P82" s="1566" t="s">
        <v>34</v>
      </c>
      <c r="Q82" s="1566" t="s">
        <v>1252</v>
      </c>
      <c r="R82" s="1566" t="s">
        <v>2448</v>
      </c>
      <c r="S82" s="1566" t="s">
        <v>22</v>
      </c>
      <c r="T82" s="1566" t="s">
        <v>32</v>
      </c>
      <c r="U82" s="1566" t="s">
        <v>30</v>
      </c>
      <c r="V82" s="1566" t="s">
        <v>6</v>
      </c>
      <c r="W82" s="1566" t="s">
        <v>26</v>
      </c>
      <c r="X82" s="1566" t="s">
        <v>28</v>
      </c>
      <c r="Y82" s="1566" t="s">
        <v>12</v>
      </c>
      <c r="Z82" s="1566" t="s">
        <v>8</v>
      </c>
      <c r="AA82" s="1566" t="s">
        <v>14</v>
      </c>
      <c r="AB82" s="1566" t="s">
        <v>36</v>
      </c>
      <c r="AC82" s="1566" t="s">
        <v>38</v>
      </c>
      <c r="AD82" s="1079"/>
      <c r="AE82" s="1079"/>
    </row>
    <row r="83" spans="1:31" s="931" customFormat="1" ht="45" x14ac:dyDescent="0.2">
      <c r="A83" s="937"/>
      <c r="D83" s="461" t="str">
        <f>+D69</f>
        <v>2025-26</v>
      </c>
      <c r="F83" s="461" t="str">
        <f>F69</f>
        <v>2024-25</v>
      </c>
      <c r="H83" s="1567" t="s">
        <v>604</v>
      </c>
      <c r="I83" s="1555" t="s">
        <v>48</v>
      </c>
      <c r="J83" s="1555" t="s">
        <v>2457</v>
      </c>
      <c r="K83" s="1555" t="s">
        <v>5</v>
      </c>
      <c r="L83" s="1555" t="s">
        <v>11</v>
      </c>
      <c r="M83" s="1555" t="s">
        <v>25</v>
      </c>
      <c r="N83" s="1555" t="s">
        <v>17</v>
      </c>
      <c r="O83" s="1555" t="s">
        <v>19</v>
      </c>
      <c r="P83" s="1555" t="s">
        <v>35</v>
      </c>
      <c r="Q83" s="1555" t="s">
        <v>900</v>
      </c>
      <c r="R83" s="1555" t="s">
        <v>2446</v>
      </c>
      <c r="S83" s="1555" t="s">
        <v>23</v>
      </c>
      <c r="T83" s="1555" t="s">
        <v>33</v>
      </c>
      <c r="U83" s="1555" t="s">
        <v>31</v>
      </c>
      <c r="V83" s="1555" t="s">
        <v>7</v>
      </c>
      <c r="W83" s="1555" t="s">
        <v>27</v>
      </c>
      <c r="X83" s="1555" t="s">
        <v>29</v>
      </c>
      <c r="Y83" s="1555" t="s">
        <v>13</v>
      </c>
      <c r="Z83" s="1555" t="s">
        <v>9</v>
      </c>
      <c r="AA83" s="1555" t="s">
        <v>15</v>
      </c>
      <c r="AB83" s="1555" t="s">
        <v>37</v>
      </c>
      <c r="AC83" s="1555" t="s">
        <v>39</v>
      </c>
      <c r="AD83" s="1552" t="s">
        <v>932</v>
      </c>
      <c r="AE83" s="1552" t="s">
        <v>63</v>
      </c>
    </row>
    <row r="84" spans="1:31" s="931" customFormat="1" ht="15" x14ac:dyDescent="0.2">
      <c r="A84" s="937"/>
      <c r="D84" s="509" t="str">
        <f>+D70</f>
        <v>£000s</v>
      </c>
      <c r="F84" s="509" t="str">
        <f>+F70</f>
        <v>£000s</v>
      </c>
      <c r="H84" s="1568" t="s">
        <v>62</v>
      </c>
      <c r="I84" s="1568" t="s">
        <v>62</v>
      </c>
      <c r="J84" s="1568" t="s">
        <v>62</v>
      </c>
      <c r="K84" s="1568" t="s">
        <v>62</v>
      </c>
      <c r="L84" s="1568" t="s">
        <v>62</v>
      </c>
      <c r="M84" s="1568" t="s">
        <v>62</v>
      </c>
      <c r="N84" s="1568" t="s">
        <v>62</v>
      </c>
      <c r="O84" s="1568" t="s">
        <v>62</v>
      </c>
      <c r="P84" s="1568" t="s">
        <v>62</v>
      </c>
      <c r="Q84" s="1568" t="s">
        <v>62</v>
      </c>
      <c r="R84" s="1568" t="s">
        <v>62</v>
      </c>
      <c r="S84" s="1568" t="s">
        <v>62</v>
      </c>
      <c r="T84" s="1568" t="s">
        <v>62</v>
      </c>
      <c r="U84" s="1568" t="s">
        <v>62</v>
      </c>
      <c r="V84" s="1568" t="s">
        <v>62</v>
      </c>
      <c r="W84" s="1568" t="s">
        <v>62</v>
      </c>
      <c r="X84" s="1568" t="s">
        <v>62</v>
      </c>
      <c r="Y84" s="1568" t="s">
        <v>62</v>
      </c>
      <c r="Z84" s="1568" t="s">
        <v>62</v>
      </c>
      <c r="AA84" s="1568" t="s">
        <v>62</v>
      </c>
      <c r="AB84" s="1568" t="s">
        <v>62</v>
      </c>
      <c r="AC84" s="1568" t="s">
        <v>62</v>
      </c>
      <c r="AD84" s="1556" t="s">
        <v>62</v>
      </c>
      <c r="AE84" s="1556"/>
    </row>
    <row r="85" spans="1:31" s="931" customFormat="1" x14ac:dyDescent="0.2">
      <c r="A85" s="937"/>
    </row>
    <row r="86" spans="1:31" s="931" customFormat="1" x14ac:dyDescent="0.2">
      <c r="A86" s="937"/>
      <c r="B86" s="931" t="s">
        <v>2419</v>
      </c>
      <c r="D86" s="1581"/>
      <c r="F86" s="1581"/>
      <c r="H86" s="1570">
        <f>SUM(I86:AC86)</f>
        <v>0</v>
      </c>
      <c r="I86" s="1037"/>
      <c r="J86" s="1037"/>
      <c r="K86" s="1037"/>
      <c r="L86" s="1037"/>
      <c r="M86" s="1037"/>
      <c r="N86" s="1037"/>
      <c r="O86" s="1037"/>
      <c r="P86" s="1037"/>
      <c r="Q86" s="1037"/>
      <c r="R86" s="1037"/>
      <c r="S86" s="1037"/>
      <c r="T86" s="1037"/>
      <c r="U86" s="1037"/>
      <c r="V86" s="1037"/>
      <c r="W86" s="1037"/>
      <c r="X86" s="1037"/>
      <c r="Y86" s="1037"/>
      <c r="Z86" s="1037"/>
      <c r="AA86" s="1037"/>
      <c r="AB86" s="1037"/>
      <c r="AC86" s="1037"/>
      <c r="AD86" s="1560">
        <f>D86-H86</f>
        <v>0</v>
      </c>
      <c r="AE86" s="1559" t="str">
        <f>IF(D86&gt;=0,IF(H86&gt;=0,IF(D86&gt;=H86,"Ok ","Check size "),"Check sign"),IF(H86&gt;0,"Check sign ",IF(ABS(D86)&gt;=ABS(H86),"Ok ","Check size ")))</f>
        <v xml:space="preserve">Ok </v>
      </c>
    </row>
    <row r="87" spans="1:31" s="931" customFormat="1" x14ac:dyDescent="0.2">
      <c r="A87" s="937"/>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row>
    <row r="88" spans="1:31" s="931" customFormat="1" x14ac:dyDescent="0.2">
      <c r="A88" s="937"/>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row>
    <row r="89" spans="1:31" s="931" customFormat="1" x14ac:dyDescent="0.2">
      <c r="A89" s="937"/>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row>
    <row r="90" spans="1:31" s="931" customFormat="1" x14ac:dyDescent="0.2">
      <c r="A90" s="937"/>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row>
    <row r="91" spans="1:31" ht="12.75" customHeight="1" x14ac:dyDescent="0.2">
      <c r="A91" s="388"/>
      <c r="B91" s="574"/>
      <c r="C91" s="574"/>
      <c r="D91" s="574"/>
      <c r="E91" s="574"/>
    </row>
    <row r="92" spans="1:31" ht="12.75" customHeight="1" x14ac:dyDescent="0.2">
      <c r="A92" s="388"/>
      <c r="B92" s="574"/>
      <c r="C92" s="574"/>
      <c r="D92" s="574"/>
      <c r="E92" s="574"/>
    </row>
    <row r="93" spans="1:31" ht="12.75" customHeight="1" x14ac:dyDescent="0.2">
      <c r="A93" s="388"/>
      <c r="B93" s="574"/>
      <c r="C93" s="574"/>
      <c r="D93" s="574"/>
      <c r="E93" s="574"/>
    </row>
    <row r="94" spans="1:31" ht="12.75" customHeight="1" x14ac:dyDescent="0.2">
      <c r="A94" s="388"/>
      <c r="B94" s="574"/>
      <c r="C94" s="574"/>
      <c r="D94" s="574"/>
      <c r="E94" s="574"/>
    </row>
    <row r="95" spans="1:31" ht="12.75" customHeight="1" x14ac:dyDescent="0.2">
      <c r="A95" s="388"/>
      <c r="B95" s="574"/>
      <c r="C95" s="574"/>
      <c r="D95" s="574"/>
      <c r="E95" s="574"/>
    </row>
    <row r="96" spans="1:31" ht="12.75" customHeight="1" x14ac:dyDescent="0.2">
      <c r="A96" s="388"/>
      <c r="B96" s="574"/>
      <c r="C96" s="574"/>
      <c r="D96" s="574"/>
      <c r="E96" s="574"/>
    </row>
  </sheetData>
  <sheetProtection algorithmName="SHA-512" hashValue="Nypfnt656PjwV74ww9SE8g2k3jUA480V63SW1nX3cVTW1Yhs+8ATTgpHkTyTtrYXpSTVzD+sxPCZZPQQKWMMsA==" saltValue="TPhPdTxT7riKXS4LpQiEIA==" spinCount="100000" sheet="1" formatColumns="0" formatRows="0"/>
  <conditionalFormatting sqref="A3">
    <cfRule type="expression" dxfId="60" priority="28">
      <formula>CELL("Protect",A3)=0</formula>
    </cfRule>
  </conditionalFormatting>
  <conditionalFormatting sqref="I43:AC45">
    <cfRule type="expression" dxfId="59" priority="27">
      <formula>CELL("Protect",I43)=0</formula>
    </cfRule>
  </conditionalFormatting>
  <conditionalFormatting sqref="I51:AC53">
    <cfRule type="expression" dxfId="58" priority="26">
      <formula>CELL("Protect",I51)=0</formula>
    </cfRule>
  </conditionalFormatting>
  <conditionalFormatting sqref="I55:AC55">
    <cfRule type="expression" dxfId="57" priority="25">
      <formula>CELL("Protect",I55)=0</formula>
    </cfRule>
  </conditionalFormatting>
  <conditionalFormatting sqref="I60:AC60">
    <cfRule type="expression" dxfId="56" priority="22">
      <formula>CELL("Protect",I60)=0</formula>
    </cfRule>
  </conditionalFormatting>
  <conditionalFormatting sqref="I62:AC62">
    <cfRule type="expression" dxfId="55" priority="21">
      <formula>CELL("Protect",I62)=0</formula>
    </cfRule>
  </conditionalFormatting>
  <conditionalFormatting sqref="I72:AC72">
    <cfRule type="expression" dxfId="54" priority="20">
      <formula>CELL("Protect",I72)=0</formula>
    </cfRule>
  </conditionalFormatting>
  <conditionalFormatting sqref="I74:AC74">
    <cfRule type="expression" dxfId="53" priority="19">
      <formula>CELL("Protect",I74)=0</formula>
    </cfRule>
  </conditionalFormatting>
  <conditionalFormatting sqref="I76:AC76">
    <cfRule type="expression" dxfId="52" priority="18">
      <formula>CELL("Protect",I76)=0</formula>
    </cfRule>
  </conditionalFormatting>
  <conditionalFormatting sqref="I78:AC78">
    <cfRule type="expression" dxfId="51" priority="17">
      <formula>CELL("Protect",I78)=0</formula>
    </cfRule>
  </conditionalFormatting>
  <conditionalFormatting sqref="I86:AC86">
    <cfRule type="expression" dxfId="50" priority="16">
      <formula>CELL("Protect",I86)=0</formula>
    </cfRule>
  </conditionalFormatting>
  <conditionalFormatting sqref="M12:T19">
    <cfRule type="expression" dxfId="49" priority="6">
      <formula>CELL("Protect",M12)=0</formula>
    </cfRule>
  </conditionalFormatting>
  <conditionalFormatting sqref="M23:T29">
    <cfRule type="expression" dxfId="48" priority="4">
      <formula>CELL("Protect",M23)=0</formula>
    </cfRule>
  </conditionalFormatting>
  <pageMargins left="0.74803149606299213" right="0.74803149606299213" top="0.59055118110236227" bottom="0.59055118110236227" header="0.51181102362204722" footer="0.51181102362204722"/>
  <pageSetup paperSize="9" scale="2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8">
    <tabColor rgb="FFFFFF00"/>
    <pageSetUpPr fitToPage="1"/>
  </sheetPr>
  <dimension ref="A1:H88"/>
  <sheetViews>
    <sheetView zoomScaleNormal="100" workbookViewId="0">
      <pane xSplit="3" ySplit="9" topLeftCell="D10" activePane="bottomRight" state="frozen"/>
      <selection activeCell="F19" sqref="F19"/>
      <selection pane="topRight" activeCell="F19" sqref="F19"/>
      <selection pane="bottomLeft" activeCell="F19" sqref="F19"/>
      <selection pane="bottomRight" activeCell="D10" sqref="D10"/>
    </sheetView>
  </sheetViews>
  <sheetFormatPr defaultColWidth="9.140625" defaultRowHeight="13.5" customHeight="1" x14ac:dyDescent="0.2"/>
  <cols>
    <col min="1" max="1" width="88.7109375" style="397" customWidth="1"/>
    <col min="2" max="2" width="16.140625" style="480" customWidth="1"/>
    <col min="3" max="3" width="12.7109375" style="480" customWidth="1"/>
    <col min="4" max="4" width="9.140625" style="397"/>
    <col min="5" max="5" width="13.5703125" style="397" bestFit="1" customWidth="1"/>
    <col min="6" max="6" width="39.85546875" style="397" customWidth="1"/>
    <col min="7" max="7" width="10.7109375" style="397" customWidth="1"/>
    <col min="8" max="16384" width="9.140625" style="397"/>
  </cols>
  <sheetData>
    <row r="1" spans="1:8" ht="14.65" customHeight="1" x14ac:dyDescent="0.2">
      <c r="A1" s="416" t="str">
        <f>'alb Instructions'!$B$20</f>
        <v>enter HSC Body name here</v>
      </c>
      <c r="B1" s="449"/>
      <c r="C1" s="449"/>
    </row>
    <row r="2" spans="1:8" ht="14.25" customHeight="1" x14ac:dyDescent="0.2">
      <c r="A2" s="388"/>
      <c r="C2" s="501"/>
    </row>
    <row r="3" spans="1:8" ht="13.5" customHeight="1" x14ac:dyDescent="0.2">
      <c r="A3" s="416" t="str">
        <f>"NOTES TO THE ACCOUNTS FOR THE YEAR ENDED"&amp;Update!$B$22</f>
        <v>NOTES TO THE ACCOUNTS FOR THE YEAR ENDED 31 March 2026</v>
      </c>
      <c r="C3" s="501"/>
    </row>
    <row r="4" spans="1:8" ht="13.5" customHeight="1" x14ac:dyDescent="0.2">
      <c r="A4" s="388"/>
    </row>
    <row r="5" spans="1:8" ht="13.5" customHeight="1" x14ac:dyDescent="0.2">
      <c r="A5" s="2153" t="s">
        <v>2352</v>
      </c>
      <c r="B5" s="2153"/>
    </row>
    <row r="7" spans="1:8" ht="28.5" customHeight="1" x14ac:dyDescent="0.2">
      <c r="A7" s="388" t="s">
        <v>2353</v>
      </c>
      <c r="E7" s="388" t="s">
        <v>1297</v>
      </c>
      <c r="F7" s="388"/>
      <c r="G7" s="388"/>
    </row>
    <row r="8" spans="1:8" ht="19.899999999999999" customHeight="1" x14ac:dyDescent="0.2">
      <c r="B8" s="461" t="str">
        <f>Update!$C$38</f>
        <v>2025-26</v>
      </c>
      <c r="C8" s="461" t="str">
        <f>Update!$C$37</f>
        <v>2024-25</v>
      </c>
      <c r="E8" s="414" t="s">
        <v>146</v>
      </c>
      <c r="F8" s="414" t="s">
        <v>1294</v>
      </c>
      <c r="G8" s="412" t="s">
        <v>932</v>
      </c>
      <c r="H8" s="412" t="s">
        <v>63</v>
      </c>
    </row>
    <row r="9" spans="1:8" ht="13.5" customHeight="1" x14ac:dyDescent="0.2">
      <c r="B9" s="509" t="s">
        <v>493</v>
      </c>
      <c r="C9" s="509" t="s">
        <v>493</v>
      </c>
      <c r="E9" s="414" t="s">
        <v>493</v>
      </c>
      <c r="F9" s="414"/>
      <c r="G9" s="508" t="s">
        <v>62</v>
      </c>
      <c r="H9" s="508"/>
    </row>
    <row r="10" spans="1:8" ht="13.5" customHeight="1" x14ac:dyDescent="0.2">
      <c r="B10" s="678"/>
      <c r="C10" s="678"/>
      <c r="E10" s="414"/>
      <c r="F10" s="414"/>
    </row>
    <row r="11" spans="1:8" ht="13.5" customHeight="1" x14ac:dyDescent="0.2">
      <c r="A11" s="397" t="s">
        <v>882</v>
      </c>
      <c r="B11" s="513"/>
      <c r="C11" s="513"/>
      <c r="E11" s="513"/>
      <c r="F11" s="513"/>
      <c r="G11" s="663">
        <f>B11-E11</f>
        <v>0</v>
      </c>
      <c r="H11" s="409" t="str">
        <f>IF(B11&gt;=0,IF(E11&gt;=0,IF(B11&gt;=E11,"Ok ","Check size "),"Check sign"),IF(E11&gt;0,"Check sign ",IF(ABS(B11)&gt;=ABS(E11),"Ok ","Check size ")))</f>
        <v xml:space="preserve">Ok </v>
      </c>
    </row>
    <row r="12" spans="1:8" ht="13.5" customHeight="1" x14ac:dyDescent="0.2">
      <c r="B12" s="457"/>
      <c r="C12" s="457"/>
      <c r="E12" s="457"/>
      <c r="G12" s="663">
        <f>B12-E12</f>
        <v>0</v>
      </c>
      <c r="H12" s="409" t="str">
        <f>IF(B12&gt;=0,IF(E12&gt;=0,IF(B12&gt;=E12,"Ok ","Check size "),"Check sign"),IF(E12&gt;0,"Check sign ",IF(ABS(B12)&gt;=ABS(E12),"Ok ","Check size ")))</f>
        <v xml:space="preserve">Ok </v>
      </c>
    </row>
    <row r="13" spans="1:8" ht="13.5" customHeight="1" x14ac:dyDescent="0.2">
      <c r="B13" s="666">
        <f>SUM(B11:B12)</f>
        <v>0</v>
      </c>
      <c r="C13" s="666">
        <f>SUM(C11:C12)</f>
        <v>0</v>
      </c>
      <c r="E13" s="666">
        <f>SUM(E11:E12)</f>
        <v>0</v>
      </c>
      <c r="G13" s="666">
        <f>SUM(G11:G12)</f>
        <v>0</v>
      </c>
    </row>
    <row r="14" spans="1:8" ht="13.5" customHeight="1" x14ac:dyDescent="0.2">
      <c r="G14" s="500"/>
    </row>
    <row r="15" spans="1:8" ht="13.5" customHeight="1" x14ac:dyDescent="0.2">
      <c r="A15" s="397" t="s">
        <v>1311</v>
      </c>
      <c r="B15" s="1043"/>
      <c r="G15" s="500"/>
    </row>
    <row r="16" spans="1:8" ht="13.5" customHeight="1" x14ac:dyDescent="0.2">
      <c r="A16" s="397" t="s">
        <v>1310</v>
      </c>
      <c r="B16" s="1043"/>
      <c r="G16" s="500"/>
    </row>
    <row r="17" spans="1:8" ht="13.5" customHeight="1" x14ac:dyDescent="0.2">
      <c r="B17" s="1043"/>
      <c r="G17" s="500"/>
    </row>
    <row r="18" spans="1:8" ht="13.5" customHeight="1" x14ac:dyDescent="0.2">
      <c r="A18" s="397" t="s">
        <v>1838</v>
      </c>
    </row>
    <row r="19" spans="1:8" ht="12.75" x14ac:dyDescent="0.2">
      <c r="A19" s="2159"/>
      <c r="B19" s="2159"/>
      <c r="C19" s="2159"/>
    </row>
    <row r="20" spans="1:8" ht="12.75" x14ac:dyDescent="0.2">
      <c r="A20" s="665"/>
      <c r="B20" s="462"/>
      <c r="C20" s="462"/>
    </row>
    <row r="21" spans="1:8" ht="12.75" x14ac:dyDescent="0.2">
      <c r="A21" s="665"/>
      <c r="B21" s="461" t="str">
        <f>Update!$C$38</f>
        <v>2025-26</v>
      </c>
      <c r="C21" s="461" t="str">
        <f>Update!$C$37</f>
        <v>2024-25</v>
      </c>
    </row>
    <row r="22" spans="1:8" ht="12.75" x14ac:dyDescent="0.2">
      <c r="A22" s="665"/>
      <c r="B22" s="509" t="s">
        <v>493</v>
      </c>
      <c r="C22" s="509" t="s">
        <v>493</v>
      </c>
    </row>
    <row r="23" spans="1:8" ht="25.5" x14ac:dyDescent="0.2">
      <c r="A23" s="384" t="s">
        <v>1655</v>
      </c>
      <c r="B23" s="1044"/>
      <c r="C23" s="1044"/>
    </row>
    <row r="24" spans="1:8" ht="13.9" customHeight="1" x14ac:dyDescent="0.2">
      <c r="A24" s="384"/>
      <c r="B24" s="384"/>
      <c r="C24" s="384"/>
    </row>
    <row r="25" spans="1:8" ht="13.5" customHeight="1" x14ac:dyDescent="0.2">
      <c r="A25" s="397" t="s">
        <v>1817</v>
      </c>
    </row>
    <row r="26" spans="1:8" ht="13.5" customHeight="1" x14ac:dyDescent="0.2">
      <c r="A26" s="388"/>
      <c r="B26" s="461" t="str">
        <f>Update!$C$38</f>
        <v>2025-26</v>
      </c>
      <c r="C26" s="461" t="str">
        <f>Update!$C$37</f>
        <v>2024-25</v>
      </c>
    </row>
    <row r="27" spans="1:8" ht="13.5" customHeight="1" x14ac:dyDescent="0.2">
      <c r="A27" s="388"/>
      <c r="B27" s="509" t="s">
        <v>493</v>
      </c>
      <c r="C27" s="509" t="s">
        <v>493</v>
      </c>
    </row>
    <row r="28" spans="1:8" ht="13.5" customHeight="1" x14ac:dyDescent="0.2">
      <c r="A28" s="397" t="s">
        <v>795</v>
      </c>
      <c r="B28" s="513"/>
      <c r="C28" s="513"/>
      <c r="E28" s="513"/>
      <c r="F28" s="513"/>
      <c r="G28" s="663">
        <f>B28-E28</f>
        <v>0</v>
      </c>
      <c r="H28" s="409" t="str">
        <f>IF(B28&gt;=0,IF(E28&gt;=0,IF(B28&gt;=E28,"Ok ","Check size "),"Check sign"),IF(E28&gt;0,"Check sign ",IF(ABS(B28)&gt;=ABS(E28),"Ok ","Check size ")))</f>
        <v xml:space="preserve">Ok </v>
      </c>
    </row>
    <row r="29" spans="1:8" ht="13.5" customHeight="1" x14ac:dyDescent="0.2">
      <c r="A29" s="397" t="s">
        <v>796</v>
      </c>
      <c r="B29" s="513"/>
      <c r="C29" s="513"/>
      <c r="E29" s="513"/>
      <c r="F29" s="513"/>
      <c r="G29" s="663">
        <f>B29-E29</f>
        <v>0</v>
      </c>
      <c r="H29" s="409" t="str">
        <f>IF(B29&gt;=0,IF(E29&gt;=0,IF(B29&gt;=E29,"Ok ","Check size "),"Check sign"),IF(E29&gt;0,"Check sign ",IF(ABS(B29)&gt;=ABS(E29),"Ok ","Check size ")))</f>
        <v xml:space="preserve">Ok </v>
      </c>
    </row>
    <row r="30" spans="1:8" ht="13.5" customHeight="1" x14ac:dyDescent="0.2">
      <c r="A30" s="397" t="s">
        <v>797</v>
      </c>
      <c r="B30" s="513"/>
      <c r="C30" s="513"/>
      <c r="E30" s="513"/>
      <c r="F30" s="513"/>
      <c r="G30" s="663">
        <f>B30-E30</f>
        <v>0</v>
      </c>
      <c r="H30" s="409" t="str">
        <f>IF(B30&gt;=0,IF(E30&gt;=0,IF(B30&gt;=E30,"Ok ","Check size "),"Check sign"),IF(E30&gt;0,"Check sign ",IF(ABS(B30)&gt;=ABS(E30),"Ok ","Check size ")))</f>
        <v xml:space="preserve">Ok </v>
      </c>
    </row>
    <row r="31" spans="1:8" ht="13.5" customHeight="1" x14ac:dyDescent="0.2">
      <c r="B31" s="666">
        <f>SUM(B28:B30)</f>
        <v>0</v>
      </c>
      <c r="C31" s="666">
        <f>SUM(C28:C30)</f>
        <v>0</v>
      </c>
      <c r="E31" s="666">
        <f>SUM(E28:E30)</f>
        <v>0</v>
      </c>
      <c r="F31" s="677"/>
      <c r="G31" s="666">
        <f>SUM(G28:G30)</f>
        <v>0</v>
      </c>
      <c r="H31" s="409" t="str">
        <f>IF(B31&gt;=0,IF(E31&gt;=0,IF(B31&gt;=E31,"Ok ","Check size "),"Check sign"),IF(E31&gt;0,"Check sign ",IF(ABS(B31)&gt;=ABS(E31),"Ok ","Check size ")))</f>
        <v xml:space="preserve">Ok </v>
      </c>
    </row>
    <row r="32" spans="1:8" ht="13.5" customHeight="1" x14ac:dyDescent="0.2">
      <c r="A32" s="664"/>
      <c r="B32" s="677"/>
      <c r="C32" s="677"/>
      <c r="E32" s="677"/>
      <c r="F32" s="677"/>
    </row>
    <row r="33" spans="1:3" ht="13.5" customHeight="1" x14ac:dyDescent="0.2">
      <c r="A33" s="388" t="s">
        <v>1309</v>
      </c>
      <c r="B33" s="397"/>
      <c r="C33" s="397"/>
    </row>
    <row r="34" spans="1:3" ht="13.5" customHeight="1" x14ac:dyDescent="0.2">
      <c r="A34" s="388"/>
      <c r="B34" s="397"/>
      <c r="C34" s="397"/>
    </row>
    <row r="35" spans="1:3" ht="13.5" customHeight="1" x14ac:dyDescent="0.2">
      <c r="A35" s="388"/>
      <c r="B35" s="397"/>
      <c r="C35" s="397"/>
    </row>
    <row r="36" spans="1:3" ht="13.5" customHeight="1" x14ac:dyDescent="0.2">
      <c r="A36" s="388" t="s">
        <v>1009</v>
      </c>
      <c r="B36" s="397"/>
      <c r="C36" s="397"/>
    </row>
    <row r="37" spans="1:3" ht="13.5" customHeight="1" x14ac:dyDescent="0.2">
      <c r="A37" s="850"/>
      <c r="B37" s="397" t="s">
        <v>281</v>
      </c>
      <c r="C37" s="397"/>
    </row>
    <row r="38" spans="1:3" ht="13.5" customHeight="1" x14ac:dyDescent="0.2">
      <c r="A38" s="397" t="s">
        <v>281</v>
      </c>
      <c r="B38" s="397"/>
      <c r="C38" s="397"/>
    </row>
    <row r="39" spans="1:3" ht="13.5" customHeight="1" x14ac:dyDescent="0.2">
      <c r="B39" s="397"/>
      <c r="C39" s="397"/>
    </row>
    <row r="40" spans="1:3" ht="13.5" customHeight="1" x14ac:dyDescent="0.2">
      <c r="B40" s="461" t="str">
        <f>Update!$C$38</f>
        <v>2025-26</v>
      </c>
      <c r="C40" s="461" t="str">
        <f>Update!$C$37</f>
        <v>2024-25</v>
      </c>
    </row>
    <row r="41" spans="1:3" ht="13.5" customHeight="1" x14ac:dyDescent="0.2">
      <c r="B41" s="509" t="s">
        <v>493</v>
      </c>
      <c r="C41" s="509" t="s">
        <v>493</v>
      </c>
    </row>
    <row r="42" spans="1:3" ht="30" customHeight="1" x14ac:dyDescent="0.2">
      <c r="A42" s="384" t="s">
        <v>1723</v>
      </c>
      <c r="B42" s="925"/>
      <c r="C42" s="925"/>
    </row>
    <row r="44" spans="1:3" ht="13.5" customHeight="1" x14ac:dyDescent="0.2">
      <c r="A44" s="1930" t="s">
        <v>1724</v>
      </c>
      <c r="B44" s="1930"/>
      <c r="C44" s="1930"/>
    </row>
    <row r="45" spans="1:3" ht="13.5" customHeight="1" x14ac:dyDescent="0.2">
      <c r="A45" s="1930"/>
      <c r="B45" s="1930"/>
      <c r="C45" s="1930"/>
    </row>
    <row r="46" spans="1:3" ht="13.5" customHeight="1" x14ac:dyDescent="0.2">
      <c r="A46" s="1930"/>
      <c r="B46" s="1930"/>
      <c r="C46" s="1930"/>
    </row>
    <row r="47" spans="1:3" ht="13.5" customHeight="1" x14ac:dyDescent="0.2">
      <c r="A47" s="388"/>
      <c r="B47" s="461" t="str">
        <f>Update!$C$38</f>
        <v>2025-26</v>
      </c>
      <c r="C47" s="461" t="str">
        <f>Update!$C$37</f>
        <v>2024-25</v>
      </c>
    </row>
    <row r="48" spans="1:3" ht="13.5" customHeight="1" x14ac:dyDescent="0.2">
      <c r="A48" s="388"/>
      <c r="B48" s="509" t="s">
        <v>493</v>
      </c>
      <c r="C48" s="509" t="s">
        <v>493</v>
      </c>
    </row>
    <row r="49" spans="1:8" ht="13.5" customHeight="1" x14ac:dyDescent="0.2">
      <c r="A49" s="397" t="s">
        <v>2371</v>
      </c>
      <c r="B49" s="509"/>
      <c r="C49" s="509"/>
    </row>
    <row r="50" spans="1:8" ht="13.5" customHeight="1" x14ac:dyDescent="0.2">
      <c r="A50" s="397" t="s">
        <v>883</v>
      </c>
      <c r="B50" s="513"/>
      <c r="C50" s="513"/>
      <c r="E50" s="513"/>
      <c r="F50" s="513"/>
      <c r="G50" s="663">
        <f>B50-E50</f>
        <v>0</v>
      </c>
      <c r="H50" s="409" t="str">
        <f t="shared" ref="H50:H55" si="0">IF(B50&gt;=0,IF(E50&gt;=0,IF(B50&gt;=E50,"Ok ","Check size "),"Check sign"),IF(E50&gt;0,"Check sign ",IF(ABS(B50)&gt;=ABS(E50),"Ok ","Check size ")))</f>
        <v xml:space="preserve">Ok </v>
      </c>
    </row>
    <row r="51" spans="1:8" ht="13.5" customHeight="1" x14ac:dyDescent="0.2">
      <c r="A51" s="397" t="s">
        <v>884</v>
      </c>
      <c r="B51" s="513"/>
      <c r="C51" s="513"/>
      <c r="E51" s="513"/>
      <c r="F51" s="513"/>
      <c r="G51" s="663">
        <f>B51-E51</f>
        <v>0</v>
      </c>
      <c r="H51" s="409" t="str">
        <f t="shared" si="0"/>
        <v xml:space="preserve">Ok </v>
      </c>
    </row>
    <row r="52" spans="1:8" ht="13.5" customHeight="1" x14ac:dyDescent="0.2">
      <c r="A52" s="397" t="s">
        <v>885</v>
      </c>
      <c r="B52" s="513"/>
      <c r="C52" s="513"/>
      <c r="E52" s="513"/>
      <c r="F52" s="513"/>
      <c r="G52" s="663">
        <f>B52-E52</f>
        <v>0</v>
      </c>
      <c r="H52" s="409" t="str">
        <f t="shared" si="0"/>
        <v xml:space="preserve">Ok </v>
      </c>
    </row>
    <row r="53" spans="1:8" ht="13.5" customHeight="1" x14ac:dyDescent="0.2">
      <c r="A53" s="388" t="s">
        <v>146</v>
      </c>
      <c r="B53" s="659">
        <f>SUM(B50:B52)</f>
        <v>0</v>
      </c>
      <c r="C53" s="659">
        <f>SUM(C50:C52)</f>
        <v>0</v>
      </c>
      <c r="E53" s="659">
        <f>SUM(E50:E52)</f>
        <v>0</v>
      </c>
      <c r="F53" s="677"/>
      <c r="G53" s="659">
        <f>SUM(G50:G52)</f>
        <v>0</v>
      </c>
      <c r="H53" s="409" t="str">
        <f t="shared" si="0"/>
        <v xml:space="preserve">Ok </v>
      </c>
    </row>
    <row r="54" spans="1:8" ht="13.5" customHeight="1" x14ac:dyDescent="0.2">
      <c r="A54" s="397" t="s">
        <v>659</v>
      </c>
      <c r="B54" s="513"/>
      <c r="C54" s="513"/>
      <c r="E54" s="513"/>
      <c r="F54" s="513"/>
      <c r="G54" s="663">
        <f>B54-E54</f>
        <v>0</v>
      </c>
      <c r="H54" s="409" t="str">
        <f t="shared" si="0"/>
        <v xml:space="preserve">Ok </v>
      </c>
    </row>
    <row r="55" spans="1:8" ht="13.5" customHeight="1" x14ac:dyDescent="0.2">
      <c r="A55" s="388" t="s">
        <v>660</v>
      </c>
      <c r="B55" s="666">
        <f>B53-B54</f>
        <v>0</v>
      </c>
      <c r="C55" s="666">
        <f>C53-C54</f>
        <v>0</v>
      </c>
      <c r="E55" s="666">
        <f>E53-E54</f>
        <v>0</v>
      </c>
      <c r="F55" s="677"/>
      <c r="G55" s="666">
        <f>G53-G54</f>
        <v>0</v>
      </c>
      <c r="H55" s="409" t="str">
        <f t="shared" si="0"/>
        <v xml:space="preserve">Ok </v>
      </c>
    </row>
    <row r="56" spans="1:8" ht="13.5" customHeight="1" x14ac:dyDescent="0.2">
      <c r="B56" s="397"/>
      <c r="C56" s="397"/>
    </row>
    <row r="57" spans="1:8" ht="13.5" customHeight="1" x14ac:dyDescent="0.2">
      <c r="A57" s="388"/>
      <c r="B57" s="397"/>
      <c r="C57" s="397"/>
    </row>
    <row r="58" spans="1:8" ht="13.5" customHeight="1" x14ac:dyDescent="0.2">
      <c r="B58" s="461" t="str">
        <f>Update!$C$38</f>
        <v>2025-26</v>
      </c>
      <c r="C58" s="461" t="str">
        <f>Update!$C$37</f>
        <v>2024-25</v>
      </c>
    </row>
    <row r="59" spans="1:8" ht="13.5" customHeight="1" x14ac:dyDescent="0.2">
      <c r="B59" s="509" t="s">
        <v>493</v>
      </c>
      <c r="C59" s="509" t="s">
        <v>493</v>
      </c>
    </row>
    <row r="60" spans="1:8" ht="13.5" customHeight="1" x14ac:dyDescent="0.2">
      <c r="A60" s="397" t="s">
        <v>661</v>
      </c>
      <c r="B60" s="509"/>
      <c r="C60" s="509"/>
    </row>
    <row r="61" spans="1:8" ht="13.5" customHeight="1" x14ac:dyDescent="0.2">
      <c r="A61" s="397" t="s">
        <v>656</v>
      </c>
      <c r="B61" s="513"/>
      <c r="C61" s="513"/>
      <c r="E61" s="513"/>
      <c r="F61" s="513"/>
      <c r="G61" s="663">
        <f>B61-E61</f>
        <v>0</v>
      </c>
      <c r="H61" s="409" t="str">
        <f>IF(B61&gt;=0,IF(E61&gt;=0,IF(B61&gt;=E61,"Ok ","Check size "),"Check sign"),IF(E61&gt;0,"Check sign ",IF(ABS(B61)&gt;=ABS(E61),"Ok ","Check size ")))</f>
        <v xml:space="preserve">Ok </v>
      </c>
    </row>
    <row r="62" spans="1:8" ht="13.5" customHeight="1" x14ac:dyDescent="0.2">
      <c r="A62" s="397" t="s">
        <v>657</v>
      </c>
      <c r="B62" s="513"/>
      <c r="C62" s="513"/>
      <c r="E62" s="513"/>
      <c r="F62" s="513"/>
      <c r="G62" s="663">
        <f>B62-E62</f>
        <v>0</v>
      </c>
      <c r="H62" s="409" t="str">
        <f>IF(B62&gt;=0,IF(E62&gt;=0,IF(B62&gt;=E62,"Ok ","Check size "),"Check sign"),IF(E62&gt;0,"Check sign ",IF(ABS(B62)&gt;=ABS(E62),"Ok ","Check size ")))</f>
        <v xml:space="preserve">Ok </v>
      </c>
    </row>
    <row r="63" spans="1:8" ht="13.5" customHeight="1" x14ac:dyDescent="0.2">
      <c r="A63" s="397" t="s">
        <v>658</v>
      </c>
      <c r="B63" s="513"/>
      <c r="C63" s="513"/>
      <c r="E63" s="513"/>
      <c r="F63" s="513"/>
      <c r="G63" s="663">
        <f>B63-E63</f>
        <v>0</v>
      </c>
      <c r="H63" s="409" t="str">
        <f>IF(B63&gt;=0,IF(E63&gt;=0,IF(B63&gt;=E63,"Ok ","Check size "),"Check sign"),IF(E63&gt;0,"Check sign ",IF(ABS(B63)&gt;=ABS(E63),"Ok ","Check size ")))</f>
        <v xml:space="preserve">Ok </v>
      </c>
    </row>
    <row r="64" spans="1:8" ht="13.5" customHeight="1" x14ac:dyDescent="0.2">
      <c r="B64" s="457"/>
      <c r="C64" s="457"/>
      <c r="E64" s="457"/>
      <c r="F64" s="457"/>
    </row>
    <row r="65" spans="1:8" ht="13.5" customHeight="1" x14ac:dyDescent="0.2">
      <c r="A65" s="388" t="s">
        <v>662</v>
      </c>
      <c r="B65" s="666">
        <f>SUM(B61:B63)</f>
        <v>0</v>
      </c>
      <c r="C65" s="666">
        <f>SUM(C61:C63)</f>
        <v>0</v>
      </c>
      <c r="E65" s="666">
        <f>SUM(E61:E63)</f>
        <v>0</v>
      </c>
      <c r="G65" s="666">
        <f>SUM(G61:G63)</f>
        <v>0</v>
      </c>
      <c r="H65" s="409" t="str">
        <f>IF(B65&gt;=0,IF(E65&gt;=0,IF(B65&gt;=E65,"Ok ","Check size "),"Check sign"),IF(E65&gt;0,"Check sign ",IF(ABS(B65)&gt;=ABS(E65),"Ok ","Check size ")))</f>
        <v xml:space="preserve">Ok </v>
      </c>
    </row>
    <row r="66" spans="1:8" ht="13.5" customHeight="1" x14ac:dyDescent="0.2">
      <c r="A66" s="388"/>
      <c r="B66" s="536"/>
      <c r="C66" s="536"/>
      <c r="E66" s="536"/>
      <c r="F66" s="536"/>
    </row>
    <row r="67" spans="1:8" ht="13.5" customHeight="1" thickBot="1" x14ac:dyDescent="0.25">
      <c r="A67" s="388" t="s">
        <v>1308</v>
      </c>
      <c r="B67" s="523">
        <f>+B65+B55</f>
        <v>0</v>
      </c>
      <c r="C67" s="523">
        <f>+C65+C55</f>
        <v>0</v>
      </c>
      <c r="E67" s="523">
        <f>+E65+E55</f>
        <v>0</v>
      </c>
      <c r="G67" s="523">
        <f>+G65+G55</f>
        <v>0</v>
      </c>
      <c r="H67" s="409" t="str">
        <f>IF(B67&gt;=0,IF(E67&gt;=0,IF(B67&gt;=E67,"Ok ","Check size "),"Check sign"),IF(E67&gt;0,"Check sign ",IF(ABS(B67)&gt;=ABS(E67),"Ok ","Check size ")))</f>
        <v xml:space="preserve">Ok </v>
      </c>
    </row>
    <row r="68" spans="1:8" ht="13.5" customHeight="1" thickTop="1" x14ac:dyDescent="0.2">
      <c r="B68" s="397"/>
      <c r="C68" s="397"/>
    </row>
    <row r="69" spans="1:8" ht="13.5" hidden="1" customHeight="1" x14ac:dyDescent="0.2">
      <c r="B69" s="397"/>
      <c r="C69" s="397"/>
    </row>
    <row r="70" spans="1:8" ht="13.5" hidden="1" customHeight="1" x14ac:dyDescent="0.2">
      <c r="A70" s="388" t="s">
        <v>1307</v>
      </c>
      <c r="B70" s="397"/>
      <c r="C70" s="397"/>
    </row>
    <row r="71" spans="1:8" ht="13.5" hidden="1" customHeight="1" x14ac:dyDescent="0.2">
      <c r="A71" s="388"/>
      <c r="B71" s="462" t="str">
        <f>B8</f>
        <v>2025-26</v>
      </c>
      <c r="C71" s="462" t="str">
        <f>C8</f>
        <v>2024-25</v>
      </c>
    </row>
    <row r="72" spans="1:8" ht="13.5" hidden="1" customHeight="1" x14ac:dyDescent="0.2">
      <c r="B72" s="509" t="s">
        <v>493</v>
      </c>
      <c r="C72" s="509" t="s">
        <v>493</v>
      </c>
    </row>
    <row r="73" spans="1:8" ht="13.5" hidden="1" customHeight="1" x14ac:dyDescent="0.2">
      <c r="A73" s="2158" t="s">
        <v>1306</v>
      </c>
    </row>
    <row r="74" spans="1:8" ht="13.5" hidden="1" customHeight="1" x14ac:dyDescent="0.2">
      <c r="A74" s="2158"/>
      <c r="B74" s="467"/>
      <c r="C74" s="467"/>
    </row>
    <row r="75" spans="1:8" ht="13.5" hidden="1" customHeight="1" x14ac:dyDescent="0.2">
      <c r="A75" s="452"/>
      <c r="B75" s="457"/>
      <c r="C75" s="457"/>
    </row>
    <row r="76" spans="1:8" ht="13.5" hidden="1" customHeight="1" x14ac:dyDescent="0.2">
      <c r="A76" s="2158" t="s">
        <v>1305</v>
      </c>
      <c r="B76" s="457"/>
      <c r="C76" s="457"/>
    </row>
    <row r="77" spans="1:8" ht="13.5" hidden="1" customHeight="1" x14ac:dyDescent="0.2">
      <c r="A77" s="2158"/>
      <c r="B77" s="467"/>
      <c r="C77" s="467"/>
    </row>
    <row r="78" spans="1:8" ht="13.5" hidden="1" customHeight="1" x14ac:dyDescent="0.2">
      <c r="A78" s="452"/>
      <c r="B78" s="457"/>
      <c r="C78" s="457"/>
    </row>
    <row r="79" spans="1:8" s="388" customFormat="1" ht="13.5" hidden="1" customHeight="1" thickBot="1" x14ac:dyDescent="0.25">
      <c r="A79" s="642"/>
      <c r="B79" s="523">
        <f>SUM(B74:B77)</f>
        <v>0</v>
      </c>
      <c r="C79" s="523">
        <f>SUM(C74:C77)</f>
        <v>0</v>
      </c>
    </row>
    <row r="80" spans="1:8" ht="13.5" hidden="1" customHeight="1" thickTop="1" x14ac:dyDescent="0.2">
      <c r="A80" s="452"/>
    </row>
    <row r="81" spans="1:3" ht="13.5" hidden="1" customHeight="1" x14ac:dyDescent="0.2">
      <c r="A81" s="452" t="s">
        <v>1304</v>
      </c>
    </row>
    <row r="82" spans="1:3" ht="13.5" hidden="1" customHeight="1" x14ac:dyDescent="0.2">
      <c r="A82" s="388"/>
      <c r="B82" s="462" t="str">
        <f>B71</f>
        <v>2025-26</v>
      </c>
      <c r="C82" s="462" t="str">
        <f>C71</f>
        <v>2024-25</v>
      </c>
    </row>
    <row r="83" spans="1:3" ht="13.5" hidden="1" customHeight="1" x14ac:dyDescent="0.2">
      <c r="A83" s="388"/>
      <c r="B83" s="509" t="s">
        <v>493</v>
      </c>
      <c r="C83" s="509" t="s">
        <v>493</v>
      </c>
    </row>
    <row r="84" spans="1:3" ht="13.5" hidden="1" customHeight="1" x14ac:dyDescent="0.2">
      <c r="A84" s="397" t="s">
        <v>216</v>
      </c>
      <c r="B84" s="467"/>
      <c r="C84" s="467"/>
    </row>
    <row r="85" spans="1:3" ht="13.5" hidden="1" customHeight="1" x14ac:dyDescent="0.2">
      <c r="A85" s="397" t="s">
        <v>218</v>
      </c>
      <c r="B85" s="467"/>
      <c r="C85" s="467"/>
    </row>
    <row r="86" spans="1:3" ht="13.5" hidden="1" customHeight="1" x14ac:dyDescent="0.2">
      <c r="A86" s="397" t="s">
        <v>217</v>
      </c>
      <c r="B86" s="467"/>
      <c r="C86" s="467"/>
    </row>
    <row r="87" spans="1:3" s="388" customFormat="1" ht="13.5" hidden="1" customHeight="1" x14ac:dyDescent="0.2">
      <c r="B87" s="666">
        <f>SUM(B84:B86)</f>
        <v>0</v>
      </c>
      <c r="C87" s="666">
        <f>SUM(C84:C86)</f>
        <v>0</v>
      </c>
    </row>
    <row r="88" spans="1:3" ht="13.5" hidden="1" customHeight="1" x14ac:dyDescent="0.2"/>
  </sheetData>
  <sheetProtection algorithmName="SHA-512" hashValue="EnMO6QAVxQczTRnYvA0eLTHiwEQsTT9ly3PtKDMYMPMpnQ9NHwD3hEje7idqYja7ig6auXJLB0CMgLMb8haHhA==" saltValue="/bvl3b9j9CQYc8lUK5znbQ==" spinCount="100000" sheet="1" formatColumns="0" formatRows="0"/>
  <mergeCells count="5">
    <mergeCell ref="A5:B5"/>
    <mergeCell ref="A76:A77"/>
    <mergeCell ref="A19:C19"/>
    <mergeCell ref="A73:A74"/>
    <mergeCell ref="A44:C46"/>
  </mergeCells>
  <conditionalFormatting sqref="A3">
    <cfRule type="expression" dxfId="47" priority="3">
      <formula>CELL("Protect",A3)=0</formula>
    </cfRule>
  </conditionalFormatting>
  <conditionalFormatting sqref="A19">
    <cfRule type="expression" dxfId="46" priority="14">
      <formula>CELL("Protect",A19)=0</formula>
    </cfRule>
  </conditionalFormatting>
  <conditionalFormatting sqref="A37">
    <cfRule type="expression" dxfId="45" priority="10">
      <formula>CELL("Protect",A37)=0</formula>
    </cfRule>
  </conditionalFormatting>
  <conditionalFormatting sqref="B15:B17">
    <cfRule type="expression" dxfId="44" priority="15">
      <formula>CELL("Protect",B15)=0</formula>
    </cfRule>
  </conditionalFormatting>
  <conditionalFormatting sqref="B11:C11">
    <cfRule type="expression" dxfId="43" priority="17">
      <formula>CELL("Protect",B11)=0</formula>
    </cfRule>
  </conditionalFormatting>
  <conditionalFormatting sqref="B23:C23">
    <cfRule type="expression" dxfId="42" priority="1">
      <formula>CELL("Protect",B23)=0</formula>
    </cfRule>
  </conditionalFormatting>
  <conditionalFormatting sqref="B28:C30">
    <cfRule type="expression" dxfId="41" priority="13">
      <formula>CELL("Protect",B28)=0</formula>
    </cfRule>
  </conditionalFormatting>
  <conditionalFormatting sqref="B42:C42">
    <cfRule type="expression" dxfId="40" priority="2">
      <formula>CELL("Protect",B42)=0</formula>
    </cfRule>
  </conditionalFormatting>
  <conditionalFormatting sqref="B50:C52">
    <cfRule type="expression" dxfId="39" priority="9">
      <formula>CELL("Protect",B50)=0</formula>
    </cfRule>
  </conditionalFormatting>
  <conditionalFormatting sqref="B54:C54">
    <cfRule type="expression" dxfId="38" priority="8">
      <formula>CELL("Protect",B54)=0</formula>
    </cfRule>
  </conditionalFormatting>
  <conditionalFormatting sqref="B61:C63">
    <cfRule type="expression" dxfId="37" priority="5">
      <formula>CELL("Protect",B61)=0</formula>
    </cfRule>
  </conditionalFormatting>
  <conditionalFormatting sqref="E11:F11">
    <cfRule type="expression" dxfId="36" priority="16">
      <formula>CELL("Protect",E11)=0</formula>
    </cfRule>
  </conditionalFormatting>
  <conditionalFormatting sqref="E28:F30">
    <cfRule type="expression" dxfId="35" priority="12">
      <formula>CELL("Protect",E28)=0</formula>
    </cfRule>
  </conditionalFormatting>
  <conditionalFormatting sqref="E50:F52">
    <cfRule type="expression" dxfId="34" priority="7">
      <formula>CELL("Protect",E50)=0</formula>
    </cfRule>
  </conditionalFormatting>
  <conditionalFormatting sqref="E54:F54">
    <cfRule type="expression" dxfId="33" priority="6">
      <formula>CELL("Protect",E54)=0</formula>
    </cfRule>
  </conditionalFormatting>
  <conditionalFormatting sqref="E61:F63">
    <cfRule type="expression" dxfId="32" priority="4">
      <formula>CELL("Protect",E61)=0</formula>
    </cfRule>
  </conditionalFormatting>
  <pageMargins left="0.74803149606299213" right="0.74803149606299213" top="0.59055118110236227" bottom="0.59055118110236227" header="0.51181102362204722" footer="0.51181102362204722"/>
  <pageSetup paperSize="9" scale="43"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9">
    <tabColor rgb="FFFFFF00"/>
    <pageSetUpPr fitToPage="1"/>
  </sheetPr>
  <dimension ref="A1:AB14"/>
  <sheetViews>
    <sheetView zoomScaleNormal="100" workbookViewId="0">
      <pane xSplit="2" ySplit="10" topLeftCell="C11" activePane="bottomRight" state="frozen"/>
      <selection activeCell="F19" sqref="F19"/>
      <selection pane="topRight" activeCell="F19" sqref="F19"/>
      <selection pane="bottomLeft" activeCell="F19" sqref="F19"/>
      <selection pane="bottomRight" activeCell="C11" sqref="C11"/>
    </sheetView>
  </sheetViews>
  <sheetFormatPr defaultColWidth="9.140625" defaultRowHeight="12.75" customHeight="1" x14ac:dyDescent="0.2"/>
  <cols>
    <col min="1" max="1" width="31.7109375" style="397" customWidth="1"/>
    <col min="2" max="2" width="10.28515625" style="397" customWidth="1"/>
    <col min="3" max="3" width="5.85546875" style="397" bestFit="1" customWidth="1"/>
    <col min="4" max="16384" width="9.140625" style="397"/>
  </cols>
  <sheetData>
    <row r="1" spans="1:28" ht="14.65" customHeight="1" x14ac:dyDescent="0.2">
      <c r="A1" s="416" t="str">
        <f>'alb Instructions'!$B$20</f>
        <v>enter HSC Body name here</v>
      </c>
      <c r="B1" s="388"/>
      <c r="C1" s="388"/>
    </row>
    <row r="2" spans="1:28" ht="12.75" customHeight="1" x14ac:dyDescent="0.2">
      <c r="C2" s="501"/>
    </row>
    <row r="3" spans="1:28" ht="12.75" customHeight="1" x14ac:dyDescent="0.2">
      <c r="A3" s="416" t="str">
        <f>"NOTES TO THE ACCOUNTS FOR THE YEAR ENDED"&amp;Update!$B$22</f>
        <v>NOTES TO THE ACCOUNTS FOR THE YEAR ENDED 31 March 2026</v>
      </c>
      <c r="C3" s="501"/>
    </row>
    <row r="5" spans="1:28" ht="12.75" customHeight="1" x14ac:dyDescent="0.2">
      <c r="A5" s="388" t="s">
        <v>2354</v>
      </c>
    </row>
    <row r="7" spans="1:28" ht="12.75" customHeight="1" x14ac:dyDescent="0.2">
      <c r="A7" s="397" t="s">
        <v>1303</v>
      </c>
      <c r="E7" s="388" t="s">
        <v>930</v>
      </c>
      <c r="F7" s="388"/>
      <c r="G7" s="457"/>
      <c r="H7" s="457"/>
      <c r="I7" s="457"/>
      <c r="J7" s="457"/>
      <c r="K7" s="457"/>
      <c r="L7" s="457"/>
      <c r="M7" s="457"/>
      <c r="N7" s="457"/>
      <c r="O7" s="457"/>
      <c r="P7" s="457"/>
      <c r="Q7" s="457"/>
      <c r="R7" s="457"/>
      <c r="S7" s="457"/>
      <c r="T7" s="457"/>
      <c r="U7" s="457"/>
      <c r="V7" s="457"/>
      <c r="W7" s="457"/>
      <c r="X7" s="457"/>
      <c r="Y7" s="457"/>
      <c r="Z7" s="457"/>
      <c r="AA7" s="457"/>
    </row>
    <row r="8" spans="1:28" ht="12.75" customHeight="1" x14ac:dyDescent="0.2">
      <c r="E8" s="579"/>
      <c r="F8" s="579" t="s">
        <v>345</v>
      </c>
      <c r="G8" s="579" t="s">
        <v>2459</v>
      </c>
      <c r="H8" s="579" t="s">
        <v>4</v>
      </c>
      <c r="I8" s="579" t="s">
        <v>10</v>
      </c>
      <c r="J8" s="579" t="s">
        <v>24</v>
      </c>
      <c r="K8" s="579" t="s">
        <v>16</v>
      </c>
      <c r="L8" s="579" t="s">
        <v>18</v>
      </c>
      <c r="M8" s="579" t="s">
        <v>34</v>
      </c>
      <c r="N8" s="580" t="s">
        <v>1252</v>
      </c>
      <c r="O8" s="579" t="s">
        <v>2448</v>
      </c>
      <c r="P8" s="579" t="s">
        <v>22</v>
      </c>
      <c r="Q8" s="579" t="s">
        <v>32</v>
      </c>
      <c r="R8" s="579" t="s">
        <v>30</v>
      </c>
      <c r="S8" s="579" t="s">
        <v>6</v>
      </c>
      <c r="T8" s="579" t="s">
        <v>26</v>
      </c>
      <c r="U8" s="579" t="s">
        <v>28</v>
      </c>
      <c r="V8" s="579" t="s">
        <v>12</v>
      </c>
      <c r="W8" s="579" t="s">
        <v>8</v>
      </c>
      <c r="X8" s="579" t="s">
        <v>14</v>
      </c>
      <c r="Y8" s="579" t="s">
        <v>36</v>
      </c>
      <c r="Z8" s="579" t="s">
        <v>38</v>
      </c>
    </row>
    <row r="9" spans="1:28" ht="67.5" x14ac:dyDescent="0.2">
      <c r="B9" s="462">
        <f>Update!$B$38</f>
        <v>2026</v>
      </c>
      <c r="C9" s="462">
        <f>Update!$B$37</f>
        <v>2025</v>
      </c>
      <c r="E9" s="414" t="s">
        <v>604</v>
      </c>
      <c r="F9" s="413" t="s">
        <v>48</v>
      </c>
      <c r="G9" s="413" t="s">
        <v>2457</v>
      </c>
      <c r="H9" s="413" t="s">
        <v>5</v>
      </c>
      <c r="I9" s="413" t="s">
        <v>11</v>
      </c>
      <c r="J9" s="413" t="s">
        <v>25</v>
      </c>
      <c r="K9" s="413" t="s">
        <v>17</v>
      </c>
      <c r="L9" s="413" t="s">
        <v>19</v>
      </c>
      <c r="M9" s="413" t="s">
        <v>35</v>
      </c>
      <c r="N9" s="413" t="s">
        <v>900</v>
      </c>
      <c r="O9" s="413" t="s">
        <v>2446</v>
      </c>
      <c r="P9" s="413" t="s">
        <v>23</v>
      </c>
      <c r="Q9" s="413" t="s">
        <v>33</v>
      </c>
      <c r="R9" s="413" t="s">
        <v>31</v>
      </c>
      <c r="S9" s="413" t="s">
        <v>7</v>
      </c>
      <c r="T9" s="413" t="s">
        <v>27</v>
      </c>
      <c r="U9" s="413" t="s">
        <v>29</v>
      </c>
      <c r="V9" s="413" t="s">
        <v>13</v>
      </c>
      <c r="W9" s="413" t="s">
        <v>9</v>
      </c>
      <c r="X9" s="413" t="s">
        <v>15</v>
      </c>
      <c r="Y9" s="413" t="s">
        <v>37</v>
      </c>
      <c r="Z9" s="413" t="s">
        <v>39</v>
      </c>
      <c r="AA9" s="412" t="s">
        <v>932</v>
      </c>
      <c r="AB9" s="412" t="s">
        <v>63</v>
      </c>
    </row>
    <row r="10" spans="1:28" ht="12.75" customHeight="1" x14ac:dyDescent="0.2">
      <c r="B10" s="468" t="s">
        <v>493</v>
      </c>
      <c r="C10" s="468" t="s">
        <v>493</v>
      </c>
      <c r="E10" s="411" t="s">
        <v>62</v>
      </c>
      <c r="F10" s="411" t="s">
        <v>62</v>
      </c>
      <c r="G10" s="411" t="s">
        <v>62</v>
      </c>
      <c r="H10" s="411" t="s">
        <v>62</v>
      </c>
      <c r="I10" s="411" t="s">
        <v>62</v>
      </c>
      <c r="J10" s="411" t="s">
        <v>62</v>
      </c>
      <c r="K10" s="411" t="s">
        <v>62</v>
      </c>
      <c r="L10" s="411" t="s">
        <v>62</v>
      </c>
      <c r="M10" s="411" t="s">
        <v>62</v>
      </c>
      <c r="N10" s="411" t="s">
        <v>62</v>
      </c>
      <c r="O10" s="411" t="s">
        <v>62</v>
      </c>
      <c r="P10" s="411" t="s">
        <v>62</v>
      </c>
      <c r="Q10" s="411" t="s">
        <v>62</v>
      </c>
      <c r="R10" s="411" t="s">
        <v>62</v>
      </c>
      <c r="S10" s="411" t="s">
        <v>62</v>
      </c>
      <c r="T10" s="411" t="s">
        <v>62</v>
      </c>
      <c r="U10" s="411" t="s">
        <v>62</v>
      </c>
      <c r="V10" s="411" t="s">
        <v>62</v>
      </c>
      <c r="W10" s="411" t="s">
        <v>62</v>
      </c>
      <c r="X10" s="411" t="s">
        <v>62</v>
      </c>
      <c r="Y10" s="411" t="s">
        <v>62</v>
      </c>
      <c r="Z10" s="411" t="s">
        <v>62</v>
      </c>
      <c r="AA10" s="508" t="s">
        <v>62</v>
      </c>
      <c r="AB10" s="508"/>
    </row>
    <row r="11" spans="1:28" ht="12.75" customHeight="1" x14ac:dyDescent="0.2">
      <c r="A11" s="397" t="s">
        <v>825</v>
      </c>
      <c r="B11" s="513"/>
      <c r="C11" s="513"/>
      <c r="E11" s="656">
        <f>SUM(F11:Z11)</f>
        <v>0</v>
      </c>
      <c r="F11" s="513"/>
      <c r="G11" s="513"/>
      <c r="H11" s="513"/>
      <c r="I11" s="513"/>
      <c r="J11" s="513"/>
      <c r="K11" s="513"/>
      <c r="L11" s="513"/>
      <c r="M11" s="513"/>
      <c r="N11" s="513"/>
      <c r="O11" s="513"/>
      <c r="P11" s="513"/>
      <c r="Q11" s="513"/>
      <c r="R11" s="513"/>
      <c r="S11" s="513"/>
      <c r="T11" s="513"/>
      <c r="U11" s="513"/>
      <c r="V11" s="513"/>
      <c r="W11" s="513"/>
      <c r="X11" s="513"/>
      <c r="Y11" s="513"/>
      <c r="Z11" s="513"/>
      <c r="AA11" s="663">
        <f>B11-E11</f>
        <v>0</v>
      </c>
      <c r="AB11" s="409" t="str">
        <f>IF(B11&gt;=0,IF(E11&gt;=0,IF(B11&gt;=E11,"Ok ","Check size "),"Check sign"),IF(E11&gt;0,"Check sign ",IF(ABS(B11)&gt;=ABS(E11),"Ok ","Check size ")))</f>
        <v xml:space="preserve">Ok </v>
      </c>
    </row>
    <row r="12" spans="1:28" ht="12.75" customHeight="1" x14ac:dyDescent="0.2">
      <c r="A12" s="397" t="s">
        <v>289</v>
      </c>
      <c r="B12" s="513"/>
      <c r="C12" s="513"/>
      <c r="E12" s="656">
        <f>SUM(F12:Z12)</f>
        <v>0</v>
      </c>
      <c r="F12" s="513"/>
      <c r="G12" s="513"/>
      <c r="H12" s="513"/>
      <c r="I12" s="513"/>
      <c r="J12" s="513"/>
      <c r="K12" s="513"/>
      <c r="L12" s="513"/>
      <c r="M12" s="513"/>
      <c r="N12" s="513"/>
      <c r="O12" s="513"/>
      <c r="P12" s="513"/>
      <c r="Q12" s="513"/>
      <c r="R12" s="513"/>
      <c r="S12" s="513"/>
      <c r="T12" s="513"/>
      <c r="U12" s="513"/>
      <c r="V12" s="513"/>
      <c r="W12" s="513"/>
      <c r="X12" s="513"/>
      <c r="Y12" s="513"/>
      <c r="Z12" s="513"/>
      <c r="AA12" s="663">
        <f>B12-E12</f>
        <v>0</v>
      </c>
      <c r="AB12" s="409" t="str">
        <f>IF(B12&gt;=0,IF(E12&gt;=0,IF(B12&gt;=E12,"Ok ","Check size "),"Check sign"),IF(E12&gt;0,"Check sign ",IF(ABS(B12)&gt;=ABS(E12),"Ok ","Check size ")))</f>
        <v xml:space="preserve">Ok </v>
      </c>
    </row>
    <row r="13" spans="1:28" ht="12.75" customHeight="1" thickBot="1" x14ac:dyDescent="0.25">
      <c r="B13" s="639">
        <f>SUM(B11:B12)</f>
        <v>0</v>
      </c>
      <c r="C13" s="639">
        <f>SUM(C11:C12)</f>
        <v>0</v>
      </c>
      <c r="E13" s="639">
        <f t="shared" ref="E13:AA13" si="0">SUM(E11:E12)</f>
        <v>0</v>
      </c>
      <c r="F13" s="639">
        <f t="shared" si="0"/>
        <v>0</v>
      </c>
      <c r="G13" s="639">
        <f t="shared" si="0"/>
        <v>0</v>
      </c>
      <c r="H13" s="639">
        <f t="shared" si="0"/>
        <v>0</v>
      </c>
      <c r="I13" s="639">
        <f t="shared" si="0"/>
        <v>0</v>
      </c>
      <c r="J13" s="639">
        <f t="shared" si="0"/>
        <v>0</v>
      </c>
      <c r="K13" s="639">
        <f t="shared" si="0"/>
        <v>0</v>
      </c>
      <c r="L13" s="639">
        <f t="shared" si="0"/>
        <v>0</v>
      </c>
      <c r="M13" s="639">
        <f t="shared" si="0"/>
        <v>0</v>
      </c>
      <c r="N13" s="639">
        <f t="shared" si="0"/>
        <v>0</v>
      </c>
      <c r="O13" s="639">
        <f t="shared" si="0"/>
        <v>0</v>
      </c>
      <c r="P13" s="639">
        <f t="shared" si="0"/>
        <v>0</v>
      </c>
      <c r="Q13" s="639">
        <f t="shared" si="0"/>
        <v>0</v>
      </c>
      <c r="R13" s="639">
        <f t="shared" si="0"/>
        <v>0</v>
      </c>
      <c r="S13" s="639">
        <f t="shared" si="0"/>
        <v>0</v>
      </c>
      <c r="T13" s="639">
        <f t="shared" si="0"/>
        <v>0</v>
      </c>
      <c r="U13" s="639">
        <f t="shared" si="0"/>
        <v>0</v>
      </c>
      <c r="V13" s="639">
        <f t="shared" si="0"/>
        <v>0</v>
      </c>
      <c r="W13" s="639">
        <f t="shared" si="0"/>
        <v>0</v>
      </c>
      <c r="X13" s="639">
        <f t="shared" si="0"/>
        <v>0</v>
      </c>
      <c r="Y13" s="639">
        <f t="shared" si="0"/>
        <v>0</v>
      </c>
      <c r="Z13" s="639">
        <f t="shared" si="0"/>
        <v>0</v>
      </c>
      <c r="AA13" s="639">
        <f t="shared" si="0"/>
        <v>0</v>
      </c>
      <c r="AB13" s="409" t="str">
        <f>IF(B13&gt;=0,IF(E13&gt;=0,IF(B13&gt;=E13,"Ok ","Check size "),"Check sign"),IF(E13&gt;0,"Check sign ",IF(ABS(B13)&gt;=ABS(E13),"Ok ","Check size ")))</f>
        <v xml:space="preserve">Ok </v>
      </c>
    </row>
    <row r="14" spans="1:28" ht="12.75" customHeight="1" thickTop="1" x14ac:dyDescent="0.2"/>
  </sheetData>
  <sheetProtection algorithmName="SHA-512" hashValue="NNS2J6HYftQGuHSTgGIyG/uH6+mDwmNj3pexCdQn8TvF1I0LT8G5ZYlCPPsvgdAbqllvlHDW5eFzSvwfLepbRA==" saltValue="PQR/4pasfxukRA2TIZjT/Q==" spinCount="100000" sheet="1" formatColumns="0" formatRows="0"/>
  <conditionalFormatting sqref="A3">
    <cfRule type="expression" dxfId="31" priority="1">
      <formula>CELL("Protect",A3)=0</formula>
    </cfRule>
  </conditionalFormatting>
  <conditionalFormatting sqref="B11:C12">
    <cfRule type="expression" dxfId="30" priority="3">
      <formula>CELL("Protect",B11)=0</formula>
    </cfRule>
  </conditionalFormatting>
  <conditionalFormatting sqref="F11:Z12">
    <cfRule type="expression" dxfId="29" priority="2">
      <formula>CELL("Protect",F11)=0</formula>
    </cfRule>
  </conditionalFormatting>
  <pageMargins left="0.74803149606299213" right="0.74803149606299213" top="0.59055118110236227" bottom="0.59055118110236227" header="0.51181102362204722" footer="0.51181102362204722"/>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0">
    <tabColor rgb="FFFFFF00"/>
    <pageSetUpPr fitToPage="1"/>
  </sheetPr>
  <dimension ref="A1:AE16"/>
  <sheetViews>
    <sheetView zoomScaleNormal="100" workbookViewId="0">
      <pane xSplit="2" ySplit="11" topLeftCell="C12" activePane="bottomRight" state="frozen"/>
      <selection activeCell="F19" sqref="F19"/>
      <selection pane="topRight" activeCell="F19" sqref="F19"/>
      <selection pane="bottomLeft" activeCell="F19" sqref="F19"/>
      <selection pane="bottomRight" activeCell="C12" sqref="C12"/>
    </sheetView>
  </sheetViews>
  <sheetFormatPr defaultColWidth="9.140625" defaultRowHeight="12.75" x14ac:dyDescent="0.2"/>
  <cols>
    <col min="1" max="1" width="77" style="397" customWidth="1"/>
    <col min="2" max="3" width="16.28515625" style="397" customWidth="1"/>
    <col min="4" max="5" width="9.28515625" style="397" customWidth="1"/>
    <col min="6" max="16384" width="9.140625" style="397"/>
  </cols>
  <sheetData>
    <row r="1" spans="1:31" ht="14.65" customHeight="1" x14ac:dyDescent="0.2">
      <c r="A1" s="416" t="str">
        <f>'alb Instructions'!$B$20</f>
        <v>enter HSC Body name here</v>
      </c>
      <c r="B1" s="449"/>
      <c r="C1" s="449"/>
    </row>
    <row r="2" spans="1:31" x14ac:dyDescent="0.2">
      <c r="A2" s="388"/>
      <c r="C2" s="501"/>
    </row>
    <row r="3" spans="1:31" x14ac:dyDescent="0.2">
      <c r="A3" s="416" t="str">
        <f>"NOTES TO THE ACCOUNTS FOR THE YEAR ENDED"&amp;Update!$B$22</f>
        <v>NOTES TO THE ACCOUNTS FOR THE YEAR ENDED 31 March 2026</v>
      </c>
      <c r="C3" s="501"/>
    </row>
    <row r="4" spans="1:31" x14ac:dyDescent="0.2">
      <c r="A4" s="388"/>
    </row>
    <row r="5" spans="1:31" x14ac:dyDescent="0.2">
      <c r="A5" s="388" t="s">
        <v>2355</v>
      </c>
    </row>
    <row r="6" spans="1:31" x14ac:dyDescent="0.2">
      <c r="A6" s="388"/>
    </row>
    <row r="7" spans="1:31" ht="28.5" customHeight="1" x14ac:dyDescent="0.2">
      <c r="A7" s="388" t="s">
        <v>1818</v>
      </c>
    </row>
    <row r="8" spans="1:31" ht="42.6" customHeight="1" x14ac:dyDescent="0.2">
      <c r="A8" s="851"/>
      <c r="E8" s="388" t="s">
        <v>930</v>
      </c>
      <c r="F8" s="388"/>
      <c r="G8" s="457"/>
      <c r="H8" s="457"/>
      <c r="I8" s="457"/>
      <c r="J8" s="457"/>
      <c r="K8" s="457"/>
      <c r="L8" s="457"/>
      <c r="M8" s="457"/>
      <c r="N8" s="457"/>
      <c r="O8" s="457"/>
      <c r="P8" s="457"/>
      <c r="Q8" s="457"/>
      <c r="R8" s="457"/>
      <c r="S8" s="457"/>
      <c r="T8" s="457"/>
      <c r="U8" s="457"/>
      <c r="V8" s="457"/>
      <c r="W8" s="457"/>
      <c r="X8" s="457"/>
      <c r="Y8" s="457"/>
      <c r="Z8" s="457"/>
      <c r="AA8" s="457"/>
    </row>
    <row r="9" spans="1:31" x14ac:dyDescent="0.2">
      <c r="A9" s="384"/>
      <c r="E9" s="579"/>
      <c r="F9" s="579" t="s">
        <v>345</v>
      </c>
      <c r="G9" s="579" t="s">
        <v>2459</v>
      </c>
      <c r="H9" s="579" t="s">
        <v>4</v>
      </c>
      <c r="I9" s="579" t="s">
        <v>10</v>
      </c>
      <c r="J9" s="579" t="s">
        <v>24</v>
      </c>
      <c r="K9" s="579" t="s">
        <v>16</v>
      </c>
      <c r="L9" s="579" t="s">
        <v>18</v>
      </c>
      <c r="M9" s="579" t="s">
        <v>34</v>
      </c>
      <c r="N9" s="580" t="s">
        <v>1252</v>
      </c>
      <c r="O9" s="579" t="s">
        <v>2448</v>
      </c>
      <c r="P9" s="579" t="s">
        <v>22</v>
      </c>
      <c r="Q9" s="579" t="s">
        <v>32</v>
      </c>
      <c r="R9" s="579" t="s">
        <v>30</v>
      </c>
      <c r="S9" s="579" t="s">
        <v>6</v>
      </c>
      <c r="T9" s="579" t="s">
        <v>26</v>
      </c>
      <c r="U9" s="579" t="s">
        <v>28</v>
      </c>
      <c r="V9" s="579" t="s">
        <v>12</v>
      </c>
      <c r="W9" s="579" t="s">
        <v>8</v>
      </c>
      <c r="X9" s="579" t="s">
        <v>14</v>
      </c>
      <c r="Y9" s="579" t="s">
        <v>36</v>
      </c>
      <c r="Z9" s="579" t="s">
        <v>38</v>
      </c>
    </row>
    <row r="10" spans="1:31" ht="67.5" x14ac:dyDescent="0.2">
      <c r="B10" s="461" t="str">
        <f>Update!$C$38</f>
        <v>2025-26</v>
      </c>
      <c r="C10" s="461" t="str">
        <f>Update!$C$37</f>
        <v>2024-25</v>
      </c>
      <c r="E10" s="414" t="s">
        <v>604</v>
      </c>
      <c r="F10" s="413" t="s">
        <v>48</v>
      </c>
      <c r="G10" s="413" t="s">
        <v>2457</v>
      </c>
      <c r="H10" s="413" t="s">
        <v>5</v>
      </c>
      <c r="I10" s="413" t="s">
        <v>11</v>
      </c>
      <c r="J10" s="413" t="s">
        <v>25</v>
      </c>
      <c r="K10" s="413" t="s">
        <v>17</v>
      </c>
      <c r="L10" s="413" t="s">
        <v>19</v>
      </c>
      <c r="M10" s="413" t="s">
        <v>35</v>
      </c>
      <c r="N10" s="413" t="s">
        <v>900</v>
      </c>
      <c r="O10" s="413" t="s">
        <v>2446</v>
      </c>
      <c r="P10" s="413" t="s">
        <v>23</v>
      </c>
      <c r="Q10" s="413" t="s">
        <v>33</v>
      </c>
      <c r="R10" s="413" t="s">
        <v>31</v>
      </c>
      <c r="S10" s="413" t="s">
        <v>7</v>
      </c>
      <c r="T10" s="413" t="s">
        <v>27</v>
      </c>
      <c r="U10" s="413" t="s">
        <v>29</v>
      </c>
      <c r="V10" s="413" t="s">
        <v>13</v>
      </c>
      <c r="W10" s="413" t="s">
        <v>9</v>
      </c>
      <c r="X10" s="413" t="s">
        <v>15</v>
      </c>
      <c r="Y10" s="413" t="s">
        <v>37</v>
      </c>
      <c r="Z10" s="413" t="s">
        <v>39</v>
      </c>
      <c r="AA10" s="412" t="s">
        <v>932</v>
      </c>
      <c r="AB10" s="412" t="s">
        <v>63</v>
      </c>
    </row>
    <row r="11" spans="1:31" ht="15" x14ac:dyDescent="0.2">
      <c r="B11" s="676" t="s">
        <v>493</v>
      </c>
      <c r="C11" s="676" t="s">
        <v>493</v>
      </c>
      <c r="E11" s="411" t="s">
        <v>62</v>
      </c>
      <c r="F11" s="411" t="s">
        <v>62</v>
      </c>
      <c r="G11" s="411" t="s">
        <v>62</v>
      </c>
      <c r="H11" s="411" t="s">
        <v>62</v>
      </c>
      <c r="I11" s="411" t="s">
        <v>62</v>
      </c>
      <c r="J11" s="411" t="s">
        <v>62</v>
      </c>
      <c r="K11" s="411" t="s">
        <v>62</v>
      </c>
      <c r="L11" s="411" t="s">
        <v>62</v>
      </c>
      <c r="M11" s="411" t="s">
        <v>62</v>
      </c>
      <c r="N11" s="411" t="s">
        <v>62</v>
      </c>
      <c r="O11" s="411" t="s">
        <v>62</v>
      </c>
      <c r="P11" s="411" t="s">
        <v>62</v>
      </c>
      <c r="Q11" s="411" t="s">
        <v>62</v>
      </c>
      <c r="R11" s="411" t="s">
        <v>62</v>
      </c>
      <c r="S11" s="411" t="s">
        <v>62</v>
      </c>
      <c r="T11" s="411" t="s">
        <v>62</v>
      </c>
      <c r="U11" s="411" t="s">
        <v>62</v>
      </c>
      <c r="V11" s="411" t="s">
        <v>62</v>
      </c>
      <c r="W11" s="411" t="s">
        <v>62</v>
      </c>
      <c r="X11" s="411" t="s">
        <v>62</v>
      </c>
      <c r="Y11" s="411" t="s">
        <v>62</v>
      </c>
      <c r="Z11" s="411" t="s">
        <v>62</v>
      </c>
      <c r="AA11" s="508" t="s">
        <v>62</v>
      </c>
      <c r="AB11" s="508"/>
    </row>
    <row r="12" spans="1:31" x14ac:dyDescent="0.2">
      <c r="A12" s="397" t="s">
        <v>795</v>
      </c>
      <c r="B12" s="513"/>
      <c r="C12" s="513"/>
      <c r="E12" s="656">
        <f>SUM(F12:Z12)</f>
        <v>0</v>
      </c>
      <c r="F12" s="513"/>
      <c r="G12" s="513"/>
      <c r="H12" s="513"/>
      <c r="I12" s="513"/>
      <c r="J12" s="513"/>
      <c r="K12" s="513"/>
      <c r="L12" s="513"/>
      <c r="M12" s="513"/>
      <c r="N12" s="513"/>
      <c r="O12" s="513"/>
      <c r="P12" s="513"/>
      <c r="Q12" s="513"/>
      <c r="R12" s="513"/>
      <c r="S12" s="513"/>
      <c r="T12" s="513"/>
      <c r="U12" s="513"/>
      <c r="V12" s="513"/>
      <c r="W12" s="513"/>
      <c r="X12" s="513"/>
      <c r="Y12" s="513"/>
      <c r="Z12" s="513"/>
      <c r="AA12" s="663">
        <f>B12-E12</f>
        <v>0</v>
      </c>
      <c r="AB12" s="409" t="str">
        <f>IF(B12&gt;=0,IF(E12&gt;=0,IF(B12&gt;=E12,"Ok ","Check size "),"Check sign"),IF(E12&gt;0,"Check sign ",IF(ABS(B12)&gt;=ABS(E12),"Ok ","Check size ")))</f>
        <v xml:space="preserve">Ok </v>
      </c>
    </row>
    <row r="13" spans="1:31" x14ac:dyDescent="0.2">
      <c r="A13" s="397" t="s">
        <v>796</v>
      </c>
      <c r="B13" s="513"/>
      <c r="C13" s="513"/>
      <c r="E13" s="656">
        <f>SUM(F13:Z13)</f>
        <v>0</v>
      </c>
      <c r="F13" s="513"/>
      <c r="G13" s="513"/>
      <c r="H13" s="513"/>
      <c r="I13" s="513"/>
      <c r="J13" s="513"/>
      <c r="K13" s="513"/>
      <c r="L13" s="513"/>
      <c r="M13" s="513"/>
      <c r="N13" s="513"/>
      <c r="O13" s="513"/>
      <c r="P13" s="513"/>
      <c r="Q13" s="513"/>
      <c r="R13" s="513"/>
      <c r="S13" s="513"/>
      <c r="T13" s="513"/>
      <c r="U13" s="513"/>
      <c r="V13" s="513"/>
      <c r="W13" s="513"/>
      <c r="X13" s="513"/>
      <c r="Y13" s="513"/>
      <c r="Z13" s="513"/>
      <c r="AA13" s="663">
        <f>B13-E13</f>
        <v>0</v>
      </c>
      <c r="AB13" s="409" t="str">
        <f>IF(B13&gt;=0,IF(E13&gt;=0,IF(B13&gt;=E13,"Ok ","Check size "),"Check sign"),IF(E13&gt;0,"Check sign ",IF(ABS(B13)&gt;=ABS(E13),"Ok ","Check size ")))</f>
        <v xml:space="preserve">Ok </v>
      </c>
    </row>
    <row r="14" spans="1:31" x14ac:dyDescent="0.2">
      <c r="A14" s="397" t="s">
        <v>797</v>
      </c>
      <c r="B14" s="513"/>
      <c r="C14" s="513"/>
      <c r="E14" s="656">
        <f>SUM(F14:Z14)</f>
        <v>0</v>
      </c>
      <c r="F14" s="513"/>
      <c r="G14" s="513"/>
      <c r="H14" s="513"/>
      <c r="I14" s="513"/>
      <c r="J14" s="513"/>
      <c r="K14" s="513"/>
      <c r="L14" s="513"/>
      <c r="M14" s="513"/>
      <c r="N14" s="513"/>
      <c r="O14" s="513"/>
      <c r="P14" s="513"/>
      <c r="Q14" s="513"/>
      <c r="R14" s="513"/>
      <c r="S14" s="513"/>
      <c r="T14" s="513"/>
      <c r="U14" s="513"/>
      <c r="V14" s="513"/>
      <c r="W14" s="513"/>
      <c r="X14" s="513"/>
      <c r="Y14" s="513"/>
      <c r="Z14" s="513"/>
      <c r="AA14" s="663">
        <f>B14-E14</f>
        <v>0</v>
      </c>
      <c r="AB14" s="409" t="str">
        <f>IF(B14&gt;=0,IF(E14&gt;=0,IF(B14&gt;=E14,"Ok ","Check size "),"Check sign"),IF(E14&gt;0,"Check sign ",IF(ABS(B14)&gt;=ABS(E14),"Ok ","Check size ")))</f>
        <v xml:space="preserve">Ok </v>
      </c>
    </row>
    <row r="15" spans="1:31" x14ac:dyDescent="0.2">
      <c r="B15" s="473"/>
      <c r="C15" s="473"/>
    </row>
    <row r="16" spans="1:31" x14ac:dyDescent="0.2">
      <c r="A16" s="397" t="s">
        <v>146</v>
      </c>
      <c r="B16" s="666">
        <f>SUM(B12:B14)</f>
        <v>0</v>
      </c>
      <c r="C16" s="666">
        <f>SUM(C12:C14)</f>
        <v>0</v>
      </c>
      <c r="E16" s="666">
        <f t="shared" ref="E16:AA16" si="0">SUM(E12:E15)</f>
        <v>0</v>
      </c>
      <c r="F16" s="666">
        <f t="shared" si="0"/>
        <v>0</v>
      </c>
      <c r="G16" s="666">
        <f t="shared" si="0"/>
        <v>0</v>
      </c>
      <c r="H16" s="666">
        <f t="shared" si="0"/>
        <v>0</v>
      </c>
      <c r="I16" s="666">
        <f t="shared" si="0"/>
        <v>0</v>
      </c>
      <c r="J16" s="666">
        <f t="shared" si="0"/>
        <v>0</v>
      </c>
      <c r="K16" s="666">
        <f t="shared" si="0"/>
        <v>0</v>
      </c>
      <c r="L16" s="666">
        <f t="shared" si="0"/>
        <v>0</v>
      </c>
      <c r="M16" s="666">
        <f t="shared" si="0"/>
        <v>0</v>
      </c>
      <c r="N16" s="666">
        <f t="shared" si="0"/>
        <v>0</v>
      </c>
      <c r="O16" s="666">
        <f t="shared" si="0"/>
        <v>0</v>
      </c>
      <c r="P16" s="666">
        <f t="shared" si="0"/>
        <v>0</v>
      </c>
      <c r="Q16" s="666">
        <f t="shared" si="0"/>
        <v>0</v>
      </c>
      <c r="R16" s="666">
        <f t="shared" si="0"/>
        <v>0</v>
      </c>
      <c r="S16" s="666">
        <f t="shared" si="0"/>
        <v>0</v>
      </c>
      <c r="T16" s="666">
        <f t="shared" si="0"/>
        <v>0</v>
      </c>
      <c r="U16" s="666">
        <f t="shared" si="0"/>
        <v>0</v>
      </c>
      <c r="V16" s="666">
        <f t="shared" si="0"/>
        <v>0</v>
      </c>
      <c r="W16" s="666">
        <f t="shared" si="0"/>
        <v>0</v>
      </c>
      <c r="X16" s="666">
        <f t="shared" si="0"/>
        <v>0</v>
      </c>
      <c r="Y16" s="666">
        <f t="shared" si="0"/>
        <v>0</v>
      </c>
      <c r="Z16" s="666">
        <f t="shared" si="0"/>
        <v>0</v>
      </c>
      <c r="AA16" s="666">
        <f t="shared" si="0"/>
        <v>0</v>
      </c>
      <c r="AB16" s="409" t="str">
        <f>IF(B16&gt;=0,IF(E16&gt;=0,IF(B16&gt;=E16,"Ok ","Check size "),"Check sign"),IF(E16&gt;0,"Check sign ",IF(ABS(B16)&gt;=ABS(E16),"Ok ","Check size ")))</f>
        <v xml:space="preserve">Ok </v>
      </c>
      <c r="AC16" s="388"/>
      <c r="AD16" s="388"/>
      <c r="AE16" s="388"/>
    </row>
  </sheetData>
  <sheetProtection algorithmName="SHA-512" hashValue="NA395DZX1IVEglBP3rkDQTUSCbehovEvXxqgLaYmwXDz399Y4nCpM5NmgZGj5ujjwEAk3ufbhcmNXelEhjtpsA==" saltValue="inxEyq8Mk/OyVkkCIOiSsQ==" spinCount="100000" sheet="1" formatColumns="0" formatRows="0"/>
  <conditionalFormatting sqref="A3">
    <cfRule type="expression" dxfId="28" priority="1">
      <formula>CELL("Protect",A3)=0</formula>
    </cfRule>
  </conditionalFormatting>
  <conditionalFormatting sqref="A8">
    <cfRule type="expression" dxfId="27" priority="2">
      <formula>CELL("Protect",A8)=0</formula>
    </cfRule>
  </conditionalFormatting>
  <conditionalFormatting sqref="B12:C14">
    <cfRule type="expression" dxfId="26" priority="6">
      <formula>CELL("Protect",B12)=0</formula>
    </cfRule>
  </conditionalFormatting>
  <conditionalFormatting sqref="F12:Z14">
    <cfRule type="expression" dxfId="25" priority="4">
      <formula>CELL("Protect",F12)=0</formula>
    </cfRule>
  </conditionalFormatting>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2">
    <tabColor rgb="FFFFFF00"/>
    <pageSetUpPr fitToPage="1"/>
  </sheetPr>
  <dimension ref="A1:H20"/>
  <sheetViews>
    <sheetView workbookViewId="0"/>
  </sheetViews>
  <sheetFormatPr defaultColWidth="9.140625" defaultRowHeight="12.75" x14ac:dyDescent="0.2"/>
  <cols>
    <col min="1" max="1" width="56" style="369" customWidth="1"/>
    <col min="2" max="2" width="12.42578125" style="369" customWidth="1"/>
    <col min="3" max="3" width="11.5703125" style="369" customWidth="1"/>
    <col min="4" max="5" width="9.140625" style="369"/>
    <col min="6" max="6" width="51.85546875" style="369" customWidth="1"/>
    <col min="7" max="16384" width="9.140625" style="369"/>
  </cols>
  <sheetData>
    <row r="1" spans="1:8" x14ac:dyDescent="0.2">
      <c r="A1" s="416" t="str">
        <f>'alb Instructions'!$B$20</f>
        <v>enter HSC Body name here</v>
      </c>
      <c r="B1" s="544"/>
      <c r="C1" s="544"/>
    </row>
    <row r="2" spans="1:8" x14ac:dyDescent="0.2">
      <c r="A2" s="544"/>
      <c r="B2" s="544"/>
      <c r="C2" s="544"/>
    </row>
    <row r="3" spans="1:8" x14ac:dyDescent="0.2">
      <c r="A3" s="416" t="str">
        <f>"NOTES TO THE ACCOUNTS FOR THE YEAR ENDED"&amp;Update!$B$22</f>
        <v>NOTES TO THE ACCOUNTS FOR THE YEAR ENDED 31 March 2026</v>
      </c>
    </row>
    <row r="4" spans="1:8" x14ac:dyDescent="0.2">
      <c r="A4" s="449"/>
    </row>
    <row r="5" spans="1:8" x14ac:dyDescent="0.2">
      <c r="A5" s="449"/>
    </row>
    <row r="6" spans="1:8" x14ac:dyDescent="0.2">
      <c r="A6" s="388" t="s">
        <v>2356</v>
      </c>
      <c r="B6" s="397"/>
      <c r="C6" s="397"/>
      <c r="D6" s="397"/>
      <c r="E6" s="397"/>
      <c r="F6" s="397"/>
      <c r="G6" s="397"/>
      <c r="H6" s="397"/>
    </row>
    <row r="7" spans="1:8" x14ac:dyDescent="0.2">
      <c r="A7" s="457"/>
      <c r="B7" s="397"/>
      <c r="C7" s="397"/>
      <c r="D7" s="397"/>
      <c r="E7" s="397"/>
      <c r="F7" s="397"/>
      <c r="G7" s="397"/>
      <c r="H7" s="397"/>
    </row>
    <row r="8" spans="1:8" ht="33.6" customHeight="1" x14ac:dyDescent="0.2">
      <c r="A8" s="2160" t="s">
        <v>1813</v>
      </c>
      <c r="B8" s="2160"/>
      <c r="C8" s="2160"/>
      <c r="D8" s="2160"/>
      <c r="E8" s="2160"/>
      <c r="F8" s="2160"/>
      <c r="G8" s="2160"/>
      <c r="H8" s="2160"/>
    </row>
    <row r="9" spans="1:8" x14ac:dyDescent="0.2">
      <c r="A9" s="397"/>
      <c r="B9" s="397"/>
      <c r="C9" s="397"/>
      <c r="D9" s="397"/>
      <c r="E9" s="388" t="s">
        <v>1297</v>
      </c>
      <c r="F9" s="388"/>
      <c r="G9" s="388"/>
      <c r="H9" s="397"/>
    </row>
    <row r="10" spans="1:8" ht="33.75" x14ac:dyDescent="0.2">
      <c r="A10" s="397"/>
      <c r="B10" s="397"/>
      <c r="C10" s="397"/>
      <c r="D10" s="397"/>
      <c r="E10" s="414" t="s">
        <v>146</v>
      </c>
      <c r="F10" s="414" t="s">
        <v>1294</v>
      </c>
      <c r="G10" s="412" t="s">
        <v>1314</v>
      </c>
      <c r="H10" s="412" t="s">
        <v>63</v>
      </c>
    </row>
    <row r="11" spans="1:8" ht="15" x14ac:dyDescent="0.2">
      <c r="A11" s="397"/>
      <c r="B11" s="461" t="str">
        <f>Update!$C$38</f>
        <v>2025-26</v>
      </c>
      <c r="C11" s="461" t="str">
        <f>Update!$C$37</f>
        <v>2024-25</v>
      </c>
      <c r="D11" s="397"/>
      <c r="E11" s="414" t="s">
        <v>493</v>
      </c>
      <c r="F11" s="414"/>
      <c r="G11" s="508" t="s">
        <v>62</v>
      </c>
      <c r="H11" s="508"/>
    </row>
    <row r="12" spans="1:8" x14ac:dyDescent="0.2">
      <c r="A12" s="397"/>
      <c r="B12" s="468" t="s">
        <v>493</v>
      </c>
      <c r="C12" s="468" t="s">
        <v>493</v>
      </c>
      <c r="D12" s="397"/>
      <c r="E12" s="468" t="s">
        <v>493</v>
      </c>
      <c r="F12" s="397"/>
      <c r="G12" s="397"/>
      <c r="H12" s="397"/>
    </row>
    <row r="13" spans="1:8" x14ac:dyDescent="0.2">
      <c r="A13" s="397" t="s">
        <v>671</v>
      </c>
      <c r="B13" s="505"/>
      <c r="C13" s="505"/>
      <c r="D13" s="397"/>
      <c r="E13" s="682"/>
      <c r="F13" s="682"/>
      <c r="G13" s="663">
        <f>B13-E13</f>
        <v>0</v>
      </c>
      <c r="H13" s="409" t="str">
        <f>IF(B13&gt;=0,IF(E13&gt;=0,IF(B13&gt;=E13,"Ok ","Check size "),"Check sign"),IF(E13&gt;0,"Check sign ",IF(ABS(B13)&gt;=ABS(E13),"Ok ","Check size ")))</f>
        <v xml:space="preserve">Ok </v>
      </c>
    </row>
    <row r="14" spans="1:8" x14ac:dyDescent="0.2">
      <c r="A14" s="397" t="s">
        <v>672</v>
      </c>
      <c r="B14" s="505"/>
      <c r="C14" s="505"/>
      <c r="D14" s="397"/>
      <c r="E14" s="682"/>
      <c r="F14" s="682"/>
      <c r="G14" s="663">
        <f>B14-E14</f>
        <v>0</v>
      </c>
      <c r="H14" s="409" t="str">
        <f>IF(B14&gt;=0,IF(E14&gt;=0,IF(B14&gt;=E14,"Ok ","Check size "),"Check sign"),IF(E14&gt;0,"Check sign ",IF(ABS(B14)&gt;=ABS(E14),"Ok ","Check size ")))</f>
        <v xml:space="preserve">Ok </v>
      </c>
    </row>
    <row r="15" spans="1:8" x14ac:dyDescent="0.2">
      <c r="A15" s="397" t="s">
        <v>181</v>
      </c>
      <c r="B15" s="505"/>
      <c r="C15" s="505"/>
      <c r="D15" s="397"/>
      <c r="E15" s="682"/>
      <c r="F15" s="682"/>
      <c r="G15" s="663">
        <f>B15-E15</f>
        <v>0</v>
      </c>
      <c r="H15" s="409" t="str">
        <f>IF(B15&gt;=0,IF(E15&gt;=0,IF(B15&gt;=E15,"Ok ","Check size "),"Check sign"),IF(E15&gt;0,"Check sign ",IF(ABS(B15)&gt;=ABS(E15),"Ok ","Check size ")))</f>
        <v xml:space="preserve">Ok </v>
      </c>
    </row>
    <row r="16" spans="1:8" x14ac:dyDescent="0.2">
      <c r="A16" s="397"/>
      <c r="B16" s="459"/>
      <c r="C16" s="459"/>
      <c r="D16" s="397"/>
      <c r="E16" s="682"/>
      <c r="F16" s="682"/>
      <c r="G16" s="663">
        <f>B16-E16</f>
        <v>0</v>
      </c>
      <c r="H16" s="409" t="str">
        <f>IF(B16&gt;=0,IF(E16&gt;=0,IF(B16&gt;=E16,"Ok ","Check size "),"Check sign"),IF(E16&gt;0,"Check sign ",IF(ABS(B16)&gt;=ABS(E16),"Ok ","Check size ")))</f>
        <v xml:space="preserve">Ok </v>
      </c>
    </row>
    <row r="17" spans="1:8" ht="13.5" thickBot="1" x14ac:dyDescent="0.25">
      <c r="A17" s="397" t="s">
        <v>146</v>
      </c>
      <c r="B17" s="507">
        <f>SUM(B13:B15)</f>
        <v>0</v>
      </c>
      <c r="C17" s="507">
        <f>SUM(C13:C15)</f>
        <v>0</v>
      </c>
      <c r="D17" s="397"/>
      <c r="E17" s="524">
        <f>SUM(E13:E16)</f>
        <v>0</v>
      </c>
      <c r="F17" s="397"/>
      <c r="G17" s="507">
        <f>SUM(G13:G16)</f>
        <v>0</v>
      </c>
      <c r="H17" s="409" t="str">
        <f>IF(B17&gt;=0,IF(E17&gt;=0,IF(B17&gt;=E17,"Ok ","Check size "),"Check sign"),IF(E17&gt;0,"Check sign ",IF(ABS(B17)&gt;=ABS(E17),"Ok ","Check size ")))</f>
        <v xml:space="preserve">Ok </v>
      </c>
    </row>
    <row r="18" spans="1:8" ht="13.5" thickTop="1" x14ac:dyDescent="0.2">
      <c r="A18" s="397"/>
      <c r="B18" s="397"/>
      <c r="C18" s="397"/>
      <c r="D18" s="397"/>
      <c r="E18" s="397"/>
      <c r="F18" s="397"/>
      <c r="G18" s="397"/>
      <c r="H18" s="397"/>
    </row>
    <row r="19" spans="1:8" x14ac:dyDescent="0.2">
      <c r="A19" s="388" t="s">
        <v>1814</v>
      </c>
      <c r="B19" s="397"/>
      <c r="C19" s="397"/>
      <c r="D19" s="397"/>
      <c r="E19" s="397"/>
      <c r="F19" s="397"/>
      <c r="G19" s="397"/>
      <c r="H19" s="397"/>
    </row>
    <row r="20" spans="1:8" ht="15" x14ac:dyDescent="0.25">
      <c r="A20" s="2161"/>
      <c r="B20" s="2162"/>
      <c r="C20" s="2162"/>
      <c r="D20" s="2162"/>
      <c r="E20" s="2162"/>
      <c r="F20" s="2163"/>
      <c r="G20" s="397"/>
      <c r="H20" s="397"/>
    </row>
  </sheetData>
  <sheetProtection algorithmName="SHA-512" hashValue="bkOtgUw1ervc/Tnt97urKSk5yoeZfU4wiDk7nxfpibuPRWn8hQLHcsg+JzsTJQ/Nzc4l8PjJlpGboH+iqQGVEg==" saltValue="xnzT79nz6+oldzOd1jKA9g==" spinCount="100000" sheet="1" formatColumns="0" formatRows="0"/>
  <mergeCells count="2">
    <mergeCell ref="A8:H8"/>
    <mergeCell ref="A20:F20"/>
  </mergeCells>
  <conditionalFormatting sqref="A3">
    <cfRule type="expression" dxfId="24" priority="1">
      <formula>CELL("Protect",A3)=0</formula>
    </cfRule>
  </conditionalFormatting>
  <conditionalFormatting sqref="A8">
    <cfRule type="expression" dxfId="23" priority="3">
      <formula>CELL("Protect",A8)=0</formula>
    </cfRule>
  </conditionalFormatting>
  <conditionalFormatting sqref="A1:C2 D1:H7 B3:C3 A4:C7 A9:C10 D9:H19 A11 A12:C19 A20 G20:H20">
    <cfRule type="expression" dxfId="22" priority="5">
      <formula>CELL("Protect",A1)=0</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3">
    <tabColor rgb="FFFFFF00"/>
    <pageSetUpPr fitToPage="1"/>
  </sheetPr>
  <dimension ref="A1:E11"/>
  <sheetViews>
    <sheetView zoomScaleNormal="100" workbookViewId="0"/>
  </sheetViews>
  <sheetFormatPr defaultColWidth="9.140625" defaultRowHeight="12.75" x14ac:dyDescent="0.2"/>
  <cols>
    <col min="1" max="1" width="91.5703125" style="397" customWidth="1"/>
    <col min="2" max="3" width="9.140625" style="397"/>
    <col min="4" max="4" width="26.28515625" style="397" customWidth="1"/>
    <col min="5" max="5" width="18.7109375" style="397" customWidth="1"/>
    <col min="6" max="16384" width="9.140625" style="397"/>
  </cols>
  <sheetData>
    <row r="1" spans="1:5" ht="14.65" customHeight="1" x14ac:dyDescent="0.2">
      <c r="A1" s="416" t="str">
        <f>'alb Instructions'!$B$20</f>
        <v>enter HSC Body name here</v>
      </c>
      <c r="B1" s="388"/>
      <c r="C1" s="388"/>
      <c r="D1" s="388"/>
      <c r="E1" s="388"/>
    </row>
    <row r="3" spans="1:5" x14ac:dyDescent="0.2">
      <c r="A3" s="416" t="str">
        <f>"NOTES TO THE ACCOUNTS FOR THE YEAR ENDED"&amp;Update!$B$22</f>
        <v>NOTES TO THE ACCOUNTS FOR THE YEAR ENDED 31 March 2026</v>
      </c>
    </row>
    <row r="5" spans="1:5" x14ac:dyDescent="0.2">
      <c r="A5" s="2153" t="s">
        <v>2357</v>
      </c>
      <c r="B5" s="2153"/>
      <c r="C5" s="2153"/>
      <c r="D5" s="2153"/>
    </row>
    <row r="7" spans="1:5" ht="96.75" customHeight="1" x14ac:dyDescent="0.2">
      <c r="A7" s="2164"/>
      <c r="B7" s="2164"/>
      <c r="C7" s="2164"/>
      <c r="D7" s="2164"/>
      <c r="E7" s="2164"/>
    </row>
    <row r="8" spans="1:5" ht="99.75" customHeight="1" x14ac:dyDescent="0.2">
      <c r="A8" s="2164"/>
      <c r="B8" s="2164"/>
      <c r="C8" s="2164"/>
      <c r="D8" s="2164"/>
      <c r="E8" s="2164"/>
    </row>
    <row r="9" spans="1:5" x14ac:dyDescent="0.2">
      <c r="A9" s="683"/>
      <c r="B9" s="466"/>
      <c r="C9" s="466"/>
      <c r="D9" s="466"/>
      <c r="E9" s="466"/>
    </row>
    <row r="10" spans="1:5" x14ac:dyDescent="0.2">
      <c r="A10" s="664"/>
    </row>
    <row r="11" spans="1:5" x14ac:dyDescent="0.2">
      <c r="A11" s="388"/>
    </row>
  </sheetData>
  <sheetProtection algorithmName="SHA-512" hashValue="EariKdj+srtkL8o65F+eegn4oAMfdkXjxPcLIbY05guaRr9CMwC1w9BpDSDoPeXPPagNvCNkF1qm5sd5nzoUog==" saltValue="d1kAnOSTvLYxLG4VDJFhIA==" spinCount="100000" sheet="1" formatColumns="0" formatRows="0"/>
  <mergeCells count="3">
    <mergeCell ref="A5:D5"/>
    <mergeCell ref="A8:E8"/>
    <mergeCell ref="A7:E7"/>
  </mergeCells>
  <conditionalFormatting sqref="A3">
    <cfRule type="expression" dxfId="21" priority="1">
      <formula>CELL("Protect",A3)=0</formula>
    </cfRule>
  </conditionalFormatting>
  <conditionalFormatting sqref="A7:A8">
    <cfRule type="expression" dxfId="20" priority="2">
      <formula>CELL("Protect",A7)=0</formula>
    </cfRule>
  </conditionalFormatting>
  <pageMargins left="0.74803149606299213" right="0.74803149606299213" top="0.59055118110236227"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tint="-0.499984740745262"/>
    <pageSetUpPr fitToPage="1"/>
  </sheetPr>
  <dimension ref="A1:H209"/>
  <sheetViews>
    <sheetView zoomScale="85" zoomScaleNormal="85" workbookViewId="0">
      <selection activeCell="B23" sqref="B23"/>
    </sheetView>
  </sheetViews>
  <sheetFormatPr defaultRowHeight="15" x14ac:dyDescent="0.25"/>
  <cols>
    <col min="2" max="2" width="67.28515625" bestFit="1" customWidth="1"/>
    <col min="3" max="3" width="18.85546875" customWidth="1"/>
    <col min="9" max="9" width="11.28515625" bestFit="1" customWidth="1"/>
  </cols>
  <sheetData>
    <row r="1" spans="1:8" x14ac:dyDescent="0.25">
      <c r="A1" s="16" t="s">
        <v>45</v>
      </c>
      <c r="B1" s="2"/>
      <c r="C1" s="2"/>
      <c r="D1" s="2"/>
      <c r="E1" s="2"/>
      <c r="F1" s="2"/>
      <c r="G1" s="2"/>
      <c r="H1" s="2"/>
    </row>
    <row r="2" spans="1:8" x14ac:dyDescent="0.25">
      <c r="A2" s="2" t="str">
        <f>"Accounts "&amp;Update!$B$13</f>
        <v>Accounts 2025-26</v>
      </c>
      <c r="B2" s="2"/>
      <c r="C2" s="2"/>
      <c r="D2" s="2"/>
      <c r="E2" s="2"/>
      <c r="F2" s="2"/>
      <c r="G2" s="2"/>
      <c r="H2" s="2"/>
    </row>
    <row r="3" spans="1:8" x14ac:dyDescent="0.25">
      <c r="A3" s="2"/>
      <c r="B3" s="2"/>
      <c r="C3" s="2"/>
      <c r="D3" s="2"/>
      <c r="E3" s="2"/>
      <c r="F3" s="2"/>
      <c r="G3" s="2"/>
      <c r="H3" s="2"/>
    </row>
    <row r="4" spans="1:8" ht="28.5" x14ac:dyDescent="0.25">
      <c r="A4" s="192" t="s">
        <v>46</v>
      </c>
      <c r="B4" s="2"/>
      <c r="C4" s="2"/>
      <c r="D4" s="2"/>
      <c r="E4" s="2"/>
      <c r="F4" s="2"/>
      <c r="G4" s="2"/>
      <c r="H4" s="2"/>
    </row>
    <row r="5" spans="1:8" ht="12" customHeight="1" x14ac:dyDescent="0.25">
      <c r="A5" s="853"/>
      <c r="B5" s="853"/>
      <c r="C5" s="2"/>
      <c r="D5" s="2"/>
      <c r="E5" s="2"/>
      <c r="F5" s="2"/>
      <c r="G5" s="2"/>
      <c r="H5" s="2"/>
    </row>
    <row r="6" spans="1:8" x14ac:dyDescent="0.25">
      <c r="A6" s="771"/>
      <c r="B6" s="771" t="s">
        <v>1514</v>
      </c>
      <c r="C6" s="2"/>
      <c r="D6" s="2"/>
      <c r="E6" s="2"/>
      <c r="F6" s="2"/>
      <c r="G6" s="2"/>
      <c r="H6" s="2"/>
    </row>
    <row r="7" spans="1:8" x14ac:dyDescent="0.25">
      <c r="B7" s="865" t="s">
        <v>1512</v>
      </c>
      <c r="C7" s="2"/>
      <c r="D7" s="2"/>
      <c r="E7" s="2"/>
      <c r="F7" s="2"/>
      <c r="G7" s="2"/>
      <c r="H7" s="2"/>
    </row>
    <row r="8" spans="1:8" x14ac:dyDescent="0.25">
      <c r="B8" s="865"/>
      <c r="C8" s="2"/>
      <c r="D8" s="2"/>
      <c r="E8" s="2"/>
      <c r="F8" s="2"/>
      <c r="G8" s="2"/>
      <c r="H8" s="2"/>
    </row>
    <row r="9" spans="1:8" ht="15.75" x14ac:dyDescent="0.25">
      <c r="A9" s="3">
        <v>1</v>
      </c>
      <c r="B9" s="864" t="e" cm="1">
        <f t="array" ref="B9">INDEX(SheetNames,A9)</f>
        <v>#NAME?</v>
      </c>
      <c r="C9" s="2"/>
      <c r="D9" s="2"/>
      <c r="E9" s="2"/>
      <c r="F9" s="2"/>
      <c r="G9" s="2"/>
      <c r="H9" s="2"/>
    </row>
    <row r="10" spans="1:8" ht="15.75" x14ac:dyDescent="0.25">
      <c r="A10" s="3">
        <f>MAX($A$9:A9)+1</f>
        <v>2</v>
      </c>
      <c r="B10" s="864" t="e" cm="1">
        <f t="array" ref="B10">INDEX(SheetNames,A10)</f>
        <v>#NAME?</v>
      </c>
      <c r="C10" s="2"/>
      <c r="D10" s="2"/>
      <c r="E10" s="2"/>
      <c r="F10" s="2"/>
      <c r="G10" s="2"/>
      <c r="H10" s="2"/>
    </row>
    <row r="11" spans="1:8" ht="15.75" x14ac:dyDescent="0.25">
      <c r="A11" s="3">
        <f>MAX($A$9:A10)+1</f>
        <v>3</v>
      </c>
      <c r="B11" s="864" t="e" cm="1">
        <f t="array" ref="B11">INDEX(SheetNames,A11)</f>
        <v>#NAME?</v>
      </c>
      <c r="C11" s="2"/>
      <c r="D11" s="2"/>
      <c r="E11" s="2"/>
      <c r="F11" s="2"/>
      <c r="G11" s="2"/>
      <c r="H11" s="2"/>
    </row>
    <row r="12" spans="1:8" ht="15.75" x14ac:dyDescent="0.25">
      <c r="A12" s="3">
        <f>MAX($A$9:A11)+1</f>
        <v>4</v>
      </c>
      <c r="B12" s="864" t="e" cm="1">
        <f t="array" ref="B12">INDEX(SheetNames,A12)</f>
        <v>#NAME?</v>
      </c>
      <c r="C12" s="2"/>
      <c r="D12" s="2"/>
      <c r="E12" s="2"/>
      <c r="F12" s="2"/>
      <c r="G12" s="2"/>
      <c r="H12" s="2"/>
    </row>
    <row r="13" spans="1:8" ht="15.75" x14ac:dyDescent="0.25">
      <c r="A13" s="3">
        <f>MAX($A$9:A12)+1</f>
        <v>5</v>
      </c>
      <c r="B13" s="864" t="e" cm="1">
        <f t="array" ref="B13">INDEX(SheetNames,A13)</f>
        <v>#NAME?</v>
      </c>
      <c r="C13" s="2"/>
      <c r="D13" s="2"/>
      <c r="E13" s="2"/>
      <c r="F13" s="2"/>
      <c r="G13" s="2"/>
      <c r="H13" s="2"/>
    </row>
    <row r="14" spans="1:8" ht="15.75" x14ac:dyDescent="0.25">
      <c r="A14" s="3">
        <f>MAX($A$9:A13)+1</f>
        <v>6</v>
      </c>
      <c r="B14" s="864" t="e" cm="1">
        <f t="array" ref="B14">INDEX(SheetNames,A14)</f>
        <v>#NAME?</v>
      </c>
      <c r="C14" s="2"/>
      <c r="D14" s="2"/>
      <c r="E14" s="2"/>
      <c r="F14" s="2"/>
      <c r="G14" s="2"/>
      <c r="H14" s="2"/>
    </row>
    <row r="15" spans="1:8" ht="15.75" x14ac:dyDescent="0.25">
      <c r="A15" s="3">
        <f>MAX($A$9:A14)+1</f>
        <v>7</v>
      </c>
      <c r="B15" s="864" t="e" cm="1">
        <f t="array" ref="B15">INDEX(SheetNames,A15)</f>
        <v>#NAME?</v>
      </c>
      <c r="C15" s="2"/>
      <c r="D15" s="2"/>
      <c r="E15" s="2"/>
      <c r="F15" s="2"/>
      <c r="G15" s="2"/>
      <c r="H15" s="2"/>
    </row>
    <row r="16" spans="1:8" ht="15.75" x14ac:dyDescent="0.25">
      <c r="A16" s="3">
        <f>MAX($A$9:A15)+1</f>
        <v>8</v>
      </c>
      <c r="B16" s="864" t="e" cm="1">
        <f t="array" ref="B16">INDEX(SheetNames,A16)</f>
        <v>#NAME?</v>
      </c>
      <c r="C16" s="2"/>
      <c r="D16" s="2"/>
      <c r="E16" s="2"/>
      <c r="F16" s="2"/>
      <c r="G16" s="2"/>
      <c r="H16" s="2"/>
    </row>
    <row r="17" spans="1:8" ht="15.75" x14ac:dyDescent="0.25">
      <c r="A17" s="3">
        <f>MAX($A$9:A16)+1</f>
        <v>9</v>
      </c>
      <c r="B17" s="864" t="e" cm="1">
        <f t="array" ref="B17">INDEX(SheetNames,A17)</f>
        <v>#NAME?</v>
      </c>
      <c r="C17" s="2"/>
      <c r="D17" s="2"/>
      <c r="E17" s="2"/>
      <c r="F17" s="2"/>
      <c r="G17" s="2"/>
      <c r="H17" s="2"/>
    </row>
    <row r="18" spans="1:8" ht="15.75" x14ac:dyDescent="0.25">
      <c r="A18" s="3">
        <f>MAX($A$9:A17)+1</f>
        <v>10</v>
      </c>
      <c r="B18" s="864" t="e" cm="1">
        <f t="array" ref="B18">INDEX(SheetNames,A18)</f>
        <v>#NAME?</v>
      </c>
      <c r="C18" s="2"/>
      <c r="D18" s="2"/>
      <c r="E18" s="2"/>
      <c r="F18" s="2"/>
      <c r="G18" s="2"/>
      <c r="H18" s="2"/>
    </row>
    <row r="19" spans="1:8" ht="15.75" x14ac:dyDescent="0.25">
      <c r="A19" s="3">
        <f>MAX($A$9:A18)+1</f>
        <v>11</v>
      </c>
      <c r="B19" s="864" t="e" cm="1">
        <f t="array" ref="B19">INDEX(SheetNames,A19)</f>
        <v>#NAME?</v>
      </c>
      <c r="C19" s="2"/>
      <c r="D19" s="2"/>
      <c r="E19" s="2"/>
      <c r="F19" s="2"/>
      <c r="G19" s="2"/>
      <c r="H19" s="2"/>
    </row>
    <row r="20" spans="1:8" ht="15.75" x14ac:dyDescent="0.25">
      <c r="A20" s="3">
        <f>MAX($A$9:A19)+1</f>
        <v>12</v>
      </c>
      <c r="B20" s="864" t="e" cm="1">
        <f t="array" ref="B20">INDEX(SheetNames,A20)</f>
        <v>#NAME?</v>
      </c>
      <c r="C20" s="2"/>
      <c r="D20" s="2"/>
      <c r="E20" s="2"/>
      <c r="F20" s="2"/>
      <c r="G20" s="2"/>
      <c r="H20" s="2"/>
    </row>
    <row r="21" spans="1:8" ht="15.75" x14ac:dyDescent="0.25">
      <c r="A21" s="3">
        <f>MAX($A$9:A20)+1</f>
        <v>13</v>
      </c>
      <c r="B21" s="864" t="e" cm="1">
        <f t="array" ref="B21">INDEX(SheetNames,A21)</f>
        <v>#NAME?</v>
      </c>
      <c r="C21" s="2"/>
      <c r="D21" s="2"/>
      <c r="E21" s="2"/>
      <c r="F21" s="2"/>
      <c r="G21" s="2"/>
      <c r="H21" s="2"/>
    </row>
    <row r="22" spans="1:8" ht="15.75" x14ac:dyDescent="0.25">
      <c r="A22" s="3">
        <f>MAX($A$9:A21)+1</f>
        <v>14</v>
      </c>
      <c r="B22" s="864" t="e" cm="1">
        <f t="array" ref="B22">INDEX(SheetNames,A22)</f>
        <v>#NAME?</v>
      </c>
      <c r="C22" s="2"/>
      <c r="D22" s="2"/>
      <c r="E22" s="2"/>
      <c r="F22" s="2"/>
      <c r="G22" s="2"/>
      <c r="H22" s="2"/>
    </row>
    <row r="23" spans="1:8" ht="15.75" x14ac:dyDescent="0.25">
      <c r="A23" s="3">
        <f>MAX($A$9:A22)+1</f>
        <v>15</v>
      </c>
      <c r="B23" s="864" t="e" cm="1">
        <f t="array" ref="B23">INDEX(SheetNames,A23)</f>
        <v>#NAME?</v>
      </c>
      <c r="C23" s="2"/>
      <c r="D23" s="2"/>
      <c r="E23" s="2"/>
      <c r="F23" s="2"/>
      <c r="G23" s="2"/>
      <c r="H23" s="2"/>
    </row>
    <row r="24" spans="1:8" ht="15.75" x14ac:dyDescent="0.25">
      <c r="A24" s="3">
        <f>MAX($A$9:A23)+1</f>
        <v>16</v>
      </c>
      <c r="B24" s="864" t="e" cm="1">
        <f t="array" ref="B24">INDEX(SheetNames,A24)</f>
        <v>#NAME?</v>
      </c>
      <c r="C24" s="2"/>
      <c r="D24" s="2"/>
      <c r="E24" s="2"/>
      <c r="F24" s="2"/>
      <c r="G24" s="2"/>
      <c r="H24" s="2"/>
    </row>
    <row r="25" spans="1:8" ht="15.75" x14ac:dyDescent="0.25">
      <c r="A25" s="3">
        <f>MAX($A$9:A24)+1</f>
        <v>17</v>
      </c>
      <c r="B25" s="864" t="e" cm="1">
        <f t="array" ref="B25">INDEX(SheetNames,A25)</f>
        <v>#NAME?</v>
      </c>
      <c r="C25" s="2"/>
      <c r="D25" s="2"/>
      <c r="E25" s="2"/>
      <c r="F25" s="2"/>
      <c r="G25" s="2"/>
      <c r="H25" s="2"/>
    </row>
    <row r="26" spans="1:8" ht="15.75" x14ac:dyDescent="0.25">
      <c r="A26" s="3">
        <f>MAX($A$9:A25)+1</f>
        <v>18</v>
      </c>
      <c r="B26" s="864" t="e" cm="1">
        <f t="array" ref="B26">INDEX(SheetNames,A26)</f>
        <v>#NAME?</v>
      </c>
      <c r="C26" s="2"/>
      <c r="D26" s="2"/>
      <c r="E26" s="2"/>
      <c r="F26" s="2"/>
      <c r="G26" s="2"/>
      <c r="H26" s="2"/>
    </row>
    <row r="27" spans="1:8" ht="15.75" x14ac:dyDescent="0.25">
      <c r="A27" s="3">
        <f>MAX($A$9:A26)+1</f>
        <v>19</v>
      </c>
      <c r="B27" s="864" t="e" cm="1">
        <f t="array" ref="B27">INDEX(SheetNames,A27)</f>
        <v>#NAME?</v>
      </c>
      <c r="C27" s="2"/>
      <c r="D27" s="2"/>
      <c r="E27" s="2"/>
      <c r="F27" s="2"/>
      <c r="G27" s="2"/>
      <c r="H27" s="2"/>
    </row>
    <row r="28" spans="1:8" ht="15.75" x14ac:dyDescent="0.25">
      <c r="A28" s="3">
        <f>MAX($A$9:A27)+1</f>
        <v>20</v>
      </c>
      <c r="B28" s="864" t="e" cm="1">
        <f t="array" ref="B28">INDEX(SheetNames,A28)</f>
        <v>#NAME?</v>
      </c>
      <c r="C28" s="2"/>
      <c r="D28" s="2"/>
      <c r="E28" s="2"/>
      <c r="F28" s="2"/>
      <c r="G28" s="2"/>
      <c r="H28" s="2"/>
    </row>
    <row r="29" spans="1:8" ht="15.75" x14ac:dyDescent="0.25">
      <c r="A29" s="3">
        <f>MAX($A$9:A28)+1</f>
        <v>21</v>
      </c>
      <c r="B29" s="864" t="e" cm="1">
        <f t="array" ref="B29">INDEX(SheetNames,A29)</f>
        <v>#NAME?</v>
      </c>
      <c r="C29" s="2"/>
      <c r="D29" s="2"/>
      <c r="E29" s="2"/>
      <c r="F29" s="2"/>
      <c r="G29" s="2"/>
      <c r="H29" s="2"/>
    </row>
    <row r="30" spans="1:8" ht="15.75" x14ac:dyDescent="0.25">
      <c r="A30" s="3">
        <f>MAX($A$9:A29)+1</f>
        <v>22</v>
      </c>
      <c r="B30" s="864" t="e" cm="1">
        <f t="array" ref="B30">INDEX(SheetNames,A30)</f>
        <v>#NAME?</v>
      </c>
      <c r="C30" s="2"/>
      <c r="D30" s="2"/>
      <c r="E30" s="2"/>
      <c r="F30" s="2"/>
      <c r="G30" s="2"/>
      <c r="H30" s="2"/>
    </row>
    <row r="31" spans="1:8" ht="15.75" x14ac:dyDescent="0.25">
      <c r="A31" s="3">
        <f>MAX($A$9:A30)+1</f>
        <v>23</v>
      </c>
      <c r="B31" s="864" t="e" cm="1">
        <f t="array" ref="B31">INDEX(SheetNames,A31)</f>
        <v>#NAME?</v>
      </c>
      <c r="C31" s="2"/>
      <c r="D31" s="2"/>
      <c r="E31" s="2"/>
      <c r="F31" s="2"/>
      <c r="G31" s="2"/>
      <c r="H31" s="2"/>
    </row>
    <row r="32" spans="1:8" ht="15.75" x14ac:dyDescent="0.25">
      <c r="A32" s="3">
        <f>MAX($A$9:A31)+1</f>
        <v>24</v>
      </c>
      <c r="B32" s="864" t="e" cm="1">
        <f t="array" ref="B32">INDEX(SheetNames,A32)</f>
        <v>#NAME?</v>
      </c>
      <c r="C32" s="2"/>
      <c r="D32" s="2"/>
      <c r="E32" s="2"/>
      <c r="F32" s="2"/>
      <c r="G32" s="2"/>
      <c r="H32" s="2"/>
    </row>
    <row r="33" spans="1:8" ht="15.75" x14ac:dyDescent="0.25">
      <c r="A33" s="3">
        <f>MAX($A$9:A32)+1</f>
        <v>25</v>
      </c>
      <c r="B33" s="864" t="e" cm="1">
        <f t="array" ref="B33">INDEX(SheetNames,A33)</f>
        <v>#NAME?</v>
      </c>
      <c r="C33" s="2"/>
      <c r="D33" s="2"/>
      <c r="E33" s="2"/>
      <c r="F33" s="2"/>
      <c r="G33" s="2"/>
      <c r="H33" s="2"/>
    </row>
    <row r="34" spans="1:8" ht="15.75" x14ac:dyDescent="0.25">
      <c r="A34" s="3">
        <f>MAX($A$9:A33)+1</f>
        <v>26</v>
      </c>
      <c r="B34" s="864" t="e" cm="1">
        <f t="array" ref="B34">INDEX(SheetNames,A34)</f>
        <v>#NAME?</v>
      </c>
      <c r="C34" s="2"/>
      <c r="D34" s="2"/>
      <c r="E34" s="2"/>
      <c r="F34" s="2"/>
      <c r="G34" s="2"/>
      <c r="H34" s="2"/>
    </row>
    <row r="35" spans="1:8" ht="15.75" x14ac:dyDescent="0.25">
      <c r="A35" s="3">
        <f>MAX($A$9:A34)+1</f>
        <v>27</v>
      </c>
      <c r="B35" s="864" t="e" cm="1">
        <f t="array" ref="B35">INDEX(SheetNames,A35)</f>
        <v>#NAME?</v>
      </c>
      <c r="C35" s="2"/>
      <c r="D35" s="2"/>
      <c r="E35" s="2"/>
      <c r="F35" s="2"/>
      <c r="G35" s="2"/>
      <c r="H35" s="2"/>
    </row>
    <row r="36" spans="1:8" ht="15.75" x14ac:dyDescent="0.25">
      <c r="A36" s="3">
        <f>MAX($A$9:A35)+1</f>
        <v>28</v>
      </c>
      <c r="B36" s="864" t="e" cm="1">
        <f t="array" ref="B36">INDEX(SheetNames,A36)</f>
        <v>#NAME?</v>
      </c>
      <c r="C36" s="2"/>
      <c r="D36" s="2"/>
      <c r="E36" s="2"/>
      <c r="F36" s="2"/>
      <c r="G36" s="2"/>
      <c r="H36" s="2"/>
    </row>
    <row r="37" spans="1:8" ht="15.75" x14ac:dyDescent="0.25">
      <c r="A37" s="3">
        <f>MAX($A$9:A36)+1</f>
        <v>29</v>
      </c>
      <c r="B37" s="864" t="e" cm="1">
        <f t="array" ref="B37">INDEX(SheetNames,A37)</f>
        <v>#NAME?</v>
      </c>
      <c r="C37" s="2"/>
      <c r="D37" s="2"/>
      <c r="E37" s="2"/>
      <c r="F37" s="2"/>
      <c r="G37" s="2"/>
      <c r="H37" s="2"/>
    </row>
    <row r="38" spans="1:8" ht="15.75" x14ac:dyDescent="0.25">
      <c r="A38" s="3">
        <f>MAX($A$9:A37)+1</f>
        <v>30</v>
      </c>
      <c r="B38" s="864" t="e" cm="1">
        <f t="array" ref="B38">INDEX(SheetNames,A38)</f>
        <v>#NAME?</v>
      </c>
      <c r="C38" s="2"/>
      <c r="D38" s="2"/>
      <c r="E38" s="2"/>
      <c r="F38" s="2"/>
      <c r="G38" s="2"/>
      <c r="H38" s="2"/>
    </row>
    <row r="39" spans="1:8" ht="15.75" x14ac:dyDescent="0.25">
      <c r="A39" s="3">
        <f>MAX($A$9:A38)+1</f>
        <v>31</v>
      </c>
      <c r="B39" s="864" t="e" cm="1">
        <f t="array" ref="B39">INDEX(SheetNames,A39)</f>
        <v>#NAME?</v>
      </c>
      <c r="C39" s="2"/>
      <c r="D39" s="2"/>
      <c r="E39" s="2"/>
      <c r="F39" s="2"/>
      <c r="G39" s="2"/>
      <c r="H39" s="2"/>
    </row>
    <row r="40" spans="1:8" ht="15.75" x14ac:dyDescent="0.25">
      <c r="A40" s="3">
        <f>MAX($A$9:A39)+1</f>
        <v>32</v>
      </c>
      <c r="B40" s="864" t="e" cm="1">
        <f t="array" ref="B40">INDEX(SheetNames,A40)</f>
        <v>#NAME?</v>
      </c>
      <c r="C40" s="2"/>
      <c r="D40" s="2"/>
      <c r="E40" s="2"/>
      <c r="F40" s="2"/>
      <c r="G40" s="2"/>
      <c r="H40" s="2"/>
    </row>
    <row r="41" spans="1:8" ht="15.75" x14ac:dyDescent="0.25">
      <c r="A41" s="3">
        <f>MAX($A$9:A40)+1</f>
        <v>33</v>
      </c>
      <c r="B41" s="864" t="e" cm="1">
        <f t="array" ref="B41">INDEX(SheetNames,A41)</f>
        <v>#NAME?</v>
      </c>
      <c r="C41" s="2"/>
      <c r="D41" s="2"/>
      <c r="E41" s="2"/>
      <c r="F41" s="2"/>
      <c r="G41" s="2"/>
      <c r="H41" s="2"/>
    </row>
    <row r="42" spans="1:8" ht="15.75" x14ac:dyDescent="0.25">
      <c r="A42" s="3">
        <f>MAX($A$9:A41)+1</f>
        <v>34</v>
      </c>
      <c r="B42" s="864" t="e" cm="1">
        <f t="array" ref="B42">INDEX(SheetNames,A42)</f>
        <v>#NAME?</v>
      </c>
      <c r="C42" s="2"/>
      <c r="D42" s="2"/>
      <c r="E42" s="2"/>
      <c r="F42" s="2"/>
      <c r="G42" s="2"/>
      <c r="H42" s="2"/>
    </row>
    <row r="43" spans="1:8" ht="15.75" x14ac:dyDescent="0.25">
      <c r="A43" s="3">
        <f>MAX($A$9:A42)+1</f>
        <v>35</v>
      </c>
      <c r="B43" s="864" t="e" cm="1">
        <f t="array" ref="B43">INDEX(SheetNames,A43)</f>
        <v>#NAME?</v>
      </c>
      <c r="C43" s="2"/>
      <c r="D43" s="2"/>
      <c r="E43" s="2"/>
      <c r="F43" s="2"/>
      <c r="G43" s="2"/>
      <c r="H43" s="2"/>
    </row>
    <row r="44" spans="1:8" ht="15.75" x14ac:dyDescent="0.25">
      <c r="A44" s="3">
        <f>MAX($A$9:A43)+1</f>
        <v>36</v>
      </c>
      <c r="B44" s="864" t="e" cm="1">
        <f t="array" ref="B44">INDEX(SheetNames,A44)</f>
        <v>#NAME?</v>
      </c>
      <c r="C44" s="2"/>
      <c r="D44" s="2"/>
      <c r="E44" s="2"/>
      <c r="F44" s="2"/>
      <c r="G44" s="2"/>
      <c r="H44" s="2"/>
    </row>
    <row r="45" spans="1:8" ht="15.75" x14ac:dyDescent="0.25">
      <c r="A45" s="3">
        <f>MAX($A$9:A44)+1</f>
        <v>37</v>
      </c>
      <c r="B45" s="864" t="e" cm="1">
        <f t="array" ref="B45">INDEX(SheetNames,A45)</f>
        <v>#NAME?</v>
      </c>
      <c r="C45" s="2"/>
      <c r="D45" s="2"/>
      <c r="E45" s="2"/>
      <c r="F45" s="2"/>
      <c r="G45" s="2"/>
      <c r="H45" s="2"/>
    </row>
    <row r="46" spans="1:8" ht="15.75" x14ac:dyDescent="0.25">
      <c r="A46" s="3">
        <f>MAX($A$9:A45)+1</f>
        <v>38</v>
      </c>
      <c r="B46" s="864" t="e" cm="1">
        <f t="array" ref="B46">INDEX(SheetNames,A46)</f>
        <v>#NAME?</v>
      </c>
      <c r="C46" s="2"/>
      <c r="D46" s="2"/>
      <c r="E46" s="2"/>
      <c r="F46" s="2"/>
      <c r="G46" s="2"/>
      <c r="H46" s="2"/>
    </row>
    <row r="47" spans="1:8" ht="15.75" x14ac:dyDescent="0.25">
      <c r="A47" s="3">
        <f>MAX($A$9:A46)+1</f>
        <v>39</v>
      </c>
      <c r="B47" s="864" t="e" cm="1">
        <f t="array" ref="B47">INDEX(SheetNames,A47)</f>
        <v>#NAME?</v>
      </c>
      <c r="C47" s="2"/>
      <c r="D47" s="2"/>
      <c r="E47" s="2"/>
      <c r="F47" s="2"/>
      <c r="G47" s="2"/>
      <c r="H47" s="2"/>
    </row>
    <row r="48" spans="1:8" ht="15.75" x14ac:dyDescent="0.25">
      <c r="A48" s="3">
        <f>MAX($A$9:A47)+1</f>
        <v>40</v>
      </c>
      <c r="B48" s="864" t="e" cm="1">
        <f t="array" ref="B48">INDEX(SheetNames,A48)</f>
        <v>#NAME?</v>
      </c>
      <c r="C48" s="2"/>
      <c r="D48" s="2"/>
      <c r="E48" s="2"/>
      <c r="F48" s="2"/>
      <c r="G48" s="2"/>
      <c r="H48" s="2"/>
    </row>
    <row r="49" spans="1:8" ht="15.75" x14ac:dyDescent="0.25">
      <c r="A49" s="3">
        <f>MAX($A$9:A48)+1</f>
        <v>41</v>
      </c>
      <c r="B49" s="864" t="e" cm="1">
        <f t="array" ref="B49">INDEX(SheetNames,A49)</f>
        <v>#NAME?</v>
      </c>
      <c r="C49" s="2"/>
      <c r="D49" s="2"/>
      <c r="E49" s="2"/>
      <c r="F49" s="2"/>
      <c r="G49" s="2"/>
      <c r="H49" s="2"/>
    </row>
    <row r="50" spans="1:8" ht="15.75" x14ac:dyDescent="0.25">
      <c r="A50" s="3">
        <f>MAX($A$9:A49)+1</f>
        <v>42</v>
      </c>
      <c r="B50" s="864" t="e" cm="1">
        <f t="array" ref="B50">INDEX(SheetNames,A50)</f>
        <v>#NAME?</v>
      </c>
      <c r="C50" s="2"/>
      <c r="D50" s="2"/>
      <c r="E50" s="2"/>
      <c r="F50" s="2"/>
      <c r="G50" s="2"/>
      <c r="H50" s="2"/>
    </row>
    <row r="51" spans="1:8" ht="15.75" x14ac:dyDescent="0.25">
      <c r="A51" s="3">
        <f>MAX($A$9:A50)+1</f>
        <v>43</v>
      </c>
      <c r="B51" s="864" t="e" cm="1">
        <f t="array" ref="B51">INDEX(SheetNames,A51)</f>
        <v>#NAME?</v>
      </c>
      <c r="C51" s="2"/>
      <c r="D51" s="2"/>
      <c r="E51" s="2"/>
      <c r="F51" s="2"/>
      <c r="G51" s="2"/>
      <c r="H51" s="2"/>
    </row>
    <row r="52" spans="1:8" ht="15.75" x14ac:dyDescent="0.25">
      <c r="A52" s="3">
        <f>MAX($A$9:A51)+1</f>
        <v>44</v>
      </c>
      <c r="B52" s="864" t="e" cm="1">
        <f t="array" ref="B52">INDEX(SheetNames,A52)</f>
        <v>#NAME?</v>
      </c>
      <c r="C52" s="2"/>
      <c r="D52" s="2"/>
      <c r="E52" s="2"/>
      <c r="F52" s="2"/>
      <c r="G52" s="2"/>
      <c r="H52" s="2"/>
    </row>
    <row r="53" spans="1:8" ht="15.75" x14ac:dyDescent="0.25">
      <c r="A53" s="3">
        <f>MAX($A$9:A52)+1</f>
        <v>45</v>
      </c>
      <c r="B53" s="864" t="e" cm="1">
        <f t="array" ref="B53">INDEX(SheetNames,A53)</f>
        <v>#NAME?</v>
      </c>
      <c r="C53" s="2"/>
      <c r="D53" s="2"/>
      <c r="E53" s="2"/>
      <c r="F53" s="2"/>
      <c r="G53" s="2"/>
      <c r="H53" s="2"/>
    </row>
    <row r="54" spans="1:8" ht="15.75" x14ac:dyDescent="0.25">
      <c r="A54" s="3">
        <f>MAX($A$9:A53)+1</f>
        <v>46</v>
      </c>
      <c r="B54" s="864" t="e" cm="1">
        <f t="array" ref="B54">INDEX(SheetNames,A54)</f>
        <v>#NAME?</v>
      </c>
      <c r="C54" s="2"/>
      <c r="D54" s="2"/>
      <c r="E54" s="2"/>
      <c r="F54" s="2"/>
      <c r="G54" s="2"/>
      <c r="H54" s="2"/>
    </row>
    <row r="55" spans="1:8" ht="15.75" x14ac:dyDescent="0.25">
      <c r="A55" s="3">
        <f>MAX($A$9:A54)+1</f>
        <v>47</v>
      </c>
      <c r="B55" s="864" t="e" cm="1">
        <f t="array" ref="B55">INDEX(SheetNames,A55)</f>
        <v>#NAME?</v>
      </c>
      <c r="C55" s="2"/>
      <c r="D55" s="2"/>
      <c r="E55" s="2"/>
      <c r="F55" s="2"/>
      <c r="G55" s="2"/>
      <c r="H55" s="2"/>
    </row>
    <row r="56" spans="1:8" ht="15.75" x14ac:dyDescent="0.25">
      <c r="A56" s="3">
        <f>MAX($A$9:A55)+1</f>
        <v>48</v>
      </c>
      <c r="B56" s="864" t="e" cm="1">
        <f t="array" ref="B56">INDEX(SheetNames,A56)</f>
        <v>#NAME?</v>
      </c>
      <c r="C56" s="2"/>
      <c r="D56" s="2"/>
      <c r="E56" s="2"/>
      <c r="F56" s="2"/>
      <c r="G56" s="2"/>
      <c r="H56" s="2"/>
    </row>
    <row r="57" spans="1:8" ht="15.75" x14ac:dyDescent="0.25">
      <c r="A57" s="3">
        <f>MAX($A$9:A56)+1</f>
        <v>49</v>
      </c>
      <c r="B57" s="864" t="e" cm="1">
        <f t="array" ref="B57">INDEX(SheetNames,A57)</f>
        <v>#NAME?</v>
      </c>
      <c r="C57" s="2"/>
      <c r="D57" s="2"/>
      <c r="E57" s="2"/>
      <c r="F57" s="2"/>
      <c r="G57" s="2"/>
      <c r="H57" s="2"/>
    </row>
    <row r="58" spans="1:8" ht="15.75" x14ac:dyDescent="0.25">
      <c r="A58" s="3">
        <f>MAX($A$9:A57)+1</f>
        <v>50</v>
      </c>
      <c r="B58" s="864" t="e" cm="1">
        <f t="array" ref="B58">INDEX(SheetNames,A58)</f>
        <v>#NAME?</v>
      </c>
      <c r="C58" s="2"/>
      <c r="D58" s="2"/>
      <c r="E58" s="2"/>
      <c r="F58" s="2"/>
      <c r="G58" s="2"/>
      <c r="H58" s="2"/>
    </row>
    <row r="59" spans="1:8" ht="15.75" x14ac:dyDescent="0.25">
      <c r="A59" s="3">
        <f>MAX($A$9:A58)+1</f>
        <v>51</v>
      </c>
      <c r="B59" s="864" t="e" cm="1">
        <f t="array" ref="B59">INDEX(SheetNames,A59)</f>
        <v>#NAME?</v>
      </c>
      <c r="C59" s="2"/>
      <c r="D59" s="2"/>
      <c r="E59" s="2"/>
      <c r="F59" s="2"/>
      <c r="G59" s="2"/>
      <c r="H59" s="2"/>
    </row>
    <row r="60" spans="1:8" ht="15.75" x14ac:dyDescent="0.25">
      <c r="A60" s="3">
        <f>MAX($A$9:A59)+1</f>
        <v>52</v>
      </c>
      <c r="B60" s="864" t="e" cm="1">
        <f t="array" ref="B60">INDEX(SheetNames,A60)</f>
        <v>#NAME?</v>
      </c>
      <c r="C60" s="2"/>
      <c r="D60" s="2"/>
      <c r="E60" s="2"/>
      <c r="F60" s="2"/>
      <c r="G60" s="2"/>
      <c r="H60" s="2"/>
    </row>
    <row r="61" spans="1:8" ht="15.75" x14ac:dyDescent="0.25">
      <c r="A61" s="3">
        <f>MAX($A$9:A60)+1</f>
        <v>53</v>
      </c>
      <c r="B61" s="864" t="e" cm="1">
        <f t="array" ref="B61">INDEX(SheetNames,A61)</f>
        <v>#NAME?</v>
      </c>
      <c r="C61" s="2"/>
      <c r="D61" s="2"/>
      <c r="E61" s="2"/>
      <c r="F61" s="2"/>
      <c r="G61" s="2"/>
      <c r="H61" s="2"/>
    </row>
    <row r="62" spans="1:8" ht="15.75" x14ac:dyDescent="0.25">
      <c r="A62" s="3">
        <f>MAX($A$9:A61)+1</f>
        <v>54</v>
      </c>
      <c r="B62" s="864" t="e" cm="1">
        <f t="array" ref="B62">INDEX(SheetNames,A62)</f>
        <v>#NAME?</v>
      </c>
      <c r="C62" s="2"/>
      <c r="D62" s="2"/>
      <c r="E62" s="2"/>
      <c r="F62" s="2"/>
      <c r="G62" s="2"/>
      <c r="H62" s="2"/>
    </row>
    <row r="63" spans="1:8" ht="15.75" x14ac:dyDescent="0.25">
      <c r="A63" s="3">
        <f>MAX($A$9:A62)+1</f>
        <v>55</v>
      </c>
      <c r="B63" s="864" t="e" cm="1">
        <f t="array" ref="B63">INDEX(SheetNames,A63)</f>
        <v>#NAME?</v>
      </c>
      <c r="C63" s="2"/>
      <c r="D63" s="2"/>
      <c r="E63" s="2"/>
      <c r="F63" s="2"/>
      <c r="G63" s="2"/>
      <c r="H63" s="2"/>
    </row>
    <row r="64" spans="1:8" ht="15.75" x14ac:dyDescent="0.25">
      <c r="A64" s="3">
        <f>MAX($A$9:A63)+1</f>
        <v>56</v>
      </c>
      <c r="B64" s="864" t="e" cm="1">
        <f t="array" ref="B64">INDEX(SheetNames,A64)</f>
        <v>#NAME?</v>
      </c>
      <c r="C64" s="2"/>
      <c r="D64" s="2"/>
      <c r="E64" s="2"/>
      <c r="F64" s="2"/>
      <c r="G64" s="2"/>
      <c r="H64" s="2"/>
    </row>
    <row r="65" spans="1:8" ht="15.75" x14ac:dyDescent="0.25">
      <c r="A65" s="3">
        <f>MAX($A$9:A64)+1</f>
        <v>57</v>
      </c>
      <c r="B65" s="864" t="e" cm="1">
        <f t="array" ref="B65">INDEX(SheetNames,A65)</f>
        <v>#NAME?</v>
      </c>
      <c r="C65" s="2"/>
      <c r="D65" s="2"/>
      <c r="E65" s="2"/>
      <c r="F65" s="2"/>
      <c r="G65" s="2"/>
      <c r="H65" s="2"/>
    </row>
    <row r="66" spans="1:8" ht="15.75" x14ac:dyDescent="0.25">
      <c r="A66" s="3">
        <f>MAX($A$9:A65)+1</f>
        <v>58</v>
      </c>
      <c r="B66" s="864" t="e" cm="1">
        <f t="array" ref="B66">INDEX(SheetNames,A66)</f>
        <v>#NAME?</v>
      </c>
      <c r="C66" s="2"/>
      <c r="D66" s="2"/>
      <c r="E66" s="2"/>
      <c r="F66" s="2"/>
      <c r="G66" s="2"/>
      <c r="H66" s="2"/>
    </row>
    <row r="67" spans="1:8" ht="15.75" x14ac:dyDescent="0.25">
      <c r="A67" s="3">
        <f>MAX($A$9:A66)+1</f>
        <v>59</v>
      </c>
      <c r="B67" s="864" t="e" cm="1">
        <f t="array" ref="B67">INDEX(SheetNames,A67)</f>
        <v>#NAME?</v>
      </c>
      <c r="C67" s="2"/>
      <c r="D67" s="2"/>
      <c r="E67" s="2"/>
      <c r="F67" s="2"/>
      <c r="G67" s="2"/>
      <c r="H67" s="2"/>
    </row>
    <row r="68" spans="1:8" ht="15.75" x14ac:dyDescent="0.25">
      <c r="A68" s="3">
        <f>MAX($A$9:A67)+1</f>
        <v>60</v>
      </c>
      <c r="B68" s="864" t="e" cm="1">
        <f t="array" ref="B68">INDEX(SheetNames,A68)</f>
        <v>#NAME?</v>
      </c>
      <c r="C68" s="2"/>
      <c r="D68" s="2"/>
      <c r="E68" s="2"/>
      <c r="F68" s="2"/>
      <c r="G68" s="2"/>
      <c r="H68" s="2"/>
    </row>
    <row r="69" spans="1:8" ht="15.75" x14ac:dyDescent="0.25">
      <c r="A69" s="3">
        <f>MAX($A$9:A68)+1</f>
        <v>61</v>
      </c>
      <c r="B69" s="864" t="e" cm="1">
        <f t="array" ref="B69">INDEX(SheetNames,A69)</f>
        <v>#NAME?</v>
      </c>
      <c r="C69" s="2"/>
      <c r="D69" s="2"/>
      <c r="E69" s="2"/>
      <c r="F69" s="2"/>
      <c r="G69" s="2"/>
      <c r="H69" s="2"/>
    </row>
    <row r="70" spans="1:8" ht="15.75" x14ac:dyDescent="0.25">
      <c r="A70" s="3">
        <f>MAX($A$9:A69)+1</f>
        <v>62</v>
      </c>
      <c r="B70" s="864" t="e" cm="1">
        <f t="array" ref="B70">INDEX(SheetNames,A70)</f>
        <v>#NAME?</v>
      </c>
      <c r="C70" s="2"/>
      <c r="D70" s="2"/>
      <c r="E70" s="2"/>
      <c r="F70" s="2"/>
      <c r="G70" s="2"/>
      <c r="H70" s="2"/>
    </row>
    <row r="71" spans="1:8" ht="15.75" x14ac:dyDescent="0.25">
      <c r="A71" s="3">
        <f>MAX($A$9:A70)+1</f>
        <v>63</v>
      </c>
      <c r="B71" s="864" t="e" cm="1">
        <f t="array" ref="B71">INDEX(SheetNames,A71)</f>
        <v>#NAME?</v>
      </c>
      <c r="C71" s="2"/>
      <c r="D71" s="2"/>
      <c r="E71" s="2"/>
      <c r="F71" s="2"/>
      <c r="G71" s="2"/>
      <c r="H71" s="2"/>
    </row>
    <row r="72" spans="1:8" ht="15.75" x14ac:dyDescent="0.25">
      <c r="A72" s="3">
        <f>MAX($A$9:A71)+1</f>
        <v>64</v>
      </c>
      <c r="B72" s="864" t="e" cm="1">
        <f t="array" ref="B72">INDEX(SheetNames,A72)</f>
        <v>#NAME?</v>
      </c>
      <c r="C72" s="2"/>
      <c r="D72" s="2"/>
      <c r="E72" s="2"/>
      <c r="F72" s="2"/>
      <c r="G72" s="2"/>
      <c r="H72" s="2"/>
    </row>
    <row r="73" spans="1:8" ht="15.75" x14ac:dyDescent="0.25">
      <c r="A73" s="3">
        <f>MAX($A$9:A72)+1</f>
        <v>65</v>
      </c>
      <c r="B73" s="864" t="e" cm="1">
        <f t="array" ref="B73">INDEX(SheetNames,A73)</f>
        <v>#NAME?</v>
      </c>
      <c r="C73" s="2"/>
      <c r="D73" s="2"/>
      <c r="E73" s="2"/>
      <c r="F73" s="2"/>
      <c r="G73" s="2"/>
      <c r="H73" s="2"/>
    </row>
    <row r="74" spans="1:8" ht="15.75" x14ac:dyDescent="0.25">
      <c r="A74" s="3">
        <f>MAX($A$9:A73)+1</f>
        <v>66</v>
      </c>
      <c r="B74" s="864" t="e" cm="1">
        <f t="array" ref="B74">INDEX(SheetNames,A74)</f>
        <v>#NAME?</v>
      </c>
      <c r="C74" s="2"/>
      <c r="D74" s="2"/>
      <c r="E74" s="2"/>
      <c r="F74" s="2"/>
      <c r="G74" s="2"/>
      <c r="H74" s="2"/>
    </row>
    <row r="75" spans="1:8" ht="15.75" x14ac:dyDescent="0.25">
      <c r="A75" s="3">
        <f>MAX($A$9:A74)+1</f>
        <v>67</v>
      </c>
      <c r="B75" s="864" t="e" cm="1">
        <f t="array" ref="B75">INDEX(SheetNames,A75)</f>
        <v>#NAME?</v>
      </c>
      <c r="C75" s="2"/>
      <c r="D75" s="2"/>
      <c r="E75" s="2"/>
      <c r="F75" s="2"/>
      <c r="G75" s="2"/>
      <c r="H75" s="2"/>
    </row>
    <row r="76" spans="1:8" ht="15.75" x14ac:dyDescent="0.25">
      <c r="A76" s="3">
        <f>MAX($A$9:A75)+1</f>
        <v>68</v>
      </c>
      <c r="B76" s="864" t="e" cm="1">
        <f t="array" ref="B76">INDEX(SheetNames,A76)</f>
        <v>#NAME?</v>
      </c>
      <c r="C76" s="2"/>
      <c r="D76" s="2"/>
      <c r="E76" s="2"/>
      <c r="F76" s="2"/>
      <c r="G76" s="2"/>
      <c r="H76" s="2"/>
    </row>
    <row r="77" spans="1:8" ht="15.75" x14ac:dyDescent="0.25">
      <c r="A77" s="3">
        <f>MAX($A$9:A76)+1</f>
        <v>69</v>
      </c>
      <c r="B77" s="864" t="e" cm="1">
        <f t="array" ref="B77">INDEX(SheetNames,A77)</f>
        <v>#NAME?</v>
      </c>
      <c r="C77" s="2"/>
      <c r="D77" s="2"/>
      <c r="E77" s="2"/>
      <c r="F77" s="2"/>
      <c r="G77" s="2"/>
      <c r="H77" s="2"/>
    </row>
    <row r="78" spans="1:8" ht="15.75" x14ac:dyDescent="0.25">
      <c r="A78" s="3">
        <f>MAX($A$9:A77)+1</f>
        <v>70</v>
      </c>
      <c r="B78" s="864" t="e" cm="1">
        <f t="array" ref="B78">INDEX(SheetNames,A78)</f>
        <v>#NAME?</v>
      </c>
      <c r="C78" s="2"/>
      <c r="D78" s="2"/>
      <c r="E78" s="2"/>
      <c r="F78" s="2"/>
      <c r="G78" s="2"/>
      <c r="H78" s="2"/>
    </row>
    <row r="79" spans="1:8" ht="15.75" x14ac:dyDescent="0.25">
      <c r="A79" s="3">
        <f>MAX($A$9:A78)+1</f>
        <v>71</v>
      </c>
      <c r="B79" s="864" t="e" cm="1">
        <f t="array" ref="B79">INDEX(SheetNames,A79)</f>
        <v>#NAME?</v>
      </c>
      <c r="C79" s="2"/>
      <c r="D79" s="2"/>
      <c r="E79" s="2"/>
      <c r="F79" s="2"/>
      <c r="G79" s="2"/>
      <c r="H79" s="2"/>
    </row>
    <row r="80" spans="1:8" ht="15.75" x14ac:dyDescent="0.25">
      <c r="A80" s="3">
        <f>MAX($A$9:A79)+1</f>
        <v>72</v>
      </c>
      <c r="B80" s="864" t="e" cm="1">
        <f t="array" ref="B80">INDEX(SheetNames,A80)</f>
        <v>#NAME?</v>
      </c>
      <c r="C80" s="2"/>
      <c r="D80" s="2"/>
      <c r="E80" s="2"/>
      <c r="F80" s="2"/>
      <c r="G80" s="2"/>
      <c r="H80" s="2"/>
    </row>
    <row r="81" spans="1:8" ht="15.75" x14ac:dyDescent="0.25">
      <c r="A81" s="3">
        <f>MAX($A$9:A80)+1</f>
        <v>73</v>
      </c>
      <c r="B81" s="864" t="e" cm="1">
        <f t="array" ref="B81">INDEX(SheetNames,A81)</f>
        <v>#NAME?</v>
      </c>
      <c r="C81" s="2"/>
      <c r="D81" s="2"/>
      <c r="E81" s="2"/>
      <c r="F81" s="2"/>
      <c r="G81" s="2"/>
      <c r="H81" s="2"/>
    </row>
    <row r="82" spans="1:8" ht="15.75" x14ac:dyDescent="0.25">
      <c r="A82" s="3">
        <f>MAX($A$9:A81)+1</f>
        <v>74</v>
      </c>
      <c r="B82" s="864" t="e" cm="1">
        <f t="array" ref="B82">INDEX(SheetNames,A82)</f>
        <v>#NAME?</v>
      </c>
      <c r="C82" s="2"/>
      <c r="D82" s="2"/>
      <c r="E82" s="2"/>
      <c r="F82" s="2"/>
      <c r="G82" s="2"/>
      <c r="H82" s="2"/>
    </row>
    <row r="83" spans="1:8" ht="15.75" x14ac:dyDescent="0.25">
      <c r="A83" s="3">
        <f>MAX($A$9:A82)+1</f>
        <v>75</v>
      </c>
      <c r="B83" s="864" t="e" cm="1">
        <f t="array" ref="B83">INDEX(SheetNames,A83)</f>
        <v>#NAME?</v>
      </c>
      <c r="C83" s="2"/>
      <c r="D83" s="2"/>
      <c r="E83" s="2"/>
      <c r="F83" s="2"/>
      <c r="G83" s="2"/>
      <c r="H83" s="2"/>
    </row>
    <row r="84" spans="1:8" ht="15.75" x14ac:dyDescent="0.25">
      <c r="A84" s="3">
        <f>MAX($A$9:A83)+1</f>
        <v>76</v>
      </c>
      <c r="B84" s="864" t="e" cm="1">
        <f t="array" ref="B84">INDEX(SheetNames,A84)</f>
        <v>#NAME?</v>
      </c>
      <c r="C84" s="2"/>
      <c r="D84" s="2"/>
      <c r="E84" s="2"/>
      <c r="F84" s="2"/>
      <c r="G84" s="2"/>
      <c r="H84" s="2"/>
    </row>
    <row r="85" spans="1:8" ht="15.75" x14ac:dyDescent="0.25">
      <c r="A85" s="3">
        <f>MAX($A$9:A84)+1</f>
        <v>77</v>
      </c>
      <c r="B85" s="864" t="e" cm="1">
        <f t="array" ref="B85">INDEX(SheetNames,A85)</f>
        <v>#NAME?</v>
      </c>
      <c r="C85" s="2"/>
      <c r="D85" s="2"/>
      <c r="E85" s="2"/>
      <c r="F85" s="2"/>
      <c r="G85" s="2"/>
      <c r="H85" s="2"/>
    </row>
    <row r="86" spans="1:8" ht="15.75" x14ac:dyDescent="0.25">
      <c r="A86" s="3">
        <f>MAX($A$9:A85)+1</f>
        <v>78</v>
      </c>
      <c r="B86" s="864" t="e" cm="1">
        <f t="array" ref="B86">INDEX(SheetNames,A86)</f>
        <v>#NAME?</v>
      </c>
      <c r="C86" s="2"/>
      <c r="D86" s="2"/>
      <c r="E86" s="2"/>
      <c r="F86" s="2"/>
      <c r="G86" s="2"/>
      <c r="H86" s="2"/>
    </row>
    <row r="87" spans="1:8" ht="15.75" x14ac:dyDescent="0.25">
      <c r="A87" s="3">
        <f>MAX($A$9:A86)+1</f>
        <v>79</v>
      </c>
      <c r="B87" s="864" t="e" cm="1">
        <f t="array" ref="B87">INDEX(SheetNames,A87)</f>
        <v>#NAME?</v>
      </c>
      <c r="C87" s="2"/>
      <c r="D87" s="2"/>
      <c r="E87" s="2"/>
      <c r="F87" s="2"/>
      <c r="G87" s="2"/>
      <c r="H87" s="2"/>
    </row>
    <row r="88" spans="1:8" ht="15.75" x14ac:dyDescent="0.25">
      <c r="A88" s="3">
        <f>MAX($A$9:A87)+1</f>
        <v>80</v>
      </c>
      <c r="B88" s="864" t="e" cm="1">
        <f t="array" ref="B88">INDEX(SheetNames,A88)</f>
        <v>#NAME?</v>
      </c>
      <c r="C88" s="2"/>
      <c r="D88" s="2"/>
      <c r="E88" s="2"/>
      <c r="F88" s="2"/>
      <c r="G88" s="2"/>
      <c r="H88" s="2"/>
    </row>
    <row r="89" spans="1:8" ht="15.75" x14ac:dyDescent="0.25">
      <c r="A89" s="3">
        <f>MAX($A$9:A88)+1</f>
        <v>81</v>
      </c>
      <c r="B89" s="864" t="e" cm="1">
        <f t="array" ref="B89">INDEX(SheetNames,A89)</f>
        <v>#NAME?</v>
      </c>
      <c r="C89" s="2"/>
      <c r="D89" s="2"/>
      <c r="E89" s="2"/>
      <c r="F89" s="2"/>
      <c r="G89" s="2"/>
      <c r="H89" s="2"/>
    </row>
    <row r="90" spans="1:8" ht="15.75" x14ac:dyDescent="0.25">
      <c r="A90" s="3">
        <f>MAX($A$9:A89)+1</f>
        <v>82</v>
      </c>
      <c r="B90" s="864" t="e" cm="1">
        <f t="array" ref="B90">INDEX(SheetNames,A90)</f>
        <v>#NAME?</v>
      </c>
      <c r="C90" s="2"/>
      <c r="D90" s="2"/>
      <c r="E90" s="2"/>
      <c r="F90" s="2"/>
      <c r="G90" s="2"/>
      <c r="H90" s="2"/>
    </row>
    <row r="91" spans="1:8" ht="15.75" x14ac:dyDescent="0.25">
      <c r="A91" s="3">
        <f>MAX($A$9:A90)+1</f>
        <v>83</v>
      </c>
      <c r="B91" s="864" t="e" cm="1">
        <f t="array" ref="B91">INDEX(SheetNames,A91)</f>
        <v>#NAME?</v>
      </c>
      <c r="C91" s="2"/>
      <c r="D91" s="2"/>
      <c r="E91" s="2"/>
      <c r="F91" s="2"/>
      <c r="G91" s="2"/>
      <c r="H91" s="2"/>
    </row>
    <row r="92" spans="1:8" ht="15.75" x14ac:dyDescent="0.25">
      <c r="A92" s="3">
        <f>MAX($A$9:A91)+1</f>
        <v>84</v>
      </c>
      <c r="B92" s="864" t="e" cm="1">
        <f t="array" ref="B92">INDEX(SheetNames,A92)</f>
        <v>#NAME?</v>
      </c>
      <c r="C92" s="2"/>
      <c r="D92" s="2"/>
      <c r="E92" s="2"/>
      <c r="F92" s="2"/>
      <c r="G92" s="2"/>
      <c r="H92" s="2"/>
    </row>
    <row r="93" spans="1:8" ht="15.75" x14ac:dyDescent="0.25">
      <c r="A93" s="3">
        <f>MAX($A$9:A92)+1</f>
        <v>85</v>
      </c>
      <c r="B93" s="864" t="e" cm="1">
        <f t="array" ref="B93">INDEX(SheetNames,A93)</f>
        <v>#NAME?</v>
      </c>
      <c r="C93" s="2"/>
      <c r="D93" s="2"/>
      <c r="E93" s="2"/>
      <c r="F93" s="2"/>
      <c r="G93" s="2"/>
      <c r="H93" s="2"/>
    </row>
    <row r="94" spans="1:8" ht="15.75" x14ac:dyDescent="0.25">
      <c r="A94" s="3">
        <f>MAX($A$9:A93)+1</f>
        <v>86</v>
      </c>
      <c r="B94" s="864" t="e" cm="1">
        <f t="array" ref="B94">INDEX(SheetNames,A94)</f>
        <v>#NAME?</v>
      </c>
      <c r="C94" s="2"/>
      <c r="D94" s="2"/>
      <c r="E94" s="2"/>
      <c r="F94" s="2"/>
      <c r="G94" s="2"/>
      <c r="H94" s="2"/>
    </row>
    <row r="95" spans="1:8" ht="15.75" x14ac:dyDescent="0.25">
      <c r="A95" s="3">
        <f>MAX($A$9:A94)+1</f>
        <v>87</v>
      </c>
      <c r="B95" s="864" t="e" cm="1">
        <f t="array" ref="B95">INDEX(SheetNames,A95)</f>
        <v>#NAME?</v>
      </c>
      <c r="C95" s="2"/>
      <c r="D95" s="2"/>
      <c r="E95" s="2"/>
      <c r="F95" s="2"/>
      <c r="G95" s="2"/>
      <c r="H95" s="2"/>
    </row>
    <row r="96" spans="1:8" ht="15.75" x14ac:dyDescent="0.25">
      <c r="A96" s="3">
        <f>MAX($A$9:A95)+1</f>
        <v>88</v>
      </c>
      <c r="B96" s="864" t="e" cm="1">
        <f t="array" ref="B96">INDEX(SheetNames,A96)</f>
        <v>#NAME?</v>
      </c>
      <c r="C96" s="2"/>
      <c r="D96" s="2"/>
      <c r="E96" s="2"/>
      <c r="F96" s="2"/>
      <c r="G96" s="2"/>
      <c r="H96" s="2"/>
    </row>
    <row r="97" spans="1:8" ht="15.75" x14ac:dyDescent="0.25">
      <c r="A97" s="3">
        <f>MAX($A$9:A96)+1</f>
        <v>89</v>
      </c>
      <c r="B97" s="864" t="e" cm="1">
        <f t="array" ref="B97">INDEX(SheetNames,A97)</f>
        <v>#NAME?</v>
      </c>
      <c r="C97" s="2"/>
      <c r="D97" s="2"/>
      <c r="E97" s="2"/>
      <c r="F97" s="2"/>
      <c r="G97" s="2"/>
      <c r="H97" s="2"/>
    </row>
    <row r="98" spans="1:8" ht="15.75" x14ac:dyDescent="0.25">
      <c r="A98" s="3">
        <f>MAX($A$9:A97)+1</f>
        <v>90</v>
      </c>
      <c r="B98" s="864" t="e" cm="1">
        <f t="array" ref="B98">INDEX(SheetNames,A98)</f>
        <v>#NAME?</v>
      </c>
      <c r="C98" s="2"/>
      <c r="D98" s="2"/>
      <c r="E98" s="2"/>
      <c r="F98" s="2"/>
      <c r="G98" s="2"/>
      <c r="H98" s="2"/>
    </row>
    <row r="99" spans="1:8" ht="15.75" x14ac:dyDescent="0.25">
      <c r="A99" s="3">
        <f>MAX($A$9:A98)+1</f>
        <v>91</v>
      </c>
      <c r="B99" s="864" t="e" cm="1">
        <f t="array" ref="B99">INDEX(SheetNames,A99)</f>
        <v>#NAME?</v>
      </c>
      <c r="C99" s="2"/>
      <c r="D99" s="2"/>
      <c r="E99" s="2"/>
      <c r="F99" s="2"/>
      <c r="G99" s="2"/>
      <c r="H99" s="2"/>
    </row>
    <row r="100" spans="1:8" ht="15.75" x14ac:dyDescent="0.25">
      <c r="A100" s="3"/>
      <c r="B100" s="864"/>
      <c r="C100" s="2"/>
      <c r="D100" s="2"/>
      <c r="E100" s="2"/>
      <c r="F100" s="2"/>
      <c r="G100" s="2"/>
      <c r="H100" s="2"/>
    </row>
    <row r="101" spans="1:8" ht="15.75" x14ac:dyDescent="0.25">
      <c r="A101" s="3"/>
      <c r="B101" s="864"/>
      <c r="C101" s="2"/>
      <c r="D101" s="2"/>
      <c r="E101" s="2"/>
      <c r="F101" s="2"/>
      <c r="G101" s="2"/>
      <c r="H101" s="2"/>
    </row>
    <row r="102" spans="1:8" ht="15.75" x14ac:dyDescent="0.25">
      <c r="A102" s="3"/>
      <c r="B102" s="864"/>
      <c r="C102" s="2"/>
      <c r="D102" s="2"/>
      <c r="E102" s="2"/>
      <c r="F102" s="2"/>
      <c r="G102" s="2"/>
      <c r="H102" s="2"/>
    </row>
    <row r="103" spans="1:8" ht="15.75" x14ac:dyDescent="0.25">
      <c r="A103" s="3"/>
      <c r="B103" s="864"/>
      <c r="C103" s="2"/>
      <c r="D103" s="2"/>
      <c r="E103" s="2"/>
      <c r="F103" s="2"/>
      <c r="G103" s="2"/>
      <c r="H103" s="2"/>
    </row>
    <row r="104" spans="1:8" ht="15.75" x14ac:dyDescent="0.25">
      <c r="A104" s="3"/>
      <c r="B104" s="864"/>
      <c r="C104" s="2"/>
      <c r="D104" s="2"/>
      <c r="E104" s="2"/>
      <c r="F104" s="2"/>
      <c r="G104" s="2"/>
      <c r="H104" s="2"/>
    </row>
    <row r="105" spans="1:8" ht="15.75" x14ac:dyDescent="0.25">
      <c r="A105" s="3"/>
      <c r="B105" s="864"/>
      <c r="C105" s="2"/>
      <c r="D105" s="2"/>
      <c r="E105" s="2"/>
      <c r="F105" s="2"/>
      <c r="G105" s="2"/>
      <c r="H105" s="2"/>
    </row>
    <row r="106" spans="1:8" ht="15.75" x14ac:dyDescent="0.25">
      <c r="A106" s="3"/>
      <c r="B106" s="864"/>
      <c r="C106" s="2"/>
      <c r="D106" s="2"/>
      <c r="E106" s="2"/>
      <c r="F106" s="2"/>
      <c r="G106" s="2"/>
      <c r="H106" s="2"/>
    </row>
    <row r="107" spans="1:8" ht="15.75" x14ac:dyDescent="0.25">
      <c r="A107" s="3"/>
      <c r="B107" s="864"/>
      <c r="C107" s="2"/>
      <c r="D107" s="2"/>
      <c r="E107" s="2"/>
      <c r="F107" s="2"/>
      <c r="G107" s="2"/>
      <c r="H107" s="2"/>
    </row>
    <row r="108" spans="1:8" ht="15.75" x14ac:dyDescent="0.25">
      <c r="A108" s="3"/>
      <c r="B108" s="864"/>
      <c r="C108" s="2"/>
      <c r="D108" s="2"/>
      <c r="E108" s="2"/>
      <c r="F108" s="2"/>
      <c r="G108" s="2"/>
      <c r="H108" s="2"/>
    </row>
    <row r="109" spans="1:8" ht="15.75" x14ac:dyDescent="0.25">
      <c r="A109" s="3"/>
      <c r="B109" s="864"/>
    </row>
    <row r="110" spans="1:8" ht="15.75" x14ac:dyDescent="0.25">
      <c r="B110" s="864"/>
    </row>
    <row r="111" spans="1:8" ht="15.75" x14ac:dyDescent="0.25">
      <c r="B111" s="864"/>
    </row>
    <row r="112" spans="1:8" ht="15.75" x14ac:dyDescent="0.25">
      <c r="B112" s="864"/>
    </row>
    <row r="113" spans="2:2" ht="15.75" x14ac:dyDescent="0.25">
      <c r="B113" s="864"/>
    </row>
    <row r="114" spans="2:2" ht="15.75" x14ac:dyDescent="0.25">
      <c r="B114" s="864"/>
    </row>
    <row r="115" spans="2:2" ht="15.75" x14ac:dyDescent="0.25">
      <c r="B115" s="864"/>
    </row>
    <row r="116" spans="2:2" ht="15.75" x14ac:dyDescent="0.25">
      <c r="B116" s="864"/>
    </row>
    <row r="117" spans="2:2" ht="15.75" x14ac:dyDescent="0.25">
      <c r="B117" s="864"/>
    </row>
    <row r="118" spans="2:2" ht="15.75" x14ac:dyDescent="0.25">
      <c r="B118" s="864"/>
    </row>
    <row r="119" spans="2:2" ht="15.75" x14ac:dyDescent="0.25">
      <c r="B119" s="864"/>
    </row>
    <row r="120" spans="2:2" ht="15.75" x14ac:dyDescent="0.25">
      <c r="B120" s="864"/>
    </row>
    <row r="121" spans="2:2" ht="15.75" x14ac:dyDescent="0.25">
      <c r="B121" s="864"/>
    </row>
    <row r="122" spans="2:2" ht="15.75" x14ac:dyDescent="0.25">
      <c r="B122" s="864"/>
    </row>
    <row r="123" spans="2:2" ht="15.75" x14ac:dyDescent="0.25">
      <c r="B123" s="864"/>
    </row>
    <row r="124" spans="2:2" ht="15.75" x14ac:dyDescent="0.25">
      <c r="B124" s="864"/>
    </row>
    <row r="125" spans="2:2" ht="15.75" x14ac:dyDescent="0.25">
      <c r="B125" s="864"/>
    </row>
    <row r="126" spans="2:2" ht="15.75" x14ac:dyDescent="0.25">
      <c r="B126" s="864"/>
    </row>
    <row r="127" spans="2:2" ht="15.75" x14ac:dyDescent="0.25">
      <c r="B127" s="864"/>
    </row>
    <row r="128" spans="2:2" ht="15.75" x14ac:dyDescent="0.25">
      <c r="B128" s="864"/>
    </row>
    <row r="129" spans="2:2" ht="15.75" x14ac:dyDescent="0.25">
      <c r="B129" s="864"/>
    </row>
    <row r="130" spans="2:2" ht="15.75" x14ac:dyDescent="0.25">
      <c r="B130" s="864"/>
    </row>
    <row r="131" spans="2:2" ht="15.75" x14ac:dyDescent="0.25">
      <c r="B131" s="864"/>
    </row>
    <row r="132" spans="2:2" ht="15.75" x14ac:dyDescent="0.25">
      <c r="B132" s="864"/>
    </row>
    <row r="133" spans="2:2" ht="15.75" x14ac:dyDescent="0.25">
      <c r="B133" s="864"/>
    </row>
    <row r="134" spans="2:2" ht="15.75" x14ac:dyDescent="0.25">
      <c r="B134" s="864"/>
    </row>
    <row r="135" spans="2:2" ht="15.75" x14ac:dyDescent="0.25">
      <c r="B135" s="864"/>
    </row>
    <row r="136" spans="2:2" ht="15.75" x14ac:dyDescent="0.25">
      <c r="B136" s="864"/>
    </row>
    <row r="137" spans="2:2" ht="15.75" x14ac:dyDescent="0.25">
      <c r="B137" s="864"/>
    </row>
    <row r="138" spans="2:2" ht="15.75" x14ac:dyDescent="0.25">
      <c r="B138" s="864"/>
    </row>
    <row r="139" spans="2:2" ht="15.75" x14ac:dyDescent="0.25">
      <c r="B139" s="864"/>
    </row>
    <row r="140" spans="2:2" ht="15.75" x14ac:dyDescent="0.25">
      <c r="B140" s="864"/>
    </row>
    <row r="141" spans="2:2" ht="15.75" x14ac:dyDescent="0.25">
      <c r="B141" s="864"/>
    </row>
    <row r="142" spans="2:2" ht="15.75" x14ac:dyDescent="0.25">
      <c r="B142" s="864"/>
    </row>
    <row r="143" spans="2:2" ht="15.75" x14ac:dyDescent="0.25">
      <c r="B143" s="864"/>
    </row>
    <row r="144" spans="2:2" ht="15.75" x14ac:dyDescent="0.25">
      <c r="B144" s="864"/>
    </row>
    <row r="145" spans="2:2" ht="15.75" x14ac:dyDescent="0.25">
      <c r="B145" s="864"/>
    </row>
    <row r="146" spans="2:2" ht="15.75" x14ac:dyDescent="0.25">
      <c r="B146" s="864"/>
    </row>
    <row r="147" spans="2:2" ht="15.75" x14ac:dyDescent="0.25">
      <c r="B147" s="864"/>
    </row>
    <row r="148" spans="2:2" ht="15.75" x14ac:dyDescent="0.25">
      <c r="B148" s="864"/>
    </row>
    <row r="149" spans="2:2" ht="15.75" x14ac:dyDescent="0.25">
      <c r="B149" s="864"/>
    </row>
    <row r="150" spans="2:2" ht="15.75" x14ac:dyDescent="0.25">
      <c r="B150" s="864"/>
    </row>
    <row r="151" spans="2:2" ht="15.75" x14ac:dyDescent="0.25">
      <c r="B151" s="864"/>
    </row>
    <row r="152" spans="2:2" ht="15.75" x14ac:dyDescent="0.25">
      <c r="B152" s="864"/>
    </row>
    <row r="153" spans="2:2" ht="15.75" x14ac:dyDescent="0.25">
      <c r="B153" s="864"/>
    </row>
    <row r="154" spans="2:2" ht="15.75" x14ac:dyDescent="0.25">
      <c r="B154" s="864"/>
    </row>
    <row r="155" spans="2:2" ht="15.75" x14ac:dyDescent="0.25">
      <c r="B155" s="864"/>
    </row>
    <row r="156" spans="2:2" ht="15.75" x14ac:dyDescent="0.25">
      <c r="B156" s="864"/>
    </row>
    <row r="157" spans="2:2" ht="15.75" x14ac:dyDescent="0.25">
      <c r="B157" s="864"/>
    </row>
    <row r="158" spans="2:2" ht="15.75" x14ac:dyDescent="0.25">
      <c r="B158" s="864"/>
    </row>
    <row r="159" spans="2:2" ht="15.75" x14ac:dyDescent="0.25">
      <c r="B159" s="864"/>
    </row>
    <row r="160" spans="2:2" ht="15.75" x14ac:dyDescent="0.25">
      <c r="B160" s="864"/>
    </row>
    <row r="161" spans="2:2" ht="15.75" x14ac:dyDescent="0.25">
      <c r="B161" s="864"/>
    </row>
    <row r="162" spans="2:2" ht="15.75" x14ac:dyDescent="0.25">
      <c r="B162" s="864"/>
    </row>
    <row r="163" spans="2:2" ht="15.75" x14ac:dyDescent="0.25">
      <c r="B163" s="864"/>
    </row>
    <row r="164" spans="2:2" ht="15.75" x14ac:dyDescent="0.25">
      <c r="B164" s="864"/>
    </row>
    <row r="165" spans="2:2" ht="15.75" x14ac:dyDescent="0.25">
      <c r="B165" s="864"/>
    </row>
    <row r="166" spans="2:2" ht="15.75" x14ac:dyDescent="0.25">
      <c r="B166" s="864"/>
    </row>
    <row r="167" spans="2:2" ht="15.75" x14ac:dyDescent="0.25">
      <c r="B167" s="864"/>
    </row>
    <row r="168" spans="2:2" ht="15.75" x14ac:dyDescent="0.25">
      <c r="B168" s="864"/>
    </row>
    <row r="169" spans="2:2" ht="15.75" x14ac:dyDescent="0.25">
      <c r="B169" s="864"/>
    </row>
    <row r="170" spans="2:2" ht="15.75" x14ac:dyDescent="0.25">
      <c r="B170" s="864"/>
    </row>
    <row r="171" spans="2:2" ht="15.75" x14ac:dyDescent="0.25">
      <c r="B171" s="864"/>
    </row>
    <row r="172" spans="2:2" ht="15.75" x14ac:dyDescent="0.25">
      <c r="B172" s="864"/>
    </row>
    <row r="173" spans="2:2" ht="15.75" x14ac:dyDescent="0.25">
      <c r="B173" s="864"/>
    </row>
    <row r="174" spans="2:2" ht="15.75" x14ac:dyDescent="0.25">
      <c r="B174" s="864"/>
    </row>
    <row r="175" spans="2:2" ht="15.75" x14ac:dyDescent="0.25">
      <c r="B175" s="864"/>
    </row>
    <row r="176" spans="2:2" ht="15.75" x14ac:dyDescent="0.25">
      <c r="B176" s="864"/>
    </row>
    <row r="177" spans="2:2" ht="15.75" x14ac:dyDescent="0.25">
      <c r="B177" s="864"/>
    </row>
    <row r="178" spans="2:2" ht="15.75" x14ac:dyDescent="0.25">
      <c r="B178" s="864"/>
    </row>
    <row r="179" spans="2:2" ht="15.75" x14ac:dyDescent="0.25">
      <c r="B179" s="864"/>
    </row>
    <row r="180" spans="2:2" ht="15.75" x14ac:dyDescent="0.25">
      <c r="B180" s="864"/>
    </row>
    <row r="181" spans="2:2" ht="15.75" x14ac:dyDescent="0.25">
      <c r="B181" s="864"/>
    </row>
    <row r="182" spans="2:2" ht="15.75" x14ac:dyDescent="0.25">
      <c r="B182" s="864"/>
    </row>
    <row r="183" spans="2:2" ht="15.75" x14ac:dyDescent="0.25">
      <c r="B183" s="864"/>
    </row>
    <row r="184" spans="2:2" ht="15.75" x14ac:dyDescent="0.25">
      <c r="B184" s="864"/>
    </row>
    <row r="185" spans="2:2" ht="15.75" x14ac:dyDescent="0.25">
      <c r="B185" s="864"/>
    </row>
    <row r="186" spans="2:2" ht="15.75" x14ac:dyDescent="0.25">
      <c r="B186" s="864"/>
    </row>
    <row r="187" spans="2:2" ht="15.75" x14ac:dyDescent="0.25">
      <c r="B187" s="864"/>
    </row>
    <row r="188" spans="2:2" ht="15.75" x14ac:dyDescent="0.25">
      <c r="B188" s="864"/>
    </row>
    <row r="189" spans="2:2" ht="15.75" x14ac:dyDescent="0.25">
      <c r="B189" s="864"/>
    </row>
    <row r="190" spans="2:2" ht="15.75" x14ac:dyDescent="0.25">
      <c r="B190" s="864"/>
    </row>
    <row r="191" spans="2:2" ht="15.75" x14ac:dyDescent="0.25">
      <c r="B191" s="864"/>
    </row>
    <row r="192" spans="2:2" ht="15.75" x14ac:dyDescent="0.25">
      <c r="B192" s="864"/>
    </row>
    <row r="193" spans="2:2" ht="15.75" x14ac:dyDescent="0.25">
      <c r="B193" s="864"/>
    </row>
    <row r="194" spans="2:2" ht="15.75" x14ac:dyDescent="0.25">
      <c r="B194" s="864"/>
    </row>
    <row r="195" spans="2:2" ht="15.75" x14ac:dyDescent="0.25">
      <c r="B195" s="864"/>
    </row>
    <row r="196" spans="2:2" ht="15.75" x14ac:dyDescent="0.25">
      <c r="B196" s="864"/>
    </row>
    <row r="197" spans="2:2" ht="15.75" x14ac:dyDescent="0.25">
      <c r="B197" s="864"/>
    </row>
    <row r="198" spans="2:2" ht="15.75" x14ac:dyDescent="0.25">
      <c r="B198" s="864"/>
    </row>
    <row r="199" spans="2:2" ht="15.75" x14ac:dyDescent="0.25">
      <c r="B199" s="864"/>
    </row>
    <row r="200" spans="2:2" ht="15.75" x14ac:dyDescent="0.25">
      <c r="B200" s="864"/>
    </row>
    <row r="201" spans="2:2" ht="15.75" x14ac:dyDescent="0.25">
      <c r="B201" s="864"/>
    </row>
    <row r="202" spans="2:2" ht="15.75" x14ac:dyDescent="0.25">
      <c r="B202" s="864"/>
    </row>
    <row r="203" spans="2:2" ht="15.75" x14ac:dyDescent="0.25">
      <c r="B203" s="864"/>
    </row>
    <row r="204" spans="2:2" ht="15.75" x14ac:dyDescent="0.25">
      <c r="B204" s="864"/>
    </row>
    <row r="205" spans="2:2" ht="15.75" x14ac:dyDescent="0.25">
      <c r="B205" s="864"/>
    </row>
    <row r="206" spans="2:2" ht="15.75" x14ac:dyDescent="0.25">
      <c r="B206" s="864"/>
    </row>
    <row r="207" spans="2:2" ht="15.75" x14ac:dyDescent="0.25">
      <c r="B207" s="864"/>
    </row>
    <row r="208" spans="2:2" ht="15.75" x14ac:dyDescent="0.25">
      <c r="B208" s="864"/>
    </row>
    <row r="209" spans="2:2" ht="15.75" x14ac:dyDescent="0.25">
      <c r="B209" s="864"/>
    </row>
  </sheetData>
  <printOptions horizontalCentered="1"/>
  <pageMargins left="0.51181102362204722" right="0.31496062992125984" top="0.55118110236220474" bottom="0.35433070866141736" header="0.11811023622047245" footer="0.11811023622047245"/>
  <pageSetup paperSize="9" fitToHeight="3" orientation="portrait" r:id="rId1"/>
  <headerFooter>
    <oddFooter>&amp;L&amp;D &amp;T&amp;CPage &amp;P of &amp;N&amp;R&amp;F &amp;A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C7CDA-26EA-42EC-B186-4C4ADEC3F69A}">
  <sheetPr codeName="Sheet5">
    <tabColor rgb="FFFFFF00"/>
  </sheetPr>
  <dimension ref="A1:H104"/>
  <sheetViews>
    <sheetView workbookViewId="0"/>
  </sheetViews>
  <sheetFormatPr defaultRowHeight="15" x14ac:dyDescent="0.25"/>
  <cols>
    <col min="1" max="1" width="74.42578125" style="1726" customWidth="1"/>
    <col min="3" max="3" width="12.5703125" customWidth="1"/>
    <col min="4" max="4" width="13.140625" customWidth="1"/>
    <col min="7" max="7" width="3.7109375" customWidth="1"/>
    <col min="8" max="8" width="93.85546875" customWidth="1"/>
  </cols>
  <sheetData>
    <row r="1" spans="1:8" x14ac:dyDescent="0.25">
      <c r="A1" s="1095" t="str">
        <f>'alb Instructions'!$B$20</f>
        <v>enter HSC Body name here</v>
      </c>
      <c r="B1" s="1078"/>
      <c r="C1" s="1078"/>
      <c r="D1" s="1078"/>
    </row>
    <row r="2" spans="1:8" x14ac:dyDescent="0.25">
      <c r="A2" s="1079"/>
      <c r="B2" s="1079"/>
      <c r="C2" s="1079"/>
      <c r="D2" s="1079"/>
    </row>
    <row r="3" spans="1:8" x14ac:dyDescent="0.25">
      <c r="A3" s="1095" t="str">
        <f>"NOTES TO THE ACCOUNTS FOR THE YEAR ENDED"&amp;Update!$B$22</f>
        <v>NOTES TO THE ACCOUNTS FOR THE YEAR ENDED 31 March 2026</v>
      </c>
      <c r="B3" s="1079"/>
      <c r="C3" s="1079"/>
      <c r="D3" s="1079"/>
    </row>
    <row r="4" spans="1:8" x14ac:dyDescent="0.25">
      <c r="A4" s="1079"/>
      <c r="B4" s="1079"/>
      <c r="C4" s="1079"/>
      <c r="D4" s="1079"/>
    </row>
    <row r="5" spans="1:8" x14ac:dyDescent="0.25">
      <c r="A5" s="2126" t="s">
        <v>2772</v>
      </c>
      <c r="B5" s="2126"/>
      <c r="C5" s="2126"/>
      <c r="D5" s="2126"/>
      <c r="H5" s="1" t="s">
        <v>2773</v>
      </c>
    </row>
    <row r="7" spans="1:8" x14ac:dyDescent="0.25">
      <c r="A7" s="1506" t="s">
        <v>2771</v>
      </c>
      <c r="B7" s="1507"/>
      <c r="C7" s="1507"/>
      <c r="D7" s="1507"/>
      <c r="E7" s="1507"/>
      <c r="F7" s="1507"/>
      <c r="G7" s="1507"/>
    </row>
    <row r="8" spans="1:8" x14ac:dyDescent="0.25">
      <c r="A8" s="1506"/>
      <c r="B8" s="1507"/>
      <c r="C8" s="1507"/>
      <c r="D8" s="1507"/>
      <c r="E8" s="1507"/>
      <c r="F8" s="1507"/>
      <c r="G8" s="1507"/>
    </row>
    <row r="9" spans="1:8" x14ac:dyDescent="0.25">
      <c r="A9" s="1507" t="s">
        <v>2770</v>
      </c>
      <c r="B9" s="1507"/>
      <c r="C9" s="1507"/>
      <c r="D9" s="1507"/>
      <c r="E9" s="1507"/>
      <c r="F9" s="1507"/>
      <c r="G9" s="1507"/>
      <c r="H9" s="4" t="s">
        <v>2774</v>
      </c>
    </row>
    <row r="10" spans="1:8" x14ac:dyDescent="0.25">
      <c r="A10" s="1507"/>
      <c r="B10" s="1507"/>
      <c r="C10" s="1074" t="str">
        <f>Update!$C$38</f>
        <v>2025-26</v>
      </c>
      <c r="D10" s="1074" t="str">
        <f>Update!$C$37</f>
        <v>2024-25</v>
      </c>
      <c r="E10" s="1507"/>
      <c r="F10" s="1507"/>
      <c r="G10" s="1507"/>
    </row>
    <row r="11" spans="1:8" x14ac:dyDescent="0.25">
      <c r="A11" s="1751" t="s">
        <v>281</v>
      </c>
      <c r="B11" s="1507"/>
      <c r="C11" s="1096" t="s">
        <v>493</v>
      </c>
      <c r="D11" s="1096" t="s">
        <v>493</v>
      </c>
      <c r="E11" s="1507"/>
      <c r="F11" s="1507"/>
      <c r="G11" s="1507"/>
    </row>
    <row r="12" spans="1:8" x14ac:dyDescent="0.25">
      <c r="A12" s="1752" t="s">
        <v>2802</v>
      </c>
      <c r="B12" s="1507"/>
      <c r="C12" s="1096"/>
      <c r="D12" s="1096"/>
      <c r="E12" s="1096"/>
      <c r="F12" s="1507"/>
      <c r="G12" s="1507"/>
    </row>
    <row r="13" spans="1:8" ht="30" x14ac:dyDescent="0.25">
      <c r="A13" s="1732" t="s">
        <v>2546</v>
      </c>
      <c r="B13" s="1507"/>
      <c r="C13" s="1857"/>
      <c r="D13" s="1857"/>
      <c r="E13" s="1507"/>
      <c r="F13" s="1507"/>
      <c r="G13" s="1507"/>
      <c r="H13" s="4" t="s">
        <v>2863</v>
      </c>
    </row>
    <row r="14" spans="1:8" x14ac:dyDescent="0.25">
      <c r="A14" s="1732" t="s">
        <v>2545</v>
      </c>
      <c r="B14" s="1507"/>
      <c r="C14" s="1857"/>
      <c r="D14" s="1857"/>
      <c r="E14" s="1507"/>
      <c r="F14" s="1738" t="s">
        <v>2775</v>
      </c>
      <c r="G14" s="1738"/>
      <c r="H14" s="4" t="s">
        <v>2777</v>
      </c>
    </row>
    <row r="15" spans="1:8" x14ac:dyDescent="0.25">
      <c r="A15" s="1732" t="s">
        <v>4</v>
      </c>
      <c r="B15" s="1507"/>
      <c r="C15" s="1857"/>
      <c r="D15" s="1857"/>
      <c r="E15" s="1507"/>
      <c r="F15" s="1738" t="s">
        <v>2775</v>
      </c>
      <c r="G15" s="1738"/>
      <c r="H15" s="4" t="s">
        <v>2778</v>
      </c>
    </row>
    <row r="16" spans="1:8" x14ac:dyDescent="0.25">
      <c r="A16" s="1732" t="s">
        <v>22</v>
      </c>
      <c r="B16" s="1507"/>
      <c r="C16" s="1857"/>
      <c r="D16" s="1857"/>
      <c r="E16" s="1507"/>
      <c r="F16" s="1738" t="s">
        <v>2775</v>
      </c>
      <c r="G16" s="1738"/>
      <c r="H16" s="4" t="s">
        <v>2779</v>
      </c>
    </row>
    <row r="17" spans="1:8" x14ac:dyDescent="0.25">
      <c r="A17" s="1858" t="s">
        <v>2547</v>
      </c>
      <c r="B17" s="1507"/>
      <c r="C17" s="1857"/>
      <c r="D17" s="1857"/>
      <c r="E17" s="1507"/>
      <c r="F17" s="1738" t="s">
        <v>2775</v>
      </c>
      <c r="G17" s="1738"/>
      <c r="H17" s="4" t="s">
        <v>2780</v>
      </c>
    </row>
    <row r="18" spans="1:8" x14ac:dyDescent="0.25">
      <c r="A18" s="1858"/>
      <c r="B18" s="1507"/>
      <c r="C18" s="1857"/>
      <c r="D18" s="1857"/>
      <c r="E18" s="1507"/>
      <c r="F18" s="1738" t="s">
        <v>2775</v>
      </c>
      <c r="G18" s="1738"/>
    </row>
    <row r="19" spans="1:8" x14ac:dyDescent="0.25">
      <c r="A19" s="1858"/>
      <c r="B19" s="1507"/>
      <c r="C19" s="1857"/>
      <c r="D19" s="1857"/>
      <c r="E19" s="1507"/>
      <c r="F19" s="1730"/>
      <c r="G19" s="1730"/>
    </row>
    <row r="20" spans="1:8" ht="15.75" thickBot="1" x14ac:dyDescent="0.3">
      <c r="A20" s="1734" t="s">
        <v>2548</v>
      </c>
      <c r="B20" s="1507"/>
      <c r="C20" s="1851">
        <f>SUM(C13:C19)</f>
        <v>0</v>
      </c>
      <c r="D20" s="1851">
        <f>SUM(D13:D19)</f>
        <v>0</v>
      </c>
      <c r="E20" s="1507"/>
      <c r="F20" s="1730"/>
      <c r="G20" s="1730"/>
      <c r="H20" s="4" t="s">
        <v>2781</v>
      </c>
    </row>
    <row r="21" spans="1:8" ht="15.75" thickTop="1" x14ac:dyDescent="0.25">
      <c r="A21" s="1734"/>
      <c r="B21" s="1507"/>
      <c r="C21" s="1507"/>
      <c r="D21" s="1507"/>
      <c r="E21" s="1507"/>
      <c r="F21" s="1730"/>
      <c r="G21" s="1730"/>
    </row>
    <row r="22" spans="1:8" x14ac:dyDescent="0.25">
      <c r="A22" s="1739" t="s">
        <v>2769</v>
      </c>
      <c r="B22" s="1730"/>
      <c r="C22" s="1852"/>
      <c r="D22" s="1852"/>
      <c r="E22" s="1507"/>
      <c r="H22" s="4" t="s">
        <v>2864</v>
      </c>
    </row>
    <row r="23" spans="1:8" x14ac:dyDescent="0.25">
      <c r="A23" s="1859" t="s">
        <v>2761</v>
      </c>
      <c r="B23" s="1738"/>
      <c r="C23" s="1860"/>
      <c r="D23" s="1860"/>
      <c r="E23" s="1507"/>
      <c r="F23" s="1738" t="s">
        <v>2783</v>
      </c>
      <c r="H23" s="4" t="s">
        <v>2784</v>
      </c>
    </row>
    <row r="24" spans="1:8" x14ac:dyDescent="0.25">
      <c r="A24" s="1859"/>
      <c r="B24" s="1738"/>
      <c r="C24" s="1860"/>
      <c r="D24" s="1860"/>
      <c r="E24" s="1507"/>
      <c r="F24" s="1738" t="s">
        <v>2783</v>
      </c>
      <c r="G24" s="1738"/>
    </row>
    <row r="25" spans="1:8" x14ac:dyDescent="0.25">
      <c r="A25" s="1859"/>
      <c r="B25" s="1738"/>
      <c r="C25" s="1860"/>
      <c r="D25" s="1860"/>
      <c r="E25" s="1507"/>
      <c r="F25" s="1738" t="s">
        <v>2783</v>
      </c>
      <c r="G25" s="1507"/>
    </row>
    <row r="26" spans="1:8" x14ac:dyDescent="0.25">
      <c r="A26" s="1859"/>
      <c r="B26" s="1738"/>
      <c r="C26" s="1860"/>
      <c r="D26" s="1860"/>
      <c r="E26" s="1507"/>
      <c r="F26" s="1738" t="s">
        <v>2783</v>
      </c>
      <c r="G26" s="1507"/>
    </row>
    <row r="27" spans="1:8" x14ac:dyDescent="0.25">
      <c r="A27" s="1859"/>
      <c r="B27" s="1738"/>
      <c r="C27" s="1860"/>
      <c r="D27" s="1860"/>
      <c r="E27" s="1507"/>
      <c r="F27" s="1738" t="s">
        <v>2783</v>
      </c>
      <c r="G27" s="1507"/>
    </row>
    <row r="28" spans="1:8" x14ac:dyDescent="0.25">
      <c r="A28" s="1859"/>
      <c r="B28" s="1738"/>
      <c r="C28" s="1860"/>
      <c r="D28" s="1860"/>
      <c r="E28" s="1507"/>
      <c r="F28" s="1738" t="s">
        <v>2783</v>
      </c>
      <c r="G28" s="1507"/>
    </row>
    <row r="29" spans="1:8" ht="15.75" thickBot="1" x14ac:dyDescent="0.3">
      <c r="A29" s="1739" t="s">
        <v>2549</v>
      </c>
      <c r="B29" s="1738"/>
      <c r="C29" s="1851">
        <f>SUM(C23:C28)</f>
        <v>0</v>
      </c>
      <c r="D29" s="1851">
        <f>SUM(D23:D28)</f>
        <v>0</v>
      </c>
      <c r="E29" s="1507"/>
      <c r="F29" s="1507"/>
      <c r="G29" s="1507"/>
      <c r="H29" s="4" t="s">
        <v>2785</v>
      </c>
    </row>
    <row r="30" spans="1:8" ht="15.75" thickTop="1" x14ac:dyDescent="0.25">
      <c r="A30" s="1734"/>
      <c r="B30" s="1507"/>
      <c r="C30" s="1507"/>
      <c r="D30" s="1507"/>
      <c r="E30" s="1507"/>
      <c r="F30" s="1507"/>
      <c r="G30" s="1507"/>
    </row>
    <row r="31" spans="1:8" ht="15.75" thickBot="1" x14ac:dyDescent="0.3">
      <c r="A31" s="1739" t="s">
        <v>2550</v>
      </c>
      <c r="B31" s="1738"/>
      <c r="C31" s="1851">
        <f>C20+C29</f>
        <v>0</v>
      </c>
      <c r="D31" s="1851">
        <f>D20+D29</f>
        <v>0</v>
      </c>
      <c r="E31" s="1507"/>
      <c r="F31" s="1507"/>
      <c r="G31" s="1507"/>
      <c r="H31" s="4" t="s">
        <v>2786</v>
      </c>
    </row>
    <row r="32" spans="1:8" ht="15.75" thickTop="1" x14ac:dyDescent="0.25">
      <c r="A32" s="1734"/>
      <c r="B32" s="1507"/>
      <c r="C32" s="1507"/>
      <c r="D32" s="1507"/>
      <c r="E32" s="1507"/>
      <c r="F32" s="1507"/>
      <c r="G32" s="1507"/>
    </row>
    <row r="33" spans="1:8" x14ac:dyDescent="0.25">
      <c r="A33" s="1739" t="s">
        <v>2551</v>
      </c>
      <c r="B33" s="1738"/>
      <c r="C33" s="1852"/>
      <c r="D33" s="1852"/>
      <c r="E33" s="1507"/>
      <c r="F33" s="1507"/>
      <c r="G33" s="1507"/>
    </row>
    <row r="34" spans="1:8" x14ac:dyDescent="0.25">
      <c r="A34" s="1743" t="s">
        <v>2552</v>
      </c>
      <c r="B34" s="1738"/>
      <c r="C34" s="1853">
        <f>-'alb SoCNE'!C39-'alb SoCNE'!C68</f>
        <v>0</v>
      </c>
      <c r="D34" s="1853">
        <f>-'alb SoCNE'!D39-'alb SoCNE'!D68</f>
        <v>0</v>
      </c>
      <c r="E34" s="1507"/>
      <c r="F34" s="1507"/>
      <c r="G34" s="1507"/>
    </row>
    <row r="35" spans="1:8" x14ac:dyDescent="0.25">
      <c r="A35" s="1734"/>
      <c r="B35" s="1507"/>
      <c r="C35" s="1507"/>
      <c r="D35" s="1507"/>
      <c r="E35" s="1507"/>
      <c r="F35" s="1507"/>
      <c r="G35" s="1507"/>
    </row>
    <row r="36" spans="1:8" x14ac:dyDescent="0.25">
      <c r="A36" s="1739" t="s">
        <v>2553</v>
      </c>
      <c r="B36" s="1507"/>
      <c r="C36" s="1507"/>
      <c r="D36" s="1507"/>
      <c r="E36" s="1507"/>
      <c r="F36" s="1507"/>
      <c r="G36" s="1507"/>
    </row>
    <row r="37" spans="1:8" x14ac:dyDescent="0.25">
      <c r="A37" s="1732" t="s">
        <v>2554</v>
      </c>
      <c r="B37" s="1507"/>
      <c r="C37" s="1861"/>
      <c r="D37" s="1861"/>
      <c r="E37" s="1507"/>
      <c r="F37" s="1738" t="s">
        <v>2783</v>
      </c>
      <c r="G37" s="1507"/>
    </row>
    <row r="38" spans="1:8" x14ac:dyDescent="0.25">
      <c r="A38" s="1732" t="s">
        <v>2555</v>
      </c>
      <c r="B38" s="1507"/>
      <c r="C38" s="1861"/>
      <c r="D38" s="1861"/>
      <c r="E38" s="1507"/>
      <c r="F38" s="1738" t="s">
        <v>2783</v>
      </c>
      <c r="G38" s="1507"/>
    </row>
    <row r="39" spans="1:8" x14ac:dyDescent="0.25">
      <c r="A39" s="1732" t="s">
        <v>2427</v>
      </c>
      <c r="B39" s="1507"/>
      <c r="C39" s="1861"/>
      <c r="D39" s="1861"/>
      <c r="E39" s="1507"/>
      <c r="F39" s="1738" t="s">
        <v>2783</v>
      </c>
      <c r="G39" s="1507"/>
    </row>
    <row r="40" spans="1:8" x14ac:dyDescent="0.25">
      <c r="A40" s="1732" t="s">
        <v>2803</v>
      </c>
      <c r="B40" s="1507"/>
      <c r="C40" s="1753">
        <f>-'alb Note 3 &amp; 3.1 - Expenditure'!C23</f>
        <v>0</v>
      </c>
      <c r="D40" s="1753">
        <f>-'alb Note 3 &amp; 3.1 - Expenditure'!D23</f>
        <v>0</v>
      </c>
      <c r="E40" s="1507"/>
      <c r="F40" s="1738" t="s">
        <v>2783</v>
      </c>
      <c r="G40" s="1507"/>
      <c r="H40" t="s">
        <v>2865</v>
      </c>
    </row>
    <row r="41" spans="1:8" x14ac:dyDescent="0.25">
      <c r="A41" s="1732" t="s">
        <v>161</v>
      </c>
      <c r="B41" s="1507"/>
      <c r="C41" s="1753">
        <f>-'alb Note 3 &amp; 3.1 - Expenditure'!C24</f>
        <v>0</v>
      </c>
      <c r="D41" s="1753">
        <f>-'alb Note 3 &amp; 3.1 - Expenditure'!D24</f>
        <v>0</v>
      </c>
      <c r="E41" s="1507"/>
      <c r="F41" s="1738" t="s">
        <v>2783</v>
      </c>
      <c r="G41" s="1507"/>
    </row>
    <row r="42" spans="1:8" x14ac:dyDescent="0.25">
      <c r="A42" s="1732" t="s">
        <v>208</v>
      </c>
      <c r="B42" s="1507"/>
      <c r="C42" s="1753">
        <f>-'alb Note 3 &amp; 3.1 - Expenditure'!C25</f>
        <v>0</v>
      </c>
      <c r="D42" s="1753">
        <f>-'alb Note 3 &amp; 3.1 - Expenditure'!D25</f>
        <v>0</v>
      </c>
      <c r="E42" s="1507"/>
      <c r="F42" s="1738" t="s">
        <v>2783</v>
      </c>
      <c r="G42" s="1507"/>
    </row>
    <row r="43" spans="1:8" x14ac:dyDescent="0.25">
      <c r="A43" s="1732" t="s">
        <v>2556</v>
      </c>
      <c r="B43" s="1507"/>
      <c r="C43" s="1753">
        <f>-'alb Note 3 &amp; 3.1 - Expenditure'!C29-'alb Note 3 &amp; 3.1 - Expenditure'!C31</f>
        <v>0</v>
      </c>
      <c r="D43" s="1753">
        <f>-'alb Note 3 &amp; 3.1 - Expenditure'!D29-'alb Note 3 &amp; 3.1 - Expenditure'!D31</f>
        <v>0</v>
      </c>
      <c r="E43" s="1507"/>
      <c r="F43" s="1738"/>
      <c r="G43" s="1507"/>
    </row>
    <row r="44" spans="1:8" x14ac:dyDescent="0.25">
      <c r="A44" s="1732" t="s">
        <v>353</v>
      </c>
      <c r="B44" s="1507"/>
      <c r="C44" s="1861"/>
      <c r="D44" s="1861"/>
      <c r="E44" s="1507"/>
      <c r="F44" s="1738"/>
      <c r="G44" s="1507"/>
      <c r="H44" s="1274"/>
    </row>
    <row r="45" spans="1:8" ht="26.25" x14ac:dyDescent="0.25">
      <c r="A45" s="1732" t="s">
        <v>2426</v>
      </c>
      <c r="B45" s="1507"/>
      <c r="C45" s="1861"/>
      <c r="D45" s="1861"/>
      <c r="E45" s="1507"/>
      <c r="F45" s="1738"/>
      <c r="G45" s="1507"/>
      <c r="H45" s="4" t="s">
        <v>2787</v>
      </c>
    </row>
    <row r="46" spans="1:8" x14ac:dyDescent="0.25">
      <c r="A46" s="1829" t="s">
        <v>2835</v>
      </c>
      <c r="B46" s="1507"/>
      <c r="C46" s="1861"/>
      <c r="D46" s="1861"/>
      <c r="E46" s="1507"/>
      <c r="F46" s="1738" t="s">
        <v>2783</v>
      </c>
      <c r="G46" s="1507"/>
      <c r="H46" t="s">
        <v>2836</v>
      </c>
    </row>
    <row r="47" spans="1:8" x14ac:dyDescent="0.25">
      <c r="A47" s="1858" t="s">
        <v>2762</v>
      </c>
      <c r="B47" s="1507"/>
      <c r="C47" s="1861"/>
      <c r="D47" s="1857"/>
      <c r="E47" s="1507"/>
      <c r="F47" s="1738" t="s">
        <v>2783</v>
      </c>
      <c r="G47" s="1507"/>
      <c r="H47" t="s">
        <v>2837</v>
      </c>
    </row>
    <row r="48" spans="1:8" ht="15.75" thickBot="1" x14ac:dyDescent="0.3">
      <c r="A48" s="1734" t="s">
        <v>2557</v>
      </c>
      <c r="B48" s="1507"/>
      <c r="C48" s="1746">
        <f>SUM(C34:C47)</f>
        <v>0</v>
      </c>
      <c r="D48" s="1746">
        <f>SUM(D34:D46)</f>
        <v>0</v>
      </c>
      <c r="E48" s="1507"/>
      <c r="G48" s="1507"/>
      <c r="H48" s="4" t="s">
        <v>2781</v>
      </c>
    </row>
    <row r="49" spans="1:8" ht="15.75" thickTop="1" x14ac:dyDescent="0.25">
      <c r="A49" s="1506"/>
      <c r="B49" s="1507"/>
      <c r="C49" s="1745"/>
      <c r="D49" s="1745"/>
      <c r="E49" s="1507"/>
      <c r="F49" s="1507"/>
      <c r="G49" s="1507"/>
    </row>
    <row r="50" spans="1:8" x14ac:dyDescent="0.25">
      <c r="A50" s="1743" t="s">
        <v>2765</v>
      </c>
      <c r="B50" s="1507"/>
      <c r="C50" s="1853">
        <f>C31-C48</f>
        <v>0</v>
      </c>
      <c r="D50" s="1853">
        <f>D31-D48</f>
        <v>0</v>
      </c>
      <c r="E50" s="1507"/>
      <c r="F50" s="1507"/>
      <c r="G50" s="1507"/>
    </row>
    <row r="51" spans="1:8" x14ac:dyDescent="0.25">
      <c r="A51" s="1743"/>
      <c r="B51" s="1507"/>
      <c r="C51" s="1745"/>
      <c r="D51" s="1745"/>
      <c r="E51" s="1507"/>
      <c r="F51" s="1507"/>
      <c r="G51" s="1507"/>
    </row>
    <row r="52" spans="1:8" x14ac:dyDescent="0.25">
      <c r="A52" s="1743" t="s">
        <v>2768</v>
      </c>
      <c r="B52" s="1507"/>
      <c r="C52" s="1854" t="e">
        <f>+C50/C31</f>
        <v>#DIV/0!</v>
      </c>
      <c r="D52" s="1854" t="e">
        <f>+D50/D31</f>
        <v>#DIV/0!</v>
      </c>
      <c r="E52" s="1507"/>
      <c r="F52" s="1507"/>
      <c r="G52" s="1507"/>
    </row>
    <row r="53" spans="1:8" x14ac:dyDescent="0.25">
      <c r="A53" s="1506"/>
      <c r="B53" s="1507"/>
      <c r="C53" s="1745"/>
      <c r="D53" s="1745"/>
      <c r="E53" s="1507"/>
      <c r="F53" s="1507"/>
      <c r="G53" s="1507"/>
    </row>
    <row r="54" spans="1:8" x14ac:dyDescent="0.25">
      <c r="A54" s="1506"/>
      <c r="B54" s="1507"/>
      <c r="C54" s="1745"/>
      <c r="D54" s="1745"/>
      <c r="E54" s="1507"/>
      <c r="F54" s="1507"/>
      <c r="G54" s="1507"/>
    </row>
    <row r="55" spans="1:8" x14ac:dyDescent="0.25">
      <c r="A55" s="1506" t="s">
        <v>2767</v>
      </c>
      <c r="B55" s="1507"/>
      <c r="C55" s="1507"/>
      <c r="D55" s="1507"/>
      <c r="E55" s="1507"/>
      <c r="F55" s="1507"/>
      <c r="G55" s="1507"/>
      <c r="H55" s="1" t="s">
        <v>2773</v>
      </c>
    </row>
    <row r="56" spans="1:8" x14ac:dyDescent="0.25">
      <c r="A56" s="1507"/>
      <c r="B56" s="1507"/>
      <c r="C56" s="1507"/>
      <c r="D56" s="1507"/>
      <c r="E56" s="1507"/>
      <c r="F56" s="1507"/>
      <c r="G56" s="1507"/>
    </row>
    <row r="57" spans="1:8" x14ac:dyDescent="0.25">
      <c r="A57" s="1507" t="s">
        <v>2766</v>
      </c>
      <c r="B57" s="1507"/>
      <c r="C57" s="1507"/>
      <c r="D57" s="1507"/>
      <c r="E57" s="1507"/>
      <c r="F57" s="1507"/>
      <c r="G57" s="1507"/>
      <c r="H57" s="4" t="s">
        <v>2788</v>
      </c>
    </row>
    <row r="58" spans="1:8" x14ac:dyDescent="0.25">
      <c r="A58" s="1507"/>
      <c r="B58" s="1507"/>
      <c r="C58" s="1745" t="str">
        <f>C10</f>
        <v>2025-26</v>
      </c>
      <c r="D58" s="1745" t="str">
        <f>C58</f>
        <v>2025-26</v>
      </c>
      <c r="E58" s="1507"/>
      <c r="F58" s="1507"/>
      <c r="G58" s="1507"/>
    </row>
    <row r="59" spans="1:8" x14ac:dyDescent="0.25">
      <c r="A59" s="1507"/>
      <c r="B59" s="1507"/>
      <c r="C59" s="1745" t="s">
        <v>493</v>
      </c>
      <c r="D59" s="1745" t="s">
        <v>493</v>
      </c>
      <c r="E59" s="1507"/>
      <c r="F59" s="1507"/>
      <c r="G59" s="1507"/>
    </row>
    <row r="60" spans="1:8" x14ac:dyDescent="0.25">
      <c r="A60" s="1739" t="s">
        <v>2558</v>
      </c>
      <c r="B60" s="1744"/>
      <c r="E60" s="1507"/>
      <c r="F60" s="1830"/>
      <c r="G60" s="1830"/>
    </row>
    <row r="61" spans="1:8" ht="30" x14ac:dyDescent="0.25">
      <c r="A61" s="1743" t="s">
        <v>2559</v>
      </c>
      <c r="B61" s="1738"/>
      <c r="C61" s="1860"/>
      <c r="D61" s="1860"/>
      <c r="E61" s="1507"/>
      <c r="F61" s="1830" t="s">
        <v>2789</v>
      </c>
      <c r="G61" s="1830"/>
      <c r="H61" s="4" t="s">
        <v>2838</v>
      </c>
    </row>
    <row r="62" spans="1:8" x14ac:dyDescent="0.25">
      <c r="A62" s="1743" t="s">
        <v>2560</v>
      </c>
      <c r="B62" s="1738"/>
      <c r="C62" s="1860"/>
      <c r="D62" s="1860"/>
      <c r="E62" s="1507"/>
      <c r="F62" s="1830" t="s">
        <v>2789</v>
      </c>
      <c r="G62" s="1830"/>
      <c r="H62" s="4" t="s">
        <v>2790</v>
      </c>
    </row>
    <row r="63" spans="1:8" x14ac:dyDescent="0.25">
      <c r="A63" s="1743" t="s">
        <v>5</v>
      </c>
      <c r="B63" s="1738"/>
      <c r="C63" s="1860"/>
      <c r="D63" s="1860"/>
      <c r="E63" s="1507"/>
      <c r="F63" s="1830" t="s">
        <v>2789</v>
      </c>
      <c r="G63" s="1830"/>
      <c r="H63" s="4" t="s">
        <v>2791</v>
      </c>
    </row>
    <row r="64" spans="1:8" x14ac:dyDescent="0.25">
      <c r="A64" s="1742" t="s">
        <v>2561</v>
      </c>
      <c r="B64" s="1738"/>
      <c r="C64" s="1860"/>
      <c r="D64" s="1860"/>
      <c r="E64" s="1507"/>
      <c r="F64" s="1830" t="s">
        <v>2789</v>
      </c>
      <c r="G64" s="1830"/>
      <c r="H64" s="4" t="s">
        <v>2792</v>
      </c>
    </row>
    <row r="65" spans="1:8" x14ac:dyDescent="0.25">
      <c r="A65" s="1862" t="s">
        <v>2547</v>
      </c>
      <c r="B65" s="1738"/>
      <c r="C65" s="1860"/>
      <c r="D65" s="1860"/>
      <c r="E65" s="1507"/>
      <c r="F65" s="1830" t="s">
        <v>2789</v>
      </c>
      <c r="G65" s="1830"/>
      <c r="H65" s="4" t="s">
        <v>2793</v>
      </c>
    </row>
    <row r="66" spans="1:8" x14ac:dyDescent="0.25">
      <c r="A66" s="1862"/>
      <c r="B66" s="1738"/>
      <c r="C66" s="1862"/>
      <c r="D66" s="1860"/>
      <c r="E66" s="1507"/>
      <c r="F66" s="1830" t="s">
        <v>2789</v>
      </c>
      <c r="G66" s="1830"/>
    </row>
    <row r="67" spans="1:8" x14ac:dyDescent="0.25">
      <c r="A67" s="1862"/>
      <c r="B67" s="1738"/>
      <c r="C67" s="1862"/>
      <c r="D67" s="1860"/>
      <c r="E67" s="1507"/>
      <c r="F67" s="1830" t="s">
        <v>2789</v>
      </c>
      <c r="G67" s="1830"/>
    </row>
    <row r="68" spans="1:8" ht="15.75" thickBot="1" x14ac:dyDescent="0.3">
      <c r="A68" s="1739" t="s">
        <v>2562</v>
      </c>
      <c r="B68" s="1738"/>
      <c r="C68" s="1851">
        <f>SUM(C61:C67)</f>
        <v>0</v>
      </c>
      <c r="D68" s="1851">
        <f>SUM(D61:D67)</f>
        <v>0</v>
      </c>
      <c r="E68" s="1507"/>
      <c r="F68" s="1507"/>
      <c r="G68" s="1507"/>
      <c r="H68" s="4" t="s">
        <v>2781</v>
      </c>
    </row>
    <row r="69" spans="1:8" ht="15.75" thickTop="1" x14ac:dyDescent="0.25">
      <c r="A69" s="1739"/>
      <c r="B69" s="1738"/>
      <c r="C69" s="1855"/>
      <c r="D69" s="1855"/>
      <c r="E69" s="1507"/>
      <c r="F69" s="1507"/>
      <c r="G69" s="1507"/>
    </row>
    <row r="70" spans="1:8" x14ac:dyDescent="0.25">
      <c r="A70" s="1739" t="s">
        <v>2563</v>
      </c>
      <c r="B70" s="1738"/>
      <c r="C70" s="1852"/>
      <c r="D70" s="1852"/>
      <c r="E70" s="1507"/>
      <c r="F70" s="1507"/>
      <c r="G70" s="1507"/>
      <c r="H70" s="4" t="s">
        <v>2794</v>
      </c>
    </row>
    <row r="71" spans="1:8" x14ac:dyDescent="0.25">
      <c r="A71" s="1859" t="s">
        <v>2761</v>
      </c>
      <c r="B71" s="1738"/>
      <c r="C71" s="1860"/>
      <c r="D71" s="1860"/>
      <c r="E71" s="1507"/>
      <c r="F71" s="1738" t="s">
        <v>2795</v>
      </c>
      <c r="G71" s="1507"/>
      <c r="H71" s="4" t="s">
        <v>2784</v>
      </c>
    </row>
    <row r="72" spans="1:8" x14ac:dyDescent="0.25">
      <c r="A72" s="1859"/>
      <c r="B72" s="1738"/>
      <c r="C72" s="1859"/>
      <c r="D72" s="1860"/>
      <c r="E72" s="1507"/>
      <c r="F72" s="1738" t="s">
        <v>2795</v>
      </c>
      <c r="G72" s="1507"/>
    </row>
    <row r="73" spans="1:8" x14ac:dyDescent="0.25">
      <c r="A73" s="1859"/>
      <c r="B73" s="1738"/>
      <c r="C73" s="1859"/>
      <c r="D73" s="1860"/>
      <c r="E73" s="1507"/>
      <c r="F73" s="1738" t="s">
        <v>2795</v>
      </c>
      <c r="G73" s="1507"/>
    </row>
    <row r="74" spans="1:8" x14ac:dyDescent="0.25">
      <c r="A74" s="1859"/>
      <c r="B74" s="1738"/>
      <c r="C74" s="1859"/>
      <c r="D74" s="1860"/>
      <c r="E74" s="1507"/>
      <c r="F74" s="1738" t="s">
        <v>2795</v>
      </c>
      <c r="G74" s="1507"/>
    </row>
    <row r="75" spans="1:8" x14ac:dyDescent="0.25">
      <c r="A75" s="1859"/>
      <c r="B75" s="1738"/>
      <c r="C75" s="1859"/>
      <c r="D75" s="1860"/>
      <c r="E75" s="1507"/>
      <c r="F75" s="1738" t="s">
        <v>2795</v>
      </c>
      <c r="G75" s="1507"/>
    </row>
    <row r="76" spans="1:8" x14ac:dyDescent="0.25">
      <c r="A76" s="1859"/>
      <c r="B76" s="1738"/>
      <c r="C76" s="1859"/>
      <c r="D76" s="1860"/>
      <c r="E76" s="1507"/>
      <c r="F76" s="1738" t="s">
        <v>2795</v>
      </c>
      <c r="G76" s="1507"/>
    </row>
    <row r="77" spans="1:8" ht="15.75" thickBot="1" x14ac:dyDescent="0.3">
      <c r="A77" s="1739" t="s">
        <v>2564</v>
      </c>
      <c r="B77" s="1738"/>
      <c r="C77" s="1851">
        <f>SUM(C71:C76)</f>
        <v>0</v>
      </c>
      <c r="D77" s="1851">
        <f>SUM(D71:D76)</f>
        <v>0</v>
      </c>
      <c r="E77" s="1507"/>
      <c r="F77" s="1507"/>
      <c r="G77" s="1507"/>
      <c r="H77" s="4" t="s">
        <v>2796</v>
      </c>
    </row>
    <row r="78" spans="1:8" ht="15.75" thickTop="1" x14ac:dyDescent="0.25">
      <c r="A78" s="1729"/>
      <c r="B78" s="1738"/>
      <c r="C78" s="1852"/>
      <c r="D78" s="1852"/>
      <c r="E78" s="1507"/>
      <c r="F78" s="1507"/>
      <c r="G78" s="1507"/>
    </row>
    <row r="79" spans="1:8" ht="15.75" thickBot="1" x14ac:dyDescent="0.3">
      <c r="A79" s="1739" t="s">
        <v>2565</v>
      </c>
      <c r="B79" s="1738"/>
      <c r="C79" s="1851">
        <f>C68+C77</f>
        <v>0</v>
      </c>
      <c r="D79" s="1851">
        <f>D68+D77</f>
        <v>0</v>
      </c>
      <c r="E79" s="1507"/>
      <c r="F79" s="1507"/>
      <c r="G79" s="1507"/>
      <c r="H79" s="4" t="s">
        <v>2797</v>
      </c>
    </row>
    <row r="80" spans="1:8" ht="15.75" thickTop="1" x14ac:dyDescent="0.25">
      <c r="A80" s="1507"/>
      <c r="B80" s="1507"/>
      <c r="C80" s="1737"/>
      <c r="D80" s="1737"/>
      <c r="E80" s="1507"/>
      <c r="F80" s="1507"/>
      <c r="G80" s="1507"/>
    </row>
    <row r="81" spans="1:8" x14ac:dyDescent="0.25">
      <c r="A81" s="1506" t="s">
        <v>2566</v>
      </c>
      <c r="B81" s="1507"/>
      <c r="C81" s="1737"/>
      <c r="D81" s="1737"/>
      <c r="E81" s="1507"/>
      <c r="F81" s="1507"/>
      <c r="G81" s="1507"/>
    </row>
    <row r="82" spans="1:8" x14ac:dyDescent="0.25">
      <c r="A82" s="1507"/>
      <c r="B82" s="1507"/>
      <c r="C82" s="1737"/>
      <c r="D82" s="1737"/>
      <c r="E82" s="1507"/>
      <c r="F82" s="1507"/>
      <c r="G82" s="1507"/>
    </row>
    <row r="83" spans="1:8" x14ac:dyDescent="0.25">
      <c r="A83" s="1507" t="s">
        <v>2567</v>
      </c>
      <c r="B83" s="1507"/>
      <c r="C83" s="1737">
        <f>+'alb Note 5.1 -PP&amp;E - CY'!J14+'alb Note 6.1 -  Intangibles CY'!J14</f>
        <v>0</v>
      </c>
      <c r="D83" s="1737">
        <f>+'alb Note 5.2 -  PP&amp;E - PY'!J12+'alb Note 6.2 -  Intangibles PY'!J12</f>
        <v>0</v>
      </c>
      <c r="E83" s="1507"/>
      <c r="F83" s="1738" t="s">
        <v>2775</v>
      </c>
      <c r="G83" s="1507"/>
    </row>
    <row r="84" spans="1:8" x14ac:dyDescent="0.25">
      <c r="A84" s="1507"/>
      <c r="B84" s="1507"/>
      <c r="C84" s="1737"/>
      <c r="D84" s="1737"/>
      <c r="E84" s="1507"/>
      <c r="F84" s="1507"/>
      <c r="G84" s="1507"/>
    </row>
    <row r="85" spans="1:8" x14ac:dyDescent="0.25">
      <c r="A85" s="1506" t="s">
        <v>2568</v>
      </c>
      <c r="B85" s="1507"/>
      <c r="C85" s="1737"/>
      <c r="D85" s="1737"/>
      <c r="E85" s="1507"/>
      <c r="F85" s="1507"/>
      <c r="G85" s="1507"/>
    </row>
    <row r="86" spans="1:8" x14ac:dyDescent="0.25">
      <c r="A86" s="1507" t="s">
        <v>2569</v>
      </c>
      <c r="B86" s="1507"/>
      <c r="C86" s="1863"/>
      <c r="D86" s="1864"/>
      <c r="E86" s="1507"/>
      <c r="F86" s="1738" t="s">
        <v>2795</v>
      </c>
      <c r="G86" s="1507"/>
    </row>
    <row r="87" spans="1:8" x14ac:dyDescent="0.25">
      <c r="A87" s="1507" t="s">
        <v>2570</v>
      </c>
      <c r="B87" s="1507"/>
      <c r="C87" s="1863"/>
      <c r="D87" s="1864"/>
      <c r="E87" s="1507"/>
      <c r="F87" s="1738" t="s">
        <v>2795</v>
      </c>
      <c r="G87" s="1507"/>
    </row>
    <row r="88" spans="1:8" x14ac:dyDescent="0.25">
      <c r="A88" s="1507" t="s">
        <v>2571</v>
      </c>
      <c r="B88" s="1507"/>
      <c r="C88" s="1863"/>
      <c r="D88" s="1863"/>
      <c r="E88" s="1507"/>
      <c r="F88" s="1738" t="s">
        <v>2795</v>
      </c>
      <c r="G88" s="1507"/>
    </row>
    <row r="89" spans="1:8" x14ac:dyDescent="0.25">
      <c r="A89" s="1830" t="s">
        <v>2839</v>
      </c>
      <c r="B89" s="1830"/>
      <c r="C89" s="1865"/>
      <c r="D89" s="1865"/>
      <c r="E89" s="1830"/>
      <c r="F89" s="1738"/>
      <c r="G89" s="1830"/>
      <c r="H89" t="s">
        <v>2840</v>
      </c>
    </row>
    <row r="90" spans="1:8" x14ac:dyDescent="0.25">
      <c r="A90" s="1859" t="s">
        <v>2841</v>
      </c>
      <c r="B90" s="1830"/>
      <c r="C90" s="1865"/>
      <c r="D90" s="1865"/>
      <c r="E90" s="1830"/>
      <c r="F90" s="1738"/>
      <c r="G90" s="1830"/>
      <c r="H90" t="s">
        <v>2837</v>
      </c>
    </row>
    <row r="91" spans="1:8" x14ac:dyDescent="0.25">
      <c r="A91" s="1734" t="s">
        <v>2842</v>
      </c>
      <c r="B91" s="1507"/>
      <c r="C91" s="1731"/>
      <c r="D91" s="1733"/>
      <c r="E91" s="1507"/>
      <c r="G91" s="1507"/>
    </row>
    <row r="92" spans="1:8" x14ac:dyDescent="0.25">
      <c r="A92" s="1732" t="s">
        <v>2554</v>
      </c>
      <c r="B92" s="1507"/>
      <c r="C92" s="1731">
        <f t="shared" ref="C92:D94" si="0">-C37</f>
        <v>0</v>
      </c>
      <c r="D92" s="1731">
        <f t="shared" si="0"/>
        <v>0</v>
      </c>
      <c r="E92" s="1507"/>
      <c r="F92" s="1507"/>
      <c r="G92" s="1507"/>
      <c r="H92" t="s">
        <v>2800</v>
      </c>
    </row>
    <row r="93" spans="1:8" x14ac:dyDescent="0.25">
      <c r="A93" s="1732" t="s">
        <v>2555</v>
      </c>
      <c r="B93" s="1507"/>
      <c r="C93" s="1731">
        <f t="shared" si="0"/>
        <v>0</v>
      </c>
      <c r="D93" s="1731">
        <f t="shared" si="0"/>
        <v>0</v>
      </c>
      <c r="E93" s="1507"/>
      <c r="F93" s="1507"/>
      <c r="G93" s="1507"/>
      <c r="H93" t="s">
        <v>2800</v>
      </c>
    </row>
    <row r="94" spans="1:8" x14ac:dyDescent="0.25">
      <c r="A94" s="1732" t="s">
        <v>2427</v>
      </c>
      <c r="B94" s="1507"/>
      <c r="C94" s="1731">
        <f t="shared" si="0"/>
        <v>0</v>
      </c>
      <c r="D94" s="1731">
        <f t="shared" si="0"/>
        <v>0</v>
      </c>
      <c r="E94" s="1507"/>
      <c r="F94" s="1507"/>
      <c r="G94" s="1507"/>
      <c r="H94" t="s">
        <v>2800</v>
      </c>
    </row>
    <row r="95" spans="1:8" x14ac:dyDescent="0.25">
      <c r="A95" s="1829" t="s">
        <v>2843</v>
      </c>
      <c r="B95" s="1507"/>
      <c r="C95" s="1866"/>
      <c r="D95" s="1866"/>
      <c r="E95" s="1507"/>
      <c r="F95" s="1507"/>
      <c r="G95" s="1507"/>
      <c r="H95" t="s">
        <v>2866</v>
      </c>
    </row>
    <row r="96" spans="1:8" x14ac:dyDescent="0.25">
      <c r="A96" s="1859" t="s">
        <v>2844</v>
      </c>
      <c r="B96" s="1507"/>
      <c r="C96" s="1865"/>
      <c r="D96" s="1865"/>
      <c r="E96" s="1507"/>
      <c r="F96" s="1507"/>
      <c r="G96" s="1507"/>
      <c r="H96" t="s">
        <v>2837</v>
      </c>
    </row>
    <row r="97" spans="1:8" ht="15.75" thickBot="1" x14ac:dyDescent="0.3">
      <c r="A97" s="1730" t="s">
        <v>2572</v>
      </c>
      <c r="B97" s="1728"/>
      <c r="C97" s="1856">
        <f>SUM(C83:C96)</f>
        <v>0</v>
      </c>
      <c r="D97" s="1856">
        <f>SUM(D83:D96)</f>
        <v>0</v>
      </c>
      <c r="E97" s="1507"/>
      <c r="F97" s="1507"/>
      <c r="G97" s="1507"/>
    </row>
    <row r="98" spans="1:8" ht="15.75" thickTop="1" x14ac:dyDescent="0.25">
      <c r="A98"/>
      <c r="B98" s="1728"/>
      <c r="E98" s="1507"/>
      <c r="F98" s="1507"/>
      <c r="G98" s="1507"/>
    </row>
    <row r="99" spans="1:8" ht="15.75" thickBot="1" x14ac:dyDescent="0.3">
      <c r="A99" s="1729" t="s">
        <v>2867</v>
      </c>
      <c r="B99" s="1728"/>
      <c r="C99" s="1856">
        <f>C79-C97</f>
        <v>0</v>
      </c>
      <c r="D99" s="1856">
        <f>D79-D97</f>
        <v>0</v>
      </c>
      <c r="E99" s="1507"/>
      <c r="F99" s="1507"/>
      <c r="G99" s="1507"/>
      <c r="H99" s="4" t="s">
        <v>2781</v>
      </c>
    </row>
    <row r="100" spans="1:8" ht="15.75" thickTop="1" x14ac:dyDescent="0.25">
      <c r="A100" s="1506"/>
      <c r="B100" s="1507"/>
      <c r="C100" s="1507"/>
      <c r="D100" s="1507"/>
      <c r="E100" s="1507"/>
      <c r="F100" s="1507"/>
      <c r="G100" s="1507"/>
    </row>
    <row r="101" spans="1:8" x14ac:dyDescent="0.25">
      <c r="A101" s="1507"/>
      <c r="B101" s="1507"/>
      <c r="C101" s="1507"/>
      <c r="D101" s="1507"/>
      <c r="E101" s="1507"/>
      <c r="F101" s="1507"/>
      <c r="G101" s="1507"/>
    </row>
    <row r="102" spans="1:8" x14ac:dyDescent="0.25">
      <c r="A102" s="1507"/>
      <c r="B102" s="1727"/>
      <c r="C102" s="1727"/>
      <c r="D102" s="1727"/>
      <c r="E102" s="1727"/>
      <c r="F102" s="1507"/>
      <c r="G102" s="1507"/>
    </row>
    <row r="103" spans="1:8" x14ac:dyDescent="0.25">
      <c r="F103" s="1507"/>
      <c r="G103" s="1507"/>
    </row>
    <row r="104" spans="1:8" x14ac:dyDescent="0.25">
      <c r="F104" s="1727"/>
      <c r="G104" s="1727"/>
    </row>
  </sheetData>
  <sheetProtection algorithmName="SHA-512" hashValue="7727kLcCreIdzQ2G12mBdU0iU1bWrfS8DZVj0H591ipN/1WB66EyGx0l6+K9TqmPf4VFevrOW6lA/IfdN3s/VQ==" saltValue="B3gE6OiDI7Dawe7FSZzsTw==" spinCount="100000" sheet="1" objects="1" scenarios="1"/>
  <mergeCells count="1">
    <mergeCell ref="A5:D5"/>
  </mergeCells>
  <conditionalFormatting sqref="A3">
    <cfRule type="expression" dxfId="19" priority="3">
      <formula>CELL("Protect",A3)=0</formula>
    </cfRule>
  </conditionalFormatting>
  <conditionalFormatting sqref="C11:D11">
    <cfRule type="expression" dxfId="18" priority="2">
      <formula>CELL("Protect",C11)=0</formula>
    </cfRule>
  </conditionalFormatting>
  <conditionalFormatting sqref="C12:E12">
    <cfRule type="expression" dxfId="17" priority="1">
      <formula>CELL("Protect",C12)=0</formula>
    </cfRule>
  </conditionalFormatting>
  <pageMargins left="0.7" right="0.7" top="0.75" bottom="0.75" header="0.3" footer="0.3"/>
  <pageSetup paperSize="9" orientation="portrait" r:id="rId1"/>
  <ignoredErrors>
    <ignoredError sqref="D40" unlockedFormula="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0">
    <tabColor rgb="FFFFFF00"/>
    <pageSetUpPr fitToPage="1"/>
  </sheetPr>
  <dimension ref="A1:AE40"/>
  <sheetViews>
    <sheetView zoomScaleNormal="100" workbookViewId="0">
      <pane xSplit="3" ySplit="9" topLeftCell="D10" activePane="bottomRight" state="frozen"/>
      <selection activeCell="F19" sqref="F19"/>
      <selection pane="topRight" activeCell="F19" sqref="F19"/>
      <selection pane="bottomLeft" activeCell="F19" sqref="F19"/>
      <selection pane="bottomRight" activeCell="D10" sqref="D10"/>
    </sheetView>
  </sheetViews>
  <sheetFormatPr defaultColWidth="9.140625" defaultRowHeight="12.75" outlineLevelRow="1" x14ac:dyDescent="0.2"/>
  <cols>
    <col min="1" max="1" width="28.5703125" style="397" bestFit="1" customWidth="1"/>
    <col min="2" max="24" width="10.42578125" style="397" customWidth="1"/>
    <col min="25" max="16384" width="9.140625" style="397"/>
  </cols>
  <sheetData>
    <row r="1" spans="1:27" ht="14.65" customHeight="1" x14ac:dyDescent="0.2">
      <c r="A1" s="416" t="str">
        <f>'alb SoCNE'!$A$1</f>
        <v>enter HSC Body name here</v>
      </c>
      <c r="B1" s="416"/>
    </row>
    <row r="2" spans="1:27" ht="12.75" customHeight="1" x14ac:dyDescent="0.2"/>
    <row r="3" spans="1:27" ht="12.75" customHeight="1" x14ac:dyDescent="0.2">
      <c r="A3" s="388" t="s">
        <v>1130</v>
      </c>
      <c r="B3" s="388"/>
    </row>
    <row r="4" spans="1:27" ht="12.75" customHeight="1" x14ac:dyDescent="0.2">
      <c r="A4" s="415" t="s">
        <v>1125</v>
      </c>
      <c r="B4" s="415"/>
    </row>
    <row r="5" spans="1:27" ht="12.75" customHeight="1" x14ac:dyDescent="0.2">
      <c r="A5" s="415" t="s">
        <v>1124</v>
      </c>
      <c r="B5" s="415"/>
      <c r="C5" s="415"/>
    </row>
    <row r="6" spans="1:27" ht="12.75" customHeight="1" x14ac:dyDescent="0.2">
      <c r="A6" s="415" t="s">
        <v>1123</v>
      </c>
      <c r="B6" s="415"/>
    </row>
    <row r="7" spans="1:27" ht="12.75" customHeight="1" x14ac:dyDescent="0.2">
      <c r="D7" s="388"/>
    </row>
    <row r="8" spans="1:27" ht="57" customHeight="1" x14ac:dyDescent="0.2">
      <c r="A8" s="414"/>
      <c r="B8" s="414" t="s">
        <v>63</v>
      </c>
      <c r="C8" s="414" t="s">
        <v>604</v>
      </c>
      <c r="D8" s="413" t="s">
        <v>48</v>
      </c>
      <c r="E8" s="413" t="s">
        <v>2457</v>
      </c>
      <c r="F8" s="413" t="s">
        <v>5</v>
      </c>
      <c r="G8" s="413" t="s">
        <v>11</v>
      </c>
      <c r="H8" s="413" t="s">
        <v>25</v>
      </c>
      <c r="I8" s="413" t="s">
        <v>17</v>
      </c>
      <c r="J8" s="413" t="s">
        <v>19</v>
      </c>
      <c r="K8" s="413" t="s">
        <v>35</v>
      </c>
      <c r="L8" s="413" t="s">
        <v>900</v>
      </c>
      <c r="M8" s="413" t="s">
        <v>2446</v>
      </c>
      <c r="N8" s="413" t="s">
        <v>23</v>
      </c>
      <c r="O8" s="413" t="s">
        <v>33</v>
      </c>
      <c r="P8" s="413" t="s">
        <v>31</v>
      </c>
      <c r="Q8" s="413" t="s">
        <v>7</v>
      </c>
      <c r="R8" s="413" t="s">
        <v>27</v>
      </c>
      <c r="S8" s="413" t="s">
        <v>29</v>
      </c>
      <c r="T8" s="413" t="s">
        <v>13</v>
      </c>
      <c r="U8" s="413" t="s">
        <v>9</v>
      </c>
      <c r="V8" s="413" t="s">
        <v>15</v>
      </c>
      <c r="W8" s="413" t="s">
        <v>37</v>
      </c>
      <c r="X8" s="413" t="s">
        <v>39</v>
      </c>
      <c r="Y8" s="412" t="s">
        <v>1122</v>
      </c>
      <c r="Z8" s="412" t="s">
        <v>1122</v>
      </c>
      <c r="AA8" s="412" t="s">
        <v>1122</v>
      </c>
    </row>
    <row r="9" spans="1:27" ht="12.75" customHeight="1" x14ac:dyDescent="0.2">
      <c r="A9" s="411"/>
      <c r="B9" s="411" t="s">
        <v>62</v>
      </c>
      <c r="C9" s="411" t="s">
        <v>62</v>
      </c>
      <c r="D9" s="411" t="s">
        <v>62</v>
      </c>
      <c r="E9" s="411" t="s">
        <v>62</v>
      </c>
      <c r="F9" s="411" t="s">
        <v>62</v>
      </c>
      <c r="G9" s="411" t="s">
        <v>62</v>
      </c>
      <c r="H9" s="411" t="s">
        <v>62</v>
      </c>
      <c r="I9" s="411" t="s">
        <v>62</v>
      </c>
      <c r="J9" s="411" t="s">
        <v>62</v>
      </c>
      <c r="K9" s="411" t="s">
        <v>62</v>
      </c>
      <c r="L9" s="411" t="s">
        <v>62</v>
      </c>
      <c r="M9" s="411" t="s">
        <v>62</v>
      </c>
      <c r="N9" s="411" t="s">
        <v>62</v>
      </c>
      <c r="O9" s="411" t="s">
        <v>62</v>
      </c>
      <c r="P9" s="411" t="s">
        <v>62</v>
      </c>
      <c r="Q9" s="411" t="s">
        <v>62</v>
      </c>
      <c r="R9" s="411" t="s">
        <v>62</v>
      </c>
      <c r="S9" s="411" t="s">
        <v>62</v>
      </c>
      <c r="T9" s="411" t="s">
        <v>62</v>
      </c>
      <c r="U9" s="411" t="s">
        <v>62</v>
      </c>
      <c r="V9" s="411" t="s">
        <v>62</v>
      </c>
      <c r="W9" s="411" t="s">
        <v>62</v>
      </c>
      <c r="X9" s="411" t="s">
        <v>62</v>
      </c>
      <c r="Y9" s="410"/>
      <c r="Z9" s="410"/>
      <c r="AA9" s="410"/>
    </row>
    <row r="10" spans="1:27" ht="15" customHeight="1" x14ac:dyDescent="0.2">
      <c r="A10" s="400" t="s">
        <v>1129</v>
      </c>
      <c r="B10" s="403">
        <f t="shared" ref="B10:B30" si="0">C10-SUM(D10:X10)</f>
        <v>0</v>
      </c>
      <c r="C10" s="423">
        <f>'alb A - Staff data'!H17</f>
        <v>0</v>
      </c>
      <c r="D10" s="426" t="s">
        <v>1128</v>
      </c>
      <c r="E10" s="425"/>
      <c r="F10" s="425"/>
      <c r="G10" s="425"/>
      <c r="H10" s="425"/>
      <c r="I10" s="425"/>
      <c r="J10" s="425"/>
      <c r="K10" s="425"/>
      <c r="L10" s="425"/>
      <c r="M10" s="425"/>
      <c r="N10" s="425"/>
      <c r="O10" s="425"/>
      <c r="P10" s="425"/>
      <c r="Q10" s="425"/>
      <c r="R10" s="425"/>
      <c r="S10" s="425"/>
      <c r="T10" s="425"/>
      <c r="U10" s="425"/>
      <c r="V10" s="425"/>
      <c r="W10" s="425"/>
      <c r="X10" s="424"/>
      <c r="Y10" s="409" t="str">
        <f>'alb A - Staff data'!AE17</f>
        <v xml:space="preserve">Ok </v>
      </c>
    </row>
    <row r="11" spans="1:27" ht="15" customHeight="1" x14ac:dyDescent="0.2">
      <c r="A11" s="400" t="s">
        <v>1121</v>
      </c>
      <c r="B11" s="403">
        <f t="shared" si="0"/>
        <v>0</v>
      </c>
      <c r="C11" s="423">
        <f>'alb Note 3 &amp; 3.1 - Expenditure'!G41</f>
        <v>0</v>
      </c>
      <c r="D11" s="406">
        <f>'alb Note 3 &amp; 3.1 - Expenditure'!H41</f>
        <v>0</v>
      </c>
      <c r="E11" s="406">
        <f>'alb Note 3 &amp; 3.1 - Expenditure'!I41</f>
        <v>0</v>
      </c>
      <c r="F11" s="406">
        <f>'alb Note 3 &amp; 3.1 - Expenditure'!J41</f>
        <v>0</v>
      </c>
      <c r="G11" s="406">
        <f>'alb Note 3 &amp; 3.1 - Expenditure'!K41</f>
        <v>0</v>
      </c>
      <c r="H11" s="406">
        <f>'alb Note 3 &amp; 3.1 - Expenditure'!L41</f>
        <v>0</v>
      </c>
      <c r="I11" s="406">
        <f>'alb Note 3 &amp; 3.1 - Expenditure'!M41</f>
        <v>0</v>
      </c>
      <c r="J11" s="406">
        <f>'alb Note 3 &amp; 3.1 - Expenditure'!N41</f>
        <v>0</v>
      </c>
      <c r="K11" s="406">
        <f>'alb Note 3 &amp; 3.1 - Expenditure'!O41</f>
        <v>0</v>
      </c>
      <c r="L11" s="406">
        <f>'alb Note 3 &amp; 3.1 - Expenditure'!P41</f>
        <v>0</v>
      </c>
      <c r="M11" s="406">
        <f>'alb Note 3 &amp; 3.1 - Expenditure'!Q41</f>
        <v>0</v>
      </c>
      <c r="N11" s="406">
        <f>'alb Note 3 &amp; 3.1 - Expenditure'!R41</f>
        <v>0</v>
      </c>
      <c r="O11" s="406">
        <f>'alb Note 3 &amp; 3.1 - Expenditure'!S41</f>
        <v>0</v>
      </c>
      <c r="P11" s="406">
        <f>'alb Note 3 &amp; 3.1 - Expenditure'!T41</f>
        <v>0</v>
      </c>
      <c r="Q11" s="406">
        <f>'alb Note 3 &amp; 3.1 - Expenditure'!U41</f>
        <v>0</v>
      </c>
      <c r="R11" s="406">
        <f>'alb Note 3 &amp; 3.1 - Expenditure'!V41</f>
        <v>0</v>
      </c>
      <c r="S11" s="406">
        <f>'alb Note 3 &amp; 3.1 - Expenditure'!W41</f>
        <v>0</v>
      </c>
      <c r="T11" s="406">
        <f>'alb Note 3 &amp; 3.1 - Expenditure'!X41</f>
        <v>0</v>
      </c>
      <c r="U11" s="406">
        <f>'alb Note 3 &amp; 3.1 - Expenditure'!Y41</f>
        <v>0</v>
      </c>
      <c r="V11" s="406">
        <f>'alb Note 3 &amp; 3.1 - Expenditure'!Z41</f>
        <v>0</v>
      </c>
      <c r="W11" s="406">
        <f>'alb Note 3 &amp; 3.1 - Expenditure'!AA41</f>
        <v>0</v>
      </c>
      <c r="X11" s="405">
        <f>'alb Note 3 &amp; 3.1 - Expenditure'!AB41</f>
        <v>0</v>
      </c>
      <c r="Y11" s="409" t="str">
        <f>'alb Note 3 &amp; 3.1 - Expenditure'!AD41</f>
        <v xml:space="preserve">Ok </v>
      </c>
    </row>
    <row r="12" spans="1:27" ht="15" customHeight="1" x14ac:dyDescent="0.2">
      <c r="A12" s="400" t="s">
        <v>148</v>
      </c>
      <c r="B12" s="403">
        <f t="shared" si="0"/>
        <v>0</v>
      </c>
      <c r="C12" s="423">
        <f>'alb Note 4 - Income'!E37</f>
        <v>0</v>
      </c>
      <c r="D12" s="406">
        <f>'alb Note 4 - Income'!F37</f>
        <v>0</v>
      </c>
      <c r="E12" s="406">
        <f>'alb Note 4 - Income'!G37</f>
        <v>0</v>
      </c>
      <c r="F12" s="406">
        <f>'alb Note 4 - Income'!H37</f>
        <v>0</v>
      </c>
      <c r="G12" s="406">
        <f>'alb Note 4 - Income'!I37</f>
        <v>0</v>
      </c>
      <c r="H12" s="406">
        <f>'alb Note 4 - Income'!J37</f>
        <v>0</v>
      </c>
      <c r="I12" s="406">
        <f>'alb Note 4 - Income'!K37</f>
        <v>0</v>
      </c>
      <c r="J12" s="406">
        <f>'alb Note 4 - Income'!L37</f>
        <v>0</v>
      </c>
      <c r="K12" s="406">
        <f>'alb Note 4 - Income'!M37</f>
        <v>0</v>
      </c>
      <c r="L12" s="406">
        <f>'alb Note 4 - Income'!N37</f>
        <v>0</v>
      </c>
      <c r="M12" s="406">
        <f>'alb Note 4 - Income'!O37</f>
        <v>0</v>
      </c>
      <c r="N12" s="406">
        <f>'alb Note 4 - Income'!P37</f>
        <v>0</v>
      </c>
      <c r="O12" s="406">
        <f>'alb Note 4 - Income'!Q37</f>
        <v>0</v>
      </c>
      <c r="P12" s="406">
        <f>'alb Note 4 - Income'!R37</f>
        <v>0</v>
      </c>
      <c r="Q12" s="406">
        <f>'alb Note 4 - Income'!S37</f>
        <v>0</v>
      </c>
      <c r="R12" s="406">
        <f>'alb Note 4 - Income'!T37</f>
        <v>0</v>
      </c>
      <c r="S12" s="406">
        <f>'alb Note 4 - Income'!U37</f>
        <v>0</v>
      </c>
      <c r="T12" s="406">
        <f>'alb Note 4 - Income'!V37</f>
        <v>0</v>
      </c>
      <c r="U12" s="406">
        <f>'alb Note 4 - Income'!W37</f>
        <v>0</v>
      </c>
      <c r="V12" s="406">
        <f>'alb Note 4 - Income'!X37</f>
        <v>0</v>
      </c>
      <c r="W12" s="406">
        <f>'alb Note 4 - Income'!Y37</f>
        <v>0</v>
      </c>
      <c r="X12" s="405">
        <f>'alb Note 4 - Income'!Z37</f>
        <v>0</v>
      </c>
      <c r="Y12" s="409" t="str">
        <f>'alb Note 4 - Income'!$D$37</f>
        <v xml:space="preserve">Ok </v>
      </c>
    </row>
    <row r="13" spans="1:27" ht="15" customHeight="1" x14ac:dyDescent="0.2">
      <c r="A13" s="400" t="s">
        <v>728</v>
      </c>
      <c r="B13" s="403">
        <f t="shared" si="0"/>
        <v>0</v>
      </c>
      <c r="C13" s="423">
        <f>'alb Note 5.1 -PP&amp;E - CY'!L54</f>
        <v>0</v>
      </c>
      <c r="D13" s="422"/>
      <c r="E13" s="422"/>
      <c r="F13" s="422"/>
      <c r="G13" s="422"/>
      <c r="H13" s="422"/>
      <c r="I13" s="422"/>
      <c r="J13" s="422"/>
      <c r="K13" s="422"/>
      <c r="L13" s="422"/>
      <c r="M13" s="422"/>
      <c r="N13" s="422"/>
      <c r="O13" s="422"/>
      <c r="P13" s="422"/>
      <c r="Q13" s="422"/>
      <c r="R13" s="422"/>
      <c r="S13" s="422"/>
      <c r="T13" s="422"/>
      <c r="U13" s="422"/>
      <c r="V13" s="422"/>
      <c r="W13" s="422"/>
      <c r="X13" s="421"/>
      <c r="Y13" s="409" t="str">
        <f>'alb Note 5.1 -PP&amp;E - CY'!AG54</f>
        <v xml:space="preserve">Ok </v>
      </c>
    </row>
    <row r="14" spans="1:27" ht="15" customHeight="1" x14ac:dyDescent="0.2">
      <c r="A14" s="400" t="s">
        <v>602</v>
      </c>
      <c r="B14" s="403">
        <f t="shared" si="0"/>
        <v>0</v>
      </c>
      <c r="C14" s="423">
        <f>'alb Note 6.1 -  Intangibles CY'!L43</f>
        <v>0</v>
      </c>
      <c r="D14" s="422"/>
      <c r="E14" s="422"/>
      <c r="F14" s="422"/>
      <c r="G14" s="422"/>
      <c r="H14" s="422"/>
      <c r="I14" s="422"/>
      <c r="J14" s="422"/>
      <c r="K14" s="422"/>
      <c r="L14" s="422"/>
      <c r="M14" s="422"/>
      <c r="N14" s="422"/>
      <c r="O14" s="422"/>
      <c r="P14" s="422"/>
      <c r="Q14" s="422"/>
      <c r="R14" s="422"/>
      <c r="S14" s="422"/>
      <c r="T14" s="422"/>
      <c r="U14" s="422"/>
      <c r="V14" s="422"/>
      <c r="W14" s="422"/>
      <c r="X14" s="421"/>
      <c r="Y14" s="409" t="str">
        <f>'alb Note 6.1 -  Intangibles CY'!AG51</f>
        <v xml:space="preserve">Ok </v>
      </c>
    </row>
    <row r="15" spans="1:27" ht="15" customHeight="1" x14ac:dyDescent="0.2">
      <c r="A15" s="400" t="s">
        <v>1127</v>
      </c>
      <c r="B15" s="403">
        <f t="shared" si="0"/>
        <v>0</v>
      </c>
      <c r="C15" s="407">
        <f>'alb Note 7 - Impairments'!K13</f>
        <v>0</v>
      </c>
      <c r="D15" s="422"/>
      <c r="E15" s="422"/>
      <c r="F15" s="422"/>
      <c r="G15" s="422"/>
      <c r="H15" s="422"/>
      <c r="I15" s="422"/>
      <c r="J15" s="422"/>
      <c r="K15" s="422"/>
      <c r="L15" s="422"/>
      <c r="M15" s="422"/>
      <c r="N15" s="422"/>
      <c r="O15" s="422"/>
      <c r="P15" s="422"/>
      <c r="Q15" s="422"/>
      <c r="R15" s="422"/>
      <c r="S15" s="422"/>
      <c r="T15" s="422"/>
      <c r="U15" s="422"/>
      <c r="V15" s="422"/>
      <c r="W15" s="422"/>
      <c r="X15" s="421"/>
      <c r="Y15" s="409" t="str">
        <f>'alb Note 7 - Impairments'!P13</f>
        <v xml:space="preserve">Ok </v>
      </c>
    </row>
    <row r="16" spans="1:27" ht="15" customHeight="1" x14ac:dyDescent="0.2">
      <c r="A16" s="400" t="s">
        <v>1126</v>
      </c>
      <c r="B16" s="403">
        <f t="shared" si="0"/>
        <v>0</v>
      </c>
      <c r="C16" s="407">
        <f>'alb Note 7 - Impairments'!L13</f>
        <v>0</v>
      </c>
      <c r="D16" s="422"/>
      <c r="E16" s="422"/>
      <c r="F16" s="422"/>
      <c r="G16" s="422"/>
      <c r="H16" s="422"/>
      <c r="I16" s="422"/>
      <c r="J16" s="422"/>
      <c r="K16" s="422"/>
      <c r="L16" s="422"/>
      <c r="M16" s="422"/>
      <c r="N16" s="422"/>
      <c r="O16" s="422"/>
      <c r="P16" s="422"/>
      <c r="Q16" s="422"/>
      <c r="R16" s="422"/>
      <c r="S16" s="422"/>
      <c r="T16" s="422"/>
      <c r="U16" s="422"/>
      <c r="V16" s="422"/>
      <c r="W16" s="422"/>
      <c r="X16" s="421"/>
      <c r="Y16" s="409" t="str">
        <f>'alb Note 7 - Impairments'!Q13</f>
        <v xml:space="preserve">Ok </v>
      </c>
    </row>
    <row r="17" spans="1:27" ht="15" customHeight="1" x14ac:dyDescent="0.2">
      <c r="A17" s="400" t="s">
        <v>1120</v>
      </c>
      <c r="B17" s="403">
        <f t="shared" si="0"/>
        <v>0</v>
      </c>
      <c r="C17" s="422"/>
      <c r="D17" s="422"/>
      <c r="E17" s="422"/>
      <c r="F17" s="422"/>
      <c r="G17" s="422"/>
      <c r="H17" s="422"/>
      <c r="I17" s="422"/>
      <c r="J17" s="422"/>
      <c r="K17" s="422"/>
      <c r="L17" s="422"/>
      <c r="M17" s="422"/>
      <c r="N17" s="422"/>
      <c r="O17" s="422"/>
      <c r="P17" s="422"/>
      <c r="Q17" s="422"/>
      <c r="R17" s="422"/>
      <c r="S17" s="422"/>
      <c r="T17" s="422"/>
      <c r="U17" s="422"/>
      <c r="V17" s="422"/>
      <c r="W17" s="422"/>
      <c r="X17" s="421"/>
    </row>
    <row r="18" spans="1:27" ht="15" customHeight="1" x14ac:dyDescent="0.2">
      <c r="A18" s="400" t="s">
        <v>1119</v>
      </c>
      <c r="B18" s="403">
        <f t="shared" si="0"/>
        <v>0</v>
      </c>
      <c r="C18" s="407">
        <f>'alb Note 12 Trade Receivables'!E43</f>
        <v>0</v>
      </c>
      <c r="D18" s="406">
        <f>'alb Note 12 Trade Receivables'!F43</f>
        <v>0</v>
      </c>
      <c r="E18" s="406">
        <f>'alb Note 12 Trade Receivables'!G43</f>
        <v>0</v>
      </c>
      <c r="F18" s="406">
        <f>'alb Note 12 Trade Receivables'!H43</f>
        <v>0</v>
      </c>
      <c r="G18" s="406">
        <f>'alb Note 12 Trade Receivables'!I43</f>
        <v>0</v>
      </c>
      <c r="H18" s="406">
        <f>'alb Note 12 Trade Receivables'!J43</f>
        <v>0</v>
      </c>
      <c r="I18" s="406">
        <f>'alb Note 12 Trade Receivables'!K43</f>
        <v>0</v>
      </c>
      <c r="J18" s="406">
        <f>'alb Note 12 Trade Receivables'!L43</f>
        <v>0</v>
      </c>
      <c r="K18" s="406">
        <f>'alb Note 12 Trade Receivables'!M43</f>
        <v>0</v>
      </c>
      <c r="L18" s="406">
        <f>'alb Note 12 Trade Receivables'!N43</f>
        <v>0</v>
      </c>
      <c r="M18" s="406">
        <f>'alb Note 12 Trade Receivables'!O43</f>
        <v>0</v>
      </c>
      <c r="N18" s="406">
        <f>'alb Note 12 Trade Receivables'!P43</f>
        <v>0</v>
      </c>
      <c r="O18" s="406">
        <f>'alb Note 12 Trade Receivables'!Q43</f>
        <v>0</v>
      </c>
      <c r="P18" s="406">
        <f>'alb Note 12 Trade Receivables'!R43</f>
        <v>0</v>
      </c>
      <c r="Q18" s="406">
        <f>'alb Note 12 Trade Receivables'!S43</f>
        <v>0</v>
      </c>
      <c r="R18" s="406">
        <f>'alb Note 12 Trade Receivables'!T43</f>
        <v>0</v>
      </c>
      <c r="S18" s="406">
        <f>'alb Note 12 Trade Receivables'!U43</f>
        <v>0</v>
      </c>
      <c r="T18" s="406">
        <f>'alb Note 12 Trade Receivables'!V43</f>
        <v>0</v>
      </c>
      <c r="U18" s="406">
        <f>'alb Note 12 Trade Receivables'!W43</f>
        <v>0</v>
      </c>
      <c r="V18" s="406">
        <f>'alb Note 12 Trade Receivables'!X43</f>
        <v>0</v>
      </c>
      <c r="W18" s="406">
        <f>'alb Note 12 Trade Receivables'!Y43</f>
        <v>0</v>
      </c>
      <c r="X18" s="405">
        <f>'alb Note 12 Trade Receivables'!Z43</f>
        <v>0</v>
      </c>
      <c r="Y18" s="409" t="str">
        <f>'alb Note 12 Trade Receivables'!AB43</f>
        <v xml:space="preserve">Ok </v>
      </c>
    </row>
    <row r="19" spans="1:27" ht="15" customHeight="1" x14ac:dyDescent="0.2">
      <c r="A19" s="400" t="s">
        <v>1118</v>
      </c>
      <c r="B19" s="403">
        <f t="shared" si="0"/>
        <v>0</v>
      </c>
      <c r="C19" s="407">
        <f>'alb Note 13.1 Trade payables'!E50</f>
        <v>0</v>
      </c>
      <c r="D19" s="406">
        <f>'alb Note 13.1 Trade payables'!F50</f>
        <v>0</v>
      </c>
      <c r="E19" s="406">
        <f>'alb Note 13.1 Trade payables'!G50</f>
        <v>0</v>
      </c>
      <c r="F19" s="406">
        <f>'alb Note 13.1 Trade payables'!H50</f>
        <v>0</v>
      </c>
      <c r="G19" s="406">
        <f>'alb Note 13.1 Trade payables'!I50</f>
        <v>0</v>
      </c>
      <c r="H19" s="406">
        <f>'alb Note 13.1 Trade payables'!J50</f>
        <v>0</v>
      </c>
      <c r="I19" s="406">
        <f>'alb Note 13.1 Trade payables'!K50</f>
        <v>0</v>
      </c>
      <c r="J19" s="406">
        <f>'alb Note 13.1 Trade payables'!L50</f>
        <v>0</v>
      </c>
      <c r="K19" s="406">
        <f>'alb Note 13.1 Trade payables'!M50</f>
        <v>0</v>
      </c>
      <c r="L19" s="406">
        <f>'alb Note 13.1 Trade payables'!N50</f>
        <v>0</v>
      </c>
      <c r="M19" s="406">
        <f>'alb Note 13.1 Trade payables'!O50</f>
        <v>0</v>
      </c>
      <c r="N19" s="406">
        <f>'alb Note 13.1 Trade payables'!P50</f>
        <v>0</v>
      </c>
      <c r="O19" s="406">
        <f>'alb Note 13.1 Trade payables'!Q50</f>
        <v>0</v>
      </c>
      <c r="P19" s="406">
        <f>'alb Note 13.1 Trade payables'!R50</f>
        <v>0</v>
      </c>
      <c r="Q19" s="406">
        <f>'alb Note 13.1 Trade payables'!S50</f>
        <v>0</v>
      </c>
      <c r="R19" s="406">
        <f>'alb Note 13.1 Trade payables'!T50</f>
        <v>0</v>
      </c>
      <c r="S19" s="406">
        <f>'alb Note 13.1 Trade payables'!U50</f>
        <v>0</v>
      </c>
      <c r="T19" s="406">
        <f>'alb Note 13.1 Trade payables'!V50</f>
        <v>0</v>
      </c>
      <c r="U19" s="406">
        <f>'alb Note 13.1 Trade payables'!W50</f>
        <v>0</v>
      </c>
      <c r="V19" s="406">
        <f>'alb Note 13.1 Trade payables'!X50</f>
        <v>0</v>
      </c>
      <c r="W19" s="406">
        <f>'alb Note 13.1 Trade payables'!Y50</f>
        <v>0</v>
      </c>
      <c r="X19" s="406">
        <f>'alb Note 13.1 Trade payables'!Z50</f>
        <v>0</v>
      </c>
      <c r="Y19" s="409" t="str">
        <f>'alb Note 13.1 Trade payables'!AB50</f>
        <v xml:space="preserve">Ok </v>
      </c>
    </row>
    <row r="20" spans="1:27" ht="15" customHeight="1" x14ac:dyDescent="0.2">
      <c r="A20" s="400" t="s">
        <v>297</v>
      </c>
      <c r="B20" s="403">
        <f t="shared" si="0"/>
        <v>0</v>
      </c>
      <c r="C20" s="407">
        <f>'alb Note 14 - Provisions CY'!L24</f>
        <v>0</v>
      </c>
      <c r="D20" s="422"/>
      <c r="E20" s="422"/>
      <c r="F20" s="422"/>
      <c r="G20" s="422"/>
      <c r="H20" s="422"/>
      <c r="I20" s="422"/>
      <c r="J20" s="422"/>
      <c r="K20" s="422"/>
      <c r="L20" s="422"/>
      <c r="M20" s="422"/>
      <c r="N20" s="422"/>
      <c r="O20" s="422"/>
      <c r="P20" s="422"/>
      <c r="Q20" s="422"/>
      <c r="R20" s="422"/>
      <c r="S20" s="422"/>
      <c r="T20" s="422"/>
      <c r="U20" s="422"/>
      <c r="V20" s="422"/>
      <c r="W20" s="422"/>
      <c r="X20" s="421"/>
      <c r="Y20" s="409" t="str">
        <f>'alb Note 14 - Provisions CY'!O24</f>
        <v xml:space="preserve">Ok </v>
      </c>
    </row>
    <row r="21" spans="1:27" ht="15" customHeight="1" x14ac:dyDescent="0.2">
      <c r="A21" s="400" t="s">
        <v>1117</v>
      </c>
      <c r="B21" s="403">
        <f t="shared" si="0"/>
        <v>0</v>
      </c>
      <c r="C21" s="407">
        <f>'alb Note 18 - Capital commits'!E13</f>
        <v>0</v>
      </c>
      <c r="D21" s="406">
        <f>'alb Note 18 - Capital commits'!F13</f>
        <v>0</v>
      </c>
      <c r="E21" s="406">
        <f>'alb Note 18 - Capital commits'!G13</f>
        <v>0</v>
      </c>
      <c r="F21" s="406">
        <f>'alb Note 18 - Capital commits'!H13</f>
        <v>0</v>
      </c>
      <c r="G21" s="406">
        <f>'alb Note 18 - Capital commits'!I13</f>
        <v>0</v>
      </c>
      <c r="H21" s="406">
        <f>'alb Note 18 - Capital commits'!J13</f>
        <v>0</v>
      </c>
      <c r="I21" s="406">
        <f>'alb Note 18 - Capital commits'!K13</f>
        <v>0</v>
      </c>
      <c r="J21" s="406">
        <f>'alb Note 18 - Capital commits'!L13</f>
        <v>0</v>
      </c>
      <c r="K21" s="406">
        <f>'alb Note 18 - Capital commits'!M13</f>
        <v>0</v>
      </c>
      <c r="L21" s="406">
        <f>'alb Note 18 - Capital commits'!N13</f>
        <v>0</v>
      </c>
      <c r="M21" s="406">
        <f>'alb Note 18 - Capital commits'!O13</f>
        <v>0</v>
      </c>
      <c r="N21" s="406">
        <f>'alb Note 18 - Capital commits'!P13</f>
        <v>0</v>
      </c>
      <c r="O21" s="406">
        <f>'alb Note 18 - Capital commits'!Q13</f>
        <v>0</v>
      </c>
      <c r="P21" s="406">
        <f>'alb Note 18 - Capital commits'!R13</f>
        <v>0</v>
      </c>
      <c r="Q21" s="406">
        <f>'alb Note 18 - Capital commits'!S13</f>
        <v>0</v>
      </c>
      <c r="R21" s="406">
        <f>'alb Note 18 - Capital commits'!T13</f>
        <v>0</v>
      </c>
      <c r="S21" s="406">
        <f>'alb Note 18 - Capital commits'!U13</f>
        <v>0</v>
      </c>
      <c r="T21" s="406">
        <f>'alb Note 18 - Capital commits'!V13</f>
        <v>0</v>
      </c>
      <c r="U21" s="406">
        <f>'alb Note 18 - Capital commits'!W13</f>
        <v>0</v>
      </c>
      <c r="V21" s="406">
        <f>'alb Note 18 - Capital commits'!X13</f>
        <v>0</v>
      </c>
      <c r="W21" s="406">
        <f>'alb Note 18 - Capital commits'!Y13</f>
        <v>0</v>
      </c>
      <c r="X21" s="405">
        <f>'alb Note 18 - Capital commits'!Z13</f>
        <v>0</v>
      </c>
      <c r="Y21" s="409" t="str">
        <f>'alb Note 18 - Capital commits'!AB11</f>
        <v xml:space="preserve">Ok </v>
      </c>
      <c r="Z21" s="409" t="str">
        <f>'alb Note 18 - Capital commits'!AB12</f>
        <v xml:space="preserve">Ok </v>
      </c>
    </row>
    <row r="22" spans="1:27" ht="15" customHeight="1" x14ac:dyDescent="0.2">
      <c r="A22" s="400" t="s">
        <v>807</v>
      </c>
      <c r="B22" s="403">
        <f t="shared" si="0"/>
        <v>0</v>
      </c>
      <c r="C22" s="407"/>
      <c r="D22" s="406"/>
      <c r="E22" s="406"/>
      <c r="F22" s="406"/>
      <c r="G22" s="406"/>
      <c r="H22" s="406"/>
      <c r="I22" s="406"/>
      <c r="J22" s="406"/>
      <c r="K22" s="406"/>
      <c r="L22" s="406"/>
      <c r="M22" s="406"/>
      <c r="N22" s="406"/>
      <c r="O22" s="406"/>
      <c r="P22" s="406"/>
      <c r="Q22" s="406"/>
      <c r="R22" s="406"/>
      <c r="S22" s="406"/>
      <c r="T22" s="406"/>
      <c r="U22" s="406"/>
      <c r="V22" s="406"/>
      <c r="W22" s="406"/>
      <c r="X22" s="405"/>
      <c r="Y22" s="409"/>
      <c r="Z22" s="409"/>
    </row>
    <row r="23" spans="1:27" ht="15" customHeight="1" x14ac:dyDescent="0.2">
      <c r="A23" s="400" t="s">
        <v>1116</v>
      </c>
      <c r="B23" s="403">
        <f t="shared" si="0"/>
        <v>0</v>
      </c>
      <c r="C23" s="407"/>
      <c r="D23" s="406"/>
      <c r="E23" s="406"/>
      <c r="F23" s="406"/>
      <c r="G23" s="406"/>
      <c r="H23" s="406"/>
      <c r="I23" s="406"/>
      <c r="J23" s="406"/>
      <c r="K23" s="406"/>
      <c r="L23" s="406"/>
      <c r="M23" s="406"/>
      <c r="N23" s="406"/>
      <c r="O23" s="406"/>
      <c r="P23" s="406"/>
      <c r="Q23" s="406"/>
      <c r="R23" s="406"/>
      <c r="S23" s="406"/>
      <c r="T23" s="406"/>
      <c r="U23" s="406"/>
      <c r="V23" s="406"/>
      <c r="W23" s="406"/>
      <c r="X23" s="405"/>
      <c r="Y23" s="409"/>
      <c r="Z23" s="409"/>
      <c r="AA23" s="409"/>
    </row>
    <row r="24" spans="1:27" ht="15" customHeight="1" x14ac:dyDescent="0.2">
      <c r="A24" s="400" t="s">
        <v>1115</v>
      </c>
      <c r="B24" s="403">
        <f t="shared" si="0"/>
        <v>0</v>
      </c>
      <c r="C24" s="407">
        <f>'alb Note 17 - Commitments PFI'!E13</f>
        <v>0</v>
      </c>
      <c r="D24" s="422"/>
      <c r="E24" s="422"/>
      <c r="F24" s="422"/>
      <c r="G24" s="422"/>
      <c r="H24" s="422"/>
      <c r="I24" s="422"/>
      <c r="J24" s="422"/>
      <c r="K24" s="422"/>
      <c r="L24" s="422"/>
      <c r="M24" s="422"/>
      <c r="N24" s="422"/>
      <c r="O24" s="422"/>
      <c r="P24" s="422"/>
      <c r="Q24" s="422"/>
      <c r="R24" s="422"/>
      <c r="S24" s="422"/>
      <c r="T24" s="422"/>
      <c r="U24" s="422"/>
      <c r="V24" s="422"/>
      <c r="W24" s="422"/>
      <c r="X24" s="421"/>
      <c r="Y24" s="409" t="str">
        <f>'alb Note 17 - Commitments PFI'!H12</f>
        <v xml:space="preserve">Ok </v>
      </c>
      <c r="Z24" s="409" t="str">
        <f>'alb Note 17 - Commitments PFI'!H55</f>
        <v xml:space="preserve">Ok </v>
      </c>
    </row>
    <row r="25" spans="1:27" ht="15" customHeight="1" x14ac:dyDescent="0.2">
      <c r="A25" s="400" t="s">
        <v>1114</v>
      </c>
      <c r="B25" s="403">
        <f t="shared" si="0"/>
        <v>0</v>
      </c>
      <c r="C25" s="407">
        <f>'alb Note 18.2 - Other fin comm'!E16</f>
        <v>0</v>
      </c>
      <c r="D25" s="406">
        <f>'alb Note 18.2 - Other fin comm'!F16</f>
        <v>0</v>
      </c>
      <c r="E25" s="406">
        <f>'alb Note 18.2 - Other fin comm'!G16</f>
        <v>0</v>
      </c>
      <c r="F25" s="406">
        <f>'alb Note 18.2 - Other fin comm'!H16</f>
        <v>0</v>
      </c>
      <c r="G25" s="406">
        <f>'alb Note 18.2 - Other fin comm'!I16</f>
        <v>0</v>
      </c>
      <c r="H25" s="406">
        <f>'alb Note 18.2 - Other fin comm'!J16</f>
        <v>0</v>
      </c>
      <c r="I25" s="406">
        <f>'alb Note 18.2 - Other fin comm'!K16</f>
        <v>0</v>
      </c>
      <c r="J25" s="406">
        <f>'alb Note 18.2 - Other fin comm'!L16</f>
        <v>0</v>
      </c>
      <c r="K25" s="406">
        <f>'alb Note 18.2 - Other fin comm'!M16</f>
        <v>0</v>
      </c>
      <c r="L25" s="406">
        <f>'alb Note 18.2 - Other fin comm'!N16</f>
        <v>0</v>
      </c>
      <c r="M25" s="406">
        <f>'alb Note 18.2 - Other fin comm'!O16</f>
        <v>0</v>
      </c>
      <c r="N25" s="406">
        <f>'alb Note 18.2 - Other fin comm'!P16</f>
        <v>0</v>
      </c>
      <c r="O25" s="406">
        <f>'alb Note 18.2 - Other fin comm'!Q16</f>
        <v>0</v>
      </c>
      <c r="P25" s="406">
        <f>'alb Note 18.2 - Other fin comm'!R16</f>
        <v>0</v>
      </c>
      <c r="Q25" s="406">
        <f>'alb Note 18.2 - Other fin comm'!S16</f>
        <v>0</v>
      </c>
      <c r="R25" s="406">
        <f>'alb Note 18.2 - Other fin comm'!T16</f>
        <v>0</v>
      </c>
      <c r="S25" s="406">
        <f>'alb Note 18.2 - Other fin comm'!U16</f>
        <v>0</v>
      </c>
      <c r="T25" s="406">
        <f>'alb Note 18.2 - Other fin comm'!V16</f>
        <v>0</v>
      </c>
      <c r="U25" s="406">
        <f>'alb Note 18.2 - Other fin comm'!W16</f>
        <v>0</v>
      </c>
      <c r="V25" s="406">
        <f>'alb Note 18.2 - Other fin comm'!X16</f>
        <v>0</v>
      </c>
      <c r="W25" s="406">
        <f>'alb Note 18.2 - Other fin comm'!Y16</f>
        <v>0</v>
      </c>
      <c r="X25" s="405">
        <f>'alb Note 18.2 - Other fin comm'!Z16</f>
        <v>0</v>
      </c>
      <c r="Y25" s="409" t="str">
        <f>'alb Note 18.2 - Other fin comm'!AB16</f>
        <v xml:space="preserve">Ok </v>
      </c>
    </row>
    <row r="26" spans="1:27" ht="15" customHeight="1" x14ac:dyDescent="0.2">
      <c r="A26" s="400" t="s">
        <v>1113</v>
      </c>
      <c r="B26" s="403">
        <f t="shared" si="0"/>
        <v>0</v>
      </c>
      <c r="C26" s="407">
        <f>'alb Note 15.1- Financial Guar'!I12+'alb Note 15.1- Financial Guar'!I15+'alb Note 15.1- Financial Guar'!I18</f>
        <v>0</v>
      </c>
      <c r="D26" s="422"/>
      <c r="E26" s="422"/>
      <c r="F26" s="422"/>
      <c r="G26" s="422"/>
      <c r="H26" s="422"/>
      <c r="I26" s="422"/>
      <c r="J26" s="422"/>
      <c r="K26" s="422"/>
      <c r="L26" s="422"/>
      <c r="M26" s="422"/>
      <c r="N26" s="422"/>
      <c r="O26" s="422"/>
      <c r="P26" s="422"/>
      <c r="Q26" s="422"/>
      <c r="R26" s="422"/>
      <c r="S26" s="422"/>
      <c r="T26" s="422"/>
      <c r="U26" s="422"/>
      <c r="V26" s="422"/>
      <c r="W26" s="422"/>
      <c r="X26" s="421"/>
      <c r="Y26" s="409" t="str">
        <f>'alb Note 15.1- Financial Guar'!L12</f>
        <v xml:space="preserve">Ok </v>
      </c>
      <c r="Z26" s="409" t="str">
        <f>'alb Note 15.1- Financial Guar'!L15</f>
        <v xml:space="preserve">Ok </v>
      </c>
      <c r="AA26" s="409" t="str">
        <f>'alb Note 15.1- Financial Guar'!L18</f>
        <v xml:space="preserve">Ok </v>
      </c>
    </row>
    <row r="27" spans="1:27" ht="15" customHeight="1" x14ac:dyDescent="0.2">
      <c r="A27" s="400" t="s">
        <v>742</v>
      </c>
      <c r="B27" s="403">
        <f t="shared" si="0"/>
        <v>0</v>
      </c>
      <c r="C27" s="407">
        <f>'alb Note 15 - Cont liab'!E18</f>
        <v>0</v>
      </c>
      <c r="D27" s="422"/>
      <c r="E27" s="422"/>
      <c r="F27" s="422"/>
      <c r="G27" s="422"/>
      <c r="H27" s="422"/>
      <c r="I27" s="422"/>
      <c r="J27" s="422"/>
      <c r="K27" s="422"/>
      <c r="L27" s="422"/>
      <c r="M27" s="422"/>
      <c r="N27" s="422"/>
      <c r="O27" s="422"/>
      <c r="P27" s="422"/>
      <c r="Q27" s="422"/>
      <c r="R27" s="422"/>
      <c r="S27" s="422"/>
      <c r="T27" s="422"/>
      <c r="U27" s="422"/>
      <c r="V27" s="422"/>
      <c r="W27" s="422"/>
      <c r="X27" s="421"/>
      <c r="Y27" s="409" t="str">
        <f>'alb Note 15 - Cont liab'!H18</f>
        <v xml:space="preserve">Ok </v>
      </c>
    </row>
    <row r="28" spans="1:27" ht="15" customHeight="1" x14ac:dyDescent="0.2">
      <c r="A28" s="400" t="s">
        <v>1112</v>
      </c>
      <c r="B28" s="403">
        <f t="shared" si="0"/>
        <v>0</v>
      </c>
      <c r="C28" s="407">
        <f>'alb Note 20 Third Party Assets'!E17</f>
        <v>0</v>
      </c>
      <c r="D28" s="422"/>
      <c r="E28" s="422"/>
      <c r="F28" s="422"/>
      <c r="G28" s="422"/>
      <c r="H28" s="422"/>
      <c r="I28" s="422"/>
      <c r="J28" s="422"/>
      <c r="K28" s="422"/>
      <c r="L28" s="422"/>
      <c r="M28" s="422"/>
      <c r="N28" s="422"/>
      <c r="O28" s="422"/>
      <c r="P28" s="422"/>
      <c r="Q28" s="422"/>
      <c r="R28" s="422"/>
      <c r="S28" s="422"/>
      <c r="T28" s="422"/>
      <c r="U28" s="422"/>
      <c r="V28" s="422"/>
      <c r="W28" s="422"/>
      <c r="X28" s="421"/>
      <c r="Y28" s="409" t="str">
        <f>'alb Note 20 Third Party Assets'!H17</f>
        <v xml:space="preserve">Ok </v>
      </c>
    </row>
    <row r="29" spans="1:27" ht="15" customHeight="1" x14ac:dyDescent="0.2">
      <c r="A29" s="408"/>
      <c r="B29" s="403">
        <f t="shared" si="0"/>
        <v>0</v>
      </c>
      <c r="C29" s="407"/>
      <c r="D29" s="406"/>
      <c r="E29" s="406"/>
      <c r="F29" s="406"/>
      <c r="G29" s="406"/>
      <c r="H29" s="406"/>
      <c r="I29" s="406"/>
      <c r="J29" s="406"/>
      <c r="K29" s="406"/>
      <c r="L29" s="406"/>
      <c r="M29" s="406"/>
      <c r="N29" s="406"/>
      <c r="O29" s="406"/>
      <c r="P29" s="406"/>
      <c r="Q29" s="406"/>
      <c r="R29" s="406"/>
      <c r="S29" s="406"/>
      <c r="T29" s="406"/>
      <c r="U29" s="406"/>
      <c r="V29" s="406"/>
      <c r="W29" s="406"/>
      <c r="X29" s="405"/>
    </row>
    <row r="30" spans="1:27" ht="16.5" customHeight="1" x14ac:dyDescent="0.2">
      <c r="A30" s="408"/>
      <c r="B30" s="403">
        <f t="shared" si="0"/>
        <v>0</v>
      </c>
      <c r="C30" s="407"/>
      <c r="D30" s="406"/>
      <c r="E30" s="406"/>
      <c r="F30" s="406"/>
      <c r="G30" s="406"/>
      <c r="H30" s="406"/>
      <c r="I30" s="406"/>
      <c r="J30" s="406"/>
      <c r="K30" s="406"/>
      <c r="L30" s="406"/>
      <c r="M30" s="406"/>
      <c r="N30" s="406"/>
      <c r="O30" s="406"/>
      <c r="P30" s="406"/>
      <c r="Q30" s="406"/>
      <c r="R30" s="406"/>
      <c r="S30" s="406"/>
      <c r="T30" s="406"/>
      <c r="U30" s="406"/>
      <c r="V30" s="406"/>
      <c r="W30" s="406"/>
      <c r="X30" s="405"/>
    </row>
    <row r="31" spans="1:27" ht="16.5" hidden="1" customHeight="1" outlineLevel="1" thickBot="1" x14ac:dyDescent="0.25">
      <c r="A31" s="400" t="s">
        <v>1111</v>
      </c>
      <c r="B31" s="399">
        <f>SUM(B10:B30)</f>
        <v>0</v>
      </c>
      <c r="C31" s="404">
        <v>0</v>
      </c>
      <c r="D31" s="404">
        <f t="shared" ref="D31:X31" si="1">SUM(D10:D30)</f>
        <v>0</v>
      </c>
      <c r="E31" s="404">
        <f t="shared" si="1"/>
        <v>0</v>
      </c>
      <c r="F31" s="404">
        <f t="shared" si="1"/>
        <v>0</v>
      </c>
      <c r="G31" s="404">
        <f t="shared" si="1"/>
        <v>0</v>
      </c>
      <c r="H31" s="404">
        <f t="shared" si="1"/>
        <v>0</v>
      </c>
      <c r="I31" s="404">
        <f t="shared" si="1"/>
        <v>0</v>
      </c>
      <c r="J31" s="404">
        <f t="shared" si="1"/>
        <v>0</v>
      </c>
      <c r="K31" s="404">
        <f t="shared" si="1"/>
        <v>0</v>
      </c>
      <c r="L31" s="404">
        <f t="shared" si="1"/>
        <v>0</v>
      </c>
      <c r="M31" s="404">
        <f t="shared" si="1"/>
        <v>0</v>
      </c>
      <c r="N31" s="404">
        <f t="shared" si="1"/>
        <v>0</v>
      </c>
      <c r="O31" s="404">
        <f t="shared" si="1"/>
        <v>0</v>
      </c>
      <c r="P31" s="404">
        <f t="shared" si="1"/>
        <v>0</v>
      </c>
      <c r="Q31" s="404">
        <f t="shared" si="1"/>
        <v>0</v>
      </c>
      <c r="R31" s="404">
        <f t="shared" si="1"/>
        <v>0</v>
      </c>
      <c r="S31" s="404">
        <f t="shared" si="1"/>
        <v>0</v>
      </c>
      <c r="T31" s="404">
        <f t="shared" si="1"/>
        <v>0</v>
      </c>
      <c r="U31" s="404">
        <f t="shared" si="1"/>
        <v>0</v>
      </c>
      <c r="V31" s="404">
        <f t="shared" si="1"/>
        <v>0</v>
      </c>
      <c r="W31" s="404">
        <f t="shared" si="1"/>
        <v>0</v>
      </c>
      <c r="X31" s="404">
        <f t="shared" si="1"/>
        <v>0</v>
      </c>
    </row>
    <row r="32" spans="1:27" ht="16.5" hidden="1" customHeight="1" outlineLevel="1" x14ac:dyDescent="0.2"/>
    <row r="33" spans="1:31" ht="16.5" hidden="1" customHeight="1" outlineLevel="1" x14ac:dyDescent="0.2">
      <c r="A33" s="400" t="s">
        <v>1110</v>
      </c>
      <c r="B33" s="403">
        <f>SUM(B12:B32)</f>
        <v>0</v>
      </c>
      <c r="C33" s="402">
        <f>SUM(D33:X33)</f>
        <v>0</v>
      </c>
      <c r="D33" s="422"/>
      <c r="E33" s="422"/>
      <c r="F33" s="422"/>
      <c r="G33" s="422"/>
      <c r="H33" s="422"/>
      <c r="I33" s="422"/>
      <c r="J33" s="422"/>
      <c r="K33" s="422"/>
      <c r="L33" s="422"/>
      <c r="M33" s="422"/>
      <c r="N33" s="422"/>
      <c r="O33" s="422"/>
      <c r="P33" s="422"/>
      <c r="Q33" s="422"/>
      <c r="R33" s="422"/>
      <c r="S33" s="422"/>
      <c r="T33" s="422"/>
      <c r="U33" s="422"/>
      <c r="V33" s="422"/>
      <c r="W33" s="422"/>
      <c r="X33" s="421"/>
    </row>
    <row r="34" spans="1:31" ht="16.5" hidden="1" customHeight="1" outlineLevel="1" x14ac:dyDescent="0.2">
      <c r="A34" s="388"/>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Z34" s="388"/>
      <c r="AA34" s="388"/>
      <c r="AB34" s="388"/>
      <c r="AC34" s="388"/>
      <c r="AD34" s="388"/>
      <c r="AE34" s="388"/>
    </row>
    <row r="35" spans="1:31" ht="16.5" hidden="1" customHeight="1" outlineLevel="1" x14ac:dyDescent="0.2">
      <c r="A35" s="401" t="s">
        <v>1109</v>
      </c>
      <c r="D35" s="420"/>
      <c r="E35" s="420"/>
      <c r="F35" s="420"/>
      <c r="G35" s="420"/>
      <c r="H35" s="420"/>
      <c r="I35" s="420"/>
      <c r="J35" s="420"/>
      <c r="K35" s="420"/>
      <c r="L35" s="420"/>
      <c r="M35" s="420"/>
      <c r="N35" s="420"/>
      <c r="O35" s="420"/>
      <c r="P35" s="420"/>
      <c r="Q35" s="420"/>
      <c r="R35" s="420"/>
      <c r="S35" s="420"/>
      <c r="T35" s="420"/>
      <c r="U35" s="420"/>
      <c r="V35" s="420"/>
      <c r="W35" s="420"/>
      <c r="X35" s="419"/>
    </row>
    <row r="36" spans="1:31" ht="16.5" hidden="1" customHeight="1" outlineLevel="1" x14ac:dyDescent="0.2">
      <c r="A36" s="401" t="s">
        <v>1108</v>
      </c>
      <c r="D36" s="418"/>
      <c r="E36" s="418"/>
      <c r="F36" s="418"/>
      <c r="G36" s="418"/>
      <c r="H36" s="418"/>
      <c r="I36" s="418"/>
      <c r="J36" s="418"/>
      <c r="K36" s="418"/>
      <c r="L36" s="418"/>
      <c r="M36" s="418"/>
      <c r="N36" s="418"/>
      <c r="O36" s="418"/>
      <c r="P36" s="418"/>
      <c r="Q36" s="418"/>
      <c r="R36" s="418"/>
      <c r="S36" s="418"/>
      <c r="T36" s="418"/>
      <c r="U36" s="418"/>
      <c r="V36" s="418"/>
      <c r="W36" s="418"/>
      <c r="X36" s="417"/>
    </row>
    <row r="37" spans="1:31" ht="16.5" hidden="1" customHeight="1" outlineLevel="1" x14ac:dyDescent="0.2">
      <c r="A37" s="388"/>
      <c r="C37" s="388"/>
      <c r="D37" s="388"/>
      <c r="E37" s="388"/>
      <c r="F37" s="388"/>
      <c r="G37" s="388"/>
      <c r="H37" s="388"/>
      <c r="I37" s="388"/>
      <c r="J37" s="388"/>
      <c r="K37" s="388"/>
      <c r="L37" s="388"/>
      <c r="M37" s="388"/>
      <c r="N37" s="388"/>
      <c r="O37" s="388"/>
      <c r="P37" s="388"/>
      <c r="Q37" s="388"/>
      <c r="R37" s="388"/>
      <c r="S37" s="388"/>
      <c r="T37" s="388"/>
      <c r="U37" s="388"/>
      <c r="V37" s="388"/>
      <c r="W37" s="388"/>
      <c r="X37" s="388"/>
      <c r="Z37" s="388"/>
      <c r="AA37" s="388"/>
      <c r="AB37" s="388"/>
      <c r="AC37" s="388"/>
    </row>
    <row r="38" spans="1:31" ht="16.5" hidden="1" customHeight="1" outlineLevel="1" thickBot="1" x14ac:dyDescent="0.25">
      <c r="A38" s="400" t="s">
        <v>1107</v>
      </c>
      <c r="B38" s="399">
        <f t="shared" ref="B38:X38" si="2">B31-B33</f>
        <v>0</v>
      </c>
      <c r="C38" s="398">
        <f t="shared" si="2"/>
        <v>0</v>
      </c>
      <c r="D38" s="398">
        <f t="shared" si="2"/>
        <v>0</v>
      </c>
      <c r="E38" s="398">
        <f t="shared" si="2"/>
        <v>0</v>
      </c>
      <c r="F38" s="398">
        <f t="shared" si="2"/>
        <v>0</v>
      </c>
      <c r="G38" s="398">
        <f t="shared" si="2"/>
        <v>0</v>
      </c>
      <c r="H38" s="398">
        <f t="shared" si="2"/>
        <v>0</v>
      </c>
      <c r="I38" s="398">
        <f t="shared" si="2"/>
        <v>0</v>
      </c>
      <c r="J38" s="398">
        <f t="shared" si="2"/>
        <v>0</v>
      </c>
      <c r="K38" s="398">
        <f t="shared" si="2"/>
        <v>0</v>
      </c>
      <c r="L38" s="398">
        <f t="shared" si="2"/>
        <v>0</v>
      </c>
      <c r="M38" s="398">
        <f t="shared" si="2"/>
        <v>0</v>
      </c>
      <c r="N38" s="398">
        <f t="shared" si="2"/>
        <v>0</v>
      </c>
      <c r="O38" s="398">
        <f t="shared" si="2"/>
        <v>0</v>
      </c>
      <c r="P38" s="398">
        <f t="shared" si="2"/>
        <v>0</v>
      </c>
      <c r="Q38" s="398">
        <f t="shared" si="2"/>
        <v>0</v>
      </c>
      <c r="R38" s="398">
        <f t="shared" si="2"/>
        <v>0</v>
      </c>
      <c r="S38" s="398">
        <f t="shared" si="2"/>
        <v>0</v>
      </c>
      <c r="T38" s="398">
        <f t="shared" si="2"/>
        <v>0</v>
      </c>
      <c r="U38" s="398">
        <f t="shared" si="2"/>
        <v>0</v>
      </c>
      <c r="V38" s="398">
        <f t="shared" si="2"/>
        <v>0</v>
      </c>
      <c r="W38" s="398">
        <f t="shared" si="2"/>
        <v>0</v>
      </c>
      <c r="X38" s="398">
        <f t="shared" si="2"/>
        <v>0</v>
      </c>
    </row>
    <row r="39" spans="1:31" ht="16.5" hidden="1" customHeight="1" outlineLevel="1" x14ac:dyDescent="0.2"/>
    <row r="40" spans="1:31" ht="16.5" customHeight="1" collapsed="1" x14ac:dyDescent="0.2"/>
  </sheetData>
  <sheetProtection algorithmName="SHA-512" hashValue="RwTxtvh126lCgHdjALDDjCmWxr1gAR5rxJZlOxO78DadaYkImSB4yifeB3MTH4u35f1p8rLHZG5KJUQzx75DdQ==" saltValue="Ni4i31tPNvBmyzUKZWRbtw==" spinCount="100000" sheet="1" formatColumns="0" formatRows="0"/>
  <conditionalFormatting sqref="A1:AE40">
    <cfRule type="expression" dxfId="16" priority="1">
      <formula>CELL("Protect",A1)=0</formula>
    </cfRule>
  </conditionalFormatting>
  <printOptions horizontalCentered="1"/>
  <pageMargins left="0" right="0" top="0.59055118110236227" bottom="0.59055118110236227" header="0.51181102362204722" footer="0.51181102362204722"/>
  <pageSetup paperSize="9" scale="46"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tabColor rgb="FF92D050"/>
  </sheetPr>
  <dimension ref="A1:F288"/>
  <sheetViews>
    <sheetView zoomScale="90" zoomScaleNormal="90" workbookViewId="0"/>
  </sheetViews>
  <sheetFormatPr defaultColWidth="9.140625" defaultRowHeight="12.75" outlineLevelRow="1" x14ac:dyDescent="0.2"/>
  <cols>
    <col min="1" max="1" width="47.140625" style="397" customWidth="1"/>
    <col min="2" max="2" width="16.85546875" style="453" customWidth="1"/>
    <col min="3" max="5" width="13.42578125" style="397" customWidth="1"/>
    <col min="6" max="6" width="49.7109375" style="397" bestFit="1" customWidth="1"/>
    <col min="7" max="16384" width="9.140625" style="397"/>
  </cols>
  <sheetData>
    <row r="1" spans="1:6" x14ac:dyDescent="0.2">
      <c r="A1" s="416" t="str">
        <f>'alb Instructions'!$B$20</f>
        <v>enter HSC Body name here</v>
      </c>
      <c r="B1" s="497"/>
    </row>
    <row r="2" spans="1:6" ht="31.5" customHeight="1" x14ac:dyDescent="0.4">
      <c r="A2" s="496"/>
      <c r="C2" s="2166" t="str">
        <f>Update!$C$38</f>
        <v>2025-26</v>
      </c>
      <c r="D2" s="2167" t="str">
        <f>Update!$C$38</f>
        <v>2025-26</v>
      </c>
      <c r="E2" s="2168" t="str">
        <f>Update!$C$38</f>
        <v>2025-26</v>
      </c>
      <c r="F2" s="1867" t="s">
        <v>2629</v>
      </c>
    </row>
    <row r="3" spans="1:6" ht="15" customHeight="1" x14ac:dyDescent="0.2">
      <c r="A3" s="495" t="s">
        <v>1207</v>
      </c>
      <c r="B3" s="453" t="s">
        <v>281</v>
      </c>
      <c r="C3" s="441" t="s">
        <v>281</v>
      </c>
      <c r="D3" s="397" t="s">
        <v>281</v>
      </c>
      <c r="E3" s="477" t="s">
        <v>281</v>
      </c>
      <c r="F3" s="427" t="s">
        <v>281</v>
      </c>
    </row>
    <row r="4" spans="1:6" ht="15" customHeight="1" x14ac:dyDescent="0.2">
      <c r="A4" s="484" t="s">
        <v>1206</v>
      </c>
      <c r="C4" s="441"/>
      <c r="E4" s="477"/>
      <c r="F4" s="427"/>
    </row>
    <row r="5" spans="1:6" ht="15" customHeight="1" x14ac:dyDescent="0.2">
      <c r="A5" s="397" t="s">
        <v>1205</v>
      </c>
      <c r="C5" s="478">
        <f>+'alb Note 3 &amp; 3.1 - Expenditure'!C29+'alb Note 3 &amp; 3.1 - Expenditure'!C31</f>
        <v>0</v>
      </c>
      <c r="D5" s="2169" t="str">
        <f>IF(C5=C6,"OK","Error")</f>
        <v>OK</v>
      </c>
      <c r="E5" s="477"/>
      <c r="F5" s="427"/>
    </row>
    <row r="6" spans="1:6" ht="15" customHeight="1" x14ac:dyDescent="0.2">
      <c r="A6" s="397" t="s">
        <v>1204</v>
      </c>
      <c r="C6" s="478">
        <f>+'alb Note 14 - Provisions CY'!J16+'alb Note 14 - Provisions CY'!J18+'alb Note 14 - Provisions CY'!J22</f>
        <v>0</v>
      </c>
      <c r="D6" s="2169"/>
      <c r="E6" s="479">
        <f>+C6-C5</f>
        <v>0</v>
      </c>
      <c r="F6" s="427"/>
    </row>
    <row r="7" spans="1:6" ht="15" customHeight="1" x14ac:dyDescent="0.2">
      <c r="C7" s="441"/>
      <c r="E7" s="477"/>
      <c r="F7" s="427"/>
    </row>
    <row r="8" spans="1:6" ht="15" customHeight="1" x14ac:dyDescent="0.2">
      <c r="A8" s="397" t="s">
        <v>1203</v>
      </c>
      <c r="C8" s="478">
        <f>'alb Note 14 - Provisions CY'!H24</f>
        <v>0</v>
      </c>
      <c r="D8" s="2169" t="str">
        <f>IF(ROUND(C8,0)=ROUND(C9,0),"OK","Error")</f>
        <v>OK</v>
      </c>
      <c r="E8" s="479"/>
      <c r="F8" s="427"/>
    </row>
    <row r="9" spans="1:6" ht="15" customHeight="1" x14ac:dyDescent="0.2">
      <c r="A9" s="397" t="s">
        <v>1202</v>
      </c>
      <c r="C9" s="478">
        <f>'alb Note 14 - Provisions CY'!H54</f>
        <v>0</v>
      </c>
      <c r="D9" s="2169"/>
      <c r="E9" s="477"/>
      <c r="F9" s="427"/>
    </row>
    <row r="10" spans="1:6" ht="15" customHeight="1" x14ac:dyDescent="0.2">
      <c r="C10" s="441"/>
      <c r="E10" s="477"/>
      <c r="F10" s="427"/>
    </row>
    <row r="11" spans="1:6" ht="15" customHeight="1" x14ac:dyDescent="0.2">
      <c r="A11" s="388" t="s">
        <v>1201</v>
      </c>
      <c r="C11" s="441"/>
      <c r="E11" s="477"/>
      <c r="F11" s="427"/>
    </row>
    <row r="12" spans="1:6" ht="15" customHeight="1" x14ac:dyDescent="0.2">
      <c r="A12" s="397" t="s">
        <v>1200</v>
      </c>
      <c r="C12" s="478">
        <f>+'alb SFP'!C39+'alb SFP'!C47</f>
        <v>0</v>
      </c>
      <c r="D12" s="2169" t="str">
        <f>IF(C12=-C13,"OK","Error")</f>
        <v>OK</v>
      </c>
      <c r="E12" s="477"/>
      <c r="F12" s="427"/>
    </row>
    <row r="13" spans="1:6" ht="15" customHeight="1" x14ac:dyDescent="0.2">
      <c r="A13" s="397" t="s">
        <v>1199</v>
      </c>
      <c r="C13" s="478">
        <f>+'alb Note 14 - Provisions CY'!H54</f>
        <v>0</v>
      </c>
      <c r="D13" s="2169"/>
      <c r="E13" s="479">
        <f>+C12+C13</f>
        <v>0</v>
      </c>
      <c r="F13" s="427"/>
    </row>
    <row r="14" spans="1:6" ht="15" customHeight="1" x14ac:dyDescent="0.2">
      <c r="C14" s="441"/>
      <c r="E14" s="477"/>
      <c r="F14" s="427"/>
    </row>
    <row r="15" spans="1:6" ht="15" hidden="1" customHeight="1" outlineLevel="1" x14ac:dyDescent="0.2">
      <c r="A15" s="397" t="s">
        <v>1198</v>
      </c>
      <c r="C15" s="478"/>
      <c r="D15" s="2169" t="str">
        <f>IF(C15=C16,"Yes","No")</f>
        <v>Yes</v>
      </c>
      <c r="E15" s="477"/>
      <c r="F15" s="427" t="s">
        <v>1960</v>
      </c>
    </row>
    <row r="16" spans="1:6" ht="15" hidden="1" customHeight="1" outlineLevel="1" x14ac:dyDescent="0.2">
      <c r="A16" s="397" t="s">
        <v>1197</v>
      </c>
      <c r="C16" s="478"/>
      <c r="D16" s="2169"/>
      <c r="E16" s="479">
        <f>+C16-C15</f>
        <v>0</v>
      </c>
      <c r="F16" s="427" t="s">
        <v>1960</v>
      </c>
    </row>
    <row r="17" spans="1:6" ht="15" hidden="1" customHeight="1" outlineLevel="1" x14ac:dyDescent="0.2">
      <c r="C17" s="441"/>
      <c r="E17" s="477"/>
      <c r="F17" s="427" t="s">
        <v>1960</v>
      </c>
    </row>
    <row r="18" spans="1:6" ht="15" hidden="1" customHeight="1" outlineLevel="1" x14ac:dyDescent="0.2">
      <c r="C18" s="441"/>
      <c r="E18" s="477"/>
      <c r="F18" s="427" t="s">
        <v>1960</v>
      </c>
    </row>
    <row r="19" spans="1:6" ht="15" customHeight="1" collapsed="1" x14ac:dyDescent="0.25">
      <c r="A19" s="493" t="s">
        <v>1165</v>
      </c>
      <c r="C19" s="441"/>
      <c r="E19" s="477"/>
      <c r="F19" s="427"/>
    </row>
    <row r="20" spans="1:6" ht="15" customHeight="1" x14ac:dyDescent="0.2">
      <c r="A20" s="484" t="s">
        <v>1196</v>
      </c>
      <c r="C20" s="441"/>
      <c r="E20" s="477"/>
      <c r="F20" s="427"/>
    </row>
    <row r="21" spans="1:6" ht="15" customHeight="1" x14ac:dyDescent="0.2">
      <c r="A21" s="397" t="s">
        <v>1195</v>
      </c>
      <c r="C21" s="478">
        <f>'alb SFP'!C11+'alb SFP'!C12+'alb SFP'!C13</f>
        <v>0</v>
      </c>
      <c r="D21" s="2169" t="str">
        <f>IF(ROUND(C21,0)=ROUND(C22,0),"OK","Error")</f>
        <v>OK</v>
      </c>
      <c r="E21" s="477"/>
      <c r="F21" s="427"/>
    </row>
    <row r="22" spans="1:6" ht="15" customHeight="1" x14ac:dyDescent="0.2">
      <c r="A22" s="397" t="s">
        <v>2599</v>
      </c>
      <c r="C22" s="478">
        <f>'alb Note 5.1 -PP&amp;E - CY'!J44+'alb Note 6.1 -  Intangibles CY'!J41</f>
        <v>0</v>
      </c>
      <c r="D22" s="2169"/>
      <c r="E22" s="479">
        <f>+C22-C21</f>
        <v>0</v>
      </c>
      <c r="F22" s="427"/>
    </row>
    <row r="23" spans="1:6" ht="15" customHeight="1" x14ac:dyDescent="0.2">
      <c r="C23" s="441"/>
      <c r="E23" s="477"/>
      <c r="F23" s="427"/>
    </row>
    <row r="24" spans="1:6" ht="15" customHeight="1" x14ac:dyDescent="0.2">
      <c r="A24" s="495" t="s">
        <v>1194</v>
      </c>
      <c r="C24" s="482"/>
      <c r="D24" s="480"/>
      <c r="E24" s="479"/>
      <c r="F24" s="427"/>
    </row>
    <row r="25" spans="1:6" ht="15" customHeight="1" x14ac:dyDescent="0.2">
      <c r="C25" s="441"/>
      <c r="E25" s="477"/>
      <c r="F25" s="427"/>
    </row>
    <row r="26" spans="1:6" ht="15" customHeight="1" x14ac:dyDescent="0.2">
      <c r="A26" s="397" t="s">
        <v>2596</v>
      </c>
      <c r="C26" s="478">
        <f>(-'alb Note 5.1 -PP&amp;E - CY'!J19+'alb Note 5.1 -PP&amp;E - CY'!J35-'alb Note 5.1 -PP&amp;E - CY'!J21+'alb Note 5.1 -PP&amp;E - CY'!J37-'alb Note 5.1 -PP&amp;E - CY'!J20+'alb Note 5.1 -PP&amp;E - CY'!J36)</f>
        <v>0</v>
      </c>
      <c r="E26" s="477"/>
      <c r="F26" s="427"/>
    </row>
    <row r="27" spans="1:6" ht="15" customHeight="1" x14ac:dyDescent="0.2">
      <c r="A27" s="397" t="s">
        <v>2597</v>
      </c>
      <c r="C27" s="478">
        <f>(-'alb Note 6.1 -  Intangibles CY'!J19+'alb Note 6.1 -  Intangibles CY'!J33)</f>
        <v>0</v>
      </c>
      <c r="E27" s="477"/>
      <c r="F27" s="427"/>
    </row>
    <row r="28" spans="1:6" ht="15" customHeight="1" x14ac:dyDescent="0.2">
      <c r="A28" s="397" t="s">
        <v>2598</v>
      </c>
      <c r="C28" s="478">
        <f>(-'alb Note 5.3 -Asset held resale'!K15+'alb Note 5.3 -Asset held resale'!K23)</f>
        <v>0</v>
      </c>
      <c r="E28" s="477"/>
      <c r="F28" s="427"/>
    </row>
    <row r="29" spans="1:6" ht="15" customHeight="1" x14ac:dyDescent="0.2">
      <c r="A29" s="388" t="s">
        <v>1191</v>
      </c>
      <c r="C29" s="1182">
        <f>C26+C27+C28</f>
        <v>0</v>
      </c>
      <c r="E29" s="477"/>
      <c r="F29" s="427"/>
    </row>
    <row r="30" spans="1:6" ht="15" customHeight="1" x14ac:dyDescent="0.2">
      <c r="C30" s="478"/>
      <c r="E30" s="477"/>
      <c r="F30" s="427"/>
    </row>
    <row r="31" spans="1:6" ht="25.5" x14ac:dyDescent="0.2">
      <c r="A31" s="384" t="s">
        <v>1193</v>
      </c>
      <c r="C31" s="478">
        <f>'alb Note 7 - Impairments'!B10+'alb Note 7 - Impairments'!D10</f>
        <v>0</v>
      </c>
      <c r="E31" s="477"/>
      <c r="F31" s="427"/>
    </row>
    <row r="32" spans="1:6" ht="25.5" customHeight="1" x14ac:dyDescent="0.2">
      <c r="A32" s="384" t="s">
        <v>1192</v>
      </c>
      <c r="C32" s="478">
        <f>+'alb Note 7 - Impairments'!B11+'alb Note 7 - Impairments'!D11</f>
        <v>0</v>
      </c>
      <c r="D32" s="2169" t="str">
        <f>IF(C29=C33,"OK","Error")</f>
        <v>OK</v>
      </c>
      <c r="E32" s="477"/>
      <c r="F32" s="427"/>
    </row>
    <row r="33" spans="1:6" ht="15" customHeight="1" x14ac:dyDescent="0.2">
      <c r="A33" s="388" t="s">
        <v>1191</v>
      </c>
      <c r="C33" s="1182">
        <f>C31+C32</f>
        <v>0</v>
      </c>
      <c r="D33" s="2169"/>
      <c r="E33" s="477"/>
      <c r="F33" s="427"/>
    </row>
    <row r="34" spans="1:6" ht="15" customHeight="1" x14ac:dyDescent="0.2">
      <c r="C34" s="441"/>
      <c r="E34" s="477"/>
      <c r="F34" s="427"/>
    </row>
    <row r="35" spans="1:6" ht="15" customHeight="1" x14ac:dyDescent="0.2">
      <c r="C35" s="482"/>
      <c r="D35" s="480"/>
      <c r="E35" s="479"/>
      <c r="F35" s="427"/>
    </row>
    <row r="36" spans="1:6" ht="15" customHeight="1" x14ac:dyDescent="0.2">
      <c r="A36" s="495" t="s">
        <v>125</v>
      </c>
      <c r="C36" s="482"/>
      <c r="D36" s="480"/>
      <c r="E36" s="479"/>
      <c r="F36" s="427"/>
    </row>
    <row r="37" spans="1:6" ht="15" customHeight="1" x14ac:dyDescent="0.2">
      <c r="A37" s="397" t="s">
        <v>745</v>
      </c>
      <c r="C37" s="478">
        <f>'alb SoCITE'!D30</f>
        <v>0</v>
      </c>
      <c r="D37" s="481"/>
      <c r="E37" s="479"/>
      <c r="F37" s="427"/>
    </row>
    <row r="38" spans="1:6" ht="15" customHeight="1" x14ac:dyDescent="0.2">
      <c r="A38" s="397" t="s">
        <v>1190</v>
      </c>
      <c r="C38" s="478">
        <f>'alb SoCITE'!C30</f>
        <v>0</v>
      </c>
      <c r="D38" s="2169" t="str">
        <f>IF(C39=0,"OK","Error")</f>
        <v>OK</v>
      </c>
      <c r="E38" s="477"/>
      <c r="F38" s="427"/>
    </row>
    <row r="39" spans="1:6" ht="15" customHeight="1" x14ac:dyDescent="0.2">
      <c r="A39" s="397" t="s">
        <v>146</v>
      </c>
      <c r="C39" s="478">
        <f>C37+C38</f>
        <v>0</v>
      </c>
      <c r="D39" s="2170"/>
      <c r="E39" s="477"/>
      <c r="F39" s="427"/>
    </row>
    <row r="40" spans="1:6" ht="15" customHeight="1" x14ac:dyDescent="0.2">
      <c r="C40" s="441"/>
      <c r="E40" s="477"/>
      <c r="F40" s="427"/>
    </row>
    <row r="41" spans="1:6" ht="15" customHeight="1" x14ac:dyDescent="0.2">
      <c r="C41" s="482"/>
      <c r="D41" s="480"/>
      <c r="E41" s="479"/>
      <c r="F41" s="427"/>
    </row>
    <row r="42" spans="1:6" ht="15" customHeight="1" x14ac:dyDescent="0.2">
      <c r="A42" s="495" t="s">
        <v>1189</v>
      </c>
      <c r="C42" s="441"/>
      <c r="E42" s="477"/>
      <c r="F42" s="427"/>
    </row>
    <row r="43" spans="1:6" ht="15" customHeight="1" x14ac:dyDescent="0.2">
      <c r="A43" s="484" t="s">
        <v>1188</v>
      </c>
      <c r="C43" s="441"/>
      <c r="E43" s="477"/>
      <c r="F43" s="427"/>
    </row>
    <row r="44" spans="1:6" ht="15" customHeight="1" x14ac:dyDescent="0.2">
      <c r="A44" s="397" t="s">
        <v>2595</v>
      </c>
      <c r="C44" s="478">
        <f>'alb Note 5.1 -PP&amp;E - CY'!J39</f>
        <v>0</v>
      </c>
      <c r="D44" s="2169" t="str">
        <f>IF(C44=C45,"OK","Error")</f>
        <v>OK</v>
      </c>
      <c r="E44" s="477"/>
      <c r="F44" s="427"/>
    </row>
    <row r="45" spans="1:6" ht="15" customHeight="1" x14ac:dyDescent="0.2">
      <c r="A45" s="397" t="s">
        <v>2594</v>
      </c>
      <c r="C45" s="478">
        <f>+'alb Note 3 &amp; 3.1 - Expenditure'!C23</f>
        <v>0</v>
      </c>
      <c r="D45" s="2169"/>
      <c r="E45" s="479">
        <f>+C44-C45</f>
        <v>0</v>
      </c>
      <c r="F45" s="427"/>
    </row>
    <row r="46" spans="1:6" ht="15" customHeight="1" x14ac:dyDescent="0.2">
      <c r="C46" s="482"/>
      <c r="D46" s="480"/>
      <c r="E46" s="479"/>
      <c r="F46" s="427"/>
    </row>
    <row r="47" spans="1:6" ht="15" customHeight="1" x14ac:dyDescent="0.2">
      <c r="A47" s="495" t="s">
        <v>1187</v>
      </c>
      <c r="C47" s="482"/>
      <c r="D47" s="480"/>
      <c r="E47" s="479"/>
      <c r="F47" s="427"/>
    </row>
    <row r="48" spans="1:6" ht="15" customHeight="1" x14ac:dyDescent="0.2">
      <c r="A48" s="397" t="s">
        <v>2593</v>
      </c>
      <c r="C48" s="478">
        <f>'alb Note 6.1 -  Intangibles CY'!J36</f>
        <v>0</v>
      </c>
      <c r="D48" s="2169" t="str">
        <f>IF(C48=C49,"OK","Error")</f>
        <v>OK</v>
      </c>
      <c r="E48" s="479"/>
      <c r="F48" s="427"/>
    </row>
    <row r="49" spans="1:6" ht="15" customHeight="1" x14ac:dyDescent="0.2">
      <c r="A49" s="397" t="s">
        <v>2594</v>
      </c>
      <c r="C49" s="478">
        <f>'alb Note 3 &amp; 3.1 - Expenditure'!C24</f>
        <v>0</v>
      </c>
      <c r="D49" s="2169"/>
      <c r="E49" s="479">
        <f>+C48-C49</f>
        <v>0</v>
      </c>
      <c r="F49" s="427"/>
    </row>
    <row r="50" spans="1:6" ht="15" customHeight="1" x14ac:dyDescent="0.2">
      <c r="C50" s="482"/>
      <c r="D50" s="480"/>
      <c r="E50" s="479"/>
      <c r="F50" s="427"/>
    </row>
    <row r="51" spans="1:6" ht="15" customHeight="1" x14ac:dyDescent="0.2">
      <c r="C51" s="441"/>
      <c r="E51" s="477"/>
      <c r="F51" s="427"/>
    </row>
    <row r="52" spans="1:6" ht="15" customHeight="1" x14ac:dyDescent="0.2">
      <c r="A52" s="495" t="s">
        <v>1186</v>
      </c>
      <c r="C52" s="441"/>
      <c r="E52" s="477"/>
      <c r="F52" s="427"/>
    </row>
    <row r="53" spans="1:6" ht="15" customHeight="1" x14ac:dyDescent="0.2">
      <c r="A53" s="397" t="s">
        <v>2591</v>
      </c>
      <c r="C53" s="478">
        <f>'alb Note 5.1 -PP&amp;E - CY'!J13-'alb Note 5.1 -PP&amp;E - CY'!J31+'alb Note 6.1 -  Intangibles CY'!J13-'alb Note 6.1 -  Intangibles CY'!J29</f>
        <v>0</v>
      </c>
      <c r="D53" s="481"/>
      <c r="E53" s="477"/>
      <c r="F53" s="427"/>
    </row>
    <row r="54" spans="1:6" ht="15" customHeight="1" x14ac:dyDescent="0.2">
      <c r="A54" s="397" t="s">
        <v>2592</v>
      </c>
      <c r="C54" s="478">
        <f>'alb Note 5.1 -PP&amp;E - CY'!J18-'alb Note 5.1 -PP&amp;E - CY'!J34+'alb Note 6.1 -  Intangibles CY'!J18-'alb Note 6.1 -  Intangibles CY'!J32</f>
        <v>0</v>
      </c>
      <c r="D54" s="481"/>
      <c r="E54" s="479"/>
      <c r="F54" s="427"/>
    </row>
    <row r="55" spans="1:6" ht="15" customHeight="1" x14ac:dyDescent="0.4">
      <c r="A55" s="388" t="s">
        <v>1185</v>
      </c>
      <c r="C55" s="1182">
        <f>C53+C54</f>
        <v>0</v>
      </c>
      <c r="D55" s="471"/>
      <c r="E55" s="477"/>
      <c r="F55" s="427"/>
    </row>
    <row r="56" spans="1:6" ht="15" customHeight="1" x14ac:dyDescent="0.4">
      <c r="A56" s="484" t="s">
        <v>1184</v>
      </c>
      <c r="C56" s="478"/>
      <c r="D56" s="471"/>
      <c r="E56" s="477"/>
      <c r="F56" s="427"/>
    </row>
    <row r="57" spans="1:6" ht="15" customHeight="1" x14ac:dyDescent="0.2">
      <c r="A57" s="397" t="s">
        <v>1183</v>
      </c>
      <c r="C57" s="478">
        <f>+'alb SoCNE'!C54+'alb SoCNE'!C56+'alb Note 7 - Impairments'!B11+'alb Note 7 - Impairments'!D11</f>
        <v>0</v>
      </c>
      <c r="D57" s="2169" t="str">
        <f>IF(C57=C55,"OK","Error")</f>
        <v>OK</v>
      </c>
      <c r="E57" s="477"/>
      <c r="F57" s="427"/>
    </row>
    <row r="58" spans="1:6" ht="15" customHeight="1" x14ac:dyDescent="0.2">
      <c r="C58" s="478"/>
      <c r="D58" s="2169"/>
      <c r="E58" s="479">
        <f>+C57-C55</f>
        <v>0</v>
      </c>
      <c r="F58" s="427"/>
    </row>
    <row r="59" spans="1:6" ht="15" customHeight="1" x14ac:dyDescent="0.2">
      <c r="C59" s="441"/>
      <c r="E59" s="477"/>
      <c r="F59" s="427"/>
    </row>
    <row r="60" spans="1:6" ht="15" customHeight="1" x14ac:dyDescent="0.2">
      <c r="C60" s="441"/>
      <c r="E60" s="477"/>
      <c r="F60" s="427"/>
    </row>
    <row r="61" spans="1:6" ht="15" customHeight="1" x14ac:dyDescent="0.2">
      <c r="C61" s="441"/>
      <c r="E61" s="477"/>
      <c r="F61" s="427"/>
    </row>
    <row r="62" spans="1:6" ht="15" customHeight="1" x14ac:dyDescent="0.2">
      <c r="A62" s="495" t="s">
        <v>2832</v>
      </c>
      <c r="C62" s="441"/>
      <c r="E62" s="477"/>
      <c r="F62" s="427"/>
    </row>
    <row r="63" spans="1:6" ht="15" customHeight="1" x14ac:dyDescent="0.2">
      <c r="A63" s="397" t="s">
        <v>2833</v>
      </c>
      <c r="C63" s="441">
        <f>+'alb Note 5.1 -PP&amp;E - CY'!J50</f>
        <v>0</v>
      </c>
      <c r="D63" s="2169" t="str">
        <f>IF(C63=C64,"OK","Error")</f>
        <v>OK</v>
      </c>
      <c r="E63" s="477"/>
      <c r="F63" s="427"/>
    </row>
    <row r="64" spans="1:6" ht="15" customHeight="1" x14ac:dyDescent="0.2">
      <c r="A64" s="397" t="s">
        <v>2834</v>
      </c>
      <c r="C64" s="441">
        <f>+'alb Note 16  Leases'!J31</f>
        <v>0</v>
      </c>
      <c r="D64" s="2169"/>
      <c r="E64" s="477">
        <f>+C63-C64</f>
        <v>0</v>
      </c>
      <c r="F64" s="427"/>
    </row>
    <row r="65" spans="1:6" ht="15" customHeight="1" x14ac:dyDescent="0.2">
      <c r="C65" s="441"/>
      <c r="E65" s="477"/>
      <c r="F65" s="427"/>
    </row>
    <row r="66" spans="1:6" ht="15" customHeight="1" x14ac:dyDescent="0.2">
      <c r="C66" s="441"/>
      <c r="E66" s="477"/>
      <c r="F66" s="427"/>
    </row>
    <row r="67" spans="1:6" ht="15" customHeight="1" x14ac:dyDescent="0.25">
      <c r="A67" s="1183" t="s">
        <v>1182</v>
      </c>
      <c r="B67" s="492"/>
      <c r="C67" s="1460"/>
      <c r="D67" s="491"/>
      <c r="E67" s="490"/>
      <c r="F67" s="427"/>
    </row>
    <row r="68" spans="1:6" ht="15" customHeight="1" x14ac:dyDescent="0.2">
      <c r="C68" s="441"/>
      <c r="E68" s="477"/>
      <c r="F68" s="427"/>
    </row>
    <row r="69" spans="1:6" ht="15" customHeight="1" x14ac:dyDescent="0.2">
      <c r="A69" s="487" t="s">
        <v>675</v>
      </c>
      <c r="B69" s="486"/>
      <c r="C69" s="441"/>
      <c r="E69" s="477"/>
      <c r="F69" s="427"/>
    </row>
    <row r="70" spans="1:6" ht="15" customHeight="1" x14ac:dyDescent="0.2">
      <c r="A70" s="486"/>
      <c r="B70" s="486"/>
      <c r="C70" s="441"/>
      <c r="E70" s="477"/>
      <c r="F70" s="427"/>
    </row>
    <row r="71" spans="1:6" ht="15" customHeight="1" x14ac:dyDescent="0.2">
      <c r="A71" s="486" t="s">
        <v>1181</v>
      </c>
      <c r="B71" s="486"/>
      <c r="C71" s="478">
        <f>'alb SCF'!C47</f>
        <v>0</v>
      </c>
      <c r="D71" s="481"/>
      <c r="E71" s="477"/>
      <c r="F71" s="427"/>
    </row>
    <row r="72" spans="1:6" ht="15" customHeight="1" x14ac:dyDescent="0.2">
      <c r="A72" s="486" t="s">
        <v>1180</v>
      </c>
      <c r="B72" s="486"/>
      <c r="C72" s="478">
        <f>'alb SCF'!C48</f>
        <v>0</v>
      </c>
      <c r="D72" s="481"/>
      <c r="E72" s="477"/>
      <c r="F72" s="427"/>
    </row>
    <row r="73" spans="1:6" ht="15" customHeight="1" x14ac:dyDescent="0.2">
      <c r="A73" s="486" t="s">
        <v>1179</v>
      </c>
      <c r="B73" s="486"/>
      <c r="C73" s="478">
        <f>'alb SCF'!C49</f>
        <v>0</v>
      </c>
      <c r="D73" s="481"/>
      <c r="E73" s="477"/>
      <c r="F73" s="427"/>
    </row>
    <row r="74" spans="1:6" ht="15" customHeight="1" x14ac:dyDescent="0.2">
      <c r="A74" s="486" t="s">
        <v>1178</v>
      </c>
      <c r="B74" s="486"/>
      <c r="C74" s="489"/>
      <c r="D74" s="481"/>
      <c r="E74" s="477"/>
      <c r="F74" s="427"/>
    </row>
    <row r="75" spans="1:6" ht="15" customHeight="1" x14ac:dyDescent="0.2">
      <c r="A75" s="486" t="s">
        <v>1177</v>
      </c>
      <c r="B75" s="486"/>
      <c r="C75" s="478">
        <f>SUM(C71:C74)</f>
        <v>0</v>
      </c>
      <c r="D75" s="481"/>
      <c r="E75" s="477"/>
      <c r="F75" s="427"/>
    </row>
    <row r="76" spans="1:6" ht="15" customHeight="1" x14ac:dyDescent="0.2">
      <c r="A76" s="486"/>
      <c r="B76" s="486"/>
      <c r="C76" s="478"/>
      <c r="D76" s="481"/>
      <c r="E76" s="477"/>
      <c r="F76" s="427"/>
    </row>
    <row r="77" spans="1:6" ht="15" customHeight="1" x14ac:dyDescent="0.2">
      <c r="A77" s="487" t="s">
        <v>1176</v>
      </c>
      <c r="B77" s="486"/>
      <c r="C77" s="489"/>
      <c r="D77" s="481"/>
      <c r="E77" s="477"/>
      <c r="F77" s="427"/>
    </row>
    <row r="78" spans="1:6" ht="15" customHeight="1" x14ac:dyDescent="0.2">
      <c r="A78" s="486"/>
      <c r="B78" s="486"/>
      <c r="C78" s="478"/>
      <c r="D78" s="481"/>
      <c r="E78" s="477"/>
      <c r="F78" s="427"/>
    </row>
    <row r="79" spans="1:6" ht="15" customHeight="1" x14ac:dyDescent="0.2">
      <c r="A79" s="487" t="s">
        <v>1175</v>
      </c>
      <c r="B79" s="486"/>
      <c r="C79" s="478"/>
      <c r="D79" s="481"/>
      <c r="E79" s="477"/>
      <c r="F79" s="427"/>
    </row>
    <row r="80" spans="1:6" ht="15" customHeight="1" x14ac:dyDescent="0.2">
      <c r="A80" s="486"/>
      <c r="B80" s="486"/>
      <c r="C80" s="478"/>
      <c r="D80" s="481"/>
      <c r="E80" s="477"/>
      <c r="F80" s="427"/>
    </row>
    <row r="81" spans="1:6" ht="15" customHeight="1" x14ac:dyDescent="0.2">
      <c r="A81" s="486" t="s">
        <v>2589</v>
      </c>
      <c r="B81" s="486"/>
      <c r="C81" s="478">
        <f>-'alb Note 5.1 -PP&amp;E - CY'!J22</f>
        <v>0</v>
      </c>
      <c r="D81" s="481"/>
      <c r="E81" s="477"/>
      <c r="F81" s="427"/>
    </row>
    <row r="82" spans="1:6" ht="15" customHeight="1" x14ac:dyDescent="0.2">
      <c r="A82" s="486" t="s">
        <v>2590</v>
      </c>
      <c r="B82" s="486"/>
      <c r="C82" s="478">
        <f>'alb Note 5.1 -PP&amp;E - CY'!J38</f>
        <v>0</v>
      </c>
      <c r="D82" s="481"/>
      <c r="E82" s="477"/>
      <c r="F82" s="427"/>
    </row>
    <row r="83" spans="1:6" ht="15" customHeight="1" x14ac:dyDescent="0.2">
      <c r="A83" s="486" t="s">
        <v>1174</v>
      </c>
      <c r="B83" s="486"/>
      <c r="C83" s="478">
        <f>C81+C82</f>
        <v>0</v>
      </c>
      <c r="D83" s="481"/>
      <c r="E83" s="477"/>
      <c r="F83" s="427"/>
    </row>
    <row r="84" spans="1:6" ht="15" customHeight="1" x14ac:dyDescent="0.2">
      <c r="A84" s="486"/>
      <c r="B84" s="486"/>
      <c r="C84" s="478"/>
      <c r="D84" s="481"/>
      <c r="E84" s="477"/>
      <c r="F84" s="427"/>
    </row>
    <row r="85" spans="1:6" ht="15" customHeight="1" x14ac:dyDescent="0.2">
      <c r="A85" s="486" t="s">
        <v>2587</v>
      </c>
      <c r="B85" s="486"/>
      <c r="C85" s="478">
        <f>-'alb Note 6.1 -  Intangibles CY'!J21</f>
        <v>0</v>
      </c>
      <c r="D85" s="481"/>
      <c r="E85" s="477"/>
      <c r="F85" s="427"/>
    </row>
    <row r="86" spans="1:6" ht="15" customHeight="1" x14ac:dyDescent="0.2">
      <c r="A86" s="486" t="s">
        <v>2588</v>
      </c>
      <c r="B86" s="486"/>
      <c r="C86" s="478">
        <f>'alb Note 6.1 -  Intangibles CY'!J35</f>
        <v>0</v>
      </c>
      <c r="D86" s="481"/>
      <c r="E86" s="477"/>
      <c r="F86" s="427"/>
    </row>
    <row r="87" spans="1:6" ht="15" customHeight="1" x14ac:dyDescent="0.2">
      <c r="A87" s="486" t="s">
        <v>1173</v>
      </c>
      <c r="B87" s="486"/>
      <c r="C87" s="478">
        <f>C85+C86</f>
        <v>0</v>
      </c>
      <c r="D87" s="481"/>
      <c r="E87" s="477"/>
      <c r="F87" s="427"/>
    </row>
    <row r="88" spans="1:6" ht="15" customHeight="1" x14ac:dyDescent="0.2">
      <c r="A88" s="486"/>
      <c r="B88" s="486"/>
      <c r="C88" s="478"/>
      <c r="D88" s="481"/>
      <c r="E88" s="477"/>
      <c r="F88" s="427"/>
    </row>
    <row r="89" spans="1:6" ht="15" customHeight="1" x14ac:dyDescent="0.2">
      <c r="A89" s="486" t="s">
        <v>2584</v>
      </c>
      <c r="B89" s="486"/>
      <c r="C89" s="478">
        <f>-'alb Note 5.3 -Asset held resale'!K14</f>
        <v>0</v>
      </c>
      <c r="D89" s="481"/>
      <c r="E89" s="477"/>
      <c r="F89" s="427"/>
    </row>
    <row r="90" spans="1:6" ht="15" customHeight="1" x14ac:dyDescent="0.2">
      <c r="A90" s="486" t="s">
        <v>2585</v>
      </c>
      <c r="B90" s="486"/>
      <c r="C90" s="478">
        <f>'alb Note 5.3 -Asset held resale'!K22</f>
        <v>0</v>
      </c>
      <c r="D90" s="481"/>
      <c r="E90" s="477"/>
      <c r="F90" s="427"/>
    </row>
    <row r="91" spans="1:6" ht="15" customHeight="1" x14ac:dyDescent="0.2">
      <c r="A91" s="486" t="s">
        <v>2586</v>
      </c>
      <c r="B91" s="486"/>
      <c r="C91" s="478">
        <f>C89+C90</f>
        <v>0</v>
      </c>
      <c r="D91" s="481"/>
      <c r="E91" s="477"/>
      <c r="F91" s="427"/>
    </row>
    <row r="92" spans="1:6" ht="15" customHeight="1" x14ac:dyDescent="0.2">
      <c r="A92" s="486"/>
      <c r="B92" s="486"/>
      <c r="C92" s="478"/>
      <c r="D92" s="481"/>
      <c r="E92" s="477"/>
      <c r="F92" s="427"/>
    </row>
    <row r="93" spans="1:6" ht="15" customHeight="1" x14ac:dyDescent="0.2">
      <c r="A93" s="487" t="s">
        <v>1172</v>
      </c>
      <c r="B93" s="486"/>
      <c r="C93" s="478">
        <f>C75-C77-C83-C87-C91</f>
        <v>0</v>
      </c>
      <c r="D93" s="481"/>
      <c r="E93" s="477"/>
      <c r="F93" s="427"/>
    </row>
    <row r="94" spans="1:6" ht="15" customHeight="1" x14ac:dyDescent="0.2">
      <c r="A94" s="487"/>
      <c r="B94" s="486"/>
      <c r="C94" s="478"/>
      <c r="D94" s="481"/>
      <c r="E94" s="477"/>
      <c r="F94" s="427"/>
    </row>
    <row r="95" spans="1:6" ht="15" customHeight="1" x14ac:dyDescent="0.2">
      <c r="A95" s="487" t="s">
        <v>1171</v>
      </c>
      <c r="B95" s="486"/>
      <c r="C95" s="478"/>
      <c r="D95" s="481"/>
      <c r="E95" s="477"/>
      <c r="F95" s="427"/>
    </row>
    <row r="96" spans="1:6" ht="15" customHeight="1" x14ac:dyDescent="0.2">
      <c r="A96" s="486"/>
      <c r="B96" s="486"/>
      <c r="C96" s="478"/>
      <c r="D96" s="481"/>
      <c r="E96" s="477"/>
      <c r="F96" s="427"/>
    </row>
    <row r="97" spans="1:6" ht="15" customHeight="1" x14ac:dyDescent="0.2">
      <c r="A97" s="486" t="s">
        <v>2582</v>
      </c>
      <c r="B97" s="486"/>
      <c r="C97" s="478">
        <f>'alb Note 3 &amp; 3.1 - Expenditure'!C26</f>
        <v>0</v>
      </c>
      <c r="D97" s="481"/>
      <c r="E97" s="477"/>
      <c r="F97" s="427"/>
    </row>
    <row r="98" spans="1:6" ht="15" customHeight="1" x14ac:dyDescent="0.2">
      <c r="A98" s="486" t="s">
        <v>2583</v>
      </c>
      <c r="B98" s="486"/>
      <c r="C98" s="1303">
        <f>-'alb Note 4 - Income'!B30</f>
        <v>0</v>
      </c>
      <c r="D98" s="481"/>
      <c r="E98" s="477"/>
      <c r="F98" s="427"/>
    </row>
    <row r="99" spans="1:6" ht="15" customHeight="1" x14ac:dyDescent="0.2">
      <c r="A99" s="486" t="s">
        <v>1170</v>
      </c>
      <c r="B99" s="486"/>
      <c r="C99" s="478">
        <f>SUM(C97:C98)</f>
        <v>0</v>
      </c>
      <c r="D99" s="2169" t="str">
        <f>IF(+C99=-C93,"OK","Error")</f>
        <v>OK</v>
      </c>
      <c r="E99" s="479">
        <f>C93+C99</f>
        <v>0</v>
      </c>
      <c r="F99" s="427"/>
    </row>
    <row r="100" spans="1:6" ht="15" customHeight="1" x14ac:dyDescent="0.2">
      <c r="A100" s="473"/>
      <c r="B100" s="488"/>
      <c r="C100" s="476"/>
      <c r="D100" s="2169"/>
      <c r="E100" s="472"/>
      <c r="F100" s="427"/>
    </row>
    <row r="101" spans="1:6" ht="15" customHeight="1" x14ac:dyDescent="0.4">
      <c r="A101" s="487"/>
      <c r="B101" s="486"/>
      <c r="C101" s="478"/>
      <c r="D101" s="471"/>
      <c r="E101" s="477"/>
      <c r="F101" s="427"/>
    </row>
    <row r="102" spans="1:6" ht="15" customHeight="1" x14ac:dyDescent="0.4">
      <c r="A102" s="1184" t="s">
        <v>1169</v>
      </c>
      <c r="B102" s="486"/>
      <c r="C102" s="478"/>
      <c r="D102" s="471"/>
      <c r="E102" s="477"/>
      <c r="F102" s="427"/>
    </row>
    <row r="103" spans="1:6" ht="15" customHeight="1" x14ac:dyDescent="0.4">
      <c r="A103" s="388" t="s">
        <v>1168</v>
      </c>
      <c r="B103" s="486"/>
      <c r="C103" s="478"/>
      <c r="D103" s="471"/>
      <c r="E103" s="477"/>
      <c r="F103" s="427"/>
    </row>
    <row r="104" spans="1:6" ht="15" customHeight="1" x14ac:dyDescent="0.4">
      <c r="A104" s="397" t="s">
        <v>2578</v>
      </c>
      <c r="C104" s="478">
        <f>-'alb Note 5.1 -PP&amp;E - CY'!J19-'alb Note 5.1 -PP&amp;E - CY'!J21+'alb Note 5.1 -PP&amp;E - CY'!J37+'alb Note 5.1 -PP&amp;E - CY'!J35-'alb Note 5.1 -PP&amp;E - CY'!J20+'alb Note 5.1 -PP&amp;E - CY'!J36</f>
        <v>0</v>
      </c>
      <c r="D104" s="471"/>
      <c r="E104" s="477"/>
      <c r="F104" s="427"/>
    </row>
    <row r="105" spans="1:6" ht="15" customHeight="1" x14ac:dyDescent="0.4">
      <c r="A105" s="397" t="s">
        <v>2579</v>
      </c>
      <c r="C105" s="478">
        <f>-'alb Note 6.1 -  Intangibles CY'!J19+'alb Note 6.1 -  Intangibles CY'!J33</f>
        <v>0</v>
      </c>
      <c r="D105" s="471"/>
      <c r="E105" s="477"/>
      <c r="F105" s="427"/>
    </row>
    <row r="106" spans="1:6" ht="15" customHeight="1" x14ac:dyDescent="0.4">
      <c r="A106" s="397" t="s">
        <v>2580</v>
      </c>
      <c r="C106" s="478">
        <f>-'alb Note 5.3 -Asset held resale'!K15+'alb Note 5.3 -Asset held resale'!K23</f>
        <v>0</v>
      </c>
      <c r="D106" s="471"/>
      <c r="E106" s="477"/>
      <c r="F106" s="427"/>
    </row>
    <row r="107" spans="1:6" ht="15" customHeight="1" x14ac:dyDescent="0.4">
      <c r="C107" s="478">
        <f>SUM(C104:C106)</f>
        <v>0</v>
      </c>
      <c r="D107" s="471"/>
      <c r="E107" s="477"/>
      <c r="F107" s="427"/>
    </row>
    <row r="108" spans="1:6" ht="15" customHeight="1" x14ac:dyDescent="0.4">
      <c r="C108" s="478"/>
      <c r="D108" s="471"/>
      <c r="E108" s="477"/>
      <c r="F108" s="427"/>
    </row>
    <row r="109" spans="1:6" ht="15" customHeight="1" x14ac:dyDescent="0.4">
      <c r="A109" s="397" t="s">
        <v>1167</v>
      </c>
      <c r="C109" s="485">
        <f>'alb Note 7 - Impairments'!H11</f>
        <v>0</v>
      </c>
      <c r="D109" s="471"/>
      <c r="E109" s="477"/>
      <c r="F109" s="427"/>
    </row>
    <row r="110" spans="1:6" ht="15" customHeight="1" x14ac:dyDescent="0.2">
      <c r="A110" s="397" t="s">
        <v>2581</v>
      </c>
      <c r="C110" s="485">
        <f>'alb Note 3 &amp; 3.1 - Expenditure'!C25</f>
        <v>0</v>
      </c>
      <c r="D110" s="2169" t="str">
        <f>IF(C107=C112,"OK","Error")</f>
        <v>OK</v>
      </c>
      <c r="E110" s="477"/>
      <c r="F110" s="427"/>
    </row>
    <row r="111" spans="1:6" ht="15" customHeight="1" x14ac:dyDescent="0.2">
      <c r="C111" s="485"/>
      <c r="D111" s="2169"/>
      <c r="E111" s="477"/>
      <c r="F111" s="427"/>
    </row>
    <row r="112" spans="1:6" ht="15" customHeight="1" x14ac:dyDescent="0.2">
      <c r="A112" s="397" t="s">
        <v>1166</v>
      </c>
      <c r="C112" s="485">
        <f>SUM(C109:C111)</f>
        <v>0</v>
      </c>
      <c r="D112" s="2169"/>
      <c r="E112" s="479">
        <f>+C112-C107</f>
        <v>0</v>
      </c>
      <c r="F112" s="427"/>
    </row>
    <row r="113" spans="1:6" ht="15" customHeight="1" x14ac:dyDescent="0.2">
      <c r="C113" s="441"/>
      <c r="E113" s="477"/>
      <c r="F113" s="427"/>
    </row>
    <row r="114" spans="1:6" ht="15" customHeight="1" x14ac:dyDescent="0.2">
      <c r="C114" s="441"/>
      <c r="E114" s="477"/>
      <c r="F114" s="427"/>
    </row>
    <row r="115" spans="1:6" ht="15" customHeight="1" x14ac:dyDescent="0.25">
      <c r="A115" s="1184" t="s">
        <v>1165</v>
      </c>
      <c r="C115" s="441"/>
      <c r="E115" s="477"/>
      <c r="F115" s="427"/>
    </row>
    <row r="116" spans="1:6" ht="15" customHeight="1" x14ac:dyDescent="0.2">
      <c r="A116" s="484" t="s">
        <v>1164</v>
      </c>
      <c r="C116" s="441"/>
      <c r="E116" s="477"/>
      <c r="F116" s="427"/>
    </row>
    <row r="117" spans="1:6" ht="15" customHeight="1" x14ac:dyDescent="0.2">
      <c r="A117" s="397" t="s">
        <v>2575</v>
      </c>
      <c r="C117" s="478">
        <f>-'alb Note 10 - Inventories'!B15+'alb Note 10 - Inventories'!C15</f>
        <v>0</v>
      </c>
      <c r="D117" s="2169" t="str">
        <f>IF(C117=C118,"OK","Error")</f>
        <v>OK</v>
      </c>
      <c r="E117" s="477"/>
      <c r="F117" s="427"/>
    </row>
    <row r="118" spans="1:6" ht="15" customHeight="1" x14ac:dyDescent="0.2">
      <c r="A118" s="397" t="s">
        <v>1163</v>
      </c>
      <c r="C118" s="478">
        <f>'alb SCF'!C27</f>
        <v>0</v>
      </c>
      <c r="D118" s="2169"/>
      <c r="E118" s="479">
        <f>+C118-C117</f>
        <v>0</v>
      </c>
      <c r="F118" s="427"/>
    </row>
    <row r="119" spans="1:6" ht="15" customHeight="1" x14ac:dyDescent="0.2">
      <c r="A119" s="397" t="s">
        <v>1160</v>
      </c>
      <c r="C119" s="478">
        <f>-'alb SFP'!C22+'alb SFP'!D22</f>
        <v>0</v>
      </c>
      <c r="D119" s="483" t="str">
        <f>IF(C118=C119,"OK","Error")</f>
        <v>OK</v>
      </c>
      <c r="E119" s="479">
        <f>+C119-C118</f>
        <v>0</v>
      </c>
      <c r="F119" s="427"/>
    </row>
    <row r="120" spans="1:6" ht="15" customHeight="1" x14ac:dyDescent="0.2">
      <c r="C120" s="441"/>
      <c r="E120" s="477"/>
      <c r="F120" s="427"/>
    </row>
    <row r="121" spans="1:6" ht="15" customHeight="1" x14ac:dyDescent="0.2">
      <c r="C121" s="441"/>
      <c r="E121" s="477"/>
      <c r="F121" s="427"/>
    </row>
    <row r="122" spans="1:6" ht="15" customHeight="1" x14ac:dyDescent="0.2">
      <c r="A122" s="397" t="s">
        <v>2576</v>
      </c>
      <c r="C122" s="478">
        <f>-'alb Note 12 Trade Receivables'!B43+'alb Note 12 Trade Receivables'!C43</f>
        <v>0</v>
      </c>
      <c r="D122" s="2169" t="str">
        <f>IF(ROUND(C122,0)=ROUND(C123,0),"OK","Error")</f>
        <v>OK</v>
      </c>
      <c r="E122" s="477"/>
      <c r="F122" s="427"/>
    </row>
    <row r="123" spans="1:6" ht="15" customHeight="1" x14ac:dyDescent="0.2">
      <c r="A123" s="397" t="s">
        <v>1163</v>
      </c>
      <c r="C123" s="478">
        <f>+'alb SCF'!C19</f>
        <v>0</v>
      </c>
      <c r="D123" s="2169"/>
      <c r="E123" s="477"/>
      <c r="F123" s="427"/>
    </row>
    <row r="124" spans="1:6" ht="15" customHeight="1" x14ac:dyDescent="0.2">
      <c r="A124" s="397" t="s">
        <v>1161</v>
      </c>
      <c r="C124" s="478"/>
      <c r="D124" s="2169"/>
      <c r="E124" s="479">
        <f>+C123-C122</f>
        <v>0</v>
      </c>
      <c r="F124" s="427"/>
    </row>
    <row r="125" spans="1:6" ht="15" customHeight="1" x14ac:dyDescent="0.2">
      <c r="A125" s="397" t="s">
        <v>1160</v>
      </c>
      <c r="C125" s="478">
        <f>-'alb SFP'!C15-'alb SFP'!C16-'alb SFP'!C23-'alb SFP'!C25-'alb SFP'!C26+'alb SFP'!D16+'alb SFP'!D15+'alb SFP'!D23+'alb SFP'!D25+'alb SFP'!D26</f>
        <v>0</v>
      </c>
      <c r="D125" s="483" t="str">
        <f>IF(C123=C125,"OK","Error")</f>
        <v>OK</v>
      </c>
      <c r="E125" s="479">
        <f>+C125-C123</f>
        <v>0</v>
      </c>
      <c r="F125" s="427"/>
    </row>
    <row r="126" spans="1:6" ht="15" customHeight="1" x14ac:dyDescent="0.2">
      <c r="C126" s="441"/>
      <c r="E126" s="477"/>
      <c r="F126" s="427"/>
    </row>
    <row r="127" spans="1:6" ht="15" customHeight="1" x14ac:dyDescent="0.2">
      <c r="A127" s="397" t="s">
        <v>2577</v>
      </c>
      <c r="C127" s="478">
        <f>+'alb Note 13.1 Trade payables'!B50-'alb Note 13.1 Trade payables'!C50</f>
        <v>0</v>
      </c>
      <c r="D127" s="2169" t="str">
        <f>IF(C127=C128,"OK","Error")</f>
        <v>OK</v>
      </c>
      <c r="E127" s="477"/>
      <c r="F127" s="427"/>
    </row>
    <row r="128" spans="1:6" ht="15" customHeight="1" x14ac:dyDescent="0.2">
      <c r="A128" s="397" t="s">
        <v>1162</v>
      </c>
      <c r="C128" s="478">
        <f>+'alb SCF'!C28</f>
        <v>0</v>
      </c>
      <c r="D128" s="2169"/>
      <c r="E128" s="479">
        <f>+C128-C127</f>
        <v>0</v>
      </c>
      <c r="F128" s="427"/>
    </row>
    <row r="129" spans="1:6" ht="15" customHeight="1" x14ac:dyDescent="0.2">
      <c r="A129" s="397" t="s">
        <v>1161</v>
      </c>
      <c r="C129" s="478"/>
      <c r="D129" s="2169"/>
      <c r="E129" s="479"/>
      <c r="F129" s="427"/>
    </row>
    <row r="130" spans="1:6" ht="15" customHeight="1" x14ac:dyDescent="0.2">
      <c r="A130" s="397" t="s">
        <v>1160</v>
      </c>
      <c r="C130" s="478">
        <f>-'alb SFP'!C35-'alb SFP'!C37-'alb SFP'!C38-'alb SFP'!C53+'alb SFP'!D35+'alb SFP'!D37+'alb SFP'!D38+'alb SFP'!D53</f>
        <v>0</v>
      </c>
      <c r="D130" s="483" t="str">
        <f>IF(C128=C130,"OK","Error")</f>
        <v>OK</v>
      </c>
      <c r="E130" s="479">
        <f>+C130-C128</f>
        <v>0</v>
      </c>
      <c r="F130" s="427"/>
    </row>
    <row r="131" spans="1:6" ht="15" customHeight="1" x14ac:dyDescent="0.2">
      <c r="C131" s="441"/>
      <c r="E131" s="477"/>
      <c r="F131" s="427"/>
    </row>
    <row r="132" spans="1:6" ht="15" customHeight="1" x14ac:dyDescent="0.2">
      <c r="C132" s="441"/>
      <c r="E132" s="477"/>
      <c r="F132" s="427"/>
    </row>
    <row r="133" spans="1:6" ht="15" hidden="1" customHeight="1" outlineLevel="1" x14ac:dyDescent="0.2">
      <c r="A133" s="495" t="s">
        <v>1159</v>
      </c>
      <c r="C133" s="441"/>
      <c r="E133" s="477"/>
      <c r="F133" s="427" t="s">
        <v>1960</v>
      </c>
    </row>
    <row r="134" spans="1:6" ht="15" hidden="1" customHeight="1" outlineLevel="1" x14ac:dyDescent="0.2">
      <c r="A134" s="388" t="s">
        <v>1119</v>
      </c>
      <c r="C134" s="441"/>
      <c r="E134" s="477"/>
      <c r="F134" s="427" t="s">
        <v>1960</v>
      </c>
    </row>
    <row r="135" spans="1:6" ht="15" hidden="1" customHeight="1" outlineLevel="1" x14ac:dyDescent="0.2">
      <c r="A135" s="397" t="s">
        <v>1158</v>
      </c>
      <c r="C135" s="478">
        <f>'alb Note 12 Trade Receivables'!B16+'alb Note 12 Trade Receivables'!B22+'alb Note 12 Trade Receivables'!B25</f>
        <v>0</v>
      </c>
      <c r="D135" s="2169"/>
      <c r="E135" s="477"/>
      <c r="F135" s="427" t="s">
        <v>1960</v>
      </c>
    </row>
    <row r="136" spans="1:6" ht="15" hidden="1" customHeight="1" outlineLevel="1" x14ac:dyDescent="0.2">
      <c r="A136" s="397" t="s">
        <v>1157</v>
      </c>
      <c r="C136" s="478"/>
      <c r="D136" s="2169"/>
      <c r="E136" s="479"/>
      <c r="F136" s="427" t="s">
        <v>1960</v>
      </c>
    </row>
    <row r="137" spans="1:6" ht="15" hidden="1" customHeight="1" outlineLevel="1" x14ac:dyDescent="0.4">
      <c r="C137" s="478"/>
      <c r="D137" s="471"/>
      <c r="E137" s="477"/>
      <c r="F137" s="427" t="s">
        <v>1960</v>
      </c>
    </row>
    <row r="138" spans="1:6" ht="15" hidden="1" customHeight="1" outlineLevel="1" x14ac:dyDescent="0.4">
      <c r="A138" s="388" t="s">
        <v>1119</v>
      </c>
      <c r="C138" s="478"/>
      <c r="D138" s="471"/>
      <c r="E138" s="477"/>
      <c r="F138" s="427" t="s">
        <v>1960</v>
      </c>
    </row>
    <row r="139" spans="1:6" ht="15" hidden="1" customHeight="1" outlineLevel="1" x14ac:dyDescent="0.2">
      <c r="A139" s="397" t="s">
        <v>1156</v>
      </c>
      <c r="C139" s="478">
        <f>'alb Note 12 Trade Receivables'!B31+'alb Note 12 Trade Receivables'!B35</f>
        <v>0</v>
      </c>
      <c r="D139" s="2169"/>
      <c r="E139" s="477"/>
      <c r="F139" s="427" t="s">
        <v>1960</v>
      </c>
    </row>
    <row r="140" spans="1:6" ht="15" hidden="1" customHeight="1" outlineLevel="1" x14ac:dyDescent="0.2">
      <c r="A140" s="397" t="s">
        <v>1155</v>
      </c>
      <c r="C140" s="478"/>
      <c r="D140" s="2169"/>
      <c r="E140" s="479"/>
      <c r="F140" s="427" t="s">
        <v>1960</v>
      </c>
    </row>
    <row r="141" spans="1:6" ht="15" hidden="1" customHeight="1" outlineLevel="1" x14ac:dyDescent="0.4">
      <c r="C141" s="478"/>
      <c r="D141" s="471"/>
      <c r="E141" s="477"/>
      <c r="F141" s="427" t="s">
        <v>1960</v>
      </c>
    </row>
    <row r="142" spans="1:6" ht="15" hidden="1" customHeight="1" outlineLevel="1" x14ac:dyDescent="0.4">
      <c r="A142" s="388" t="s">
        <v>1118</v>
      </c>
      <c r="C142" s="478"/>
      <c r="D142" s="471"/>
      <c r="E142" s="477"/>
      <c r="F142" s="427" t="s">
        <v>1960</v>
      </c>
    </row>
    <row r="143" spans="1:6" ht="15" hidden="1" customHeight="1" outlineLevel="1" x14ac:dyDescent="0.2">
      <c r="A143" s="397" t="s">
        <v>1154</v>
      </c>
      <c r="C143" s="478">
        <f>+'alb Note 13.1 Trade payables'!B38</f>
        <v>0</v>
      </c>
      <c r="D143" s="2169"/>
      <c r="E143" s="477"/>
      <c r="F143" s="427" t="s">
        <v>1960</v>
      </c>
    </row>
    <row r="144" spans="1:6" ht="15" hidden="1" customHeight="1" outlineLevel="1" x14ac:dyDescent="0.2">
      <c r="A144" s="397" t="s">
        <v>1153</v>
      </c>
      <c r="C144" s="478"/>
      <c r="D144" s="2169"/>
      <c r="E144" s="479"/>
      <c r="F144" s="427" t="s">
        <v>1960</v>
      </c>
    </row>
    <row r="145" spans="1:6" ht="15" hidden="1" customHeight="1" outlineLevel="1" x14ac:dyDescent="0.4">
      <c r="C145" s="478"/>
      <c r="D145" s="471"/>
      <c r="E145" s="477"/>
      <c r="F145" s="427" t="s">
        <v>1960</v>
      </c>
    </row>
    <row r="146" spans="1:6" ht="15" hidden="1" customHeight="1" outlineLevel="1" x14ac:dyDescent="0.4">
      <c r="A146" s="388" t="s">
        <v>1118</v>
      </c>
      <c r="C146" s="478"/>
      <c r="D146" s="471"/>
      <c r="E146" s="477"/>
      <c r="F146" s="427" t="s">
        <v>1960</v>
      </c>
    </row>
    <row r="147" spans="1:6" ht="15" hidden="1" customHeight="1" outlineLevel="1" x14ac:dyDescent="0.2">
      <c r="A147" s="397" t="s">
        <v>1152</v>
      </c>
      <c r="C147" s="478">
        <f>+'alb Note 13.1 Trade payables'!B47</f>
        <v>0</v>
      </c>
      <c r="D147" s="2169"/>
      <c r="E147" s="477"/>
      <c r="F147" s="427" t="s">
        <v>1960</v>
      </c>
    </row>
    <row r="148" spans="1:6" ht="15" hidden="1" customHeight="1" outlineLevel="1" x14ac:dyDescent="0.2">
      <c r="A148" s="397" t="s">
        <v>1151</v>
      </c>
      <c r="C148" s="478"/>
      <c r="D148" s="2169"/>
      <c r="E148" s="479"/>
      <c r="F148" s="427" t="s">
        <v>1960</v>
      </c>
    </row>
    <row r="149" spans="1:6" ht="15" hidden="1" customHeight="1" outlineLevel="1" x14ac:dyDescent="0.4">
      <c r="C149" s="478"/>
      <c r="D149" s="471"/>
      <c r="E149" s="477"/>
      <c r="F149" s="427" t="s">
        <v>1960</v>
      </c>
    </row>
    <row r="150" spans="1:6" ht="15" hidden="1" customHeight="1" outlineLevel="1" x14ac:dyDescent="0.2">
      <c r="B150" s="397"/>
      <c r="C150" s="441"/>
      <c r="E150" s="477"/>
      <c r="F150" s="427" t="s">
        <v>1960</v>
      </c>
    </row>
    <row r="151" spans="1:6" ht="15" hidden="1" customHeight="1" outlineLevel="1" x14ac:dyDescent="0.2">
      <c r="A151" s="495" t="s">
        <v>1150</v>
      </c>
      <c r="B151" s="397"/>
      <c r="C151" s="441"/>
      <c r="E151" s="477"/>
      <c r="F151" s="427" t="s">
        <v>1960</v>
      </c>
    </row>
    <row r="152" spans="1:6" ht="15" hidden="1" customHeight="1" outlineLevel="1" x14ac:dyDescent="0.2">
      <c r="A152" s="397" t="s">
        <v>1149</v>
      </c>
      <c r="B152" s="397"/>
      <c r="C152" s="482"/>
      <c r="D152" s="2169" t="str">
        <f>IF(C152=C153,"Yes","No")</f>
        <v>Yes</v>
      </c>
      <c r="E152" s="477"/>
      <c r="F152" s="427" t="s">
        <v>1960</v>
      </c>
    </row>
    <row r="153" spans="1:6" ht="15" hidden="1" customHeight="1" outlineLevel="1" x14ac:dyDescent="0.2">
      <c r="A153" s="397" t="s">
        <v>1148</v>
      </c>
      <c r="B153" s="397"/>
      <c r="C153" s="482"/>
      <c r="D153" s="2169"/>
      <c r="E153" s="479">
        <f>+C153-C152</f>
        <v>0</v>
      </c>
      <c r="F153" s="427" t="s">
        <v>1960</v>
      </c>
    </row>
    <row r="154" spans="1:6" ht="15" hidden="1" customHeight="1" outlineLevel="1" x14ac:dyDescent="0.2">
      <c r="B154" s="397"/>
      <c r="C154" s="441"/>
      <c r="E154" s="477"/>
      <c r="F154" s="427" t="s">
        <v>1960</v>
      </c>
    </row>
    <row r="155" spans="1:6" ht="15" hidden="1" customHeight="1" outlineLevel="1" x14ac:dyDescent="0.2">
      <c r="B155" s="397"/>
      <c r="C155" s="441"/>
      <c r="E155" s="477"/>
      <c r="F155" s="427" t="s">
        <v>1960</v>
      </c>
    </row>
    <row r="156" spans="1:6" ht="15" customHeight="1" collapsed="1" x14ac:dyDescent="0.2">
      <c r="A156" s="495" t="s">
        <v>1147</v>
      </c>
      <c r="B156" s="397"/>
      <c r="C156" s="441"/>
      <c r="E156" s="477"/>
      <c r="F156" s="427"/>
    </row>
    <row r="157" spans="1:6" ht="15" customHeight="1" x14ac:dyDescent="0.2">
      <c r="A157" s="388" t="s">
        <v>1146</v>
      </c>
      <c r="B157" s="397"/>
      <c r="C157" s="441"/>
      <c r="E157" s="477"/>
      <c r="F157" s="427"/>
    </row>
    <row r="158" spans="1:6" ht="15" customHeight="1" x14ac:dyDescent="0.2">
      <c r="A158" s="397" t="s">
        <v>1145</v>
      </c>
      <c r="B158" s="397"/>
      <c r="C158" s="441">
        <f>'alb SCF'!C16</f>
        <v>0</v>
      </c>
      <c r="D158" s="2169" t="str">
        <f>IF(C158=C159,"OK","Error")</f>
        <v>OK</v>
      </c>
      <c r="E158" s="477"/>
      <c r="F158" s="427"/>
    </row>
    <row r="159" spans="1:6" ht="15" customHeight="1" x14ac:dyDescent="0.2">
      <c r="A159" s="397" t="s">
        <v>1144</v>
      </c>
      <c r="B159" s="397"/>
      <c r="C159" s="441">
        <f>'alb SoCNE'!C47</f>
        <v>0</v>
      </c>
      <c r="D159" s="2169"/>
      <c r="E159" s="477">
        <f>+C159-C158</f>
        <v>0</v>
      </c>
      <c r="F159" s="427"/>
    </row>
    <row r="160" spans="1:6" ht="15" customHeight="1" x14ac:dyDescent="0.2">
      <c r="B160" s="397"/>
      <c r="C160" s="441"/>
      <c r="E160" s="477"/>
      <c r="F160" s="427"/>
    </row>
    <row r="161" spans="1:6" ht="15" customHeight="1" x14ac:dyDescent="0.4">
      <c r="A161" s="397" t="s">
        <v>1143</v>
      </c>
      <c r="C161" s="478"/>
      <c r="D161" s="471"/>
      <c r="E161" s="477"/>
      <c r="F161" s="427"/>
    </row>
    <row r="162" spans="1:6" ht="15" customHeight="1" x14ac:dyDescent="0.2">
      <c r="A162" s="397" t="s">
        <v>1142</v>
      </c>
      <c r="C162" s="478">
        <f>'alb SCF'!C58</f>
        <v>0</v>
      </c>
      <c r="D162" s="2169" t="str">
        <f>IF(C162=C163,"OK","Error")</f>
        <v>OK</v>
      </c>
      <c r="E162" s="477"/>
      <c r="F162" s="427"/>
    </row>
    <row r="163" spans="1:6" ht="15" customHeight="1" x14ac:dyDescent="0.2">
      <c r="A163" s="397" t="s">
        <v>1141</v>
      </c>
      <c r="C163" s="478">
        <f>'alb SoCITE'!C29</f>
        <v>0</v>
      </c>
      <c r="D163" s="2169"/>
      <c r="E163" s="477"/>
      <c r="F163" s="427"/>
    </row>
    <row r="164" spans="1:6" ht="15" customHeight="1" x14ac:dyDescent="0.2">
      <c r="C164" s="478"/>
      <c r="D164" s="481"/>
      <c r="E164" s="477"/>
      <c r="F164" s="427"/>
    </row>
    <row r="165" spans="1:6" ht="15" customHeight="1" x14ac:dyDescent="0.2">
      <c r="A165" s="397" t="str">
        <f>'alb SCF'!A63</f>
        <v>Net increase (decrease) in cash &amp; cash equivalents in the period</v>
      </c>
      <c r="C165" s="478">
        <f>'alb SCF'!C63</f>
        <v>0</v>
      </c>
      <c r="D165" s="2169" t="str">
        <f>IF(ROUND(C165,0)=ROUND(C166,0),"OK","Error")</f>
        <v>OK</v>
      </c>
      <c r="E165" s="477"/>
      <c r="F165" s="427"/>
    </row>
    <row r="166" spans="1:6" ht="15" customHeight="1" x14ac:dyDescent="0.2">
      <c r="A166" s="397" t="s">
        <v>1140</v>
      </c>
      <c r="C166" s="478">
        <f>'alb Note 11 - Cash'!B11</f>
        <v>0</v>
      </c>
      <c r="D166" s="2169"/>
      <c r="E166" s="477"/>
      <c r="F166" s="427"/>
    </row>
    <row r="167" spans="1:6" ht="15" customHeight="1" x14ac:dyDescent="0.2">
      <c r="C167" s="478"/>
      <c r="D167" s="481"/>
      <c r="E167" s="477"/>
      <c r="F167" s="427"/>
    </row>
    <row r="168" spans="1:6" ht="15" customHeight="1" x14ac:dyDescent="0.2">
      <c r="A168" s="397" t="s">
        <v>1961</v>
      </c>
      <c r="C168" s="441"/>
      <c r="D168" s="2169" t="str">
        <f>'alb SCF'!C70</f>
        <v>OK</v>
      </c>
      <c r="E168" s="477"/>
      <c r="F168" s="427"/>
    </row>
    <row r="169" spans="1:6" ht="15" customHeight="1" x14ac:dyDescent="0.2">
      <c r="A169" s="397" t="s">
        <v>1962</v>
      </c>
      <c r="C169" s="478"/>
      <c r="D169" s="2169">
        <f>'alb SCF'!G70</f>
        <v>0</v>
      </c>
      <c r="E169" s="477"/>
      <c r="F169" s="427"/>
    </row>
    <row r="170" spans="1:6" ht="15" customHeight="1" x14ac:dyDescent="0.2">
      <c r="C170" s="478"/>
      <c r="D170" s="1670"/>
      <c r="E170" s="477"/>
      <c r="F170" s="427"/>
    </row>
    <row r="171" spans="1:6" ht="15" customHeight="1" x14ac:dyDescent="0.2">
      <c r="A171" s="388" t="s">
        <v>94</v>
      </c>
      <c r="C171" s="478"/>
      <c r="D171" s="481"/>
      <c r="E171" s="477"/>
      <c r="F171" s="427"/>
    </row>
    <row r="172" spans="1:6" ht="15" customHeight="1" x14ac:dyDescent="0.2">
      <c r="A172" s="388"/>
      <c r="C172" s="478"/>
      <c r="D172" s="481"/>
      <c r="E172" s="477"/>
      <c r="F172" s="427"/>
    </row>
    <row r="173" spans="1:6" x14ac:dyDescent="0.2">
      <c r="A173" s="388" t="s">
        <v>95</v>
      </c>
      <c r="C173" s="441">
        <f>-'alb SCF'!C45</f>
        <v>0</v>
      </c>
      <c r="E173" s="477"/>
      <c r="F173" s="427"/>
    </row>
    <row r="174" spans="1:6" x14ac:dyDescent="0.2">
      <c r="C174" s="441"/>
      <c r="E174" s="477"/>
      <c r="F174" s="427"/>
    </row>
    <row r="175" spans="1:6" x14ac:dyDescent="0.2">
      <c r="A175" s="397" t="s">
        <v>2600</v>
      </c>
      <c r="C175" s="441">
        <f>+'alb Note 5.1 -PP&amp;E - CY'!J14</f>
        <v>0</v>
      </c>
      <c r="E175" s="477"/>
      <c r="F175" s="427"/>
    </row>
    <row r="176" spans="1:6" x14ac:dyDescent="0.2">
      <c r="A176" s="397" t="s">
        <v>2601</v>
      </c>
      <c r="C176" s="474">
        <f>+'alb SCF'!C31</f>
        <v>0</v>
      </c>
      <c r="E176" s="477"/>
      <c r="F176" s="427"/>
    </row>
    <row r="177" spans="1:6" x14ac:dyDescent="0.2">
      <c r="C177" s="441">
        <f>SUM(C175:C176)</f>
        <v>0</v>
      </c>
      <c r="D177" s="1204" t="str">
        <f>IF(C177=C173,"OK","ERROR")</f>
        <v>OK</v>
      </c>
      <c r="E177" s="477"/>
      <c r="F177" s="427"/>
    </row>
    <row r="178" spans="1:6" ht="15" customHeight="1" x14ac:dyDescent="0.2">
      <c r="C178" s="478"/>
      <c r="D178" s="481"/>
      <c r="E178" s="477"/>
      <c r="F178" s="427"/>
    </row>
    <row r="179" spans="1:6" ht="15" customHeight="1" x14ac:dyDescent="0.2">
      <c r="A179" s="397" t="s">
        <v>1035</v>
      </c>
      <c r="C179" s="478">
        <f>+C173-C177</f>
        <v>0</v>
      </c>
      <c r="D179" s="481"/>
      <c r="E179" s="477"/>
      <c r="F179" s="427"/>
    </row>
    <row r="180" spans="1:6" ht="15" customHeight="1" x14ac:dyDescent="0.2">
      <c r="A180" s="397" t="s">
        <v>2602</v>
      </c>
      <c r="C180" s="478"/>
      <c r="D180" s="481"/>
      <c r="E180" s="477"/>
      <c r="F180" s="427"/>
    </row>
    <row r="181" spans="1:6" ht="15" customHeight="1" x14ac:dyDescent="0.2">
      <c r="A181" s="427"/>
      <c r="C181" s="1303"/>
      <c r="D181" s="481"/>
      <c r="E181" s="477"/>
      <c r="F181" s="427"/>
    </row>
    <row r="182" spans="1:6" ht="15" customHeight="1" x14ac:dyDescent="0.2">
      <c r="A182" s="427"/>
      <c r="C182" s="1303"/>
      <c r="D182" s="481"/>
      <c r="E182" s="477"/>
      <c r="F182" s="427"/>
    </row>
    <row r="183" spans="1:6" ht="15" customHeight="1" x14ac:dyDescent="0.2">
      <c r="A183" s="427"/>
      <c r="C183" s="1303"/>
      <c r="D183" s="481"/>
      <c r="E183" s="477"/>
      <c r="F183" s="427"/>
    </row>
    <row r="184" spans="1:6" ht="15" customHeight="1" x14ac:dyDescent="0.2">
      <c r="A184" s="427"/>
      <c r="C184" s="1303"/>
      <c r="D184" s="481"/>
      <c r="E184" s="477"/>
      <c r="F184" s="427"/>
    </row>
    <row r="185" spans="1:6" ht="15" customHeight="1" x14ac:dyDescent="0.2">
      <c r="A185" s="427"/>
      <c r="C185" s="1303"/>
      <c r="D185" s="481"/>
      <c r="E185" s="477"/>
      <c r="F185" s="427"/>
    </row>
    <row r="186" spans="1:6" ht="15" customHeight="1" x14ac:dyDescent="0.2">
      <c r="A186" s="427"/>
      <c r="C186" s="1868"/>
      <c r="D186" s="481"/>
      <c r="E186" s="477"/>
      <c r="F186" s="427"/>
    </row>
    <row r="187" spans="1:6" ht="15" customHeight="1" x14ac:dyDescent="0.2">
      <c r="C187" s="478">
        <f>SUM(C180:C186)</f>
        <v>0</v>
      </c>
      <c r="D187" s="1204" t="str">
        <f>IF(C187=C179,"OK","ERROR")</f>
        <v>OK</v>
      </c>
      <c r="E187" s="477"/>
      <c r="F187" s="427"/>
    </row>
    <row r="188" spans="1:6" ht="15" customHeight="1" x14ac:dyDescent="0.2">
      <c r="C188" s="478"/>
      <c r="D188" s="481"/>
      <c r="E188" s="477"/>
      <c r="F188" s="427"/>
    </row>
    <row r="189" spans="1:6" ht="26.25" x14ac:dyDescent="0.2">
      <c r="A189" s="1930" t="s">
        <v>2605</v>
      </c>
      <c r="B189" s="2165"/>
      <c r="C189" s="478">
        <f>+'alb SCF'!C22</f>
        <v>0</v>
      </c>
      <c r="D189" s="481"/>
      <c r="E189" s="477"/>
      <c r="F189" s="427"/>
    </row>
    <row r="190" spans="1:6" x14ac:dyDescent="0.2">
      <c r="A190" s="1930" t="s">
        <v>2606</v>
      </c>
      <c r="B190" s="2165"/>
      <c r="C190" s="478">
        <f>+'alb Note 12 Trade Receivables'!B14-'alb Note 12 Trade Receivables'!C14</f>
        <v>0</v>
      </c>
      <c r="D190" s="1204" t="str">
        <f>IF(C190=C189,"OK","ERROR")</f>
        <v>OK</v>
      </c>
      <c r="E190" s="477"/>
      <c r="F190" s="427"/>
    </row>
    <row r="191" spans="1:6" ht="15" customHeight="1" x14ac:dyDescent="0.2">
      <c r="C191" s="478"/>
      <c r="D191" s="481"/>
      <c r="E191" s="477"/>
      <c r="F191" s="427"/>
    </row>
    <row r="192" spans="1:6" ht="15" customHeight="1" x14ac:dyDescent="0.2">
      <c r="C192" s="478"/>
      <c r="D192" s="481"/>
      <c r="E192" s="477"/>
      <c r="F192" s="427"/>
    </row>
    <row r="193" spans="1:6" ht="15" customHeight="1" x14ac:dyDescent="0.2">
      <c r="C193" s="478"/>
      <c r="D193" s="481"/>
      <c r="E193" s="477"/>
      <c r="F193" s="427"/>
    </row>
    <row r="194" spans="1:6" ht="15" customHeight="1" x14ac:dyDescent="0.2">
      <c r="A194" s="388" t="s">
        <v>96</v>
      </c>
      <c r="C194" s="478">
        <f>-+'alb SCF'!C46</f>
        <v>0</v>
      </c>
      <c r="D194" s="481"/>
      <c r="E194" s="477"/>
      <c r="F194" s="427"/>
    </row>
    <row r="195" spans="1:6" ht="15" customHeight="1" x14ac:dyDescent="0.2">
      <c r="C195" s="478"/>
      <c r="D195" s="481"/>
      <c r="E195" s="477"/>
      <c r="F195" s="427"/>
    </row>
    <row r="196" spans="1:6" ht="15" customHeight="1" x14ac:dyDescent="0.2">
      <c r="A196" s="397" t="s">
        <v>2603</v>
      </c>
      <c r="C196" s="478">
        <f>+'alb Note 6.1 -  Intangibles CY'!J14</f>
        <v>0</v>
      </c>
      <c r="D196" s="481"/>
      <c r="E196" s="477"/>
      <c r="F196" s="427"/>
    </row>
    <row r="197" spans="1:6" ht="15" customHeight="1" x14ac:dyDescent="0.2">
      <c r="A197" s="397" t="s">
        <v>2604</v>
      </c>
      <c r="C197" s="476">
        <f>+'alb Note 13.1 Trade payables'!C16+'alb Note 13.1 Trade payables'!C25-'alb Note 13.1 Trade payables'!B16-'alb Note 13.1 Trade payables'!B25</f>
        <v>0</v>
      </c>
      <c r="D197" s="481"/>
      <c r="E197" s="477"/>
      <c r="F197" s="427"/>
    </row>
    <row r="198" spans="1:6" ht="15" customHeight="1" x14ac:dyDescent="0.2">
      <c r="C198" s="482">
        <f>SUM(C196:C197)</f>
        <v>0</v>
      </c>
      <c r="D198" s="1204" t="str">
        <f>IF(C198=C194,"OK","ERROR")</f>
        <v>OK</v>
      </c>
      <c r="E198" s="477"/>
      <c r="F198" s="427"/>
    </row>
    <row r="199" spans="1:6" ht="15" customHeight="1" x14ac:dyDescent="0.2">
      <c r="C199" s="478"/>
      <c r="D199" s="481"/>
      <c r="E199" s="477"/>
      <c r="F199" s="427"/>
    </row>
    <row r="200" spans="1:6" ht="15" customHeight="1" x14ac:dyDescent="0.2">
      <c r="A200" s="397" t="s">
        <v>1035</v>
      </c>
      <c r="C200" s="478">
        <f>+C194-C198</f>
        <v>0</v>
      </c>
      <c r="D200" s="481"/>
      <c r="E200" s="477"/>
      <c r="F200" s="427"/>
    </row>
    <row r="201" spans="1:6" ht="15" customHeight="1" x14ac:dyDescent="0.2">
      <c r="A201" s="397" t="s">
        <v>2602</v>
      </c>
      <c r="C201" s="478"/>
      <c r="D201" s="481"/>
      <c r="E201" s="477"/>
      <c r="F201" s="427"/>
    </row>
    <row r="202" spans="1:6" ht="15" customHeight="1" x14ac:dyDescent="0.2">
      <c r="A202" s="427"/>
      <c r="C202" s="1303"/>
      <c r="D202" s="481"/>
      <c r="E202" s="477"/>
      <c r="F202" s="427"/>
    </row>
    <row r="203" spans="1:6" ht="15" customHeight="1" x14ac:dyDescent="0.2">
      <c r="A203" s="427"/>
      <c r="C203" s="1303"/>
      <c r="D203" s="481"/>
      <c r="E203" s="477"/>
      <c r="F203" s="427"/>
    </row>
    <row r="204" spans="1:6" ht="15" customHeight="1" x14ac:dyDescent="0.2">
      <c r="A204" s="427"/>
      <c r="C204" s="1303"/>
      <c r="D204" s="481"/>
      <c r="E204" s="477"/>
      <c r="F204" s="427"/>
    </row>
    <row r="205" spans="1:6" ht="15" customHeight="1" x14ac:dyDescent="0.2">
      <c r="A205" s="427"/>
      <c r="C205" s="1303"/>
      <c r="D205" s="481"/>
      <c r="E205" s="477"/>
      <c r="F205" s="427"/>
    </row>
    <row r="206" spans="1:6" ht="15" customHeight="1" x14ac:dyDescent="0.2">
      <c r="A206" s="427"/>
      <c r="C206" s="1303"/>
      <c r="D206" s="481"/>
      <c r="E206" s="477"/>
      <c r="F206" s="427"/>
    </row>
    <row r="207" spans="1:6" ht="15" customHeight="1" x14ac:dyDescent="0.2">
      <c r="A207" s="427"/>
      <c r="C207" s="1868"/>
      <c r="D207" s="481"/>
      <c r="E207" s="477"/>
      <c r="F207" s="427"/>
    </row>
    <row r="208" spans="1:6" ht="15" customHeight="1" x14ac:dyDescent="0.2">
      <c r="C208" s="478">
        <f>SUM(C201:C207)</f>
        <v>0</v>
      </c>
      <c r="D208" s="1204" t="str">
        <f>IF(C208=C200,"OK","ERROR")</f>
        <v>OK</v>
      </c>
      <c r="E208" s="477"/>
      <c r="F208" s="427"/>
    </row>
    <row r="209" spans="1:6" ht="15" customHeight="1" x14ac:dyDescent="0.2">
      <c r="C209" s="478"/>
      <c r="D209" s="481"/>
      <c r="E209" s="477"/>
      <c r="F209" s="427"/>
    </row>
    <row r="210" spans="1:6" ht="26.25" x14ac:dyDescent="0.2">
      <c r="A210" s="1930" t="s">
        <v>2607</v>
      </c>
      <c r="B210" s="2165"/>
      <c r="C210" s="478">
        <f>+'alb SCF'!C23</f>
        <v>0</v>
      </c>
      <c r="D210" s="481"/>
      <c r="E210" s="477"/>
      <c r="F210" s="427"/>
    </row>
    <row r="211" spans="1:6" x14ac:dyDescent="0.2">
      <c r="A211" s="1930" t="s">
        <v>2608</v>
      </c>
      <c r="B211" s="2165"/>
      <c r="C211" s="478">
        <f>+'alb Note 12 Trade Receivables'!B15-'alb Note 12 Trade Receivables'!C15</f>
        <v>0</v>
      </c>
      <c r="D211" s="1204" t="str">
        <f>IF(C211=C210,"OK","ERROR")</f>
        <v>OK</v>
      </c>
      <c r="E211" s="477"/>
      <c r="F211" s="427"/>
    </row>
    <row r="212" spans="1:6" ht="15" customHeight="1" x14ac:dyDescent="0.2">
      <c r="C212" s="478"/>
      <c r="D212" s="481"/>
      <c r="E212" s="477"/>
      <c r="F212" s="427"/>
    </row>
    <row r="213" spans="1:6" ht="15" customHeight="1" x14ac:dyDescent="0.2">
      <c r="C213" s="478"/>
      <c r="D213" s="481"/>
      <c r="E213" s="477"/>
      <c r="F213" s="427"/>
    </row>
    <row r="214" spans="1:6" ht="15" customHeight="1" x14ac:dyDescent="0.2">
      <c r="C214" s="478"/>
      <c r="D214" s="481"/>
      <c r="E214" s="477"/>
      <c r="F214" s="427"/>
    </row>
    <row r="215" spans="1:6" ht="15" customHeight="1" x14ac:dyDescent="0.2">
      <c r="A215" s="495" t="s">
        <v>1139</v>
      </c>
      <c r="C215" s="478"/>
      <c r="D215" s="481"/>
      <c r="E215" s="477"/>
      <c r="F215" s="427"/>
    </row>
    <row r="216" spans="1:6" ht="15" customHeight="1" x14ac:dyDescent="0.2">
      <c r="A216" s="397" t="s">
        <v>1138</v>
      </c>
      <c r="C216" s="478">
        <f>'alb SoCNE'!C66</f>
        <v>0</v>
      </c>
      <c r="D216" s="2169" t="str">
        <f>IF(C216=C217,"OK","Error")</f>
        <v>OK</v>
      </c>
      <c r="E216" s="477"/>
      <c r="F216" s="427"/>
    </row>
    <row r="217" spans="1:6" ht="15" customHeight="1" x14ac:dyDescent="0.2">
      <c r="A217" s="397" t="s">
        <v>1137</v>
      </c>
      <c r="C217" s="478">
        <f>'alb SoCITE'!F31+'alb SoCITE'!F32</f>
        <v>0</v>
      </c>
      <c r="D217" s="2169"/>
      <c r="E217" s="479">
        <f>+C217-C216</f>
        <v>0</v>
      </c>
      <c r="F217" s="427"/>
    </row>
    <row r="218" spans="1:6" ht="15" customHeight="1" x14ac:dyDescent="0.2">
      <c r="C218" s="482"/>
      <c r="D218" s="480"/>
      <c r="E218" s="479"/>
      <c r="F218" s="427"/>
    </row>
    <row r="219" spans="1:6" ht="15" hidden="1" customHeight="1" x14ac:dyDescent="0.2">
      <c r="C219" s="482"/>
      <c r="D219" s="480"/>
      <c r="E219" s="479"/>
      <c r="F219" s="427"/>
    </row>
    <row r="220" spans="1:6" ht="15" hidden="1" customHeight="1" outlineLevel="1" x14ac:dyDescent="0.2">
      <c r="A220" s="495" t="s">
        <v>1136</v>
      </c>
      <c r="C220" s="482"/>
      <c r="D220" s="480"/>
      <c r="E220" s="479"/>
      <c r="F220" s="427" t="s">
        <v>1963</v>
      </c>
    </row>
    <row r="221" spans="1:6" ht="15" hidden="1" customHeight="1" outlineLevel="1" x14ac:dyDescent="0.2">
      <c r="C221" s="482"/>
      <c r="D221" s="480"/>
      <c r="E221" s="479"/>
      <c r="F221" s="427" t="s">
        <v>1963</v>
      </c>
    </row>
    <row r="222" spans="1:6" ht="15" hidden="1" customHeight="1" outlineLevel="1" x14ac:dyDescent="0.2">
      <c r="A222" s="397" t="s">
        <v>1135</v>
      </c>
      <c r="C222" s="482"/>
      <c r="D222" s="480"/>
      <c r="E222" s="479"/>
      <c r="F222" s="427" t="s">
        <v>1963</v>
      </c>
    </row>
    <row r="223" spans="1:6" ht="15" hidden="1" customHeight="1" outlineLevel="1" x14ac:dyDescent="0.2">
      <c r="A223" s="397" t="s">
        <v>1134</v>
      </c>
      <c r="C223" s="482"/>
      <c r="D223" s="480"/>
      <c r="E223" s="479"/>
      <c r="F223" s="427" t="s">
        <v>1963</v>
      </c>
    </row>
    <row r="224" spans="1:6" ht="15" hidden="1" customHeight="1" outlineLevel="1" x14ac:dyDescent="0.2">
      <c r="C224" s="482"/>
      <c r="D224" s="480"/>
      <c r="E224" s="479"/>
      <c r="F224" s="427" t="s">
        <v>1963</v>
      </c>
    </row>
    <row r="225" spans="1:6" ht="15" hidden="1" customHeight="1" outlineLevel="1" x14ac:dyDescent="0.2">
      <c r="A225" s="397" t="s">
        <v>1133</v>
      </c>
      <c r="C225" s="482"/>
      <c r="D225" s="480"/>
      <c r="E225" s="479"/>
      <c r="F225" s="427" t="s">
        <v>1963</v>
      </c>
    </row>
    <row r="226" spans="1:6" ht="15" hidden="1" customHeight="1" outlineLevel="1" x14ac:dyDescent="0.2">
      <c r="A226" s="397" t="s">
        <v>1132</v>
      </c>
      <c r="C226" s="482"/>
      <c r="D226" s="480"/>
      <c r="E226" s="479"/>
      <c r="F226" s="427" t="s">
        <v>1963</v>
      </c>
    </row>
    <row r="227" spans="1:6" ht="15" hidden="1" customHeight="1" x14ac:dyDescent="0.2">
      <c r="C227" s="482"/>
      <c r="D227" s="480"/>
      <c r="E227" s="479"/>
      <c r="F227" s="427"/>
    </row>
    <row r="228" spans="1:6" ht="15" hidden="1" customHeight="1" x14ac:dyDescent="0.2">
      <c r="C228" s="482"/>
      <c r="D228" s="480"/>
      <c r="E228" s="479"/>
      <c r="F228" s="427"/>
    </row>
    <row r="229" spans="1:6" ht="15" hidden="1" customHeight="1" x14ac:dyDescent="0.2">
      <c r="A229" s="495" t="s">
        <v>1998</v>
      </c>
      <c r="C229" s="482"/>
      <c r="D229" s="480"/>
      <c r="E229" s="479"/>
      <c r="F229" s="427"/>
    </row>
    <row r="230" spans="1:6" ht="15" hidden="1" customHeight="1" x14ac:dyDescent="0.2">
      <c r="C230" s="482"/>
      <c r="D230" s="480"/>
      <c r="E230" s="479"/>
      <c r="F230" s="427"/>
    </row>
    <row r="231" spans="1:6" ht="15" hidden="1" customHeight="1" x14ac:dyDescent="0.2">
      <c r="A231" s="397" t="s">
        <v>1999</v>
      </c>
      <c r="C231" s="482"/>
      <c r="D231" s="480"/>
      <c r="E231" s="479"/>
      <c r="F231" s="427"/>
    </row>
    <row r="232" spans="1:6" ht="15" hidden="1" customHeight="1" x14ac:dyDescent="0.2">
      <c r="A232" s="397" t="s">
        <v>1131</v>
      </c>
      <c r="C232" s="482"/>
      <c r="D232" s="480"/>
      <c r="E232" s="479"/>
      <c r="F232" s="427"/>
    </row>
    <row r="233" spans="1:6" ht="15" hidden="1" customHeight="1" x14ac:dyDescent="0.2">
      <c r="C233" s="482"/>
      <c r="D233" s="480"/>
      <c r="E233" s="479"/>
      <c r="F233" s="427"/>
    </row>
    <row r="234" spans="1:6" ht="15" hidden="1" customHeight="1" x14ac:dyDescent="0.2">
      <c r="C234" s="482"/>
      <c r="D234" s="480"/>
      <c r="E234" s="479"/>
      <c r="F234" s="427"/>
    </row>
    <row r="235" spans="1:6" ht="15" customHeight="1" x14ac:dyDescent="0.4">
      <c r="C235" s="476"/>
      <c r="D235" s="475"/>
      <c r="E235" s="472"/>
      <c r="F235" s="427"/>
    </row>
    <row r="236" spans="1:6" ht="15" customHeight="1" x14ac:dyDescent="0.4">
      <c r="C236" s="478"/>
      <c r="D236" s="471"/>
      <c r="E236" s="477"/>
      <c r="F236" s="427"/>
    </row>
    <row r="237" spans="1:6" ht="15" customHeight="1" x14ac:dyDescent="0.4">
      <c r="A237" s="495" t="s">
        <v>1829</v>
      </c>
      <c r="C237" s="478"/>
      <c r="D237" s="471"/>
      <c r="E237" s="477"/>
      <c r="F237" s="427"/>
    </row>
    <row r="238" spans="1:6" ht="15" customHeight="1" x14ac:dyDescent="0.2">
      <c r="A238" s="397" t="s">
        <v>1956</v>
      </c>
      <c r="C238" s="441"/>
      <c r="D238" s="1461">
        <f>'alb Note 4 - Income'!D9</f>
        <v>0</v>
      </c>
      <c r="E238" s="477"/>
      <c r="F238" s="427"/>
    </row>
    <row r="239" spans="1:6" ht="15" customHeight="1" x14ac:dyDescent="0.4">
      <c r="C239" s="478"/>
      <c r="D239" s="471"/>
      <c r="E239" s="477"/>
      <c r="F239" s="427"/>
    </row>
    <row r="240" spans="1:6" ht="15" customHeight="1" x14ac:dyDescent="0.4">
      <c r="A240" s="495" t="s">
        <v>2573</v>
      </c>
      <c r="C240" s="478"/>
      <c r="D240" s="471"/>
      <c r="E240" s="477"/>
      <c r="F240" s="427"/>
    </row>
    <row r="241" spans="1:6" ht="15" customHeight="1" x14ac:dyDescent="0.2">
      <c r="A241" s="397" t="str">
        <f>'alb Note 3 &amp; 3.1 - Expenditure'!A10</f>
        <v>Wages and salaries</v>
      </c>
      <c r="C241" s="441"/>
      <c r="D241" s="1204" t="str">
        <f>'alb Note 3 &amp; 3.1 - Expenditure'!AD10</f>
        <v xml:space="preserve">Ok </v>
      </c>
      <c r="E241" s="477"/>
      <c r="F241" s="427"/>
    </row>
    <row r="242" spans="1:6" ht="15" customHeight="1" x14ac:dyDescent="0.2">
      <c r="A242" s="397" t="str">
        <f>'alb Note 3 &amp; 3.1 - Expenditure'!A11</f>
        <v>Social security costs</v>
      </c>
      <c r="C242" s="478"/>
      <c r="D242" s="1204" t="str">
        <f>'alb Note 3 &amp; 3.1 - Expenditure'!AD11</f>
        <v xml:space="preserve">Ok </v>
      </c>
      <c r="E242" s="477"/>
      <c r="F242" s="427"/>
    </row>
    <row r="243" spans="1:6" ht="15" customHeight="1" x14ac:dyDescent="0.2">
      <c r="A243" s="397" t="str">
        <f>'alb Note 3 &amp; 3.1 - Expenditure'!A12</f>
        <v>Other pension costs</v>
      </c>
      <c r="C243" s="478"/>
      <c r="D243" s="1204" t="str">
        <f>'alb Note 3 &amp; 3.1 - Expenditure'!AD12</f>
        <v xml:space="preserve">Ok </v>
      </c>
      <c r="E243" s="477"/>
      <c r="F243" s="427"/>
    </row>
    <row r="244" spans="1:6" ht="15" customHeight="1" x14ac:dyDescent="0.2">
      <c r="A244" s="397" t="str">
        <f>'alb Note 3 &amp; 3.1 - Expenditure'!A13</f>
        <v>Goods and services</v>
      </c>
      <c r="C244" s="478"/>
      <c r="D244" s="1204" t="str">
        <f>'alb Note 3 &amp; 3.1 - Expenditure'!AD13</f>
        <v xml:space="preserve">Ok </v>
      </c>
      <c r="E244" s="477"/>
      <c r="F244" s="427"/>
    </row>
    <row r="245" spans="1:6" ht="15" customHeight="1" x14ac:dyDescent="0.2">
      <c r="A245" s="397" t="str">
        <f>'alb Note 3 &amp; 3.1 - Expenditure'!A14</f>
        <v>Auditors' remuneration and expenses</v>
      </c>
      <c r="C245" s="478"/>
      <c r="D245" s="1204" t="str">
        <f>'alb Note 3 &amp; 3.1 - Expenditure'!AD14</f>
        <v xml:space="preserve">Ok </v>
      </c>
      <c r="E245" s="477"/>
      <c r="F245" s="427"/>
    </row>
    <row r="246" spans="1:6" ht="15" customHeight="1" x14ac:dyDescent="0.2">
      <c r="A246" s="397" t="str">
        <f>'alb Note 3 &amp; 3.1 - Expenditure'!A15</f>
        <v>Grants</v>
      </c>
      <c r="C246" s="478"/>
      <c r="D246" s="1204" t="str">
        <f>'alb Note 3 &amp; 3.1 - Expenditure'!AD15</f>
        <v xml:space="preserve">Ok </v>
      </c>
      <c r="E246" s="477"/>
      <c r="F246" s="427"/>
    </row>
    <row r="247" spans="1:6" ht="15" customHeight="1" x14ac:dyDescent="0.2">
      <c r="A247" s="397" t="str">
        <f>'alb Note 3 &amp; 3.1 - Expenditure'!A16</f>
        <v>Rentals under operating leases</v>
      </c>
      <c r="C247" s="478"/>
      <c r="D247" s="1204" t="str">
        <f>'alb Note 3 &amp; 3.1 - Expenditure'!AD16</f>
        <v xml:space="preserve">Ok </v>
      </c>
      <c r="E247" s="477"/>
      <c r="F247" s="427"/>
    </row>
    <row r="248" spans="1:6" ht="15" customHeight="1" x14ac:dyDescent="0.2">
      <c r="A248" s="397" t="str">
        <f>'alb Note 3 &amp; 3.1 - Expenditure'!A17</f>
        <v>Interest charges</v>
      </c>
      <c r="C248" s="478"/>
      <c r="D248" s="1204" t="str">
        <f>'alb Note 3 &amp; 3.1 - Expenditure'!AD17</f>
        <v xml:space="preserve">Ok </v>
      </c>
      <c r="E248" s="477"/>
      <c r="F248" s="427"/>
    </row>
    <row r="249" spans="1:6" ht="15" customHeight="1" x14ac:dyDescent="0.2">
      <c r="A249" s="397" t="str">
        <f>'alb Note 3 &amp; 3.1 - Expenditure'!A19</f>
        <v>PFI and other service concession arrangements service charges</v>
      </c>
      <c r="C249" s="478"/>
      <c r="D249" s="1204" t="str">
        <f>'alb Note 3 &amp; 3.1 - Expenditure'!AD19</f>
        <v xml:space="preserve">Ok </v>
      </c>
      <c r="E249" s="477"/>
      <c r="F249" s="427"/>
    </row>
    <row r="250" spans="1:6" ht="15" customHeight="1" x14ac:dyDescent="0.2">
      <c r="A250" s="397" t="str">
        <f>'alb Note 3 &amp; 3.1 - Expenditure'!A20</f>
        <v>Research &amp; development expenditure</v>
      </c>
      <c r="C250" s="478"/>
      <c r="D250" s="1204" t="str">
        <f>'alb Note 3 &amp; 3.1 - Expenditure'!AD20</f>
        <v xml:space="preserve">Ok </v>
      </c>
      <c r="E250" s="477"/>
      <c r="F250" s="427"/>
    </row>
    <row r="251" spans="1:6" ht="15" customHeight="1" x14ac:dyDescent="0.2">
      <c r="C251" s="478"/>
      <c r="D251" s="1458"/>
      <c r="E251" s="477"/>
      <c r="F251" s="427"/>
    </row>
    <row r="252" spans="1:6" ht="15" customHeight="1" x14ac:dyDescent="0.2">
      <c r="A252" s="388" t="str">
        <f>'alb Note 3 &amp; 3.1 - Expenditure'!A22</f>
        <v>Non cash items</v>
      </c>
      <c r="C252" s="478"/>
      <c r="D252" s="1458"/>
      <c r="E252" s="477"/>
      <c r="F252" s="427"/>
    </row>
    <row r="253" spans="1:6" ht="15" customHeight="1" x14ac:dyDescent="0.2">
      <c r="A253" s="397" t="str">
        <f>'alb Note 3 &amp; 3.1 - Expenditure'!A23</f>
        <v>Depreciation</v>
      </c>
      <c r="C253" s="478"/>
      <c r="D253" s="1204" t="str">
        <f>'alb Note 3 &amp; 3.1 - Expenditure'!AD23</f>
        <v xml:space="preserve">Ok </v>
      </c>
      <c r="E253" s="477"/>
      <c r="F253" s="427"/>
    </row>
    <row r="254" spans="1:6" ht="15" customHeight="1" x14ac:dyDescent="0.2">
      <c r="A254" s="397" t="str">
        <f>'alb Note 3 &amp; 3.1 - Expenditure'!A24</f>
        <v>Amortisation</v>
      </c>
      <c r="C254" s="478"/>
      <c r="D254" s="1204" t="str">
        <f>'alb Note 3 &amp; 3.1 - Expenditure'!AD24</f>
        <v xml:space="preserve">Ok </v>
      </c>
      <c r="E254" s="477"/>
      <c r="F254" s="427"/>
    </row>
    <row r="255" spans="1:6" ht="15" customHeight="1" x14ac:dyDescent="0.2">
      <c r="A255" s="397" t="str">
        <f>'alb Note 3 &amp; 3.1 - Expenditure'!A25</f>
        <v>Permanent Diminution in value</v>
      </c>
      <c r="C255" s="478"/>
      <c r="D255" s="1204" t="str">
        <f>'alb Note 3 &amp; 3.1 - Expenditure'!AD25</f>
        <v xml:space="preserve">Ok </v>
      </c>
      <c r="E255" s="477"/>
      <c r="F255" s="427"/>
    </row>
    <row r="256" spans="1:6" ht="15" customHeight="1" x14ac:dyDescent="0.2">
      <c r="A256" s="397" t="str">
        <f>'alb Note 3 &amp; 3.1 - Expenditure'!A26</f>
        <v>Loss / (Profit) on disposal of property, plant and equipment</v>
      </c>
      <c r="C256" s="478"/>
      <c r="D256" s="1204" t="str">
        <f>'alb Note 3 &amp; 3.1 - Expenditure'!AD26</f>
        <v xml:space="preserve">Ok </v>
      </c>
      <c r="E256" s="477"/>
      <c r="F256" s="427"/>
    </row>
    <row r="257" spans="1:6" ht="15" customHeight="1" x14ac:dyDescent="0.2">
      <c r="A257" s="397" t="str">
        <f>'alb Note 3 &amp; 3.1 - Expenditure'!A27</f>
        <v>Loss / (Profit) on disposal of intangibles</v>
      </c>
      <c r="C257" s="478"/>
      <c r="D257" s="1204" t="str">
        <f>'alb Note 3 &amp; 3.1 - Expenditure'!AD27</f>
        <v xml:space="preserve">Ok </v>
      </c>
      <c r="E257" s="477"/>
      <c r="F257" s="427"/>
    </row>
    <row r="258" spans="1:6" ht="15" customHeight="1" x14ac:dyDescent="0.2">
      <c r="A258" s="397" t="str">
        <f>'alb Note 3 &amp; 3.1 - Expenditure'!A28</f>
        <v>Impairment relating to FTC</v>
      </c>
      <c r="C258" s="478"/>
      <c r="D258" s="1204" t="str">
        <f>'alb Note 3 &amp; 3.1 - Expenditure'!AD28</f>
        <v xml:space="preserve">Ok </v>
      </c>
      <c r="E258" s="477"/>
      <c r="F258" s="427"/>
    </row>
    <row r="259" spans="1:6" ht="15" customHeight="1" x14ac:dyDescent="0.2">
      <c r="A259" s="397" t="str">
        <f>'alb Note 3 &amp; 3.1 - Expenditure'!A29</f>
        <v>Increase / Decrease in provisions (provision provided for in year less any release)</v>
      </c>
      <c r="C259" s="478"/>
      <c r="D259" s="1204" t="str">
        <f>'alb Note 3 &amp; 3.1 - Expenditure'!AD29</f>
        <v xml:space="preserve">Ok </v>
      </c>
      <c r="E259" s="477"/>
      <c r="F259" s="427"/>
    </row>
    <row r="260" spans="1:6" ht="15" customHeight="1" x14ac:dyDescent="0.2">
      <c r="A260" s="397" t="str">
        <f>'alb Note 3 &amp; 3.1 - Expenditure'!A30</f>
        <v xml:space="preserve">Auditors' remuneration and expenses </v>
      </c>
      <c r="C260" s="478"/>
      <c r="D260" s="1204" t="str">
        <f>'alb Note 3 &amp; 3.1 - Expenditure'!AD30</f>
        <v xml:space="preserve">Ok </v>
      </c>
      <c r="E260" s="477"/>
      <c r="F260" s="427"/>
    </row>
    <row r="261" spans="1:6" ht="15" customHeight="1" x14ac:dyDescent="0.2">
      <c r="A261" s="397" t="str">
        <f>'alb Note 3 &amp; 3.1 - Expenditure'!A31</f>
        <v>Borrowing costs (unwinding of discount) on provisions</v>
      </c>
      <c r="C261" s="478"/>
      <c r="D261" s="1204" t="str">
        <f>'alb Note 3 &amp; 3.1 - Expenditure'!AD31</f>
        <v xml:space="preserve">Ok </v>
      </c>
      <c r="E261" s="477"/>
      <c r="F261" s="427"/>
    </row>
    <row r="262" spans="1:6" ht="15" customHeight="1" x14ac:dyDescent="0.2">
      <c r="A262" s="397" t="str">
        <f>'alb Note 3 &amp; 3.1 - Expenditure'!A34</f>
        <v xml:space="preserve">NILGOSC Pension - NIFRS - Current service cost </v>
      </c>
      <c r="C262" s="478"/>
      <c r="D262" s="1204" t="str">
        <f>'alb Note 3 &amp; 3.1 - Expenditure'!AD34</f>
        <v xml:space="preserve">Ok </v>
      </c>
      <c r="E262" s="477"/>
      <c r="F262" s="427"/>
    </row>
    <row r="263" spans="1:6" ht="15" customHeight="1" x14ac:dyDescent="0.2">
      <c r="A263" s="397" t="str">
        <f>'alb Note 3 &amp; 3.1 - Expenditure'!A35</f>
        <v xml:space="preserve">NILGOSC Pension - NIFRS - Past service cost </v>
      </c>
      <c r="C263" s="478"/>
      <c r="D263" s="1204" t="str">
        <f>'alb Note 3 &amp; 3.1 - Expenditure'!AD35</f>
        <v xml:space="preserve">Ok </v>
      </c>
      <c r="E263" s="477"/>
      <c r="F263" s="427"/>
    </row>
    <row r="264" spans="1:6" ht="15" customHeight="1" x14ac:dyDescent="0.2">
      <c r="A264" s="397" t="str">
        <f>'alb Note 3 &amp; 3.1 - Expenditure'!A36</f>
        <v>NILGOSC Pension - NIFRS - Interest on Scheme Liabilities</v>
      </c>
      <c r="C264" s="478"/>
      <c r="D264" s="1204" t="str">
        <f>'alb Note 3 &amp; 3.1 - Expenditure'!AD36</f>
        <v xml:space="preserve">Ok </v>
      </c>
      <c r="E264" s="477"/>
      <c r="F264" s="427"/>
    </row>
    <row r="265" spans="1:6" ht="15" customHeight="1" x14ac:dyDescent="0.2">
      <c r="C265" s="478"/>
      <c r="D265" s="1458"/>
      <c r="E265" s="477"/>
      <c r="F265" s="427"/>
    </row>
    <row r="266" spans="1:6" ht="15" customHeight="1" x14ac:dyDescent="0.2">
      <c r="A266" s="388" t="str">
        <f>'alb Note 3 &amp; 3.1 - Expenditure'!A41</f>
        <v>Total</v>
      </c>
      <c r="C266" s="478"/>
      <c r="D266" s="1204" t="str">
        <f>'alb Note 3 &amp; 3.1 - Expenditure'!AD41</f>
        <v xml:space="preserve">Ok </v>
      </c>
      <c r="E266" s="477"/>
      <c r="F266" s="427"/>
    </row>
    <row r="267" spans="1:6" ht="15" customHeight="1" x14ac:dyDescent="0.4">
      <c r="C267" s="478"/>
      <c r="D267" s="471"/>
      <c r="E267" s="477"/>
      <c r="F267" s="427"/>
    </row>
    <row r="268" spans="1:6" ht="15" customHeight="1" x14ac:dyDescent="0.4">
      <c r="A268" s="495" t="s">
        <v>1957</v>
      </c>
      <c r="C268" s="478"/>
      <c r="D268" s="471"/>
      <c r="E268" s="477"/>
      <c r="F268" s="427"/>
    </row>
    <row r="269" spans="1:6" ht="15" customHeight="1" x14ac:dyDescent="0.2">
      <c r="A269" s="397" t="s">
        <v>1675</v>
      </c>
      <c r="C269" s="441"/>
      <c r="D269" s="1204" t="str">
        <f>'alb Note 4 - Income'!D13</f>
        <v xml:space="preserve">Ok </v>
      </c>
      <c r="E269" s="477"/>
      <c r="F269" s="427"/>
    </row>
    <row r="270" spans="1:6" ht="15" customHeight="1" x14ac:dyDescent="0.2">
      <c r="A270" s="397" t="s">
        <v>1935</v>
      </c>
      <c r="C270" s="441"/>
      <c r="D270" s="1204" t="str">
        <f>'alb Note 4 - Income'!D15</f>
        <v xml:space="preserve">Ok </v>
      </c>
      <c r="E270" s="477"/>
      <c r="F270" s="427"/>
    </row>
    <row r="271" spans="1:6" ht="15" customHeight="1" x14ac:dyDescent="0.2">
      <c r="A271" s="397" t="s">
        <v>1676</v>
      </c>
      <c r="C271" s="441"/>
      <c r="D271" s="1204" t="str">
        <f>'alb Note 4 - Income'!D16</f>
        <v xml:space="preserve">Ok </v>
      </c>
      <c r="E271" s="477"/>
      <c r="F271" s="427"/>
    </row>
    <row r="272" spans="1:6" ht="15" customHeight="1" x14ac:dyDescent="0.2">
      <c r="A272" s="397" t="s">
        <v>174</v>
      </c>
      <c r="C272" s="441"/>
      <c r="D272" s="1204" t="str">
        <f>'alb Note 4 - Income'!D17</f>
        <v xml:space="preserve">Ok </v>
      </c>
      <c r="E272" s="477"/>
      <c r="F272" s="427"/>
    </row>
    <row r="273" spans="1:6" ht="15" customHeight="1" x14ac:dyDescent="0.2">
      <c r="A273" s="397" t="s">
        <v>1674</v>
      </c>
      <c r="C273" s="441"/>
      <c r="D273" s="1204" t="str">
        <f>'alb Note 4 - Income'!D18</f>
        <v xml:space="preserve">Ok </v>
      </c>
      <c r="E273" s="477"/>
      <c r="F273" s="427"/>
    </row>
    <row r="274" spans="1:6" ht="15" customHeight="1" x14ac:dyDescent="0.2">
      <c r="C274" s="441"/>
      <c r="D274" s="453"/>
      <c r="E274" s="477"/>
      <c r="F274" s="427"/>
    </row>
    <row r="275" spans="1:6" ht="15" customHeight="1" x14ac:dyDescent="0.2">
      <c r="A275" s="675" t="s">
        <v>1683</v>
      </c>
      <c r="C275" s="441"/>
      <c r="D275" s="1204" t="str">
        <f>'alb Note 4 - Income'!D25</f>
        <v xml:space="preserve">Ok </v>
      </c>
      <c r="E275" s="477"/>
      <c r="F275" s="427"/>
    </row>
    <row r="276" spans="1:6" ht="15" customHeight="1" x14ac:dyDescent="0.2">
      <c r="A276" s="675" t="s">
        <v>1936</v>
      </c>
      <c r="C276" s="441"/>
      <c r="D276" s="1204" t="str">
        <f>'alb Note 4 - Income'!D26</f>
        <v xml:space="preserve">Ok </v>
      </c>
      <c r="E276" s="477"/>
      <c r="F276" s="427"/>
    </row>
    <row r="277" spans="1:6" ht="15" customHeight="1" x14ac:dyDescent="0.2">
      <c r="A277" s="675" t="s">
        <v>1682</v>
      </c>
      <c r="C277" s="441"/>
      <c r="D277" s="1204" t="str">
        <f>'alb Note 4 - Income'!D27</f>
        <v xml:space="preserve">Ok </v>
      </c>
      <c r="E277" s="477"/>
      <c r="F277" s="427"/>
    </row>
    <row r="278" spans="1:6" ht="15" customHeight="1" x14ac:dyDescent="0.2">
      <c r="A278" s="675" t="s">
        <v>1681</v>
      </c>
      <c r="C278" s="441"/>
      <c r="D278" s="1204" t="str">
        <f>'alb Note 4 - Income'!D28</f>
        <v xml:space="preserve">Ok </v>
      </c>
      <c r="E278" s="477"/>
      <c r="F278" s="427"/>
    </row>
    <row r="279" spans="1:6" ht="15" customHeight="1" x14ac:dyDescent="0.2">
      <c r="A279" s="675" t="s">
        <v>1680</v>
      </c>
      <c r="C279" s="441"/>
      <c r="D279" s="1204" t="str">
        <f>'alb Note 4 - Income'!D29</f>
        <v xml:space="preserve">Ok </v>
      </c>
      <c r="E279" s="477"/>
      <c r="F279" s="427"/>
    </row>
    <row r="280" spans="1:6" ht="15" customHeight="1" x14ac:dyDescent="0.2">
      <c r="A280" s="388" t="s">
        <v>1679</v>
      </c>
      <c r="C280" s="441"/>
      <c r="D280" s="1204" t="str">
        <f>'alb Note 4 - Income'!D31</f>
        <v xml:space="preserve">Ok </v>
      </c>
      <c r="E280" s="477"/>
      <c r="F280" s="427"/>
    </row>
    <row r="281" spans="1:6" ht="15" customHeight="1" x14ac:dyDescent="0.2">
      <c r="C281" s="441"/>
      <c r="D281" s="453"/>
      <c r="E281" s="477"/>
      <c r="F281" s="427"/>
    </row>
    <row r="282" spans="1:6" ht="15" customHeight="1" x14ac:dyDescent="0.2">
      <c r="A282" s="388" t="s">
        <v>1251</v>
      </c>
      <c r="C282" s="441"/>
      <c r="D282" s="1204" t="str">
        <f>'alb Note 4 - Income'!D37</f>
        <v xml:space="preserve">Ok </v>
      </c>
      <c r="E282" s="477"/>
      <c r="F282" s="427"/>
    </row>
    <row r="283" spans="1:6" ht="15" customHeight="1" x14ac:dyDescent="0.2">
      <c r="C283" s="441"/>
      <c r="E283" s="477"/>
      <c r="F283" s="427"/>
    </row>
    <row r="284" spans="1:6" ht="15" customHeight="1" x14ac:dyDescent="0.2">
      <c r="C284" s="441"/>
      <c r="E284" s="477"/>
      <c r="F284" s="427"/>
    </row>
    <row r="285" spans="1:6" ht="15" customHeight="1" x14ac:dyDescent="0.4">
      <c r="A285" s="495" t="s">
        <v>2574</v>
      </c>
      <c r="C285" s="478"/>
      <c r="D285" s="471"/>
      <c r="E285" s="477"/>
      <c r="F285" s="427"/>
    </row>
    <row r="286" spans="1:6" ht="15" customHeight="1" x14ac:dyDescent="0.2">
      <c r="A286" s="397" t="s">
        <v>1953</v>
      </c>
      <c r="C286" s="441"/>
      <c r="D286" s="1204" t="str">
        <f>'alb Note 9 - Investments'!B31</f>
        <v>Ok</v>
      </c>
      <c r="E286" s="1459" t="str">
        <f>'alb Note 9 - Investments'!C31</f>
        <v>Ok</v>
      </c>
      <c r="F286" s="427"/>
    </row>
    <row r="287" spans="1:6" ht="15" customHeight="1" x14ac:dyDescent="0.2">
      <c r="C287" s="474"/>
      <c r="D287" s="473"/>
      <c r="E287" s="472"/>
      <c r="F287" s="427"/>
    </row>
    <row r="288" spans="1:6" ht="15" customHeight="1" x14ac:dyDescent="0.2"/>
  </sheetData>
  <sheetProtection algorithmName="SHA-512" hashValue="8TH0U+CKM6RArw3Ohr4P7A/TlbZrIAug+O+XJ0yGU+EEUbt/3jXXt5vmDLlqQ7q+eh+ouZOeuwBY4TZsVljcnA==" saltValue="zcxvCjlfz/WPHMrk+qZVsQ==" spinCount="100000" sheet="1" formatColumns="0" formatRows="0"/>
  <mergeCells count="31">
    <mergeCell ref="D158:D159"/>
    <mergeCell ref="D162:D163"/>
    <mergeCell ref="D165:D166"/>
    <mergeCell ref="D168:D169"/>
    <mergeCell ref="D216:D217"/>
    <mergeCell ref="D110:D112"/>
    <mergeCell ref="D143:D144"/>
    <mergeCell ref="D139:D140"/>
    <mergeCell ref="D122:D124"/>
    <mergeCell ref="D21:D22"/>
    <mergeCell ref="D32:D33"/>
    <mergeCell ref="D38:D39"/>
    <mergeCell ref="D44:D45"/>
    <mergeCell ref="D48:D49"/>
    <mergeCell ref="D63:D64"/>
    <mergeCell ref="A189:B189"/>
    <mergeCell ref="A190:B190"/>
    <mergeCell ref="A210:B210"/>
    <mergeCell ref="A211:B211"/>
    <mergeCell ref="C2:E2"/>
    <mergeCell ref="D5:D6"/>
    <mergeCell ref="D8:D9"/>
    <mergeCell ref="D12:D13"/>
    <mergeCell ref="D15:D16"/>
    <mergeCell ref="D152:D153"/>
    <mergeCell ref="D117:D118"/>
    <mergeCell ref="D127:D129"/>
    <mergeCell ref="D135:D136"/>
    <mergeCell ref="D147:D148"/>
    <mergeCell ref="D57:D58"/>
    <mergeCell ref="D99:D100"/>
  </mergeCells>
  <conditionalFormatting sqref="A238 A269:A273">
    <cfRule type="expression" dxfId="15" priority="23">
      <formula>CELL("Protect",A238)=0</formula>
    </cfRule>
  </conditionalFormatting>
  <conditionalFormatting sqref="A241">
    <cfRule type="expression" dxfId="14" priority="18">
      <formula>CELL("Protect",A241)=0</formula>
    </cfRule>
  </conditionalFormatting>
  <conditionalFormatting sqref="A275:A280">
    <cfRule type="expression" dxfId="13" priority="22">
      <formula>CELL("Protect",A275)=0</formula>
    </cfRule>
  </conditionalFormatting>
  <conditionalFormatting sqref="A282">
    <cfRule type="expression" dxfId="12" priority="21">
      <formula>CELL("Protect",A282)=0</formula>
    </cfRule>
  </conditionalFormatting>
  <conditionalFormatting sqref="A286">
    <cfRule type="expression" dxfId="11" priority="20">
      <formula>CELL("Protect",A286)=0</formula>
    </cfRule>
  </conditionalFormatting>
  <conditionalFormatting sqref="D5:D6 D8:D9 D15:D16 D21:D22 D32:D33 D44:D45 D48:D49 D53:D54 D57:D58 D71:D100 D110:D112 D117:D119 D122:D125 D127:D130 D135:D136 D139:D140 D143:D144 D147:D148 D152:D153 D158:D159 D162:D172">
    <cfRule type="cellIs" dxfId="10" priority="32" stopIfTrue="1" operator="equal">
      <formula>"No"</formula>
    </cfRule>
  </conditionalFormatting>
  <conditionalFormatting sqref="D37:D38">
    <cfRule type="cellIs" dxfId="9" priority="25" stopIfTrue="1" operator="equal">
      <formula>"No"</formula>
    </cfRule>
  </conditionalFormatting>
  <conditionalFormatting sqref="D63:D64">
    <cfRule type="cellIs" dxfId="8" priority="1" stopIfTrue="1" operator="equal">
      <formula>"No"</formula>
    </cfRule>
  </conditionalFormatting>
  <conditionalFormatting sqref="D177:D216">
    <cfRule type="cellIs" dxfId="7" priority="2" stopIfTrue="1" operator="equal">
      <formula>"No"</formula>
    </cfRule>
  </conditionalFormatting>
  <conditionalFormatting sqref="D241:D250">
    <cfRule type="cellIs" dxfId="6" priority="15" stopIfTrue="1" operator="equal">
      <formula>"No"</formula>
    </cfRule>
  </conditionalFormatting>
  <conditionalFormatting sqref="D253:D264">
    <cfRule type="cellIs" dxfId="5" priority="14" stopIfTrue="1" operator="equal">
      <formula>"No"</formula>
    </cfRule>
  </conditionalFormatting>
  <conditionalFormatting sqref="D266">
    <cfRule type="cellIs" dxfId="4" priority="13" stopIfTrue="1" operator="equal">
      <formula>"No"</formula>
    </cfRule>
  </conditionalFormatting>
  <conditionalFormatting sqref="D269:D273">
    <cfRule type="cellIs" dxfId="3" priority="12" stopIfTrue="1" operator="equal">
      <formula>"No"</formula>
    </cfRule>
  </conditionalFormatting>
  <conditionalFormatting sqref="D275:D280">
    <cfRule type="cellIs" dxfId="2" priority="11" stopIfTrue="1" operator="equal">
      <formula>"No"</formula>
    </cfRule>
  </conditionalFormatting>
  <conditionalFormatting sqref="D282">
    <cfRule type="cellIs" dxfId="1" priority="10" stopIfTrue="1" operator="equal">
      <formula>"No"</formula>
    </cfRule>
  </conditionalFormatting>
  <conditionalFormatting sqref="D286:E286">
    <cfRule type="cellIs" dxfId="0" priority="9" stopIfTrue="1" operator="equal">
      <formula>"No"</formula>
    </cfRule>
  </conditionalFormatting>
  <pageMargins left="0.74803149606299213" right="0.74803149606299213" top="0.59055118110236227" bottom="0.59055118110236227" header="0.51181102362204722" footer="0.51181102362204722"/>
  <pageSetup paperSize="9" scale="42"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4F62525AEF9F4A918A7107A41E481F" ma:contentTypeVersion="5" ma:contentTypeDescription="Create a new document." ma:contentTypeScope="" ma:versionID="7b3f6837c4182d55be02496f523f89de">
  <xsd:schema xmlns:xsd="http://www.w3.org/2001/XMLSchema" xmlns:xs="http://www.w3.org/2001/XMLSchema" xmlns:p="http://schemas.microsoft.com/office/2006/metadata/properties" xmlns:ns3="97df31c8-b076-44ba-b38c-01bcd9471995" targetNamespace="http://schemas.microsoft.com/office/2006/metadata/properties" ma:root="true" ma:fieldsID="55b61b7874d8e6d3ef575363d12c0d39" ns3:_="">
    <xsd:import namespace="97df31c8-b076-44ba-b38c-01bcd9471995"/>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f31c8-b076-44ba-b38c-01bcd947199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7df31c8-b076-44ba-b38c-01bcd9471995" xsi:nil="true"/>
  </documentManagement>
</p:properties>
</file>

<file path=customXml/itemProps1.xml><?xml version="1.0" encoding="utf-8"?>
<ds:datastoreItem xmlns:ds="http://schemas.openxmlformats.org/officeDocument/2006/customXml" ds:itemID="{82374C45-EBB8-4096-BE31-9CE1A7E6C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df31c8-b076-44ba-b38c-01bcd94719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416C68-949A-4B2D-8320-C8D8EF344F16}">
  <ds:schemaRefs>
    <ds:schemaRef ds:uri="http://schemas.microsoft.com/sharepoint/v3/contenttype/forms"/>
  </ds:schemaRefs>
</ds:datastoreItem>
</file>

<file path=customXml/itemProps3.xml><?xml version="1.0" encoding="utf-8"?>
<ds:datastoreItem xmlns:ds="http://schemas.openxmlformats.org/officeDocument/2006/customXml" ds:itemID="{5E5FEFF4-8C9A-4D0A-B7D6-F1F5A6F4FC69}">
  <ds:schemaRefs>
    <ds:schemaRef ds:uri="97df31c8-b076-44ba-b38c-01bcd9471995"/>
    <ds:schemaRef ds:uri="http://purl.org/dc/elements/1.1/"/>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58</vt:i4>
      </vt:variant>
    </vt:vector>
  </HeadingPairs>
  <TitlesOfParts>
    <vt:vector size="150" baseType="lpstr">
      <vt:lpstr>Update</vt:lpstr>
      <vt:lpstr>SOAS</vt:lpstr>
      <vt:lpstr>SOAS 1.1</vt:lpstr>
      <vt:lpstr>SOAS 1.2</vt:lpstr>
      <vt:lpstr>SoAS 2</vt:lpstr>
      <vt:lpstr>SoAS 3</vt:lpstr>
      <vt:lpstr>SoAS 3-Core and agencies only</vt:lpstr>
      <vt:lpstr>SoAS 4</vt:lpstr>
      <vt:lpstr>Contents</vt:lpstr>
      <vt:lpstr>Guide</vt:lpstr>
      <vt:lpstr>A - Compensation packages</vt:lpstr>
      <vt:lpstr>A - Losses &amp; special payments</vt:lpstr>
      <vt:lpstr>A1 - Staff Report</vt:lpstr>
      <vt:lpstr>Staff Data</vt:lpstr>
      <vt:lpstr>CHECK 1</vt:lpstr>
      <vt:lpstr>CHECK 2</vt:lpstr>
      <vt:lpstr>Note 7 Impair Check</vt:lpstr>
      <vt:lpstr>Hot review checklist</vt:lpstr>
      <vt:lpstr>GIA</vt:lpstr>
      <vt:lpstr>SCNE</vt:lpstr>
      <vt:lpstr>SFP</vt:lpstr>
      <vt:lpstr>SCF</vt:lpstr>
      <vt:lpstr>TE</vt:lpstr>
      <vt:lpstr>Note 2</vt:lpstr>
      <vt:lpstr>Note 2.1</vt:lpstr>
      <vt:lpstr>Note 3a</vt:lpstr>
      <vt:lpstr>Note 3b &amp; 3c</vt:lpstr>
      <vt:lpstr>Note 4</vt:lpstr>
      <vt:lpstr>Note 5</vt:lpstr>
      <vt:lpstr>Note 5 (C&amp;A)</vt:lpstr>
      <vt:lpstr>Note 5.4</vt:lpstr>
      <vt:lpstr>Note 5.4 (C&amp;A)</vt:lpstr>
      <vt:lpstr>Note 6</vt:lpstr>
      <vt:lpstr>Note 6 (C&amp;A)</vt:lpstr>
      <vt:lpstr>Note 7</vt:lpstr>
      <vt:lpstr>Notes 8 &amp; 9</vt:lpstr>
      <vt:lpstr>Notes 10 &amp; 11</vt:lpstr>
      <vt:lpstr>Note 12</vt:lpstr>
      <vt:lpstr>Note 13</vt:lpstr>
      <vt:lpstr>Note 14</vt:lpstr>
      <vt:lpstr>Note 15</vt:lpstr>
      <vt:lpstr>Note 16</vt:lpstr>
      <vt:lpstr>Note 17</vt:lpstr>
      <vt:lpstr>Note 18</vt:lpstr>
      <vt:lpstr>Note 19</vt:lpstr>
      <vt:lpstr>Note 21</vt:lpstr>
      <vt:lpstr>LOSS-PROFIT ON DISPOSAL</vt:lpstr>
      <vt:lpstr>Consol Note 22 - RRL &amp; CRL</vt:lpstr>
      <vt:lpstr>CFER RECONCILIATION</vt:lpstr>
      <vt:lpstr>-------ALB to the right--------</vt:lpstr>
      <vt:lpstr>Index</vt:lpstr>
      <vt:lpstr>MAP</vt:lpstr>
      <vt:lpstr>alb Instructions</vt:lpstr>
      <vt:lpstr>alb Narrative</vt:lpstr>
      <vt:lpstr>alb Assurance</vt:lpstr>
      <vt:lpstr>alb A - Losses &amp; special pay</vt:lpstr>
      <vt:lpstr>alb A - Staff Report</vt:lpstr>
      <vt:lpstr>alb A - Staff data</vt:lpstr>
      <vt:lpstr>alb A - Compensation packages</vt:lpstr>
      <vt:lpstr>alb SoCNE</vt:lpstr>
      <vt:lpstr>alb SFP</vt:lpstr>
      <vt:lpstr>alb SCF</vt:lpstr>
      <vt:lpstr>alb SoCITE</vt:lpstr>
      <vt:lpstr>alb Note 3 &amp; 3.1 - Expenditure</vt:lpstr>
      <vt:lpstr>alb Note 4 - Income</vt:lpstr>
      <vt:lpstr>alb Note 5.1 -PP&amp;E - CY</vt:lpstr>
      <vt:lpstr>alb Note 5.2 -  PP&amp;E - PY</vt:lpstr>
      <vt:lpstr>alb Note 5.3 -Asset held resale</vt:lpstr>
      <vt:lpstr>alb Note 6.1 -  Intangibles CY</vt:lpstr>
      <vt:lpstr>alb Note 6.2 -  Intangibles PY</vt:lpstr>
      <vt:lpstr>alb Note 7 - Impairments</vt:lpstr>
      <vt:lpstr>alb Note 8 - Fin instruments</vt:lpstr>
      <vt:lpstr>alb Note 9 - Investments</vt:lpstr>
      <vt:lpstr>alb Note 10 - Inventories</vt:lpstr>
      <vt:lpstr>alb Note 11 - Cash</vt:lpstr>
      <vt:lpstr>alb Note 12 Trade Receivables</vt:lpstr>
      <vt:lpstr>alb Note 13.1 Trade payables</vt:lpstr>
      <vt:lpstr>alb Note 14 - Provisions CY</vt:lpstr>
      <vt:lpstr>alb Note 14 - Provisions PY</vt:lpstr>
      <vt:lpstr>NIFRS NILGOSC scheme liability</vt:lpstr>
      <vt:lpstr>NIFRS FF scheme liability</vt:lpstr>
      <vt:lpstr>alb Note 15 - Cont liab</vt:lpstr>
      <vt:lpstr>alb Note 15.1- Financial Guar</vt:lpstr>
      <vt:lpstr>alb Note 16  Leases</vt:lpstr>
      <vt:lpstr>alb Note 17 - Commitments PFI</vt:lpstr>
      <vt:lpstr>alb Note 18 - Capital commits</vt:lpstr>
      <vt:lpstr>alb Note 18.2 - Other fin comm</vt:lpstr>
      <vt:lpstr>alb Note 20 Third Party Assets</vt:lpstr>
      <vt:lpstr>alb Note 21 - Post Bal sheet</vt:lpstr>
      <vt:lpstr>alb Note 22 - RRL &amp; CRL</vt:lpstr>
      <vt:lpstr>alb Interco</vt:lpstr>
      <vt:lpstr>alb Check Sheet</vt:lpstr>
      <vt:lpstr>Index_Sheet_Kutools</vt:lpstr>
      <vt:lpstr>'A - Losses &amp; special payments'!Print_Area</vt:lpstr>
      <vt:lpstr>'alb A - Staff data'!Print_Area</vt:lpstr>
      <vt:lpstr>'alb Check Sheet'!Print_Area</vt:lpstr>
      <vt:lpstr>'alb Note 10 - Inventories'!Print_Area</vt:lpstr>
      <vt:lpstr>'alb Note 11 - Cash'!Print_Area</vt:lpstr>
      <vt:lpstr>'alb Note 12 Trade Receivables'!Print_Area</vt:lpstr>
      <vt:lpstr>'alb Note 13.1 Trade payables'!Print_Area</vt:lpstr>
      <vt:lpstr>'alb Note 14 - Provisions CY'!Print_Area</vt:lpstr>
      <vt:lpstr>'alb Note 14 - Provisions PY'!Print_Area</vt:lpstr>
      <vt:lpstr>'alb Note 15.1- Financial Guar'!Print_Area</vt:lpstr>
      <vt:lpstr>'alb Note 18 - Capital commits'!Print_Area</vt:lpstr>
      <vt:lpstr>'alb Note 21 - Post Bal sheet'!Print_Area</vt:lpstr>
      <vt:lpstr>'alb Note 3 &amp; 3.1 - Expenditure'!Print_Area</vt:lpstr>
      <vt:lpstr>'alb Note 4 - Income'!Print_Area</vt:lpstr>
      <vt:lpstr>'alb Note 5.1 -PP&amp;E - CY'!Print_Area</vt:lpstr>
      <vt:lpstr>'alb Note 6.1 -  Intangibles CY'!Print_Area</vt:lpstr>
      <vt:lpstr>'alb Note 6.2 -  Intangibles PY'!Print_Area</vt:lpstr>
      <vt:lpstr>'alb Note 7 - Impairments'!Print_Area</vt:lpstr>
      <vt:lpstr>'alb Note 9 - Investments'!Print_Area</vt:lpstr>
      <vt:lpstr>'alb SCF'!Print_Area</vt:lpstr>
      <vt:lpstr>'alb SoCITE'!Print_Area</vt:lpstr>
      <vt:lpstr>'alb SoCNE'!Print_Area</vt:lpstr>
      <vt:lpstr>'NIFRS NILGOSC scheme liability'!Print_Area</vt:lpstr>
      <vt:lpstr>'Note 12'!Print_Area</vt:lpstr>
      <vt:lpstr>'Note 13'!Print_Area</vt:lpstr>
      <vt:lpstr>'Note 14'!Print_Area</vt:lpstr>
      <vt:lpstr>'Note 15'!Print_Area</vt:lpstr>
      <vt:lpstr>'Note 16'!Print_Area</vt:lpstr>
      <vt:lpstr>'Note 17'!Print_Area</vt:lpstr>
      <vt:lpstr>'Note 18'!Print_Area</vt:lpstr>
      <vt:lpstr>'Note 19'!Print_Area</vt:lpstr>
      <vt:lpstr>'Note 2'!Print_Area</vt:lpstr>
      <vt:lpstr>'Note 2.1'!Print_Area</vt:lpstr>
      <vt:lpstr>'Note 21'!Print_Area</vt:lpstr>
      <vt:lpstr>'Note 3a'!Print_Area</vt:lpstr>
      <vt:lpstr>'Note 3b &amp; 3c'!Print_Area</vt:lpstr>
      <vt:lpstr>'Note 4'!Print_Area</vt:lpstr>
      <vt:lpstr>'Note 5'!Print_Area</vt:lpstr>
      <vt:lpstr>'Note 5 (C&amp;A)'!Print_Area</vt:lpstr>
      <vt:lpstr>'Note 5.4'!Print_Area</vt:lpstr>
      <vt:lpstr>'Note 5.4 (C&amp;A)'!Print_Area</vt:lpstr>
      <vt:lpstr>'Note 6'!Print_Area</vt:lpstr>
      <vt:lpstr>'Note 6 (C&amp;A)'!Print_Area</vt:lpstr>
      <vt:lpstr>'Note 7'!Print_Area</vt:lpstr>
      <vt:lpstr>'Note 7 Impair Check'!Print_Area</vt:lpstr>
      <vt:lpstr>'Notes 10 &amp; 11'!Print_Area</vt:lpstr>
      <vt:lpstr>'Notes 8 &amp; 9'!Print_Area</vt:lpstr>
      <vt:lpstr>SCF!Print_Area</vt:lpstr>
      <vt:lpstr>SCNE!Print_Area</vt:lpstr>
      <vt:lpstr>SFP!Print_Area</vt:lpstr>
      <vt:lpstr>SOAS!Print_Area</vt:lpstr>
      <vt:lpstr>'SOAS 1.1'!Print_Area</vt:lpstr>
      <vt:lpstr>'SOAS 1.2'!Print_Area</vt:lpstr>
      <vt:lpstr>'SoAS 2'!Print_Area</vt:lpstr>
      <vt:lpstr>'SoAS 3'!Print_Area</vt:lpstr>
      <vt:lpstr>'SoAS 4'!Print_Area</vt:lpstr>
      <vt:lpstr>TE!Print_Area</vt:lpstr>
    </vt:vector>
  </TitlesOfParts>
  <Company>Connon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Consol Model DoH</dc:title>
  <dc:creator>Windows User;pc@connonassociates.co.uk</dc:creator>
  <cp:lastModifiedBy>Keys, Peter</cp:lastModifiedBy>
  <cp:lastPrinted>2024-06-04T12:32:32Z</cp:lastPrinted>
  <dcterms:created xsi:type="dcterms:W3CDTF">2018-08-07T09:29:33Z</dcterms:created>
  <dcterms:modified xsi:type="dcterms:W3CDTF">2026-03-27T11:28:14Z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0x010100A24F62525AEF9F4A918A7107A41E481F</vt:lpwstr>
  </property>
</Properties>
</file>